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respaldo nc" sheetId="1" r:id="rId4"/>
    <sheet state="visible" name="perfil de pagos" sheetId="2" r:id="rId5"/>
    <sheet state="visible" name="NCP$" sheetId="3" r:id="rId6"/>
    <sheet state="visible" name="NCUS$" sheetId="4" r:id="rId7"/>
    <sheet state="visible" name="FACP$" sheetId="5" r:id="rId8"/>
    <sheet state="visible" name="FACUS$" sheetId="6" r:id="rId9"/>
    <sheet state="visible" name="CXC mxn" sheetId="7" r:id="rId10"/>
    <sheet state="visible" name="CXC usd" sheetId="8" r:id="rId11"/>
    <sheet state="hidden" name="Hoja1" sheetId="9" r:id="rId12"/>
    <sheet state="hidden" name="Facturación por periodo" sheetId="10" r:id="rId13"/>
    <sheet state="visible" name="Resumen vencido" sheetId="11" r:id="rId14"/>
    <sheet state="visible" name="pagos semanal" sheetId="12" r:id="rId15"/>
    <sheet state="hidden" name="Hoja4" sheetId="13" r:id="rId16"/>
    <sheet state="hidden" name="Hoja2" sheetId="14" r:id="rId17"/>
  </sheets>
  <definedNames>
    <definedName hidden="1" localSheetId="2" name="_xlnm._FilterDatabase">'NCP$'!$A$1:$L$420</definedName>
    <definedName hidden="1" localSheetId="3" name="_xlnm._FilterDatabase">'NCUS$'!$A$1:$I$87</definedName>
  </definedNames>
  <calcPr/>
</workbook>
</file>

<file path=xl/sharedStrings.xml><?xml version="1.0" encoding="utf-8"?>
<sst xmlns="http://schemas.openxmlformats.org/spreadsheetml/2006/main" count="56607" uniqueCount="10667">
  <si>
    <t>HORTICULA CIMARRON SA DE CV</t>
  </si>
  <si>
    <t>serv.de comprension de gas natural en modulos propios dic</t>
  </si>
  <si>
    <t>usd</t>
  </si>
  <si>
    <t xml:space="preserve">Se pago en enero </t>
  </si>
  <si>
    <t>garantia de serv de comprension gas natural  dic</t>
  </si>
  <si>
    <t xml:space="preserve">verificar si se pagaron </t>
  </si>
  <si>
    <t>ser.de comprension y transportacion de gas natural dic</t>
  </si>
  <si>
    <t>molecula comprimida en modulos propios del cliente dic 2014</t>
  </si>
  <si>
    <t>mxn</t>
  </si>
  <si>
    <t>MOLÉCULA</t>
  </si>
  <si>
    <t>SERVICIO</t>
  </si>
  <si>
    <t>Días de Crédito</t>
  </si>
  <si>
    <t>company</t>
  </si>
  <si>
    <t>molecule</t>
  </si>
  <si>
    <t>service</t>
  </si>
  <si>
    <t>AGRICOLA ZARATTINI SA DE CV</t>
  </si>
  <si>
    <t>AGRO PALM INGREDIENTS SA DE CV</t>
  </si>
  <si>
    <t>AGUILARES</t>
  </si>
  <si>
    <t>AVIMARCA FABRICACION</t>
  </si>
  <si>
    <t xml:space="preserve">AVIMARCA PROCESADORA </t>
  </si>
  <si>
    <t>AVIMARCA PROCESAMIENTO</t>
  </si>
  <si>
    <t>CIMAGAS SA DE CV</t>
  </si>
  <si>
    <t>COMBUSTIBLES ALTERNOS SUTENTABLES</t>
  </si>
  <si>
    <t>COMERCIAL Y TRANSPORTE GNC</t>
  </si>
  <si>
    <t>COMERCIAL Y TRANSPORTE GNC SAPI DE CV</t>
  </si>
  <si>
    <t>CORPORATIVO PORCICOLA CON MARCA SA DE CV</t>
  </si>
  <si>
    <t>ECO GAS NATURAL VEHICULAR</t>
  </si>
  <si>
    <t>ENERGIA AMBIENTAL VEHICULAR</t>
  </si>
  <si>
    <t>FUJITA CORPORATION</t>
  </si>
  <si>
    <t>GDF SUEZ MEXICO COMERCIALIZADORA S DE RL DE CV</t>
  </si>
  <si>
    <t>GIS POWER SERVICES</t>
  </si>
  <si>
    <t>GREENHOUSE ORGANIKA</t>
  </si>
  <si>
    <t>GRUPO AGROPECUARIO INTEGRAL AGROPRO SPR DE RL</t>
  </si>
  <si>
    <t>HACIENDA FRESH</t>
  </si>
  <si>
    <t>HORTALIZAS TECNIFICADAS DEL BAJIO</t>
  </si>
  <si>
    <t>INC INDUSTRIAL INVERAGRO</t>
  </si>
  <si>
    <t>LOKALE ENERGIA</t>
  </si>
  <si>
    <t>MOLINOS AZTECA DE CHIAPAS SA DE CV</t>
  </si>
  <si>
    <t>NEOMEXICANA</t>
  </si>
  <si>
    <t>NFF SOUTH MEXICO</t>
  </si>
  <si>
    <t>OXITENO MEXICO</t>
  </si>
  <si>
    <t>SAN JOSE Y SU AGRICULTURA SA DE CV</t>
  </si>
  <si>
    <t>SOLAR GARDEN</t>
  </si>
  <si>
    <t>TOMEIKO</t>
  </si>
  <si>
    <t>VEGGIE PRIME SAPI DE CV</t>
  </si>
  <si>
    <t>VERDI FRESH SMA SAPI DE CV</t>
  </si>
  <si>
    <t>ACCESGAS</t>
  </si>
  <si>
    <t>ARRENDADORA Y SERVICIOS RIO TEPANGO</t>
  </si>
  <si>
    <t>COMBUSTIBLES ECOLOGICOS MEXICANOS</t>
  </si>
  <si>
    <t>GRUPO CIMAGAS</t>
  </si>
  <si>
    <t>AGRICOLA CHINAMPA DE MEXICO</t>
  </si>
  <si>
    <t>COMSUSTENTA TRANSPORTE</t>
  </si>
  <si>
    <t>HORTICOLA GREENFIELD</t>
  </si>
  <si>
    <t>INTRAVER</t>
  </si>
  <si>
    <t>NESTLE MEXICO</t>
  </si>
  <si>
    <t>ALUMINUM DYNAMICS OF MEXICO</t>
  </si>
  <si>
    <t>METROPOLITANA DE GAS NATURAL VEHICULAR Y CARGA ELECTRICA</t>
  </si>
  <si>
    <t>KONKAAK SOLARPOWER</t>
  </si>
  <si>
    <t>NC PESOS</t>
  </si>
  <si>
    <t xml:space="preserve">Cliente </t>
  </si>
  <si>
    <t xml:space="preserve">Concepto </t>
  </si>
  <si>
    <t>Fecha</t>
  </si>
  <si>
    <t xml:space="preserve">Moneda </t>
  </si>
  <si>
    <t xml:space="preserve">Subtotal </t>
  </si>
  <si>
    <t xml:space="preserve">IVA </t>
  </si>
  <si>
    <t xml:space="preserve">Total </t>
  </si>
  <si>
    <t xml:space="preserve">Proyecto </t>
  </si>
  <si>
    <t xml:space="preserve">comentario </t>
  </si>
  <si>
    <t>ESTATUS</t>
  </si>
  <si>
    <t>COMENTARIOS 2</t>
  </si>
  <si>
    <t xml:space="preserve">Citrofrut SA DE CV </t>
  </si>
  <si>
    <t>moleculas de gas en huichihuayan dic</t>
  </si>
  <si>
    <t xml:space="preserve">nota de credito </t>
  </si>
  <si>
    <t xml:space="preserve">entrega de moleculas MMBtu gas natural en instalaciones enero </t>
  </si>
  <si>
    <t>devolucion saldo a favor por consumo menor en el mes feb</t>
  </si>
  <si>
    <t xml:space="preserve">entrega de moleculas MMBtu gas natural en instalaciones marzo 2015 cancelada </t>
  </si>
  <si>
    <t>entrega de moleculas MMBtu gas natural en instalaciones marzo 2015</t>
  </si>
  <si>
    <t xml:space="preserve">entrega de moleculas MMBtu gas natural en instalaciones diferencia en consumo de abril </t>
  </si>
  <si>
    <t>entrega de moleculas MMBtu gas natural en instalaciones diferencia en consumo de mayo</t>
  </si>
  <si>
    <t xml:space="preserve">AGROMAIZZA </t>
  </si>
  <si>
    <t>CORRECCION POR PODER CALORIFICO</t>
  </si>
  <si>
    <t xml:space="preserve">CANCELADA </t>
  </si>
  <si>
    <t>ENERGIA NATURAL PENINSULAR SAPI DE CV</t>
  </si>
  <si>
    <t xml:space="preserve">SERVICIO DESCUENTO POR GASTOS NO REALIZADOS </t>
  </si>
  <si>
    <t>AGROMAIZZA SAPI DE CV</t>
  </si>
  <si>
    <t xml:space="preserve">SERVICIO DE CARBURACION </t>
  </si>
  <si>
    <t>PRODUCTORA NACIONAL DE PAPEL SA DE CV</t>
  </si>
  <si>
    <t xml:space="preserve">ENTREGA DE MOLECULA </t>
  </si>
  <si>
    <t xml:space="preserve">ENERGIA NATURAL PENINSULAR SAPI DE </t>
  </si>
  <si>
    <t xml:space="preserve">PAGADO </t>
  </si>
  <si>
    <t xml:space="preserve">CITROFRUT SA DE CV </t>
  </si>
  <si>
    <t>PERC</t>
  </si>
  <si>
    <t>PAGADO??????</t>
  </si>
  <si>
    <t xml:space="preserve">PRONAL </t>
  </si>
  <si>
    <t xml:space="preserve">ENERGIA NATURAL PENINSULAR </t>
  </si>
  <si>
    <t xml:space="preserve">SERVCIO DE PRUEBA </t>
  </si>
  <si>
    <t xml:space="preserve">ENP </t>
  </si>
  <si>
    <t>NOTA DE CREDITO APLICADO AL FOLIO 1426</t>
  </si>
  <si>
    <t>NOTA DE CREDITO APLICADO AL FOLIO 1427</t>
  </si>
  <si>
    <t>DE PRUEBA DEL 15 DE SEPTIEMBRE AL 14 DE OCTUBR</t>
  </si>
  <si>
    <t>DE PRUEBA DEL 15 DE SEPTIEMBRE AL 14 DE OCTUBRE (NOVA</t>
  </si>
  <si>
    <t xml:space="preserve">AVIMARCA </t>
  </si>
  <si>
    <t xml:space="preserve">SERVICIO DE INTERNET </t>
  </si>
  <si>
    <t xml:space="preserve">TOMEIKO </t>
  </si>
  <si>
    <t>APLICADO FACTURA 1580</t>
  </si>
  <si>
    <t>AGRO PALM INGREDIENTS</t>
  </si>
  <si>
    <t>Descuento del 20% por el cobro de DESBALANCE DE GAS DEL 1 DE JULIO AL 31 DE AGOSTO</t>
  </si>
  <si>
    <t>AGRO PALM</t>
  </si>
  <si>
    <t>DIFERENCIA DE MOLECULA DE GAS 223 GJ</t>
  </si>
  <si>
    <t>DIFERENCIA DE VOLUDMEN 16,365.34 M3 MOLECULA</t>
  </si>
  <si>
    <t>EAV</t>
  </si>
  <si>
    <t>DIFERENCIA DE VOLUDMEN 16,365.34 M3 SERVICIO DE GNC</t>
  </si>
  <si>
    <t>DIFERENCIA DE VOLUMEN 6,165.80 M3 MOLECULA</t>
  </si>
  <si>
    <t>DIFERENCIA DE VOLUMEN 6,165.80 M3 SERVICIO GNC</t>
  </si>
  <si>
    <t>MOLINOS AZTECA DE CHIAPAS</t>
  </si>
  <si>
    <t>DESBALANCES DE GAS NATURAL DE 1 DE ABRIL A 31 DE AGOSTO 2019</t>
  </si>
  <si>
    <t>GRUMA</t>
  </si>
  <si>
    <t>CANCELADA APLICAR A FACTURA A0139</t>
  </si>
  <si>
    <t>APLICAR A FACTURA A0139</t>
  </si>
  <si>
    <t>SAN JOSE Y SU AGRICULTURA</t>
  </si>
  <si>
    <t>ENTREGA DE MOLECULA DEL 15 AL 30 NOVIEMBRE 2019</t>
  </si>
  <si>
    <t>GREEN VALLEY</t>
  </si>
  <si>
    <t>APLICADA A FACTURA A0171</t>
  </si>
  <si>
    <t>ENTREGA DE MOLECULA 1 AL 31 ENERO 2020</t>
  </si>
  <si>
    <t>APLICADO A FACTURAS A0257, A0258, A0294 Y A0295</t>
  </si>
  <si>
    <t>SERVICIO DE COMPRESION 1 AL 31 ENERO 2020</t>
  </si>
  <si>
    <t>Diferencia Servicio de GNC 11,040 m3 1 al 31 enero 2020</t>
  </si>
  <si>
    <t>CANCELADO</t>
  </si>
  <si>
    <t>GDF SUEZ MEXICO COMERCIALIZADORA</t>
  </si>
  <si>
    <t>DIFERENCIA EN TARIFA DEL 1 AL 14 DE ENERO 2020</t>
  </si>
  <si>
    <t>NESTLE CHIAPAS</t>
  </si>
  <si>
    <t>APLICADO</t>
  </si>
  <si>
    <t>DIFERENCIA POR ENTREGA DE MOLÉCULA EN M3 DE GAS NATURAL EN SUS INSTALACIONES</t>
  </si>
  <si>
    <t>DIFERENCIA POR ENTREGA DE GN EN SUS INSTALACIONES</t>
  </si>
  <si>
    <t>DIFERENCIA POR ENTREGA DE MOLÉCULA DE GAS NATURAL EN SUS INSTALACIONES</t>
  </si>
  <si>
    <t>CANCELADO SUSTITUYE NC 83</t>
  </si>
  <si>
    <t>DIFERENCIA POR ENTREGA DE MOLÉCULA GIGAJOULE GAS NATURAL EN SUS INSTALACIONES</t>
  </si>
  <si>
    <t>APLICADA SUSTITUYE NC79</t>
  </si>
  <si>
    <t>APLICADA</t>
  </si>
  <si>
    <t>DIFERENCIA POR ENTREGA DE MOLÉCULA GAS NATURAL EN SUS INSTALACIONES</t>
  </si>
  <si>
    <t>CANCELADO SUSTITUYE NC88</t>
  </si>
  <si>
    <t>AVIMARCA PROC</t>
  </si>
  <si>
    <t>SUSTITUYE NC85</t>
  </si>
  <si>
    <t>SUSTITUYE NC90</t>
  </si>
  <si>
    <t>DIFERENCIA POR ENTREGA DE MOLECULA DE GAS NATURAL EN SUS INSTALACIONES DE LOS DIAS 6, 12, 13 Y 14 DE SEPTIEMBRE 2020</t>
  </si>
  <si>
    <t>SILICE DEL ISTMO</t>
  </si>
  <si>
    <t>CANCELADA</t>
  </si>
  <si>
    <t>APLICADA A FACTURA A1209</t>
  </si>
  <si>
    <t>DIFERENCIA POR TIPO DE CAMBIO EN EL SERVICIO DE SUMINISTRO DE GNC DEL 1 AL 31 MARZO 2020</t>
  </si>
  <si>
    <t>LARMEX Y ALA</t>
  </si>
  <si>
    <t>DIFERENCIA EN TARIFA DE SERVICIO DE COMPRESION DEL 1 AL 15 DE NOVIEMBRE DEL 2020</t>
  </si>
  <si>
    <t>LA TINAJA</t>
  </si>
  <si>
    <t>FACTURA A1281</t>
  </si>
  <si>
    <t>DIFERENCIA POR AJUSTE DE TARIFA Y VOLUMEN POR TRASLADO Y ENTREGA DE MOLECULA DE GAS NATURAL 1 AL 14 FEBRERO 2021</t>
  </si>
  <si>
    <t>CANCELADA SUSTITUYE A NC115</t>
  </si>
  <si>
    <t xml:space="preserve">entrega de moleculas MMBtu gas natural en instalaciones dic </t>
  </si>
  <si>
    <t>FACTURAS VARIAS</t>
  </si>
  <si>
    <t>DIFERENCIA POR SERVICIO DE GNC, NOTA DE CREDITO APLICABLE A LA FACTURA A1490</t>
  </si>
  <si>
    <t>INSURGENTES</t>
  </si>
  <si>
    <t>APLICA A FACTURA A1490</t>
  </si>
  <si>
    <t>DIFERENCIA POR ENTREGA DE MOLECULAS GJ GAS NATURAL EN SUS INSTALACIONES 16 AL 28 DE FEBRERO 2021</t>
  </si>
  <si>
    <t>APLICAR A FACTURA A1819</t>
  </si>
  <si>
    <t>DIFERENCIA POR SERVICIO DE COMPRESION, SUMINISTRO DE GAS NATURAL del 16 al 28 febrero 2021</t>
  </si>
  <si>
    <t>APLICAR A FACTURA A1820</t>
  </si>
  <si>
    <t>DIFERENCIA POR ENTREGA DE MOLECULA GJ GAS NATURAL EN SUS INSTALACIONES 7,888 M3</t>
  </si>
  <si>
    <t>SE APLICA A FACTURA A1393</t>
  </si>
  <si>
    <t>DIFERENCIA POR SERVICIO DE COMPRESION DE GAS NATURAL EQUIVALENTE A 7,8888 m3</t>
  </si>
  <si>
    <t>SE APLICA A FACTURA A1394</t>
  </si>
  <si>
    <t>DIFERENCIA EN TARIFA SERVICIO DE COMPRESION, APLICABLE A LA FACTURA A1836</t>
  </si>
  <si>
    <t>SE APLICA A FACTURA A1836</t>
  </si>
  <si>
    <t>ENERGIA AMBIENTAL VEHICULAR SAPI DE CV</t>
  </si>
  <si>
    <t>DIFERENCIA POR ERROR EN TARIFA DE ENTREGA DE MOLELCULA GJ GAS NAURAL EN SUS</t>
  </si>
  <si>
    <t>DIFERENCIA POR ERROR EN TARIFA DE ENTREGA DE MOLECULA GJ GAS NATURAL EN SUS</t>
  </si>
  <si>
    <t>DIFERENCIA POR ESTIMACION DE CONSUMO EN ENTREGA DE MOLECULA GJ GAS NATURAL EN SUS</t>
  </si>
  <si>
    <t>DIFERENCIA POR ESTIMACION DE CONSUMO EN SERVICIO DE COMPRESION, SUMINISTRO DE GAS</t>
  </si>
  <si>
    <t>AVIMARCA FABRICAACION</t>
  </si>
  <si>
    <t>DIFERENCIA POR ENTREGA DE MOLECULA DE ABRIL AL 15 DE JUNIO 2021</t>
  </si>
  <si>
    <t>AVIMARCA FABRICA</t>
  </si>
  <si>
    <t>SE APLICA A FACTURA A2102</t>
  </si>
  <si>
    <t>DIFERENCIA POR ENTREGA DE MOLECULA GAS NATURAL DE ABRIL AL 15 DE JUNIO 2021. APLICA A LA</t>
  </si>
  <si>
    <t>DEVOLUCIÓN POR SUMINISTRO DE GNV ESTACIÓN INSURGENTES ECCON FACTURA IN3085. APLICAR A</t>
  </si>
  <si>
    <t>INSURGENTE</t>
  </si>
  <si>
    <t>DEVOLUCIÓN POR SUMINISTRO DE GNV ESTACIÓN INSURGENTES ECCON FACTURA IN2210. APLICAR A</t>
  </si>
  <si>
    <t>DIFERENCIA POR AJUSTE DE TARIFA DE SERVICIO DE GNC CONFORME AL CONTRATO DE PRESTACIÓN</t>
  </si>
  <si>
    <t>DIFERENCIA POR SERVICIO DE COMPRESION, SUMINISTRO Y DESCOMPRENSION DE GAS NATURAL.</t>
  </si>
  <si>
    <t>SE APLICA A FACTURA A2230</t>
  </si>
  <si>
    <t>ECO GAS NATURAL VEHICULAR SAPI DE CV</t>
  </si>
  <si>
    <t>DIFERENCIA POR ENTREGA DE MOLÉCULA GAS NATURAL EN SUS INSTALACIONES APLICABLE A LA FACTURA A2387</t>
  </si>
  <si>
    <t>ECOGNV VILLAHERMOSA</t>
  </si>
  <si>
    <t xml:space="preserve">APLICA A FACTURA A2387 POR DIFERENCIA </t>
  </si>
  <si>
    <t>GRUPO AVIMARCA, S.A. DE C.V.</t>
  </si>
  <si>
    <t>DIFERENCIA POR ENTREGA DE MOLÉCULA DE GAS NATURAL EN SUS INSTALACIONES APLICABLE A LA</t>
  </si>
  <si>
    <t>DIFERENCIA POR ENTREGA DE MOLÉCULA GAS NATURAL EN SUS INSTALACIONES. APLICABLE A</t>
  </si>
  <si>
    <t>DIFERENCIA POR ENTREGA DE MOLECULA DE GAS NATURAL EN SUS INSTALACIONES APLICALBES A LA</t>
  </si>
  <si>
    <t>DIFERENCIA POR ENTREGA DE MOLECULA POR ESTIMACIÓN DE FACTURACIÓN DEL 30/04/202.</t>
  </si>
  <si>
    <t>DIFERENCIA POR SERVICIO DE SUMINISTRO DE GNC POR ESTIMACIÓN DE FACTURACIÓN DEL</t>
  </si>
  <si>
    <t>DIFERENCIA POR ENTREGA DE MOLECULA POR ESTIMACIÓN DE FACTURACIÓN DEL 31/05/2021.</t>
  </si>
  <si>
    <t>DIFERENCIA POR ENTREGA DE MOLECULA POR ESTIMACIÓN DE FACTURACIÓN DEL 30/06/2021</t>
  </si>
  <si>
    <t>DIFERENCIA POR ENTREGA DE MOLECULA POR ESTIMACIÓN DE FACTURACIÓN DEL 31/07/2021</t>
  </si>
  <si>
    <t>DIFERENCIA POR ENTREGA DE MOLECULA POR ESTIMACIÓN DE FACTURACIÓN DEL 31/07/2021.</t>
  </si>
  <si>
    <t>DIFERENCIA POR ENTREGA DE MOLECULA POR ESTIMACIÓN DE FACTURACIÓN DEL 31/08/2021.</t>
  </si>
  <si>
    <t>Diferencia en consumo de Molecula de Gas Natural aplicable a la factura A2203</t>
  </si>
  <si>
    <t xml:space="preserve"> INSURGENTE</t>
  </si>
  <si>
    <t>APLICA A FACTURA A2203</t>
  </si>
  <si>
    <t>Diferencia en Servicio de suministro de GN aplicable a factura A2204</t>
  </si>
  <si>
    <t>APLICA A FACTURA A2204</t>
  </si>
  <si>
    <t>Diferencia de tarifa de servicio aplicable a la factura A2208</t>
  </si>
  <si>
    <t>APLICA A FACTURA A2208</t>
  </si>
  <si>
    <t>Diferencia de tarifa de servicio aplicable a factura A2210</t>
  </si>
  <si>
    <t>APLICA A FACTURA A2210</t>
  </si>
  <si>
    <t>Diferencia en tarifa por entrega de molecual por estimacion aplicable factura A1833</t>
  </si>
  <si>
    <t>APLICA A FACTURA A1833</t>
  </si>
  <si>
    <t>Diferencia en tarifa or entrega de molecula aplicable factura A1815</t>
  </si>
  <si>
    <t>APLICA A FACTURA A1815</t>
  </si>
  <si>
    <t>Diferencia en tarifa por entrega de molecula aplicable factura A1817</t>
  </si>
  <si>
    <t>APLICA A FACTURA A1817</t>
  </si>
  <si>
    <t>Diferencia en tarifa por entrega de molecula aplicable factura A1837</t>
  </si>
  <si>
    <t>APLICA A FACTURA A1837</t>
  </si>
  <si>
    <t>COMBUSTIBLES ALTERNOS SUSTENTABLES</t>
  </si>
  <si>
    <t xml:space="preserve">DIFERENCIA POR ENTREGA DE MOLECULA </t>
  </si>
  <si>
    <t>COMSUSTENTA VILLA</t>
  </si>
  <si>
    <t>SE APLICA A FACTURA 2589</t>
  </si>
  <si>
    <t>DIFERENCIA POR ENTREGA MOLECUA</t>
  </si>
  <si>
    <t>APLICA F A2664</t>
  </si>
  <si>
    <t>CANCELADA ADMINISTRATIVAMENTE</t>
  </si>
  <si>
    <t>NO SE TIMBRA NC</t>
  </si>
  <si>
    <t>APLICA A F:2877</t>
  </si>
  <si>
    <t xml:space="preserve">DIFERENCIA POR SERVICIO </t>
  </si>
  <si>
    <t>APLICA A F:2878</t>
  </si>
  <si>
    <t>TINAJA</t>
  </si>
  <si>
    <t>APLICA A F:A2842</t>
  </si>
  <si>
    <t>APLICA A F:2843</t>
  </si>
  <si>
    <t>DIFERENCIA POR ENTREGA MOLECUA 1 al  14 marzo 2022</t>
  </si>
  <si>
    <t>TOMEIKIO</t>
  </si>
  <si>
    <t>APLICA A F:A2856</t>
  </si>
  <si>
    <t>DIFERENCIA DE CARGO POR CAPACIDAD</t>
  </si>
  <si>
    <t>APLICA A F 2879</t>
  </si>
  <si>
    <t>APLICA F 2881</t>
  </si>
  <si>
    <t>DESBALANCE NOVIEMBRE</t>
  </si>
  <si>
    <t>INVERNADERO SAN MIGUEL</t>
  </si>
  <si>
    <t>APLICA F:2709</t>
  </si>
  <si>
    <t>TOP ENERO</t>
  </si>
  <si>
    <t>APLICA F:2824</t>
  </si>
  <si>
    <t>TOP FEBRERO</t>
  </si>
  <si>
    <t>APLICA F:2835</t>
  </si>
  <si>
    <t>TOP MARZO</t>
  </si>
  <si>
    <t>APLICA F:2926</t>
  </si>
  <si>
    <t>DIFERENCIA TOP OCTUBRE</t>
  </si>
  <si>
    <t>APLICA F:2610</t>
  </si>
  <si>
    <t>DIFERENCIA TOP MARZO</t>
  </si>
  <si>
    <t>APLICA F:2930</t>
  </si>
  <si>
    <t>DIFERENCIA POR ENTREGA DE MOLECULA 16 AL 30 ABRIL</t>
  </si>
  <si>
    <t>APLICA F:2965</t>
  </si>
  <si>
    <t>DIFERENCIA POR ENTERGA DE MOLECULA 16 AL 30 ABRIL GENERADOR</t>
  </si>
  <si>
    <t>APLICA F:2967</t>
  </si>
  <si>
    <t>DIFERENCIA SERVICIO DE COMPRESION 16 AL 30 ABRIL</t>
  </si>
  <si>
    <t>APLICA F:2966</t>
  </si>
  <si>
    <t>DIFERENCIA SERVICIO DE COMPRESION 16 AL 30 ABRIL GENERADOR</t>
  </si>
  <si>
    <t>APLICA F:2968</t>
  </si>
  <si>
    <t>DIFERENCIA POR ENTREGA DE MOLÉCULA 15 AL 28 FEB</t>
  </si>
  <si>
    <t>APLICA A f: 103</t>
  </si>
  <si>
    <t>APLICA F:2784</t>
  </si>
  <si>
    <t>DIFERENCIA POR ENTREGA DE MOLÉCULA 15 AL 28 FEB GENERADOR</t>
  </si>
  <si>
    <t>APLICA F:2785</t>
  </si>
  <si>
    <t>DIFERENCIA POR ENTREGA MOLECULA 1 AL 14 MAYO 2022</t>
  </si>
  <si>
    <t>APLICA F3017</t>
  </si>
  <si>
    <t>DESCUENTO POR ERROR DE TARIFA BI 1 AL 14 MAYO 2022</t>
  </si>
  <si>
    <t>APLICA F3058</t>
  </si>
  <si>
    <t>cancelada</t>
  </si>
  <si>
    <t>AGROPALM</t>
  </si>
  <si>
    <t>APLICA F3056</t>
  </si>
  <si>
    <t>AVIMARCA PROCESADORA</t>
  </si>
  <si>
    <t>APLICA F3060</t>
  </si>
  <si>
    <t>APLICA F 3062</t>
  </si>
  <si>
    <t>GDF DE SUEZ</t>
  </si>
  <si>
    <t>APLICA F 3066</t>
  </si>
  <si>
    <t>INVERAGRO</t>
  </si>
  <si>
    <t>APLICA F:3072</t>
  </si>
  <si>
    <t>LE GNV SOLEDAD</t>
  </si>
  <si>
    <t>APLICA F3074</t>
  </si>
  <si>
    <t>APLICA F3089</t>
  </si>
  <si>
    <t>APLICA F3068</t>
  </si>
  <si>
    <t>APLICA F3076</t>
  </si>
  <si>
    <t>APLICA F3078</t>
  </si>
  <si>
    <t>APLICA F3050</t>
  </si>
  <si>
    <t>APLICA F 3052</t>
  </si>
  <si>
    <t>DIFERENCIA POR SERVICIO DE COMPRESION 1 AL 15 MAYO</t>
  </si>
  <si>
    <t>APLICA F3020</t>
  </si>
  <si>
    <t>DIFERENCIA POR SERVICIO DE COMPRESION 16 AL 31 MAYO</t>
  </si>
  <si>
    <t>APLICA F3051</t>
  </si>
  <si>
    <t>DIFERENCIA POR ENTREGA MOLECULA 1 AL 15 MAYO</t>
  </si>
  <si>
    <t>APLICA F3021</t>
  </si>
  <si>
    <t>APLICA F 3022</t>
  </si>
  <si>
    <t>DIFERENCIA POR ENTREGA MOLECULA 1 AL 15 MAYO GENERADOR</t>
  </si>
  <si>
    <t>APLICA F3023</t>
  </si>
  <si>
    <t>DIFERENCIA POR SERVICIO DE COMPRESION 16 AL 31 MAYO GENERADOR</t>
  </si>
  <si>
    <t>APLICA F3024</t>
  </si>
  <si>
    <t>DIFERENCIA POR ENTREGA SERVICIO DE COMPRESION 16 AL 31 MAYO</t>
  </si>
  <si>
    <t>APLICA F3053</t>
  </si>
  <si>
    <t>DIFERENCIA POR ENTREGA SERVICIO DE COMPRESION 16 AL 31 MAYO GENERADOR</t>
  </si>
  <si>
    <t>APLICA F3055</t>
  </si>
  <si>
    <t>APLICA F.3072</t>
  </si>
  <si>
    <t>mx</t>
  </si>
  <si>
    <t>DIFERENCIA POR ENTREGA MOLECULA LECTURA MAL REPORTADA</t>
  </si>
  <si>
    <t>APLICA F3019</t>
  </si>
  <si>
    <t xml:space="preserve">DIFERENCIA POR SERVICIO DE COMPRESION </t>
  </si>
  <si>
    <t>DIFERENCIA POR APLICACIÓN DE TERMINOS Y CONDICIONES 15 AL 31 MAYO 2022</t>
  </si>
  <si>
    <t>APLICA F3029</t>
  </si>
  <si>
    <t>DIFERENCIA POR ERROR EN DATOS CALIDAD DEL GAS PEMEX</t>
  </si>
  <si>
    <t>APLICA F 3130</t>
  </si>
  <si>
    <t>DIFERENCIA POR ENTREGA MOLECULA PARA GENERADOR</t>
  </si>
  <si>
    <t>MXN</t>
  </si>
  <si>
    <t>APLICA F 3206</t>
  </si>
  <si>
    <t>DIFERENCIA POR SERVICIO COMPRESIÓN PARA GENERADOR</t>
  </si>
  <si>
    <t>APLICA F3207</t>
  </si>
  <si>
    <t>AVIMARCA</t>
  </si>
  <si>
    <t>CANCELADA NO ERA CLIENTE</t>
  </si>
  <si>
    <t>DIFERENCIA POR ENTREGA DE MOLECULA 1 AL 30 MARZO 2022</t>
  </si>
  <si>
    <t>cancelada mal aplicada</t>
  </si>
  <si>
    <t>DIFERENCIA POR ENTREGA DE MOLECULA 1 AL 30 JUNIO 2022</t>
  </si>
  <si>
    <t>APLICA F:3276</t>
  </si>
  <si>
    <t>DIFERENCIA POR ENTREGA DE MOLECULA 15 AL 31 JULIO 2022</t>
  </si>
  <si>
    <t>APLICA F:3277</t>
  </si>
  <si>
    <t>DIFERENCIA POR COMPRESIÓN 16 AL 31 JULIO 2022</t>
  </si>
  <si>
    <t>APLICA 3203</t>
  </si>
  <si>
    <t>DIFERENCIA POR COMPRESIÓN 16 AL 31 JULIO 2022 FACTURA DE AJUSTE FIN MES</t>
  </si>
  <si>
    <t>APLICA 3218</t>
  </si>
  <si>
    <t>DIFERENCIA POR ENTREGA MOLECULA 16 AL 31 JULIO 2022</t>
  </si>
  <si>
    <t>APLICA 3219</t>
  </si>
  <si>
    <t>DIFERENCIA SERVICIO COMPRESIÓN 16 AL 31 JULIO 2022</t>
  </si>
  <si>
    <t>APLICA 3220</t>
  </si>
  <si>
    <t>DIFERENCIA POR ENTREGA MOLECULA 16 AL 31 JULIO 2022 FACTURA AJUSTE FIN MES</t>
  </si>
  <si>
    <t>APLICA 3204</t>
  </si>
  <si>
    <t>DIFERENCIA POR ENTREGA MOLECULA 16 AL 31 JULIO 2022 GENERADOR</t>
  </si>
  <si>
    <t>APLICA 3206</t>
  </si>
  <si>
    <t>DIFERENCIA POR ENTREGA MOLECULA 1 AL 15 JULIO 22</t>
  </si>
  <si>
    <t>APLICA 3180</t>
  </si>
  <si>
    <t>DIFERENCIA POR ENTREGA MOLECULA</t>
  </si>
  <si>
    <t>APLICA 3182</t>
  </si>
  <si>
    <t xml:space="preserve">NC MAL ELABORADA NO RELACIONADA </t>
  </si>
  <si>
    <t>aplica 3169</t>
  </si>
  <si>
    <t>DIFERENCIA POR AJUSTE VOLUMEN DÍAS 3-11 Y 12 SEP 2022</t>
  </si>
  <si>
    <t>APLICA A 3360</t>
  </si>
  <si>
    <t>DIFERENCIA POR ENTREGA DE MOLECULA 1 AL 14 OCTUBRE 2022</t>
  </si>
  <si>
    <t>APLICA F 3439, cancelada a solicitud de inveragro</t>
  </si>
  <si>
    <t>mal relacionada</t>
  </si>
  <si>
    <t>APLICA F 3439, se realiza con los requerimientos de inveragro bajo su riesgo</t>
  </si>
  <si>
    <t>así solicita inveragro argumentan interpretación de fundamento para realcionar UUID</t>
  </si>
  <si>
    <t>DIFERENCIA POR ENTREGA MOLECULA 10 AL 16 OCTUBRE 2022</t>
  </si>
  <si>
    <t>SAN MIGUEL</t>
  </si>
  <si>
    <t>APLICA A F:3479</t>
  </si>
  <si>
    <t>SE SOLICITA POR AJUSTE DE ESTIMACIÓN DE VOLUMEN</t>
  </si>
  <si>
    <t>CANCELADA ADMINISTRATIVAMENTE POR ARACELI</t>
  </si>
  <si>
    <t>CACELADA ADMINISTRATIVAMENTE POR ARACELI</t>
  </si>
  <si>
    <t>DIFERENCIA POR AJUSTE DE VOLUMEN DEL 22 OCTUBRE</t>
  </si>
  <si>
    <t>APLICA A F.3523</t>
  </si>
  <si>
    <t>SOLICITA CLIENTE POR DESCUIDO DE OPERADORES SOBREPASO</t>
  </si>
  <si>
    <t>DIFERENCIA POR AJUSTE TARIFA MAYO A JUNIO 2022</t>
  </si>
  <si>
    <t>APLICA 3578</t>
  </si>
  <si>
    <t>SE SOLICITA POR ERROR EN FORMULACIÓN DE ARCHIVO DE FACTURACIÓN</t>
  </si>
  <si>
    <t>SE CANCELA, YA QUE EL CLIENTE REALIZA PAGO COMPLETO DE FACTURA, SE SUSTITUYE POR LA:</t>
  </si>
  <si>
    <t>VEGGIE PRIME</t>
  </si>
  <si>
    <t>DIFERENCIA POR ENTREGA DE MOLECULA 1 AL 14 NOVIEMBRE 2022</t>
  </si>
  <si>
    <t>VEGGIEPRIME</t>
  </si>
  <si>
    <t>APLICA 3554</t>
  </si>
  <si>
    <t>SE SOLICITA POR ERROR EN ESTIMACION DE GAS DEPARTAMENTO LOGISTICA</t>
  </si>
  <si>
    <t xml:space="preserve">DIFERENCIA POR AJUSTE DE CONSUMO </t>
  </si>
  <si>
    <t>APLICA F:A3568</t>
  </si>
  <si>
    <t>COMENTA CLIENTE QUE OPERADOR NO PARÓ CONSUMO A TIEMPO</t>
  </si>
  <si>
    <t>AJUSTE POR ACUERDO DE PAGO</t>
  </si>
  <si>
    <t>APLICA :3552</t>
  </si>
  <si>
    <t>APLICA 3630</t>
  </si>
  <si>
    <t xml:space="preserve">DIFERENCIA POR VOLUMEN MAL REPORTADO </t>
  </si>
  <si>
    <t>APLICA  3605</t>
  </si>
  <si>
    <t>SE SOLICITA POR VOLUMEN MAL REPORTADO POR DEPARTAMENTO DE LOGISTICA</t>
  </si>
  <si>
    <t>se cancela, así solicita el cliente aplica para sustituye NC 295</t>
  </si>
  <si>
    <t>APLICA 3683</t>
  </si>
  <si>
    <t>DIFERENCIA POR ENTREGA DE MOLECULA 1 AL 15 DICIEMBRE 2022</t>
  </si>
  <si>
    <t>APLICA 3655</t>
  </si>
  <si>
    <t>SE SOLICITA POR VOLUMEN MAL REPORTADO POR EAV (JAIME)</t>
  </si>
  <si>
    <t>DIFERENCIA POR SERVICIO DE COMPRESIÓN 1 AL 15 DICIEMBRE 2022</t>
  </si>
  <si>
    <t>APLICA 3656</t>
  </si>
  <si>
    <t>DIFERENCIA POR ENTREGA MOLECULA 16 AL 30 DICIEMBRE POR AJUSTE FIN DE MES</t>
  </si>
  <si>
    <t>APLICA 3695</t>
  </si>
  <si>
    <t xml:space="preserve">SE SOLICITA POR AJUSTE DE FIN DE MES </t>
  </si>
  <si>
    <t>APLICA 3697</t>
  </si>
  <si>
    <t>DIFERENCIA POR SERVICIO COMPRESIÓN 16 AL 31 DICIEMBRE AJUSTE FIN DE MES</t>
  </si>
  <si>
    <t>APLICA 3698</t>
  </si>
  <si>
    <t>DIFERENCIA POR ENTREGA MOLECULA 16 AL 30 DICIEMBRE POR AJUSTE FIN DE MES GENERADOR</t>
  </si>
  <si>
    <t>APLICA 3699</t>
  </si>
  <si>
    <t>DIFERENCIA POR SERVICIO COMPRESIÓN 16 AL 31 DICIEMBRE AJUSTE FIN DE MES GENERADOR</t>
  </si>
  <si>
    <t>APLICA 3700</t>
  </si>
  <si>
    <t>DIFERENCIA POR SERVICIO DE COMPRESIÓN AJUSTE 1 AL 14 DICIEMBRE 2022</t>
  </si>
  <si>
    <t>APLICA 3739</t>
  </si>
  <si>
    <t>SE SOLICITA POR AJUSTE DE 1A QUINCENA DICIEMBRE, POR CIERRE DE RECEPCIÓN DE FACTURACIÓN</t>
  </si>
  <si>
    <t>AGROPRO</t>
  </si>
  <si>
    <t>DIFERENCIA POR ENTREGA MOLECULA 15 AL 31 DICIEMBRE 2022</t>
  </si>
  <si>
    <t>AGRPRO</t>
  </si>
  <si>
    <t>APLICA 3725</t>
  </si>
  <si>
    <t>SE SOLICITA POR DIFERENCIA REPORTADA EN LECTURAS POR DEPARTAMENTO DE LOGÍSTICA</t>
  </si>
  <si>
    <t>DIFERENCIA POR ENTREGA DE MOLECULA DEL 1 AL 31 DICIEMBRE</t>
  </si>
  <si>
    <t>APLICA 3747</t>
  </si>
  <si>
    <t>SE SOLICITA A PETICIÓN DE ISRAEL PICHARDO, POR ACUERDO CON ORGANIKA</t>
  </si>
  <si>
    <t>Araceli cancela por estár mal relacionadas</t>
  </si>
  <si>
    <t>AJUSTE POR ACUERDO DE PAGO SUSTITUYE A LA NC274</t>
  </si>
  <si>
    <t>APLICA 2836</t>
  </si>
  <si>
    <t>APLICA 3717</t>
  </si>
  <si>
    <t>DIFERENCIA POR ENTREGA DE MOLECULA 1 AL 14 ENERO 2023</t>
  </si>
  <si>
    <t>APLICA 3778</t>
  </si>
  <si>
    <t>SE SOLICITA POR DIFERENCIA EN ESTIMACIÓN DE VOLUMEN POR EL ÁREA DE LOGISTICA</t>
  </si>
  <si>
    <t>DIFERENCIA POR ENTREGA DE MOLÉCULA 16 AL 31 MARZO 203</t>
  </si>
  <si>
    <t>APLICA 4046</t>
  </si>
  <si>
    <t>POR AJUSTE DE ESTIMACIO´N FIN DE MES</t>
  </si>
  <si>
    <t>DIFERENCIA POR SERVICIO DE COMPRESIÓN 16 AL 31 MARZO 203</t>
  </si>
  <si>
    <t>APLICA 4047</t>
  </si>
  <si>
    <t>DIFERENCIA POR SERVICIO DE COMPRESIÓN 15 AL 30 ABRIL 2023</t>
  </si>
  <si>
    <t>APLICA 4152</t>
  </si>
  <si>
    <t>DIFERENCIA POR ENTREGA MOLECULA 15 AL 30 ABRIL 2023 GENERADOR</t>
  </si>
  <si>
    <t>APLICA 4153</t>
  </si>
  <si>
    <t>DIFERENCIA POR SERVICIO DE COMPRESIÓN 15 AL 30 ABRIL 2023 GENERADOR</t>
  </si>
  <si>
    <t>APLICA 4154</t>
  </si>
  <si>
    <t>DIFERENCIA POR ENTREGA MOLECULA AJUSTE PC 1 QL 14 ABRIL 2023</t>
  </si>
  <si>
    <t>APLICA 4133</t>
  </si>
  <si>
    <t>DIFERENCIA POR SERVICIO COMPRESIÓN AJUSTE PC 1 AL 14 ABRIL 2023</t>
  </si>
  <si>
    <t>APLICA 4134</t>
  </si>
  <si>
    <t>DIFERENCIA POR ENTREGA MOLECULA AJUSTE PC 1 AL 14 ABRIL 2023</t>
  </si>
  <si>
    <t>APLICA 4135</t>
  </si>
  <si>
    <t>ACIMARCA PROCESADORA</t>
  </si>
  <si>
    <t>APLICA 4137</t>
  </si>
  <si>
    <t>APLICA 4139</t>
  </si>
  <si>
    <t>APLICA 4143</t>
  </si>
  <si>
    <t>DIFERENCIA POR SERVICIO DE COMPRESIÓN AJUSTE PC 1 AL 14 ABRIL 2023</t>
  </si>
  <si>
    <t>APLICA 4144</t>
  </si>
  <si>
    <t>APLICA 4147</t>
  </si>
  <si>
    <t>NEO COMSUSTENTA</t>
  </si>
  <si>
    <t>APLICA 4145</t>
  </si>
  <si>
    <t>APLICA 4203</t>
  </si>
  <si>
    <t>DIFERENCIA POR ENTREGA DE MOLECULA 16 AL 30 ABRIL 2023</t>
  </si>
  <si>
    <t>APLICA 4149</t>
  </si>
  <si>
    <t>POR ERORR DE ARACELI, ARCHIVO DICE 63,260.5, LA FACTURA DICE 63,620.50</t>
  </si>
  <si>
    <t xml:space="preserve">DIFERENCIA POR AJUSTE NOMINACIÓN </t>
  </si>
  <si>
    <t>APLICA 4173</t>
  </si>
  <si>
    <t>POR AJUSTE NOMINACIÓN</t>
  </si>
  <si>
    <t>AGRIZAR</t>
  </si>
  <si>
    <t>DIFERENCIA DE VOLUMEN REPORTADA POR LOGISTICA</t>
  </si>
  <si>
    <t>aplica 4225</t>
  </si>
  <si>
    <t xml:space="preserve">POR AJUSTE ENTREGA DE MOLECULA </t>
  </si>
  <si>
    <t>APLICA 4274</t>
  </si>
  <si>
    <t>CANCELADA POR ARACELI</t>
  </si>
  <si>
    <t>APLICA 4397</t>
  </si>
  <si>
    <t>DIFERENCIA POR VOLUMEN MAL REPORTADO  15 AL 31 JULIO 2023</t>
  </si>
  <si>
    <t>APLICA 4485</t>
  </si>
  <si>
    <t>POR VOLUMEN MAL REPORTADO POR JESÚS ESCALANTE</t>
  </si>
  <si>
    <t>DIFERENCIA AJUSTE JULIO 2023</t>
  </si>
  <si>
    <t>INSURGE</t>
  </si>
  <si>
    <t>APLICA 4489</t>
  </si>
  <si>
    <t>APLICA 4491</t>
  </si>
  <si>
    <t>APLICA A 4198</t>
  </si>
  <si>
    <t>SUSTITUYE A LA 285</t>
  </si>
  <si>
    <t>DIFERENCIA POR AJUSTE MOLÉCULA FIN DE MES AGOSTO 2023</t>
  </si>
  <si>
    <t>APLICA 4639</t>
  </si>
  <si>
    <t>DIFERENCIA POR SERVICIO DE COMPRESIÓN FIN DE MES AGOSTO 2023</t>
  </si>
  <si>
    <t>APLICA 4640</t>
  </si>
  <si>
    <t>AJUSTE DE TOP 1 AL 28 FEBRERO 2022</t>
  </si>
  <si>
    <t>APLICA 4768</t>
  </si>
  <si>
    <t>ESTE DESCUENTO LO AUTORIZA RODRIGO PARA SALDAR LA FACTURA  2836</t>
  </si>
  <si>
    <t>NA</t>
  </si>
  <si>
    <t xml:space="preserve">LOKALE ENERGIA </t>
  </si>
  <si>
    <t>DIFERENCIA POR ENTREGA DE MOLECULA 15 AL 31 DE OCTUBRE 2023</t>
  </si>
  <si>
    <t>APLICA A 4891</t>
  </si>
  <si>
    <t>DIFERENCIA POR SERVICIO DE COMPRESIÓN 15 AL 31 DE OCTUBRE 2023</t>
  </si>
  <si>
    <t>APLICA A 4892</t>
  </si>
  <si>
    <t>DIFERENCIA POR ENTREGA DE MOLÉCULA 15 AL 31 DE OCTUBRE 2023</t>
  </si>
  <si>
    <t>APLICA A 4895</t>
  </si>
  <si>
    <t>DIFERENCIA POR ENTREGA DE MOLÉCULA 01 AL 14 DE DICIEMBRE 2023</t>
  </si>
  <si>
    <t>APLICA A A5064</t>
  </si>
  <si>
    <t>DIFERENCIA POR ENTREGA DE MOLÉCULA 15 AL 31 DE DICIEMBRE 2023</t>
  </si>
  <si>
    <t>APLICA A A5116</t>
  </si>
  <si>
    <t>DUPLICADA</t>
  </si>
  <si>
    <t>APLICA A A5119</t>
  </si>
  <si>
    <t>DIFERENCIA POR ENTREGA DE MOLÉCULA 16 AL 31 DE DICIEMBRE 2023</t>
  </si>
  <si>
    <t>APLICA A A5120</t>
  </si>
  <si>
    <t>GDF SUEX MEXICO COMERCIALIZADORA</t>
  </si>
  <si>
    <t>DIFRENCIA POR ENTREGA DE SERVICIO 15 AL 31 DICIEMBRE 2023</t>
  </si>
  <si>
    <t>APLICA A A5169</t>
  </si>
  <si>
    <t>DIFERENCIA POR ENTREGA DE MOLECULA 01 AL  07 DE ENERO 2024</t>
  </si>
  <si>
    <t>ORGANIKA</t>
  </si>
  <si>
    <t>APLICA A A5122</t>
  </si>
  <si>
    <t>ENTREGA DE MOLÉCULA GAS NATURAL EN SUS INSTALACIONES. AJUSTE POR ENTREGA DE MOLECULA NO APLICABLE GJ</t>
  </si>
  <si>
    <t>APLICA A A5114</t>
  </si>
  <si>
    <t>OXITENO</t>
  </si>
  <si>
    <t>DIFERENCIA POR ENTREGA DE MOLECULA 15 AL  31 DE DICEIMBRE 2023</t>
  </si>
  <si>
    <t>APLICA A A5095</t>
  </si>
  <si>
    <t>APLICA A A5096</t>
  </si>
  <si>
    <t>APLICA A A5185</t>
  </si>
  <si>
    <t>APLICA A A5186</t>
  </si>
  <si>
    <t>APLICA A A5269</t>
  </si>
  <si>
    <t>APLICA A A5270</t>
  </si>
  <si>
    <t>DIFERENCIA DE PREVISIÓN TOP DICIEMBRE 2023</t>
  </si>
  <si>
    <t>APLICA A A5291</t>
  </si>
  <si>
    <t>APLICA A A5284</t>
  </si>
  <si>
    <t>APLICA A A5474</t>
  </si>
  <si>
    <t>DIFERENCIA POR ENTREGA DE MOLÉCULA</t>
  </si>
  <si>
    <t>APLICA A A5419</t>
  </si>
  <si>
    <t>FUJITA</t>
  </si>
  <si>
    <t>APLICA A A5306</t>
  </si>
  <si>
    <t>MOLECULA DIFERENCIA POR ENTREGA DE MOLÉCULA</t>
  </si>
  <si>
    <t>APLICA A A5523</t>
  </si>
  <si>
    <t>cancelada error en uso de CFDI</t>
  </si>
  <si>
    <t>SERVICIO DIFERENCIA POR ENTREGA DE MOLÉCULA</t>
  </si>
  <si>
    <t>APLICA A A5524</t>
  </si>
  <si>
    <t>APLICA A A5575</t>
  </si>
  <si>
    <t>APLICA A A5576</t>
  </si>
  <si>
    <t>DIFERENCIA POR SERVICIO DE COMPRESIÓN</t>
  </si>
  <si>
    <t>APLICA A A5889</t>
  </si>
  <si>
    <t>APLICA A A5890</t>
  </si>
  <si>
    <t>ANACLETO-CASABLANCA</t>
  </si>
  <si>
    <t>APLICA A A5932</t>
  </si>
  <si>
    <t>cancelación, facturas originales fueron canceladas</t>
  </si>
  <si>
    <t>ANACLETO-CARDENAS</t>
  </si>
  <si>
    <t>APLICA A A5930</t>
  </si>
  <si>
    <t>APLICA A A5961</t>
  </si>
  <si>
    <t>APLICA A A5962</t>
  </si>
  <si>
    <t>DESCUENTO POR DIFERENCIA EN PRECIO DE MOLÉCULA.</t>
  </si>
  <si>
    <t>APLICA A A5392</t>
  </si>
  <si>
    <t>APLICA A A5402</t>
  </si>
  <si>
    <t>LOKALE SAUCITO</t>
  </si>
  <si>
    <t>APLICA A A6137</t>
  </si>
  <si>
    <t>APLICA A A6138</t>
  </si>
  <si>
    <t>APLICA A A5118</t>
  </si>
  <si>
    <t>LOKALE SAN FELIPE</t>
  </si>
  <si>
    <t>APLICA A A6194</t>
  </si>
  <si>
    <t>APLICA A A6195</t>
  </si>
  <si>
    <t>APLICA A A6250</t>
  </si>
  <si>
    <t>APLICA A A6251</t>
  </si>
  <si>
    <t>APLICA A A6303</t>
  </si>
  <si>
    <t>APLICA A A6304</t>
  </si>
  <si>
    <t>DIFERENCIA POR PRECIO DE MOLECULA</t>
  </si>
  <si>
    <t>HORTEBA</t>
  </si>
  <si>
    <t>APLICA A A5386</t>
  </si>
  <si>
    <t>APLICA A A6520</t>
  </si>
  <si>
    <t>APLICA A A6521</t>
  </si>
  <si>
    <t>APLICA A A6426</t>
  </si>
  <si>
    <t>TOTALES</t>
  </si>
  <si>
    <t>NC US$</t>
  </si>
  <si>
    <t>Estatus</t>
  </si>
  <si>
    <t>serv.compresion y transportacion gas natural dic</t>
  </si>
  <si>
    <t>USD</t>
  </si>
  <si>
    <t xml:space="preserve">serv.compresion y transportacion gas natural de enero </t>
  </si>
  <si>
    <t xml:space="preserve">serv.compresion y transportacion gas natural enero </t>
  </si>
  <si>
    <t>serv.compresion y transportacion gas natural de marzo 2015</t>
  </si>
  <si>
    <t xml:space="preserve">serv.de comprension y transportacion de gas natural abril 2015 diferencia en el consumo </t>
  </si>
  <si>
    <t xml:space="preserve">CItrofrut SA DE CV </t>
  </si>
  <si>
    <t xml:space="preserve">serv.de comprension y transportacion de gas natural mayo 2015 </t>
  </si>
  <si>
    <t>PAGADO</t>
  </si>
  <si>
    <t xml:space="preserve">servicio de compresion </t>
  </si>
  <si>
    <t xml:space="preserve">RENTA ARRENDAMIENTYO </t>
  </si>
  <si>
    <t xml:space="preserve">pagado </t>
  </si>
  <si>
    <t xml:space="preserve">SERVICIO INTERNET </t>
  </si>
  <si>
    <t>CQANCELADA</t>
  </si>
  <si>
    <t>TAKE OR PAY 2018</t>
  </si>
  <si>
    <t>DIFERENCIA DE SERVICIO DE GNC 223 GJ</t>
  </si>
  <si>
    <t>NOTA DE CREDITO PARA CANCELAR EL SALDO DE LA FACTURA A 0105 Y QUE ES SISTITUIDA POR LA FACTURA A0218</t>
  </si>
  <si>
    <t>SERVICIO DE COMPRESION 15 AL 30 NOVIEMBRE 2019</t>
  </si>
  <si>
    <t xml:space="preserve">SERVICIO DE COMPRESION, SUMINISTRO Y DESCOMPRENSION DE GAS NATURAL </t>
  </si>
  <si>
    <t>CANCELADA POR ERROR EN MONEDA</t>
  </si>
  <si>
    <t>DIFERENCIA POR SERVICIO DE COMPRESION 1 AL 14 SEPTIEMBRE 2020</t>
  </si>
  <si>
    <t>APLICADO A FACTURA A1115</t>
  </si>
  <si>
    <t>DIFERENCIA POR CARGO MAL APLICADO</t>
  </si>
  <si>
    <t>AJUSTE POR INSTALACIONES ELECTRICAS (PARARRAYOS) EN LA ESTACION DE DESCOMPRESION</t>
  </si>
  <si>
    <t>CHINAMPA</t>
  </si>
  <si>
    <t>DIFERENCIA POR SERVICIO DE COMPRESION, SUMINISTRO Y DESCOMPRESION DE GAS NATURA, DEL DIA 6 DE SEPTIEMBRE 2020</t>
  </si>
  <si>
    <t>DIFERENCIA POR 4SERVICIO DE COMPRESION, SUMINISTRO Y DESCOMPRESION DE GAS NATURAL. CONSUMO MINIMO</t>
  </si>
  <si>
    <t>CANCELACION DE CARGO POR ACUERDO DE RODRIGO CELAYETA CON EDUARDO ESPINO A FACTURA A0548</t>
  </si>
  <si>
    <t>LOKALE</t>
  </si>
  <si>
    <t>APLICADO A A0548</t>
  </si>
  <si>
    <t>CANCELACION DE CARGO POR ACUERDO DE RODRIGO CELAYETA CON EDUARDO ESPINO A FACTURA A1291</t>
  </si>
  <si>
    <t>APLICADO A1291</t>
  </si>
  <si>
    <t>CANCELACION DE CARGO POR ACUERDO DE RODRIGO CELAYETA CON EDUARDO ESPINO A FACTURA A1292</t>
  </si>
  <si>
    <t>APLICADO A1292</t>
  </si>
  <si>
    <t>NUCOR</t>
  </si>
  <si>
    <t>DIFERENCIA EN VOLUMEN EN EL TOP DE SEPTIEMBRE 31.90 GJ, OCTUBRE</t>
  </si>
  <si>
    <t>APLICADO A1418</t>
  </si>
  <si>
    <t>COSTO ADICIONAL POR SERVICIO DE GN (TRASPORTE EN RUTA ALTERNA POR FUERZA MAYOR)</t>
  </si>
  <si>
    <t>APLICADO A FACTURA A1289</t>
  </si>
  <si>
    <t>DIFERENCIA POR SERVICIO DE COMPRESION, SUMINISTRO Y DESCOMPRESION DE GAS NATURAL</t>
  </si>
  <si>
    <t>AVIMARCA FABRIC</t>
  </si>
  <si>
    <t>AGUILARES SPR DE RL</t>
  </si>
  <si>
    <t>DIFERENCIA POR TARIFA DE ENTREGA DE MOLÉCULA DE GAS NATURAL EN SUS INSTALACIONES</t>
  </si>
  <si>
    <t>NFF SOUTH MEXICO SA DE CV</t>
  </si>
  <si>
    <t>ENTREGA DE MOLÉCULA GAS NATURAL EN SUS INSTALACIONES NC APLICA FACTURA A2545</t>
  </si>
  <si>
    <t>SE SOLICITA CANCELACION POR MONTO DIFERENTE A FACTURA 2545</t>
  </si>
  <si>
    <t>DIFERENCIA POR SERVICIO DE COMPRESION DE GAS NATURAL 412.05.46 MMBTU</t>
  </si>
  <si>
    <t>COMSUSTENTA VILA</t>
  </si>
  <si>
    <t>APLICA A FACTURA A 2511</t>
  </si>
  <si>
    <t>DIFERENCIA POR SERVICIO DE COMPRESION DE GAS NATURAL 242.34 MMBTU.</t>
  </si>
  <si>
    <t>APLICA A FACTURA A 2590</t>
  </si>
  <si>
    <t>ENTREGA DE MOLECULA 1 AL 14 DIC 2021</t>
  </si>
  <si>
    <t>APLICA F2545</t>
  </si>
  <si>
    <t>SERVICIO DE COMPRESION 1 AL 14 FEBRERO 2022 DIFERENCIA SERVICIO</t>
  </si>
  <si>
    <t>Usd</t>
  </si>
  <si>
    <t>APLICA A FACTURA A2755</t>
  </si>
  <si>
    <t>DIFERENCIA POR SERVICIO DE COMPRESIÓN 1 AL 14 MARZO 2022</t>
  </si>
  <si>
    <t>APLICA A F:A2857</t>
  </si>
  <si>
    <t>SERVICIO COMPRESIÓN 1 AL 15 ABRIL 2022</t>
  </si>
  <si>
    <t>APLICA A F:2948</t>
  </si>
  <si>
    <t>SERVICIO DE COMPRESIÓN DIFERENCIA POR MALA CALIDAD DE GAS</t>
  </si>
  <si>
    <t>APLICA F3131</t>
  </si>
  <si>
    <t>DIFERENCIA POR SERVICIO DE COMPRESIÓN 15 AL 31 JULIO 2022</t>
  </si>
  <si>
    <t>APLICA F 3240</t>
  </si>
  <si>
    <t>DIFERENCIA POR SERVICIO DE COMPRESIÓN 1 AL 31 MARZO 2022</t>
  </si>
  <si>
    <t>APLIC A 3131</t>
  </si>
  <si>
    <t>DIFERENCIA POR SERVICIO DE COMPRESIÓN 1 AL 30 JUNIO 2022</t>
  </si>
  <si>
    <t>APLICA A 3166</t>
  </si>
  <si>
    <t>GREEN HOUSE ORGANIKA</t>
  </si>
  <si>
    <t>DIFERENCIA POR SERVICIO COMPRESIÓN 10 AL 16 OCTUBRE 2022</t>
  </si>
  <si>
    <t>APLICA A F:3480</t>
  </si>
  <si>
    <t>SE SOLICITA POR AJUSTE DE VOLUMEN ESTIMADO VS REAL</t>
  </si>
  <si>
    <t>AJUSTE POR DIFERENCIA 7 OCT</t>
  </si>
  <si>
    <t xml:space="preserve">APLICA F </t>
  </si>
  <si>
    <t>DIFERENCIA POR SERVICIO DE COMPRESIÓN 1 AL 14 NOVIEMBRE 2022</t>
  </si>
  <si>
    <t>APLICA 3555</t>
  </si>
  <si>
    <t>SE SOLICITA POR ERROR EN ESTIMACIÓN DE CONSUMO POR PARTE DE LOGISTICA</t>
  </si>
  <si>
    <t>DIFERENCIA CARGO POR CAPACIDAD RESERVADA</t>
  </si>
  <si>
    <t>APLICA 3593</t>
  </si>
  <si>
    <t>SE SOLICITA POR ERROR EN CONFIRMACIÓN POR PARTE DE GERENCIA COMERCIAL</t>
  </si>
  <si>
    <t>DIFERENCIA POR SERVICIO DE COMPRESIPON</t>
  </si>
  <si>
    <t>APLICA 3598</t>
  </si>
  <si>
    <t xml:space="preserve">SE SOLICITA POR ENCONTRAR UN ERROR EN FORMILACIÓN </t>
  </si>
  <si>
    <t xml:space="preserve">DIFERENCIA DE VOLUMEN POR VOLUMEN MAL REPORTADO </t>
  </si>
  <si>
    <t>APLICA 3606</t>
  </si>
  <si>
    <t>SE SOLICITA POR DIFERENCIA DE VOLUMEN REPORTADO POR LOGISTICA</t>
  </si>
  <si>
    <t>DIFERENCIA POR SERVICIO DE COMPRESIÓN ESTIMADO 1 AL 14 DICIEMBRE 2022</t>
  </si>
  <si>
    <t>APLICA 3720</t>
  </si>
  <si>
    <t>SE SOLICITA POR AJUSTE DE FACTURA ESTIMADA POR CIERRE DE AÑO FISCAL</t>
  </si>
  <si>
    <t>aplica 3727</t>
  </si>
  <si>
    <t>DIFERENCIA POR SERVICIO DE COMPRESIÓN 15 AL 31 DICIEMBRE 2022</t>
  </si>
  <si>
    <t>APLICA 3726</t>
  </si>
  <si>
    <t>APLICA 3719</t>
  </si>
  <si>
    <t>APLICA 3718</t>
  </si>
  <si>
    <t>DIFERENCIA POR SERVICIO DE COMPRESIÓN 1 AL 14 ENERO 2023</t>
  </si>
  <si>
    <t>APLICA 3779</t>
  </si>
  <si>
    <t>NEOCOMSUSTENTA</t>
  </si>
  <si>
    <t>DIFERENCIA POR TARIFA DE SERVICIO 15 NOVIEMBRE AL 31 DICIEMBRE 2022</t>
  </si>
  <si>
    <t>APLICA 3746</t>
  </si>
  <si>
    <t>DIFERENCIA POR TARIFA DE SERVICIO 1 AL 14 ENERO 2023</t>
  </si>
  <si>
    <t>APLICA 3809</t>
  </si>
  <si>
    <t>DIFERENCIA POR AJUSTE TARIFA FUEL 1 - 4</t>
  </si>
  <si>
    <t>APLICA 3896</t>
  </si>
  <si>
    <t>SE SOLICITA POR AJUSTE TARIFA FUEL</t>
  </si>
  <si>
    <t>DIFERENCIA POR AJUSTE TARIFA FUEL 2- 4</t>
  </si>
  <si>
    <t>APLICA 347</t>
  </si>
  <si>
    <t>DIFERENCIA POR AJUSTE TARIFA FUEL 3- 4</t>
  </si>
  <si>
    <t>APLCA 3997</t>
  </si>
  <si>
    <t>DIFERENCIA POR AJUSTE TARIFA FUEL 4- 4</t>
  </si>
  <si>
    <t>APLICA 4052</t>
  </si>
  <si>
    <t>APLICA 4136</t>
  </si>
  <si>
    <t>APLICA 4138</t>
  </si>
  <si>
    <t>APLICA 4140</t>
  </si>
  <si>
    <t>APLICA 4148</t>
  </si>
  <si>
    <t>SÍLICE</t>
  </si>
  <si>
    <t>APLICA 4146</t>
  </si>
  <si>
    <t>APLICA 4204</t>
  </si>
  <si>
    <t>DIFERENCIA POR SERVICIO COMPRESIÓN REPORTADO POR LOGISTICA</t>
  </si>
  <si>
    <t>APLICA 4226</t>
  </si>
  <si>
    <t>APLICA 4275</t>
  </si>
  <si>
    <t>APLICA 4398</t>
  </si>
  <si>
    <t>DIFERENCIA POR SERVICIO COMPRESIÓN REPORTADO POR LOGISTICA 15 AL 31 JULIO 2023</t>
  </si>
  <si>
    <t>APLICA 4486</t>
  </si>
  <si>
    <t>DIFERENCIA POR CARGO POR CAPACIDAD</t>
  </si>
  <si>
    <t>APLICA 4755</t>
  </si>
  <si>
    <t>ESTA NC SE REALIZA YA QUE NO SE ENTRGÓ CONTENEDOR A TIEMPO</t>
  </si>
  <si>
    <t>DIFERENCIA POR SERVICIO DE COMPRESIÓN 15 AL 31 DE OCTUBRE DE 2023</t>
  </si>
  <si>
    <t>APLICA A A4896</t>
  </si>
  <si>
    <t>DIFERENCIA POR AJUSTE DE SERVICIO DE COMPRESIÓN JULIO-NOVIEMBRE 2023</t>
  </si>
  <si>
    <t>APLICA A A4988</t>
  </si>
  <si>
    <t>HARD REPAIR KIT FOR 329753 (621578,210870,621560)</t>
  </si>
  <si>
    <t>APLICA A A4936</t>
  </si>
  <si>
    <t>DIFRENCIA POR ENTREGA DE SERVICIO 01 AL 07 ENERO 2024</t>
  </si>
  <si>
    <t>APLICA A A5123</t>
  </si>
  <si>
    <t>APLICA A A5115</t>
  </si>
  <si>
    <t>DIFERENCIA POR ENTREGA DE SERVICIO  15 AL 31 NOVIEMBRE 2023</t>
  </si>
  <si>
    <t>DIFERENCIA POR ENTREGA DE MOLECULA 01 AL  14 DE DICEIMBRE 2023</t>
  </si>
  <si>
    <t>DIFERENCIA POR ENTREGA DE SERVICIO  15 AL 31 DICIEMBRE 2023</t>
  </si>
  <si>
    <t>APLICA A A5183</t>
  </si>
  <si>
    <t>APLICA A A5184</t>
  </si>
  <si>
    <t>DESCUENTO SOBRE TOP</t>
  </si>
  <si>
    <t>APLICA A A6283</t>
  </si>
  <si>
    <t>NEGOCIACIÓN DEL PAGO TOP POR PARTE DEL CLIENTE</t>
  </si>
  <si>
    <t>APLICA A A6284</t>
  </si>
  <si>
    <t>DIFERENCIA POR ENTREGA DE SERVICIO 01 AL 14 DE MARZO 2025</t>
  </si>
  <si>
    <t>APLICA A A6731</t>
  </si>
  <si>
    <t xml:space="preserve">GDF SUEZ COMERCIALIZADORA S DE RL </t>
  </si>
  <si>
    <t xml:space="preserve">cancelada </t>
  </si>
  <si>
    <t>SE APLICA A FACTURA 2590</t>
  </si>
  <si>
    <t>Factura</t>
  </si>
  <si>
    <t>Abono</t>
  </si>
  <si>
    <t>NC</t>
  </si>
  <si>
    <t>Monto NC</t>
  </si>
  <si>
    <t>Saldo factura</t>
  </si>
  <si>
    <t xml:space="preserve">Fecha de pago </t>
  </si>
  <si>
    <t>Vencimiento</t>
  </si>
  <si>
    <t>Vencidos</t>
  </si>
  <si>
    <t xml:space="preserve">Comentarios </t>
  </si>
  <si>
    <t>COMPLEMENTO</t>
  </si>
  <si>
    <t>Al Corriente</t>
  </si>
  <si>
    <t>1 A 15</t>
  </si>
  <si>
    <t>16 AL 30</t>
  </si>
  <si>
    <t>31 A 45</t>
  </si>
  <si>
    <t>46 A 60</t>
  </si>
  <si>
    <t>61 A 90</t>
  </si>
  <si>
    <t>MAS DE 91</t>
  </si>
  <si>
    <t>AGROMAIZZA</t>
  </si>
  <si>
    <t xml:space="preserve">SERVICIO DE BACK UP </t>
  </si>
  <si>
    <t>ENP</t>
  </si>
  <si>
    <t xml:space="preserve">SERVICIO DE MOLECULA </t>
  </si>
  <si>
    <t xml:space="preserve">HORTICOLA CIMARRON </t>
  </si>
  <si>
    <t xml:space="preserve">CIMARRON </t>
  </si>
  <si>
    <t xml:space="preserve">GRUMA </t>
  </si>
  <si>
    <t>CITROFRUT</t>
  </si>
  <si>
    <t>SAN MIGUEL RED SUN FARMS, S.P.R. DE R.L DE C.V</t>
  </si>
  <si>
    <t>RED SUN</t>
  </si>
  <si>
    <t xml:space="preserve">Pronal </t>
  </si>
  <si>
    <t>ENTREGA DE MOLECULA 1 AL 14 DE ENERO 2018</t>
  </si>
  <si>
    <t xml:space="preserve">SERVICIO DE COMPRESION </t>
  </si>
  <si>
    <t>GDF</t>
  </si>
  <si>
    <t>CORPORACION CH4</t>
  </si>
  <si>
    <t xml:space="preserve">RENTA DE EQUIPO DE TRANSPORTE </t>
  </si>
  <si>
    <t>CH4</t>
  </si>
  <si>
    <t xml:space="preserve">ENTREGa de MOLECULA </t>
  </si>
  <si>
    <t>ENTREGA DE MOLECULA 1 AL 14 FEBRERO 2022</t>
  </si>
  <si>
    <t>Mxn</t>
  </si>
  <si>
    <t>AVIMARCA PROCE</t>
  </si>
  <si>
    <t>ENTREGA DE MOLECULA 16 AL 28 FEBRERO 2022 DIFERENCIA POR ENTREGA</t>
  </si>
  <si>
    <t>aplica NC 196</t>
  </si>
  <si>
    <t xml:space="preserve">entrega de moleculas MMBtu gas natural en instalaciones proyeccion  enero </t>
  </si>
  <si>
    <t xml:space="preserve">entrega de moleculas MMBtu gas natural en instalaciones feb </t>
  </si>
  <si>
    <t xml:space="preserve">Serv.compresion,transporte sobre ruedas y descomprension/moleculas de gas natural en sus instalaciones </t>
  </si>
  <si>
    <t>LDM</t>
  </si>
  <si>
    <t xml:space="preserve">Serv.compresion,transporte sobre ruedas y descomprension/moleculas de gas natural en sus instalaciones 15 al 31 marzo </t>
  </si>
  <si>
    <t>entrega de moleculas MMBtu gas natural en instalaciones abril 2015</t>
  </si>
  <si>
    <t xml:space="preserve">Serv.compresion,transporte sobre ruedas y descomprension/moleculas de gas natural en sus instalaciones  cancelada 15 al 31 marzo </t>
  </si>
  <si>
    <t>Serv.compresion,transporte sobre ruedas y descomprension/moleculas de gas natural en sus instalaciones 16 al 31 de marzo (sustituye la fact 142)</t>
  </si>
  <si>
    <t>entrega de moleculas MMBtu gas natural en instalaciones mayo 2015</t>
  </si>
  <si>
    <t>ARRENDADORA ACTINVER, SA DE CV</t>
  </si>
  <si>
    <t>Módulo Titan IV</t>
  </si>
  <si>
    <t>ACTINVER</t>
  </si>
  <si>
    <t>entrega de moleculas MMBtu gas natural en instalaciones junio 2015</t>
  </si>
  <si>
    <t>entrega de moleculas MMBtu gas natural en instalaciones junio 15</t>
  </si>
  <si>
    <t>IMERYS</t>
  </si>
  <si>
    <t xml:space="preserve">entrega de moleculas MMBtu gas natural en instalaciones 16 al 31 junio </t>
  </si>
  <si>
    <t>??????????</t>
  </si>
  <si>
    <t xml:space="preserve">IMERYS </t>
  </si>
  <si>
    <t xml:space="preserve">CITROFRUT </t>
  </si>
  <si>
    <t xml:space="preserve">CATO </t>
  </si>
  <si>
    <t>ENTREGA DE MOLÉCULA MMBTU GAS NATURAL EN SUS INSTALACIONES</t>
  </si>
  <si>
    <t xml:space="preserve">Entrega de molecula  mmbtu gas natural en sus instalaciones deposito en garantia </t>
  </si>
  <si>
    <t>29-02</t>
  </si>
  <si>
    <t xml:space="preserve">LDM </t>
  </si>
  <si>
    <t>serv.comprension y transportacion de gas natural 2qagosto  2015</t>
  </si>
  <si>
    <t xml:space="preserve">TAKE OR PAY  MARZO </t>
  </si>
  <si>
    <t>-</t>
  </si>
  <si>
    <t>se refacturo con 381</t>
  </si>
  <si>
    <t>se refacturro con 383</t>
  </si>
  <si>
    <t xml:space="preserve">CANCELADO </t>
  </si>
  <si>
    <t>se refacturo con 382</t>
  </si>
  <si>
    <t>SE REFACTURO EN LUGAR DE 415</t>
  </si>
  <si>
    <t>re refacturo con 427</t>
  </si>
  <si>
    <t>se refacturo con 428</t>
  </si>
  <si>
    <t>se refacturo con 429</t>
  </si>
  <si>
    <t xml:space="preserve">falta una factura de agosto </t>
  </si>
  <si>
    <t>se refacturo con 450</t>
  </si>
  <si>
    <t xml:space="preserve">take or pay agosto </t>
  </si>
  <si>
    <t>ENTREGA DE MOLÉCULA GIGAJOULE GAS NATURAL EN SUS INSTALACIONES</t>
  </si>
  <si>
    <t xml:space="preserve">Fletera de liquidos </t>
  </si>
  <si>
    <t>Chassis Remolque Cheetah</t>
  </si>
  <si>
    <t xml:space="preserve">GAAL </t>
  </si>
  <si>
    <t xml:space="preserve">RED SUN </t>
  </si>
  <si>
    <t>ANGELUS LEASING</t>
  </si>
  <si>
    <t>Contenedor LCIU 050678 3</t>
  </si>
  <si>
    <t>ANGELUS</t>
  </si>
  <si>
    <t>SERVICIOS DE ADMINISTRACION DE PROYECTOS POR LOS MESES OCTUBRE,NOVIEMBRE Y</t>
  </si>
  <si>
    <t xml:space="preserve">se tenia que era 627, pero esa factura es de gruma </t>
  </si>
  <si>
    <t>fueron pagadas el 09 de febrero y se refacturaron con 648,649 y 650</t>
  </si>
  <si>
    <t>SERVICIO DE PERSONAL EN INSTALACIONES DE DESCOMPRESION DE GAS</t>
  </si>
  <si>
    <t>SERVICIO DE COMPRESION, SUMINISTRO</t>
  </si>
  <si>
    <t>ch4</t>
  </si>
  <si>
    <t xml:space="preserve">CH4 </t>
  </si>
  <si>
    <t>ADMINISTRATIVOS ENERO- ABRIL 2017</t>
  </si>
  <si>
    <t>PAGADO /CANCELADO</t>
  </si>
  <si>
    <t xml:space="preserve">REEMBOLSO DE GASTOS </t>
  </si>
  <si>
    <t xml:space="preserve">ISTEMA DE DESCOMPRESION </t>
  </si>
  <si>
    <t xml:space="preserve">Renta de 3 equipos </t>
  </si>
  <si>
    <t xml:space="preserve">Renta 3 equipos </t>
  </si>
  <si>
    <t>SERVICIO DE COMPRESION, SUMINISTRO Y DESCOMPRENSION DE GAS</t>
  </si>
  <si>
    <t>ENTREGA DE MOLÉCULA</t>
  </si>
  <si>
    <t>DE EQUIPO DE TRANSPORTE DE GAS NATURAL COMPRIMIDO MARCA HEXAGON LINCOLN MODELO TITAN IV DEL 15 DE JULIO AL 14 DE AGOSTO DE 2017</t>
  </si>
  <si>
    <t>DE EQUIPO DE TRANSPORTE DE GAS NATURAL COMPRIMIDO MARCA HEXAGO LINCOLN MODELO TITAN IV DEL 15 DE AGOSTO AL 14 DE SEPTIEMBRE DE 2017.</t>
  </si>
  <si>
    <t>SISTEMA DE DESCOMPRESION 2</t>
  </si>
  <si>
    <t>SERVICIOS DE LOGISTICA, RELACIONADOS CON LA SESION DE DERECHOS DEL CONTRATO</t>
  </si>
  <si>
    <t xml:space="preserve">esto lo pago incompleto </t>
  </si>
  <si>
    <t>RENTA DE EQUIPO DE TRANSPORTE DE GAS NATURAL COMPRIMIDO MARCA HEXAGON 01 DE AGOSTO AL 31 DE AGOSTO</t>
  </si>
  <si>
    <t>RENTA DE EQUIPO DE TRANSPORTE DE GAS NATURAL COMPRIMIDO MARCA HEXAGON 15 DE JULIO AL 31 DE JULIO DE 2017</t>
  </si>
  <si>
    <t>RENTA DE EQUIPO DE TRANSPORTE DE GAS NATURAL COMPRIMIDO MARCA HEXAGON 01 DE SEPTIEMBRE AL 30 DE SEPTIEMBRE</t>
  </si>
  <si>
    <t xml:space="preserve">OBRAS CIVILES </t>
  </si>
  <si>
    <t>CON NOTA DE CREDITO 24</t>
  </si>
  <si>
    <t>SERVICIO DE BACK UP DE 27935.23 MMBTU</t>
  </si>
  <si>
    <t xml:space="preserve">serv.comprension y transportacion de gas natural </t>
  </si>
  <si>
    <t>SERVICIO DE CARBURACION DE CALDERA Y EQUIPO DESHIDRATADOR</t>
  </si>
  <si>
    <t xml:space="preserve"> ENTREGA DE MOLÉCULA GIGAJOULE GAS NATURAL EN  SUS INSTALACIONES </t>
  </si>
  <si>
    <t>RENTA DE EQUIPO DE 01 OCTUBRE AL 31 DE OCTUBRE 2017</t>
  </si>
  <si>
    <t xml:space="preserve">ENTREGA DE MOLECULA MMBTU GAS NATURAL EN SUS INSTALACIONES </t>
  </si>
  <si>
    <t xml:space="preserve">PERC </t>
  </si>
  <si>
    <t>ADMINISTRATIVOS Y DE PROJECT MANAGMENT</t>
  </si>
  <si>
    <t xml:space="preserve">ENTREGA DE MOLÉCULA </t>
  </si>
  <si>
    <t xml:space="preserve">ENTREGA DE MOLÉCULA MMBTU GAS NATURAL EN  SUS INSTALACIONES </t>
  </si>
  <si>
    <t>ENTREGA DE MOLECULA MMBtu GAS NATURAL EN SUS INSTALACIONES.</t>
  </si>
  <si>
    <t xml:space="preserve">ENTREGA DE MOLÉCULA MMBTU GAS NATURAL EN  SUS INSTALACIONES  </t>
  </si>
  <si>
    <t>ENTREGA DE MOLÉCULA GIGAJOULE GAS NATURAL EN  SUS INSTALACIONE</t>
  </si>
  <si>
    <t xml:space="preserve">RENTA DE EQUIPO DE TRANSPORTE DE GAS NATURAL COMPRIMIDO MARCA HEXAGON NOVIEMBRE </t>
  </si>
  <si>
    <t xml:space="preserve">ENTREGA DE MOLECULAS </t>
  </si>
  <si>
    <t xml:space="preserve">CORPORACION CH4 </t>
  </si>
  <si>
    <t>RENTA DE EQUIPO DICIEMBRE 2017</t>
  </si>
  <si>
    <t xml:space="preserve">ENTREGA DE MOLÉCULA GIGAJOULE GAS </t>
  </si>
  <si>
    <t xml:space="preserve"> TIEMPO EXTRA,DOMINGOS Y FESTIVOS LABORADOS SUBCONTRATISTA </t>
  </si>
  <si>
    <t>BMW</t>
  </si>
  <si>
    <t xml:space="preserve">TIEMPO EXTRA,DOMINGO Y FESTIVOS LABORADOS PERSONAL OPERATIVO Y SSAV VPM </t>
  </si>
  <si>
    <t xml:space="preserve"> RENTA DE GRUAS,MOTOCONFORMADORAS,VIBROCOMPACTADOR Y MAQUINA PAVIMENTADORA FINISHER DENTRO DE PLANTA BMW </t>
  </si>
  <si>
    <t xml:space="preserve">SERVICIO BACK UP </t>
  </si>
  <si>
    <t xml:space="preserve">ENTREGA DE MOLECULA Y SERVICIO </t>
  </si>
  <si>
    <t>ARRENDAMIENTO ENERO 2018</t>
  </si>
  <si>
    <t xml:space="preserve">GRUPO AVIMARCA </t>
  </si>
  <si>
    <t xml:space="preserve">ENTEGA DE MOLECULA FABRICACION </t>
  </si>
  <si>
    <t xml:space="preserve">ENTREGA DE MOLECULA PROCESADORA </t>
  </si>
  <si>
    <t xml:space="preserve">ARRENDAMIENTO FEBRERO </t>
  </si>
  <si>
    <t xml:space="preserve">ENTREGA DE MOLECUA </t>
  </si>
  <si>
    <t xml:space="preserve">ARRENDAMIENTO MARZO </t>
  </si>
  <si>
    <t>PRONAL</t>
  </si>
  <si>
    <t xml:space="preserve">AVIMARCA FABRICACION </t>
  </si>
  <si>
    <t>*</t>
  </si>
  <si>
    <t xml:space="preserve">ARRENDAMIENTO ABRIL </t>
  </si>
  <si>
    <t xml:space="preserve">PRUEBA 15 DE MARZO AL 15 DE ABRIL </t>
  </si>
  <si>
    <t xml:space="preserve">ARRENDAMIENTO MAYO </t>
  </si>
  <si>
    <t xml:space="preserve">SERVICIO TIEMPO EXTRA ,DOMINGOS </t>
  </si>
  <si>
    <t xml:space="preserve">RENTA DE GRUAS </t>
  </si>
  <si>
    <t>SERVICIO DE ENTREGA DE MOLECULA</t>
  </si>
  <si>
    <t xml:space="preserve">TAKE OR PAY POR NABILE </t>
  </si>
  <si>
    <t>SERVICIO DE PRUEBA transporte del 15 de abril a 21 de mayo 2018</t>
  </si>
  <si>
    <t xml:space="preserve">nabile me aplyara en enviar informacion de esta factura ya que erika me pide respaldo y no tengo ninguno </t>
  </si>
  <si>
    <t xml:space="preserve">EMPAQUES NOVA </t>
  </si>
  <si>
    <t xml:space="preserve">NOVA </t>
  </si>
  <si>
    <t xml:space="preserve">CORPORATIVO CH4 </t>
  </si>
  <si>
    <t xml:space="preserve">ARRENDAMIENTO JUNIO </t>
  </si>
  <si>
    <t>se aplica lo de la factura 1125</t>
  </si>
  <si>
    <t xml:space="preserve">TAKE OR PAY NABILE </t>
  </si>
  <si>
    <t xml:space="preserve">ARRENDAMIENTO JULIO </t>
  </si>
  <si>
    <t>EGS TRUCKS S.A DE C.V.</t>
  </si>
  <si>
    <t xml:space="preserve">MOLECULA </t>
  </si>
  <si>
    <t>EGS</t>
  </si>
  <si>
    <t>ENTREGA DE MOLECULA /REFACTURACION FOLIO 783</t>
  </si>
  <si>
    <t xml:space="preserve">SERVICIO PRUEBA 16 ABRIL AL 14 DE MAYO </t>
  </si>
  <si>
    <t xml:space="preserve">SERVICIO PRUEBA 15 DE MAYO AL 14 DE JUNIO </t>
  </si>
  <si>
    <t xml:space="preserve">SERVICIO DE PRUEBA 15 DE JUNIO  AL 14 DE JULIO </t>
  </si>
  <si>
    <t xml:space="preserve">mxn </t>
  </si>
  <si>
    <t>SERVICIO DE PRUEBA DEL 15 DE JULIO AL 14 DE AGOSTO</t>
  </si>
  <si>
    <t>SERVICIO DE PRUEBA DEL 15 DE AGOSTO AL 15 DE SEPTIEMBRE</t>
  </si>
  <si>
    <t xml:space="preserve">NOTA DE CREDITO </t>
  </si>
  <si>
    <t>SERVICIO DE PRUEBA DEL 15 DE AGOSTO AL 14 DE SEPTIEMBRE (NOVA)</t>
  </si>
  <si>
    <t>ADMINISTRATIVOS DEL 15 AL 30 DE SEPTIEMBRE 2018</t>
  </si>
  <si>
    <t>ADMINISTRATIVOS DEL 01 AL 31 DE OCTUBRE DE 2018</t>
  </si>
  <si>
    <t>ADMINISTRATIVOS DEL 01 AL 08 DE NOVIEMBRE DE 2018</t>
  </si>
  <si>
    <t>ADMINISTRATIVOS DEL 09 AL 30 DE NOVIEMBRE DE 2018</t>
  </si>
  <si>
    <t>DE PRUEBA DEL 15 DE SEPTIEMBRE AL 14 DE OCTUBRE</t>
  </si>
  <si>
    <t>DE PRUEBA DEL 15 DE SEPTIEMBRE AL 14 DE OCTUBRE (NOVA)</t>
  </si>
  <si>
    <t>ENTREGA DE MOLECULA</t>
  </si>
  <si>
    <t xml:space="preserve">GREEN VALLEY </t>
  </si>
  <si>
    <t xml:space="preserve">ISRAEL PIDIO CANCELACION </t>
  </si>
  <si>
    <t xml:space="preserve">SE CAMBIO LOS MONTOS </t>
  </si>
  <si>
    <t xml:space="preserve">PERC CTM </t>
  </si>
  <si>
    <t>DE PRUEBA A TRANSPORTE DEL 14 DE AGOSTO AL 14 DE SEPTIEMBRE 2018</t>
  </si>
  <si>
    <t>DE PRUEBA DE TRANSPORTE DEL 14 DE AGOSTO AL 14 DE SEPTIEMBRE 2018 (NOVA)</t>
  </si>
  <si>
    <t>SE FACTURO 2 VECES POR ERROR</t>
  </si>
  <si>
    <t>DE TRANSPORTE Y DESCOMPRESION DEL 15 DE SEPTIEMBRE AL 14 DE OCTUBRE</t>
  </si>
  <si>
    <t>con nota de credito 51</t>
  </si>
  <si>
    <t>DE TRANSPORTE Y DESCOMPRESION 15 DE SEPTIEMBRE AL 14 DE OCTUBRE (NOVA)</t>
  </si>
  <si>
    <t>con nota de credito 52</t>
  </si>
  <si>
    <t>DINA CAMIONES S.A DE C.V.</t>
  </si>
  <si>
    <t>SUMINISTRO</t>
  </si>
  <si>
    <t xml:space="preserve">DINA </t>
  </si>
  <si>
    <t>SERVICIO ADMINISTRATIVOS DE NOVIEMBRE 2018</t>
  </si>
  <si>
    <t xml:space="preserve">HACIENDA FRESH </t>
  </si>
  <si>
    <t>GIS POWER</t>
  </si>
  <si>
    <t>TRANSPORTE DEL 15 DE OCTUBRE AL 14 DE NOVIEMBRE DE 2018.</t>
  </si>
  <si>
    <t>TRANSPORTE DEL 15 DE OCTUBRE AL 14 DE NOVIEMBRE 2018 (NOVA)</t>
  </si>
  <si>
    <t>SERVICIOS ADMINISTRATIVOS DE DICIEMBRE 2018</t>
  </si>
  <si>
    <t>PENDIENTE APLICACIÓN DE NOTA DE CREDITO, CANCELADO FECHA DE PAGO 31/01/2019 SE SUSTITUYE CPN FACTURA 1724</t>
  </si>
  <si>
    <t>HORTICOLA CIMARRON SA DE CV</t>
  </si>
  <si>
    <t>CIMARRON</t>
  </si>
  <si>
    <t xml:space="preserve">CIMAGAS </t>
  </si>
  <si>
    <t>APLICACIÓN NC55. SE CANCELA CON FECHA DE PAGO 28/02/2019 Y SE SUTITUYE CON FACTURA 1726</t>
  </si>
  <si>
    <t>SERVICIOS ADMINISTRATIVOS DE ENERO 2018</t>
  </si>
  <si>
    <t>ADMINISTRATIVOS DE ENERO 2019</t>
  </si>
  <si>
    <t>ENTREGA DE MOLECULA 15 AL 31 ENERO 2019</t>
  </si>
  <si>
    <t>SE CANCELA CON FECHA DE PAGO 25/02/2019 Y SE SUSTITUYE CON 1728</t>
  </si>
  <si>
    <t xml:space="preserve">DIFERENCIA POR TARIFA DE MOLECULA 1 AL 14 DE ENERO 2019 </t>
  </si>
  <si>
    <t>ENTREGA DE MOLECULA 1 AL 14 FEBRERO 2019</t>
  </si>
  <si>
    <t>ENTREGA DE MOLECULA Y SERVICIO 1 AL 14 FEBRERO 2019</t>
  </si>
  <si>
    <t>ENTREGA DE MOLECULA 1 AL 14 DE FEBRERO 2019</t>
  </si>
  <si>
    <t>SE CANCELA CON FECHA DE PAGO 28/02/2019 Y SE SUTITUYE CON 1730</t>
  </si>
  <si>
    <t>ENTREGA DE MOLECULA 01 AL 14 DE FEBRERO 2019</t>
  </si>
  <si>
    <t>OK</t>
  </si>
  <si>
    <t>GESTORIA POR PROYECTO DE GAS NATURAL COMPRIMIDO</t>
  </si>
  <si>
    <t>ENTREGA DE MOLECULA 15 AL 28 FEBRERO 2019</t>
  </si>
  <si>
    <t>PAGO CON COMPLEMENTO DE FACTURA 1556 LA CUAL TENIA UN NC APLICADA Y CANCELADA, SE CANCELA FACTURA Y SE SUSTITUYE CON FACTURA 1732 FECHA DE PAGO 27/03/2019</t>
  </si>
  <si>
    <t>ENTREGA DE MOLÉCULA 15 AL 28 FEBRERO 2019</t>
  </si>
  <si>
    <t>PAGO DE 200,000 A CUENTA 07/05/2019 PAGO E CMPLEMENTO 394,515.06 17/05/2019</t>
  </si>
  <si>
    <t>SERVICIO ADMINISTRATIVOS DE FEBRERO 2019</t>
  </si>
  <si>
    <t>SERVICIO DE TRANSPORTE DEL 15 DE NOV AL 31 DE DIC 2018 (AGROMAIZZA)</t>
  </si>
  <si>
    <t>SERVICIO DE TRANSPORTE DEL 15 DE NOV AL 31 DE DIC 2019 (NOVA)</t>
  </si>
  <si>
    <t>PAGO DE HOJA DE AYUDA POR REGISTRO DE DESCOPRESION PCC AIRFOILS</t>
  </si>
  <si>
    <t>SERVICIO DE TRANSPORTE Q DE ENERO AL 14 FEBRERO 2019</t>
  </si>
  <si>
    <t>ENP (AGROMAIZA)</t>
  </si>
  <si>
    <t>ENP (NOVA)</t>
  </si>
  <si>
    <t>ENTREGA DE MOLECULA 1 AL 14 MARZO 2019</t>
  </si>
  <si>
    <t>Se facturó a precio de GJ, facturar diferencia</t>
  </si>
  <si>
    <t>PERC SLP</t>
  </si>
  <si>
    <t>SE CANCELA Y SUSTITUYE POR 1735, FECHA DE PAGO 05/04/2019</t>
  </si>
  <si>
    <t>JOSE RICARDO HEREDIA CHAVEZ</t>
  </si>
  <si>
    <t>CAMIONETA NISSAN NP300 MODELO 2014</t>
  </si>
  <si>
    <t>RICARDO HEREDIA</t>
  </si>
  <si>
    <t>ENTREGA DE MOLECULA 15 AL 31 MARZO 2019</t>
  </si>
  <si>
    <t>DIFERENCIA POR TARIFA 1 AL 14 MARZO 2019</t>
  </si>
  <si>
    <t>TAKE OR PAY MARZO 2019</t>
  </si>
  <si>
    <t>SERVICIOS ADMINISTRATIVOS</t>
  </si>
  <si>
    <t>TRANSPORTE DEL 15 DE FEBRERO AL 31 DE MARZO 2019 AGROMAIZA</t>
  </si>
  <si>
    <t>TRANSPORTE DEL 15 DE FEBRERO AL 31 DE MARZO DE 2019. (NOVA)</t>
  </si>
  <si>
    <t>FACTURA QUE SUSTITUYE A LA 1556</t>
  </si>
  <si>
    <t>FACTURA QUE SUSTITUYE A LA 1580</t>
  </si>
  <si>
    <t>FACTURA QUE SUSTITUYE A LA 1613</t>
  </si>
  <si>
    <t>FACTURA QUE SUSTITUYE A LA 1623</t>
  </si>
  <si>
    <t>FACTURA QUE SUSTITUYE A LA 1650</t>
  </si>
  <si>
    <t>FACURA QUE SUSTITUYE A LA 1680</t>
  </si>
  <si>
    <t>FACTURA QUE SUSTITUYE A LA 1732</t>
  </si>
  <si>
    <t>FACURA QUE SUSTITUYE A LA 1680 y 1735</t>
  </si>
  <si>
    <t>ENTREGA D EMOLECULA 1 AL 14 ABRIL 2019</t>
  </si>
  <si>
    <t>ENTREGA DE MOLECULA Y SERVICIO 1 AL 14 ABRIL 2019</t>
  </si>
  <si>
    <t>ENTREGA DE MOLECULA 1 AL 14 ABRIL 2019</t>
  </si>
  <si>
    <t>´-</t>
  </si>
  <si>
    <t>TRANSPORTE DEL 15 DE FEBRERO AL 31 DE MARZO DE 2019. (AGROMAIZZA)</t>
  </si>
  <si>
    <t>ENTREGA DE MOLECULA 15 AL 30 ABRIL 2019</t>
  </si>
  <si>
    <t>ADMINISTRACION ENP</t>
  </si>
  <si>
    <t>ENTREGA DE MOLECULA 1 AL 14 AMAYO 2019</t>
  </si>
  <si>
    <t>ENTREGA DE MOLECULA 1 AL 14 MAYO 2019</t>
  </si>
  <si>
    <t>URBANO PUBLICIDAD EXTERIOR</t>
  </si>
  <si>
    <t>INTERESES</t>
  </si>
  <si>
    <t>URBANO</t>
  </si>
  <si>
    <t>SE CONCILIA ENTEE EMPRESAS DEL GRUPO</t>
  </si>
  <si>
    <t>ENTREGA DE MOLECULA 15 AL 31 MAYO 2019</t>
  </si>
  <si>
    <t>HDA FRESH</t>
  </si>
  <si>
    <t>ADMINISTRACION ENP MAYO 2019</t>
  </si>
  <si>
    <t>GANFER SOCIEDAD AGRICOLA SA DE CV</t>
  </si>
  <si>
    <t>ENTREGA DE MOLECUA 15 AL 31 MAYO 2019</t>
  </si>
  <si>
    <t>SE REFACTRO A FAVOR DE SAN JOSE Y SU AGRICULTURA</t>
  </si>
  <si>
    <t>TAKE OR PAY ABRIL 2019</t>
  </si>
  <si>
    <t>TAKE OR PAY MAYO 2019</t>
  </si>
  <si>
    <t>ENTREGA DE MOLECULA 1 AL 14 JUNIO 2019</t>
  </si>
  <si>
    <t>SE REFACTURO A FAVOR DE SAN JOSE Y SU AGRICULTURA</t>
  </si>
  <si>
    <t>AUTO LINEAS AMERICA</t>
  </si>
  <si>
    <t>ANTICIPO ENTREGA DE MOLECULA JUNIO 2019</t>
  </si>
  <si>
    <t>ALA Y LARMEX SLP</t>
  </si>
  <si>
    <t>ANTICIPO SERVICIO DE COMPRESION JUNIO 2019</t>
  </si>
  <si>
    <t>ENTREGA DE MOLECULA 15 AL 30 JUNIO 2019</t>
  </si>
  <si>
    <t>PAGO EN PESOS POR $200,516.28 QUE INCLUYEN FACTURAS 1853 MXN Y SALDO QUE SE APLICA A FACTURA 1854 USD $78,655.35 MXN</t>
  </si>
  <si>
    <t>TRANSPORTE DEL 01 DE ABRIL AL 30 DE ABRIL DE 2019. (NOVA)</t>
  </si>
  <si>
    <t>TRANSPORTE DEL 01 DE ABRIL AL 30 DE ABRIL DE 2019. (AGROMAIZZA)</t>
  </si>
  <si>
    <t>TRANSPORTE DEL 01 DE MAYO AL 30 DE MAYO DE 2019. (NOVA)</t>
  </si>
  <si>
    <t>TRANSPORTE DEL 01 DE MAYO AL 30 DE MAYO DE 2019. (AGROMAIZZA)</t>
  </si>
  <si>
    <t>FACTURA QUE SUSTITUYE A LA 1823</t>
  </si>
  <si>
    <t>ENREGA DE MOLECULA 1 AL 14 JUNIO 2019</t>
  </si>
  <si>
    <t>ENTREGA DE MOLECULA 1 AL 30 JUNIO 2019</t>
  </si>
  <si>
    <t>SERVICIO DE COMPRESION 1 AL 30 JUNIO 2019</t>
  </si>
  <si>
    <t>TRANSPORTES LAR MEX</t>
  </si>
  <si>
    <t>LAR MEX</t>
  </si>
  <si>
    <t>SERVICIO DE CMPRESION 1 AL 30 JUNIO 2019</t>
  </si>
  <si>
    <t>ENTREGA DE MOLECULA 1 AL 14 JULIO 2019</t>
  </si>
  <si>
    <t>AGRO PALM (OLEOSUR)</t>
  </si>
  <si>
    <t>SERVICIO DE COMPRESION 15 AL 30 JUNIO 2019</t>
  </si>
  <si>
    <t>SERVICIO DE COMPRESION 1 AL 14 JULIO 2019</t>
  </si>
  <si>
    <t>ADMINISTRACION ENP JUNIO 2019</t>
  </si>
  <si>
    <t>ENTREGA DE MOLECULA 15 AL 31 JULIO 2019</t>
  </si>
  <si>
    <t>ENTREGA DE MOLECULA Y SERVICIO DE GNC 15 AL 31 JULIO 2019</t>
  </si>
  <si>
    <t>SERVICIO DE COMPRESION 15 AL 31 JULIO 2019</t>
  </si>
  <si>
    <t>ERROR EN EL IMPORTE DE FACTURA</t>
  </si>
  <si>
    <t>FACTURA CANCELADA SE SUSTITUYE POR FACT 1930</t>
  </si>
  <si>
    <t>FACTURA CANCELADA SE SUSTITUYE POR FACT 1935</t>
  </si>
  <si>
    <t>ENTREGA DE MOLECULA EN m3 GAS NATURAL EN SUS INSTALACIONES</t>
  </si>
  <si>
    <t>TRANSPORTE DEL 01 DE JUNIO AL 30 DE JUNIO DE 2019. (NOVA)</t>
  </si>
  <si>
    <t>TRANSPORTE DEL 01 DE JUNIO AL 30 DE JUNIO DE 2019. (AGROMAIZZA)</t>
  </si>
  <si>
    <t>ADMINISTRATIVOS DE JULIO 2019</t>
  </si>
  <si>
    <t>TRANSPORTE DEL 01 DE JULIO AL 31 DE JULIO DE 2019. (NOVA)</t>
  </si>
  <si>
    <t>TRANSPORTE DEL 01 DE JULIO AL 31 DE JULIO DE 2019. (AGROMAIZZA)</t>
  </si>
  <si>
    <t>ENTREGA DE MOLECULA 15 A 31 JULIO 2019</t>
  </si>
  <si>
    <t>ENTREGA DE MOLECULA 1 AL 14 AGOSTO 2019</t>
  </si>
  <si>
    <t>ENTREGA DE MOLECULA Y SERVICIO DE COMPRESION 1 AL 14 AGOSTO 2019</t>
  </si>
  <si>
    <t>SERVICIO DE COMPRESION 1 AL 14 AGOSTO 2019</t>
  </si>
  <si>
    <t>DESBALANCE DE GAS NATURAL JULIO 2019</t>
  </si>
  <si>
    <t>TAKE OR PAY JULIO 2019</t>
  </si>
  <si>
    <t>ENTREGA DE MOLECULA 15 AL 31 AGOSTO 2019</t>
  </si>
  <si>
    <t>ENTREGA DE MOLECULA Y SERVICIO DE COMPRESION 15 AL 31 AGOSTO 2019</t>
  </si>
  <si>
    <t>SERVICIO DE COMPRESION 15 AL 31 AGOSTO 2019</t>
  </si>
  <si>
    <t>DFERENCIA DE TARIFA 1 AL 14 AGOSTO 2019</t>
  </si>
  <si>
    <t>ENTREGA DE MOLECULA 15 AL 31 GOSTO 2019</t>
  </si>
  <si>
    <t>SERVICIOS DE ADMINISTRACION AGOSTO 2019</t>
  </si>
  <si>
    <t>A0001</t>
  </si>
  <si>
    <t>A0003</t>
  </si>
  <si>
    <t>ENTREGA DE MOLECULA 1 AL 14 SEPTIEMBRE 2019</t>
  </si>
  <si>
    <t>A0004</t>
  </si>
  <si>
    <t>ENTREGA DE MOLECUAL 1 AL 14 SEPTIEMBRE 2019</t>
  </si>
  <si>
    <t>A0005</t>
  </si>
  <si>
    <t>A0007</t>
  </si>
  <si>
    <t>A0009</t>
  </si>
  <si>
    <t>A0011</t>
  </si>
  <si>
    <t>PAGO POR  $ 326,467.32 27/09/2019</t>
  </si>
  <si>
    <t>A0012</t>
  </si>
  <si>
    <t>SERVICIO DE COMPRESION 1 AL 14 SEPTIEMBRE 2019</t>
  </si>
  <si>
    <t>COMPLEMNATAN CON PAGO 30/09/2019 POR $30,000.04</t>
  </si>
  <si>
    <t>A0013</t>
  </si>
  <si>
    <t>A0015</t>
  </si>
  <si>
    <t>A0017</t>
  </si>
  <si>
    <t>A0018</t>
  </si>
  <si>
    <t>A0019</t>
  </si>
  <si>
    <t>A0020</t>
  </si>
  <si>
    <t>A0021</t>
  </si>
  <si>
    <t>A0022</t>
  </si>
  <si>
    <t>A0023</t>
  </si>
  <si>
    <t>DESBALANCE DE GAS NATURAL AGOSTO 2019</t>
  </si>
  <si>
    <t>A0024</t>
  </si>
  <si>
    <t>A0025</t>
  </si>
  <si>
    <t>A0026</t>
  </si>
  <si>
    <t>A0027</t>
  </si>
  <si>
    <t>A0038</t>
  </si>
  <si>
    <t>ENTREGA DE MOLECULA 15 AL 30 SEPTIEMBRE 2019</t>
  </si>
  <si>
    <t>A0040</t>
  </si>
  <si>
    <t>A0042</t>
  </si>
  <si>
    <t>ENTREGA DE MOLECULA Y SERVICIO DE COMPRESION 15 AL 30 SEPTIEMBRE 2019</t>
  </si>
  <si>
    <t>A0043</t>
  </si>
  <si>
    <t>SE RECIBA PAGO POR DIFERENCIA DE $6,286.50 EL 07/04/2020 PARA LAS FACTURAS 43 Y 44</t>
  </si>
  <si>
    <t>A0045</t>
  </si>
  <si>
    <t>A0047</t>
  </si>
  <si>
    <t>A0049</t>
  </si>
  <si>
    <t>A0051</t>
  </si>
  <si>
    <t>A0052</t>
  </si>
  <si>
    <t>SERVICIO DE COMPRESION 15 AL 30 SEPTIEMBRE 2019</t>
  </si>
  <si>
    <t>A0053</t>
  </si>
  <si>
    <t>A0055</t>
  </si>
  <si>
    <t>A0057</t>
  </si>
  <si>
    <t>A0058</t>
  </si>
  <si>
    <t>A0059</t>
  </si>
  <si>
    <t>ENTREGA DE MOLECULA 1 AL 14 OCTUBRE 2019</t>
  </si>
  <si>
    <t>A0061</t>
  </si>
  <si>
    <t>ENTREGA DE MOLECULA Y COMPRESION 1 AL 14 OCTUBRE 2019</t>
  </si>
  <si>
    <t>A0062</t>
  </si>
  <si>
    <t>A0064</t>
  </si>
  <si>
    <t>PAGO EN MXN POR $ 22,504.55 Y $140,653.43</t>
  </si>
  <si>
    <t>A0066</t>
  </si>
  <si>
    <t>A0068</t>
  </si>
  <si>
    <t>A0069</t>
  </si>
  <si>
    <t>SERVICIO DE COMPRESION 1 AL 14 OCTUBRE 2019</t>
  </si>
  <si>
    <t>A0070</t>
  </si>
  <si>
    <t>A0072</t>
  </si>
  <si>
    <t>A0073</t>
  </si>
  <si>
    <t>A0074</t>
  </si>
  <si>
    <t>A0076</t>
  </si>
  <si>
    <t>SERVICIOS DE ADMINISTRACION MAYO A SEPTIEMBRE 2019</t>
  </si>
  <si>
    <t>A0077</t>
  </si>
  <si>
    <t>SEFVICIOS ADMINISTRATIVOS ADMICIONALES MAYO A SEPTIEMBRE 2019</t>
  </si>
  <si>
    <t>A0083</t>
  </si>
  <si>
    <t>A0085</t>
  </si>
  <si>
    <t>DESBALANCE DE GAS NATURAL SEPTIEMBRE 2019</t>
  </si>
  <si>
    <t>A0086</t>
  </si>
  <si>
    <t>A0087</t>
  </si>
  <si>
    <t>A0088</t>
  </si>
  <si>
    <t>TRANSPORTE DEL 01 DE AGOSTO AL 31 DE AGOSTO DE 2019. (NOVA)</t>
  </si>
  <si>
    <t>A0089</t>
  </si>
  <si>
    <t>TRANSPORTE DEL 01 DE AGOSTO AL 31 DE AGOSTO DE 2019. (AGROMAIZZA)</t>
  </si>
  <si>
    <t>A0090</t>
  </si>
  <si>
    <t>TRANSPORTE DEL 01 DE AGOSTO AL 31 DE AGOSTO DE 2019. (PCC)</t>
  </si>
  <si>
    <t>PCC</t>
  </si>
  <si>
    <t>A0091</t>
  </si>
  <si>
    <t>TRANSPORTE DEL 01 DE SEPTIEMBRE AL 30 DE SEPTIEMBRE DE 2019. (NOVA)</t>
  </si>
  <si>
    <t>A0092</t>
  </si>
  <si>
    <t>TRANSPORTE DEL 01 DE SEPTIEMBRE AL 30 DE SEPTIEMBRE DE 2019. (AGROMAIZZA)</t>
  </si>
  <si>
    <t>A0093</t>
  </si>
  <si>
    <t>TRANSPORTE DEL 01 DE SEPTIEMBRE AL 30 DE SEPTIEMBRE DE 2019. (PCC)</t>
  </si>
  <si>
    <t>A0094</t>
  </si>
  <si>
    <t>ENTREGA DE MOLECULA 15 AL 31 OCTUBRE 2019</t>
  </si>
  <si>
    <t>A0096</t>
  </si>
  <si>
    <t>A0098</t>
  </si>
  <si>
    <t>ENTREGA DE MOLECULA Y SERVICIO DE COMPRESION 15 AL 31 OCTUBRE 2019</t>
  </si>
  <si>
    <t>A0099</t>
  </si>
  <si>
    <t>A0103</t>
  </si>
  <si>
    <t>SE CANCELA POR CORRECCION EN COMPLEMENTO Y SE SUSTITUYE POR FACTURA A0204</t>
  </si>
  <si>
    <t>A0106</t>
  </si>
  <si>
    <t>A0107</t>
  </si>
  <si>
    <t>SERVICIO DE COMPRESION 15 AL 31 OCTUBRE 2019</t>
  </si>
  <si>
    <t>A0108</t>
  </si>
  <si>
    <t>A0110</t>
  </si>
  <si>
    <t>A0112</t>
  </si>
  <si>
    <t>A0113</t>
  </si>
  <si>
    <t>A0114</t>
  </si>
  <si>
    <t>A0116</t>
  </si>
  <si>
    <t>SERVICIOS ADMINISTRATIVOS OCTUBRE 2019</t>
  </si>
  <si>
    <t>A0117</t>
  </si>
  <si>
    <t>A0118</t>
  </si>
  <si>
    <t>A0119</t>
  </si>
  <si>
    <t>A0120</t>
  </si>
  <si>
    <t>TRANSPORTE DEL 01 DE OCTUBRE AL 31 DE OCTUBRE DE 2019. (NOVA)</t>
  </si>
  <si>
    <t>A0121</t>
  </si>
  <si>
    <t>TRANSPORTE DEL 01 DE OCTUBRE AL 31 DE OCTUBRE DE 2019. (PCC)</t>
  </si>
  <si>
    <t>A0124</t>
  </si>
  <si>
    <t>ENTREGA DE MOLECULA 1 AL 14 NOVIEMBRE 2019</t>
  </si>
  <si>
    <t>Pago parcial por  $17,922.71mxn del 30/12/2019junto cn A0065 PAGAN 29 01/2020 COMPLEMENTO 191,417.01</t>
  </si>
  <si>
    <t>A0126</t>
  </si>
  <si>
    <t>HAY UNA DIFERENCIA DE $44.74 MXN</t>
  </si>
  <si>
    <t>A0128</t>
  </si>
  <si>
    <t>PAGO DEL 03/12/2019 $45,000 Y PAGO 05/12/2019 POR 41,922.05</t>
  </si>
  <si>
    <t>A0130</t>
  </si>
  <si>
    <t>NUCOR JFE STEEL MEXICO</t>
  </si>
  <si>
    <t>Complemento 343</t>
  </si>
  <si>
    <t>A0132</t>
  </si>
  <si>
    <t>A0133</t>
  </si>
  <si>
    <t>A0135</t>
  </si>
  <si>
    <t>A0137</t>
  </si>
  <si>
    <t>"DESBALANCES DE GAS DEL 1 DE ABRIL AL 31 DE AGOSTO CONFORME A LA RESULUCION  G/21317/GES/2018 APLICABLE AL PROGRAMA EXCEPCIONAL DE REGULARIZACION PARA EL COBRO DE DESBALANCES"</t>
  </si>
  <si>
    <t>A0138</t>
  </si>
  <si>
    <t>A0139</t>
  </si>
  <si>
    <t>SE APLICA NC 73 Y NC74</t>
  </si>
  <si>
    <t>A0140</t>
  </si>
  <si>
    <t>A0141</t>
  </si>
  <si>
    <t>A0142</t>
  </si>
  <si>
    <t>SERVICIO DE COMPRESION 1 AL 14 NOVIEMBRE 2019</t>
  </si>
  <si>
    <t>A0143</t>
  </si>
  <si>
    <t>A0145</t>
  </si>
  <si>
    <t>POR INSTRUCCIONES DE RODRIGO SE CANCELA Y REFACTURARA</t>
  </si>
  <si>
    <t>A0146</t>
  </si>
  <si>
    <t>A0147</t>
  </si>
  <si>
    <t>A0149</t>
  </si>
  <si>
    <t>A0151</t>
  </si>
  <si>
    <t>A0152</t>
  </si>
  <si>
    <t>A0153</t>
  </si>
  <si>
    <t>ENTREGA DE MOLECULA 15 AL 30  NOVIEMBRE 2019</t>
  </si>
  <si>
    <t>A0155</t>
  </si>
  <si>
    <t>ENTREGA DE MOLECULA 15 AL 30 NOVIEMBRE 2018</t>
  </si>
  <si>
    <t>A0157</t>
  </si>
  <si>
    <t>ENTREGA DE MOLECULA 15 AL 30 NOVIEMBRE 2019</t>
  </si>
  <si>
    <t>A0159</t>
  </si>
  <si>
    <t>A0163</t>
  </si>
  <si>
    <t>SERVICIOS ADMINISTRATIVOS NOVIEMBRE 2019</t>
  </si>
  <si>
    <t>A0164</t>
  </si>
  <si>
    <t>SERVICIOS ADMINISTRATIVOS ADICIONALES NOVIEMBRE 2019</t>
  </si>
  <si>
    <t>A0165</t>
  </si>
  <si>
    <t>ENTREGA DE MOLECULA Y SERVICIO DE COMPRESION 15 AL 30 NOVIEMBRE 2019</t>
  </si>
  <si>
    <t>A0166</t>
  </si>
  <si>
    <t>TAKE OR PAY NOVIEMBRE 2019</t>
  </si>
  <si>
    <t>A0167</t>
  </si>
  <si>
    <t>A0169</t>
  </si>
  <si>
    <t>PAGO POR $243,933.74 DIFERENCIA DE 28.21 A FAVOR</t>
  </si>
  <si>
    <t>A0171</t>
  </si>
  <si>
    <t>SE APLICA NC 75 Y REFACTURA CON A0396</t>
  </si>
  <si>
    <t>A0173</t>
  </si>
  <si>
    <t>A0175</t>
  </si>
  <si>
    <t>ENTREGA DE MOLECULA 115 AL 30 NOVIEMBRE 2019</t>
  </si>
  <si>
    <t>A0176</t>
  </si>
  <si>
    <t>A0177</t>
  </si>
  <si>
    <t>A0179</t>
  </si>
  <si>
    <t>A0180</t>
  </si>
  <si>
    <t>A0181</t>
  </si>
  <si>
    <t>A0182</t>
  </si>
  <si>
    <t>TRANSPORTE DE 1 AL 30 DE NOVIEMBRE 2019 PCC</t>
  </si>
  <si>
    <t>A0183</t>
  </si>
  <si>
    <t>TRANSPORTE DE 1 AL 30 DE NOVIEMBRE 2019 EMPAQUES NOVA</t>
  </si>
  <si>
    <t>A0184</t>
  </si>
  <si>
    <t>ENTREGA DE MOLECULA 1 AL 14 DICIEMBRE 2019</t>
  </si>
  <si>
    <t>APLICACION DE NC 64</t>
  </si>
  <si>
    <t>A0186</t>
  </si>
  <si>
    <t>A0188</t>
  </si>
  <si>
    <t>A0190</t>
  </si>
  <si>
    <t>A0192</t>
  </si>
  <si>
    <t>A0194</t>
  </si>
  <si>
    <t>A0196</t>
  </si>
  <si>
    <t>ENTREGA DE MOLECULA 14 AL 31 OCTUBRE 2019</t>
  </si>
  <si>
    <t>A0197</t>
  </si>
  <si>
    <t>SERVICIO DE COMPRESION 14 AL 31 OCTUBRE 2019</t>
  </si>
  <si>
    <t>A0198</t>
  </si>
  <si>
    <t>A0199</t>
  </si>
  <si>
    <t>A0200</t>
  </si>
  <si>
    <t>A0201</t>
  </si>
  <si>
    <t>A0202</t>
  </si>
  <si>
    <t>SE APLICAN NC 68,69,71 Y72</t>
  </si>
  <si>
    <t>A0203</t>
  </si>
  <si>
    <t>SERVICIO DE COMPRESION 1 AL 14 DICIEMBRE 2019</t>
  </si>
  <si>
    <t>A0204</t>
  </si>
  <si>
    <t>NO SE REEALIZA COMPLEMENTO POR CONDICIONES EN FACTURA</t>
  </si>
  <si>
    <t>A0205</t>
  </si>
  <si>
    <t>A0207</t>
  </si>
  <si>
    <t>A0208</t>
  </si>
  <si>
    <t>SERVICIO DE COMPRESION 1 AL 14 DICIMBRE 2019</t>
  </si>
  <si>
    <t>A0209</t>
  </si>
  <si>
    <t>A0211</t>
  </si>
  <si>
    <t>A0212</t>
  </si>
  <si>
    <t>A0213</t>
  </si>
  <si>
    <t>SE SUTITUYE POR FACTURA A0283 A SOLICTUD DE GDF (MONICA HUESCA)</t>
  </si>
  <si>
    <t>A0214</t>
  </si>
  <si>
    <t>SEVICIOS ADMINISTRATIVOS DICIEMBRE 2019</t>
  </si>
  <si>
    <t>A0215</t>
  </si>
  <si>
    <t>A0216</t>
  </si>
  <si>
    <t>A0219</t>
  </si>
  <si>
    <t>ENTREGA DE MOLECULA 15 AL 31 DICIEMBRE 2019</t>
  </si>
  <si>
    <t>A0221</t>
  </si>
  <si>
    <t>A0223</t>
  </si>
  <si>
    <t>A0225</t>
  </si>
  <si>
    <t>A0227</t>
  </si>
  <si>
    <t>A0229</t>
  </si>
  <si>
    <t>A0230</t>
  </si>
  <si>
    <t>SERVICIOS ADMINISTRATIVOS MAYO A SEPTIEMBRE 2019</t>
  </si>
  <si>
    <t>A0231</t>
  </si>
  <si>
    <t>SERVICIOS ADMINISTRATIVOS OCTUBRE A DICIEMBRE 2019</t>
  </si>
  <si>
    <t>A0232</t>
  </si>
  <si>
    <t>A0233</t>
  </si>
  <si>
    <t>SERVICIOS ADMINISTRATIVOS ENERO 2020</t>
  </si>
  <si>
    <t>A0234</t>
  </si>
  <si>
    <t>SERVIVIOS ADMINISTRATIVOS ENERO 2020</t>
  </si>
  <si>
    <t>A0235</t>
  </si>
  <si>
    <t>A0236</t>
  </si>
  <si>
    <t>A0237</t>
  </si>
  <si>
    <t>A0238</t>
  </si>
  <si>
    <t>SERVICIO DE CMPRESION 15 AL 31 DICIEMBRE 2019</t>
  </si>
  <si>
    <t>A0239</t>
  </si>
  <si>
    <t>A0241</t>
  </si>
  <si>
    <t>A0243</t>
  </si>
  <si>
    <t>A0244</t>
  </si>
  <si>
    <t>SERVICIO DE COMPRESION 15 AL 31 DICIEMBRE 2019</t>
  </si>
  <si>
    <t>A0245</t>
  </si>
  <si>
    <t>A0246</t>
  </si>
  <si>
    <t>A0247</t>
  </si>
  <si>
    <t>A0248</t>
  </si>
  <si>
    <t>A0249</t>
  </si>
  <si>
    <t>SERVICIOS ADMINISTRATIVOS DICIEMBRE 2019</t>
  </si>
  <si>
    <t>A0250</t>
  </si>
  <si>
    <t>A0252</t>
  </si>
  <si>
    <t>A0255</t>
  </si>
  <si>
    <t>A0256</t>
  </si>
  <si>
    <t>A0257</t>
  </si>
  <si>
    <t>ENTREGA DE MOLECULA 1 AL 14 ENERO 2020</t>
  </si>
  <si>
    <t>SE APLICAN NC 77 Y 78</t>
  </si>
  <si>
    <t>A0258</t>
  </si>
  <si>
    <t>SERVICIO DE COMPRESION 1 AL 14 ENERO 2020</t>
  </si>
  <si>
    <t>A0259</t>
  </si>
  <si>
    <t>A0261</t>
  </si>
  <si>
    <t>A0263</t>
  </si>
  <si>
    <t>A0265</t>
  </si>
  <si>
    <t>A0267</t>
  </si>
  <si>
    <t>A0269</t>
  </si>
  <si>
    <t>A0271</t>
  </si>
  <si>
    <t>A0273</t>
  </si>
  <si>
    <t>A0274</t>
  </si>
  <si>
    <t>A0275</t>
  </si>
  <si>
    <t>A0277</t>
  </si>
  <si>
    <t>A0279</t>
  </si>
  <si>
    <t>A0280</t>
  </si>
  <si>
    <t>A0281</t>
  </si>
  <si>
    <t>A0283</t>
  </si>
  <si>
    <t>A0284</t>
  </si>
  <si>
    <t>ENTREGA DE MOLECULA 15 AL 31 ENERO 2020</t>
  </si>
  <si>
    <t>A0286</t>
  </si>
  <si>
    <t>A0288</t>
  </si>
  <si>
    <t>PAGO DE ABONO DE 38,000 MXN DEL DIA 13 DE ABRIL 2020 PAGO FINIQUITO 21 ABRIL 2020 POR 38,845.41</t>
  </si>
  <si>
    <t>A0290</t>
  </si>
  <si>
    <t>A0292</t>
  </si>
  <si>
    <t>A0294</t>
  </si>
  <si>
    <t>A0295</t>
  </si>
  <si>
    <t>SERVICIO DE COMPRESION 15 AL 31 ENERO 2020</t>
  </si>
  <si>
    <t>A0296</t>
  </si>
  <si>
    <t>A0298</t>
  </si>
  <si>
    <t>A0299</t>
  </si>
  <si>
    <t>A0300</t>
  </si>
  <si>
    <t>A0302</t>
  </si>
  <si>
    <t>A0303</t>
  </si>
  <si>
    <t>A0317</t>
  </si>
  <si>
    <t>SERVICIOS ADMINISTRATIVOS FEBRERO 2020</t>
  </si>
  <si>
    <t>A0318</t>
  </si>
  <si>
    <t>A0319</t>
  </si>
  <si>
    <t>A0321</t>
  </si>
  <si>
    <t>TRANSPORTE DEL 1 al 31 DE DICIEMBRE 2019 EMPAQUES NOVA</t>
  </si>
  <si>
    <t>A0322</t>
  </si>
  <si>
    <t>TRANSPORTE DEL 1 al 31 DE DICIEMBRE 2019 PCC</t>
  </si>
  <si>
    <t>A0323</t>
  </si>
  <si>
    <t>A0324</t>
  </si>
  <si>
    <t>A0326</t>
  </si>
  <si>
    <t>CANCELADA A SOLICTUD DEL CLIENT POR INFORMACION EN CONCEPTO</t>
  </si>
  <si>
    <t>A0327</t>
  </si>
  <si>
    <t>"DESBALANCES DE GAS DEL 15 DE JUNIO AL 31 DE AGOSTO CONFORME A LA RESULUCION  G/21317/GES/2018 APLICABLE AL PROGRAMA EXCEPCIONAL DE REGULARIZACION PARA EL COBRO DE DESBALANCES"</t>
  </si>
  <si>
    <t>A0328</t>
  </si>
  <si>
    <t>ENTREGA DE MOLECULA 1 AL 14 FEBRERO 2020</t>
  </si>
  <si>
    <t>A0330</t>
  </si>
  <si>
    <t>A0332</t>
  </si>
  <si>
    <t>A0334</t>
  </si>
  <si>
    <t>A0336</t>
  </si>
  <si>
    <t>A0338</t>
  </si>
  <si>
    <t>SE CANCELA POR INDICACIONES DE RODRIGO CELAYETA</t>
  </si>
  <si>
    <t>A0340</t>
  </si>
  <si>
    <t>A0342</t>
  </si>
  <si>
    <t>A0344</t>
  </si>
  <si>
    <t>A0345</t>
  </si>
  <si>
    <t>SERVICIO DE COMPRESION 1 AL 14 FEBRERO 2020</t>
  </si>
  <si>
    <t>A0346</t>
  </si>
  <si>
    <t>A0348</t>
  </si>
  <si>
    <t>A0349</t>
  </si>
  <si>
    <t>A0352</t>
  </si>
  <si>
    <t>SE CONSIDERO REUTILIZAR LA FACTURA A0139, FINALMENTE SE CANCELO</t>
  </si>
  <si>
    <t>A0353</t>
  </si>
  <si>
    <t>TRANSPORTE DEL 01 DE ENERO AL 31 DE ENERO DE 2020. (NOVA)</t>
  </si>
  <si>
    <t>A SULICITUD DE ENGIE MONICA HUESCA SE CANCELA POR A0398</t>
  </si>
  <si>
    <t>A0354</t>
  </si>
  <si>
    <t>TRANSPORTE DEL 01 DE ENERO AL 31 DE ENERO DE 2020. (PCC)</t>
  </si>
  <si>
    <t>A SULICITUD DE ENGIE MONICA HUESCA SE CANCELA POR A 0399</t>
  </si>
  <si>
    <t>A0365</t>
  </si>
  <si>
    <t>ENTREGA DE MOLECULA 15 AL 29 FEBRERO 2020</t>
  </si>
  <si>
    <t>A0367</t>
  </si>
  <si>
    <t>A0369</t>
  </si>
  <si>
    <t>A0371</t>
  </si>
  <si>
    <t>A0373</t>
  </si>
  <si>
    <t>A0375</t>
  </si>
  <si>
    <t>SE RECIBE PAGO EL 17/04/2020 POR $ 65,245.27 Y SE LIQUIDA SALDO EL 27/04/2020 POR $208.80 MXN‬</t>
  </si>
  <si>
    <t>A0377</t>
  </si>
  <si>
    <t>Complemento 378</t>
  </si>
  <si>
    <t>A0379</t>
  </si>
  <si>
    <t>SE CANCELA POR ERROR EN EL MONTO, EL MONTO CORRECTO ES DE LA FACTURA A0395</t>
  </si>
  <si>
    <t>A0380</t>
  </si>
  <si>
    <t>A0381</t>
  </si>
  <si>
    <t>A0382</t>
  </si>
  <si>
    <t>A0383</t>
  </si>
  <si>
    <t>SERVICIO DE COMPRESION 15 AL 29 FEBRERO 2020</t>
  </si>
  <si>
    <t>A0384</t>
  </si>
  <si>
    <t>ENTREGA DE MOLECULA 1 AL 29 FEBRERO 2020 GENERADOR EME3</t>
  </si>
  <si>
    <t>A0385</t>
  </si>
  <si>
    <t>SERVICIO DE COMPRESION 1 AL 29 FEBRERO 2020 GENERADOR EME3</t>
  </si>
  <si>
    <t>A0386</t>
  </si>
  <si>
    <t>A0387</t>
  </si>
  <si>
    <t>A0388</t>
  </si>
  <si>
    <t>ERROR EN GENERACION DE FACTURA</t>
  </si>
  <si>
    <t>A0389</t>
  </si>
  <si>
    <t>ENTERGA DE MOLECULA 15 AL 29 FEBRERO 2020</t>
  </si>
  <si>
    <t>A0391</t>
  </si>
  <si>
    <t>A0392</t>
  </si>
  <si>
    <t>A0393</t>
  </si>
  <si>
    <t>A0395</t>
  </si>
  <si>
    <t>A0396</t>
  </si>
  <si>
    <t>A0398</t>
  </si>
  <si>
    <t>A0399</t>
  </si>
  <si>
    <t>A0400</t>
  </si>
  <si>
    <t>AUTOTRANSPORTES INSURGENTES SUR SC DE RL DE CV</t>
  </si>
  <si>
    <t>PRUEBAS DE CONSUMO DE GNV (LA UNIDAD QUE SE ESPECIFICA EN LITROS SE REFIERE A LITROS EQUIVALENTES DIESEL)</t>
  </si>
  <si>
    <t>AUTO INSURGENTES</t>
  </si>
  <si>
    <t>A0401</t>
  </si>
  <si>
    <t>ENTREGA DE MOLECULA 1 AL 14 MARZO 2020</t>
  </si>
  <si>
    <t>A0403</t>
  </si>
  <si>
    <t>A0405</t>
  </si>
  <si>
    <t>A0407</t>
  </si>
  <si>
    <t>SE RECIBE ANTICIPO POR $40,000.00 27/04/2020 SE RECIBE PAGO POR 15,955.74 05/05/2020</t>
  </si>
  <si>
    <t>A0409</t>
  </si>
  <si>
    <t>Complemento 380</t>
  </si>
  <si>
    <t>A0411</t>
  </si>
  <si>
    <t>A0413</t>
  </si>
  <si>
    <t>ENTREGA DE MOLECULA 1 AL 15 MARZO 2020</t>
  </si>
  <si>
    <t>A0414</t>
  </si>
  <si>
    <t>SERVICIO DE COMPRESION 1 AL 15 MARZO 2020</t>
  </si>
  <si>
    <t>A0415</t>
  </si>
  <si>
    <t>A0417</t>
  </si>
  <si>
    <t>A0418</t>
  </si>
  <si>
    <t>SERVICIO DE COMPRESION 1 AL 14 MARZO 2020</t>
  </si>
  <si>
    <t>A0419</t>
  </si>
  <si>
    <t>A0421</t>
  </si>
  <si>
    <t>A0422</t>
  </si>
  <si>
    <t>A0423</t>
  </si>
  <si>
    <t>ENTREGA DE MOLECULA 15 AL 31 MARZO 2020</t>
  </si>
  <si>
    <t>A0425</t>
  </si>
  <si>
    <t>Complemento 408</t>
  </si>
  <si>
    <t>A0427</t>
  </si>
  <si>
    <t xml:space="preserve">1ER PAGO POR $  2o PAGO $40,367.29 </t>
  </si>
  <si>
    <t>A0429</t>
  </si>
  <si>
    <t>A0431</t>
  </si>
  <si>
    <t>A0433</t>
  </si>
  <si>
    <t>A0435</t>
  </si>
  <si>
    <t>A0437</t>
  </si>
  <si>
    <t>A0438</t>
  </si>
  <si>
    <t>SERVICIO DE COMPRESION 15 AL 31 MARZO 2020</t>
  </si>
  <si>
    <t>A0439</t>
  </si>
  <si>
    <t>A0441</t>
  </si>
  <si>
    <t>A0442</t>
  </si>
  <si>
    <t>A0443</t>
  </si>
  <si>
    <t>ENTREGA DE MOLECULA 16 AL 31 MARZO 2020</t>
  </si>
  <si>
    <t>A0444</t>
  </si>
  <si>
    <t>SERVICIO DE COMPRESION 16 AL 31 MARZO 2020</t>
  </si>
  <si>
    <t>A0445</t>
  </si>
  <si>
    <t>ENTREGA DE MOLECULA 1 AL 31 MARZO 2020 GENERADOR</t>
  </si>
  <si>
    <t>A0446</t>
  </si>
  <si>
    <t>SERVICIO DE COMPRESION 1 AL 31 MARZO 2020 GENERADOR</t>
  </si>
  <si>
    <t>A0447</t>
  </si>
  <si>
    <t>TRANSPORTE DEL 01 DE FEBRERO AL 28 DE FEBRERO DE 2020. (NOVA)</t>
  </si>
  <si>
    <t>A0448</t>
  </si>
  <si>
    <t>TRANSPORTE DEL 01 DE FEBRERO AL 28 DE FEBRERO DE 2020. (PCC)</t>
  </si>
  <si>
    <t>A0449</t>
  </si>
  <si>
    <t>TRANSPORTE DEL 01 DE MARZO AL 31 DE MARZO DE 2020. (NOVA)</t>
  </si>
  <si>
    <t>A0450</t>
  </si>
  <si>
    <t>TRANSPORTE DEL 01 DE MARZO AL 31 DE MARZO DE 2020. (PCC)</t>
  </si>
  <si>
    <t>A0451</t>
  </si>
  <si>
    <t>A0455</t>
  </si>
  <si>
    <t>ENTREGA DE MOLECULA 1 AL 14 ABRIL 2020</t>
  </si>
  <si>
    <t>A0457</t>
  </si>
  <si>
    <t>A0459</t>
  </si>
  <si>
    <t>A0461</t>
  </si>
  <si>
    <t>A0463</t>
  </si>
  <si>
    <t>Complemento 432</t>
  </si>
  <si>
    <t>A0465</t>
  </si>
  <si>
    <t>A0471</t>
  </si>
  <si>
    <t>SERVICIOS ADMINISTRATIVOS MARZO 2020</t>
  </si>
  <si>
    <t>A0472</t>
  </si>
  <si>
    <t>A0473</t>
  </si>
  <si>
    <t>SERVICIOS ADMINISTRATIVOS ABRIL 2020</t>
  </si>
  <si>
    <t>A0474</t>
  </si>
  <si>
    <t>A0475</t>
  </si>
  <si>
    <t>SE APLICA NC 102</t>
  </si>
  <si>
    <t>A0480</t>
  </si>
  <si>
    <t>CARGO POR CAPACIDAD DEL GAS NATURAL PROGRAMADO VS CONSUMIDO 1 AL 31 DE MARZO 2020</t>
  </si>
  <si>
    <t>A0481</t>
  </si>
  <si>
    <t>PAGO EN MXN POR $ 57,497.49 FACTURAS A0481, A0532 Y SALDO DE $16,384.56 A FACTURA A0614</t>
  </si>
  <si>
    <t>A0482</t>
  </si>
  <si>
    <t>complemento 432</t>
  </si>
  <si>
    <t>A0483</t>
  </si>
  <si>
    <t>SE SUTITITUYE POR FACTURA A1076</t>
  </si>
  <si>
    <t>A0484</t>
  </si>
  <si>
    <t>A0485</t>
  </si>
  <si>
    <t>A0486</t>
  </si>
  <si>
    <t>SERVICIO DE COMPRESION 1 AL 14 ABRIL 2020</t>
  </si>
  <si>
    <t>A0487</t>
  </si>
  <si>
    <t>A0489</t>
  </si>
  <si>
    <t>A0490</t>
  </si>
  <si>
    <t>A0491</t>
  </si>
  <si>
    <t>ENTREGA DE MOLECULA 1 AL 14 ABRIL 20202</t>
  </si>
  <si>
    <t>A0493</t>
  </si>
  <si>
    <t>A0497</t>
  </si>
  <si>
    <t>ENTREGA DE MOLECULA DIFERENCIA POR PODER CALORIFICO DEL 1 AL 14 MARZO 2020</t>
  </si>
  <si>
    <t>A0499</t>
  </si>
  <si>
    <t>A0501</t>
  </si>
  <si>
    <t>A0502</t>
  </si>
  <si>
    <t>SERVICIO DE COMPRESION DIFERENCIA POR PODER CALORIFICO 1 AL 14 MARZO 2020</t>
  </si>
  <si>
    <t>A0503</t>
  </si>
  <si>
    <t>A0504</t>
  </si>
  <si>
    <t>A0505</t>
  </si>
  <si>
    <t>ENTREGA DE MOLECULA 1 AL 15 ABRIL 2020</t>
  </si>
  <si>
    <t>A0506</t>
  </si>
  <si>
    <t>SERVICIO DE COMPRESION 1 AL 15 ABRIL 2020</t>
  </si>
  <si>
    <t>A0507</t>
  </si>
  <si>
    <t>ENTREGA DE MOLECULA 15 AL 30 ABRIL 2020</t>
  </si>
  <si>
    <t>A0509</t>
  </si>
  <si>
    <t>SE APLICA PAGO POR $52,263.47 EL DIA 06/08/2020, SE APLICA PAGO POR 26,131.73 EL DIA 12/08/2020, SE APLICA PAGO POR  $ 52,263.47 EL DIA 21/08/2020</t>
  </si>
  <si>
    <t>A0511</t>
  </si>
  <si>
    <t>Se recibe pago 11/06/2020 junto con factura A462 por $42,088.58 de los cuales se aplican $5,475.01 a la faura A0511</t>
  </si>
  <si>
    <t>A0514</t>
  </si>
  <si>
    <t>ENTREGA DE MOLECULA 16 AL 30 ABRIL 2020</t>
  </si>
  <si>
    <t>A0515</t>
  </si>
  <si>
    <t>SERVICIO DE COMPRESION 16 AL ABRIL 2020</t>
  </si>
  <si>
    <t>A0516</t>
  </si>
  <si>
    <t>A0518</t>
  </si>
  <si>
    <t>A0520</t>
  </si>
  <si>
    <t>A0521</t>
  </si>
  <si>
    <t>SERVICIO DE COMPRESION 15 AL 30 ABRIL 2020</t>
  </si>
  <si>
    <t>A0522</t>
  </si>
  <si>
    <t>A0524</t>
  </si>
  <si>
    <t>A0525</t>
  </si>
  <si>
    <t>A0529</t>
  </si>
  <si>
    <t>SERVICIOS ADMINISTRATIVOS MAYO 2020</t>
  </si>
  <si>
    <t>A0530</t>
  </si>
  <si>
    <t>A0531</t>
  </si>
  <si>
    <t>CARGO POR CAPACIDAD DEL GAS NATURAL PROGRAMADO VS CONSUMIDO 1 AL 30 DE ABRIL 2020</t>
  </si>
  <si>
    <t>A0532</t>
  </si>
  <si>
    <t>A0533</t>
  </si>
  <si>
    <t>SE SUTITITUYE POR FACTURA A1077</t>
  </si>
  <si>
    <t>A0534</t>
  </si>
  <si>
    <t>A0535</t>
  </si>
  <si>
    <t>A0536</t>
  </si>
  <si>
    <t>A0537</t>
  </si>
  <si>
    <t>A0538</t>
  </si>
  <si>
    <t>ENTREGA DE MOLECULA 1 AL 30 ABRIL 2020 PARA GENERADOR</t>
  </si>
  <si>
    <t>A0539</t>
  </si>
  <si>
    <t>SERVICIO DE COMPRESION 1 AL 30 ABRIL 2020 PARA GENERADOR</t>
  </si>
  <si>
    <t>A0540</t>
  </si>
  <si>
    <t>MOLÉCULA EN FIRME POR NOMINACIÓN 1 AL 30 ABRIL 2020</t>
  </si>
  <si>
    <t>la sustituye la A3208</t>
  </si>
  <si>
    <t>A0542</t>
  </si>
  <si>
    <t>TRANSPORTE DEL 01 DE ABRIL AL 30 DE ABRIL DE 2020. (NOVA)</t>
  </si>
  <si>
    <t>A0543</t>
  </si>
  <si>
    <t>TRANSPORTE DEL 01 DE ABRIL AL 30 DE ABRIL DE 2020. (PCC)</t>
  </si>
  <si>
    <t>A0552</t>
  </si>
  <si>
    <t>LLANTA MICHELIN XZE2 11R24.5 (PC011 40UD3U) MER</t>
  </si>
  <si>
    <t>MERIDA</t>
  </si>
  <si>
    <t>A0553</t>
  </si>
  <si>
    <t>ENTREGA DE MOLECULA 1 AL 14 MAYO 2020</t>
  </si>
  <si>
    <t>A0555</t>
  </si>
  <si>
    <t>PAGO PARCIAL POR $35,228.16 DEL 04/09/2020 PAGO DE SALDO POR $35,228.16 DEL 11/09/2020 Pago por $35,228.16 DEL 17/09/2020</t>
  </si>
  <si>
    <t>A0557</t>
  </si>
  <si>
    <t>A0559</t>
  </si>
  <si>
    <t>A0560</t>
  </si>
  <si>
    <t>SERVICIO DE COMPRESION 1 AL 14 MAYO 2020</t>
  </si>
  <si>
    <t>A0561</t>
  </si>
  <si>
    <t>ENTREGA DE  MOLECULA 1 AL 14 MAYO 2020</t>
  </si>
  <si>
    <t>A0563</t>
  </si>
  <si>
    <t>A0565</t>
  </si>
  <si>
    <t>A0566</t>
  </si>
  <si>
    <t>A0567</t>
  </si>
  <si>
    <t>A0568</t>
  </si>
  <si>
    <t>A0571</t>
  </si>
  <si>
    <t>ENTREGA DE MOLECULA 1 AL 15 MAYO 2020</t>
  </si>
  <si>
    <t>A0572</t>
  </si>
  <si>
    <t>SERVICIO DE COMPRESION 1 AL 15 MAYO 2020</t>
  </si>
  <si>
    <t>A0576</t>
  </si>
  <si>
    <t>ENTREGA DE MOLECULA 15 AL 31 MAYO 2020</t>
  </si>
  <si>
    <t>A0578</t>
  </si>
  <si>
    <t>A0580</t>
  </si>
  <si>
    <t>complemento 463</t>
  </si>
  <si>
    <t>A0582</t>
  </si>
  <si>
    <t>A0584</t>
  </si>
  <si>
    <t>A0585</t>
  </si>
  <si>
    <t>SERVICIO DE COMPRESION 15 AL 31 MAYO 2020</t>
  </si>
  <si>
    <t>A0586</t>
  </si>
  <si>
    <t>A0588</t>
  </si>
  <si>
    <t>A0589</t>
  </si>
  <si>
    <t>A0590</t>
  </si>
  <si>
    <t>A0592</t>
  </si>
  <si>
    <t>ENTREGA D EMOLECULA 15 AL 31 MAYO 2020</t>
  </si>
  <si>
    <t>A0593</t>
  </si>
  <si>
    <t>SERVICIO DE COMPRESION 16 AL 31 MAYO 2020</t>
  </si>
  <si>
    <t>A0594</t>
  </si>
  <si>
    <t>ENTREGA DE MOLECULA 15 AL 31 MAYO 2020 GENERADOR</t>
  </si>
  <si>
    <t>A0595</t>
  </si>
  <si>
    <t>SERVICIO DE COMPRESION 16 AL 31 MAYO 2020 GENRADOR</t>
  </si>
  <si>
    <t>A0596</t>
  </si>
  <si>
    <t>SUTITUYE A FACTURA A0593</t>
  </si>
  <si>
    <t>A0597</t>
  </si>
  <si>
    <t>ENTREGA DE MOLECULA 16 AL 31 MAYO 2020</t>
  </si>
  <si>
    <t>SUTITUYE A FACTURA A0592</t>
  </si>
  <si>
    <t>A0600</t>
  </si>
  <si>
    <t>A0601</t>
  </si>
  <si>
    <t>A0602</t>
  </si>
  <si>
    <t>A0603</t>
  </si>
  <si>
    <t>A0604</t>
  </si>
  <si>
    <t>A0605</t>
  </si>
  <si>
    <t>A0606</t>
  </si>
  <si>
    <t>A0607</t>
  </si>
  <si>
    <t>A0608</t>
  </si>
  <si>
    <t>A0609</t>
  </si>
  <si>
    <t>A0610</t>
  </si>
  <si>
    <t>A0611</t>
  </si>
  <si>
    <t>A0612</t>
  </si>
  <si>
    <t>A0614</t>
  </si>
  <si>
    <t>CARGO POR CAPACIDAD DE GAS NATURAL PROGRAMADO VS CONSUMIDO 1 AL 31 DE MAYO 2020</t>
  </si>
  <si>
    <t>PAGOS PARCIALES VARIOS, REVISAR. SALDO PENDIENTE $5,987.56 PAGA EL 11/12/2020</t>
  </si>
  <si>
    <t>A0615</t>
  </si>
  <si>
    <t>CARGO  POR CAPACIDAD DEL GAS NATURAL PROGRAMADO VS CONSUMIDO 1 AL 30 DE MAYO 2020</t>
  </si>
  <si>
    <t>SE SUTITITUYE POR FACTURA A1078</t>
  </si>
  <si>
    <t>A0616</t>
  </si>
  <si>
    <t>A0617</t>
  </si>
  <si>
    <t>MOLÉCULA EN FIRME POR NOMINACIÓN 1 AL 31 MAYO 2020</t>
  </si>
  <si>
    <t>LA SUSTITUYE LA A3209</t>
  </si>
  <si>
    <t>A0619</t>
  </si>
  <si>
    <t>A0620</t>
  </si>
  <si>
    <t>ENTREGA DE MOLÉCULA POR ARRIBA DE CMD GIGAJOULE GAS NATURAL EN  SUS INSTALACIONES. 1 AL 31 MAYO 2020</t>
  </si>
  <si>
    <t>A0622</t>
  </si>
  <si>
    <t>ENTREGA DE MOLECULA 1 AL 14 JUNIO 2020</t>
  </si>
  <si>
    <t>A0624</t>
  </si>
  <si>
    <t>Complemento 470</t>
  </si>
  <si>
    <t>A0626</t>
  </si>
  <si>
    <t>A0628</t>
  </si>
  <si>
    <t>A0630</t>
  </si>
  <si>
    <t>A0631</t>
  </si>
  <si>
    <t>SERVICIO DE COMPRESION 1 AL 14 JUNIO 2020</t>
  </si>
  <si>
    <t>A0632</t>
  </si>
  <si>
    <t>A0633</t>
  </si>
  <si>
    <t>A0634</t>
  </si>
  <si>
    <t>A0636</t>
  </si>
  <si>
    <t>FACTURAS URGENTES ENTREGA DE MOLECULA JUNIO 2020</t>
  </si>
  <si>
    <t>A0637</t>
  </si>
  <si>
    <t>A0638</t>
  </si>
  <si>
    <t>A0639</t>
  </si>
  <si>
    <t>A0640</t>
  </si>
  <si>
    <t>A0641</t>
  </si>
  <si>
    <t>A0642</t>
  </si>
  <si>
    <t>A0643</t>
  </si>
  <si>
    <t>A0644</t>
  </si>
  <si>
    <t>A0645</t>
  </si>
  <si>
    <t>A0646</t>
  </si>
  <si>
    <t>A0647</t>
  </si>
  <si>
    <t>A0648</t>
  </si>
  <si>
    <t>A0649</t>
  </si>
  <si>
    <t>A0650</t>
  </si>
  <si>
    <t>A0651</t>
  </si>
  <si>
    <t>A0652</t>
  </si>
  <si>
    <t>A0653</t>
  </si>
  <si>
    <t>A0654</t>
  </si>
  <si>
    <t>A0655</t>
  </si>
  <si>
    <t>A0656</t>
  </si>
  <si>
    <t>A0657</t>
  </si>
  <si>
    <t>A0658</t>
  </si>
  <si>
    <t>A0659</t>
  </si>
  <si>
    <t>ENTREGA DE MOLECULA 1 AL 15 JUNIO 2020</t>
  </si>
  <si>
    <t>A0660</t>
  </si>
  <si>
    <t>SERVICIO DE COMPRESION 1 AL 15 JUNIO 2020</t>
  </si>
  <si>
    <t>A0661</t>
  </si>
  <si>
    <t>A0662</t>
  </si>
  <si>
    <t>A0663</t>
  </si>
  <si>
    <t>A0664</t>
  </si>
  <si>
    <t>A0665</t>
  </si>
  <si>
    <t>A0666</t>
  </si>
  <si>
    <t>A0667</t>
  </si>
  <si>
    <t>A0668</t>
  </si>
  <si>
    <t>A0669</t>
  </si>
  <si>
    <t>A0670</t>
  </si>
  <si>
    <t>A0671</t>
  </si>
  <si>
    <t>A0672</t>
  </si>
  <si>
    <t>A0673</t>
  </si>
  <si>
    <t>A0674</t>
  </si>
  <si>
    <t>A0675</t>
  </si>
  <si>
    <t>A0676</t>
  </si>
  <si>
    <t>A0677</t>
  </si>
  <si>
    <t>A0678</t>
  </si>
  <si>
    <t>A0679</t>
  </si>
  <si>
    <t>A0680</t>
  </si>
  <si>
    <t>A0681</t>
  </si>
  <si>
    <t>A0683</t>
  </si>
  <si>
    <t>TRANSPORTE DEL 01 DE MAYO AL 30 DE MAYO DE 2020. (NOVA)</t>
  </si>
  <si>
    <t>A0684</t>
  </si>
  <si>
    <t>TRANSPORTE DEL 01 DE MAYO AL 30 DE MAYO DE 2020. (PCC)</t>
  </si>
  <si>
    <t>A0686</t>
  </si>
  <si>
    <t>GYM</t>
  </si>
  <si>
    <t>A0687</t>
  </si>
  <si>
    <t>A0688</t>
  </si>
  <si>
    <t>A0689</t>
  </si>
  <si>
    <t>A0690</t>
  </si>
  <si>
    <t>A0691</t>
  </si>
  <si>
    <t>A0692</t>
  </si>
  <si>
    <t>A0693</t>
  </si>
  <si>
    <t>A0694</t>
  </si>
  <si>
    <t>A0695</t>
  </si>
  <si>
    <t>A0696</t>
  </si>
  <si>
    <t>A0697</t>
  </si>
  <si>
    <t>A0698</t>
  </si>
  <si>
    <t>A0699</t>
  </si>
  <si>
    <t>FACTURAS URGENTES ENTREGA DE MOLECULA JULIO 2020</t>
  </si>
  <si>
    <t>SE APLICA NC81 MONTO $1,920.89 FECHA 27/07/2020</t>
  </si>
  <si>
    <t>A0700</t>
  </si>
  <si>
    <t>A0701</t>
  </si>
  <si>
    <t>A0702</t>
  </si>
  <si>
    <t>A0703</t>
  </si>
  <si>
    <t>APLICA NC 92</t>
  </si>
  <si>
    <t>A0704</t>
  </si>
  <si>
    <t>A0705</t>
  </si>
  <si>
    <t>A0706</t>
  </si>
  <si>
    <t>A0707</t>
  </si>
  <si>
    <t>A0708</t>
  </si>
  <si>
    <t>APLICA NC 91 POR $ 2,408.88</t>
  </si>
  <si>
    <t>A0709</t>
  </si>
  <si>
    <t>A0710</t>
  </si>
  <si>
    <t>A0711</t>
  </si>
  <si>
    <t>A0712</t>
  </si>
  <si>
    <t>A0713</t>
  </si>
  <si>
    <t>A0714</t>
  </si>
  <si>
    <t>A0715</t>
  </si>
  <si>
    <t>A0716</t>
  </si>
  <si>
    <t>A0717</t>
  </si>
  <si>
    <t>A0718</t>
  </si>
  <si>
    <t>A0719</t>
  </si>
  <si>
    <t>A0720</t>
  </si>
  <si>
    <t>ENTREGA DE MOLECULA 15 AL 30 JUNIO 2020</t>
  </si>
  <si>
    <t>A0722</t>
  </si>
  <si>
    <t>ENTREGA DE MOLECUL 15 AL 30 JUNIO 2020</t>
  </si>
  <si>
    <t>A0724</t>
  </si>
  <si>
    <t>A0726</t>
  </si>
  <si>
    <t>A0727</t>
  </si>
  <si>
    <t>A0728</t>
  </si>
  <si>
    <t>A0729</t>
  </si>
  <si>
    <t>A0730</t>
  </si>
  <si>
    <t>A0731</t>
  </si>
  <si>
    <t>A0732</t>
  </si>
  <si>
    <t>A0733</t>
  </si>
  <si>
    <t>A0734</t>
  </si>
  <si>
    <t>A0735</t>
  </si>
  <si>
    <t>A0736</t>
  </si>
  <si>
    <t>A0737</t>
  </si>
  <si>
    <t>A0738</t>
  </si>
  <si>
    <t>A0739</t>
  </si>
  <si>
    <t>A0740</t>
  </si>
  <si>
    <t>A0741</t>
  </si>
  <si>
    <t>A0742</t>
  </si>
  <si>
    <t>A0743</t>
  </si>
  <si>
    <t>A0744</t>
  </si>
  <si>
    <t>A0745</t>
  </si>
  <si>
    <t>ENTREGA DE MOLECULA 1 AL 30 JUNIO 2020 GENERADOR</t>
  </si>
  <si>
    <t>A0746</t>
  </si>
  <si>
    <t>SERVICIO DE COMPRESION 1 AL 30 JUNIO 2020 GENERADOR</t>
  </si>
  <si>
    <t>A0747</t>
  </si>
  <si>
    <t>SERVICIO DE COMPRESION 15 AL 30 JUNIO 2020</t>
  </si>
  <si>
    <t>A0748</t>
  </si>
  <si>
    <t>A0749</t>
  </si>
  <si>
    <t>A0750</t>
  </si>
  <si>
    <t>A0751</t>
  </si>
  <si>
    <t>A0752</t>
  </si>
  <si>
    <t>A0753</t>
  </si>
  <si>
    <t>A0754</t>
  </si>
  <si>
    <t>A0755</t>
  </si>
  <si>
    <t>ENTREGA DE MOLECULA15 AL 30 JUNIO 2020</t>
  </si>
  <si>
    <t>EXPRESS CHEROKEE</t>
  </si>
  <si>
    <t>A0756</t>
  </si>
  <si>
    <t>SERVICIO DE COMRPESION 15 AL 30 JUNIO 2020</t>
  </si>
  <si>
    <t>A0757</t>
  </si>
  <si>
    <t>ENTREGA DE MOLECULA 16 AL 30 JUNIO 2020</t>
  </si>
  <si>
    <t>SUSTITUYE FAC A0743</t>
  </si>
  <si>
    <t>A0758</t>
  </si>
  <si>
    <t>SERVICIO DE COMPRESION 16 AL 30 JUNIO 2020</t>
  </si>
  <si>
    <t>SUSTITUYE FAC A0747</t>
  </si>
  <si>
    <t>A0759</t>
  </si>
  <si>
    <t>SUSTITUYE FAC A0753</t>
  </si>
  <si>
    <t>A0760</t>
  </si>
  <si>
    <t>SUSTITUYE FAC A0755</t>
  </si>
  <si>
    <t>A0761</t>
  </si>
  <si>
    <t>SERVICIO DE COMRPESION 16 AL 30 JUNIO 2020</t>
  </si>
  <si>
    <t>SUSTITUYE FAC A0756</t>
  </si>
  <si>
    <t>A0762</t>
  </si>
  <si>
    <t>A0763</t>
  </si>
  <si>
    <t>A0764</t>
  </si>
  <si>
    <t>A0765</t>
  </si>
  <si>
    <t>A0766</t>
  </si>
  <si>
    <t>A0767</t>
  </si>
  <si>
    <t>A0768</t>
  </si>
  <si>
    <t>A0769</t>
  </si>
  <si>
    <t>A0770</t>
  </si>
  <si>
    <t>A0771</t>
  </si>
  <si>
    <t>A0772</t>
  </si>
  <si>
    <t>A0773</t>
  </si>
  <si>
    <t>A0774</t>
  </si>
  <si>
    <t>SE APLICA DIFERENCIA NC92 MONTO $22,617.41</t>
  </si>
  <si>
    <t>A0775</t>
  </si>
  <si>
    <t>A0776</t>
  </si>
  <si>
    <t>A0777</t>
  </si>
  <si>
    <t>A0778</t>
  </si>
  <si>
    <t>A0779</t>
  </si>
  <si>
    <t>A0780</t>
  </si>
  <si>
    <t>A0781</t>
  </si>
  <si>
    <t>A0782</t>
  </si>
  <si>
    <t>A0783</t>
  </si>
  <si>
    <t>A0784</t>
  </si>
  <si>
    <t>A0785</t>
  </si>
  <si>
    <t>A0786</t>
  </si>
  <si>
    <t>A0787</t>
  </si>
  <si>
    <t>A0788</t>
  </si>
  <si>
    <t>A0789</t>
  </si>
  <si>
    <t>A0790</t>
  </si>
  <si>
    <t>A0791</t>
  </si>
  <si>
    <t>A0792</t>
  </si>
  <si>
    <t>A0793</t>
  </si>
  <si>
    <t>A0794</t>
  </si>
  <si>
    <t>A0795</t>
  </si>
  <si>
    <t>A0796</t>
  </si>
  <si>
    <t>A0797</t>
  </si>
  <si>
    <t>A0798</t>
  </si>
  <si>
    <t>A0799</t>
  </si>
  <si>
    <t>A0800</t>
  </si>
  <si>
    <t>A0801</t>
  </si>
  <si>
    <t>A0802</t>
  </si>
  <si>
    <t>A0803</t>
  </si>
  <si>
    <t>A0804</t>
  </si>
  <si>
    <t>A0805</t>
  </si>
  <si>
    <t>A0806</t>
  </si>
  <si>
    <t>A0807</t>
  </si>
  <si>
    <t>A0808</t>
  </si>
  <si>
    <t>APLICA NC 93</t>
  </si>
  <si>
    <t>A0809</t>
  </si>
  <si>
    <t>A0810</t>
  </si>
  <si>
    <t>A0811</t>
  </si>
  <si>
    <t>A0812</t>
  </si>
  <si>
    <t>A0813</t>
  </si>
  <si>
    <t>A0814</t>
  </si>
  <si>
    <t>A0815</t>
  </si>
  <si>
    <t>A0816</t>
  </si>
  <si>
    <t>A0817</t>
  </si>
  <si>
    <t>A0818</t>
  </si>
  <si>
    <t>A0819</t>
  </si>
  <si>
    <t>A0820</t>
  </si>
  <si>
    <t>A0821</t>
  </si>
  <si>
    <t>A0822</t>
  </si>
  <si>
    <t>A0823</t>
  </si>
  <si>
    <t>A0824</t>
  </si>
  <si>
    <t>A0825</t>
  </si>
  <si>
    <t>A0826</t>
  </si>
  <si>
    <t>A0827</t>
  </si>
  <si>
    <t>A0828</t>
  </si>
  <si>
    <t>A0829</t>
  </si>
  <si>
    <t>A0830</t>
  </si>
  <si>
    <t>A0831</t>
  </si>
  <si>
    <t>ENTREGA DE MOLÉCULA EN FIRME POR NOMINACIÓN 1 AL 30 JUNIO 2020</t>
  </si>
  <si>
    <t>A0832</t>
  </si>
  <si>
    <t>ENTREGA DE MOLÉCULA POR ARRIBA DE CMD GIGAJOULE GAS NATURAL EN SUS INSTALACIONES. 1 AL 30 JUNIO 2020</t>
  </si>
  <si>
    <t>A0833</t>
  </si>
  <si>
    <t>MOLÉCULA EN FIRME POR NOMINACIÓN 1 AL 30 JUNIO 2020</t>
  </si>
  <si>
    <t>LA SUSTITUYE LA A3210</t>
  </si>
  <si>
    <t>A0837</t>
  </si>
  <si>
    <t>OJO SE SOLICICTO EN GJ Y SE GENERO EN MMBTU</t>
  </si>
  <si>
    <t>A0840</t>
  </si>
  <si>
    <t>A0841</t>
  </si>
  <si>
    <t>A0842</t>
  </si>
  <si>
    <t>A0843</t>
  </si>
  <si>
    <t>A0844</t>
  </si>
  <si>
    <t>A0845</t>
  </si>
  <si>
    <t>A0846</t>
  </si>
  <si>
    <t>A0847</t>
  </si>
  <si>
    <t>A0848</t>
  </si>
  <si>
    <t>A0849</t>
  </si>
  <si>
    <t>A0850</t>
  </si>
  <si>
    <t>A0851</t>
  </si>
  <si>
    <t>A0852</t>
  </si>
  <si>
    <t>A0853</t>
  </si>
  <si>
    <t>A0854</t>
  </si>
  <si>
    <t>A0855</t>
  </si>
  <si>
    <t>A0856</t>
  </si>
  <si>
    <t>A0857</t>
  </si>
  <si>
    <t>A0858</t>
  </si>
  <si>
    <t>A0859</t>
  </si>
  <si>
    <t>A0860</t>
  </si>
  <si>
    <t>A0861</t>
  </si>
  <si>
    <t>DIFERENCIA POR ENTREGA DE MOLECULA 15 AL 30 JUNIO 2020</t>
  </si>
  <si>
    <t>A0863</t>
  </si>
  <si>
    <t>A0864</t>
  </si>
  <si>
    <t>A0865</t>
  </si>
  <si>
    <t>A0866</t>
  </si>
  <si>
    <t>A0867</t>
  </si>
  <si>
    <t>A0868</t>
  </si>
  <si>
    <t>A0869</t>
  </si>
  <si>
    <t>A0870</t>
  </si>
  <si>
    <t>A0871</t>
  </si>
  <si>
    <t>DIFERENCIA POR ENTREGA DE MOLÉCULA 15 AL 30 JUNIO 2020</t>
  </si>
  <si>
    <t>A0872</t>
  </si>
  <si>
    <t>A0873</t>
  </si>
  <si>
    <t>A0875</t>
  </si>
  <si>
    <t>A0876</t>
  </si>
  <si>
    <t>A0877</t>
  </si>
  <si>
    <t>A0878</t>
  </si>
  <si>
    <t>A0879</t>
  </si>
  <si>
    <t>A0880</t>
  </si>
  <si>
    <t>A0881</t>
  </si>
  <si>
    <t>A0882</t>
  </si>
  <si>
    <t>A0883</t>
  </si>
  <si>
    <t>A0884</t>
  </si>
  <si>
    <t>A0885</t>
  </si>
  <si>
    <t>A0886</t>
  </si>
  <si>
    <t>A0887</t>
  </si>
  <si>
    <t>A0888</t>
  </si>
  <si>
    <t>A0889</t>
  </si>
  <si>
    <t>A0890</t>
  </si>
  <si>
    <t>A0891</t>
  </si>
  <si>
    <t>A0892</t>
  </si>
  <si>
    <t>A0893</t>
  </si>
  <si>
    <t>A0894</t>
  </si>
  <si>
    <t>A0895</t>
  </si>
  <si>
    <t>ENTREGA DE MOLECULA 1 AL 14 JULIO 2020</t>
  </si>
  <si>
    <t>A0897</t>
  </si>
  <si>
    <t>A0899</t>
  </si>
  <si>
    <t>A0901</t>
  </si>
  <si>
    <t>A0902</t>
  </si>
  <si>
    <t>A0903</t>
  </si>
  <si>
    <t>A0904</t>
  </si>
  <si>
    <t>A0905</t>
  </si>
  <si>
    <t>A0906</t>
  </si>
  <si>
    <t>A0907</t>
  </si>
  <si>
    <t>A0908</t>
  </si>
  <si>
    <t>A0909</t>
  </si>
  <si>
    <t>A0910</t>
  </si>
  <si>
    <t>A0911</t>
  </si>
  <si>
    <t>SERVICIO DE OCMPRESION 1 AL 14 JULIO 2020</t>
  </si>
  <si>
    <t>A0912</t>
  </si>
  <si>
    <t>A0913</t>
  </si>
  <si>
    <t>A0914</t>
  </si>
  <si>
    <t>A0915</t>
  </si>
  <si>
    <t>A0916</t>
  </si>
  <si>
    <t>SE APLICA DIFERENCIA NC93 MONTO $4958.29</t>
  </si>
  <si>
    <t>A0917</t>
  </si>
  <si>
    <t>A0918</t>
  </si>
  <si>
    <t>A0919</t>
  </si>
  <si>
    <t>A0920</t>
  </si>
  <si>
    <t>A0921</t>
  </si>
  <si>
    <t>A0922</t>
  </si>
  <si>
    <t>A0923</t>
  </si>
  <si>
    <t>A0924</t>
  </si>
  <si>
    <t>A0925</t>
  </si>
  <si>
    <t>A0926</t>
  </si>
  <si>
    <t>A0927</t>
  </si>
  <si>
    <t>A0928</t>
  </si>
  <si>
    <t>A0929</t>
  </si>
  <si>
    <t>A0930</t>
  </si>
  <si>
    <t>A0931</t>
  </si>
  <si>
    <t>A0932</t>
  </si>
  <si>
    <t>A0933</t>
  </si>
  <si>
    <t>A0934</t>
  </si>
  <si>
    <t>A0935</t>
  </si>
  <si>
    <t>A0936</t>
  </si>
  <si>
    <t>A0937</t>
  </si>
  <si>
    <t>A0938</t>
  </si>
  <si>
    <t>A0939</t>
  </si>
  <si>
    <t>A0940</t>
  </si>
  <si>
    <t>A0941</t>
  </si>
  <si>
    <t>A0942</t>
  </si>
  <si>
    <t>A0943</t>
  </si>
  <si>
    <t>A0944</t>
  </si>
  <si>
    <t>A0945</t>
  </si>
  <si>
    <t>A0946</t>
  </si>
  <si>
    <t>A0947</t>
  </si>
  <si>
    <t>A0948</t>
  </si>
  <si>
    <t>A0949</t>
  </si>
  <si>
    <t>A0950</t>
  </si>
  <si>
    <t>A0951</t>
  </si>
  <si>
    <t>A0952</t>
  </si>
  <si>
    <t>A0953</t>
  </si>
  <si>
    <t>A0954</t>
  </si>
  <si>
    <t>A0955</t>
  </si>
  <si>
    <t>A0956</t>
  </si>
  <si>
    <t>A0957</t>
  </si>
  <si>
    <t>A0958</t>
  </si>
  <si>
    <t>A0959</t>
  </si>
  <si>
    <t>A0960</t>
  </si>
  <si>
    <t>SERVICIO DE COMPRESION 1 AL 15 JULIO 2020</t>
  </si>
  <si>
    <t>A0961</t>
  </si>
  <si>
    <t>A0962</t>
  </si>
  <si>
    <t>ENTREGA DE MOLECULA 1 AL 15 JULIO 2020</t>
  </si>
  <si>
    <t>A0963</t>
  </si>
  <si>
    <t>A0964</t>
  </si>
  <si>
    <t>A0965</t>
  </si>
  <si>
    <t>A0966</t>
  </si>
  <si>
    <t>A0967</t>
  </si>
  <si>
    <t>A0968</t>
  </si>
  <si>
    <t>A0969</t>
  </si>
  <si>
    <t>A0971</t>
  </si>
  <si>
    <t>SERVICIO DE COMPRESION 1 AL 14 JULIO 2020</t>
  </si>
  <si>
    <t>A0972</t>
  </si>
  <si>
    <t>SE APLICAN NC 81 POR $1,920.89 Y NC 82 POR $20,435.05 SE RECIBA PAGO POR $155,514.97 EL 17 DE AGOSTO 2020</t>
  </si>
  <si>
    <t>A0973</t>
  </si>
  <si>
    <t>A0974</t>
  </si>
  <si>
    <t>A0975</t>
  </si>
  <si>
    <t>A0976</t>
  </si>
  <si>
    <t>A0977</t>
  </si>
  <si>
    <t>A0978</t>
  </si>
  <si>
    <t>A0979</t>
  </si>
  <si>
    <t>A0980</t>
  </si>
  <si>
    <t>A0981</t>
  </si>
  <si>
    <t>A0982</t>
  </si>
  <si>
    <t>A0983</t>
  </si>
  <si>
    <t>A0984</t>
  </si>
  <si>
    <t>A0985</t>
  </si>
  <si>
    <t>A0986</t>
  </si>
  <si>
    <t>A0987</t>
  </si>
  <si>
    <t>A0988</t>
  </si>
  <si>
    <t>A0989</t>
  </si>
  <si>
    <t>A0990</t>
  </si>
  <si>
    <t>A0991</t>
  </si>
  <si>
    <t>A0992</t>
  </si>
  <si>
    <t>SERVICIO DE COMPRRESION 1 AL 15 JULIO 2020</t>
  </si>
  <si>
    <t>A0993</t>
  </si>
  <si>
    <t>A0994</t>
  </si>
  <si>
    <t>A0995</t>
  </si>
  <si>
    <t>A0996</t>
  </si>
  <si>
    <t>A0997</t>
  </si>
  <si>
    <t>A0998</t>
  </si>
  <si>
    <t>A0999</t>
  </si>
  <si>
    <t>A1000</t>
  </si>
  <si>
    <t>A1001</t>
  </si>
  <si>
    <t>A1002</t>
  </si>
  <si>
    <t>A1003</t>
  </si>
  <si>
    <t>A1004</t>
  </si>
  <si>
    <t>A1005</t>
  </si>
  <si>
    <t>A1006</t>
  </si>
  <si>
    <t>A1007</t>
  </si>
  <si>
    <t>A1008</t>
  </si>
  <si>
    <t>A1009</t>
  </si>
  <si>
    <t>A1010</t>
  </si>
  <si>
    <t>A1011</t>
  </si>
  <si>
    <t>A1012</t>
  </si>
  <si>
    <t>A1013</t>
  </si>
  <si>
    <t>ENTREGA DE MOLECULA 15 AL 31 JULIO 2020</t>
  </si>
  <si>
    <t>A1015</t>
  </si>
  <si>
    <t>ANTICIPO POR 52,151.42 DEL 19/08/2020, pago por $4,478.39 del 02/09/2020</t>
  </si>
  <si>
    <t>A1017</t>
  </si>
  <si>
    <t>A1018</t>
  </si>
  <si>
    <t>A1019</t>
  </si>
  <si>
    <t>A1020</t>
  </si>
  <si>
    <t>A1021</t>
  </si>
  <si>
    <t>A1022</t>
  </si>
  <si>
    <t>ENTREGA DE MOLECULA 16 AL 31 JULIO 2020</t>
  </si>
  <si>
    <t>A1023</t>
  </si>
  <si>
    <t>SERVICIO DE CMPRESION 16 AL 31 JULIO 2020</t>
  </si>
  <si>
    <t>A1024</t>
  </si>
  <si>
    <t>ENTREGA DE MOLECULA 16 AL 31 JULIO 2020 PARA EL GENERADOR</t>
  </si>
  <si>
    <t>A1025</t>
  </si>
  <si>
    <t>SERVICIO DE CMPRESION 16 AL 31 JULIO 2020 PARA EL GENERADOR</t>
  </si>
  <si>
    <t>A1026</t>
  </si>
  <si>
    <t>A1027</t>
  </si>
  <si>
    <t>A1028</t>
  </si>
  <si>
    <t>A1029</t>
  </si>
  <si>
    <t>SERVICIO DE COMPRESION 16 AL 31 JULIO 2020</t>
  </si>
  <si>
    <t>A1030</t>
  </si>
  <si>
    <t>A1031</t>
  </si>
  <si>
    <t>A1032</t>
  </si>
  <si>
    <t>A1033</t>
  </si>
  <si>
    <t>A1034</t>
  </si>
  <si>
    <t>A1035</t>
  </si>
  <si>
    <t>A1037</t>
  </si>
  <si>
    <t>SERVICIO DE COMPRESION 15 AL 31 JULIO 2020</t>
  </si>
  <si>
    <t>REVISAR DIFERENCIA POR $ 2,477.4 PAGO DEL 04/09/2020</t>
  </si>
  <si>
    <t>A1038</t>
  </si>
  <si>
    <t>A1039</t>
  </si>
  <si>
    <t>A1043</t>
  </si>
  <si>
    <t>A1045</t>
  </si>
  <si>
    <t>A1049</t>
  </si>
  <si>
    <t>ENTREGA DE MOLECULA 1 AL 14 AGOSTO 2020</t>
  </si>
  <si>
    <t>A1051</t>
  </si>
  <si>
    <t>A1053</t>
  </si>
  <si>
    <t>ENTRAGA DE MOLECULA 1 AL 15 AGOSTO 2020</t>
  </si>
  <si>
    <t>A1054</t>
  </si>
  <si>
    <t>SERVICIO DE COMPRESION 1 AL 15 AGOSTO 2020</t>
  </si>
  <si>
    <t>A1055</t>
  </si>
  <si>
    <t>A1056</t>
  </si>
  <si>
    <t>A1057</t>
  </si>
  <si>
    <t>A1058</t>
  </si>
  <si>
    <t>SERVICIO DE COMPRESION 1 AL 14 AGOSTO 2020</t>
  </si>
  <si>
    <t>A1059</t>
  </si>
  <si>
    <t>A1061</t>
  </si>
  <si>
    <t>A1062</t>
  </si>
  <si>
    <t>A1063</t>
  </si>
  <si>
    <t>A1065</t>
  </si>
  <si>
    <t>A1067</t>
  </si>
  <si>
    <t>ENTREGA DE MOLECULA 15 AL 31 AGOSTO 2020</t>
  </si>
  <si>
    <t>A1069</t>
  </si>
  <si>
    <t>A1071</t>
  </si>
  <si>
    <t>A1076</t>
  </si>
  <si>
    <t>CARGO POR CAPACIDAD DEL GAS NATURAL PROGRAMADO VS CONSUMIDO 01 AL 31 DE MARZO 2020</t>
  </si>
  <si>
    <t>A1077</t>
  </si>
  <si>
    <t>A1078</t>
  </si>
  <si>
    <t>A1079</t>
  </si>
  <si>
    <t>A1081</t>
  </si>
  <si>
    <t>Cacalada error en tarifa</t>
  </si>
  <si>
    <t>A1083</t>
  </si>
  <si>
    <t>A1084</t>
  </si>
  <si>
    <t>SERVICIO DE COMPRESION 15 AL 31 AGOSTO 2020</t>
  </si>
  <si>
    <t>A1085</t>
  </si>
  <si>
    <t>A1087</t>
  </si>
  <si>
    <t>A1089</t>
  </si>
  <si>
    <t>A1090</t>
  </si>
  <si>
    <t>A1091</t>
  </si>
  <si>
    <t>A1093</t>
  </si>
  <si>
    <t>A1094</t>
  </si>
  <si>
    <t>Sustituye a factura A1081</t>
  </si>
  <si>
    <t>A1095</t>
  </si>
  <si>
    <t>A1096</t>
  </si>
  <si>
    <t>A1097</t>
  </si>
  <si>
    <t>A1098</t>
  </si>
  <si>
    <t>A1099</t>
  </si>
  <si>
    <t>SERVICIO DE OCMPRESION 15 AL 31 AGOSTO 2020</t>
  </si>
  <si>
    <t>A1100</t>
  </si>
  <si>
    <t>Sustituye factura A1087</t>
  </si>
  <si>
    <t>A1102</t>
  </si>
  <si>
    <t>ANTICIPO POR ENTREGA MOLECULA DE GAS NATURAL EN SUS INSTALACIONES. EQUIVALENTE A 4,561.50 GJ</t>
  </si>
  <si>
    <t>A1103</t>
  </si>
  <si>
    <t>ANTICIPO POR SERVICIO DE COMPRESION, TRANSPORTE Y DESCOMPRESION EN SUS INSTALACIONES. EQUIVALENTE A
4,561.50 GJ</t>
  </si>
  <si>
    <t>ERROR DEBIO SEN EN USD</t>
  </si>
  <si>
    <t>A1104</t>
  </si>
  <si>
    <t>PAGO PARCIAL POR $226,970.63 DEL 29/09/2020</t>
  </si>
  <si>
    <t>A1106</t>
  </si>
  <si>
    <t>ENTREGA DE MOLECULA 1 AL 14 SEPTIEMBRE 2020</t>
  </si>
  <si>
    <t>A1108</t>
  </si>
  <si>
    <t>A1110</t>
  </si>
  <si>
    <t>A1112</t>
  </si>
  <si>
    <t>A1114</t>
  </si>
  <si>
    <t>A1116</t>
  </si>
  <si>
    <t>A1117</t>
  </si>
  <si>
    <t>SERVICIO DE CPMPRESION 1 AL 14 SEPTIEMBRE 2020</t>
  </si>
  <si>
    <t>A1118</t>
  </si>
  <si>
    <t>A1120</t>
  </si>
  <si>
    <t>A1122</t>
  </si>
  <si>
    <t>A1123</t>
  </si>
  <si>
    <t>A1124</t>
  </si>
  <si>
    <t>PAGO POR $638,332.66 LIQUIDAN FACTURAS A1124 Y A1092 EN USD</t>
  </si>
  <si>
    <t>A1127</t>
  </si>
  <si>
    <t>A1128</t>
  </si>
  <si>
    <t>SERVICIO DE COMPRESION 1 AL 14 SEPTIEMBRE 2020</t>
  </si>
  <si>
    <t>A1129</t>
  </si>
  <si>
    <t>A1131</t>
  </si>
  <si>
    <t>ENTREGA DE MOLECULA 1 AL 15 SEPTIEMBRE 2020</t>
  </si>
  <si>
    <t>A1132</t>
  </si>
  <si>
    <t>SERVICIO DE COMPRESION 1 AL 15 SEPTIEMBRE 2020</t>
  </si>
  <si>
    <t>A1133</t>
  </si>
  <si>
    <t>A1134</t>
  </si>
  <si>
    <t>A1135</t>
  </si>
  <si>
    <t>ENTREGA DE MOLECULA 15 AL 30 SEPTIEMBRE 2020</t>
  </si>
  <si>
    <t>A1137</t>
  </si>
  <si>
    <t>ENTREGA DE MOLECULA 15 AL 30 SEPTEIMBRE 2020</t>
  </si>
  <si>
    <t>A1139</t>
  </si>
  <si>
    <t>A1141</t>
  </si>
  <si>
    <t>A1143</t>
  </si>
  <si>
    <t>A1144</t>
  </si>
  <si>
    <t>SERVICIO DE COMPRESION 15 AL 30 SEPTIEMBRE 2020</t>
  </si>
  <si>
    <t>A1145</t>
  </si>
  <si>
    <t>A1147</t>
  </si>
  <si>
    <t>A1149</t>
  </si>
  <si>
    <t>A1150</t>
  </si>
  <si>
    <t>A1151</t>
  </si>
  <si>
    <t>A1153</t>
  </si>
  <si>
    <t>A1155</t>
  </si>
  <si>
    <t>A1156</t>
  </si>
  <si>
    <t>CARGO POR CAPACIDAD DE PERIODO 15 AL 30 SEPTIEMBRE 2020</t>
  </si>
  <si>
    <t>SE SITITUYE POR FACTURA A1161</t>
  </si>
  <si>
    <t>A1161</t>
  </si>
  <si>
    <t>SE SUSTITUYE POR FACTURA A1285</t>
  </si>
  <si>
    <t>A1162</t>
  </si>
  <si>
    <t>ENTREGA DE MOLECULA 16 AL 30 SEPTIEMBRE 2020</t>
  </si>
  <si>
    <t>A1163</t>
  </si>
  <si>
    <t>SERVICIO DE COMPRESION 16 AL 30 SEPTIEMBRE 2020</t>
  </si>
  <si>
    <t>A1164</t>
  </si>
  <si>
    <t>A1165</t>
  </si>
  <si>
    <t>A1166</t>
  </si>
  <si>
    <t>ENTREGA DE MOLECULA 16 AL 30 SEPTIEMBRE 2020 GENERADOR</t>
  </si>
  <si>
    <t>GENERADOR EAV</t>
  </si>
  <si>
    <t>A1167</t>
  </si>
  <si>
    <t>SERVICIO DE COMPRESION 16 AL 30 SEPTIEMBRE 2020 GENERADOR</t>
  </si>
  <si>
    <t>A1168</t>
  </si>
  <si>
    <t>A1170</t>
  </si>
  <si>
    <t>A1173</t>
  </si>
  <si>
    <t>ENTREGA DE MOLECULA 1 AL 14 OCTUBRE 2020</t>
  </si>
  <si>
    <t>A1175</t>
  </si>
  <si>
    <t>A1177</t>
  </si>
  <si>
    <t>A1179</t>
  </si>
  <si>
    <t>A1181</t>
  </si>
  <si>
    <t>A1183</t>
  </si>
  <si>
    <t>A1185</t>
  </si>
  <si>
    <t>ENTREGA DE MOLECULA 1 AL 31 JUIO 2020 CLIENTES VARIOS</t>
  </si>
  <si>
    <t>A1186</t>
  </si>
  <si>
    <t>SERVICIO DE OCMPRESION 1 AL 31 JULIO 2020 CLIENTES VARIOS</t>
  </si>
  <si>
    <t>A1187</t>
  </si>
  <si>
    <t>ENTREGA DE MOLECULA 1 AL 31 AGOSTO 2020 CLIENTES VARIOS</t>
  </si>
  <si>
    <t>A1188</t>
  </si>
  <si>
    <t>SERVICIO DE COMPRESION 1 AL 31 AGOSTO 2020 CLIENTES VARIOS</t>
  </si>
  <si>
    <t>A1189</t>
  </si>
  <si>
    <t>ENTREGA DE MOLECULA 1 AL 30 SPETIEMBRE 2020 CLIENTES VARIOS</t>
  </si>
  <si>
    <t>A1190</t>
  </si>
  <si>
    <t>SERVICIO DE COMPRESION 1 AL 30 SEPTIEMBRE 2020 CLIENTES VARIOS</t>
  </si>
  <si>
    <t>A1191</t>
  </si>
  <si>
    <t>A1193</t>
  </si>
  <si>
    <t>SE REFACTURA EN USD Y SE SUSTITUYE POR FACTURA A1211</t>
  </si>
  <si>
    <t>A1195</t>
  </si>
  <si>
    <t>A1196</t>
  </si>
  <si>
    <t>SERVICIO DE COMPRESION 1 AL 14 OCTUBRE 2020</t>
  </si>
  <si>
    <t>A1197</t>
  </si>
  <si>
    <t>A1199</t>
  </si>
  <si>
    <t>A1201</t>
  </si>
  <si>
    <t>A1202</t>
  </si>
  <si>
    <t>A1203</t>
  </si>
  <si>
    <t>ESTACION LA TINAJA</t>
  </si>
  <si>
    <t>A1204</t>
  </si>
  <si>
    <t>A1205</t>
  </si>
  <si>
    <t>A1206</t>
  </si>
  <si>
    <t>A1207</t>
  </si>
  <si>
    <t>A1209</t>
  </si>
  <si>
    <t>SE APLICA NC 100</t>
  </si>
  <si>
    <t>A1213</t>
  </si>
  <si>
    <t>ENTREGA DE MOLECULA 15 AL 31 OCTUBRE 2020</t>
  </si>
  <si>
    <t>A1215</t>
  </si>
  <si>
    <t>A1217</t>
  </si>
  <si>
    <t>A1220</t>
  </si>
  <si>
    <t>A1222</t>
  </si>
  <si>
    <t>SERVICIO DE COMPRESION 1 AL 15 OCTUBRE 2020</t>
  </si>
  <si>
    <t>SUSTITUYE A FACTURA A1204</t>
  </si>
  <si>
    <t>A1223</t>
  </si>
  <si>
    <t>SUSTITUYE A FACTURA A1206</t>
  </si>
  <si>
    <t>A1224</t>
  </si>
  <si>
    <t>ENTREGA DE MOLECULA 16 AL 31 OCTUBRE 2020</t>
  </si>
  <si>
    <t>A1225</t>
  </si>
  <si>
    <t>SERVICIO DE COMPRESION 16 AL 31 OCTUBRE 2020</t>
  </si>
  <si>
    <t>A1226</t>
  </si>
  <si>
    <t>ENTREGA DE MOLECULA  16 AL 31 OCTUBRE 2020 PARA EL GENERADOR</t>
  </si>
  <si>
    <t>A1227</t>
  </si>
  <si>
    <t>SERVICIO DE COMPRESION 16 AL 31 OCTUBRE 2020 PARA EL GENERADOR</t>
  </si>
  <si>
    <t>A1228</t>
  </si>
  <si>
    <t>A1232</t>
  </si>
  <si>
    <t>A1233</t>
  </si>
  <si>
    <t>SERVICIO DE COMPRESION 15 AL 31 OCTUBRE 2020</t>
  </si>
  <si>
    <t>A1234</t>
  </si>
  <si>
    <t>A1236</t>
  </si>
  <si>
    <t>A1238</t>
  </si>
  <si>
    <t>A1239</t>
  </si>
  <si>
    <t>CANCELACION POR ERROR EN IMPORTE DE FACTURA, SUSTITUYE FACTURA A1250</t>
  </si>
  <si>
    <t>CANCELADA POR ERROR EN EL IMPORTE DE LA FACTURA SUSTITUYE FACTURA A1250</t>
  </si>
  <si>
    <t>A1240</t>
  </si>
  <si>
    <t>A1242</t>
  </si>
  <si>
    <t>A1245</t>
  </si>
  <si>
    <t>A1246</t>
  </si>
  <si>
    <t>A1247</t>
  </si>
  <si>
    <t>A1250</t>
  </si>
  <si>
    <t>A1251</t>
  </si>
  <si>
    <t>A1253</t>
  </si>
  <si>
    <t>ENTREGA DE MOLECULA 1 AL 14 NOVIEMBRE 2020</t>
  </si>
  <si>
    <t>A1255</t>
  </si>
  <si>
    <t>A1257</t>
  </si>
  <si>
    <t>A1259</t>
  </si>
  <si>
    <t>A1261</t>
  </si>
  <si>
    <t>A1265</t>
  </si>
  <si>
    <t>A1267</t>
  </si>
  <si>
    <t>A1269</t>
  </si>
  <si>
    <t>A1270</t>
  </si>
  <si>
    <t>A1271</t>
  </si>
  <si>
    <t>A1273</t>
  </si>
  <si>
    <t>A1275</t>
  </si>
  <si>
    <t>A1276</t>
  </si>
  <si>
    <t>SERVICIO DE COMPRESION 1 AL 14 NOVIEMBRE 2020</t>
  </si>
  <si>
    <t>A1277</t>
  </si>
  <si>
    <t>A1278</t>
  </si>
  <si>
    <t>A1279</t>
  </si>
  <si>
    <t>A1280</t>
  </si>
  <si>
    <t>ENTREGA DE MOLECULA 1 AL 14 NOVIEMBRE 2020 PARA GENERADOR</t>
  </si>
  <si>
    <t>A1281</t>
  </si>
  <si>
    <t>SERVICIO DE COMPRESION 1 AL 14 NOVIEMBRE 2020 PARA GENERADOR</t>
  </si>
  <si>
    <t>SE APLICA NC 111</t>
  </si>
  <si>
    <t>A1282</t>
  </si>
  <si>
    <t>COSTO ADICIONAL POR SERVICIO DE GN (TRANSPORTE EN RUTA ALTERNA POR FUERZA MAYOR) EQUIVALENTE A 3,373.39COSTO ADICIONAL POR SERCICIO DE GN (TRANSPORTE EN RUTA ALTERNA POR FUERZA MAYOR) EQUIVALENTE A
15,023.58 GJ</t>
  </si>
  <si>
    <t>A1283</t>
  </si>
  <si>
    <t>COSTO ADICIONAL POR SERVICIO DE GN (TRANSPORTE EN RUTA ALTERNA POR FUERZA MAYOR) EQUIVALENTE A 3,373.39
GJ</t>
  </si>
  <si>
    <t>A1284</t>
  </si>
  <si>
    <t>A1285</t>
  </si>
  <si>
    <t>CARGO POR CAPACIDAD DE PERIODO 15 AL 30 DE SEPTIEMBRE 2020</t>
  </si>
  <si>
    <t>A1286</t>
  </si>
  <si>
    <t>A1288</t>
  </si>
  <si>
    <t>COSTO ADICIONAL POR SERCICIO DE GN (TRANSPORTE EN RUTA ALTERNA POR FUERZA MAYOR)EQUIVALENTE A 12,805.42
GJ</t>
  </si>
  <si>
    <t>A1294</t>
  </si>
  <si>
    <t>ENTREGA DE MOLECULA 15 AL 30 NOVIEMBRE 2020</t>
  </si>
  <si>
    <t>A1297</t>
  </si>
  <si>
    <t>A1299</t>
  </si>
  <si>
    <t>A1300</t>
  </si>
  <si>
    <t>A1301</t>
  </si>
  <si>
    <t>SERVICIO DE COMPRESION 15 AL 30 NOVIEMBRE 2020</t>
  </si>
  <si>
    <t>A1302</t>
  </si>
  <si>
    <t>ENTREGA DE MOLECULA 15 AL 30 NOVIEMBRE 2020 PARA GENERADOR</t>
  </si>
  <si>
    <t>A1303</t>
  </si>
  <si>
    <t>SERVICIO DE COMPRESION 15 AL 30 NOVIEMBRE 2020 PARA GENERADOR</t>
  </si>
  <si>
    <t>A1306</t>
  </si>
  <si>
    <t>A1308</t>
  </si>
  <si>
    <t>A1311</t>
  </si>
  <si>
    <t>A1314</t>
  </si>
  <si>
    <t>A1315</t>
  </si>
  <si>
    <t>CIMAGAS</t>
  </si>
  <si>
    <t>A1318</t>
  </si>
  <si>
    <t>A1321</t>
  </si>
  <si>
    <t>A1323</t>
  </si>
  <si>
    <t>ENTREGA DE MOLECULA 15 AL 30 NOVIEMBRE 2020 ESTIMADO</t>
  </si>
  <si>
    <t>A1324</t>
  </si>
  <si>
    <t>SERVICIO DE COMPRESION 15 AL 30 NOVIEMBRE 2020 ESTIMADO</t>
  </si>
  <si>
    <t>A1325</t>
  </si>
  <si>
    <t>ENTREGA DE MOLECULA 1 AL 14 DICIEMBRE 2020 ESTIMADO</t>
  </si>
  <si>
    <t>A1326</t>
  </si>
  <si>
    <t>SERVICIO DE COMPRESION 1 AL 14 DICIEMBRE 2020 ESTIMADO</t>
  </si>
  <si>
    <t>A1327</t>
  </si>
  <si>
    <t>A1328</t>
  </si>
  <si>
    <t>A1329</t>
  </si>
  <si>
    <t>A1331</t>
  </si>
  <si>
    <t>A1333</t>
  </si>
  <si>
    <t>A1335</t>
  </si>
  <si>
    <t>A1337</t>
  </si>
  <si>
    <t>A1339</t>
  </si>
  <si>
    <t>A1342</t>
  </si>
  <si>
    <t>ENTREGA DE MOLECULA 1 AL 14 DICIEMBRE 2020</t>
  </si>
  <si>
    <t>A1344</t>
  </si>
  <si>
    <t>A1346</t>
  </si>
  <si>
    <t>A1348</t>
  </si>
  <si>
    <t>A1350</t>
  </si>
  <si>
    <t>ENTREGA DE MOLECULA 1 AL 15 DICIEMBRE 2020</t>
  </si>
  <si>
    <t>A1351</t>
  </si>
  <si>
    <t>SERVICO DE COMPRESION 1 AL 15 DICIEMBRE 2020</t>
  </si>
  <si>
    <t>A1352</t>
  </si>
  <si>
    <t>ENTREGA DE MOLECULA 1 AL 15 DICIEMBRE 2020 PARA GENERADOR</t>
  </si>
  <si>
    <t>A1353</t>
  </si>
  <si>
    <t>SERVICO DE COMPRESION 1 AL 15 DICIEMBRE 2020 PARA GENERADOR</t>
  </si>
  <si>
    <t>A1355</t>
  </si>
  <si>
    <t>A1357</t>
  </si>
  <si>
    <t>A1361</t>
  </si>
  <si>
    <t>A1363</t>
  </si>
  <si>
    <t>A1365</t>
  </si>
  <si>
    <t>A1367</t>
  </si>
  <si>
    <t>A1369</t>
  </si>
  <si>
    <t>SUSTITUYE A FACTURA A1352</t>
  </si>
  <si>
    <t>A1370</t>
  </si>
  <si>
    <t>SUSTITUYE A FACTURA A1353</t>
  </si>
  <si>
    <t>A1371</t>
  </si>
  <si>
    <t>ENTREGA DE MOLECULA 16 AL 27 DICIEMBRE 2020</t>
  </si>
  <si>
    <t>A1372</t>
  </si>
  <si>
    <t>SERVICO DE COMPRESION 16 AL 27 DICIEMBRE 2020</t>
  </si>
  <si>
    <t>A1373</t>
  </si>
  <si>
    <t>ENTREGA DE MOLECULA 16 AL 27 DICIEMBRE 2020 PARA GENERADOR</t>
  </si>
  <si>
    <t>A1374</t>
  </si>
  <si>
    <t>SERVICO DE COMPRESION 16 AL 27 DICIEMBRE 2020 PARA GENERADOR</t>
  </si>
  <si>
    <t>A1375</t>
  </si>
  <si>
    <t>A1376</t>
  </si>
  <si>
    <t>A1377</t>
  </si>
  <si>
    <t>ENTREGA DE MOLECULA DE 15 AL 29 DICIEMBRE 2020</t>
  </si>
  <si>
    <t>A1379</t>
  </si>
  <si>
    <t>ENTREGA DE MOLECULA DE 30 AL 31 DICIEMBRE 2020</t>
  </si>
  <si>
    <t>A1381</t>
  </si>
  <si>
    <t>ENTREGA DE MOLECULA 15 AL 31 DICEMBRE 2020</t>
  </si>
  <si>
    <t>A1383</t>
  </si>
  <si>
    <t>A1385</t>
  </si>
  <si>
    <t>A1387</t>
  </si>
  <si>
    <t>A1389</t>
  </si>
  <si>
    <t>ENTREGA DE MOLECULA 28 AL 31 DICEMBRE 2020</t>
  </si>
  <si>
    <t>A1390</t>
  </si>
  <si>
    <t>A1391</t>
  </si>
  <si>
    <t>A1392</t>
  </si>
  <si>
    <t>A1393</t>
  </si>
  <si>
    <t>SE APLICA NC 121 PAGO POR MX$62,025.83 PARA FACTURAS A1393 Y A1394</t>
  </si>
  <si>
    <t>A1394</t>
  </si>
  <si>
    <t>SERVICIO DE COMPRESION 28 AL 31 DICIEMBRE 2020</t>
  </si>
  <si>
    <t>pago por mx$62,025.83 SE APLICA NC122</t>
  </si>
  <si>
    <t>A1395</t>
  </si>
  <si>
    <t>A1396</t>
  </si>
  <si>
    <t>A1397</t>
  </si>
  <si>
    <t>ENTREGA DE MOLECULA 28 AL 31 DICEMBRE 2020 PARA EL GENERADOR</t>
  </si>
  <si>
    <t>A1398</t>
  </si>
  <si>
    <t>SERVICIO DE COMPRESION 28 AL 31 DICIEMBRE 2020 PARA EL GENERADOR</t>
  </si>
  <si>
    <t>A1402</t>
  </si>
  <si>
    <t>A1403</t>
  </si>
  <si>
    <t>SERVICIO DE COMPRESION 1 AL 14 DICIEMBRE 2020</t>
  </si>
  <si>
    <t>A1404</t>
  </si>
  <si>
    <t>A1405</t>
  </si>
  <si>
    <t>A1406</t>
  </si>
  <si>
    <t>A1408</t>
  </si>
  <si>
    <t>SERVICIO DE COMPRESION 15 AL 31 DICIEMBRE 2020</t>
  </si>
  <si>
    <t>A1410</t>
  </si>
  <si>
    <t>A1412</t>
  </si>
  <si>
    <t>A1414</t>
  </si>
  <si>
    <t>PAGO EN MXN FACTURAS A1414 $610,053.80 Y A1336 POR $192,669.53</t>
  </si>
  <si>
    <t>A1416</t>
  </si>
  <si>
    <t>A1417</t>
  </si>
  <si>
    <t>A1419</t>
  </si>
  <si>
    <t>TRASLADO DE MOLECULA 1 AL 15 ENERO 2021</t>
  </si>
  <si>
    <t>A1420</t>
  </si>
  <si>
    <t>A1421</t>
  </si>
  <si>
    <t>A1422</t>
  </si>
  <si>
    <t>A1423</t>
  </si>
  <si>
    <t>A1424</t>
  </si>
  <si>
    <t>A1425</t>
  </si>
  <si>
    <t>A1426</t>
  </si>
  <si>
    <t>A1427</t>
  </si>
  <si>
    <t>A1428</t>
  </si>
  <si>
    <t>A1429</t>
  </si>
  <si>
    <t>A1430</t>
  </si>
  <si>
    <t>A1431</t>
  </si>
  <si>
    <t>A1432</t>
  </si>
  <si>
    <t>A1433</t>
  </si>
  <si>
    <t>A1434</t>
  </si>
  <si>
    <t>A1435</t>
  </si>
  <si>
    <t>A1436</t>
  </si>
  <si>
    <t>A1437</t>
  </si>
  <si>
    <t>A1438</t>
  </si>
  <si>
    <t>A1439</t>
  </si>
  <si>
    <t>A1440</t>
  </si>
  <si>
    <t>A1441</t>
  </si>
  <si>
    <t>A1442</t>
  </si>
  <si>
    <t>A1443</t>
  </si>
  <si>
    <t>A1444</t>
  </si>
  <si>
    <t>A1445</t>
  </si>
  <si>
    <t>A1446</t>
  </si>
  <si>
    <t>A1447</t>
  </si>
  <si>
    <t>A1451</t>
  </si>
  <si>
    <t>ENTREGA DE MOLECULA 1 AL 31 DICIEMBRE 2020</t>
  </si>
  <si>
    <t>ECOGNV CARDENAS</t>
  </si>
  <si>
    <t>A1453</t>
  </si>
  <si>
    <t>ENTREGA DE MOLECULA 1 AL 14 ENERO 2021</t>
  </si>
  <si>
    <t>A1455</t>
  </si>
  <si>
    <t>A1457</t>
  </si>
  <si>
    <t>A1459</t>
  </si>
  <si>
    <t>A1461</t>
  </si>
  <si>
    <t>CANCELADA POR COMPLEMENTO D EPAGO ERRONEO Y EXTEMPORANEO SUSTITUYE FACTURA A1824</t>
  </si>
  <si>
    <t>A1463</t>
  </si>
  <si>
    <t>A1465</t>
  </si>
  <si>
    <t>ENTREGA DE MOLECULA 1 AL 15 ENERO 2021</t>
  </si>
  <si>
    <t>A1466</t>
  </si>
  <si>
    <t>SERVICIO DE COMPRESION 1 AL 15 ENERO 2021</t>
  </si>
  <si>
    <t>A1467</t>
  </si>
  <si>
    <t>A1468</t>
  </si>
  <si>
    <t>A1469</t>
  </si>
  <si>
    <t>ENTREGA DE MOLECULA 1 AL 15 ENERO 2021 PARA GENERADOR</t>
  </si>
  <si>
    <t>A1470</t>
  </si>
  <si>
    <t>SERVICIO DE COMPRESION 1 AL 15 ENERO 2021 PARA GENERADOR</t>
  </si>
  <si>
    <t>A1471</t>
  </si>
  <si>
    <t>A1472</t>
  </si>
  <si>
    <t>SERVICIO DE COMPRESION 1 AL 14 ENERO 2021</t>
  </si>
  <si>
    <t>A1473</t>
  </si>
  <si>
    <t>A1475</t>
  </si>
  <si>
    <t>ENTREGA DE MOLECULA  1 AL 14 ENERO 2021</t>
  </si>
  <si>
    <t>A1477</t>
  </si>
  <si>
    <t>A1478</t>
  </si>
  <si>
    <t>A1480</t>
  </si>
  <si>
    <t>A1483</t>
  </si>
  <si>
    <t>A1485</t>
  </si>
  <si>
    <t>A1487</t>
  </si>
  <si>
    <t>A1489</t>
  </si>
  <si>
    <t>ENTREGA DE MOLECULA 16 AL 31 ENERO 2021</t>
  </si>
  <si>
    <t>aplicar nc</t>
  </si>
  <si>
    <t>A1490</t>
  </si>
  <si>
    <t>SERVICIO DE COMPRESION 16 AL 31 ENERO 2021</t>
  </si>
  <si>
    <t>SE APLICA NC116</t>
  </si>
  <si>
    <t>A1491</t>
  </si>
  <si>
    <t>A1492</t>
  </si>
  <si>
    <t>A1493</t>
  </si>
  <si>
    <t>ENTREGA DE MOLECULA 16 AL 31 ENERO 2021 PARA EL GENERADOR</t>
  </si>
  <si>
    <t>A1494</t>
  </si>
  <si>
    <t>SERVICIO DE COMPRESION 16 AL 31 ENERO 2021 PARA EL GENERADOR</t>
  </si>
  <si>
    <t>A1495</t>
  </si>
  <si>
    <t>A1496</t>
  </si>
  <si>
    <t>TRASLADO DE MOLECULA 1 AL 14 FEBRERO 2021</t>
  </si>
  <si>
    <t>A1497</t>
  </si>
  <si>
    <t>A1498</t>
  </si>
  <si>
    <t>A1499</t>
  </si>
  <si>
    <t>A1500</t>
  </si>
  <si>
    <t>A1501</t>
  </si>
  <si>
    <t>A1502</t>
  </si>
  <si>
    <t>A1503</t>
  </si>
  <si>
    <t>A1504</t>
  </si>
  <si>
    <t>A1505</t>
  </si>
  <si>
    <t>A1506</t>
  </si>
  <si>
    <t>A1507</t>
  </si>
  <si>
    <t>A1508</t>
  </si>
  <si>
    <t>A1509</t>
  </si>
  <si>
    <t>A1510</t>
  </si>
  <si>
    <t>A1511</t>
  </si>
  <si>
    <t>A1512</t>
  </si>
  <si>
    <t>A1513</t>
  </si>
  <si>
    <t>A1514</t>
  </si>
  <si>
    <t>A1515</t>
  </si>
  <si>
    <t>A1516</t>
  </si>
  <si>
    <t>A1517</t>
  </si>
  <si>
    <t>A1519</t>
  </si>
  <si>
    <t>A1520</t>
  </si>
  <si>
    <t>A1521</t>
  </si>
  <si>
    <t>A1522</t>
  </si>
  <si>
    <t>A1523</t>
  </si>
  <si>
    <t>A1524</t>
  </si>
  <si>
    <t>A1525</t>
  </si>
  <si>
    <t>ENTREGA DE MOLECULA 15 AL 31 ENERO 2021</t>
  </si>
  <si>
    <t>A1527</t>
  </si>
  <si>
    <t>A1529</t>
  </si>
  <si>
    <t>A1531</t>
  </si>
  <si>
    <t>A1533</t>
  </si>
  <si>
    <t>A1534</t>
  </si>
  <si>
    <t>A1536</t>
  </si>
  <si>
    <t>PAGO POR MX$1,000,000 22/06/2021</t>
  </si>
  <si>
    <t>A1538</t>
  </si>
  <si>
    <t>A1539</t>
  </si>
  <si>
    <t>A1540</t>
  </si>
  <si>
    <t>A1541</t>
  </si>
  <si>
    <t>A1542</t>
  </si>
  <si>
    <t>A1543</t>
  </si>
  <si>
    <t>A1544</t>
  </si>
  <si>
    <t>A1545</t>
  </si>
  <si>
    <t>A1546</t>
  </si>
  <si>
    <t>A1547</t>
  </si>
  <si>
    <t>A1548</t>
  </si>
  <si>
    <t>A1549</t>
  </si>
  <si>
    <t>A1550</t>
  </si>
  <si>
    <t>A1551</t>
  </si>
  <si>
    <t>ENTREGA MOLECULA 15 AL 31 ENERO 2021</t>
  </si>
  <si>
    <t>A1552</t>
  </si>
  <si>
    <t>SERVICIO DE COMPRESION 15 AL 31 ENERO 2021</t>
  </si>
  <si>
    <t>A1553</t>
  </si>
  <si>
    <t>A1555</t>
  </si>
  <si>
    <t>A1557</t>
  </si>
  <si>
    <t>A1559</t>
  </si>
  <si>
    <t>A1560</t>
  </si>
  <si>
    <t>A1561</t>
  </si>
  <si>
    <t>A1563</t>
  </si>
  <si>
    <t>A1565</t>
  </si>
  <si>
    <t>A1567</t>
  </si>
  <si>
    <t>A1568</t>
  </si>
  <si>
    <t>A1569</t>
  </si>
  <si>
    <t>A1570</t>
  </si>
  <si>
    <t>A1571</t>
  </si>
  <si>
    <t>A1572</t>
  </si>
  <si>
    <t>A1573</t>
  </si>
  <si>
    <t>A1574</t>
  </si>
  <si>
    <t>A1575</t>
  </si>
  <si>
    <t>A1576</t>
  </si>
  <si>
    <t>A1577</t>
  </si>
  <si>
    <t>A1578</t>
  </si>
  <si>
    <t>A1579</t>
  </si>
  <si>
    <t>A1580</t>
  </si>
  <si>
    <t>A1581</t>
  </si>
  <si>
    <t>A1582</t>
  </si>
  <si>
    <t>A1583</t>
  </si>
  <si>
    <t>A1584</t>
  </si>
  <si>
    <t>A1585</t>
  </si>
  <si>
    <t>A1586</t>
  </si>
  <si>
    <t>SE APLICA NC 114</t>
  </si>
  <si>
    <t>A1587</t>
  </si>
  <si>
    <t>A1588</t>
  </si>
  <si>
    <t>A1589</t>
  </si>
  <si>
    <t>A1590</t>
  </si>
  <si>
    <t>A1591</t>
  </si>
  <si>
    <t>A1592</t>
  </si>
  <si>
    <t>A1593</t>
  </si>
  <si>
    <t>A1594</t>
  </si>
  <si>
    <t>A1595</t>
  </si>
  <si>
    <t>A1596</t>
  </si>
  <si>
    <t>A1597</t>
  </si>
  <si>
    <t>A1598</t>
  </si>
  <si>
    <t>A1599</t>
  </si>
  <si>
    <t>A1600</t>
  </si>
  <si>
    <t>A1601</t>
  </si>
  <si>
    <t>A1602</t>
  </si>
  <si>
    <t>A1603</t>
  </si>
  <si>
    <t>A1604</t>
  </si>
  <si>
    <t>A1605</t>
  </si>
  <si>
    <t>A1606</t>
  </si>
  <si>
    <t>A1607</t>
  </si>
  <si>
    <t>A1608</t>
  </si>
  <si>
    <t>A1609</t>
  </si>
  <si>
    <t>A1610</t>
  </si>
  <si>
    <t>A1611</t>
  </si>
  <si>
    <t>A1612</t>
  </si>
  <si>
    <t>A1613</t>
  </si>
  <si>
    <t>A1614</t>
  </si>
  <si>
    <t>A1615</t>
  </si>
  <si>
    <t>A1616</t>
  </si>
  <si>
    <t>A1617</t>
  </si>
  <si>
    <t>A1618</t>
  </si>
  <si>
    <t>A1619</t>
  </si>
  <si>
    <t>A1620</t>
  </si>
  <si>
    <t>A1621</t>
  </si>
  <si>
    <t>A1622</t>
  </si>
  <si>
    <t>A1623</t>
  </si>
  <si>
    <t>A1624</t>
  </si>
  <si>
    <t>A1625</t>
  </si>
  <si>
    <t>A1626</t>
  </si>
  <si>
    <t>A1627</t>
  </si>
  <si>
    <t>A1628</t>
  </si>
  <si>
    <t>A1629</t>
  </si>
  <si>
    <t>A1630</t>
  </si>
  <si>
    <t>A1631</t>
  </si>
  <si>
    <t>A1632</t>
  </si>
  <si>
    <t>A1633</t>
  </si>
  <si>
    <t>A1634</t>
  </si>
  <si>
    <t>A1635</t>
  </si>
  <si>
    <t>A1636</t>
  </si>
  <si>
    <t>A1637</t>
  </si>
  <si>
    <t>A1638</t>
  </si>
  <si>
    <t>A1639</t>
  </si>
  <si>
    <t>A1640</t>
  </si>
  <si>
    <t>A1641</t>
  </si>
  <si>
    <t>A1642</t>
  </si>
  <si>
    <t>A1643</t>
  </si>
  <si>
    <t>A1644</t>
  </si>
  <si>
    <t>A1645</t>
  </si>
  <si>
    <t>SE APLICA NC 112</t>
  </si>
  <si>
    <t>A1646</t>
  </si>
  <si>
    <t>A1647</t>
  </si>
  <si>
    <t>A1648</t>
  </si>
  <si>
    <t>A1649</t>
  </si>
  <si>
    <t>A1650</t>
  </si>
  <si>
    <t>A1651</t>
  </si>
  <si>
    <t>A1652</t>
  </si>
  <si>
    <t>A1653</t>
  </si>
  <si>
    <t>A1654</t>
  </si>
  <si>
    <t>A1655</t>
  </si>
  <si>
    <t>A1656</t>
  </si>
  <si>
    <t>A1657</t>
  </si>
  <si>
    <t>A1658</t>
  </si>
  <si>
    <t>A1659</t>
  </si>
  <si>
    <t>A1660</t>
  </si>
  <si>
    <t>A1661</t>
  </si>
  <si>
    <t>A1662</t>
  </si>
  <si>
    <t>A1663</t>
  </si>
  <si>
    <t>A1664</t>
  </si>
  <si>
    <t>SE APLICA NC 113</t>
  </si>
  <si>
    <t>A1665</t>
  </si>
  <si>
    <t>A1666</t>
  </si>
  <si>
    <t>A1667</t>
  </si>
  <si>
    <t>A1668</t>
  </si>
  <si>
    <t>A1669</t>
  </si>
  <si>
    <t>A1670</t>
  </si>
  <si>
    <t>A1671</t>
  </si>
  <si>
    <t>A1672</t>
  </si>
  <si>
    <t>A1673</t>
  </si>
  <si>
    <t>A1674</t>
  </si>
  <si>
    <t>A1675</t>
  </si>
  <si>
    <t>A1676</t>
  </si>
  <si>
    <t>A1677</t>
  </si>
  <si>
    <t>A1678</t>
  </si>
  <si>
    <t>A1679</t>
  </si>
  <si>
    <t>A1680</t>
  </si>
  <si>
    <t>A1681</t>
  </si>
  <si>
    <t>A1682</t>
  </si>
  <si>
    <t>A1683</t>
  </si>
  <si>
    <t>A1684</t>
  </si>
  <si>
    <t>A1685</t>
  </si>
  <si>
    <t>A1686</t>
  </si>
  <si>
    <t>A1687</t>
  </si>
  <si>
    <t>A1688</t>
  </si>
  <si>
    <t>A1689</t>
  </si>
  <si>
    <t>A1690</t>
  </si>
  <si>
    <t>A1691</t>
  </si>
  <si>
    <t>A1692</t>
  </si>
  <si>
    <t>A1693</t>
  </si>
  <si>
    <t>A1694</t>
  </si>
  <si>
    <t>A1695</t>
  </si>
  <si>
    <t>A1696</t>
  </si>
  <si>
    <t>A1697</t>
  </si>
  <si>
    <t>A1698</t>
  </si>
  <si>
    <t>A1699</t>
  </si>
  <si>
    <t>A1702</t>
  </si>
  <si>
    <t>SERVICIO DE COMPRESION 1 AL 14 FEBRERO 2021</t>
  </si>
  <si>
    <t>A1703</t>
  </si>
  <si>
    <t>ENTREGA DE MOLECULA 1 AL 14 FEBRERO 2021</t>
  </si>
  <si>
    <t>A1704</t>
  </si>
  <si>
    <t>A1707</t>
  </si>
  <si>
    <t>A1709</t>
  </si>
  <si>
    <t>A1710</t>
  </si>
  <si>
    <t>A1712</t>
  </si>
  <si>
    <t>A1714</t>
  </si>
  <si>
    <t>ENTREGA DE MOLECULA 1 AL 15 FEBRERO 2021</t>
  </si>
  <si>
    <t>A1715</t>
  </si>
  <si>
    <t>SERVICIO DE COMRESION 1 AL 15 FEBRERO 2021</t>
  </si>
  <si>
    <t>A1716</t>
  </si>
  <si>
    <t>ENTREGA DE MOLECULA 1 AL 15 FEBRERO 2021 GENERADOR</t>
  </si>
  <si>
    <t>A1717</t>
  </si>
  <si>
    <t>SERVICIO DE COMRESION 1 AL 15 FEBRERO 2021 GENERADOR</t>
  </si>
  <si>
    <t>A1718</t>
  </si>
  <si>
    <t>ENTREGA DE MOLECULA 16 AL 28 FEBRERO 2021</t>
  </si>
  <si>
    <t>A1719</t>
  </si>
  <si>
    <t>SERVICIO DE COMRESION 16 AL 28 FEBRERO 2021</t>
  </si>
  <si>
    <t>A1720</t>
  </si>
  <si>
    <t>ENTREGA DE MOLECULA 16 AL 28 FEBRERO 2021 GENERADOR</t>
  </si>
  <si>
    <t>A1721</t>
  </si>
  <si>
    <t>SERVICIO DE COMRESION 16 AL 28 FEBRERO 2021 GENERADOR</t>
  </si>
  <si>
    <t>A1722</t>
  </si>
  <si>
    <t>A1723</t>
  </si>
  <si>
    <t>A1724</t>
  </si>
  <si>
    <t>A1725</t>
  </si>
  <si>
    <t>A1726</t>
  </si>
  <si>
    <t>A1728</t>
  </si>
  <si>
    <t>A1730</t>
  </si>
  <si>
    <t>A1732</t>
  </si>
  <si>
    <t>A1734</t>
  </si>
  <si>
    <t>A1740</t>
  </si>
  <si>
    <t>A1742</t>
  </si>
  <si>
    <t>ENTREGA DE MOLECULA 15 AL 28 FEBRERO 2021</t>
  </si>
  <si>
    <t>A1743</t>
  </si>
  <si>
    <t>SERVICIO DE COMPRESION 15 AL 28 FEBRERO 2021</t>
  </si>
  <si>
    <t>A1744</t>
  </si>
  <si>
    <t>A1746</t>
  </si>
  <si>
    <t>A1750</t>
  </si>
  <si>
    <t>A1752</t>
  </si>
  <si>
    <t>A1753</t>
  </si>
  <si>
    <t>A1754</t>
  </si>
  <si>
    <t>A1756</t>
  </si>
  <si>
    <t>A1758</t>
  </si>
  <si>
    <t>A1761</t>
  </si>
  <si>
    <t>A1763</t>
  </si>
  <si>
    <t>A1765</t>
  </si>
  <si>
    <t>A1767</t>
  </si>
  <si>
    <t>A1771</t>
  </si>
  <si>
    <t>ANTICIPO POR MX$ 180,000.00 06/07/2021</t>
  </si>
  <si>
    <t>A1773</t>
  </si>
  <si>
    <t>TRASLADO DE MOLECULA 15 AL 31 MARZO 2021</t>
  </si>
  <si>
    <t>A1774</t>
  </si>
  <si>
    <t>A1775</t>
  </si>
  <si>
    <t>CARGO POR CAPACIDAD DE GAS NATURAL NO UTILIZADA 16 AL 20 FEBRERO 2021 EQUIVALENTE A 1,044.30 GJ</t>
  </si>
  <si>
    <t>A1776</t>
  </si>
  <si>
    <t>A1777</t>
  </si>
  <si>
    <t>A1778</t>
  </si>
  <si>
    <t>CARGO POR CAPACIDAD DE GAS NATURAL NO UTILIZADA 16 AL 20 FEBRERO 2021 EQUIVALENTE A 418.64 MMBtu</t>
  </si>
  <si>
    <t>A1779</t>
  </si>
  <si>
    <t>CARGO POR CAPACIDAD DE GAS NATURAL NO UTILIZADA 16 AL 21 FEBRERO 2021 EQUIVALENTE A 683.29 MMBtu</t>
  </si>
  <si>
    <t>A1781</t>
  </si>
  <si>
    <t>CARGO POR CAPACIDAD DE GAS NATURAL NO UTILIZADA 16 AL 20 FEBRERO 2021 EQUIVALENTE A 886.46 MMBtu</t>
  </si>
  <si>
    <t>A1782</t>
  </si>
  <si>
    <t>CARGO POR CAPACIDAD DE GAS NATURAL NO UTILIZADA 16 AL 20 FEBRERO 2021 EQUIVALENTE A 7,965.00 GJ</t>
  </si>
  <si>
    <t>A1783</t>
  </si>
  <si>
    <t>CARGO POR CAPACIDAD DE GAS NATURAL NO UTILIZADA 13 AL 22 FEBRERO 2021 EQUIVALENTE A 4,410.81 MMBtu</t>
  </si>
  <si>
    <t>A1784</t>
  </si>
  <si>
    <t>CARGO POR CAPACIDAD DE GAS NATURAL NO UTILIZADA 16 AL 20 FEBRERO 2021 EQUIVALENTE A 2,200.38 MMBtu</t>
  </si>
  <si>
    <t>A1785</t>
  </si>
  <si>
    <t>CARGO POR CAPACIDAD DE GAS NATURAL NO UTILIZADA 13 AL 22 FEBRERO 2021 EQUIVALENTE A 4,961.40 GJ</t>
  </si>
  <si>
    <t>A1786</t>
  </si>
  <si>
    <t>CARGO POR CAPACIDAD DE GAS NATURAL NO UTILIZADA 13 AL 22 FEBRERO 2021  EQUIVALENTE A 8,182.33 GJ</t>
  </si>
  <si>
    <t>A1787</t>
  </si>
  <si>
    <t>CARGO POR CAPACIDAD DE GAS NATURAL NO UTILIZADA 13 AL 22 FEBRERO 2021 EQUIVALENTE A 5,857.39 GJ</t>
  </si>
  <si>
    <t>A1788</t>
  </si>
  <si>
    <t>ENTREGA DE MOLECULA 1 AL 14 MARZO 2021</t>
  </si>
  <si>
    <t>A1789</t>
  </si>
  <si>
    <t>SERVICIO DE COMPRESION 1 AL 14 MARZO 2021</t>
  </si>
  <si>
    <t>A1790</t>
  </si>
  <si>
    <t>A1792</t>
  </si>
  <si>
    <t>A1797</t>
  </si>
  <si>
    <t>A1798</t>
  </si>
  <si>
    <t>A1799</t>
  </si>
  <si>
    <t>A1801</t>
  </si>
  <si>
    <t>A1803</t>
  </si>
  <si>
    <t>A1805</t>
  </si>
  <si>
    <t>A1807</t>
  </si>
  <si>
    <t>A1809</t>
  </si>
  <si>
    <t>PAGO 26/04/2021 POR mx$503,314.95 Y PAGO MX$52,318.61 EL 24/05/2021</t>
  </si>
  <si>
    <t>A1811</t>
  </si>
  <si>
    <t>A1813</t>
  </si>
  <si>
    <t>A1815</t>
  </si>
  <si>
    <t>ENTREGA DE MOLECULA 1 AL 15 MARZO 2021</t>
  </si>
  <si>
    <t>A1816</t>
  </si>
  <si>
    <t>A1817</t>
  </si>
  <si>
    <t>ENTREGA DE MOLECULA 1 AL 15 MARZO 2021 GENERADOR</t>
  </si>
  <si>
    <t>A1818</t>
  </si>
  <si>
    <t>SERVICIO DE COMPRESION 1 AL 15 MARZO 2021 GENERADOR</t>
  </si>
  <si>
    <t>A1819</t>
  </si>
  <si>
    <t>A1820</t>
  </si>
  <si>
    <t>SERVICIO DE COMPRESION 1 AL 15 MARZO 2021</t>
  </si>
  <si>
    <t>A1821</t>
  </si>
  <si>
    <t>APLICAR NC</t>
  </si>
  <si>
    <t>A1822</t>
  </si>
  <si>
    <t>A1824</t>
  </si>
  <si>
    <t>CANCELADO POR ERROR EN LA RELACIÓN DE FACTURAS A1461, A1824 SUSITUYE A1825</t>
  </si>
  <si>
    <t>A1825</t>
  </si>
  <si>
    <t>A1826</t>
  </si>
  <si>
    <t>A1827</t>
  </si>
  <si>
    <t>DIFERENCIA POR ENTREGA DE MOLECULA 16 AL 31 ENERO AL 2021</t>
  </si>
  <si>
    <t>A1828</t>
  </si>
  <si>
    <t>DIFERENCIA POR SERVICIO DE GNC 16 AL 31 DE ENERO 2021</t>
  </si>
  <si>
    <t>A1829</t>
  </si>
  <si>
    <t>A1830</t>
  </si>
  <si>
    <t>A1831</t>
  </si>
  <si>
    <t>DIFERENCIA POR ENTREGA DE MOLECULA 16 AL 31 ENERO AL 2021 GENERADOR</t>
  </si>
  <si>
    <t>A1832</t>
  </si>
  <si>
    <t>DIFERENCIA DE SERVICIO DE COMPRESION, SUMINISTRO DE GAS NATURAL EQUIVALENTE A 100.80 m3, PARA EL
GENERADOR.</t>
  </si>
  <si>
    <t>REVISAR</t>
  </si>
  <si>
    <t>A1833</t>
  </si>
  <si>
    <t>DIFERENCIA POR ENTREGA DE MOLECULA 16 AL 28 FEBRERO 2021</t>
  </si>
  <si>
    <t>A1834</t>
  </si>
  <si>
    <t xml:space="preserve">DIFERENCIA POR SERVICIO DE GNC 16 AL 28 FEBRERO 2021 </t>
  </si>
  <si>
    <t>A1835</t>
  </si>
  <si>
    <t>DIFERENCIA POR ENTREGA DE MOLECULA 16 AL 28 FEBRERO 2021 GENERADOR</t>
  </si>
  <si>
    <t>revisar conciliacion con eav</t>
  </si>
  <si>
    <t>A1836</t>
  </si>
  <si>
    <t>DIFERENCIA POR SERVICIO DE GNC 16 AL 28 FEBRERO 2021 GENERADOR</t>
  </si>
  <si>
    <t>SE APLICA NC123 POR MX$10,648.17</t>
  </si>
  <si>
    <t>A1837</t>
  </si>
  <si>
    <t>ENTREGA DE MOLECULA 16 AL 31 MARZO 2021</t>
  </si>
  <si>
    <t>A1838</t>
  </si>
  <si>
    <t>SERVICIO DE COMPRESION 16 AL 31 MARZO 2021</t>
  </si>
  <si>
    <t>A1839</t>
  </si>
  <si>
    <t>ENTREGA DE MOLECULA 16 AL 31 MARZO 2021 GENERADOR</t>
  </si>
  <si>
    <t>A1840</t>
  </si>
  <si>
    <t>SERVICIO DE COMPRESION 16 AL 31 MARZO 2021 GENERADOR</t>
  </si>
  <si>
    <t>A1841</t>
  </si>
  <si>
    <t>A1842</t>
  </si>
  <si>
    <t>A1843</t>
  </si>
  <si>
    <t>ENTREGA DE MOLECULA 15 AL 31 MARZO 2021</t>
  </si>
  <si>
    <t>A1845</t>
  </si>
  <si>
    <t>A1847</t>
  </si>
  <si>
    <t>A1849</t>
  </si>
  <si>
    <t>A1851</t>
  </si>
  <si>
    <t>A1852</t>
  </si>
  <si>
    <t>A1854</t>
  </si>
  <si>
    <t>A1855</t>
  </si>
  <si>
    <t>SERVICIO DE COMPRESION 15 AL 31 MARZO 2021</t>
  </si>
  <si>
    <t>A1856</t>
  </si>
  <si>
    <t>A1858</t>
  </si>
  <si>
    <t>A1862</t>
  </si>
  <si>
    <t>A1864</t>
  </si>
  <si>
    <t>A1865</t>
  </si>
  <si>
    <t>A1866</t>
  </si>
  <si>
    <t>A1868</t>
  </si>
  <si>
    <t>A1870</t>
  </si>
  <si>
    <t>A1872</t>
  </si>
  <si>
    <t>A1873</t>
  </si>
  <si>
    <t>SUTITUYE A LA FACTURA A1851</t>
  </si>
  <si>
    <t>A1874</t>
  </si>
  <si>
    <t>A1876</t>
  </si>
  <si>
    <t>TRASLADO POR ENTREGA DE MOLECULA 11 DE ABRIL 2021</t>
  </si>
  <si>
    <t>A1877</t>
  </si>
  <si>
    <t>CARGO POR CAPACIDAD DE ENTREGA DE MOLECULA GAS NATURAL EN SUS INSTALACIONES EQUIVLENTE A 4,668.74 GJ
GJ</t>
  </si>
  <si>
    <t>esta factura estaba cambiada por la 1878, sin embargo la factura se pagó correctamente por el cliente GreenValley</t>
  </si>
  <si>
    <t>A1878</t>
  </si>
  <si>
    <t>CARGO POR CAPACIDAD POR ENTREGA DE MOLECULA DE GAS NATURAL EN SUS INSTALACIONES EQUIVALENTE A 4,409.17 
GJ</t>
  </si>
  <si>
    <t>sustituye por la 3324</t>
  </si>
  <si>
    <t>A1880</t>
  </si>
  <si>
    <t>TRASLADO POR ENTREGA DE MOLECULA 15 DE ABRIL 2021</t>
  </si>
  <si>
    <t>A1881</t>
  </si>
  <si>
    <t>A1882</t>
  </si>
  <si>
    <t>A1883</t>
  </si>
  <si>
    <t>A1884</t>
  </si>
  <si>
    <t>A1885</t>
  </si>
  <si>
    <t>A1886</t>
  </si>
  <si>
    <t>ENTREGA DE MOLECULA 1 AL 14 ABRIL 2021</t>
  </si>
  <si>
    <t>A1887</t>
  </si>
  <si>
    <t>SERVICIO DE COMPRESION 1 AL 14 ABRIL 2021</t>
  </si>
  <si>
    <t>A1888</t>
  </si>
  <si>
    <t>A1890</t>
  </si>
  <si>
    <t>A1894</t>
  </si>
  <si>
    <t>A1896</t>
  </si>
  <si>
    <t>A1897</t>
  </si>
  <si>
    <t>A1898</t>
  </si>
  <si>
    <t>A1900</t>
  </si>
  <si>
    <t>A1902</t>
  </si>
  <si>
    <t>A1904</t>
  </si>
  <si>
    <t>A1906</t>
  </si>
  <si>
    <t>A1908</t>
  </si>
  <si>
    <t>A1910</t>
  </si>
  <si>
    <t>A1912</t>
  </si>
  <si>
    <t>A1914</t>
  </si>
  <si>
    <t>ENTREGA DE MOLECULA 1 AL 15 ABRIL 2021</t>
  </si>
  <si>
    <t>A1915</t>
  </si>
  <si>
    <t>SERVICIO DE COMPRESION 1 AL 15 ABRIL 2021</t>
  </si>
  <si>
    <t>A1916</t>
  </si>
  <si>
    <t>ENTREGA DE MOLECULA 1 AL 15 ABRIL 2021 PARA GENERADOR</t>
  </si>
  <si>
    <t>A1917</t>
  </si>
  <si>
    <t>SERVICIO DE COMPRESION 1 AL 15 ABRIL 2021 PARA GENERADOR</t>
  </si>
  <si>
    <t>A1918</t>
  </si>
  <si>
    <t>A1919</t>
  </si>
  <si>
    <t>A1920</t>
  </si>
  <si>
    <t>A1921</t>
  </si>
  <si>
    <t>A1923</t>
  </si>
  <si>
    <t>A1925</t>
  </si>
  <si>
    <t>ENTREGA DE MOLECULA 16 AL 30 ABRIL 2021</t>
  </si>
  <si>
    <t>A1926</t>
  </si>
  <si>
    <t>SERVICIO DE COMPRESION 16 AL 30 ABRIL 2021</t>
  </si>
  <si>
    <t>PAGO POR MX $ 743,320.53 APLICAR NC</t>
  </si>
  <si>
    <t>A1927</t>
  </si>
  <si>
    <t>ENTREGA DE MOLECULA 16 AL 30 ABRIL 2021 PARA GENERADOR</t>
  </si>
  <si>
    <t>A1928</t>
  </si>
  <si>
    <t>SERVICIO DE COMPRESION 16 AL 30 ABRIL 2021 PARA GENERADOR</t>
  </si>
  <si>
    <t>A1929</t>
  </si>
  <si>
    <t>A1930</t>
  </si>
  <si>
    <t>A1931</t>
  </si>
  <si>
    <t>ENTREGA DE MOLECULA 15 AL 30 ABRIL 2021</t>
  </si>
  <si>
    <t>A1933</t>
  </si>
  <si>
    <t>A1934</t>
  </si>
  <si>
    <t>SERVICIO DE COMPRESION 15 AL 30 ABRIL 2021</t>
  </si>
  <si>
    <t>A1935</t>
  </si>
  <si>
    <t>A1936</t>
  </si>
  <si>
    <t>A1938</t>
  </si>
  <si>
    <t>A1940</t>
  </si>
  <si>
    <t>A1942</t>
  </si>
  <si>
    <t>A1943</t>
  </si>
  <si>
    <t>A1944</t>
  </si>
  <si>
    <t>A CUENTA MX$264,000.00 29/07/2021</t>
  </si>
  <si>
    <t>A1946</t>
  </si>
  <si>
    <t>A1948</t>
  </si>
  <si>
    <t>A1950</t>
  </si>
  <si>
    <t>A1952</t>
  </si>
  <si>
    <t>A1954</t>
  </si>
  <si>
    <t>A1956</t>
  </si>
  <si>
    <t>A1966</t>
  </si>
  <si>
    <t>ENTREGA DE MOLECULA 1 AL 14 MAYO 2021</t>
  </si>
  <si>
    <t>A1967</t>
  </si>
  <si>
    <t>SERVICO DE COMPRESION 1 AL 14 MAYO 2021</t>
  </si>
  <si>
    <t>A1968</t>
  </si>
  <si>
    <t>A1970</t>
  </si>
  <si>
    <t>A1972</t>
  </si>
  <si>
    <t>A1974</t>
  </si>
  <si>
    <t>A1975</t>
  </si>
  <si>
    <t>A1976</t>
  </si>
  <si>
    <t>A1978</t>
  </si>
  <si>
    <t>A1980</t>
  </si>
  <si>
    <t>PAGO POR MX$710,532.50 26/08/2021, DIFERENCIA PARA ABONO PARCIAL A FACTURA A2042 POR MX$217,408.7</t>
  </si>
  <si>
    <t>A1983</t>
  </si>
  <si>
    <t>A1985</t>
  </si>
  <si>
    <t>ENTREGA DE MOLECULA 1 AL 15 MAYO 2021</t>
  </si>
  <si>
    <t>A1986</t>
  </si>
  <si>
    <t>SERVICIO DE COMPRESION 1 AL 15 MAYO 2021</t>
  </si>
  <si>
    <t>A1987</t>
  </si>
  <si>
    <t>ENTREGA DE MOLECULA 1 AL 15 MAYO 2021 PARA GENERADOR</t>
  </si>
  <si>
    <t>A1988</t>
  </si>
  <si>
    <t>SERVICIO DE COMPRESION 1 AL 15 MAYO 2021 PARA GENERADOR</t>
  </si>
  <si>
    <t>A1989</t>
  </si>
  <si>
    <t>A1990</t>
  </si>
  <si>
    <t>A1991</t>
  </si>
  <si>
    <t>A1994</t>
  </si>
  <si>
    <t>A1996</t>
  </si>
  <si>
    <t>A1998</t>
  </si>
  <si>
    <t>A2000</t>
  </si>
  <si>
    <t>A2002</t>
  </si>
  <si>
    <t>ENTREGA DE MOLECULA 16 AL 31 MAYO 2021</t>
  </si>
  <si>
    <t>A2003</t>
  </si>
  <si>
    <t>SERVICIO DE COMPRESION 16 L 31 MAYO 2021</t>
  </si>
  <si>
    <t>A2004</t>
  </si>
  <si>
    <t>ENTREGA DE MOLECULA 16 AL 31 MAYO 2021 PARA GENRADOR</t>
  </si>
  <si>
    <t>A2005</t>
  </si>
  <si>
    <t>SERVICIO DE COMPRESION 16 L 31 MAYO 2021 PARA GENERADOR</t>
  </si>
  <si>
    <t>A2006</t>
  </si>
  <si>
    <t>REVISAR APLICAR NC</t>
  </si>
  <si>
    <t>A2007</t>
  </si>
  <si>
    <t>A2008</t>
  </si>
  <si>
    <t>SUSTITUYE FACTURA A1870</t>
  </si>
  <si>
    <t>A2010</t>
  </si>
  <si>
    <t>DIFERENCIA POR ENTREGA DE MOLECULA GJ GAS NATURAL EN SUS INSTALACIONES</t>
  </si>
  <si>
    <t>A2011</t>
  </si>
  <si>
    <t>DIFERENCIA POR SERVICIO DE COMPRESION, SUMINSTRO DE GAS NATURAL EQUIVALENTE A 1,281.08 m3</t>
  </si>
  <si>
    <t>A2012</t>
  </si>
  <si>
    <t>DIFERENCIA POR ENTREGA DE MOLECULA GJ GAS NATURAL EN SUS INSTALACIONES, PARA EL GENERADOR</t>
  </si>
  <si>
    <t>A2013</t>
  </si>
  <si>
    <t>DIFERENCIA POR SERVICIO DE COMPRESION, SUMINISTRO DE GAS NATURAL EQUIVALENTE A 72.73 m3, PARA EL GENERADOR
GENERADOR</t>
  </si>
  <si>
    <t>A2014</t>
  </si>
  <si>
    <t>DIFERENCIA POR ESTIMACION EN ENTREGA DE MOLECULA GJ GAS NATURAL EN SUS INSTALACIONES</t>
  </si>
  <si>
    <t>A2015</t>
  </si>
  <si>
    <t>DIFERENCIA POR ESTIMACION EN SERVICIO DE COMPRESION, SUMINISTRO DE GAS NATURAL EQUIVALENTE A 819.02 m3</t>
  </si>
  <si>
    <t>A2016</t>
  </si>
  <si>
    <t>ENTREGA DE MOLECULA 15 AL 31 MAYO 2021</t>
  </si>
  <si>
    <t>A2017</t>
  </si>
  <si>
    <t>SERVICIO DE COMPRESION 15 AL 31 MAYO 2021</t>
  </si>
  <si>
    <t>A2018</t>
  </si>
  <si>
    <t>A2020</t>
  </si>
  <si>
    <t>A2024</t>
  </si>
  <si>
    <t>A2026</t>
  </si>
  <si>
    <t>A2028</t>
  </si>
  <si>
    <t>A2030</t>
  </si>
  <si>
    <t>A2032</t>
  </si>
  <si>
    <t>A2034</t>
  </si>
  <si>
    <t>A2036</t>
  </si>
  <si>
    <t>A2038</t>
  </si>
  <si>
    <t>A2040</t>
  </si>
  <si>
    <t>A2041</t>
  </si>
  <si>
    <t>A2042</t>
  </si>
  <si>
    <t xml:space="preserve">PAGO PARCIAL 26/08/2021 A FACTURA A2042 POR MX$217,408.7, 19/10/2021 PAGO DE SALDO POR $271,201.18 SE APLICAN MX$219,926.28 A FACTURA A2042 Y DIFERENCIA A FACTURA A2044 POR MX$51266.20 </t>
  </si>
  <si>
    <t>A2044</t>
  </si>
  <si>
    <t>INTERESES DE FACTURAS VENCIDAS AL 31 DE MAYO 2021 POR ENTREGA DE MOLECULA FACTURAS: A1536, A1740, A1771, 
A1787, A1799, A1878, A1921, A1944 YA1980</t>
  </si>
  <si>
    <t>SE LIQUIDA JUNTO CON PAGO DE FACRTURA A2042 19/10/2021</t>
  </si>
  <si>
    <t>A2046</t>
  </si>
  <si>
    <t>DIFERENCIA POR ENTREGA DE MOLÉCULA DE GAS NATURAL EN SUS INSTALACIONES 20 DE ABRIL 20214</t>
  </si>
  <si>
    <t>A2047</t>
  </si>
  <si>
    <t>DIFERENCIA POR ENTREGA DE MOLÉCULA DE GAS NATURAL EN SUS INSTALACIONES DE LOS DÍAS 13 Y 14 DE MAYO 2021</t>
  </si>
  <si>
    <t>A2053</t>
  </si>
  <si>
    <t>ENTREGA DE MOLECULA 1 AL 14 JUNIO 2021</t>
  </si>
  <si>
    <t>A2055</t>
  </si>
  <si>
    <t>SE SITITUYE POR FACTURA A2244</t>
  </si>
  <si>
    <t>A2057</t>
  </si>
  <si>
    <t>A2059</t>
  </si>
  <si>
    <t>A2061</t>
  </si>
  <si>
    <t>A2062</t>
  </si>
  <si>
    <t>SERVICIO DE COMPRESION 1 AL 14 JUNIO 2021</t>
  </si>
  <si>
    <t>A2063</t>
  </si>
  <si>
    <t>A2065</t>
  </si>
  <si>
    <t>A2067</t>
  </si>
  <si>
    <t>A2068</t>
  </si>
  <si>
    <t>A2069</t>
  </si>
  <si>
    <t>A2071</t>
  </si>
  <si>
    <t>A2073</t>
  </si>
  <si>
    <t>ENTREGA DE MOLECULA 1 AL 15 JUNIO 2021</t>
  </si>
  <si>
    <t>A2074</t>
  </si>
  <si>
    <t>A2075</t>
  </si>
  <si>
    <t>ENTREGA DE MOLECULA 1 AL 15 JUNIO 2021 PARA EL GENERADOR</t>
  </si>
  <si>
    <t>A2076</t>
  </si>
  <si>
    <t>SERVICIO DE COMPRESION 1 AL 14 JUNIO 2021 PARA EL GENERADOR</t>
  </si>
  <si>
    <t>A2077</t>
  </si>
  <si>
    <t>A2078</t>
  </si>
  <si>
    <t>A2079</t>
  </si>
  <si>
    <t>A2081</t>
  </si>
  <si>
    <t>A2083</t>
  </si>
  <si>
    <t>ENTREGA DE MOLECULA 16 AL 30 JUNIO 2021</t>
  </si>
  <si>
    <t>A2084</t>
  </si>
  <si>
    <t>SERVICIO DE COMPRESION 16 AL 30 JUNIO 2021</t>
  </si>
  <si>
    <t>A2085</t>
  </si>
  <si>
    <t>ENTREGA DE MOLECULA 16 AL 30 JUNIO 2021 PARA EL GENERADOR</t>
  </si>
  <si>
    <t>A2086</t>
  </si>
  <si>
    <t>SERVICIO DE COMPRESION 16 AL 30 JUNIO 2021 PARA EL GENERADOR</t>
  </si>
  <si>
    <t>A2087</t>
  </si>
  <si>
    <t>A2088</t>
  </si>
  <si>
    <t>PAGO POR $ 429,008.37  VALIDAR NC</t>
  </si>
  <si>
    <t>A2089</t>
  </si>
  <si>
    <t>A2090</t>
  </si>
  <si>
    <t>A2091</t>
  </si>
  <si>
    <t>ENTREGA DE MOLECULA 15 AL 30 JUNIO 2021</t>
  </si>
  <si>
    <t>A2093</t>
  </si>
  <si>
    <t>A2094</t>
  </si>
  <si>
    <t>SERVICIO DE COMPRESION 15 AL 30 JUNIO 2021</t>
  </si>
  <si>
    <t>A2095</t>
  </si>
  <si>
    <t>A2098</t>
  </si>
  <si>
    <t>A2100</t>
  </si>
  <si>
    <t>A2102</t>
  </si>
  <si>
    <t xml:space="preserve">SE APLICAN NC133 Y 135 </t>
  </si>
  <si>
    <t>A2104</t>
  </si>
  <si>
    <t>A2106</t>
  </si>
  <si>
    <t>A2108</t>
  </si>
  <si>
    <t>A2110</t>
  </si>
  <si>
    <t>A2111</t>
  </si>
  <si>
    <t>A2112</t>
  </si>
  <si>
    <t>SE SUTITUYE POR FACTURA A2112</t>
  </si>
  <si>
    <t>A2114</t>
  </si>
  <si>
    <t>A2118</t>
  </si>
  <si>
    <t>SUSUTITUYE FACTURA A2018</t>
  </si>
  <si>
    <t>A2121</t>
  </si>
  <si>
    <t>ENTREGA DE MOLECULA 1 AL 14 JULIO 2021</t>
  </si>
  <si>
    <t>A2122</t>
  </si>
  <si>
    <t>SERVICIO DE COMPRESION 1 AL 14 JULIO 2021</t>
  </si>
  <si>
    <t>A2123</t>
  </si>
  <si>
    <t>A2125</t>
  </si>
  <si>
    <t>A2129</t>
  </si>
  <si>
    <t>A2131</t>
  </si>
  <si>
    <t>A2132</t>
  </si>
  <si>
    <t>A2133</t>
  </si>
  <si>
    <t>A2135</t>
  </si>
  <si>
    <t>A2137</t>
  </si>
  <si>
    <t>A2139</t>
  </si>
  <si>
    <t>PAGO EN MX$1,378,171.01, SE PAGAN FACTURAS EN US 1979,2009,2035</t>
  </si>
  <si>
    <t>A2141</t>
  </si>
  <si>
    <t>A2142</t>
  </si>
  <si>
    <t>SERVICIO DE COMPRESION 1 AL 15 JULIO 2021</t>
  </si>
  <si>
    <t>A2143</t>
  </si>
  <si>
    <t>ENTREGA DE MOLECULA 1 AL 15 JULIO 2021 PARA EL GENERADOR</t>
  </si>
  <si>
    <t>A2144</t>
  </si>
  <si>
    <t>SERVICIO DE COMPRESION 1 AL 15 JULIO 2021 PARA EL GENERADOR</t>
  </si>
  <si>
    <t>A2145</t>
  </si>
  <si>
    <t>ENTREGA DE MOLECULA 1 AL 15 JULIO 2021</t>
  </si>
  <si>
    <t>A2146</t>
  </si>
  <si>
    <t>A2147</t>
  </si>
  <si>
    <t>A2148</t>
  </si>
  <si>
    <t>ENTREGA DE MOLECULA 16 AL 31 JULIO 2021</t>
  </si>
  <si>
    <t>A2149</t>
  </si>
  <si>
    <t>SERVICIO DE COMPRESION 16 AL 31 JULIO 2021</t>
  </si>
  <si>
    <t>A2150</t>
  </si>
  <si>
    <t>A2151</t>
  </si>
  <si>
    <t>A2152</t>
  </si>
  <si>
    <t>ENTREGA DE MOLECULA 16 AL 31 JULIO 2021 PARA EL GENERADOR</t>
  </si>
  <si>
    <t>A2153</t>
  </si>
  <si>
    <t>SERVICIO DE COMPRESION 16 AL 31 JULIO 2021 PARA EL GENERADOR</t>
  </si>
  <si>
    <t>A2154</t>
  </si>
  <si>
    <t>ENTREGA DE MOLECULA 15 AL 31 JULIO 2021</t>
  </si>
  <si>
    <t>A2155</t>
  </si>
  <si>
    <t>SERVICIO DE COMPRESION 15 AL 31 JULIO 2021</t>
  </si>
  <si>
    <t>A2156</t>
  </si>
  <si>
    <t>A2158</t>
  </si>
  <si>
    <t>A2162</t>
  </si>
  <si>
    <t>A2164</t>
  </si>
  <si>
    <t>A2166</t>
  </si>
  <si>
    <t>A2167</t>
  </si>
  <si>
    <t>A2168</t>
  </si>
  <si>
    <t>A2170</t>
  </si>
  <si>
    <t>A2172</t>
  </si>
  <si>
    <t>A2174</t>
  </si>
  <si>
    <t>A2177</t>
  </si>
  <si>
    <t>ENTREGA DE MOLECULA 1 AL 14 AGOSTO 2021</t>
  </si>
  <si>
    <t>A2178</t>
  </si>
  <si>
    <t>SERVICIO DE COMPRESION 1 AL 14 AGOSTO 2021</t>
  </si>
  <si>
    <t>A2179</t>
  </si>
  <si>
    <t>A2181</t>
  </si>
  <si>
    <t>A2185</t>
  </si>
  <si>
    <t>A2187</t>
  </si>
  <si>
    <t>A2188</t>
  </si>
  <si>
    <t>A2189</t>
  </si>
  <si>
    <t>A2190</t>
  </si>
  <si>
    <t>A2191</t>
  </si>
  <si>
    <t>A2193</t>
  </si>
  <si>
    <t>A2195</t>
  </si>
  <si>
    <t>A2197</t>
  </si>
  <si>
    <t>A2199</t>
  </si>
  <si>
    <t>A2200</t>
  </si>
  <si>
    <t>SERVICIO DE CMPRESION 1 AL 15 AGOSTO 2021</t>
  </si>
  <si>
    <t>A2201</t>
  </si>
  <si>
    <t>ENTREGA DE MOLECULA 1 AL 15 AGOSTO 2021 PARA EL GENERADOR</t>
  </si>
  <si>
    <t>A2202</t>
  </si>
  <si>
    <t>SERVICIO DE COMPRESION 1 AL 15 AGOSTO 2021 PARA EL GENERADOR</t>
  </si>
  <si>
    <t>A2203</t>
  </si>
  <si>
    <t>ENTREGA DE MOLECULA 1 AL 15 AGOSTO 2021</t>
  </si>
  <si>
    <t>A2204</t>
  </si>
  <si>
    <t>SERVICIO DE COMPRESION 1 AL 15 AGOSTO 2021</t>
  </si>
  <si>
    <t>A2206</t>
  </si>
  <si>
    <t>A2207</t>
  </si>
  <si>
    <t>ENTREGA DE MOLECULA 16 AL 31 AGOSTO 2021</t>
  </si>
  <si>
    <t>REVISAR APLICA NC</t>
  </si>
  <si>
    <t>A2208</t>
  </si>
  <si>
    <t>SERVICIO DE COMPRESION 16 AL 31 AGOSTO 2021</t>
  </si>
  <si>
    <t>APLICA NC</t>
  </si>
  <si>
    <t>A2209</t>
  </si>
  <si>
    <t>ENTREGA DE MOLECULA 16 AL 31 AGOSTO 2021 PARA GENERADOR</t>
  </si>
  <si>
    <t>A2210</t>
  </si>
  <si>
    <t>SERVICIO DE COMPRESION 16 AL 31 AGOSTO 2021 PARA GENERADOR</t>
  </si>
  <si>
    <t>A2211</t>
  </si>
  <si>
    <t>A2212</t>
  </si>
  <si>
    <t>A2213</t>
  </si>
  <si>
    <t>A2215</t>
  </si>
  <si>
    <t>ENTREGA DE MOLECULA 15 AL 31 AGOSTO 2021</t>
  </si>
  <si>
    <t>PAGO POR MX$3,625,512.62  FACTURAS A2215, A2313 Y A2317 Y A2318 EN USD</t>
  </si>
  <si>
    <t>A2217</t>
  </si>
  <si>
    <t>A2218</t>
  </si>
  <si>
    <t>SERVICIO DE COMPRESION 15 AL 31 AGOSTO 2021</t>
  </si>
  <si>
    <t>A2219</t>
  </si>
  <si>
    <t>A2221</t>
  </si>
  <si>
    <t>A2225</t>
  </si>
  <si>
    <t>PAGO EN MX$256,607.45 saldo de MX$145,818.1 aplicado a factura A2226 TC 21.417696</t>
  </si>
  <si>
    <t>A2227</t>
  </si>
  <si>
    <t>PAGO EN MX$39,844.96 SALDO A FACTURA A2186</t>
  </si>
  <si>
    <t>A2229</t>
  </si>
  <si>
    <t>A2230</t>
  </si>
  <si>
    <t>A2231</t>
  </si>
  <si>
    <t>A2233</t>
  </si>
  <si>
    <t>A2235</t>
  </si>
  <si>
    <t>A2237</t>
  </si>
  <si>
    <t>A2239</t>
  </si>
  <si>
    <t>A2242</t>
  </si>
  <si>
    <t>DIFERENCIA DE SERVICIO DE COMPRESIÓN, SUMINISTRO Y DESCOMPRESIÓN DE GAS NATURAL. EQUIVALENTE A 222.17 GJ
DEL DÍA 31 DE JULIO 2021.</t>
  </si>
  <si>
    <t>A2243</t>
  </si>
  <si>
    <t>DIFERENCIA DE SERVICIO DE COMPRESIÓN, SUMINISTRO Y DESCOMPRESIÓN DE GAS NATURAL. EQUIVALENTE A 240.15 GJ
DEL DÍA 31 DE AGOSTO 2021.</t>
  </si>
  <si>
    <t>A2244</t>
  </si>
  <si>
    <t>A2247</t>
  </si>
  <si>
    <t>A2248</t>
  </si>
  <si>
    <t>DIFERENCIA POR AJUSTE DE TARIFA DE SERVICIO DE GNC CONFORME AL CONTRATO DE PRESTACIÓN DE SERVICIOS</t>
  </si>
  <si>
    <t>A2249</t>
  </si>
  <si>
    <t>DIFERENCIA POR AJUSTE DE TARIFA DE SERVICIO DE GNC CONFORME AL CONTRATO DE PRESTACIÓN DE SERVICIOS.</t>
  </si>
  <si>
    <t>SE APLICA NC139</t>
  </si>
  <si>
    <t>A2250</t>
  </si>
  <si>
    <t>ENTREGA DE MOLECULA 1 AL 14 SEPTIEMBRE 2021</t>
  </si>
  <si>
    <t>A2251</t>
  </si>
  <si>
    <t>SERVICIO DE COMPRESION 1 AL 14 SEPTIEMBRE 2021</t>
  </si>
  <si>
    <t>A2252</t>
  </si>
  <si>
    <t>A2254</t>
  </si>
  <si>
    <t>A2256</t>
  </si>
  <si>
    <t>A2258</t>
  </si>
  <si>
    <t>SE SUTITUYE CON FACTURA A2280</t>
  </si>
  <si>
    <t>A2260</t>
  </si>
  <si>
    <t>A2261</t>
  </si>
  <si>
    <t>A2262</t>
  </si>
  <si>
    <t>A2264</t>
  </si>
  <si>
    <t>A2266</t>
  </si>
  <si>
    <t>A2268</t>
  </si>
  <si>
    <t>A2270</t>
  </si>
  <si>
    <t>SE SUSTITUYE CON FACTURA A2317</t>
  </si>
  <si>
    <t>A2272</t>
  </si>
  <si>
    <t>A2274</t>
  </si>
  <si>
    <t>ENTREGA DE MOLECULA 1 AL 15 SEPTIEMBRE 2021</t>
  </si>
  <si>
    <t>A2275</t>
  </si>
  <si>
    <t>SERVICIO DE COMPRESION 1 AL 15 SEPTIEMBRE 2021</t>
  </si>
  <si>
    <t>A2276</t>
  </si>
  <si>
    <t>ENTREGA DE MOLECULA 1 AL 15 SEPTIEMBRE 2021 PARA GENERADOR</t>
  </si>
  <si>
    <t>A2277</t>
  </si>
  <si>
    <t>SERVICIO DE COMPRESION 1 AL 15 SEPTIEMBRE 2021 PARA GENERADOR</t>
  </si>
  <si>
    <t>A2278</t>
  </si>
  <si>
    <t>A2279</t>
  </si>
  <si>
    <t>A2280</t>
  </si>
  <si>
    <t>A2285</t>
  </si>
  <si>
    <t>ENTREGA DE MOLECULA 16 AL 30 SEPTIEMBRE 2021</t>
  </si>
  <si>
    <t>A2286</t>
  </si>
  <si>
    <t>SERVICIO DE COMPRESION 16 AL 30 SEPTIEMBRE 2021</t>
  </si>
  <si>
    <t>A2287</t>
  </si>
  <si>
    <t>ENTREGA DE MOLECULA 16 AL 30 SEPTIEMBRE 2021 PARA GENERADOR</t>
  </si>
  <si>
    <t>A2288</t>
  </si>
  <si>
    <t>SERVICIO DE COMPRESION 16 AL 30 SEPTIEMBRE 2021 PARA GENERADOR</t>
  </si>
  <si>
    <t>A2289</t>
  </si>
  <si>
    <t>A2290</t>
  </si>
  <si>
    <t>A2293</t>
  </si>
  <si>
    <t>ENTREGA DE MOLECULA 15 AL 30 SEPTIEMBRE 2021</t>
  </si>
  <si>
    <t>A2294</t>
  </si>
  <si>
    <t>SERVICIO DE COMPRESION 15 AL 30 SEPTIEMBRE 2021</t>
  </si>
  <si>
    <t>A2295</t>
  </si>
  <si>
    <t>A2297</t>
  </si>
  <si>
    <t>A2301</t>
  </si>
  <si>
    <t>A2303</t>
  </si>
  <si>
    <t>A2304</t>
  </si>
  <si>
    <t>A2305</t>
  </si>
  <si>
    <t>PAGO POR MX$1,164,267.11 APLICADO A FACTURAS A1878, A1944, A2191, A2231, A 2262 Y SALDO DE MX$71,927.83 APLICADO A FACTURA A2305</t>
  </si>
  <si>
    <t>A2307</t>
  </si>
  <si>
    <t>A2309</t>
  </si>
  <si>
    <t>A2311</t>
  </si>
  <si>
    <t>A2313</t>
  </si>
  <si>
    <t>A2315</t>
  </si>
  <si>
    <t>A2317</t>
  </si>
  <si>
    <t>A2320</t>
  </si>
  <si>
    <t>INVERNADERO SN MIGUEL</t>
  </si>
  <si>
    <t>A2322</t>
  </si>
  <si>
    <t>SE SUTITUYE POR A2324</t>
  </si>
  <si>
    <t>A2326</t>
  </si>
  <si>
    <t>ENTREGA DE MOLECULA 1 AL 14 OCTUBRE 2021</t>
  </si>
  <si>
    <t>A2327</t>
  </si>
  <si>
    <t>SERVICIO DE COMPRESION 1 AL 14 OCTUBRE 2021</t>
  </si>
  <si>
    <t>A2330</t>
  </si>
  <si>
    <t>A2332</t>
  </si>
  <si>
    <t>A2334</t>
  </si>
  <si>
    <t>ABONO $113,384.66 DIA 25/1/22, ABONO 11 FEB 74,578.63,</t>
  </si>
  <si>
    <t>A2336</t>
  </si>
  <si>
    <t>A2337</t>
  </si>
  <si>
    <t>A2338</t>
  </si>
  <si>
    <t>A2340</t>
  </si>
  <si>
    <t>A2342</t>
  </si>
  <si>
    <t>A2344</t>
  </si>
  <si>
    <t>18//11/2021</t>
  </si>
  <si>
    <t>A2346</t>
  </si>
  <si>
    <t>A2348</t>
  </si>
  <si>
    <t>A2350</t>
  </si>
  <si>
    <t>A2352</t>
  </si>
  <si>
    <t>ENTREGA DE MOLECULA 1 AL 15 OCTUBRE 2021</t>
  </si>
  <si>
    <t>A2353</t>
  </si>
  <si>
    <t>SERVICIO DE COMPRESION 1 AL 15 OCTUBRE 2021</t>
  </si>
  <si>
    <t>A2354</t>
  </si>
  <si>
    <t>ENTREGA DE MOLECULA 1 AL 15 OCTUBRE 2021 PARA GENERADOR</t>
  </si>
  <si>
    <t>A2355</t>
  </si>
  <si>
    <t>SERVICIO DE COMPRESION 1 AL 15 OCTUBRE 2021 PARA GENERADOR</t>
  </si>
  <si>
    <t>A2356</t>
  </si>
  <si>
    <t>A2357</t>
  </si>
  <si>
    <t>A2359</t>
  </si>
  <si>
    <t>ENTREGA DE MOLECULA 16 AL 31 OCTUBRE 2021</t>
  </si>
  <si>
    <t>A2360</t>
  </si>
  <si>
    <t>SERVICIO DE COMPRESION 16 AL 31 OCTUBRE 2021</t>
  </si>
  <si>
    <t>A2361</t>
  </si>
  <si>
    <t>ENTREGA DE MOLECULA 16 AL 31 OCTUBRE 2021 PARA GENERADOR</t>
  </si>
  <si>
    <t>A2362</t>
  </si>
  <si>
    <t>SERVICIO DE COMPRESION 16 AL 31 OCTUBRE 2021 PARA GENERADOR</t>
  </si>
  <si>
    <t>A2363</t>
  </si>
  <si>
    <t>A2364</t>
  </si>
  <si>
    <t>A2365</t>
  </si>
  <si>
    <t>ENTREGA DE MOLECULA 21 AL 27 OCTUBRE 2021</t>
  </si>
  <si>
    <t>A2366</t>
  </si>
  <si>
    <t>A2367</t>
  </si>
  <si>
    <t>A2370</t>
  </si>
  <si>
    <t>A2371</t>
  </si>
  <si>
    <t>A2372</t>
  </si>
  <si>
    <t>A2373</t>
  </si>
  <si>
    <t>A2374</t>
  </si>
  <si>
    <t>A2375</t>
  </si>
  <si>
    <t>ENTREGA DE MOLECULA 15 AL 31 DE COTUBRE 2021</t>
  </si>
  <si>
    <t>A2376</t>
  </si>
  <si>
    <t>SERVICIO DE COMPRESION 15 AL 31 OCTUBRE 2021</t>
  </si>
  <si>
    <t>A2379</t>
  </si>
  <si>
    <t>ENTREGA DE MOLECULA 15 AL 31 OCTUBRE 2021</t>
  </si>
  <si>
    <t>A2381</t>
  </si>
  <si>
    <t>A2387</t>
  </si>
  <si>
    <t>APLICA NC 142 POR $16,467.78, abono 11 mar $50,000., abono 18 mar $50,000, abono $50,000 25 marzo, liquida 5 abril, sobrante aplica a f:2422</t>
  </si>
  <si>
    <t>1461 y 1462, 1463, 1464, 1465</t>
  </si>
  <si>
    <t>A2389</t>
  </si>
  <si>
    <t>A2390</t>
  </si>
  <si>
    <t>A2391</t>
  </si>
  <si>
    <t>ERROR EN MONTOS DE FACTURA</t>
  </si>
  <si>
    <t>A2393</t>
  </si>
  <si>
    <t>A2395</t>
  </si>
  <si>
    <t>A2397</t>
  </si>
  <si>
    <t>A2399</t>
  </si>
  <si>
    <t>A2401</t>
  </si>
  <si>
    <t>A2403</t>
  </si>
  <si>
    <t>A2405</t>
  </si>
  <si>
    <t>A2407</t>
  </si>
  <si>
    <t>SUSUTITUYE FACTURA A2391</t>
  </si>
  <si>
    <t>A2409</t>
  </si>
  <si>
    <t>ENTREGA DE MOLECULA 1 AL 7 NOVIEMBRE 2021</t>
  </si>
  <si>
    <t>A2411</t>
  </si>
  <si>
    <t>ENTREGA DE MOLECULA 1 AL 14 NOVIEMBRE 2021</t>
  </si>
  <si>
    <t>A2412</t>
  </si>
  <si>
    <t>SERVICIO DE COMPRESION 1 AL 14 NOVIEMBRE 2021</t>
  </si>
  <si>
    <t>A2415</t>
  </si>
  <si>
    <t>SE APLICA NC</t>
  </si>
  <si>
    <t>A2417</t>
  </si>
  <si>
    <t>A2422</t>
  </si>
  <si>
    <t>ABONO $100,000. 10 FEBRERO 2022, RESTAN $16,734.6 abono 5 marzo 2,132.86, abono 5 abril 31,124.56, sobrante aplica a f:2571 $16,522.82</t>
  </si>
  <si>
    <t>A2424</t>
  </si>
  <si>
    <t>A2425</t>
  </si>
  <si>
    <t>A2426</t>
  </si>
  <si>
    <t>A2428</t>
  </si>
  <si>
    <t>A2430</t>
  </si>
  <si>
    <t>A2432</t>
  </si>
  <si>
    <t>A2434</t>
  </si>
  <si>
    <t>A2436</t>
  </si>
  <si>
    <t>A2438</t>
  </si>
  <si>
    <t>A2440</t>
  </si>
  <si>
    <t>ENTREGA DE MOLECULA 1 AL 15 NOVIEMBRE 2021</t>
  </si>
  <si>
    <t>A2441</t>
  </si>
  <si>
    <t>SERVICIO DE COMPRESION 1 AL 15 NOVIEMBRE 2021</t>
  </si>
  <si>
    <t>A2442</t>
  </si>
  <si>
    <t>ENTREGA DE MOLECULA 1 AL 15 NOVIEMBRE 2021 PARA GENERADOR</t>
  </si>
  <si>
    <t>A2443</t>
  </si>
  <si>
    <t>A2444</t>
  </si>
  <si>
    <t>A2445</t>
  </si>
  <si>
    <t>A2446</t>
  </si>
  <si>
    <t>ENTREGA DE MOLECULA 8 AL 14 NOVIEMBRE 2021</t>
  </si>
  <si>
    <t xml:space="preserve">SE RECIBIEN 2 PAGOS POR $120,977.57 </t>
  </si>
  <si>
    <t>A2449</t>
  </si>
  <si>
    <t>A2450</t>
  </si>
  <si>
    <t>SERVICIO DE COMPRESION 1 AL 15 NOVIEMBRE 2021 PARA GENERADOR</t>
  </si>
  <si>
    <t>A2451</t>
  </si>
  <si>
    <t>A2452</t>
  </si>
  <si>
    <t>FACRTURA QUE SUSTITUYE A A2441</t>
  </si>
  <si>
    <t>A2455</t>
  </si>
  <si>
    <t>ENTREGA DE MOLECULA 15 AL 21 NOVIEMBRE 2021</t>
  </si>
  <si>
    <t>A2459</t>
  </si>
  <si>
    <t>ENTREGA DE MOLECULA 16 AL 30 NOVIEMBRE 2021</t>
  </si>
  <si>
    <t>A2460</t>
  </si>
  <si>
    <t>SERVICIO DE COMPRESION 16 AL 30 NOVIEMBRE 2021</t>
  </si>
  <si>
    <t>A2461</t>
  </si>
  <si>
    <t>ENTREGA DE MOLECULA 16 AL 30 NOVIEMBRE 2021 PARA EL GENERADOR</t>
  </si>
  <si>
    <t>A2462</t>
  </si>
  <si>
    <t>SERVICIO DE COMPRESION 16 AL 30 NOVIEMBRE 2021 PARA EL GENERADOR</t>
  </si>
  <si>
    <t>A2463</t>
  </si>
  <si>
    <t>A2464</t>
  </si>
  <si>
    <t>A2465</t>
  </si>
  <si>
    <t>ENTREGA DE MOLECULA 22 AL 28 NOVIEMBRE 2021</t>
  </si>
  <si>
    <t>A2471</t>
  </si>
  <si>
    <t>ENTREGA DE MOLECULA 15 AL 30 NOVIEMBRE 2021</t>
  </si>
  <si>
    <t>A2473</t>
  </si>
  <si>
    <t>A2475</t>
  </si>
  <si>
    <t>A2477</t>
  </si>
  <si>
    <t>A2479</t>
  </si>
  <si>
    <t>A2481</t>
  </si>
  <si>
    <t>A2482</t>
  </si>
  <si>
    <t>SERVICIO DE COMPRESION 15 AL 30 NOVIEMBRE 2021</t>
  </si>
  <si>
    <t>A2483</t>
  </si>
  <si>
    <t>A2485</t>
  </si>
  <si>
    <t>A2487</t>
  </si>
  <si>
    <t xml:space="preserve">SALDO PENDIENTE PAGO 20/12/2021 COCILIAR DIFERENCIAS, PAGO DUPLICADO F2424 SE APLICA PAGO Y SOBRA </t>
  </si>
  <si>
    <t>A2488</t>
  </si>
  <si>
    <t>SERVICIO DE COMPRESION 15 AL 30 DICIEMBRE 2021</t>
  </si>
  <si>
    <t>SE ABONA SALDO DE $30,256.25 RESULTANTE DEL PAGO DUPLICADO F2424</t>
  </si>
  <si>
    <t>A2489</t>
  </si>
  <si>
    <t>A2491</t>
  </si>
  <si>
    <t>A2493</t>
  </si>
  <si>
    <t>A2495</t>
  </si>
  <si>
    <t>A2497</t>
  </si>
  <si>
    <t>ENTREGA DE MOLECULA 29 AL 30 NOVIEMBRE 2021</t>
  </si>
  <si>
    <t>A2499</t>
  </si>
  <si>
    <t>ENTREGA DE MOLECULA 1 AL 5 DICIEMBRE 2021</t>
  </si>
  <si>
    <t>A2502</t>
  </si>
  <si>
    <t>ENTREGA DE MOLECULA 1 AL 14 DICIEMBRE 2021</t>
  </si>
  <si>
    <t>A2503</t>
  </si>
  <si>
    <t>SERVICIO DE COMPRESION 1 AL 14 DICIEMBRE 2021</t>
  </si>
  <si>
    <t>A2504</t>
  </si>
  <si>
    <t>A2505</t>
  </si>
  <si>
    <t>A2508</t>
  </si>
  <si>
    <t>A2510</t>
  </si>
  <si>
    <t>A2512</t>
  </si>
  <si>
    <t>ENTREGA DE MOLECULA 1 AL 15 DICIEMBRE 2021</t>
  </si>
  <si>
    <t>A2513</t>
  </si>
  <si>
    <t>SERVICIO DE COMPRESION 1 AL 15 DICIEMBRE 2021</t>
  </si>
  <si>
    <t>A2514</t>
  </si>
  <si>
    <t>ENTREGA DE MOLECULA 1 AL 15 DICIEMBRE 2021 PARA GENERADOR</t>
  </si>
  <si>
    <t>A2515</t>
  </si>
  <si>
    <t>SERVICIO DE COMPRESION 1 AL 15 DICIEMBRE 2021 PARA GENERADOR</t>
  </si>
  <si>
    <t>A2516</t>
  </si>
  <si>
    <t>A2517</t>
  </si>
  <si>
    <t>A2518</t>
  </si>
  <si>
    <t>A2520</t>
  </si>
  <si>
    <t>A2522</t>
  </si>
  <si>
    <t>A2524</t>
  </si>
  <si>
    <t>Un abono el 24/01/2022 por la cantidad de $7,567.40,,25/02/2022 abonono  de $50,000.00,abono , ABONO 4 MARZO $50000, sobran 2,132.86 aplica2422</t>
  </si>
  <si>
    <t>1459 y 1460</t>
  </si>
  <si>
    <t>A2526</t>
  </si>
  <si>
    <t>A2528</t>
  </si>
  <si>
    <t>A2530</t>
  </si>
  <si>
    <t>A2532</t>
  </si>
  <si>
    <t>A2534</t>
  </si>
  <si>
    <t>DESBALANCE DE MOLÉCULA DE GAS NATURAL APLICADO POR EL CENAGAS DERIVADO DE LA INETRVENCIÓN POR
INYECCIÓN DEL GAS CONTINENTAL EN EL PERIODO. EQUIVALENTE A 743.24 GJ</t>
  </si>
  <si>
    <t>A2535</t>
  </si>
  <si>
    <t>ENTREGA DE MOLECULA 6 AL 13 DICIEMBRE 2021</t>
  </si>
  <si>
    <t>A2537</t>
  </si>
  <si>
    <t>A2539</t>
  </si>
  <si>
    <t>ENTREGA DE MOLÉCULA 15 AL 31 DICIEMBRE 2021</t>
  </si>
  <si>
    <t>A2540</t>
  </si>
  <si>
    <t>SERVICIO DE COMPRESION 15 AL 31 DICIEMBRE 2021</t>
  </si>
  <si>
    <t>A2541</t>
  </si>
  <si>
    <t>A2542</t>
  </si>
  <si>
    <t>A2543</t>
  </si>
  <si>
    <t>A2544</t>
  </si>
  <si>
    <t>A2548</t>
  </si>
  <si>
    <t>DESBALANCE DE MOLÉCULA DE GAS NATURAL APLICADO POR EL CENAGAS DERIVADO DE LA INETRVENCIÓN POR
INYECCIÓN DEL GAS CONTINENTAL EN EL PERIODO. EQUIVALENTE A 739.55 G</t>
  </si>
  <si>
    <t>A2550</t>
  </si>
  <si>
    <t>DESBALANCE DE MOLÉCULA DE GAS NATURAL APLICADO POR EL CENAGAS DERIVADO DE LA INETRVENCIÓN POR
INYECCIÓN DEL GAS CONTINENTAL EN EL PERIODO.</t>
  </si>
  <si>
    <t>A2551</t>
  </si>
  <si>
    <t>DESBALANCE OCTUBRE 2021</t>
  </si>
  <si>
    <t>A2552</t>
  </si>
  <si>
    <t>DESBALANCE DE MOLÉCULA DE GAS NATURAL APLICADO POR EL CENAGAS DERIVADO DE LA INETRVENCIÓN POR INYECCIÓN DEL GAS CONTINENTAL EN EL PERIODO. EQUIVALENTE A 1,618.59 GJ</t>
  </si>
  <si>
    <t>A2553</t>
  </si>
  <si>
    <t>DESBALANCE DE MOLÉCULA DE GAS NATURAL APLICADO POR EL CENAGAS DERIVADO DE LA INETRVENCIÓN POR INYECCIÓN DEL GAS CONTINENTAL EN EL PERIODO. EQUIVALENTE A 126.17 GJ</t>
  </si>
  <si>
    <t>A2554</t>
  </si>
  <si>
    <t>DESBALANCE DE MOLÉCULA DE GAS NATURAL APLICADO POR EL CENAGAS DERIVADO DE LA INETRVENCIÓN POR INYECCIÓN DEL GAS CONTINENTAL EN EL PERIODO. EQUIVALENTE A 1,917.33 MMBTU</t>
  </si>
  <si>
    <t>A2555</t>
  </si>
  <si>
    <t>DESBALANCE DE MOLÉCULA DE GAS NATURAL APLICADO POR EL CENAGAS DERIVADO DE LA INETRVENCIÓN POR INYECCIÓN DEL GAS CONTINENTAL EN EL PERIODO. EQUIVALENTE A 1,930.04 MMBTU</t>
  </si>
  <si>
    <t>A2557</t>
  </si>
  <si>
    <t>DESBALANCE DE MOLÉCULA DE GAS NATURAL APLICADO POR EL CENAGAS DERIVADO DE LA INETRVENCIÓN POR INYECCIÓN DEL GAS CONTINENTAL EN EL PERIODO</t>
  </si>
  <si>
    <t>A2558</t>
  </si>
  <si>
    <t>DESBALANCE DE MOLÉCULA DE GAS NATURAL APLICADO POR EL CENAGAS DERIVADO DE LA INETRVENCIÓN POR INYECCIÓN DEL GAS CONTINENTAL EN EL PERIODO. EQUIVALENTE A 1,178.45 MMBTU</t>
  </si>
  <si>
    <t>A2559</t>
  </si>
  <si>
    <t>DESBALANCE DE MOLÉCULA DE GAS NATURAL APLICADO POR EL CENAGAS DERIVADO DE LA INETRVENCIÓN POR INYECCIÓN DEL GAS CONTINENTAL EN EL PERIODO. EQUIVALENTE A 2,138.46 GJ</t>
  </si>
  <si>
    <t>A2560</t>
  </si>
  <si>
    <t>DESBALANCE DE MOLÉCULA DE GAS NATURAL APLICADO POR EL CENAGAS DERIVADO DE LA INETRVENCIÓN POR INYECCIÓN DEL GAS CONTINENTAL EN EL PERIODO. EQUIVALENTE A 717.70 MMBTU</t>
  </si>
  <si>
    <t>A2561</t>
  </si>
  <si>
    <t>DESBALANCE DE MOLÉCULA DE GAS NATURAL APLICADO POR EL CENAGAS DERIVADO DE LA INETRVENCIÓN POR INYECCIÓN DEL GAS CONTINENTAL EN EL PERIODO. EQUIVALENTE A 4294.29 GJ</t>
  </si>
  <si>
    <t>sustituye 2611 por monto incorrecto</t>
  </si>
  <si>
    <t>A2562</t>
  </si>
  <si>
    <t>DESBALANCE DE MOLÉCULA DE GAS NATURAL APLICADO POR EL CENAGAS DERIVADO DE LA INETRVENCIÓN POR INYECCIÓN DEL GAS CONTINENTAL EN EL PERIODO. EQUIVALENTE A 737.84 MMBTU</t>
  </si>
  <si>
    <t>A2563</t>
  </si>
  <si>
    <t>A2564</t>
  </si>
  <si>
    <t>SERVICIO DE COMPRESIÓN 15 AL 31 DICRIEMBRE 2021</t>
  </si>
  <si>
    <t>A2567</t>
  </si>
  <si>
    <t>A2569</t>
  </si>
  <si>
    <t>A2571</t>
  </si>
  <si>
    <t>abono 5 abril 16,522.82, abono 12 abril 47,437.91, sobra 2,562.09 que se aplica a factura A2603</t>
  </si>
  <si>
    <t>1466 y 1467</t>
  </si>
  <si>
    <t>A2573</t>
  </si>
  <si>
    <t>A2574</t>
  </si>
  <si>
    <t>A2575</t>
  </si>
  <si>
    <t>A2577</t>
  </si>
  <si>
    <t>A2579</t>
  </si>
  <si>
    <t>A2581</t>
  </si>
  <si>
    <t>A2583</t>
  </si>
  <si>
    <t>A2585</t>
  </si>
  <si>
    <t>A2587</t>
  </si>
  <si>
    <t>A2589</t>
  </si>
  <si>
    <t>se aplica NC 170 por un monto de 23,738.09</t>
  </si>
  <si>
    <t>A2591</t>
  </si>
  <si>
    <t>ENTREGA DE MOLÉCULA DEL 14 AL 19 DICIEMBRE 2021</t>
  </si>
  <si>
    <t>A2593</t>
  </si>
  <si>
    <t>ENTREGA DE MOLÉCULA DEL 20 AL 26  DICIEMBRE 2021</t>
  </si>
  <si>
    <t>A2595</t>
  </si>
  <si>
    <t>ENTREGA DE MOLÉCULA DEL 27 AL 31  DICIEMBRE 2021</t>
  </si>
  <si>
    <t>ABONO 28 ENERO $58492.24</t>
  </si>
  <si>
    <t>A2600</t>
  </si>
  <si>
    <t>DESBALANCE DE MOLÉCULA OCTUBRE 2021</t>
  </si>
  <si>
    <t>A2603</t>
  </si>
  <si>
    <t>abono 12 abril 2,562.09, abono 21 abril 50 mil, sobran $21,599.69 aplica a f:2650</t>
  </si>
  <si>
    <t>A2604</t>
  </si>
  <si>
    <t xml:space="preserve">realiza pago junto con f:a3066 </t>
  </si>
  <si>
    <t>A2605</t>
  </si>
  <si>
    <t>A2606</t>
  </si>
  <si>
    <t>A2607</t>
  </si>
  <si>
    <t>A2608</t>
  </si>
  <si>
    <t>A2609</t>
  </si>
  <si>
    <t>A2610</t>
  </si>
  <si>
    <t>NC 190 POR EL IMPORTE TOTAL YA QUE NO LE CORRESPONDE DESBALANCE SE TOMA POR ERROR DATOS DE INVERAGRO</t>
  </si>
  <si>
    <t>A2611</t>
  </si>
  <si>
    <t>A2612</t>
  </si>
  <si>
    <t>ENTREGA DE MOLÉCULA DEL 1 AL 9 ENERO 2022</t>
  </si>
  <si>
    <t>ABONO $15,000 4 MARZO, abono $80,000 06/05/22</t>
  </si>
  <si>
    <t>A2614</t>
  </si>
  <si>
    <t>ENTREGA DE MOLÉCULA 1 AL 14 ENERO 2022</t>
  </si>
  <si>
    <t>A2615</t>
  </si>
  <si>
    <t>SERVICIO DE COMPRESIÓN 1 AL 14 ENERO 2022. EQUIVALENTE A 3,448.30 GJ</t>
  </si>
  <si>
    <t>A2616</t>
  </si>
  <si>
    <t>A2618</t>
  </si>
  <si>
    <t>ENTREGA DE MOLÉCULA 1 AL 15 ENERO 2022</t>
  </si>
  <si>
    <t>A2619</t>
  </si>
  <si>
    <t>SERVICIO DE COMPRESION, 1 AL 15 ENERO 2022</t>
  </si>
  <si>
    <t>A2620</t>
  </si>
  <si>
    <t>A2621</t>
  </si>
  <si>
    <t>A2622</t>
  </si>
  <si>
    <t>ENTREGA DE MOLÉCULA 1 AL 15 ENERO 2022 GENERADOR</t>
  </si>
  <si>
    <t>A2623</t>
  </si>
  <si>
    <t>SERVICIO DE COMPRESION, 1 AL 15 ENERO 2022 GENERADOR</t>
  </si>
  <si>
    <t>A2624</t>
  </si>
  <si>
    <t>A2626</t>
  </si>
  <si>
    <t>A2628</t>
  </si>
  <si>
    <t>A2630</t>
  </si>
  <si>
    <t>A2632</t>
  </si>
  <si>
    <t>A2636</t>
  </si>
  <si>
    <t>ENTREGA DE MOLÉCULA 10 AL 16 ENERO 2022</t>
  </si>
  <si>
    <t>A2641</t>
  </si>
  <si>
    <t>ENTREGA DE MOLÉCULA 6 AL 7 DICIEMBRE 2021</t>
  </si>
  <si>
    <t>ABONO 28 ENERO $26,219.17</t>
  </si>
  <si>
    <t>A2643</t>
  </si>
  <si>
    <t>A2645</t>
  </si>
  <si>
    <t>A2647</t>
  </si>
  <si>
    <t>A2648</t>
  </si>
  <si>
    <t>A2650</t>
  </si>
  <si>
    <t>abono 26/4/22, abono 5/5/22, ABONO $100,000 22 JUNIO 2022 SOBRANTE APLICA F A2706</t>
  </si>
  <si>
    <t>1467 y 1468, 1469</t>
  </si>
  <si>
    <t>A2652</t>
  </si>
  <si>
    <t>A2653</t>
  </si>
  <si>
    <t>SERVICIO DE COMPRESION,  1 AL 14 ENERO 2022</t>
  </si>
  <si>
    <t>A2654</t>
  </si>
  <si>
    <t>A2656</t>
  </si>
  <si>
    <t>A2658</t>
  </si>
  <si>
    <t>ENTREGA DE MOLÉCULA 17 AL 23 ENERO 2022</t>
  </si>
  <si>
    <t>abono 89,108.01 7/10/22, ABONO 14/10/22 $82621.13, SOBRANTE APLICA A FACTURA 2680</t>
  </si>
  <si>
    <t>A2661</t>
  </si>
  <si>
    <t>ENTREGA DE MOLECULA 16 AL 31 ENERO 2022</t>
  </si>
  <si>
    <t>A2662</t>
  </si>
  <si>
    <t>SERVICIO DE COMPRESIÓN 16 AL 31 ENERO 2022</t>
  </si>
  <si>
    <t>A2663</t>
  </si>
  <si>
    <t>ENTREGA MOLÉCULA GENERADOR 16 AL 31 ENERO 2022</t>
  </si>
  <si>
    <t>A2664</t>
  </si>
  <si>
    <t>SERVICIO COMPRESIÓN GENERADOR 16 AL 31 ENERO 2022</t>
  </si>
  <si>
    <t>APLICA NC 173 POR $28.59</t>
  </si>
  <si>
    <t>A2665</t>
  </si>
  <si>
    <t>ENTREGA DE MOLÉCULA 16 AL 31 ENERO 2022</t>
  </si>
  <si>
    <t>A2666</t>
  </si>
  <si>
    <t>SERVICIO COMPRESIÓN 16 AL 31 ENERO 2022</t>
  </si>
  <si>
    <t>A2667</t>
  </si>
  <si>
    <t>ENTREGA MOLECULA 15 AL 31 ENERO 2022</t>
  </si>
  <si>
    <t>A2668</t>
  </si>
  <si>
    <t>SERVICIO COMPRESIÓN 15 AL 31 ENERO 2022</t>
  </si>
  <si>
    <t>A2671</t>
  </si>
  <si>
    <t>ENTREGA DE MOLÉCULA 15 AL 31 ENERO 2022</t>
  </si>
  <si>
    <t>A2673</t>
  </si>
  <si>
    <t>A2675</t>
  </si>
  <si>
    <t>A2677</t>
  </si>
  <si>
    <t>A2678</t>
  </si>
  <si>
    <t>A2679</t>
  </si>
  <si>
    <t>A2680</t>
  </si>
  <si>
    <t>ABONO 14 OCT 59,910.62, abono 28/10/22 $55,920.49, abono 11 nov 3,700.3054</t>
  </si>
  <si>
    <t>1639 y 1875</t>
  </si>
  <si>
    <t>A2682</t>
  </si>
  <si>
    <t>A2684</t>
  </si>
  <si>
    <t>A2686</t>
  </si>
  <si>
    <t>A2688</t>
  </si>
  <si>
    <t>A2690</t>
  </si>
  <si>
    <t>A2694</t>
  </si>
  <si>
    <t>abono 23 marzo 2022 $171,309.45</t>
  </si>
  <si>
    <t>A2696</t>
  </si>
  <si>
    <t>A2699</t>
  </si>
  <si>
    <t>DESBALANCE 01 al 30 NOVIEMBRE 2021</t>
  </si>
  <si>
    <t>A2701</t>
  </si>
  <si>
    <t>A2702</t>
  </si>
  <si>
    <t>A2704</t>
  </si>
  <si>
    <t>A2705</t>
  </si>
  <si>
    <t>A2706</t>
  </si>
  <si>
    <t>ABONO $70,552.87 22 JUNIO 2022, SOBRANTE $47,096.51 APLICA SOBRANTE A F A2873</t>
  </si>
  <si>
    <t>A2707</t>
  </si>
  <si>
    <t>A2708</t>
  </si>
  <si>
    <t>A2709</t>
  </si>
  <si>
    <t>NC 185 EL IMPORTE SERÁ FACTURADO COMO TOP MAYO</t>
  </si>
  <si>
    <t>A2710</t>
  </si>
  <si>
    <t>A2711</t>
  </si>
  <si>
    <t>A2712</t>
  </si>
  <si>
    <t>A2713</t>
  </si>
  <si>
    <t>A2714</t>
  </si>
  <si>
    <t>A2715</t>
  </si>
  <si>
    <t>A2716</t>
  </si>
  <si>
    <t>ENTREGA DE MOLÉCULA 1 AL 6 FEBRERO 2022</t>
  </si>
  <si>
    <t>deposita 125,777.43 sobran 11,949.54 aplican a 2793</t>
  </si>
  <si>
    <t>A2718</t>
  </si>
  <si>
    <t>DIFERENCIA POR ENTREGA DE MOLÉCULA 1 ENERO AL 31 DICIEMBRE 2021</t>
  </si>
  <si>
    <t>A2719</t>
  </si>
  <si>
    <t>A2721</t>
  </si>
  <si>
    <t>DIFERENCIA ENTREGA MOLECULA 16 AL 31 ENERO 2022</t>
  </si>
  <si>
    <t>A2722</t>
  </si>
  <si>
    <t>DIFERENCIA POR SERVICIO COMPRESIÓN 16 AL 31 ENERO 2022</t>
  </si>
  <si>
    <t>A2723</t>
  </si>
  <si>
    <t>DIFERENCIA ENTREGA MOLECULA 16 AL 31 ENERO 2022 GENERADOR</t>
  </si>
  <si>
    <t>A2724</t>
  </si>
  <si>
    <t>A2725</t>
  </si>
  <si>
    <t>A2730</t>
  </si>
  <si>
    <t>A2732</t>
  </si>
  <si>
    <t>A2734</t>
  </si>
  <si>
    <t>A2736</t>
  </si>
  <si>
    <t>ENTREGA DE MOLECULA 7 AL 13 FEBRERO 2022</t>
  </si>
  <si>
    <t>A2738</t>
  </si>
  <si>
    <t>A2740</t>
  </si>
  <si>
    <t>A2742</t>
  </si>
  <si>
    <t>ENTREGA DE MOLECULA 1 AL 15 FEBRERO 2022</t>
  </si>
  <si>
    <t>A2743</t>
  </si>
  <si>
    <t>SERVICIO DE COMPRESION 1 AL 15 FEBRERO 2022</t>
  </si>
  <si>
    <t>A2744</t>
  </si>
  <si>
    <t>A2745</t>
  </si>
  <si>
    <t>A2746</t>
  </si>
  <si>
    <t>ENTREGA DE MOLECUL 1 AL 15 FEBRERO 2022 GENERADOR</t>
  </si>
  <si>
    <t>A2747</t>
  </si>
  <si>
    <t>SERVICIO DE COMPRESION 1 AL 15 FEBRERO 2022 GENERADOR</t>
  </si>
  <si>
    <t>A2748</t>
  </si>
  <si>
    <t>A2749</t>
  </si>
  <si>
    <t>SERVICIO DE COMPRESIÓN 1 AL 14 FEBRERO 2022</t>
  </si>
  <si>
    <t>A2750</t>
  </si>
  <si>
    <t>A2752</t>
  </si>
  <si>
    <t>CANCELADA ERROR DE ARACELI AL CAPTURAR</t>
  </si>
  <si>
    <t>A2754</t>
  </si>
  <si>
    <t>A2756</t>
  </si>
  <si>
    <t>1 pago conjunto 2756/2764/2803</t>
  </si>
  <si>
    <t>A2758</t>
  </si>
  <si>
    <t>A2759</t>
  </si>
  <si>
    <t>A2760</t>
  </si>
  <si>
    <t>A2762</t>
  </si>
  <si>
    <t>abono 28 mar $902,701.04</t>
  </si>
  <si>
    <t>A2764</t>
  </si>
  <si>
    <t>ENTREGA MOLECULA FALTANTE 1 AL 14 FEBRERO 2022</t>
  </si>
  <si>
    <t>A2767</t>
  </si>
  <si>
    <t>ENTREGA DE MOLECULA 16 AL 28 FEBRERO 2022</t>
  </si>
  <si>
    <t>A2768</t>
  </si>
  <si>
    <t>SERVICIO DE COMPRESIÓN 16 AL 28 FEBRERO 2022</t>
  </si>
  <si>
    <t>A2769</t>
  </si>
  <si>
    <t>A2770</t>
  </si>
  <si>
    <t>A2771</t>
  </si>
  <si>
    <t>ENTREGA DE MOLECULA 16 AL 28 FEBRERO 2022 COMPRESOR</t>
  </si>
  <si>
    <t>A2772</t>
  </si>
  <si>
    <t>SERVICIO DE COMPRESIÓN 16 AL 28 FEBRERO 2022 COMPRESOR</t>
  </si>
  <si>
    <t>A2773</t>
  </si>
  <si>
    <t>A2781</t>
  </si>
  <si>
    <t>ENTREGA DE MOLECULA 15 AL 28 FEBRERO 2022 DIFERENCIA POR ENTREGA</t>
  </si>
  <si>
    <t>A2782</t>
  </si>
  <si>
    <t>SERVICIO DE COMPRESIÓN 15 AL 28 FEBRERO 2022 DIFERENCIA POR SERVICIO</t>
  </si>
  <si>
    <t>A2783</t>
  </si>
  <si>
    <t>A2784</t>
  </si>
  <si>
    <t>SERVICIO DE COMPRESION 15 AL 28 FEBRERO 2022 DIFERENCIA POR SERVICIO</t>
  </si>
  <si>
    <t>aplica NC 197</t>
  </si>
  <si>
    <t>A2785</t>
  </si>
  <si>
    <t>ENTREGA DE MOLECULA 15 AL 28 FEBRERO 2022 DIFERENCIA POR ENTREGA GENERADOR</t>
  </si>
  <si>
    <t>aplica NC 198</t>
  </si>
  <si>
    <t>A2786</t>
  </si>
  <si>
    <t>SERVICIO DE COMPRESION 15 AL 28 FEBRERO 2022 DIFERENCIA POR SERVICIO GENERADOR</t>
  </si>
  <si>
    <t>A2787</t>
  </si>
  <si>
    <t>ENTREGA DE MOLECULA 15 AL 28 FEBRERO 2022</t>
  </si>
  <si>
    <t>A2789</t>
  </si>
  <si>
    <t>A2791</t>
  </si>
  <si>
    <t>A2793</t>
  </si>
  <si>
    <t>ENTREGA DE MOLECULA 14 AL 17 FEBRERO 2022</t>
  </si>
  <si>
    <t>abono 11,949.54 de sobrante del dia 13/1/23, abono de 23,081.16 sobrante de 111,818.52 13/1/23, realiza abono $100,000 aplica a f:2793(liquida), 3478(liquida) y 3589 (abona 49,273.26)</t>
  </si>
  <si>
    <t>A2795</t>
  </si>
  <si>
    <t>A2797</t>
  </si>
  <si>
    <t>A2798</t>
  </si>
  <si>
    <t>SERVICIO DE COMPRESIÓN 15 AL 28  FEBRERO 2022</t>
  </si>
  <si>
    <t>A2799</t>
  </si>
  <si>
    <t>A2801</t>
  </si>
  <si>
    <t>A2803</t>
  </si>
  <si>
    <t>A2805</t>
  </si>
  <si>
    <t>A2806</t>
  </si>
  <si>
    <t>A2807</t>
  </si>
  <si>
    <t>A2809</t>
  </si>
  <si>
    <t>A2811</t>
  </si>
  <si>
    <t>A2813</t>
  </si>
  <si>
    <t>ENTREGA DE MOLECULA 1 AL 14 FEBRERO 2022 DIFERENCIA MOLECULA</t>
  </si>
  <si>
    <t>A2814</t>
  </si>
  <si>
    <t>ENTREGA DE MOELCULA 15 AL 28 FEBRERO 2022</t>
  </si>
  <si>
    <t>A2817</t>
  </si>
  <si>
    <t>A2818</t>
  </si>
  <si>
    <t>TOP ENTREGA MOLECULA 12 AL 31 ENERO 2022</t>
  </si>
  <si>
    <t>A2819</t>
  </si>
  <si>
    <t>A2820</t>
  </si>
  <si>
    <t>A2821</t>
  </si>
  <si>
    <t>A2822</t>
  </si>
  <si>
    <t>A2823</t>
  </si>
  <si>
    <t>A2824</t>
  </si>
  <si>
    <t>NC 186 EL MONTO SE APLICARÁ A TOP MAYO</t>
  </si>
  <si>
    <t>A2825</t>
  </si>
  <si>
    <t>A2828</t>
  </si>
  <si>
    <t>TOP ENTREGA MOLECULA 1 AL 28 FEBRERO 2022</t>
  </si>
  <si>
    <t>A2830</t>
  </si>
  <si>
    <t>A2832</t>
  </si>
  <si>
    <t>A2833</t>
  </si>
  <si>
    <t>A2834</t>
  </si>
  <si>
    <t>A2835</t>
  </si>
  <si>
    <t>NC 187 EL MONTO SE APLICARA A TOP MAYO</t>
  </si>
  <si>
    <t>A2836</t>
  </si>
  <si>
    <t>abono 13/9/22 por $200,000, APLICA NC 294</t>
  </si>
  <si>
    <t>1562 / 2495</t>
  </si>
  <si>
    <t>A2837</t>
  </si>
  <si>
    <t>A2840</t>
  </si>
  <si>
    <t>ENTREGA DE MOLECULA 1 AL 15 MARZO 2022</t>
  </si>
  <si>
    <t>A2841</t>
  </si>
  <si>
    <t>SERVICIO DE COMPRESIÓN 1 AL 15 MARZO 2022</t>
  </si>
  <si>
    <t>A2842</t>
  </si>
  <si>
    <t>APLICA NC 179 POR 1,222.05</t>
  </si>
  <si>
    <t>A2843</t>
  </si>
  <si>
    <t>APLICA NC 180 POR $560.99</t>
  </si>
  <si>
    <t>A2844</t>
  </si>
  <si>
    <t>ENTREGA DE MOLECULA 1 AL 15 MARZO 2022 PARA EL GENERADOR</t>
  </si>
  <si>
    <t>A2845</t>
  </si>
  <si>
    <t>SERVICIO DE COMPRESIÓN 1 AL 15 MARZO 2022 PARA EL GENERADOR</t>
  </si>
  <si>
    <t>A2846</t>
  </si>
  <si>
    <t>ENTREGA DE MOLECULA 1 AL 14 MARZO 2022</t>
  </si>
  <si>
    <t>A2848</t>
  </si>
  <si>
    <t>A2850</t>
  </si>
  <si>
    <t>A2852</t>
  </si>
  <si>
    <t>ENTREGA DE MOLECULA 11 AL 14 MARZO 2022</t>
  </si>
  <si>
    <t>realiza pago por 111,818.52 sobran 23,081.16 aplican a 2793</t>
  </si>
  <si>
    <t>A2854</t>
  </si>
  <si>
    <t>A2856</t>
  </si>
  <si>
    <t>APLICA NC 181</t>
  </si>
  <si>
    <t>A2861</t>
  </si>
  <si>
    <t>A2862</t>
  </si>
  <si>
    <t>SERVICIO DE COMPRESIÓN 1 AL 14 MARZO 2022</t>
  </si>
  <si>
    <t>A2863</t>
  </si>
  <si>
    <t>A2865</t>
  </si>
  <si>
    <t>A2867</t>
  </si>
  <si>
    <t>A2869</t>
  </si>
  <si>
    <t>A2870</t>
  </si>
  <si>
    <t>A2871</t>
  </si>
  <si>
    <t>A2873</t>
  </si>
  <si>
    <t>ABONO $47,096.51 22 JUNIO, abono $100,000 24/6/22, sobra $33,681.47 para aplicar a f:A2912</t>
  </si>
  <si>
    <t>1469 y 470</t>
  </si>
  <si>
    <t>A2875</t>
  </si>
  <si>
    <t>A2877</t>
  </si>
  <si>
    <t>ENTREGA DE MOLECULA 16 AL 31 MARZO 2022</t>
  </si>
  <si>
    <t>APLICA NC 177 POR 5,182.74</t>
  </si>
  <si>
    <t>A2878</t>
  </si>
  <si>
    <t>SERVICIO DE COMPRESIÓN 16 AL 31 MARZO 2022</t>
  </si>
  <si>
    <t>APLICA NC POR 2,638.33</t>
  </si>
  <si>
    <t>A2879</t>
  </si>
  <si>
    <t>APLICA NC 183</t>
  </si>
  <si>
    <t>A2880</t>
  </si>
  <si>
    <t>A2881</t>
  </si>
  <si>
    <t>ENTREGA DE MOLECULA 16 AL 31 PARA EL GENERADOR MARZO 2022</t>
  </si>
  <si>
    <t>APLICA NC 184</t>
  </si>
  <si>
    <t>A2882</t>
  </si>
  <si>
    <t>SERVICIO DE COMPRESIÓN 16 AL 31 PARA EL GENERADOR MARZO 2022</t>
  </si>
  <si>
    <t>A2885</t>
  </si>
  <si>
    <t>ENTREGA DE MOLECULA 15 AL 31 MARZO 2022</t>
  </si>
  <si>
    <t>A2887</t>
  </si>
  <si>
    <t>A2889</t>
  </si>
  <si>
    <t>A2891</t>
  </si>
  <si>
    <t>A2893</t>
  </si>
  <si>
    <t>A2897</t>
  </si>
  <si>
    <t>ENTREGA DE MOLECULA 16 AL 31 MARZO 2022 DIFERENCIA POR ENTREGA</t>
  </si>
  <si>
    <t>A2898</t>
  </si>
  <si>
    <t>SERVICIO DE COMPRESIÓN 16 AL 31 MARZO 2022 DIFERENCIA POR SERVICIO</t>
  </si>
  <si>
    <t>A2899</t>
  </si>
  <si>
    <t>ENTREGA DE MOLECULA 16 AL 31 MARZO 2022 DIFERENCIA POR ENTREGA GENERADOR</t>
  </si>
  <si>
    <t>A2900</t>
  </si>
  <si>
    <t>SERVICIO DE COMPRESIÓN 16 AL 31 MARZO 2022 DIFERENCIA POR SERVICIO GENERADOR</t>
  </si>
  <si>
    <t>A2902</t>
  </si>
  <si>
    <t>A2903</t>
  </si>
  <si>
    <t>ENTREGA MOLECULA 15 AL 31 MARZO 2022</t>
  </si>
  <si>
    <t>cancelada por Araceli Por no ligar factura SAT</t>
  </si>
  <si>
    <t>A2904</t>
  </si>
  <si>
    <t>ENTREGA DE MOLÉCULA 15 AL 31 MARZO 2022</t>
  </si>
  <si>
    <t>A2905</t>
  </si>
  <si>
    <t>SERVICIO DE COMPRESIÓN 15 AL 31 MARZO 2022</t>
  </si>
  <si>
    <t>A2906</t>
  </si>
  <si>
    <t>A2908</t>
  </si>
  <si>
    <t>A2910</t>
  </si>
  <si>
    <t>A2912</t>
  </si>
  <si>
    <t>realiza abono $200,000 liqida y sobra $157,356.39 aplica a f:A2957</t>
  </si>
  <si>
    <t>1470 y 1471</t>
  </si>
  <si>
    <t>A2914</t>
  </si>
  <si>
    <t>A2915</t>
  </si>
  <si>
    <t>A2916</t>
  </si>
  <si>
    <t>A2918</t>
  </si>
  <si>
    <t>A2920</t>
  </si>
  <si>
    <t>ENTREGA DE MOLÉCULA 15 AL 31 MARZO 2022 FALTANTE 29 AL 31</t>
  </si>
  <si>
    <t>A2923</t>
  </si>
  <si>
    <t>TOP ENTREGA MOLECULA 1 AL 31 MARZO 2022</t>
  </si>
  <si>
    <t>A2924</t>
  </si>
  <si>
    <t>A2926</t>
  </si>
  <si>
    <t>NC 188 EL MONTO APLICARÁ A TOP MAYO</t>
  </si>
  <si>
    <t>A2927</t>
  </si>
  <si>
    <t>A2928</t>
  </si>
  <si>
    <t>A2929</t>
  </si>
  <si>
    <t>A2930</t>
  </si>
  <si>
    <t>NC 191 DIFERENCIA DE NOMICIÓN MONTO DIFERENCIA SE APLICA A TOP ABRIL 2022</t>
  </si>
  <si>
    <t>A2933</t>
  </si>
  <si>
    <t>ENTREGA DE MOLECULA 1 AL 15 ABRIL 2022</t>
  </si>
  <si>
    <t>A2934</t>
  </si>
  <si>
    <t>SERVICIO DE COMPRESIÓN 1 AL 15 ABRIL 2022</t>
  </si>
  <si>
    <t>A2935</t>
  </si>
  <si>
    <t>A2936</t>
  </si>
  <si>
    <t>A2937</t>
  </si>
  <si>
    <t>ENTREGA DE MOLECULA 1 AL 15 ABRIL 2022 PARA EL GENERADOR</t>
  </si>
  <si>
    <t>A2938</t>
  </si>
  <si>
    <t>SERVICIO DE COMPRESIÓN 1 AL 15 ABRIL 2022 PARA EL GENERADOR</t>
  </si>
  <si>
    <t>A2939</t>
  </si>
  <si>
    <t>ENTREGA DE MOLECULA 1 AL 14 ABRIL 2022</t>
  </si>
  <si>
    <t>A2941</t>
  </si>
  <si>
    <t>A2943</t>
  </si>
  <si>
    <t>A2945</t>
  </si>
  <si>
    <t>A2947</t>
  </si>
  <si>
    <t>A2949</t>
  </si>
  <si>
    <t xml:space="preserve">ENTREGA DE MOLECULA 1 AL 14 ABRIL 2022 </t>
  </si>
  <si>
    <t>A2950</t>
  </si>
  <si>
    <t>SERVICIO DE COMPRESIÓN 1 AL 14 ABRIL 2022</t>
  </si>
  <si>
    <t>A2951</t>
  </si>
  <si>
    <t>A2953</t>
  </si>
  <si>
    <t>A2955</t>
  </si>
  <si>
    <t>A2957</t>
  </si>
  <si>
    <t>abono 15/7/22 por $157,356.39</t>
  </si>
  <si>
    <t>1471 / 2442</t>
  </si>
  <si>
    <t>A2959</t>
  </si>
  <si>
    <t>A2961</t>
  </si>
  <si>
    <t>A2963</t>
  </si>
  <si>
    <t>A2964</t>
  </si>
  <si>
    <t>A2965</t>
  </si>
  <si>
    <t>ENTREGA DE MOLÉCULA 16 AL 30 ABRIL 2022</t>
  </si>
  <si>
    <t>APLICA NC 192</t>
  </si>
  <si>
    <t>A2966</t>
  </si>
  <si>
    <t>SERVICIO DE COMPRESIÓN 16 AL 30 ABRIL 2022</t>
  </si>
  <si>
    <t>APLICA NC 194</t>
  </si>
  <si>
    <t>A2967</t>
  </si>
  <si>
    <t>ENTREGA DE MOLÉCULA 16 AL 30 ABRIL 2022 PARA EL GENERADOR</t>
  </si>
  <si>
    <t>APLICA NC 193</t>
  </si>
  <si>
    <t>A2968</t>
  </si>
  <si>
    <t>SERVICIO DE COMPRESIÓN 16 AL 30 ABRIL 2022 PARA EL GENERADOR</t>
  </si>
  <si>
    <t>APLICA NC 195</t>
  </si>
  <si>
    <t>A2969</t>
  </si>
  <si>
    <t>A2970</t>
  </si>
  <si>
    <t>A2971</t>
  </si>
  <si>
    <t>ENTREGA DE MOLÉCULA 1 AL 14 MARZO 2022</t>
  </si>
  <si>
    <t>A2974</t>
  </si>
  <si>
    <t>ENTREGA DE MOLÉCULA 15 AL 30 ABRIL 2022</t>
  </si>
  <si>
    <t>A2976</t>
  </si>
  <si>
    <t>A2978</t>
  </si>
  <si>
    <t>A2980</t>
  </si>
  <si>
    <t>A2983</t>
  </si>
  <si>
    <t>A2984</t>
  </si>
  <si>
    <t>SERVICIO DE COMPRESIÓN 15 AL 30 ABRIL 2022</t>
  </si>
  <si>
    <t>A2985</t>
  </si>
  <si>
    <t>A2987</t>
  </si>
  <si>
    <t>A2989</t>
  </si>
  <si>
    <t>A2991</t>
  </si>
  <si>
    <t>A2993</t>
  </si>
  <si>
    <t>A2995</t>
  </si>
  <si>
    <t>realiza pago junto con la f 2996 tc20.4423</t>
  </si>
  <si>
    <t>A2997</t>
  </si>
  <si>
    <t>A2998</t>
  </si>
  <si>
    <t>A3000</t>
  </si>
  <si>
    <t>TOP ENTREGA DE MOLÉCULA 1 AL 30 ABRIL 2022</t>
  </si>
  <si>
    <t>se cancela a petición del cliente ya que no la consideraron en contabilidad la sustituye la A3607</t>
  </si>
  <si>
    <t>A3001</t>
  </si>
  <si>
    <t>A3002</t>
  </si>
  <si>
    <t>A3003</t>
  </si>
  <si>
    <t>A3004</t>
  </si>
  <si>
    <t>ENTREGA MOLECULA 16 AL 30 ABRIL 2022 DIFERENCIA POR ENTREGA</t>
  </si>
  <si>
    <t>A3005</t>
  </si>
  <si>
    <t>SERVICIO DE COMPRESIÓN 16 AL 30 ABRIL 2022 DIFERENCIA POR SERVICIO</t>
  </si>
  <si>
    <t>A3006</t>
  </si>
  <si>
    <t>TOP ENTREGA DE MOLECULA  1 AL 30 ABRIL 2022</t>
  </si>
  <si>
    <t>A3007</t>
  </si>
  <si>
    <t>A3008</t>
  </si>
  <si>
    <t>A3011</t>
  </si>
  <si>
    <t>ENTREGA DE MOLÉCULA 1 AL 14 MAYO 2022</t>
  </si>
  <si>
    <t>A3013</t>
  </si>
  <si>
    <t>A3015</t>
  </si>
  <si>
    <t>A3017</t>
  </si>
  <si>
    <t>APLICA NC 199</t>
  </si>
  <si>
    <t>A3019</t>
  </si>
  <si>
    <t>ENTREGA DE MOLÉCULA 1 AL 15 MAYO 2022</t>
  </si>
  <si>
    <t>aplica nc 226</t>
  </si>
  <si>
    <t>A3020</t>
  </si>
  <si>
    <t>SERVICIO DE COMPRESIÓN 1 AL 15 MAYO 2022</t>
  </si>
  <si>
    <t>NC 213 y 227</t>
  </si>
  <si>
    <t>A3021</t>
  </si>
  <si>
    <t>NC 215</t>
  </si>
  <si>
    <t>A3022</t>
  </si>
  <si>
    <t>NC 216</t>
  </si>
  <si>
    <t>A3023</t>
  </si>
  <si>
    <t>ENTREGA DE MOLÉCULA 1 AL 15 MAYO 2022 PARA EL GENERADOR</t>
  </si>
  <si>
    <t>NC 217</t>
  </si>
  <si>
    <t>A3024</t>
  </si>
  <si>
    <t>SERVICIO DE COMPRESIÓN 1 AL 15 MAYO 2022 PARA EL GENERADOR</t>
  </si>
  <si>
    <t>NC 218</t>
  </si>
  <si>
    <t>A3025</t>
  </si>
  <si>
    <t>ABONO DEL 6/9/23</t>
  </si>
  <si>
    <t>2442/2443</t>
  </si>
  <si>
    <t>A3027</t>
  </si>
  <si>
    <t>A3029</t>
  </si>
  <si>
    <t>APLICA NC 228</t>
  </si>
  <si>
    <t>A3031</t>
  </si>
  <si>
    <t>A3033</t>
  </si>
  <si>
    <t>A3035</t>
  </si>
  <si>
    <t>A3038</t>
  </si>
  <si>
    <t>A3039</t>
  </si>
  <si>
    <t>SERVICIO DE COMPRESIÓN 1 AL 14 MAYO 2022</t>
  </si>
  <si>
    <t>A3040</t>
  </si>
  <si>
    <t>A3041</t>
  </si>
  <si>
    <t>A3042</t>
  </si>
  <si>
    <t>ENTREGA DE MOLECULA DIFERENCIA POR TARIFA DE TRANSPORTE 1 AL 14 MAYO 2022</t>
  </si>
  <si>
    <t>A3043</t>
  </si>
  <si>
    <t>ENTREGA DE MOLECULA DIFERENCIA POR TARIFA DE TRANSPORTE 1 AL 14 MAYO 2023</t>
  </si>
  <si>
    <t>A3044</t>
  </si>
  <si>
    <t>ENTREGA DE MOLECULA DIFERENCIA POR TARIFA DE TRANSPORTE 1 AL 14 MAYO 2024</t>
  </si>
  <si>
    <t>A3045</t>
  </si>
  <si>
    <t>ENTREGA DE MOLECULA DIFERENCIA POR TARIFA DE TRANSPORTE 1 AL 14 MAYO 2025</t>
  </si>
  <si>
    <t>A3046</t>
  </si>
  <si>
    <t>ENTREGA DE MOLECULA DIFERENCIA POR TARIFA DE TRANSPORTE 1 AL 14 MAYO 2026</t>
  </si>
  <si>
    <t>A3047</t>
  </si>
  <si>
    <t>ENTREGA DE MOLECULA DIFERENCIA POR TARIFA DE TRANSPORTE 1 AL 14 MAYO 2027</t>
  </si>
  <si>
    <t>A3048</t>
  </si>
  <si>
    <t>ENTREGA DE MOLECULA DIFERENCIA POR TARIFA DE TRANSPORTE 1 AL 14 MAYO 2028</t>
  </si>
  <si>
    <t>A3049</t>
  </si>
  <si>
    <t>ENTREGA DE MOLECULA DIFERENCIA POR TARIFA DE TRANSPORTE 1 AL 14 MAYO 2029</t>
  </si>
  <si>
    <t>A3050</t>
  </si>
  <si>
    <t>ENTREGA DE MOLÉCULA 16 AL 31 MAYO 2022</t>
  </si>
  <si>
    <t>NC 211</t>
  </si>
  <si>
    <t>A3051</t>
  </si>
  <si>
    <t>SERVICIO DE COMPRESIÓN 16 AL 31 MAYO 2022</t>
  </si>
  <si>
    <t>NC 214</t>
  </si>
  <si>
    <t>A3052</t>
  </si>
  <si>
    <t>NC 212</t>
  </si>
  <si>
    <t>A3053</t>
  </si>
  <si>
    <t>NC 219</t>
  </si>
  <si>
    <t>A3054</t>
  </si>
  <si>
    <t>ENTREGA DE MOLÉCULA 16 AL 31 MAYO 2022 PARA EL GENERADOR</t>
  </si>
  <si>
    <t>A3055</t>
  </si>
  <si>
    <t>SERVICIO DE COMPRESIÓN 16 AL 31 MAYO 2022 PARA EL GENERADOR</t>
  </si>
  <si>
    <t>NC220</t>
  </si>
  <si>
    <t>A3056</t>
  </si>
  <si>
    <t>ENTREGA DE MOLÉCULA 15 AL 31 MAYO 2022</t>
  </si>
  <si>
    <t>NC 201</t>
  </si>
  <si>
    <t>A3057</t>
  </si>
  <si>
    <t>SERVICIO DE COMPRESIÓN 15 AL 31 MAYO 2022</t>
  </si>
  <si>
    <t>A3058</t>
  </si>
  <si>
    <t>ENTREGA DE MOLECULA 15 AL 31 MAYO 2022</t>
  </si>
  <si>
    <t>NC 200</t>
  </si>
  <si>
    <t>A3060</t>
  </si>
  <si>
    <t>NC 202</t>
  </si>
  <si>
    <t>A3062</t>
  </si>
  <si>
    <t>NC 203</t>
  </si>
  <si>
    <t>A3064</t>
  </si>
  <si>
    <t>A3066</t>
  </si>
  <si>
    <t>aplica NC 204, realiza abono por el total de la factura y no contemplan la NC, hay que realizar la devolución equivalente a la NC</t>
  </si>
  <si>
    <t>A3067</t>
  </si>
  <si>
    <t>A3068</t>
  </si>
  <si>
    <t>NC 208</t>
  </si>
  <si>
    <t>A3072</t>
  </si>
  <si>
    <t>NC 205</t>
  </si>
  <si>
    <t>A3074</t>
  </si>
  <si>
    <t>aplicaNC 206 tarifa BI</t>
  </si>
  <si>
    <t>A3076</t>
  </si>
  <si>
    <t>NC 209</t>
  </si>
  <si>
    <t>A3078</t>
  </si>
  <si>
    <t>NC 210</t>
  </si>
  <si>
    <t>A3080</t>
  </si>
  <si>
    <t>ENTREGA DE MOLECULA 16 AL 31 MAYO 2022 DIFERENCIA POR ENTREGA</t>
  </si>
  <si>
    <t>A3081</t>
  </si>
  <si>
    <t>SERVICIO DE COMPRESIÓN 16 AL 31 MAYO 2022 DIFERENCIA POR SERVICIO</t>
  </si>
  <si>
    <t>A3082</t>
  </si>
  <si>
    <t>A3083</t>
  </si>
  <si>
    <t>A3084</t>
  </si>
  <si>
    <t>ENTREGA DE MOLECULA 16 AL 31 MAYO 2022 DIFERENCIA POR ENTREGA GENERADOR</t>
  </si>
  <si>
    <t>A3085</t>
  </si>
  <si>
    <t>SERVICIO DE COMPRESIÓN 16 AL 31 MAYO 2022 DIFERENCIA POR SERVICIO GENERADOR</t>
  </si>
  <si>
    <t>A3087</t>
  </si>
  <si>
    <t>ERENDIRA ARACELI MEDINA MONSIVAIS</t>
  </si>
  <si>
    <t>VENTA VERSA</t>
  </si>
  <si>
    <t>A3088</t>
  </si>
  <si>
    <t>SERVICIO DE COMPRESIÓN 1 AL 14 ABRIL 2022 DIFERENCIA TARIFA HSC</t>
  </si>
  <si>
    <t>A3089</t>
  </si>
  <si>
    <t>ENTREGA DE MOLECULA 16 AL 31 MAYO 2022</t>
  </si>
  <si>
    <t>NC 207</t>
  </si>
  <si>
    <t>A3091</t>
  </si>
  <si>
    <t>TOP ENTREGA DE MOLECULA 1 AL 31 MAYO 2022</t>
  </si>
  <si>
    <t>A3092</t>
  </si>
  <si>
    <t>A3093</t>
  </si>
  <si>
    <t>A3094</t>
  </si>
  <si>
    <t>A3095</t>
  </si>
  <si>
    <t>ENTREGA DE MOLECULA 1 AL 14  MARZO 2022 DIFERENCIA POR ENTREGA MOLECULA</t>
  </si>
  <si>
    <t>sustituye por A3068</t>
  </si>
  <si>
    <t>A3096</t>
  </si>
  <si>
    <t>ENTREGA DE MOLECULA 15 AL 30  MARZO 2022 DIFERENCIA POR ENTREGA MOLECULA</t>
  </si>
  <si>
    <t>sustituye por A3069</t>
  </si>
  <si>
    <t>A3097</t>
  </si>
  <si>
    <t>ENTREGA DE MOLECULA 1 AL 31  ABRIL 2022 DIFERENCIA POR ENTREGA MOLECULA</t>
  </si>
  <si>
    <t>sustituye por A3070</t>
  </si>
  <si>
    <t>A3098</t>
  </si>
  <si>
    <t>ENTREGA DE MOLECULA 15 AL 31  ABRIL 2022 DIFERENCIA POR ENTREGA MOLECULA</t>
  </si>
  <si>
    <t>sustituye por A3071</t>
  </si>
  <si>
    <t>A3099</t>
  </si>
  <si>
    <t>ENTREGA DE MOLECULA 1 AL 16 DIFERENCIA POR ENTREGA DE MOLECULA</t>
  </si>
  <si>
    <t>A3100</t>
  </si>
  <si>
    <t>ENTREGA DE MOLECULA 1 AL 16 DIFERENCIA POR ENTREGA  MOLECULA PARA GENERADOR</t>
  </si>
  <si>
    <t>A3101</t>
  </si>
  <si>
    <t>abono 12/9/23, ABONO $100,000  6/10/23, liquida 24/10/23</t>
  </si>
  <si>
    <t>A3105</t>
  </si>
  <si>
    <t>ENTREGA DE MOLECULA 1 AL 14 JUNIO 2022</t>
  </si>
  <si>
    <t>A3107</t>
  </si>
  <si>
    <t>A3109</t>
  </si>
  <si>
    <t>ENTREGA DE MOLECULA 1 AL 15 JUNIO 2022</t>
  </si>
  <si>
    <t>A3110</t>
  </si>
  <si>
    <t>SERVICIO DE COMPRESIÓN 1 AL 15 JUNIO 2022</t>
  </si>
  <si>
    <t>A3111</t>
  </si>
  <si>
    <t>A3112</t>
  </si>
  <si>
    <t>A3113</t>
  </si>
  <si>
    <t>A3114</t>
  </si>
  <si>
    <t>SERVICIO DE COMPRESIÓN 1 AL 15 JUNIO 2022 PARA EL GENERADOR</t>
  </si>
  <si>
    <t>A3115</t>
  </si>
  <si>
    <t>ENTREGA DE MOLECULA 1 AL 15 JUNIO 2022 PARA EL GENERADOR</t>
  </si>
  <si>
    <t>A3116</t>
  </si>
  <si>
    <t>A3118</t>
  </si>
  <si>
    <t>A3119</t>
  </si>
  <si>
    <t>SERVICIO DE COMPRESIÓN 1 AL 14 JUNIO 2022</t>
  </si>
  <si>
    <t>A3120</t>
  </si>
  <si>
    <t>A3122</t>
  </si>
  <si>
    <t>A3124</t>
  </si>
  <si>
    <t>abono 24/10/23</t>
  </si>
  <si>
    <t>2524 / 2565</t>
  </si>
  <si>
    <t>A3126</t>
  </si>
  <si>
    <t>A3127</t>
  </si>
  <si>
    <t>A3128</t>
  </si>
  <si>
    <t>A3130</t>
  </si>
  <si>
    <t>APLICA NC 229 cancelada TCPS</t>
  </si>
  <si>
    <t>A3132</t>
  </si>
  <si>
    <t>ENTREGA DE MOLECULA 16 AL 30 JUNIO 2022</t>
  </si>
  <si>
    <t>A3133</t>
  </si>
  <si>
    <t>SERVICIO DE COMPRESIÓN 16 AL 30 JUNIO 2022</t>
  </si>
  <si>
    <t>A3134</t>
  </si>
  <si>
    <t>A3135</t>
  </si>
  <si>
    <t xml:space="preserve">SERVICIO DE COMPRESIÓN 16 AL 30 JUNIO 2022 </t>
  </si>
  <si>
    <t>A3136</t>
  </si>
  <si>
    <t>SERVICIO DE COMPRESIÓN 16 AL 30 JUNIO 2022 PARA EL COMPRESOR</t>
  </si>
  <si>
    <t>A3137</t>
  </si>
  <si>
    <t>ENTREGA DE MOLECULA 16 AL 30 JUNIO 2022 PARA EL COMPRESOR</t>
  </si>
  <si>
    <t>A3140</t>
  </si>
  <si>
    <t>ENTREGA DE MOLECULA 15 AL 30 JUNIO 2022</t>
  </si>
  <si>
    <t>A3142</t>
  </si>
  <si>
    <t>A3144</t>
  </si>
  <si>
    <t>ENTREGA DE MOLECULA 16 AL 30 JUNIO 2022 DIFERENCIA POR ENTREGA</t>
  </si>
  <si>
    <t>A3145</t>
  </si>
  <si>
    <t>SERVICIO DE COMPRESIÓN 16 AL 30 JUNIO 2022 DIFERENCIA POR SERVICIO</t>
  </si>
  <si>
    <t>A3146</t>
  </si>
  <si>
    <t>A3147</t>
  </si>
  <si>
    <t>A3148</t>
  </si>
  <si>
    <t>ENTREGA DE MOLECULA 16 AL 30 JUNIO 2022 DIFERENCIA POR ENTREGA GENERADOR</t>
  </si>
  <si>
    <t>A3149</t>
  </si>
  <si>
    <t>SERVICIO DE COMPRESIÓN 16 AL 30 JUNIO 2022 DIFERENCIA POR SERVICIO GENERADOR</t>
  </si>
  <si>
    <t>A3151</t>
  </si>
  <si>
    <t>A3152</t>
  </si>
  <si>
    <t>SERVICIO DE COMPRESIÓN 15 AL 30 JUNIO 2022</t>
  </si>
  <si>
    <t>A3153</t>
  </si>
  <si>
    <t>A3155</t>
  </si>
  <si>
    <t>A3157</t>
  </si>
  <si>
    <t>1539, 1540</t>
  </si>
  <si>
    <t>A3159</t>
  </si>
  <si>
    <t>abono 8/11/23</t>
  </si>
  <si>
    <t>2565 / 2581</t>
  </si>
  <si>
    <t>A3161</t>
  </si>
  <si>
    <t>A3162</t>
  </si>
  <si>
    <t>A3163</t>
  </si>
  <si>
    <t>A3165</t>
  </si>
  <si>
    <t>CANCELADO POR APLICACIÓN TCPS</t>
  </si>
  <si>
    <t>A3167</t>
  </si>
  <si>
    <t>ENTREGA DE MOLECULA  DIFERENCIA TERMINOS Y CONDICIONES 15 AL 31 MAYO 22</t>
  </si>
  <si>
    <t>A3168</t>
  </si>
  <si>
    <t>A3169</t>
  </si>
  <si>
    <t>APLICA NC 253</t>
  </si>
  <si>
    <t>A3170</t>
  </si>
  <si>
    <t>A3171</t>
  </si>
  <si>
    <t>A3174</t>
  </si>
  <si>
    <t>ENTREGA DE MOLECULA 1 AL 14 JULIO 2022</t>
  </si>
  <si>
    <t>A3176</t>
  </si>
  <si>
    <t>A3178</t>
  </si>
  <si>
    <t>ENTREGA DE MOLECULA 1 AL 15 JULIO 2022</t>
  </si>
  <si>
    <t>A3179</t>
  </si>
  <si>
    <t>SERVICIO DE COMPRESIÓN 1 AL 15 JULIO 2022</t>
  </si>
  <si>
    <t>A3180</t>
  </si>
  <si>
    <t>APLICA NC 249</t>
  </si>
  <si>
    <t>A3181</t>
  </si>
  <si>
    <t>A3182</t>
  </si>
  <si>
    <t>ENTREGA DE MOLECULA 1 AL 15 PARA COMPRESOR JULIO 2022</t>
  </si>
  <si>
    <t>APLICA NC 250</t>
  </si>
  <si>
    <t>A3183</t>
  </si>
  <si>
    <t>SERVICIO DE COMPRESIÓN 1 AL 15 PARA COMPRESOR JULIO 2022</t>
  </si>
  <si>
    <t>A3184</t>
  </si>
  <si>
    <t>A3185</t>
  </si>
  <si>
    <t>SERVICIO DE COMPRESIÓN 1 AL 14 JULIO 2022</t>
  </si>
  <si>
    <t>A3186</t>
  </si>
  <si>
    <t>A3188</t>
  </si>
  <si>
    <t>A3190</t>
  </si>
  <si>
    <t>ABONO 15/11/23</t>
  </si>
  <si>
    <t>2581/2639</t>
  </si>
  <si>
    <t>A3192</t>
  </si>
  <si>
    <t>A3194</t>
  </si>
  <si>
    <t>A3196</t>
  </si>
  <si>
    <t>A3197</t>
  </si>
  <si>
    <t>A3198</t>
  </si>
  <si>
    <t>ABONO 95,550.97 23/08/22</t>
  </si>
  <si>
    <t>A3202</t>
  </si>
  <si>
    <t>ENTREGA DE MOLECULA 16 AL 31 JULIO 2022</t>
  </si>
  <si>
    <t>A3203</t>
  </si>
  <si>
    <t>SERVICIO DE COMPRESIÓN 16 AL 31 JULIO 2022</t>
  </si>
  <si>
    <t>APLICA NC 243</t>
  </si>
  <si>
    <t>A3204</t>
  </si>
  <si>
    <t>APLICA NC 247</t>
  </si>
  <si>
    <t>A3205</t>
  </si>
  <si>
    <t>A3206</t>
  </si>
  <si>
    <t>ENTREGA DE MOLECULA 16 AL 31 JULIO 2022 PARA GENERADOR</t>
  </si>
  <si>
    <t>APLICA NC 232 Y 248</t>
  </si>
  <si>
    <t>A3207</t>
  </si>
  <si>
    <t>SERVICIO DE COMPRESIÓN 16 AL 31 JULIO 2022 PARA GENERADOR</t>
  </si>
  <si>
    <t>APLICA NC 233</t>
  </si>
  <si>
    <t>A3208</t>
  </si>
  <si>
    <t>MOLECULA EN FIRME POR NOMINACION 1 AL 30 DE ABRIL 2020.</t>
  </si>
  <si>
    <t>A3209</t>
  </si>
  <si>
    <t>MOLECULA EN FIRME POR NOMINACION 1 AL 31 DE MAYO 2020.</t>
  </si>
  <si>
    <t>A3210</t>
  </si>
  <si>
    <t>MOLECULA EN FIRME POR NOMINACION 1 AL 30 JUNIO 2020.</t>
  </si>
  <si>
    <t>A3213</t>
  </si>
  <si>
    <t>ENTREGA DE MOLECULA 15 AL 31 JULIO 2022</t>
  </si>
  <si>
    <t>A3215</t>
  </si>
  <si>
    <t>A3217</t>
  </si>
  <si>
    <t>ENTREGA DE MOLECULA 16 AL 31 JULIO 2022 DIFERENCIA POR ENTREGA</t>
  </si>
  <si>
    <t>A3218</t>
  </si>
  <si>
    <t>SERVICIO DE COMPRESIÓN 16 AL 31 JULIO 2022 DIFERENCIA POR COMPRESIÓN</t>
  </si>
  <si>
    <t>APLICA NC 244 POR DIFERENCIA COMPRESIÓN</t>
  </si>
  <si>
    <t>A3219</t>
  </si>
  <si>
    <t>APLICA NC 245</t>
  </si>
  <si>
    <t>A3220</t>
  </si>
  <si>
    <t>A3221</t>
  </si>
  <si>
    <t>NO ERA FACTURA, CORRESPONDE NC</t>
  </si>
  <si>
    <t>A3222</t>
  </si>
  <si>
    <t>A3224</t>
  </si>
  <si>
    <t>A3225</t>
  </si>
  <si>
    <t>SERVICIO DE COMPRESIÓN 15 AL 31 JULIO 2022</t>
  </si>
  <si>
    <t>A3226</t>
  </si>
  <si>
    <t>A3228</t>
  </si>
  <si>
    <t>A3230</t>
  </si>
  <si>
    <t>A3232</t>
  </si>
  <si>
    <t>SE ABONAN $178,904.00 07/12/23</t>
  </si>
  <si>
    <t>A3234</t>
  </si>
  <si>
    <t>A3235</t>
  </si>
  <si>
    <t>A3236</t>
  </si>
  <si>
    <t>A3239</t>
  </si>
  <si>
    <t>A3241</t>
  </si>
  <si>
    <t>ENTREGA DE MOLECULA 1 AL 15 AGOSTO 2022</t>
  </si>
  <si>
    <t>A3242</t>
  </si>
  <si>
    <t>SERVICIO DE COMPRESIÓN 1 AL 15 AGOSTO 2022</t>
  </si>
  <si>
    <t>A3243</t>
  </si>
  <si>
    <t>A3244</t>
  </si>
  <si>
    <t>A3245</t>
  </si>
  <si>
    <t>ENTREGA DE MOLECULA 1 AL 15 AGOSTO 2022 PARA GENERADOR</t>
  </si>
  <si>
    <t>A3246</t>
  </si>
  <si>
    <t>SERVICIO DE COMPRESIÓN 1 AL 15 AGOSTO 2022 PARA GENERADOR</t>
  </si>
  <si>
    <t>A3249</t>
  </si>
  <si>
    <t>ENTREGA DE MOLECULA 1 AL 14 AGOSTO 2022</t>
  </si>
  <si>
    <t>A3251</t>
  </si>
  <si>
    <t>A3253</t>
  </si>
  <si>
    <t>cancelada por cambio de RFC</t>
  </si>
  <si>
    <t>A3254</t>
  </si>
  <si>
    <t>A3255</t>
  </si>
  <si>
    <t>A3256</t>
  </si>
  <si>
    <t>A3257</t>
  </si>
  <si>
    <t>SERVICIO DE COMPRESIÓN 1 AL 14 AGOSTO 2022</t>
  </si>
  <si>
    <t>A3258</t>
  </si>
  <si>
    <t>A3260</t>
  </si>
  <si>
    <t>A3262</t>
  </si>
  <si>
    <t>A3264</t>
  </si>
  <si>
    <t>A3265</t>
  </si>
  <si>
    <t>A3266</t>
  </si>
  <si>
    <t>A3268</t>
  </si>
  <si>
    <t>A3270</t>
  </si>
  <si>
    <t xml:space="preserve"> abono 29/08/22 $1,723,496.13 dejan de pagar TCPS</t>
  </si>
  <si>
    <t>A3271</t>
  </si>
  <si>
    <t>CANCELADA POR ERORR DE CLIENTE, CORRESPONDE A NEOMEXICANA</t>
  </si>
  <si>
    <t>A3272</t>
  </si>
  <si>
    <t>A3273</t>
  </si>
  <si>
    <t>A3274</t>
  </si>
  <si>
    <t>A3275</t>
  </si>
  <si>
    <t>abono 29/08/22  1,698,289.71 dejan de pagar TCPS</t>
  </si>
  <si>
    <t>A3276</t>
  </si>
  <si>
    <t>aplica NC 239, abono 29/9/22   1,227,372.93 deja de pagar TCPS</t>
  </si>
  <si>
    <t>A3277</t>
  </si>
  <si>
    <t>ENTREGA DE MOLECULA 14 AL 31 JULIO 2022</t>
  </si>
  <si>
    <t>aplica NC 240, abono 29/9/22   1,786,041.04 deja de pagar TCPS</t>
  </si>
  <si>
    <t>A3278</t>
  </si>
  <si>
    <t>abono 1,641,479.59 23/9/22</t>
  </si>
  <si>
    <t>A3279</t>
  </si>
  <si>
    <t>ENTREGA DE MOLECULA 16 AL 31 AGOSTO 2022</t>
  </si>
  <si>
    <t>A3280</t>
  </si>
  <si>
    <t>SERVICIO DE COMPRESIÓN 16 AL 31 AGOSTO 2022</t>
  </si>
  <si>
    <t>A3281</t>
  </si>
  <si>
    <t>A3282</t>
  </si>
  <si>
    <t>A3283</t>
  </si>
  <si>
    <t>ENTREGA DE MOLECULA 16 AL 31 AGOSTO 2022 PARA COMPRESOR</t>
  </si>
  <si>
    <t>A3284</t>
  </si>
  <si>
    <t>SERVICIO DE COMPRESIÓN 16 AL 31 AGOSTO 2022 PARA COMPRESOR</t>
  </si>
  <si>
    <t>A3285</t>
  </si>
  <si>
    <t>ENTREGA DE MOLÉCULA 15 AL 31 AGOSTO 2022</t>
  </si>
  <si>
    <t>cancelado por cambio RFC</t>
  </si>
  <si>
    <t>A3287</t>
  </si>
  <si>
    <t>A3289</t>
  </si>
  <si>
    <t>ENTREGA DE MOLÉCULA 15 AL 31  AGOSTO 2022</t>
  </si>
  <si>
    <t>A3293</t>
  </si>
  <si>
    <t>ENTREGA DE MOLÉCULA 16 AL 31 AGOSTO 2022</t>
  </si>
  <si>
    <t>A3294</t>
  </si>
  <si>
    <t>A3295</t>
  </si>
  <si>
    <t>A3296</t>
  </si>
  <si>
    <t>A3297</t>
  </si>
  <si>
    <t>ENTREGA DE MOLÉCULA 16 AL 31 AGOSTO 2022 GENERADOR</t>
  </si>
  <si>
    <t>A3298</t>
  </si>
  <si>
    <t>SERVICIO DE COMPRESIÓN 16 AL 31 AGOSTO 2022 GENERADOR</t>
  </si>
  <si>
    <t>A3300</t>
  </si>
  <si>
    <t>A3301</t>
  </si>
  <si>
    <t>SERVICIO DE COMPRESIÓN 15 AL 31 AGOSTO 2022</t>
  </si>
  <si>
    <t>A3302</t>
  </si>
  <si>
    <t>A3304</t>
  </si>
  <si>
    <t>A3306</t>
  </si>
  <si>
    <t>A3308</t>
  </si>
  <si>
    <t>A3309</t>
  </si>
  <si>
    <t>SERVICIO DE COMPRESION 15 AL 31 AGOSTO 2022</t>
  </si>
  <si>
    <t>A3310</t>
  </si>
  <si>
    <t>A3312</t>
  </si>
  <si>
    <t>ENTREGA DE MOLÉCULA 1 AL 14 AGOSTO 2022</t>
  </si>
  <si>
    <t>A3314</t>
  </si>
  <si>
    <t>A3316</t>
  </si>
  <si>
    <t>ATONGO</t>
  </si>
  <si>
    <t>A3318</t>
  </si>
  <si>
    <t>abono 18/10/22 $1891857.36 deja de pagar TCPS</t>
  </si>
  <si>
    <t>1661 y 1974</t>
  </si>
  <si>
    <t>A3320</t>
  </si>
  <si>
    <t xml:space="preserve">ENTREGA DE MOLÉCULA 15 AL 31 ABRIL 2022 VOL FALTANTE </t>
  </si>
  <si>
    <t>A3322</t>
  </si>
  <si>
    <t xml:space="preserve">ENTREGA DE MOLÉCULA 15 AL 31 MAYO 2022 VOL FALTANTE </t>
  </si>
  <si>
    <t>A3324</t>
  </si>
  <si>
    <t>CARGO POR CAPACIDAD POR ENTREGA DE MOLECULA DE GAS NATURAL EN SUS INSTALACIONES EQUIVALENTE A 4,409.17</t>
  </si>
  <si>
    <t>sustituye a la 1878</t>
  </si>
  <si>
    <t>A3325</t>
  </si>
  <si>
    <t>ENTREGA DE MOLÉCULA 1 AL 14 SEPTIEMBRE 2022</t>
  </si>
  <si>
    <t>SE SUSTITUYE POR LA 3355</t>
  </si>
  <si>
    <t>A3327</t>
  </si>
  <si>
    <t>A3331</t>
  </si>
  <si>
    <t>A3333</t>
  </si>
  <si>
    <t>A3335</t>
  </si>
  <si>
    <t>A3337</t>
  </si>
  <si>
    <t>A3341</t>
  </si>
  <si>
    <t>A3343</t>
  </si>
  <si>
    <t>A3344</t>
  </si>
  <si>
    <t>A3346</t>
  </si>
  <si>
    <t>A3348</t>
  </si>
  <si>
    <t>ENTREGA DE MOLÉCULA 1 AL 15 SEPTIEMBRE 2022</t>
  </si>
  <si>
    <t>A3349</t>
  </si>
  <si>
    <t>SERVICIO DE COMPRESION 1 AL 15 SEPTIEMBRE 2022</t>
  </si>
  <si>
    <t>A3350</t>
  </si>
  <si>
    <t>A3351</t>
  </si>
  <si>
    <t>A3352</t>
  </si>
  <si>
    <t>ENTREGA DE MOLÉCULA 1 AL 15 SEPTIEMBRE 2022 PARA EL COMPRESOR</t>
  </si>
  <si>
    <t>A3353</t>
  </si>
  <si>
    <t>SERVICIO DE COMPRESION 1 AL 15 SEPTIEMBRE 2022 PARA EL COMPRESOR</t>
  </si>
  <si>
    <t>A3355</t>
  </si>
  <si>
    <t>A3356</t>
  </si>
  <si>
    <t>ENTREGA DE MOLECULA 1 AL 14 SEPTIEMBRE 2022</t>
  </si>
  <si>
    <t>A3358</t>
  </si>
  <si>
    <t>A3360</t>
  </si>
  <si>
    <t>aplica NC 254 dif dias 3,11 y 12 sep</t>
  </si>
  <si>
    <t>A3362</t>
  </si>
  <si>
    <t>A3364</t>
  </si>
  <si>
    <t>A3365</t>
  </si>
  <si>
    <t>SERVICIO DE COMPRESIÓN 1 AL 14 SEPTIEMBRE 2022</t>
  </si>
  <si>
    <t>A3366</t>
  </si>
  <si>
    <t>24/10/222</t>
  </si>
  <si>
    <t>A3367</t>
  </si>
  <si>
    <t>A3368</t>
  </si>
  <si>
    <t>abono 11 nov 2022$1,382,772.57</t>
  </si>
  <si>
    <t>1720 y 1974</t>
  </si>
  <si>
    <t>A3370</t>
  </si>
  <si>
    <t>ENTREGA DE MOLECULA 16 AL 30 SEPTIEMBRE 2022</t>
  </si>
  <si>
    <t>A3371</t>
  </si>
  <si>
    <t>SERVICIO DE COMPRESIÓN 16 AL 30 SEPTIEMBRE 2022</t>
  </si>
  <si>
    <t>A3372</t>
  </si>
  <si>
    <t>A3373</t>
  </si>
  <si>
    <t>A3374</t>
  </si>
  <si>
    <t>ENTREGA DE MOLECULA 16 AL 30 SEPTIEMBRE 2022 COMPRESOR</t>
  </si>
  <si>
    <t>A3375</t>
  </si>
  <si>
    <t>SERVICIO DE COMPRESIÓN 16 AL 30 SEPTIEMBRE 2022 COMPRESOR</t>
  </si>
  <si>
    <t>A3378</t>
  </si>
  <si>
    <t>ENTREGA DE MOLECULA 15 AL 30 SEPTIEMBRE 2022</t>
  </si>
  <si>
    <t>A3380</t>
  </si>
  <si>
    <t>A3384</t>
  </si>
  <si>
    <t>sobran 99.86 se aplican a f:3439</t>
  </si>
  <si>
    <t>A3386</t>
  </si>
  <si>
    <t>A3388</t>
  </si>
  <si>
    <t>A3390</t>
  </si>
  <si>
    <t>A3392</t>
  </si>
  <si>
    <t>CANCELADA POR ARACELI NO ERA EL PERIODO</t>
  </si>
  <si>
    <t>A3394</t>
  </si>
  <si>
    <t>A3396</t>
  </si>
  <si>
    <t>A3398</t>
  </si>
  <si>
    <t>A3399</t>
  </si>
  <si>
    <t>A3400</t>
  </si>
  <si>
    <t>A3401</t>
  </si>
  <si>
    <t>A3402</t>
  </si>
  <si>
    <t>A3403</t>
  </si>
  <si>
    <t>A3404</t>
  </si>
  <si>
    <t>A3406</t>
  </si>
  <si>
    <t>A3407</t>
  </si>
  <si>
    <t>ENTREGA DE MOLECULA 1 AL 4 OCTUBRE 2022</t>
  </si>
  <si>
    <t>A3409</t>
  </si>
  <si>
    <t>abono 11 nov $1,508,560.28</t>
  </si>
  <si>
    <t>A3411</t>
  </si>
  <si>
    <t>A3412</t>
  </si>
  <si>
    <t>SERVICIO DE COMPRESIÓN 15 AL 30 SEPTIEMBRE 2022</t>
  </si>
  <si>
    <t>A3413</t>
  </si>
  <si>
    <t>A3415</t>
  </si>
  <si>
    <t>A3417</t>
  </si>
  <si>
    <t>ABONO 28/11/22 $450,000, abono $400,000 el 30 nov, sobran $387,554.34 aplican a la f:3470</t>
  </si>
  <si>
    <t>1760 - 1768</t>
  </si>
  <si>
    <t>A3419</t>
  </si>
  <si>
    <t>A3420</t>
  </si>
  <si>
    <t>A3421</t>
  </si>
  <si>
    <t>A3423</t>
  </si>
  <si>
    <t>INTERESES DE FACTURAS VENCIDAS AL 09 DE OCTUBRE 2022 POR ENTREGA DE MOLECULA FACTURAS: A3176, A3213,A3251,A3287 Y A3327</t>
  </si>
  <si>
    <t>A3425</t>
  </si>
  <si>
    <t>DIFERENCIA POR ENTREGA DE MOLÉCULA 1 AL 4 OCTUBRE 2022</t>
  </si>
  <si>
    <t>A3427</t>
  </si>
  <si>
    <t>ENTREGA DE MOLECULA 5 AL 9 OCTUBRE 2022</t>
  </si>
  <si>
    <t>A3431</t>
  </si>
  <si>
    <t>ENTREGA DE MOLECULA 1 AL 14 OCTUBRE 2022</t>
  </si>
  <si>
    <t>A3433</t>
  </si>
  <si>
    <t>A3437</t>
  </si>
  <si>
    <t>A3439</t>
  </si>
  <si>
    <t xml:space="preserve">APLICA NC 260 POR ajuste nominación, aplica sobrante del pago de factura 3384 $99.86 </t>
  </si>
  <si>
    <t>1826 y 1755</t>
  </si>
  <si>
    <t>A3441</t>
  </si>
  <si>
    <t>A3443</t>
  </si>
  <si>
    <t>CANCELADA POR ARACELI, NO CORRESPONDE PERIODO</t>
  </si>
  <si>
    <t>A3445</t>
  </si>
  <si>
    <t>A3447</t>
  </si>
  <si>
    <t>A3449</t>
  </si>
  <si>
    <t>A3451</t>
  </si>
  <si>
    <t>A3453</t>
  </si>
  <si>
    <t>ENTREGA DE MOLECULA 1 AL 15  OCTUBRE 2022</t>
  </si>
  <si>
    <t>A3454</t>
  </si>
  <si>
    <t>SERVICIO DE COMPRESIÓN 1 AL 15 OCTUBRE 2022</t>
  </si>
  <si>
    <t>A3455</t>
  </si>
  <si>
    <t>A3456</t>
  </si>
  <si>
    <t>A3457</t>
  </si>
  <si>
    <t>ENTREGA DE MOLECULA 1 AL 15 OCTUBRE 2022 PARA EL GENERADOR</t>
  </si>
  <si>
    <t>A3458</t>
  </si>
  <si>
    <t>SERVICIO DE COMPRESIÓN 1 AL 15 OCTUBRE 2022 PARA EL GENERADOR</t>
  </si>
  <si>
    <t>A3459</t>
  </si>
  <si>
    <t>CANCELADA ARACELI</t>
  </si>
  <si>
    <t>A3460</t>
  </si>
  <si>
    <t>ENTREGA DE MOLECULA 10 AL 16 OCTUBRE 2022</t>
  </si>
  <si>
    <t>realiza 2 pagos de 100,000 y uno por 45,299.30</t>
  </si>
  <si>
    <t>A3464</t>
  </si>
  <si>
    <t>A3465</t>
  </si>
  <si>
    <t>SERVICIO DE COMPRESIÓN 1 AL 14 OCTUBRE 2022</t>
  </si>
  <si>
    <t>A3466</t>
  </si>
  <si>
    <t>A3468</t>
  </si>
  <si>
    <t>A3470</t>
  </si>
  <si>
    <t>aono 387,554.34 30 nov, sobran $54,587.05, aplican a f:3525</t>
  </si>
  <si>
    <t>A3472</t>
  </si>
  <si>
    <t>A3473</t>
  </si>
  <si>
    <t>A3474</t>
  </si>
  <si>
    <t>abono $1,055,818.60 24/11/22</t>
  </si>
  <si>
    <t>1765 y 1974</t>
  </si>
  <si>
    <t>A3476</t>
  </si>
  <si>
    <t>A3478</t>
  </si>
  <si>
    <t>CABLE DE CONFIGURACIÓN</t>
  </si>
  <si>
    <t xml:space="preserve"> realiza abono $100,000 aplica a f:2793(liquida), 3478(liquida) y 3589 (abona 49,273.26)</t>
  </si>
  <si>
    <t>A3479</t>
  </si>
  <si>
    <t>ENTREGA DE MOLECULA 17 AL 23 OCTUBRE 2022</t>
  </si>
  <si>
    <t>APLICA NC 261, paga factura completa, sobran 33,073.81 aplican a f:2680</t>
  </si>
  <si>
    <t>A3481</t>
  </si>
  <si>
    <t>ENTREGA DE MOLECULA 16 AL 31 OCTUBRE 2022</t>
  </si>
  <si>
    <t>A3482</t>
  </si>
  <si>
    <t>SERVICIO DE COMPRESIÓN 16 AL 31 OCTUBRE 2022</t>
  </si>
  <si>
    <t>A3483</t>
  </si>
  <si>
    <t>A3484</t>
  </si>
  <si>
    <t>A3485</t>
  </si>
  <si>
    <t>ENTREGA DE MOLECULA 16 AL 31 OCTUBRE 2022 PARA COMPRESOR</t>
  </si>
  <si>
    <t>A3486</t>
  </si>
  <si>
    <t>SERVICIO DE COMPRESIÓN 16 AL 31 OCTUBRE 2022 PARA COMPRESOR</t>
  </si>
  <si>
    <t>A3488</t>
  </si>
  <si>
    <t>ENTREGA DE MOLÉCULA 24 AL 31 OCTUBRE 2022</t>
  </si>
  <si>
    <t>ABONO 192,690.66 4/11/22, liquida el 11/11/22 42,280.77</t>
  </si>
  <si>
    <t>A3490</t>
  </si>
  <si>
    <t>CANCELADO ADMIN ARACELI</t>
  </si>
  <si>
    <t>A3491</t>
  </si>
  <si>
    <t>ENTREGA DE MOLÉCULA 15 AL 31 OCTUBRE 2022</t>
  </si>
  <si>
    <t>A3495</t>
  </si>
  <si>
    <t>A3497</t>
  </si>
  <si>
    <t>A3499</t>
  </si>
  <si>
    <t>A3503</t>
  </si>
  <si>
    <t>A3505</t>
  </si>
  <si>
    <t>A3507</t>
  </si>
  <si>
    <t>A3509</t>
  </si>
  <si>
    <t>A3511</t>
  </si>
  <si>
    <t>ENTREGA DE MOLÉCULA 16 AL 31 OCTUBRE 2022 FINAL</t>
  </si>
  <si>
    <t>A3512</t>
  </si>
  <si>
    <t>SERVICIO DE COMPRESIÓN 16 AL 31 OCTUBRE 2022 FINAL</t>
  </si>
  <si>
    <t>A3513</t>
  </si>
  <si>
    <t>A3514</t>
  </si>
  <si>
    <t>A3515</t>
  </si>
  <si>
    <t>ENTREGA DE MOLÉCULA 16 AL 31 OCTUBRE 2022 PARA GENERADOR FINAL</t>
  </si>
  <si>
    <t>A3516</t>
  </si>
  <si>
    <t>SERVICIO DE COMPRESIÓN 16 AL 31 OCTUBRE 2022 PARA GENERADOR FINAL</t>
  </si>
  <si>
    <t>A3517</t>
  </si>
  <si>
    <t>ENTREGA DE MOLECULA 15 AL 31 OCTUBRE 2022</t>
  </si>
  <si>
    <t>abono 6 dic no paga TCPS</t>
  </si>
  <si>
    <t>1786 y 1974</t>
  </si>
  <si>
    <t>A3519</t>
  </si>
  <si>
    <t>A3520</t>
  </si>
  <si>
    <t xml:space="preserve">SERVICIO DE COMPRESIÓN 15 AL 31 OCTUBRE 2022 </t>
  </si>
  <si>
    <t>A3521</t>
  </si>
  <si>
    <t>realiza pago por $808,999.13 f:3523,3521,3568 y 3566</t>
  </si>
  <si>
    <t>A3523</t>
  </si>
  <si>
    <t>A3525</t>
  </si>
  <si>
    <t>abono 54,587.05 30 nov 2022</t>
  </si>
  <si>
    <t>1768 y 1856</t>
  </si>
  <si>
    <t>A3527</t>
  </si>
  <si>
    <t>A3528</t>
  </si>
  <si>
    <t>SERVICIO DE COMPRESIÓN 15 L 31 OCTUBRE 2022</t>
  </si>
  <si>
    <t>A3529</t>
  </si>
  <si>
    <t>A3531</t>
  </si>
  <si>
    <t>CONMARCA</t>
  </si>
  <si>
    <t>A3533</t>
  </si>
  <si>
    <t>ENTREGA DE MOLECULA 1 AL 6 NOVIEMBRE 2022</t>
  </si>
  <si>
    <t>A3536</t>
  </si>
  <si>
    <t>ENTREGA DE MOLECULA 7 AL 13 NOVIEMBRE 2022</t>
  </si>
  <si>
    <t>A3538</t>
  </si>
  <si>
    <t>ENTERGA DE MOLECULA 1 AL 14 NOVIEMBRE 2022</t>
  </si>
  <si>
    <t>A3542</t>
  </si>
  <si>
    <t>A3544</t>
  </si>
  <si>
    <t>A3548</t>
  </si>
  <si>
    <t>A3550</t>
  </si>
  <si>
    <t>A3552</t>
  </si>
  <si>
    <t>ojo, realiza pago por 1,045,049.06  y no aplica NC 270, sobran $100,000 aplica a F:2836</t>
  </si>
  <si>
    <t>A3554</t>
  </si>
  <si>
    <t>A3556</t>
  </si>
  <si>
    <t>ENTREGA DE MOLECULA 1 AL 15 NOVIEMBRE 2022</t>
  </si>
  <si>
    <t>A3557</t>
  </si>
  <si>
    <t>SERVICIO DE COMPRESION 1 AL 15 NOVIEMBRE 2022</t>
  </si>
  <si>
    <t>A3558</t>
  </si>
  <si>
    <t>A3559</t>
  </si>
  <si>
    <t>A3560</t>
  </si>
  <si>
    <t>ENTREGA DE MOLECULA 1 AL 15 PARA COMPRESOR NOVIEMBRE 2022</t>
  </si>
  <si>
    <t>A3561</t>
  </si>
  <si>
    <t>SERVICIO DE COMPRESION 1 AL 15 PARA COMPRESOR NOVIEMBRE 2022</t>
  </si>
  <si>
    <t>A3562</t>
  </si>
  <si>
    <t>ENTREGA DE MOLECULA 14 AL 20 NOVIEMBRE 2022</t>
  </si>
  <si>
    <t>abono $293,098.29 2 dic 2022, realiza 3 pagos dos de 100,000 y uno de 93,098.2. realiza pago 9 dic, 100,000 y 1,025.46</t>
  </si>
  <si>
    <t>1775 y 1794</t>
  </si>
  <si>
    <t>A3564</t>
  </si>
  <si>
    <t>ENTREGA DE MOLECULA 1 AL 14 NOVIEMBRE 2022</t>
  </si>
  <si>
    <t>A3565</t>
  </si>
  <si>
    <t>SERVICIO DE COMPRESIÓN 1 AL 14 NOVIEMBRE 2022</t>
  </si>
  <si>
    <t>pagado</t>
  </si>
  <si>
    <t>A3566</t>
  </si>
  <si>
    <t>A3568</t>
  </si>
  <si>
    <t>A3570</t>
  </si>
  <si>
    <t>A3572</t>
  </si>
  <si>
    <t>A3574</t>
  </si>
  <si>
    <t>A3575</t>
  </si>
  <si>
    <t>A3576</t>
  </si>
  <si>
    <t>realiza abono 597,612.94 23 dic 2022</t>
  </si>
  <si>
    <t>A3578</t>
  </si>
  <si>
    <t>aplica nc 266, OJO realiza pago completo y no aplica NC266</t>
  </si>
  <si>
    <t>A3581</t>
  </si>
  <si>
    <t>ENTREGA DE MOLECULA 21 AL 27 NOVIEMBRE 2022</t>
  </si>
  <si>
    <t>A3583</t>
  </si>
  <si>
    <t>ENTREGA DE MOLECULA 16 AL 30 NOVIEMBRE 2022</t>
  </si>
  <si>
    <t>A3584</t>
  </si>
  <si>
    <t>SERVICIO DE COMPRESIÓN 16 AL 30 NOVIEMBRE 2022</t>
  </si>
  <si>
    <t>A3585</t>
  </si>
  <si>
    <t>A3586</t>
  </si>
  <si>
    <t>A3587</t>
  </si>
  <si>
    <t>ENTREGA DE MOLECULA 16 AL 30  NOVIEMBRE 2022 PARA COMPRESOR</t>
  </si>
  <si>
    <t>A3588</t>
  </si>
  <si>
    <t>SERVICIO DE COMPRESIÓN 16 AL 30 NOVIEMBRE 2022 PARA COMPRESOR</t>
  </si>
  <si>
    <t>A3589</t>
  </si>
  <si>
    <t>ENTREGA DE MOLÉCULA 28 AL 30 NOVIEMBRE 2022</t>
  </si>
  <si>
    <t xml:space="preserve"> realiza abono 24/1/23 $100,000 aplica a f:2793(liquida), 3478(liquida) y 3589 (abona 49,273.26)</t>
  </si>
  <si>
    <t>2284 / 2285</t>
  </si>
  <si>
    <t>A3591</t>
  </si>
  <si>
    <t>ENTREGA DE MOLÉCULA 15 AL 30 NOVIEMBRE 2022</t>
  </si>
  <si>
    <t>A3595</t>
  </si>
  <si>
    <t>A3597</t>
  </si>
  <si>
    <t>A3601</t>
  </si>
  <si>
    <t>A3603</t>
  </si>
  <si>
    <t>A3605</t>
  </si>
  <si>
    <t>realiza pago completo  y no aplica NC 274 sobran $5,206.28 aplican F2836</t>
  </si>
  <si>
    <t>A3607</t>
  </si>
  <si>
    <t>A3610</t>
  </si>
  <si>
    <t>A3611</t>
  </si>
  <si>
    <t>SERVICIO DE COMPRESION 16 AL 30 NOVIEMBRE 2022</t>
  </si>
  <si>
    <t>A3612</t>
  </si>
  <si>
    <t>A3613</t>
  </si>
  <si>
    <t>A3614</t>
  </si>
  <si>
    <t>ENTREGA DE MOLECULA 16 AL 30 NOVIEMBRE 2022 PARA GENERADOR</t>
  </si>
  <si>
    <t>A3615</t>
  </si>
  <si>
    <t>SERVICIO DE COMPRESION 16 AL 30 NOVIEMBRE 2022 PARA GENERADOR</t>
  </si>
  <si>
    <t>A3616</t>
  </si>
  <si>
    <t>A3618</t>
  </si>
  <si>
    <t>ENTREGA DE MOLECULA 15 AL 30 NOVIEMBRE 2022</t>
  </si>
  <si>
    <t>A3619</t>
  </si>
  <si>
    <t>SERVICIO DE COMPRESIÓN 15 AL 30 NOVIEMBRE 2022</t>
  </si>
  <si>
    <t>A3620</t>
  </si>
  <si>
    <t>A3622</t>
  </si>
  <si>
    <t>A3624</t>
  </si>
  <si>
    <t>A3626</t>
  </si>
  <si>
    <t>A3628</t>
  </si>
  <si>
    <t>A3629</t>
  </si>
  <si>
    <t>A3630</t>
  </si>
  <si>
    <t>A3632</t>
  </si>
  <si>
    <t>A3634</t>
  </si>
  <si>
    <t>A3636</t>
  </si>
  <si>
    <t>ENTREGA DE MOLECULA 1 AL 4 DICIEMBRE 2022</t>
  </si>
  <si>
    <t>A3638</t>
  </si>
  <si>
    <t>ENTREGA DE MOLECULA 1 AL 14 DICIEMBRE 2022</t>
  </si>
  <si>
    <t>ESTA FACTURA SE ESTIMA POR CIERRE FISCAL, SE CANCELA Y LA SUSTITUYE LA 3769</t>
  </si>
  <si>
    <t>A3639</t>
  </si>
  <si>
    <t>SERVICIO DE COMPRESIÓN 1 AL 14 DICIEMBRE 2022</t>
  </si>
  <si>
    <t>ESTA FACTURA SE ESTIMA POR CIERRE FISCAL</t>
  </si>
  <si>
    <t>A3640</t>
  </si>
  <si>
    <t>ENTREGA DE MOLECULA 5 AL 11 NOVIEMBRE 2022</t>
  </si>
  <si>
    <t>A3643</t>
  </si>
  <si>
    <t>A3645</t>
  </si>
  <si>
    <t xml:space="preserve">aplica sobrante del día 23 dic 6,596.50 </t>
  </si>
  <si>
    <t>A3647</t>
  </si>
  <si>
    <t>A3649</t>
  </si>
  <si>
    <t>A3651</t>
  </si>
  <si>
    <t>A3653</t>
  </si>
  <si>
    <t>ENTREGA DE MOLECULA 1 AL 15 DICIEMBRE 2022</t>
  </si>
  <si>
    <t>SE SOLICITA CANCELACION, ARCHIVO CORRESPONDE A OTRO MES</t>
  </si>
  <si>
    <t>A3654</t>
  </si>
  <si>
    <t>SERVICIO DE COMPRESIÓN 1 AL 15 DICIEMBRE 2022</t>
  </si>
  <si>
    <t>A3655</t>
  </si>
  <si>
    <t>APLICA NC 277 POR VOLUMEN MAL REPORTADO POR EAV</t>
  </si>
  <si>
    <t>A3656</t>
  </si>
  <si>
    <t>APLICA NC 278 POR VOLUMEN MAL REPORTADO POR EAV</t>
  </si>
  <si>
    <t>A3657</t>
  </si>
  <si>
    <t>ENTREGA DE MOLECULA 1 AL 15 DICIEMBRE 2022 PARA COMPRESOR</t>
  </si>
  <si>
    <t>A3658</t>
  </si>
  <si>
    <t>SERVICIO DE COMPRESIÓN 1 AL 15 DICIEMBRE 2022 PARA COMPRESOR</t>
  </si>
  <si>
    <t>A3659</t>
  </si>
  <si>
    <t>ENTREGE DE MOLECULA 1 AL 14 DICIEMBRE 2022</t>
  </si>
  <si>
    <t>A3663</t>
  </si>
  <si>
    <t>comenta araceli que se cancelan, no da motivo</t>
  </si>
  <si>
    <t>A3664</t>
  </si>
  <si>
    <t>A3665</t>
  </si>
  <si>
    <t>LA CANCELA ARACELI POR ESTAR MAL RELACIONADAS</t>
  </si>
  <si>
    <t>A3666</t>
  </si>
  <si>
    <t>A3667</t>
  </si>
  <si>
    <t>A3669</t>
  </si>
  <si>
    <t>ENTREGA DE MOLECULA 12 AL 18 DICIEMBRE 2022</t>
  </si>
  <si>
    <t>A3671</t>
  </si>
  <si>
    <t>A3673</t>
  </si>
  <si>
    <t>A3674</t>
  </si>
  <si>
    <t>A3675</t>
  </si>
  <si>
    <t>A3677</t>
  </si>
  <si>
    <t>A3679</t>
  </si>
  <si>
    <t>realiza abono $300,000 liquida A3679 y abona $37,801.08 F.A3734</t>
  </si>
  <si>
    <t>A3681</t>
  </si>
  <si>
    <t>A3683</t>
  </si>
  <si>
    <t>A3685</t>
  </si>
  <si>
    <t>A3686</t>
  </si>
  <si>
    <t>A3687</t>
  </si>
  <si>
    <t>A3689</t>
  </si>
  <si>
    <t>A3691</t>
  </si>
  <si>
    <t>A3692</t>
  </si>
  <si>
    <t>A3693</t>
  </si>
  <si>
    <t>ENTREGA DE MOLÉCULA 19 AL 25 DICIEMBRE  2022</t>
  </si>
  <si>
    <t>abona $49,273.27 del sobrante del abono del día 27/1/23, ABONO $500,000 EL  8/2/23</t>
  </si>
  <si>
    <t>1949 / 2285 / 2286/2303</t>
  </si>
  <si>
    <t>A3695</t>
  </si>
  <si>
    <t>ENTREGA DE MOLECULA 16 AL 31 DICIEMBRE 2022</t>
  </si>
  <si>
    <t>A3696</t>
  </si>
  <si>
    <t>SERVICIO DE COMPRESIÓN 16 AL 31 DICIEMBRE 2022</t>
  </si>
  <si>
    <t>A3697</t>
  </si>
  <si>
    <t>A3698</t>
  </si>
  <si>
    <t>A3699</t>
  </si>
  <si>
    <t>ENTREGA DE MOLECULA 16 AL 31 DICIEMBRE PARA COMPRESOR 2022</t>
  </si>
  <si>
    <t>A3700</t>
  </si>
  <si>
    <t>SERVICIO DE COMPRESIÓN 16 AL 31 DICIEMBRE PARA COMPRESOR 2022</t>
  </si>
  <si>
    <t>A3701</t>
  </si>
  <si>
    <t>ENTREGA DE MOLECULA 15 AL 31 DICIEMBRE 2022</t>
  </si>
  <si>
    <t>A3703</t>
  </si>
  <si>
    <t>SERVICIO DE COMPRESIÓN 15 AL 31 DICIEMBRE 2022</t>
  </si>
  <si>
    <t>CANCELADA, DATOS INCORRECTOS</t>
  </si>
  <si>
    <t>A3705</t>
  </si>
  <si>
    <t>ENTREGA DE MOLECULA 26 AL 31 DICIEMBRE 2022</t>
  </si>
  <si>
    <t>A3707</t>
  </si>
  <si>
    <t>A3709</t>
  </si>
  <si>
    <t>se aplica 51,201.12 del pago duplicado del día 9/11/22</t>
  </si>
  <si>
    <t>A3713</t>
  </si>
  <si>
    <t>A3715</t>
  </si>
  <si>
    <t>A3717</t>
  </si>
  <si>
    <t>A3722</t>
  </si>
  <si>
    <t>ENTREGA DE MOLECULA 16 AL 31 DICIEMBRE 2022 DIFERENCIA POR ENTREGA</t>
  </si>
  <si>
    <t>A3723</t>
  </si>
  <si>
    <t>A3725</t>
  </si>
  <si>
    <t>A3728</t>
  </si>
  <si>
    <t>A3729</t>
  </si>
  <si>
    <t>A3730</t>
  </si>
  <si>
    <t>A3732</t>
  </si>
  <si>
    <t>A3734</t>
  </si>
  <si>
    <t>abona sobrante del día 21/2/23, abona 500,000 aplica 3734,3789 y 3848</t>
  </si>
  <si>
    <t>1998 y 2004</t>
  </si>
  <si>
    <t>A3736</t>
  </si>
  <si>
    <t>A3738</t>
  </si>
  <si>
    <t>A3739</t>
  </si>
  <si>
    <t xml:space="preserve">ojo, paga completo y no aplica nc 285, saldo a favor de gdf  $67,361.20 </t>
  </si>
  <si>
    <t>A3740</t>
  </si>
  <si>
    <t>ENTREGA DE MOLECULA 1 AL 14 DIFERENCIA POR ESTIMACIÓN DICIEMBRE 2022</t>
  </si>
  <si>
    <t>A3741</t>
  </si>
  <si>
    <t>A3743</t>
  </si>
  <si>
    <t>A3745</t>
  </si>
  <si>
    <t>A3747</t>
  </si>
  <si>
    <t>ENTREGA DE MOLÉCULA 1 AL 8 ENERO 2023</t>
  </si>
  <si>
    <t xml:space="preserve">REALIZA PAGO POR $2,560,208.96 </t>
  </si>
  <si>
    <t>A3751</t>
  </si>
  <si>
    <t>ENTREGA DE MOLECULA 1 AL 14 ENERO 2023</t>
  </si>
  <si>
    <t>A3753</t>
  </si>
  <si>
    <t>A3757</t>
  </si>
  <si>
    <t>A3759</t>
  </si>
  <si>
    <t>A3761</t>
  </si>
  <si>
    <t>A3763</t>
  </si>
  <si>
    <t>A3764</t>
  </si>
  <si>
    <t>SERVICIO DE COMPRESIÓN 1 AL 15 ENERO 2023</t>
  </si>
  <si>
    <t>A3765</t>
  </si>
  <si>
    <t>A3766</t>
  </si>
  <si>
    <t>A3767</t>
  </si>
  <si>
    <t>ENTREGA DE MOLECULA 1 AL 14 ENERO 2023 PARA GENERADOR</t>
  </si>
  <si>
    <t>A3768</t>
  </si>
  <si>
    <t>SERVICIO DE COMPRESIÓN 1 AL 15 ENERO 2023 PARA GENERADOR</t>
  </si>
  <si>
    <t>A3769</t>
  </si>
  <si>
    <t>ESTA FACTURA SUSTITUYE A LA 3638</t>
  </si>
  <si>
    <t>A3770</t>
  </si>
  <si>
    <t>ENTREGA DE MOLECUAL 9 AL 15 ENERO 2023</t>
  </si>
  <si>
    <t>A3772</t>
  </si>
  <si>
    <t>A3776</t>
  </si>
  <si>
    <t>A3778</t>
  </si>
  <si>
    <t>ojo no aplica Nc</t>
  </si>
  <si>
    <t>A3781</t>
  </si>
  <si>
    <t>ENTREGA DE MOLECULA 16 AL 22 ENERO 2023</t>
  </si>
  <si>
    <t>A3783</t>
  </si>
  <si>
    <t>A3784</t>
  </si>
  <si>
    <t>SERVICIO DE COMPRESIÓN 1 AL 14 ENERO 2023</t>
  </si>
  <si>
    <t>A3785</t>
  </si>
  <si>
    <t>A3787</t>
  </si>
  <si>
    <t>A3789</t>
  </si>
  <si>
    <t>A3791</t>
  </si>
  <si>
    <t>A3793</t>
  </si>
  <si>
    <t>A3794</t>
  </si>
  <si>
    <t>A3795</t>
  </si>
  <si>
    <t>A3797</t>
  </si>
  <si>
    <t>SERVICIO DE MANTENIMIENTO A ESTACIÓN DE DESCOMPRESIÓN</t>
  </si>
  <si>
    <t>A3798</t>
  </si>
  <si>
    <t>ENTREGA DE MOLECULA 16 AL 31 ENERO 2023</t>
  </si>
  <si>
    <t>A3799</t>
  </si>
  <si>
    <t>SERVICIO DE COMPRESIÓN 16 AL 31 ENERO 2023</t>
  </si>
  <si>
    <t>A3800</t>
  </si>
  <si>
    <t>ENTREGA DE MOLECULA 16 AL 31 ENERO 2023 PARA GENERADOR</t>
  </si>
  <si>
    <t>A3801</t>
  </si>
  <si>
    <t>SERVICIO DE COMPRESIÓN 16 AL 31 ENERO 2023 PARA GENERADOR</t>
  </si>
  <si>
    <t>A3802</t>
  </si>
  <si>
    <t>A3803</t>
  </si>
  <si>
    <t>A3804</t>
  </si>
  <si>
    <t>ENTREGA DE MOLECULA 23 AL 29 ENERO 2023</t>
  </si>
  <si>
    <t>cancelada información de volumen m3 incorrecta, la sustituye la 3805</t>
  </si>
  <si>
    <t>A3806</t>
  </si>
  <si>
    <t>A3808</t>
  </si>
  <si>
    <t>A3810</t>
  </si>
  <si>
    <t>A3811</t>
  </si>
  <si>
    <t>ENTREGA DE MOLECULA 15 AL 31 ENERO 2023</t>
  </si>
  <si>
    <t>A3813</t>
  </si>
  <si>
    <t>A3815</t>
  </si>
  <si>
    <t>A3817</t>
  </si>
  <si>
    <t>A3821</t>
  </si>
  <si>
    <t>A3823</t>
  </si>
  <si>
    <t>A3825</t>
  </si>
  <si>
    <t>ENTREGA DE MOLECULA 30 AL 31 ENERO 2023</t>
  </si>
  <si>
    <t>A3827</t>
  </si>
  <si>
    <t>A3828</t>
  </si>
  <si>
    <t>A3829</t>
  </si>
  <si>
    <t>A3830</t>
  </si>
  <si>
    <t>A3831</t>
  </si>
  <si>
    <t>A3832</t>
  </si>
  <si>
    <t>A3838</t>
  </si>
  <si>
    <t>A3840</t>
  </si>
  <si>
    <t>NEOTRUCKA</t>
  </si>
  <si>
    <t>A3842</t>
  </si>
  <si>
    <t>A3843</t>
  </si>
  <si>
    <t>SERVICIO DE COMPRESIÓN 15 L 31 ENERO 2023</t>
  </si>
  <si>
    <t>A3844</t>
  </si>
  <si>
    <t>A3846</t>
  </si>
  <si>
    <t>A3848</t>
  </si>
  <si>
    <t>abona 144,414.83 del dia 3/03/23</t>
  </si>
  <si>
    <t>2004/2062</t>
  </si>
  <si>
    <t>A3850</t>
  </si>
  <si>
    <t>A3851</t>
  </si>
  <si>
    <t>SERVICIO DE COMPRESIÓN 15 AL 31 ENERO 2023</t>
  </si>
  <si>
    <t>A3852</t>
  </si>
  <si>
    <t>A3854</t>
  </si>
  <si>
    <t>SE CANCELA POR RFC INCORRECTO, ERROR DE ARACELI</t>
  </si>
  <si>
    <t>A3856</t>
  </si>
  <si>
    <t>A3858</t>
  </si>
  <si>
    <t>ENTREGA DE MOLÉCULA 15 AL 31 ENERO 2023</t>
  </si>
  <si>
    <t>2039-2040</t>
  </si>
  <si>
    <t>A3860</t>
  </si>
  <si>
    <t>A3862</t>
  </si>
  <si>
    <t>A3866</t>
  </si>
  <si>
    <t>ENTREGA DE MOLÉCULA 1 AL 5 FEBRERO 2023</t>
  </si>
  <si>
    <t>A3868</t>
  </si>
  <si>
    <t>ENTREGA DE MOLÉCULA 6 AL 12 FEBRERO 2023</t>
  </si>
  <si>
    <t>A3870</t>
  </si>
  <si>
    <t>ENTREGA DE MOLÉCULA 1 AL 14 FEBRERO 2023</t>
  </si>
  <si>
    <t>A3872</t>
  </si>
  <si>
    <t>A3874</t>
  </si>
  <si>
    <t>A3876</t>
  </si>
  <si>
    <t>CANCELADA, ARACELI INGRESA DATOS INCORRECTOS EN LOS m3 DESPACHADOS</t>
  </si>
  <si>
    <t>A3878</t>
  </si>
  <si>
    <t>A3880</t>
  </si>
  <si>
    <t>ENTREGA DE MOLÉCULA 1 AL 15 FEBRERO 2023</t>
  </si>
  <si>
    <t>A3881</t>
  </si>
  <si>
    <t>A3882</t>
  </si>
  <si>
    <t>SERVICIO DE COMPRESIÓN 1 AL 15 FEBRERO 2023</t>
  </si>
  <si>
    <t>A3883</t>
  </si>
  <si>
    <t>ENTREGA DE MOLÉCULA 1 AL 15 PARA GENERADORFEBRERO 2023</t>
  </si>
  <si>
    <t>A3884</t>
  </si>
  <si>
    <t>SERVICIO DE COMPRESIÓN 1 AL 15  PARA GENERADOR FEBRERO 2023</t>
  </si>
  <si>
    <t>A3885</t>
  </si>
  <si>
    <t>A3886</t>
  </si>
  <si>
    <t>A3887</t>
  </si>
  <si>
    <t>ENTREGA DE MOLECULA 1 AL 14 FEBRERO 2023</t>
  </si>
  <si>
    <t>ESTA FACTURA SUSTITUYE A LA 3876</t>
  </si>
  <si>
    <t>A3888</t>
  </si>
  <si>
    <t>A3890</t>
  </si>
  <si>
    <t>A3892</t>
  </si>
  <si>
    <t>ENTREGA DE MOLECULA 13 AL 19 FEBRERO 2023</t>
  </si>
  <si>
    <t>A3894</t>
  </si>
  <si>
    <t>ENTREGA DE MOLECULA 1 AL 14 FEBEREO 2023</t>
  </si>
  <si>
    <t>A3900</t>
  </si>
  <si>
    <t>NEO ZACATECAS</t>
  </si>
  <si>
    <t>A3902</t>
  </si>
  <si>
    <t>A3904</t>
  </si>
  <si>
    <t>A3906</t>
  </si>
  <si>
    <t>SERVICIO DE COMPRESIÓN 1 AL 14 FEBRERO 2023</t>
  </si>
  <si>
    <t>A3907</t>
  </si>
  <si>
    <t>ENTREGA DE MOLECULA 16 AL 28 FEBRERO 2023</t>
  </si>
  <si>
    <t>A3908</t>
  </si>
  <si>
    <t>SERVICIO DE COMPRESIÓN 16 AL 28 FEBRERO 2023</t>
  </si>
  <si>
    <t>A3909</t>
  </si>
  <si>
    <t>A3910</t>
  </si>
  <si>
    <t>A3911</t>
  </si>
  <si>
    <t>ENTREGA DE MOLECULA 16 AL 28 FEBRERO 2023 PARA COMPRESOR</t>
  </si>
  <si>
    <t>A3912</t>
  </si>
  <si>
    <t>SERVICIO DE COMPRESIÓN 16 AL 28 FEBRERO 2023 PARA COMPRESOR</t>
  </si>
  <si>
    <t>A3913</t>
  </si>
  <si>
    <t>A3914</t>
  </si>
  <si>
    <t>A3915</t>
  </si>
  <si>
    <t>A3917</t>
  </si>
  <si>
    <t>A3919</t>
  </si>
  <si>
    <t>A3921</t>
  </si>
  <si>
    <t>A3923</t>
  </si>
  <si>
    <t>A3925</t>
  </si>
  <si>
    <t>A3927</t>
  </si>
  <si>
    <t>A3928</t>
  </si>
  <si>
    <t>A3929</t>
  </si>
  <si>
    <t>ENTREGA DE MOLECULA 15 AL 28 FEBRERO  2023</t>
  </si>
  <si>
    <t>A3931</t>
  </si>
  <si>
    <t>A3933</t>
  </si>
  <si>
    <t>A3935</t>
  </si>
  <si>
    <t>A3937</t>
  </si>
  <si>
    <t>A3939</t>
  </si>
  <si>
    <t>A3941</t>
  </si>
  <si>
    <t>SE CANCELA, ERROR DE ARACELI EN FECHA DE PERIODO LA SUSTITUYE LA A4043</t>
  </si>
  <si>
    <t>A3943</t>
  </si>
  <si>
    <t>A3949</t>
  </si>
  <si>
    <t>ENTREGA DE MOLECULA 16 AL 28 FEBRERO 2023 AJUSTES</t>
  </si>
  <si>
    <t>A3950</t>
  </si>
  <si>
    <t>SERVICIO DE COMPRESIÓN 16 AL 28 FEBRERO 2023 AJUSTES</t>
  </si>
  <si>
    <t>A3951</t>
  </si>
  <si>
    <t>A3952</t>
  </si>
  <si>
    <t>A3953</t>
  </si>
  <si>
    <t>ENTREGA DE MOLECULA 16 AL 28 FEBRERO 2023 AJUSTES COMPRESOR</t>
  </si>
  <si>
    <t>A3954</t>
  </si>
  <si>
    <t>SERVICIO DE COMPRESIÓN 16 AL 28 FEBRERO 2023 AJUSTES COMPRESOR</t>
  </si>
  <si>
    <t>A3955</t>
  </si>
  <si>
    <t>ENTREGA DE MOLECULA 1 AL 14 FEBRERO 2023 AJUSTE PC</t>
  </si>
  <si>
    <t>A3956</t>
  </si>
  <si>
    <t>SERVICIO DE COMPRESIÓN 1 AL 14 FEBRERO 2023 AJUSTE PC</t>
  </si>
  <si>
    <t>A3957</t>
  </si>
  <si>
    <t>se sustituye por la A4345, se cancela a petición del cliente</t>
  </si>
  <si>
    <t>A3959</t>
  </si>
  <si>
    <t>A3961</t>
  </si>
  <si>
    <t>A3963</t>
  </si>
  <si>
    <t>A3965</t>
  </si>
  <si>
    <t>A3966</t>
  </si>
  <si>
    <t>A3967</t>
  </si>
  <si>
    <t>A3969</t>
  </si>
  <si>
    <t>A3971</t>
  </si>
  <si>
    <t>A3973</t>
  </si>
  <si>
    <t xml:space="preserve">ENTREGA DE MOLECULA 15 AL 28 FEBRERO 2023 </t>
  </si>
  <si>
    <t>A3974</t>
  </si>
  <si>
    <t>SERVICIO DE COMPRESIÓN 15 AL 28 FEBRERO 2023</t>
  </si>
  <si>
    <t>A3975</t>
  </si>
  <si>
    <t>A3977</t>
  </si>
  <si>
    <t>A3978</t>
  </si>
  <si>
    <t>A3979</t>
  </si>
  <si>
    <t>A3981</t>
  </si>
  <si>
    <t>A3983</t>
  </si>
  <si>
    <t>A3985</t>
  </si>
  <si>
    <t>A3987</t>
  </si>
  <si>
    <t>A3988</t>
  </si>
  <si>
    <t>A3989</t>
  </si>
  <si>
    <t>A3991</t>
  </si>
  <si>
    <t>A3993</t>
  </si>
  <si>
    <t>A3995</t>
  </si>
  <si>
    <t>ENTREGA DE MOLECULA 20 AL 28 FEBRERO 2023</t>
  </si>
  <si>
    <t>A3999</t>
  </si>
  <si>
    <t>ENTREGA DE MOLECULA 1 AL 14 MARZO 2023</t>
  </si>
  <si>
    <t>A4001</t>
  </si>
  <si>
    <t>A4005</t>
  </si>
  <si>
    <t>A4007</t>
  </si>
  <si>
    <t>A4009</t>
  </si>
  <si>
    <t>A4011</t>
  </si>
  <si>
    <t>A4013</t>
  </si>
  <si>
    <t>A4015</t>
  </si>
  <si>
    <t>ENTREGA DE MOLECULA 1 AL 15 MARZO 2023</t>
  </si>
  <si>
    <t>A4016</t>
  </si>
  <si>
    <t>SERVICIO DE COMPRESIÓN 1 AL 15 MARZO 203</t>
  </si>
  <si>
    <t>A4017</t>
  </si>
  <si>
    <t>A4018</t>
  </si>
  <si>
    <t>A4019</t>
  </si>
  <si>
    <t>ENTREGA DE MOLECULA 1 AL 15 MARZO 2023 GENERADOR</t>
  </si>
  <si>
    <t>A4020</t>
  </si>
  <si>
    <t>SERVICIO DE COMPRESIÓN 1 AL 15 MARZO 203 GENERADOR</t>
  </si>
  <si>
    <t>A4021</t>
  </si>
  <si>
    <t>ENTREGA DE MOLÉCULA 1 AL 14 MARZO 2023</t>
  </si>
  <si>
    <t>A4023</t>
  </si>
  <si>
    <t>A4025</t>
  </si>
  <si>
    <t>A4027</t>
  </si>
  <si>
    <t>A4029</t>
  </si>
  <si>
    <t>A4030</t>
  </si>
  <si>
    <t>SERVICIO DE COMPRESIÓN 1 AL 14 MARZO 2023</t>
  </si>
  <si>
    <t>A4031</t>
  </si>
  <si>
    <t>A4033</t>
  </si>
  <si>
    <t>A4034</t>
  </si>
  <si>
    <t>A4035</t>
  </si>
  <si>
    <t>A4037</t>
  </si>
  <si>
    <t>A4038</t>
  </si>
  <si>
    <t>A4039</t>
  </si>
  <si>
    <t>A4041</t>
  </si>
  <si>
    <t>A4043</t>
  </si>
  <si>
    <t>ENTREGA DE MOLECUAL 15 AL 28 FEBRERO 2023</t>
  </si>
  <si>
    <t>ESTA FACTURA SUSTITUYE A LA A3941</t>
  </si>
  <si>
    <t>A4044</t>
  </si>
  <si>
    <t>ENTREGA DE MOLECULA 16 AL 31 MARZO 2023</t>
  </si>
  <si>
    <t>A4045</t>
  </si>
  <si>
    <t>SERVICIO DE COMPRESIÓN 16 AL 31 MARZO 2023</t>
  </si>
  <si>
    <t>A4046</t>
  </si>
  <si>
    <t>A4047</t>
  </si>
  <si>
    <t>A4048</t>
  </si>
  <si>
    <t>ENTREGA DE MOLECULA 16 AL 31 MARZO 2023 PARA GENERADO</t>
  </si>
  <si>
    <t>A4049</t>
  </si>
  <si>
    <t>SERVICIO DE COMPRESIÓN 16 AL 31 MARZO 2023PARA GENERADOR</t>
  </si>
  <si>
    <t>A4050</t>
  </si>
  <si>
    <t>ENTREGA DE MOLECULA 15 AL 31 MARZO 2023</t>
  </si>
  <si>
    <t>A4056</t>
  </si>
  <si>
    <t>A4058</t>
  </si>
  <si>
    <t>A4060</t>
  </si>
  <si>
    <t>A4062</t>
  </si>
  <si>
    <t>A4064</t>
  </si>
  <si>
    <t>CANCELADA SUSTITUYE POR LA 4084</t>
  </si>
  <si>
    <t>A4066</t>
  </si>
  <si>
    <t>A4068</t>
  </si>
  <si>
    <t>A4069</t>
  </si>
  <si>
    <t>SERVICIO DE COMPRESIÓN 15 AL 31 MARZO 2023</t>
  </si>
  <si>
    <t>A4070</t>
  </si>
  <si>
    <t>NO ERA FACTURA, ARACELI SE CONFUNDE, ERA NC</t>
  </si>
  <si>
    <t>A4071</t>
  </si>
  <si>
    <t>A4072</t>
  </si>
  <si>
    <t>ENTREGA DE MOLECULA 15 AL 31 MARZO 2023 PARA COMPRESOR</t>
  </si>
  <si>
    <t>A4073</t>
  </si>
  <si>
    <t>SERVICIO DE COMPRESIÓN 15 AL 31 MARZO 2023 PARA COMPRESOR</t>
  </si>
  <si>
    <t>A4074</t>
  </si>
  <si>
    <t>ASISTENCIA TÉCNICA</t>
  </si>
  <si>
    <t>ERROR DE ARACELI AL INGRESAR #OC</t>
  </si>
  <si>
    <t>A4075</t>
  </si>
  <si>
    <t>A4076</t>
  </si>
  <si>
    <t>INTERERES DE FACTURAS VENCIDAS</t>
  </si>
  <si>
    <t>A4078</t>
  </si>
  <si>
    <t>A4079</t>
  </si>
  <si>
    <t>A4080</t>
  </si>
  <si>
    <t>A4081</t>
  </si>
  <si>
    <t>A4083</t>
  </si>
  <si>
    <t>ESTA FACTURA SUSTITUYE A LA 4043 POR ERROR EN RÉGIMEN</t>
  </si>
  <si>
    <t>A4084</t>
  </si>
  <si>
    <t>SUSTITUYE A LA 4064</t>
  </si>
  <si>
    <t>A4086</t>
  </si>
  <si>
    <t>A4087</t>
  </si>
  <si>
    <t>A4088</t>
  </si>
  <si>
    <t>A4090</t>
  </si>
  <si>
    <t>A4092</t>
  </si>
  <si>
    <t>A4094</t>
  </si>
  <si>
    <t>A4096</t>
  </si>
  <si>
    <t>A4097</t>
  </si>
  <si>
    <t>SERVICIO DE COMPRESIÓN  15 AL 31 MARZO 2023</t>
  </si>
  <si>
    <t>A4098</t>
  </si>
  <si>
    <t>A4100</t>
  </si>
  <si>
    <t>A4102</t>
  </si>
  <si>
    <t>A4104</t>
  </si>
  <si>
    <t>ENTREGA DE MOLÉCULA 1 AL 14 ABRIL 2023</t>
  </si>
  <si>
    <t>A4106</t>
  </si>
  <si>
    <t>A4108</t>
  </si>
  <si>
    <t>A4112</t>
  </si>
  <si>
    <t>A4114</t>
  </si>
  <si>
    <t>A4116</t>
  </si>
  <si>
    <t>A4118</t>
  </si>
  <si>
    <t>A4120</t>
  </si>
  <si>
    <t>ENTREGA DE MOLÉCULA 1 AL 15 ABRIL 2023</t>
  </si>
  <si>
    <t>A4121</t>
  </si>
  <si>
    <t>SERVICIO DE COMPRESIÓN 1 AL 15 ABRIL 2023</t>
  </si>
  <si>
    <t>A4122</t>
  </si>
  <si>
    <t>A4123</t>
  </si>
  <si>
    <t>A4124</t>
  </si>
  <si>
    <t>ENTREGA DE MOLÉCULA 1 AL 15 ABRIL 2023 PARA GENERADOR</t>
  </si>
  <si>
    <t>A4125</t>
  </si>
  <si>
    <t>SERVICIO DE COMPRESIÓN 1 AL 15 ABRIL 2023 PARA GENERADOR</t>
  </si>
  <si>
    <t>A4126</t>
  </si>
  <si>
    <t>SERVICIO DE COMPRESIÓN 1 AL 14 ABRIL 2023</t>
  </si>
  <si>
    <t>A4127</t>
  </si>
  <si>
    <t>ENTREGA DE MOLECULA 1 AL 14 ABRIL 2023</t>
  </si>
  <si>
    <t>A4128</t>
  </si>
  <si>
    <t>A4129</t>
  </si>
  <si>
    <t>A4131</t>
  </si>
  <si>
    <t>A4133</t>
  </si>
  <si>
    <t>A4134</t>
  </si>
  <si>
    <t>A4135</t>
  </si>
  <si>
    <t>A4137</t>
  </si>
  <si>
    <t>A4139</t>
  </si>
  <si>
    <t>A4141</t>
  </si>
  <si>
    <t>A4143</t>
  </si>
  <si>
    <t>A4144</t>
  </si>
  <si>
    <t>realiza pago por 765,339.6 aplican a 4144 y 4198, pero no coincide ya que aplican NC 285 que corresponde a otra factura</t>
  </si>
  <si>
    <t>A4145</t>
  </si>
  <si>
    <t>A4147</t>
  </si>
  <si>
    <t>A4149</t>
  </si>
  <si>
    <t xml:space="preserve">ENTREGA DE MOLECULA 16 AL 30 ABRIL 2023 </t>
  </si>
  <si>
    <t>A4150</t>
  </si>
  <si>
    <t>SERVICIO DE COMPRESIÓN 16 L 30 ABRIL 2023</t>
  </si>
  <si>
    <t>A4151</t>
  </si>
  <si>
    <t>A4152</t>
  </si>
  <si>
    <t>A4153</t>
  </si>
  <si>
    <t>ENTREGA DE MOLECULA 16 AL 30 ABRIL 2023 GENERADOR</t>
  </si>
  <si>
    <t>A4154</t>
  </si>
  <si>
    <t>SERVICIO DE COMPRESIÓN 16 L 30 ABRIL 2023 GENERADOR</t>
  </si>
  <si>
    <t>A4155</t>
  </si>
  <si>
    <t>CANCELADA CAMBIO DE USO CFDI</t>
  </si>
  <si>
    <t>A4156</t>
  </si>
  <si>
    <t>A4157</t>
  </si>
  <si>
    <t>A4158</t>
  </si>
  <si>
    <t>A4159</t>
  </si>
  <si>
    <t>ENTREGA DE MOLÉCULA 15 AL 30 ABRIL 2023</t>
  </si>
  <si>
    <t>A4161</t>
  </si>
  <si>
    <t>A4163</t>
  </si>
  <si>
    <t>A4164</t>
  </si>
  <si>
    <t>SERVICIO DE COMPRESIÓN 15 AL 30 ABRIL 2023</t>
  </si>
  <si>
    <t>A4165</t>
  </si>
  <si>
    <t>A4166</t>
  </si>
  <si>
    <t>2240/2304</t>
  </si>
  <si>
    <t>A4167</t>
  </si>
  <si>
    <t>A4171</t>
  </si>
  <si>
    <t>A4173</t>
  </si>
  <si>
    <t>A4175</t>
  </si>
  <si>
    <t>A4177</t>
  </si>
  <si>
    <t>A4179</t>
  </si>
  <si>
    <t>ENTREGA DE MOLÉCULA 15 AL 30 ABRIL 2023 DIFERENCIA FIN MES</t>
  </si>
  <si>
    <t>A4180</t>
  </si>
  <si>
    <t>SERVICIO DE COMPRESIÓN 15 AL 30 ABRIL DIFERENCIA FIN DE MES</t>
  </si>
  <si>
    <t>A4181</t>
  </si>
  <si>
    <t>A4182</t>
  </si>
  <si>
    <t>ENTREGA DE MOLECULA 1 AL 14 ABRIL 2022 AJUSTE PC</t>
  </si>
  <si>
    <t>A4184</t>
  </si>
  <si>
    <t>CAMBIO USO CFDI</t>
  </si>
  <si>
    <t>A4185</t>
  </si>
  <si>
    <t>SUSTITUYE 4156</t>
  </si>
  <si>
    <t>A4187</t>
  </si>
  <si>
    <t>A4188</t>
  </si>
  <si>
    <t>A4189</t>
  </si>
  <si>
    <t>A4191</t>
  </si>
  <si>
    <t>A4193</t>
  </si>
  <si>
    <t>A4195</t>
  </si>
  <si>
    <t>A4197</t>
  </si>
  <si>
    <t>A4198</t>
  </si>
  <si>
    <t>SERVICIO DE COMPRESIÓN 15 AL 30 ABIRL 2023</t>
  </si>
  <si>
    <t>A4199</t>
  </si>
  <si>
    <t>A4201</t>
  </si>
  <si>
    <t>A4203</t>
  </si>
  <si>
    <t>A4205</t>
  </si>
  <si>
    <t>ENTREGA DE MOLÉCULA 1 AL 14 MAYO 2023</t>
  </si>
  <si>
    <t>ABONO 139,907.19  1/9/23, LIQUIDA EL 8/9/23</t>
  </si>
  <si>
    <t>2393 / 2406</t>
  </si>
  <si>
    <t>A4207</t>
  </si>
  <si>
    <t>A4208</t>
  </si>
  <si>
    <t>SERVICIO DE COMPRESIÓN 1 AL 14 MAYO 2023</t>
  </si>
  <si>
    <t>A4211</t>
  </si>
  <si>
    <t>A4213</t>
  </si>
  <si>
    <t>A4215</t>
  </si>
  <si>
    <t>A4217</t>
  </si>
  <si>
    <t>A4219</t>
  </si>
  <si>
    <t>ENTREGA DE MOLÉCULA 1 AL 15 MAYO 2023</t>
  </si>
  <si>
    <t>A4220</t>
  </si>
  <si>
    <t>SERVICIO DE COMPRESIÓN 1 AL 15 MAYO 2023</t>
  </si>
  <si>
    <t>A4221</t>
  </si>
  <si>
    <t>A4222</t>
  </si>
  <si>
    <t>A4223</t>
  </si>
  <si>
    <t>ENTREGA DE MOLÉCULA 1 AL 15 MAYO 2023 GENERADOR</t>
  </si>
  <si>
    <t>A4224</t>
  </si>
  <si>
    <t>SERVICIO DE COMPRESIÓN 1 AL 15 MAYO 2023 GENERADOR</t>
  </si>
  <si>
    <t>A4225</t>
  </si>
  <si>
    <t>A4227</t>
  </si>
  <si>
    <t>A4228</t>
  </si>
  <si>
    <t>A4229</t>
  </si>
  <si>
    <t>A4231</t>
  </si>
  <si>
    <t>A4232</t>
  </si>
  <si>
    <t>A4233</t>
  </si>
  <si>
    <t>A4234</t>
  </si>
  <si>
    <t>A4236</t>
  </si>
  <si>
    <t>A4238</t>
  </si>
  <si>
    <t>A4240</t>
  </si>
  <si>
    <t>A4242</t>
  </si>
  <si>
    <t>A4243</t>
  </si>
  <si>
    <t>A4244</t>
  </si>
  <si>
    <t>A4246</t>
  </si>
  <si>
    <t>A4248</t>
  </si>
  <si>
    <t>A4250</t>
  </si>
  <si>
    <t>ENTREGA DE MOLÉCULA 16 AL 31 MAYO 2023</t>
  </si>
  <si>
    <t>A4251</t>
  </si>
  <si>
    <t>SERVICIO DE COMPRESIÓN 16 AL 31 MAYO 2023</t>
  </si>
  <si>
    <t>A4252</t>
  </si>
  <si>
    <t>ENTREGA DE MOLÉCULA 16 AL 31 MAYO 2023 GENERADOR</t>
  </si>
  <si>
    <t>A4253</t>
  </si>
  <si>
    <t>SERVICIO DE COMPRESIÓN 16 AL 31 MAYO 2023 GENERADOR</t>
  </si>
  <si>
    <t>A4254</t>
  </si>
  <si>
    <t>A4255</t>
  </si>
  <si>
    <t>A4256</t>
  </si>
  <si>
    <t>ENTREGA DE MOLÉCULA 15 AL 31 MAYO 2023</t>
  </si>
  <si>
    <t>A4258</t>
  </si>
  <si>
    <t>abono 29/09/23 por 166,762.75</t>
  </si>
  <si>
    <t>2452 / 2469</t>
  </si>
  <si>
    <t>A4260</t>
  </si>
  <si>
    <t>A4261</t>
  </si>
  <si>
    <t>SERVICIO DE COMPRESIÓN 15 AL 31 MAYO 2023</t>
  </si>
  <si>
    <t>A4262</t>
  </si>
  <si>
    <t>A4263</t>
  </si>
  <si>
    <t>A4264</t>
  </si>
  <si>
    <t>A4268</t>
  </si>
  <si>
    <t>A4270</t>
  </si>
  <si>
    <t>A4272</t>
  </si>
  <si>
    <t>A4274</t>
  </si>
  <si>
    <t>A4277</t>
  </si>
  <si>
    <t>A4278</t>
  </si>
  <si>
    <t>A4279</t>
  </si>
  <si>
    <t>A4280</t>
  </si>
  <si>
    <t>A4281</t>
  </si>
  <si>
    <t>A4282</t>
  </si>
  <si>
    <t>A4284</t>
  </si>
  <si>
    <t>A4285</t>
  </si>
  <si>
    <t>A4286</t>
  </si>
  <si>
    <t>A4288</t>
  </si>
  <si>
    <t>A4290</t>
  </si>
  <si>
    <t>A4292</t>
  </si>
  <si>
    <t>A4294</t>
  </si>
  <si>
    <t>A4295</t>
  </si>
  <si>
    <t>A4296</t>
  </si>
  <si>
    <t>A4298</t>
  </si>
  <si>
    <t>A4300</t>
  </si>
  <si>
    <t>A4302</t>
  </si>
  <si>
    <t>ENTREGA DE MOLÉCULA 1 AL 14 JUNIO 2023</t>
  </si>
  <si>
    <t>A4304</t>
  </si>
  <si>
    <t>A4306</t>
  </si>
  <si>
    <t>A4307</t>
  </si>
  <si>
    <t>SERVICIO DE COMPRESIÓN 1 AL 14 JUNIO 2023</t>
  </si>
  <si>
    <t>A4308</t>
  </si>
  <si>
    <t>A4309</t>
  </si>
  <si>
    <t>A4310</t>
  </si>
  <si>
    <t>A4314</t>
  </si>
  <si>
    <t>A4316</t>
  </si>
  <si>
    <t>A4318</t>
  </si>
  <si>
    <t>A4320</t>
  </si>
  <si>
    <t>ENTREGA DE MOLÉCULA 1 AL 15 JUNIO 2023</t>
  </si>
  <si>
    <t>A4321</t>
  </si>
  <si>
    <t>SERVICIO DE COMPRESIÓN 1 AL 15 JUNIO 2023</t>
  </si>
  <si>
    <t>A4322</t>
  </si>
  <si>
    <t>A4323</t>
  </si>
  <si>
    <t>A4324</t>
  </si>
  <si>
    <t>ENTREGA DE MOLÉCULA 1 AL 15 JUNIO 2023 COMPRESOR</t>
  </si>
  <si>
    <t>A4325</t>
  </si>
  <si>
    <t>SERVICIO DE COMPRESIÓN 1 AL 15 JUNIO 2023 COMPRESOR</t>
  </si>
  <si>
    <t>A4327</t>
  </si>
  <si>
    <t>ENTREGA DE MOLECULA 1 AL 14 JUNIO 2023</t>
  </si>
  <si>
    <t>A4328</t>
  </si>
  <si>
    <t>A4329</t>
  </si>
  <si>
    <t>A4331</t>
  </si>
  <si>
    <t>abono 605.05 sobrante del día 23/6/23, ABONA 200,000 APLICA PARA F:4331 Y 4401</t>
  </si>
  <si>
    <t>2230 / 2334</t>
  </si>
  <si>
    <t>A4333</t>
  </si>
  <si>
    <t>A4335</t>
  </si>
  <si>
    <t>A4336</t>
  </si>
  <si>
    <t>A4337</t>
  </si>
  <si>
    <t>A4339</t>
  </si>
  <si>
    <t>A4341</t>
  </si>
  <si>
    <t>A4343</t>
  </si>
  <si>
    <t>A4345</t>
  </si>
  <si>
    <t>SUSTITUYA A LA A3957</t>
  </si>
  <si>
    <t>A4347</t>
  </si>
  <si>
    <t>A4348</t>
  </si>
  <si>
    <t>CAMBIO CÓDIGO SAT SUST POR  4413</t>
  </si>
  <si>
    <t>A4349</t>
  </si>
  <si>
    <t>SUSTITUYE A LA 4347</t>
  </si>
  <si>
    <t>A4350</t>
  </si>
  <si>
    <t>GATO ESTABILIZADOR Y CUÑAS</t>
  </si>
  <si>
    <t>A4351</t>
  </si>
  <si>
    <t>A4352</t>
  </si>
  <si>
    <t>A4353</t>
  </si>
  <si>
    <t>A4354</t>
  </si>
  <si>
    <t>A4357</t>
  </si>
  <si>
    <t>ENTREGA DE MOLÉCULA 16 AL 30 JUNIO 2023</t>
  </si>
  <si>
    <t>A4358</t>
  </si>
  <si>
    <t>SERVICIO DE COMPRESIÓN 16 AL 30 JUNIO 2023</t>
  </si>
  <si>
    <t>A4359</t>
  </si>
  <si>
    <t>A4360</t>
  </si>
  <si>
    <t>A4361</t>
  </si>
  <si>
    <t>ENTREGA DE MOLÉCULA 16 AL 30 JUNIO 2023 GENERADOR</t>
  </si>
  <si>
    <t>A4362</t>
  </si>
  <si>
    <t>SERVICIO DE COMPRESIÓN 16 AL 30 JUNIO 2023 GENERADOR</t>
  </si>
  <si>
    <t>A4363</t>
  </si>
  <si>
    <t>ENTREGA DE MOLÉCULA 15 AL 30 JUNIO 2023</t>
  </si>
  <si>
    <t>A4365</t>
  </si>
  <si>
    <t xml:space="preserve">abono 7/11/23 </t>
  </si>
  <si>
    <t>2564 / 2589</t>
  </si>
  <si>
    <t>A4367</t>
  </si>
  <si>
    <t>A4368</t>
  </si>
  <si>
    <t>SERVICIO DE COMPRESIÓN 15 AL 30 JUNIO 2023</t>
  </si>
  <si>
    <t>A4369</t>
  </si>
  <si>
    <t>A4370</t>
  </si>
  <si>
    <t>A4371</t>
  </si>
  <si>
    <t>A4375</t>
  </si>
  <si>
    <t>A4377</t>
  </si>
  <si>
    <t>A4379</t>
  </si>
  <si>
    <t>A4381</t>
  </si>
  <si>
    <t>A4383</t>
  </si>
  <si>
    <t>A4384</t>
  </si>
  <si>
    <t>A4385</t>
  </si>
  <si>
    <t>A4386</t>
  </si>
  <si>
    <t>A4387</t>
  </si>
  <si>
    <t>A4388</t>
  </si>
  <si>
    <t>A4389</t>
  </si>
  <si>
    <t>A4395</t>
  </si>
  <si>
    <t>A4396</t>
  </si>
  <si>
    <t>A4397</t>
  </si>
  <si>
    <t>A4399</t>
  </si>
  <si>
    <t>A4401</t>
  </si>
  <si>
    <t>ABONA SOBRANTE DEL DÍA 7/8/23 53,053.33, ABONO 200,000 7/08/23 APLICA A4401 Y SOBRAN 44,036.74 APLICA F 4444</t>
  </si>
  <si>
    <t>2334 / 2348</t>
  </si>
  <si>
    <t>A4403</t>
  </si>
  <si>
    <t>A4405</t>
  </si>
  <si>
    <t>A4406</t>
  </si>
  <si>
    <t>A4407</t>
  </si>
  <si>
    <t>A4409</t>
  </si>
  <si>
    <t>A4411</t>
  </si>
  <si>
    <t>A4413</t>
  </si>
  <si>
    <t>SUSTITUYE A LA 4348</t>
  </si>
  <si>
    <t>A4414</t>
  </si>
  <si>
    <t>ENTREGA DE MOLÉCULA 1 AL 14 JULIO 2023</t>
  </si>
  <si>
    <t>A4416</t>
  </si>
  <si>
    <t>A4418</t>
  </si>
  <si>
    <t>A4420</t>
  </si>
  <si>
    <t>A4422</t>
  </si>
  <si>
    <t>A4424</t>
  </si>
  <si>
    <t>A4426</t>
  </si>
  <si>
    <t>A4427</t>
  </si>
  <si>
    <t>SERVICIO DE COMPRESIÓN 1 AL 14 JULIO 2023</t>
  </si>
  <si>
    <t>A4428</t>
  </si>
  <si>
    <t>A4430</t>
  </si>
  <si>
    <t>ENTREGA DE MOLÉCULA 1 AL 15 JULIO 2023</t>
  </si>
  <si>
    <t>A4431</t>
  </si>
  <si>
    <t>SERVICIO DE COMPRESIÓN 1 AL 15 JULIO 2023</t>
  </si>
  <si>
    <t>A4432</t>
  </si>
  <si>
    <t>A4433</t>
  </si>
  <si>
    <t>A4434</t>
  </si>
  <si>
    <t>ENTREGA DE MOLÉCULA 1 AL 15 JULIO 2023 GENERADOR</t>
  </si>
  <si>
    <t>A4435</t>
  </si>
  <si>
    <t>SERVICIO DE COMPRESIÓN 1 AL 15 JULIO 2023 GENERADOR</t>
  </si>
  <si>
    <t>A4436</t>
  </si>
  <si>
    <t>A4437</t>
  </si>
  <si>
    <t>A4438</t>
  </si>
  <si>
    <t>A4440</t>
  </si>
  <si>
    <t>A4442</t>
  </si>
  <si>
    <t>A4444</t>
  </si>
  <si>
    <t>ABONA 43,036.74 SOBRANTE DEL DÍA 7/8/23, ABONO SOBRANTE 24/8/23 $19,825.34</t>
  </si>
  <si>
    <t>2348 / 2368</t>
  </si>
  <si>
    <t>A4446</t>
  </si>
  <si>
    <t>A4448</t>
  </si>
  <si>
    <t>A4449</t>
  </si>
  <si>
    <t>A4450</t>
  </si>
  <si>
    <t>A4452</t>
  </si>
  <si>
    <t>A4454</t>
  </si>
  <si>
    <t>ENTREGA DE MOLÉCULA 23 JULIO 2023</t>
  </si>
  <si>
    <t>A4456</t>
  </si>
  <si>
    <t>INTERESES DE FACTURAS VENCIDAS MAYO 2023</t>
  </si>
  <si>
    <t>A4458</t>
  </si>
  <si>
    <t>INTERESES DE FACTURAS VENCIDAS JUNIO 2023</t>
  </si>
  <si>
    <t>A4460</t>
  </si>
  <si>
    <t>INTERESES DE FACTURAS VENCIDAS JULIO 2023</t>
  </si>
  <si>
    <t>A4462</t>
  </si>
  <si>
    <t>ENTREGA DE MOLÉCULA 27 JULIO 2023</t>
  </si>
  <si>
    <t>SOBRAN 650.115 APLICAN A 4477</t>
  </si>
  <si>
    <t>A4464</t>
  </si>
  <si>
    <t>SUSTITUYE A LA 4208</t>
  </si>
  <si>
    <t>A4465</t>
  </si>
  <si>
    <t>ENTREGA DE MOLÉCULA 16 AL 31 JULIO 2023</t>
  </si>
  <si>
    <t>A4466</t>
  </si>
  <si>
    <t>SERVICIO DE COMPRESIÓN 16 AL 31 JULIO 2023</t>
  </si>
  <si>
    <t>A4467</t>
  </si>
  <si>
    <t>A4468</t>
  </si>
  <si>
    <t>A4469</t>
  </si>
  <si>
    <t>ENTREGA DE MOLÉCULA 16 AL 31 JULIO 2023 GENERADOR</t>
  </si>
  <si>
    <t>A4470</t>
  </si>
  <si>
    <t>SERVICIO DE COMPRESIÓN 16 AL 31 JULIO 2023 GENERADOR</t>
  </si>
  <si>
    <t>A4474</t>
  </si>
  <si>
    <t>A4475</t>
  </si>
  <si>
    <t>ENTREGA DE MOLÉCULA 15 AL 31 JULIO 2023</t>
  </si>
  <si>
    <t>A4477</t>
  </si>
  <si>
    <t>DIFERENCIA POR AJUSTE JULIO 2023</t>
  </si>
  <si>
    <t>A4479</t>
  </si>
  <si>
    <t>A4481</t>
  </si>
  <si>
    <t>A4483</t>
  </si>
  <si>
    <t>A4485</t>
  </si>
  <si>
    <t>A4487</t>
  </si>
  <si>
    <t>A4489</t>
  </si>
  <si>
    <t>ENTREGA DE MOLÉCULA 16 AL 31 JULIO 2023 FINAL</t>
  </si>
  <si>
    <t>A4490</t>
  </si>
  <si>
    <t>SERVICIO DE COMPRESIÓN 16 AL 31 JULIO 2023 FINAL</t>
  </si>
  <si>
    <t>A4491</t>
  </si>
  <si>
    <t>A4492</t>
  </si>
  <si>
    <t>A4493</t>
  </si>
  <si>
    <t>ENTREGA DE MOLÉCULA 16 AL 31 JULIO 2023 GENERADOR FINAL</t>
  </si>
  <si>
    <t>A4494</t>
  </si>
  <si>
    <t>SERVICIO DE COMPRESIÓN 16 AL 31 JULIO 2023 GENERARDOR FINAL</t>
  </si>
  <si>
    <t>A4495</t>
  </si>
  <si>
    <t>A4496</t>
  </si>
  <si>
    <t>SERVICIO DE COMPRESIÓN 15 AL 31 JULIO 2023</t>
  </si>
  <si>
    <t xml:space="preserve">ERROR DE ARACELI CAMBIA 4 POR EL 7 EN MONTO </t>
  </si>
  <si>
    <t>A4497</t>
  </si>
  <si>
    <t>A4499</t>
  </si>
  <si>
    <t>ENTREGA DE MOLÉCULA 5 AGOSTO 2023</t>
  </si>
  <si>
    <t>ABONA 21,119.25 4/8/23</t>
  </si>
  <si>
    <t>A4501</t>
  </si>
  <si>
    <t>SUSTITUYE A LA 4496</t>
  </si>
  <si>
    <t>A4502</t>
  </si>
  <si>
    <t>A4503</t>
  </si>
  <si>
    <t>SERVICIO DE COMPRESIÓN 15 AL 31 JULIO 203</t>
  </si>
  <si>
    <t>A4504</t>
  </si>
  <si>
    <t>A4506</t>
  </si>
  <si>
    <t>A4508</t>
  </si>
  <si>
    <t>A4510</t>
  </si>
  <si>
    <t>A4512</t>
  </si>
  <si>
    <t>A4514</t>
  </si>
  <si>
    <t>sustitye por la 4525</t>
  </si>
  <si>
    <t>A4515</t>
  </si>
  <si>
    <t>A4516</t>
  </si>
  <si>
    <t>A4518</t>
  </si>
  <si>
    <t>A4520</t>
  </si>
  <si>
    <t>A4521</t>
  </si>
  <si>
    <t>A4523</t>
  </si>
  <si>
    <t>A4524</t>
  </si>
  <si>
    <t>A4525</t>
  </si>
  <si>
    <t>A4526</t>
  </si>
  <si>
    <t>INTERESES MORATORIOS</t>
  </si>
  <si>
    <t>A4528</t>
  </si>
  <si>
    <t>AJUSTE TARIFA BF BI 1 AL 14 JUNIO 2023</t>
  </si>
  <si>
    <t>A4529</t>
  </si>
  <si>
    <t>AJUSTE TARIFA BF BI 15 AL 30 JUNIO 2023</t>
  </si>
  <si>
    <t>A4530</t>
  </si>
  <si>
    <t>AJUSTE TARIFA BF BI 1 AL 14 JULIO 2023</t>
  </si>
  <si>
    <t>A4531</t>
  </si>
  <si>
    <t>AJUSTE TARIFA BF BI 1 AL 15 JUNIO 2023</t>
  </si>
  <si>
    <t>A4532</t>
  </si>
  <si>
    <t>AJUSTE TARIFA BF BI 16 AL 30 JUNIO 2023</t>
  </si>
  <si>
    <t>A4533</t>
  </si>
  <si>
    <t>AJUSTE TARIFA BF BI 1 AL 15 JULIO 2023</t>
  </si>
  <si>
    <t>A4534</t>
  </si>
  <si>
    <t>A4535</t>
  </si>
  <si>
    <t>A4536</t>
  </si>
  <si>
    <t>A4537</t>
  </si>
  <si>
    <t>A4538</t>
  </si>
  <si>
    <t>A4539</t>
  </si>
  <si>
    <t>A4540</t>
  </si>
  <si>
    <t>A4541</t>
  </si>
  <si>
    <t>A4542</t>
  </si>
  <si>
    <t>A4543</t>
  </si>
  <si>
    <t>A4544</t>
  </si>
  <si>
    <t>A4545</t>
  </si>
  <si>
    <t>A4546</t>
  </si>
  <si>
    <t>A4547</t>
  </si>
  <si>
    <t>A4551</t>
  </si>
  <si>
    <t>A4552</t>
  </si>
  <si>
    <t>A4553</t>
  </si>
  <si>
    <t>A4554</t>
  </si>
  <si>
    <t>A4555</t>
  </si>
  <si>
    <t>A4556</t>
  </si>
  <si>
    <t>A4557</t>
  </si>
  <si>
    <t>A4558</t>
  </si>
  <si>
    <t>A4559</t>
  </si>
  <si>
    <t>A4560</t>
  </si>
  <si>
    <t>A4561</t>
  </si>
  <si>
    <t>A4562</t>
  </si>
  <si>
    <t>A4563</t>
  </si>
  <si>
    <t>A4564</t>
  </si>
  <si>
    <t>A4565</t>
  </si>
  <si>
    <t>A4566</t>
  </si>
  <si>
    <t>A4567</t>
  </si>
  <si>
    <t>A4568</t>
  </si>
  <si>
    <t>A4569</t>
  </si>
  <si>
    <t>A4570</t>
  </si>
  <si>
    <t>A4571</t>
  </si>
  <si>
    <t>A4572</t>
  </si>
  <si>
    <t>A4573</t>
  </si>
  <si>
    <t>A4574</t>
  </si>
  <si>
    <t>A4575</t>
  </si>
  <si>
    <t>A4576</t>
  </si>
  <si>
    <t>A4577</t>
  </si>
  <si>
    <t>A4578</t>
  </si>
  <si>
    <t>A4579</t>
  </si>
  <si>
    <t>A4580</t>
  </si>
  <si>
    <t>A4581</t>
  </si>
  <si>
    <t>A4582</t>
  </si>
  <si>
    <t>A4583</t>
  </si>
  <si>
    <t>A4584</t>
  </si>
  <si>
    <t>A4585</t>
  </si>
  <si>
    <t>A4586</t>
  </si>
  <si>
    <t>A4587</t>
  </si>
  <si>
    <t>A4588</t>
  </si>
  <si>
    <t>A4589</t>
  </si>
  <si>
    <t>A4590</t>
  </si>
  <si>
    <t>A4591</t>
  </si>
  <si>
    <t>ENTREGA DE MOLÉCULA 12 AGOSTO 2023</t>
  </si>
  <si>
    <t>SOBRAN 1,816.6 APLICAN 4635</t>
  </si>
  <si>
    <t>A4593</t>
  </si>
  <si>
    <t>ENTREGA DE MOLÉCULA  1 AL 14 AGOSTO 2023</t>
  </si>
  <si>
    <t>A4595</t>
  </si>
  <si>
    <t>ENTREGA DE MOLÉCULA 1 AL 15 AGOSTO 2023</t>
  </si>
  <si>
    <t>A4596</t>
  </si>
  <si>
    <t>SERVICIO DE COMPRESIÓN 1 AL 15 AGOSTO 2023</t>
  </si>
  <si>
    <t>A4597</t>
  </si>
  <si>
    <t>A4598</t>
  </si>
  <si>
    <t>A4599</t>
  </si>
  <si>
    <t>ENTREGA DE MOLÉCULA 1 AL 15 AGOSTO 2023 PARA GENERADOR</t>
  </si>
  <si>
    <t>A4600</t>
  </si>
  <si>
    <t>SERVICIO DE COMPRESIÓN 1 AL 15 AGOSTO 2023 PARA GENERADOR</t>
  </si>
  <si>
    <t>A4601</t>
  </si>
  <si>
    <t>ENTREGA DE MOLÉCULA 1 AL 14 AGOSTO 2023</t>
  </si>
  <si>
    <t>A4602</t>
  </si>
  <si>
    <t>SERVICIO DE COMPRESIÓN 1 AL 14 AGOSTO 2023</t>
  </si>
  <si>
    <t>A4603</t>
  </si>
  <si>
    <t>A4607</t>
  </si>
  <si>
    <t>A4609</t>
  </si>
  <si>
    <t>A4610</t>
  </si>
  <si>
    <t>A4613</t>
  </si>
  <si>
    <t>A4615</t>
  </si>
  <si>
    <t>A4616</t>
  </si>
  <si>
    <t>A4617</t>
  </si>
  <si>
    <t>A4619</t>
  </si>
  <si>
    <t>A4621</t>
  </si>
  <si>
    <t>2368 / 2454 / 2471</t>
  </si>
  <si>
    <t>A4623</t>
  </si>
  <si>
    <t>A4625</t>
  </si>
  <si>
    <t>A4626</t>
  </si>
  <si>
    <t>A4627</t>
  </si>
  <si>
    <t>A4629</t>
  </si>
  <si>
    <t>A4631</t>
  </si>
  <si>
    <t>A4633</t>
  </si>
  <si>
    <t>A4634</t>
  </si>
  <si>
    <t>A4635</t>
  </si>
  <si>
    <t>ENTREGA DE MOLÉCULA 26 AGOSTO 2023</t>
  </si>
  <si>
    <t>PAGA 21,119.25 25/8/23</t>
  </si>
  <si>
    <t>A4639</t>
  </si>
  <si>
    <t>ENTREGA DE MOLÉCULA 16 AL 31 AGOSTO 2023</t>
  </si>
  <si>
    <t>A4640</t>
  </si>
  <si>
    <t>SERVICIO DE COMPRESIÓN 16 AL 31 AGOSTO 2023</t>
  </si>
  <si>
    <t>A4641</t>
  </si>
  <si>
    <t>A4642</t>
  </si>
  <si>
    <t>A4643</t>
  </si>
  <si>
    <t>ENTREGA DE MOLÉCULA 16 AL 31 AGOSTO 2023 GENERADOR</t>
  </si>
  <si>
    <t>A4644</t>
  </si>
  <si>
    <t>SERVICIO DE COMPRESIÓN 16 AL 31 AGOSTO 2023 GENERADOR</t>
  </si>
  <si>
    <t>A4645</t>
  </si>
  <si>
    <t>ENTREGA DE MOLÉCULA 30 AGOSTO 2023</t>
  </si>
  <si>
    <t>A4647</t>
  </si>
  <si>
    <t>A4649</t>
  </si>
  <si>
    <t>A4651</t>
  </si>
  <si>
    <t>ENTREGA DE MOLÉCULA 15 AL 31 AGOSTO 2023</t>
  </si>
  <si>
    <t>A4655</t>
  </si>
  <si>
    <t>A4657</t>
  </si>
  <si>
    <t>A4658</t>
  </si>
  <si>
    <t>SERVICIO DE COMPRESIÓN 15 AL 31 AGOSTO 2023</t>
  </si>
  <si>
    <t>A4659</t>
  </si>
  <si>
    <t>A4661</t>
  </si>
  <si>
    <t>A4663</t>
  </si>
  <si>
    <t>A4665</t>
  </si>
  <si>
    <t>A4667</t>
  </si>
  <si>
    <t>A4669</t>
  </si>
  <si>
    <t>A4670</t>
  </si>
  <si>
    <t>A4671</t>
  </si>
  <si>
    <t>A4672</t>
  </si>
  <si>
    <t>A4673</t>
  </si>
  <si>
    <t>A4674</t>
  </si>
  <si>
    <t>ENTREGA DE MOLÉCULA 1 SEPTIEMEBRE 2023</t>
  </si>
  <si>
    <t>A4676</t>
  </si>
  <si>
    <t>ENTREGA DE MOLÉCULA 8 SEPTIEMEBRE 2023</t>
  </si>
  <si>
    <t>A4677</t>
  </si>
  <si>
    <t>A4678</t>
  </si>
  <si>
    <t>A4679</t>
  </si>
  <si>
    <t>abono 6/10/23</t>
  </si>
  <si>
    <t>2471 / 2504</t>
  </si>
  <si>
    <t>A4681</t>
  </si>
  <si>
    <t>A4682</t>
  </si>
  <si>
    <t>A4683</t>
  </si>
  <si>
    <t>A4685</t>
  </si>
  <si>
    <t>A4686</t>
  </si>
  <si>
    <t>A4688</t>
  </si>
  <si>
    <t>A4690</t>
  </si>
  <si>
    <t>FACTURA PENALIZACIONES POR NO CONSUMO</t>
  </si>
  <si>
    <t>A4691</t>
  </si>
  <si>
    <t>A4692</t>
  </si>
  <si>
    <t>A4693</t>
  </si>
  <si>
    <t>A4694</t>
  </si>
  <si>
    <t>TOP AGOSTO 2023</t>
  </si>
  <si>
    <t>SUSTITUYE 4752, OXITENO SOLICITA CANCELACIÓN POR NO CONSIDERARLA EN SU CONTABILIDAD</t>
  </si>
  <si>
    <t>A4695</t>
  </si>
  <si>
    <t>ENTREGA DE MOLÉCULA 12 SEPTIEMBRE 2023</t>
  </si>
  <si>
    <t>A4698</t>
  </si>
  <si>
    <t>ENTREGA DE MOLÉCULA 1 AL 14 SEPTIEMBRE 2023</t>
  </si>
  <si>
    <t>A4700</t>
  </si>
  <si>
    <t>ENTREGA DE MOLÉCULA 1 AL 15 SEPTIEMBRE 2023</t>
  </si>
  <si>
    <t>A4701</t>
  </si>
  <si>
    <t>SERVICIO DE COMPRESIÓN 1 AL 14 SEPTIEMBRE 2023</t>
  </si>
  <si>
    <t>A4702</t>
  </si>
  <si>
    <t>A4703</t>
  </si>
  <si>
    <t>A4704</t>
  </si>
  <si>
    <t>ENTREGA DE MOLÉCULA 1 AL 15 SEPTIEMBRE 2023 GENERADOR</t>
  </si>
  <si>
    <t>A4705</t>
  </si>
  <si>
    <t>SERVICIO DE COMPRESIÓN 1 AL 14 SEPTIEMBRE 2023 GENERARDO</t>
  </si>
  <si>
    <t>A4706</t>
  </si>
  <si>
    <t>A4708</t>
  </si>
  <si>
    <t>A4710</t>
  </si>
  <si>
    <t>A4711</t>
  </si>
  <si>
    <t>A4712</t>
  </si>
  <si>
    <t>A4714</t>
  </si>
  <si>
    <t>A4716</t>
  </si>
  <si>
    <t>A4717</t>
  </si>
  <si>
    <t>A4718</t>
  </si>
  <si>
    <t>ENTREGA DE MOLÉCULA 20 SEPTIEMBRE 2023</t>
  </si>
  <si>
    <t>A4720</t>
  </si>
  <si>
    <t>A4722</t>
  </si>
  <si>
    <t>A4723</t>
  </si>
  <si>
    <t>A4724</t>
  </si>
  <si>
    <t>A4725</t>
  </si>
  <si>
    <t>A4726</t>
  </si>
  <si>
    <t>abono 17/10/23  $45,602.99</t>
  </si>
  <si>
    <t>2504 / 2525</t>
  </si>
  <si>
    <t>A4728</t>
  </si>
  <si>
    <t>A4729</t>
  </si>
  <si>
    <t>A4730</t>
  </si>
  <si>
    <t>A4731</t>
  </si>
  <si>
    <t>A4733</t>
  </si>
  <si>
    <t>A4736</t>
  </si>
  <si>
    <t>A4738</t>
  </si>
  <si>
    <t>A4740</t>
  </si>
  <si>
    <t>A4742</t>
  </si>
  <si>
    <t>ENTREGA DE MOLÉCULA 22 SEPTIEMBRE 2023</t>
  </si>
  <si>
    <t>A4744</t>
  </si>
  <si>
    <t>ENTREGA DE MOLÉCULA 16 AL 30 SEPTIEMBRE 2023</t>
  </si>
  <si>
    <t>A4745</t>
  </si>
  <si>
    <t>SERVICIO DE COMPRESIÓN 16 AL 30 SEPTIEMBRE 2023</t>
  </si>
  <si>
    <t>A4746</t>
  </si>
  <si>
    <t>A4747</t>
  </si>
  <si>
    <t>A4748</t>
  </si>
  <si>
    <t>ENTREGA DE MOLÉCULA 16 AL 30 SEPTIEMBRE 2023 GENERADOR</t>
  </si>
  <si>
    <t>A4749</t>
  </si>
  <si>
    <t>SERVICIO DE COMPRESIÓN 16 AL 30 SEPTIEMBRE 2023 GENERADOR</t>
  </si>
  <si>
    <t>A4750</t>
  </si>
  <si>
    <t>TOP SEPTIEMBRE 2023</t>
  </si>
  <si>
    <t>A4752</t>
  </si>
  <si>
    <t>sustituye a la 4694</t>
  </si>
  <si>
    <t>A4753</t>
  </si>
  <si>
    <t>ENTREGA DE MOLÉCULA 15 AL 30 SEPTIEMBRE 2023</t>
  </si>
  <si>
    <t>A4759</t>
  </si>
  <si>
    <t>A4761</t>
  </si>
  <si>
    <t>A4762</t>
  </si>
  <si>
    <t>SERVICIO DE COMPRESIÓN 15 AL 30 SEPTIEMBRE 2023</t>
  </si>
  <si>
    <t>A4763</t>
  </si>
  <si>
    <t>A4765</t>
  </si>
  <si>
    <t>ARACELI USA DATOS DE GREENVALLEY</t>
  </si>
  <si>
    <t>A4767</t>
  </si>
  <si>
    <t>A4768</t>
  </si>
  <si>
    <t>A4769</t>
  </si>
  <si>
    <t>A4771</t>
  </si>
  <si>
    <t>A4772</t>
  </si>
  <si>
    <t>A4773</t>
  </si>
  <si>
    <t>A4775</t>
  </si>
  <si>
    <t>A4776</t>
  </si>
  <si>
    <t>SERVICIO DE COMPRESIÓN 15 AL 30 SEPTIEMRBE 2023</t>
  </si>
  <si>
    <t>A4777</t>
  </si>
  <si>
    <t>A4778</t>
  </si>
  <si>
    <t>A4779</t>
  </si>
  <si>
    <t>ENTREGA DE MOLÉCULA 15 AL 30 SEPTIEMBRE 2023 GENERADOR</t>
  </si>
  <si>
    <t>A4780</t>
  </si>
  <si>
    <t>SERVICIO DE COMPRESIÓN 15 AL 30 SEPTIEMRBE 2023 GENERADOR</t>
  </si>
  <si>
    <t>A4781</t>
  </si>
  <si>
    <t>ENTREGA DE MOLÉCULA 29 Y 30 SEPTIEMBRE</t>
  </si>
  <si>
    <t>A4783</t>
  </si>
  <si>
    <t>DIFERENCIA POR AJUSTE SEPTIEMBRE 2023</t>
  </si>
  <si>
    <t>A4784</t>
  </si>
  <si>
    <t>A4786</t>
  </si>
  <si>
    <t>A4787</t>
  </si>
  <si>
    <t>A4788</t>
  </si>
  <si>
    <t>A4790</t>
  </si>
  <si>
    <t>A4792</t>
  </si>
  <si>
    <t>abono 24/10/23, liquida 09/11/2023</t>
  </si>
  <si>
    <t>2525 / 2568</t>
  </si>
  <si>
    <t>A4794</t>
  </si>
  <si>
    <t>A4796</t>
  </si>
  <si>
    <t>A4797</t>
  </si>
  <si>
    <t>A4798</t>
  </si>
  <si>
    <t>A4800</t>
  </si>
  <si>
    <t>A4801</t>
  </si>
  <si>
    <t>A4802</t>
  </si>
  <si>
    <t>A4804</t>
  </si>
  <si>
    <t>A4806</t>
  </si>
  <si>
    <t>A4807</t>
  </si>
  <si>
    <t>ENTREGA DE MOLÉCULA 7,8 Y 9 OCTUBRE 2023</t>
  </si>
  <si>
    <t>A4809</t>
  </si>
  <si>
    <t>ENTREGA DE MOLÉCULA 1 AL 14 OCTUBRE 2023</t>
  </si>
  <si>
    <t>A4811</t>
  </si>
  <si>
    <t>A4813</t>
  </si>
  <si>
    <t>A4815</t>
  </si>
  <si>
    <t>A4817</t>
  </si>
  <si>
    <t>A4818</t>
  </si>
  <si>
    <t>SERVICIO DE COMPRESIÓN 1 AL 14 OCTUBRE 2023</t>
  </si>
  <si>
    <t>A4821</t>
  </si>
  <si>
    <t>A4822</t>
  </si>
  <si>
    <t>A4823</t>
  </si>
  <si>
    <t>ENTREGA DE MOLÉCULA 1 AL 15 OCTUBRE 2023</t>
  </si>
  <si>
    <t>A4824</t>
  </si>
  <si>
    <t>SERVICIO DE COMPRESIÓN 1 AL 15 OCTUBRE 2023</t>
  </si>
  <si>
    <t>A4825</t>
  </si>
  <si>
    <t>A4826</t>
  </si>
  <si>
    <t>A4827</t>
  </si>
  <si>
    <t>ENTREGA DE MOLÉCULA 1 AL 15 OCTUBRE 2023 GENERADOR</t>
  </si>
  <si>
    <t>A4828</t>
  </si>
  <si>
    <t>SERVICIO DE COMPRESIÓN 1 AL 15 OCTUBRE 2023 GENERADOR</t>
  </si>
  <si>
    <t>A4829</t>
  </si>
  <si>
    <t>A4831</t>
  </si>
  <si>
    <t>A4832</t>
  </si>
  <si>
    <t>A4833</t>
  </si>
  <si>
    <t>A4835</t>
  </si>
  <si>
    <t>ENTREGA DE MOLÉCULA 13 OCTUBRE 2023</t>
  </si>
  <si>
    <t>A4837</t>
  </si>
  <si>
    <t>ENTREGA DE MOLÉCULA 17 OCTUBRE 2023</t>
  </si>
  <si>
    <t>A4841</t>
  </si>
  <si>
    <t>A4842</t>
  </si>
  <si>
    <t>A4843</t>
  </si>
  <si>
    <t>A4845</t>
  </si>
  <si>
    <t>A4847</t>
  </si>
  <si>
    <t>abono 09/11/2023 // abono 24/11/23</t>
  </si>
  <si>
    <t>A4849</t>
  </si>
  <si>
    <t>A4851</t>
  </si>
  <si>
    <t>A4852</t>
  </si>
  <si>
    <t>A4853</t>
  </si>
  <si>
    <t>A4855</t>
  </si>
  <si>
    <t>A4857</t>
  </si>
  <si>
    <t>A4859</t>
  </si>
  <si>
    <t>ENTREGA DE MOLÉCULA 20 OCTUBRE 2023</t>
  </si>
  <si>
    <t>A4861</t>
  </si>
  <si>
    <t>A4862</t>
  </si>
  <si>
    <t>TOP OCTUBRE 2023</t>
  </si>
  <si>
    <t>OXITENO SOLICITA CAMBIO USDO CFDI</t>
  </si>
  <si>
    <t>A4863</t>
  </si>
  <si>
    <t>ENTREGA DE MOLÉCULA 23, 24 Y 25 OCTUBRE 2023</t>
  </si>
  <si>
    <t>A4865</t>
  </si>
  <si>
    <t>A4867</t>
  </si>
  <si>
    <t>ENTREGA DE MOLÉCULA 26 AL 28 OCTUBRE 2023</t>
  </si>
  <si>
    <t>A4869</t>
  </si>
  <si>
    <t>ENTREGA DE MOLÉCULA 29 AL 31 OCTUBRE 2023</t>
  </si>
  <si>
    <t>sobrante 90,641.38 pendiente facturar</t>
  </si>
  <si>
    <t>A4871</t>
  </si>
  <si>
    <t>ARACELI NO CAMBIA EL USO DEL CFDI</t>
  </si>
  <si>
    <t>A4872</t>
  </si>
  <si>
    <t>ENTREGA DE MOLÉCULA 16 AL 31 OCTUBRE 2023</t>
  </si>
  <si>
    <t>A4873</t>
  </si>
  <si>
    <t>SERVICIO DE COMPRESIÓN 16 AL 31 OCTUBRE 2023</t>
  </si>
  <si>
    <t>A4874</t>
  </si>
  <si>
    <t>A4875</t>
  </si>
  <si>
    <t>A4876</t>
  </si>
  <si>
    <t>ENTREGA DE MOLÉCULA 16 AL 31 OCTUBRE 2023 GENERADOR</t>
  </si>
  <si>
    <t>A4877</t>
  </si>
  <si>
    <t>SERVICIO DE COMPRESIÓN 16 AL 31 OCTUBRE 2023 GENERADOR</t>
  </si>
  <si>
    <t>A4878</t>
  </si>
  <si>
    <t>A4879</t>
  </si>
  <si>
    <t>ENTREGA DE MOLÉCULA 1 AL 3 NOVIEMBRE 2023</t>
  </si>
  <si>
    <t>A4881</t>
  </si>
  <si>
    <t>ENTREGA DE MOLÉCULA  15 AL 31 OCTUBRE 2023</t>
  </si>
  <si>
    <t>A4883</t>
  </si>
  <si>
    <t>A4889</t>
  </si>
  <si>
    <t>A4891</t>
  </si>
  <si>
    <t>A4892</t>
  </si>
  <si>
    <t>SERVICIO DE COMPRESIÓN 15 AL 31 OCTUBRE 2023</t>
  </si>
  <si>
    <t>A4893</t>
  </si>
  <si>
    <t>A4895</t>
  </si>
  <si>
    <t>A4897</t>
  </si>
  <si>
    <t>A4898</t>
  </si>
  <si>
    <t>A4899</t>
  </si>
  <si>
    <t>cancelada por cambio de uso de cfdi</t>
  </si>
  <si>
    <t>A4901</t>
  </si>
  <si>
    <t>A4903</t>
  </si>
  <si>
    <t>A4905</t>
  </si>
  <si>
    <t>ENTREGA DE MOLÉCULA  16 AL 31 OCTUBRE 2023</t>
  </si>
  <si>
    <t>A4906</t>
  </si>
  <si>
    <t>A4907</t>
  </si>
  <si>
    <t>A4908</t>
  </si>
  <si>
    <t>A4909</t>
  </si>
  <si>
    <t>A4910</t>
  </si>
  <si>
    <t>A4911</t>
  </si>
  <si>
    <t>A4912</t>
  </si>
  <si>
    <t>ABONA 162,059.74 A A4933 +$100,000 17/11/23</t>
  </si>
  <si>
    <t>A4913</t>
  </si>
  <si>
    <t>MANTENIMIENTO PREVENTIVO PC-LKL-001-260-26</t>
  </si>
  <si>
    <t>A4914</t>
  </si>
  <si>
    <t>A4915</t>
  </si>
  <si>
    <t>A4916</t>
  </si>
  <si>
    <t>A4918</t>
  </si>
  <si>
    <t>A4920</t>
  </si>
  <si>
    <t>ABONA $289,356.60 30/11/23</t>
  </si>
  <si>
    <t>A4922</t>
  </si>
  <si>
    <t>A4924</t>
  </si>
  <si>
    <t>A4925</t>
  </si>
  <si>
    <t>A4926</t>
  </si>
  <si>
    <t>A4928</t>
  </si>
  <si>
    <t>AJUSTE TARIFA BF BI 01 AL 14 JUNIO 2023</t>
  </si>
  <si>
    <t>A4929</t>
  </si>
  <si>
    <t>A4931</t>
  </si>
  <si>
    <t>A4933</t>
  </si>
  <si>
    <t>ENTREGA DE MOLÉCULA  04 AL 10 NOVIEMBRE 2023</t>
  </si>
  <si>
    <t>ABONO 10/11/23</t>
  </si>
  <si>
    <t>2574/2592/2635</t>
  </si>
  <si>
    <t>A4935</t>
  </si>
  <si>
    <t>ESTA FACTURA SUSTITUYE LA A4899</t>
  </si>
  <si>
    <t>A4937</t>
  </si>
  <si>
    <t>ENTREGA DE MOLÉCULA  01 AL 14 NOVIEMBRE 2023</t>
  </si>
  <si>
    <t>A4939</t>
  </si>
  <si>
    <t>A4941</t>
  </si>
  <si>
    <t>A4943</t>
  </si>
  <si>
    <t>A4944</t>
  </si>
  <si>
    <t>SERVICIO DE COMPRESIÓN 01 AL 14 OCTUBRE 2023</t>
  </si>
  <si>
    <t>A4945</t>
  </si>
  <si>
    <t>A4949</t>
  </si>
  <si>
    <t>A4951</t>
  </si>
  <si>
    <t>A4952</t>
  </si>
  <si>
    <t>A4953</t>
  </si>
  <si>
    <t>A4954</t>
  </si>
  <si>
    <t>A4955</t>
  </si>
  <si>
    <t>A4957</t>
  </si>
  <si>
    <t>A4961</t>
  </si>
  <si>
    <t>A4963</t>
  </si>
  <si>
    <t>ENTREGA DE MOLÉCULA  01 AL 15 NOVIEMBRE 2023</t>
  </si>
  <si>
    <t>A4964</t>
  </si>
  <si>
    <t>SERVICIO DE COMPRESIÓN 01 AL 15 OCTUBRE 2023</t>
  </si>
  <si>
    <t>A4965</t>
  </si>
  <si>
    <t>A4966</t>
  </si>
  <si>
    <t>A4967</t>
  </si>
  <si>
    <t>A4968</t>
  </si>
  <si>
    <t>A4969</t>
  </si>
  <si>
    <t>SE ABONAN $71,810.13 27/12/23</t>
  </si>
  <si>
    <t>A4971</t>
  </si>
  <si>
    <t>A4972</t>
  </si>
  <si>
    <t>SERVICIO DE COMPRESIÓN 01 AL 14 NOVIEMBRE 2023</t>
  </si>
  <si>
    <t>A4973</t>
  </si>
  <si>
    <t>A4974</t>
  </si>
  <si>
    <t>A4975</t>
  </si>
  <si>
    <t>A4977</t>
  </si>
  <si>
    <t>A4979</t>
  </si>
  <si>
    <t>A4981</t>
  </si>
  <si>
    <t>A4983</t>
  </si>
  <si>
    <t>A4985</t>
  </si>
  <si>
    <t>A4987</t>
  </si>
  <si>
    <t>ENTREGA DE MOLÉCULA  15 AL 24 NOVIEMBRE 2023</t>
  </si>
  <si>
    <t>SE ABONAN  $235,813.69 01/12/23, se abonan $22302.03, de saldos anteriores posterior a conciliación con organika</t>
  </si>
  <si>
    <t>2635/2717</t>
  </si>
  <si>
    <t>A4996</t>
  </si>
  <si>
    <t>RENTA DE DESCOMPRENSORA 06 DICIEMBRE AL 06  ENERO</t>
  </si>
  <si>
    <t>A4997</t>
  </si>
  <si>
    <t>ENTREGA DE MOLÉCULA  16 AL 30 NOVIEMBRE 2023</t>
  </si>
  <si>
    <t>A4998</t>
  </si>
  <si>
    <t>SERVICIO DE COMPRESIÓN 16 AL 30 NOVIEMBRE 2023</t>
  </si>
  <si>
    <t>A4999</t>
  </si>
  <si>
    <t>A5000</t>
  </si>
  <si>
    <t>A5001</t>
  </si>
  <si>
    <t>A5002</t>
  </si>
  <si>
    <t>A5006</t>
  </si>
  <si>
    <t>ENTREGA DE MOLÉCULA  15 AL 30 NOVIEMBRE 2023</t>
  </si>
  <si>
    <t>A5008</t>
  </si>
  <si>
    <t>ENTREGA DE MOLÉCULA 15 AL 30 NOVIEMBRE 2023</t>
  </si>
  <si>
    <t>A5010</t>
  </si>
  <si>
    <t>A5011</t>
  </si>
  <si>
    <t>SERVICIO DE COMPRESIÓN 15 AL 30 NOVIEMBRE 2023</t>
  </si>
  <si>
    <t>A5012</t>
  </si>
  <si>
    <t>A5014</t>
  </si>
  <si>
    <t>A5015</t>
  </si>
  <si>
    <t>A5016</t>
  </si>
  <si>
    <t>A5018</t>
  </si>
  <si>
    <t>A5020</t>
  </si>
  <si>
    <t>A5022</t>
  </si>
  <si>
    <t>A5023</t>
  </si>
  <si>
    <t>A5024</t>
  </si>
  <si>
    <t>A5025</t>
  </si>
  <si>
    <t>A5026</t>
  </si>
  <si>
    <t>A5027</t>
  </si>
  <si>
    <t>A5028</t>
  </si>
  <si>
    <t>A5029</t>
  </si>
  <si>
    <t>A5030</t>
  </si>
  <si>
    <t>ENTREGA DE MOLÉCULA 01 AL 14 DICIEMBRE 2023</t>
  </si>
  <si>
    <t>A5031</t>
  </si>
  <si>
    <t>SERVICIO DE COMPRESIÓN 01 AL 14 DICIEMBRE 2023</t>
  </si>
  <si>
    <t>A5032</t>
  </si>
  <si>
    <t>A5034</t>
  </si>
  <si>
    <t>A5035</t>
  </si>
  <si>
    <t>A5036</t>
  </si>
  <si>
    <t>A5038</t>
  </si>
  <si>
    <t>SERVICIO DE COMPRESIÓN 01 AL 30 NOVIEMBRE 2023</t>
  </si>
  <si>
    <t>A5039</t>
  </si>
  <si>
    <t>A5040</t>
  </si>
  <si>
    <t>A5042</t>
  </si>
  <si>
    <t>A5044</t>
  </si>
  <si>
    <t>A5046</t>
  </si>
  <si>
    <t>A5048</t>
  </si>
  <si>
    <t>A5049</t>
  </si>
  <si>
    <t>A5050</t>
  </si>
  <si>
    <t>A5051</t>
  </si>
  <si>
    <t>A5052</t>
  </si>
  <si>
    <t>A5054</t>
  </si>
  <si>
    <t>A5056</t>
  </si>
  <si>
    <t>A5058</t>
  </si>
  <si>
    <t>ENTREGA DE MOLÉCULA 01 AL 08 DICIEMBRE 2023</t>
  </si>
  <si>
    <t>A5060</t>
  </si>
  <si>
    <t>TOP NOVIEMBRE</t>
  </si>
  <si>
    <t>CANCELADO POR ERROR EN USO DE CFDI</t>
  </si>
  <si>
    <t>A5061</t>
  </si>
  <si>
    <t>A5062</t>
  </si>
  <si>
    <t>ENTREGA DE MOLÉCULA 09 AL 15 DICIEMBRE 2023</t>
  </si>
  <si>
    <t>A5064</t>
  </si>
  <si>
    <t>ENTREGA DE MOLÉCULA 16 AL 22 DICIEMBRE 2023</t>
  </si>
  <si>
    <t>2717/5064</t>
  </si>
  <si>
    <t>A5066</t>
  </si>
  <si>
    <t>A5068</t>
  </si>
  <si>
    <t>A5070</t>
  </si>
  <si>
    <t>A5071</t>
  </si>
  <si>
    <t>A5072</t>
  </si>
  <si>
    <t>A5074</t>
  </si>
  <si>
    <t>A5076</t>
  </si>
  <si>
    <t>A5077</t>
  </si>
  <si>
    <t>A5078</t>
  </si>
  <si>
    <t>A5080</t>
  </si>
  <si>
    <t>A5082</t>
  </si>
  <si>
    <t>A5084</t>
  </si>
  <si>
    <t>A5086</t>
  </si>
  <si>
    <t>ENTREGA DE MOLÉCULA 01 AL 15 DICIEMBRE 2023</t>
  </si>
  <si>
    <t>A5087</t>
  </si>
  <si>
    <t>SERVICIO DE COMPRESIÓN 01 AL 15 DICIEMBRE 2023</t>
  </si>
  <si>
    <t>A5088</t>
  </si>
  <si>
    <t>A5089</t>
  </si>
  <si>
    <t>A5090</t>
  </si>
  <si>
    <t>A5091</t>
  </si>
  <si>
    <t>A5093</t>
  </si>
  <si>
    <t>A5094</t>
  </si>
  <si>
    <t>A5095</t>
  </si>
  <si>
    <t>ENTREGA DE MOLÉCULA 15 AL 31 DICIEMBRE 2023</t>
  </si>
  <si>
    <t>A5096</t>
  </si>
  <si>
    <t>SERVICIO DE COMPRESIÓN 15 AL 31 DICIEMBRE 2023</t>
  </si>
  <si>
    <t>A5097</t>
  </si>
  <si>
    <t>TOP DICIEMBRE</t>
  </si>
  <si>
    <t>A5098</t>
  </si>
  <si>
    <t>A5100</t>
  </si>
  <si>
    <t>A5101</t>
  </si>
  <si>
    <t>A5102</t>
  </si>
  <si>
    <t>A5103</t>
  </si>
  <si>
    <t>A5104</t>
  </si>
  <si>
    <t>A5106</t>
  </si>
  <si>
    <t>A5108</t>
  </si>
  <si>
    <t>Abona $200,000 el 22/01/2024</t>
  </si>
  <si>
    <t>2748 / 2790</t>
  </si>
  <si>
    <t>A5110</t>
  </si>
  <si>
    <t>A5112</t>
  </si>
  <si>
    <t>A5114</t>
  </si>
  <si>
    <t>ENTREGA DE MOLÉCULA 23 AL 29 DICIEMBRE 2023</t>
  </si>
  <si>
    <t>A5116</t>
  </si>
  <si>
    <t>ENTREGA DE MOLÉCULA 16 AL 31 DICIEMBRE 2023</t>
  </si>
  <si>
    <t>A5117</t>
  </si>
  <si>
    <t>SERVICIO DE COMPRESIÓN 16 AL 31 DICIEMBRE 2023</t>
  </si>
  <si>
    <t>A5118</t>
  </si>
  <si>
    <t>A5119</t>
  </si>
  <si>
    <t>A5120</t>
  </si>
  <si>
    <t>A5121</t>
  </si>
  <si>
    <t>A5122</t>
  </si>
  <si>
    <t>ENTREGA DE MOLÉCULA 01 AL 07 ENERO 2024</t>
  </si>
  <si>
    <t>A5124</t>
  </si>
  <si>
    <t>RENTA DE DESCOMPRENSORA 06 ENERO AL 06  FEBRERO</t>
  </si>
  <si>
    <t>A5125</t>
  </si>
  <si>
    <t>ENTREGA DE MOLÉCULA 08 AL 14 ENERO 2024</t>
  </si>
  <si>
    <t>A5127</t>
  </si>
  <si>
    <t>A5129</t>
  </si>
  <si>
    <t>A5133</t>
  </si>
  <si>
    <t>A5135</t>
  </si>
  <si>
    <t>A5136</t>
  </si>
  <si>
    <t>A5137</t>
  </si>
  <si>
    <t>A5139</t>
  </si>
  <si>
    <t>A5141</t>
  </si>
  <si>
    <t>A5142</t>
  </si>
  <si>
    <t>A5143</t>
  </si>
  <si>
    <t>A5145</t>
  </si>
  <si>
    <t>A5146</t>
  </si>
  <si>
    <t>A5147</t>
  </si>
  <si>
    <t>A5148</t>
  </si>
  <si>
    <t>A5150</t>
  </si>
  <si>
    <t>A5151</t>
  </si>
  <si>
    <t>A5152</t>
  </si>
  <si>
    <t>SERVICIOS ADICIONALES DICIEMBRE 2023</t>
  </si>
  <si>
    <t>ADMINISTRACION</t>
  </si>
  <si>
    <t>A5153</t>
  </si>
  <si>
    <t>SERVICIOS ADICIONALES ENERO 2024</t>
  </si>
  <si>
    <t>A5154</t>
  </si>
  <si>
    <t>A5156</t>
  </si>
  <si>
    <t>A5157</t>
  </si>
  <si>
    <t>A5158</t>
  </si>
  <si>
    <t>A5160</t>
  </si>
  <si>
    <t>A5162</t>
  </si>
  <si>
    <t>ABONA $174,129.74 EL 09/02/2024</t>
  </si>
  <si>
    <t>2790 / 2816</t>
  </si>
  <si>
    <t>A5164</t>
  </si>
  <si>
    <t>A5166</t>
  </si>
  <si>
    <t>A5168</t>
  </si>
  <si>
    <t>A5169</t>
  </si>
  <si>
    <t>A5170</t>
  </si>
  <si>
    <t>ENTREGA DE MOLÉCULA 01 AL 31 DICIEMBRE 2023 AJUSTE</t>
  </si>
  <si>
    <t>A5171</t>
  </si>
  <si>
    <t>A5173</t>
  </si>
  <si>
    <t>A5175</t>
  </si>
  <si>
    <t>A5177</t>
  </si>
  <si>
    <t>A5185</t>
  </si>
  <si>
    <t>ENTREGA DE MOLÉCULA 15 AL 31 DICIEMBRE 2023 ajuste</t>
  </si>
  <si>
    <t>A5186</t>
  </si>
  <si>
    <t>SERVICIO DE COMPRESIÓN 15 AL 31 DICIEMBRE 2023 ajsute</t>
  </si>
  <si>
    <t>A5187</t>
  </si>
  <si>
    <t>ENTREGA DE MOLÉCULA 01 AL 14 ENERO 2024</t>
  </si>
  <si>
    <t>A5188</t>
  </si>
  <si>
    <t>SERVICIO DE COMPRESIÓN 01 AL 14 ENERO 2024</t>
  </si>
  <si>
    <t>A5189</t>
  </si>
  <si>
    <t>A5191</t>
  </si>
  <si>
    <t>A5193</t>
  </si>
  <si>
    <t>A5195</t>
  </si>
  <si>
    <t>A5197</t>
  </si>
  <si>
    <t>A5199</t>
  </si>
  <si>
    <t>A5200</t>
  </si>
  <si>
    <t>A5201</t>
  </si>
  <si>
    <t>A5207</t>
  </si>
  <si>
    <t>A5208</t>
  </si>
  <si>
    <t>A5209</t>
  </si>
  <si>
    <t>ENTREGA DE MOLÉCULA 01 AL 15 ENERO 2024</t>
  </si>
  <si>
    <t>A5210</t>
  </si>
  <si>
    <t>SERVICIO DE COMPRESIÓN 01 AL 15 ENERO 2024</t>
  </si>
  <si>
    <t>A5211</t>
  </si>
  <si>
    <t>A5212</t>
  </si>
  <si>
    <t>A5213</t>
  </si>
  <si>
    <t>A5214</t>
  </si>
  <si>
    <t>A5215</t>
  </si>
  <si>
    <t>SERVICIO DE COMPRESIÓN 25 ENERO 2024</t>
  </si>
  <si>
    <t>A5216</t>
  </si>
  <si>
    <t>TEPANGO</t>
  </si>
  <si>
    <t>A5217</t>
  </si>
  <si>
    <t>A5219</t>
  </si>
  <si>
    <t>A5220</t>
  </si>
  <si>
    <t>A5221</t>
  </si>
  <si>
    <t>A5223</t>
  </si>
  <si>
    <t>A5225</t>
  </si>
  <si>
    <t>A5227</t>
  </si>
  <si>
    <t>A5229</t>
  </si>
  <si>
    <t>A5230</t>
  </si>
  <si>
    <t>A5231</t>
  </si>
  <si>
    <t>A5232</t>
  </si>
  <si>
    <t>A5233</t>
  </si>
  <si>
    <t>A5235</t>
  </si>
  <si>
    <t>A5237</t>
  </si>
  <si>
    <t>A5238</t>
  </si>
  <si>
    <t>ENTREGA DE MOLÉCULA 16 AL 31 ENERO 2024</t>
  </si>
  <si>
    <t>A5239</t>
  </si>
  <si>
    <t>SERVICIO DE COMPRESIÓN 16 AL 31 ENERO 2024</t>
  </si>
  <si>
    <t>A5240</t>
  </si>
  <si>
    <t>A5241</t>
  </si>
  <si>
    <t>A5242</t>
  </si>
  <si>
    <t>A5243</t>
  </si>
  <si>
    <t>A5244</t>
  </si>
  <si>
    <t>SERVICIOS ADICIONALES FEBRERO 2024</t>
  </si>
  <si>
    <t>A5245</t>
  </si>
  <si>
    <t>ENTREGA DE MOLÉCULA 15 AL 31 ENERO 2024</t>
  </si>
  <si>
    <t>A5247</t>
  </si>
  <si>
    <t>A5249</t>
  </si>
  <si>
    <t>ABONA  $276,479.33 13/02/2024</t>
  </si>
  <si>
    <t>2800/2900</t>
  </si>
  <si>
    <t>A5250</t>
  </si>
  <si>
    <t>SERVICIO DE COMPRESIÓN 15 AL 31 ENERO 2024</t>
  </si>
  <si>
    <t>ABONA $200,039.16 13/02/2024</t>
  </si>
  <si>
    <t>2799/2901</t>
  </si>
  <si>
    <t>A5253</t>
  </si>
  <si>
    <t>A5255</t>
  </si>
  <si>
    <t>A5259</t>
  </si>
  <si>
    <t>A5261</t>
  </si>
  <si>
    <t>A5262</t>
  </si>
  <si>
    <t>A5263</t>
  </si>
  <si>
    <t>A5264</t>
  </si>
  <si>
    <t>A5265</t>
  </si>
  <si>
    <t>A5266</t>
  </si>
  <si>
    <t>A5267</t>
  </si>
  <si>
    <t>A5268</t>
  </si>
  <si>
    <t>A5269</t>
  </si>
  <si>
    <t>378 , 381</t>
  </si>
  <si>
    <t>A5270</t>
  </si>
  <si>
    <t>379 , 382</t>
  </si>
  <si>
    <t>A5271</t>
  </si>
  <si>
    <t>A5272</t>
  </si>
  <si>
    <t>A5273</t>
  </si>
  <si>
    <t>A5275</t>
  </si>
  <si>
    <t>A5277</t>
  </si>
  <si>
    <t>ABONA $17,668.00 EL 22/02/2024. abona $350,000 el 14/03/2024</t>
  </si>
  <si>
    <t>2816 / 2858 / 2894</t>
  </si>
  <si>
    <t>A5279</t>
  </si>
  <si>
    <t>A5281</t>
  </si>
  <si>
    <t>A5283</t>
  </si>
  <si>
    <t>A5284</t>
  </si>
  <si>
    <t>A5285</t>
  </si>
  <si>
    <t>A5286</t>
  </si>
  <si>
    <t>A5287</t>
  </si>
  <si>
    <t>A5289</t>
  </si>
  <si>
    <t>A5291</t>
  </si>
  <si>
    <t>TOP ENERO 2024</t>
  </si>
  <si>
    <t>A5292</t>
  </si>
  <si>
    <t>ENTREGA DE MOLÉCULA 01 AL 14 Febrero 2024</t>
  </si>
  <si>
    <t>A5296</t>
  </si>
  <si>
    <t>A5298</t>
  </si>
  <si>
    <t>A5299</t>
  </si>
  <si>
    <t>SERVICIO DE COMPRESIÓN 01 AL 14 Febrero 2024</t>
  </si>
  <si>
    <t>A5302</t>
  </si>
  <si>
    <t>A5304</t>
  </si>
  <si>
    <t>A5305</t>
  </si>
  <si>
    <t>A5306</t>
  </si>
  <si>
    <t>RENTA DE DESCOMPRENSORA 06 FEBRERO AL 06  MARZO</t>
  </si>
  <si>
    <t>A5307</t>
  </si>
  <si>
    <t>ENTREGA DE MOLÉCULA 01 AL 15 Febrero 2024</t>
  </si>
  <si>
    <t>A5308</t>
  </si>
  <si>
    <t>SERVICIO DE COMPRESIÓN 01 AL 15 Febrero 2024</t>
  </si>
  <si>
    <t>A5309</t>
  </si>
  <si>
    <t>A5310</t>
  </si>
  <si>
    <t>A5311</t>
  </si>
  <si>
    <t>A5312</t>
  </si>
  <si>
    <t>A5313</t>
  </si>
  <si>
    <t>A5315</t>
  </si>
  <si>
    <t>A5316</t>
  </si>
  <si>
    <t>A5317</t>
  </si>
  <si>
    <t>A5318</t>
  </si>
  <si>
    <t>A5319</t>
  </si>
  <si>
    <t>A5321</t>
  </si>
  <si>
    <t>A5323</t>
  </si>
  <si>
    <t>A5325</t>
  </si>
  <si>
    <t>A5327</t>
  </si>
  <si>
    <t>A5329</t>
  </si>
  <si>
    <t>A5330</t>
  </si>
  <si>
    <t>A5331</t>
  </si>
  <si>
    <t>A5332</t>
  </si>
  <si>
    <t>A5333</t>
  </si>
  <si>
    <t>A5335</t>
  </si>
  <si>
    <t>A5337</t>
  </si>
  <si>
    <t>ENTREGA DE MOLÉCULA 16 AL 29 Febrero 2024</t>
  </si>
  <si>
    <t>A5338</t>
  </si>
  <si>
    <t>SERVICIO DE COMPRESIÓN 16 AL 29 Febrero 2024</t>
  </si>
  <si>
    <t>A5339</t>
  </si>
  <si>
    <t>A5340</t>
  </si>
  <si>
    <t>A5341</t>
  </si>
  <si>
    <t>A5342</t>
  </si>
  <si>
    <t>A5343</t>
  </si>
  <si>
    <t>A5345</t>
  </si>
  <si>
    <t>ENTREGA DE MOLÉCULA 15 AL 29 Febrero 2024</t>
  </si>
  <si>
    <t>A5349</t>
  </si>
  <si>
    <t>A5350</t>
  </si>
  <si>
    <t>SERVICIO DE COMPRESIÓN 15 AL 29 Febrero 2024</t>
  </si>
  <si>
    <t>A5353</t>
  </si>
  <si>
    <t>A5355</t>
  </si>
  <si>
    <t>A5356</t>
  </si>
  <si>
    <t>A5357</t>
  </si>
  <si>
    <t>A5359</t>
  </si>
  <si>
    <t>A5360</t>
  </si>
  <si>
    <t>A5361</t>
  </si>
  <si>
    <t>A5363</t>
  </si>
  <si>
    <t>A5364</t>
  </si>
  <si>
    <t>SERVICIO DE COMPRESION 05 DE MARZO 2024</t>
  </si>
  <si>
    <t>A5365</t>
  </si>
  <si>
    <t>A5366</t>
  </si>
  <si>
    <t>A5367</t>
  </si>
  <si>
    <t>A5368</t>
  </si>
  <si>
    <t>A5369</t>
  </si>
  <si>
    <t>A5371</t>
  </si>
  <si>
    <t>A5372</t>
  </si>
  <si>
    <t>A5373</t>
  </si>
  <si>
    <t>A5374</t>
  </si>
  <si>
    <t>A5375</t>
  </si>
  <si>
    <t>A5376</t>
  </si>
  <si>
    <t>A5377</t>
  </si>
  <si>
    <t>A5378</t>
  </si>
  <si>
    <t>A5379</t>
  </si>
  <si>
    <t>A5382</t>
  </si>
  <si>
    <t>AJUSTE DE TARIFA POR ENTREGA DE MOLÉCULA 01 AL 14 Febrero 2024</t>
  </si>
  <si>
    <t>A5383</t>
  </si>
  <si>
    <t>AJUSTE DE TARIFA POR ENTREGA DE MOLÉCULA 01 AL 15 Febrero 2024</t>
  </si>
  <si>
    <t>A5384</t>
  </si>
  <si>
    <t>A5385</t>
  </si>
  <si>
    <t>A5387</t>
  </si>
  <si>
    <t>A5388</t>
  </si>
  <si>
    <t>A5390</t>
  </si>
  <si>
    <t>A5391</t>
  </si>
  <si>
    <t>A5392</t>
  </si>
  <si>
    <t>A5393</t>
  </si>
  <si>
    <t>A5394</t>
  </si>
  <si>
    <t>A5395</t>
  </si>
  <si>
    <t>A5396</t>
  </si>
  <si>
    <t>Abona $2,761.68 el 27/03/2024</t>
  </si>
  <si>
    <t>A5397</t>
  </si>
  <si>
    <t>A5398</t>
  </si>
  <si>
    <t>A5399</t>
  </si>
  <si>
    <t>A5400</t>
  </si>
  <si>
    <t>A5401</t>
  </si>
  <si>
    <t>A5402</t>
  </si>
  <si>
    <t>AJUSTE DE TARIFA POR ENTREGA DE  MOLÉCULA 15 AL 29 Febrero 2024</t>
  </si>
  <si>
    <t>A5403</t>
  </si>
  <si>
    <t>A5404</t>
  </si>
  <si>
    <t>A5405</t>
  </si>
  <si>
    <t>A5406</t>
  </si>
  <si>
    <t>A5407</t>
  </si>
  <si>
    <t>A5409</t>
  </si>
  <si>
    <t>A5411</t>
  </si>
  <si>
    <t>A5413</t>
  </si>
  <si>
    <t>A5415</t>
  </si>
  <si>
    <t>A5417</t>
  </si>
  <si>
    <t>A5418</t>
  </si>
  <si>
    <t>A5419</t>
  </si>
  <si>
    <t>A5420</t>
  </si>
  <si>
    <t>A5421</t>
  </si>
  <si>
    <t>A5423</t>
  </si>
  <si>
    <t>A5425</t>
  </si>
  <si>
    <t>A5426</t>
  </si>
  <si>
    <t>SERVICIOS ADICIONALES MARZO 2024</t>
  </si>
  <si>
    <t>A5427</t>
  </si>
  <si>
    <t>ENTREGA DE MOLÉCULA 01 AL 14 Marzo 2024</t>
  </si>
  <si>
    <t>A5431</t>
  </si>
  <si>
    <t>A5433</t>
  </si>
  <si>
    <t>A5434</t>
  </si>
  <si>
    <t>SERVICIO DE COMPRESIÓN 01 AL 14 Marzo 2024</t>
  </si>
  <si>
    <t>A5437</t>
  </si>
  <si>
    <t>A5439</t>
  </si>
  <si>
    <t>A5440</t>
  </si>
  <si>
    <t>A5441</t>
  </si>
  <si>
    <t>A5444</t>
  </si>
  <si>
    <t>A5446</t>
  </si>
  <si>
    <t>A5447</t>
  </si>
  <si>
    <t>A5448</t>
  </si>
  <si>
    <t>ENTREGA DE MOLÉCULA 01 AL 15 Marzo 2024</t>
  </si>
  <si>
    <t>A5449</t>
  </si>
  <si>
    <t>SERVICIO DE COMPRESIÓN 01 AL 15 Marzo 2024</t>
  </si>
  <si>
    <t>A5450</t>
  </si>
  <si>
    <t>A5451</t>
  </si>
  <si>
    <t>A5452</t>
  </si>
  <si>
    <t>A5453</t>
  </si>
  <si>
    <t>A5454</t>
  </si>
  <si>
    <t>A5455</t>
  </si>
  <si>
    <t>A5456</t>
  </si>
  <si>
    <t>A5458</t>
  </si>
  <si>
    <t>A5460</t>
  </si>
  <si>
    <t>A5462</t>
  </si>
  <si>
    <t>A5464</t>
  </si>
  <si>
    <t>A5466</t>
  </si>
  <si>
    <t>A5467</t>
  </si>
  <si>
    <t>A5468</t>
  </si>
  <si>
    <t>A5469</t>
  </si>
  <si>
    <t>Abona $148,414.03 el 19/04/2024</t>
  </si>
  <si>
    <t>2949 / 2950</t>
  </si>
  <si>
    <t>A5470</t>
  </si>
  <si>
    <t>A5472</t>
  </si>
  <si>
    <t>A5474</t>
  </si>
  <si>
    <t>TOP FEBRERO 2024</t>
  </si>
  <si>
    <t>A5475</t>
  </si>
  <si>
    <t>ENTREGA DE MOLÉCULA 16 AL 31 Marzo 2024</t>
  </si>
  <si>
    <t>A5476</t>
  </si>
  <si>
    <t>SERVICIO DE COMPRESIÓN 16 AL 31 Marzo 2024</t>
  </si>
  <si>
    <t>A5477</t>
  </si>
  <si>
    <t>A5478</t>
  </si>
  <si>
    <t>A5479</t>
  </si>
  <si>
    <t>A5480</t>
  </si>
  <si>
    <t>A5481</t>
  </si>
  <si>
    <t>ENTREGA DE MOLÉCULA 15 AL 31 Marzo 2024</t>
  </si>
  <si>
    <t>A5485</t>
  </si>
  <si>
    <t>A5487</t>
  </si>
  <si>
    <t>A5488</t>
  </si>
  <si>
    <t>SERVICIO DE COMPRESIÓN 15 AL 31 Marzo 2024</t>
  </si>
  <si>
    <t>A5491</t>
  </si>
  <si>
    <t>A5493</t>
  </si>
  <si>
    <t>A5494</t>
  </si>
  <si>
    <t>A5495</t>
  </si>
  <si>
    <t>A5497</t>
  </si>
  <si>
    <t>A5498</t>
  </si>
  <si>
    <t>A5499</t>
  </si>
  <si>
    <t>A5500</t>
  </si>
  <si>
    <t>A5501</t>
  </si>
  <si>
    <t>A5502</t>
  </si>
  <si>
    <t>A5503</t>
  </si>
  <si>
    <t>A5504</t>
  </si>
  <si>
    <t>A5505</t>
  </si>
  <si>
    <t>A5507</t>
  </si>
  <si>
    <t>SERVICIO DE COMPRESION 05 DE ABRIL 2024</t>
  </si>
  <si>
    <t>A5508</t>
  </si>
  <si>
    <t>SERVICIOS ADICIONALES ABRIL 2024</t>
  </si>
  <si>
    <t>A5509</t>
  </si>
  <si>
    <t>A5510</t>
  </si>
  <si>
    <t>A5511</t>
  </si>
  <si>
    <t>A5513</t>
  </si>
  <si>
    <t>A5515</t>
  </si>
  <si>
    <t>ABONO $136,478.70 EL 16/05/2024</t>
  </si>
  <si>
    <t>2985 / 2998</t>
  </si>
  <si>
    <t>A5517</t>
  </si>
  <si>
    <t>A5519</t>
  </si>
  <si>
    <t>A5521</t>
  </si>
  <si>
    <t>A5522</t>
  </si>
  <si>
    <t>A5523</t>
  </si>
  <si>
    <t>SE CANCELA POR ERROR EN UNIDAD SE SUSTITUYE CON A5576</t>
  </si>
  <si>
    <t>A5524</t>
  </si>
  <si>
    <t>CLIENTE SOLICITA CANCELACIÓN DE NC</t>
  </si>
  <si>
    <t>A5525</t>
  </si>
  <si>
    <t>A5527</t>
  </si>
  <si>
    <t>A5529</t>
  </si>
  <si>
    <t>TOP MARZO 2024</t>
  </si>
  <si>
    <t>SE CANCELA EL 29/04/2024 POR ERROR EN USO DE CFDI SUSTITUYE A5577</t>
  </si>
  <si>
    <t>A5530</t>
  </si>
  <si>
    <t>ENTREGA DE MOLÉCULA 01 AL 14 Abril 2024</t>
  </si>
  <si>
    <t>A5534</t>
  </si>
  <si>
    <t>A5536</t>
  </si>
  <si>
    <t>A5537</t>
  </si>
  <si>
    <t>SERVICIO DE COMPRESIÓN 01 AL 14 Abril 2024</t>
  </si>
  <si>
    <t>A5538</t>
  </si>
  <si>
    <t>A5540</t>
  </si>
  <si>
    <t>A5541</t>
  </si>
  <si>
    <t>A5542</t>
  </si>
  <si>
    <t>A5544</t>
  </si>
  <si>
    <t>A5546</t>
  </si>
  <si>
    <t>A5548</t>
  </si>
  <si>
    <t>A5550</t>
  </si>
  <si>
    <t>A5552</t>
  </si>
  <si>
    <t>A5554</t>
  </si>
  <si>
    <t>A5555</t>
  </si>
  <si>
    <t>A5556</t>
  </si>
  <si>
    <t>A5557</t>
  </si>
  <si>
    <t>A5558</t>
  </si>
  <si>
    <t>ENTREGA DE MOLÉCULA 01 AL 15 Abril 2024</t>
  </si>
  <si>
    <t>A5559</t>
  </si>
  <si>
    <t>SERVICIO DE COMPRESIÓN 01 AL 15 Abril 2024</t>
  </si>
  <si>
    <t>A5560</t>
  </si>
  <si>
    <t>A5561</t>
  </si>
  <si>
    <t>A5562</t>
  </si>
  <si>
    <t>A5563</t>
  </si>
  <si>
    <t>A5564</t>
  </si>
  <si>
    <t>A5565</t>
  </si>
  <si>
    <t>A5567</t>
  </si>
  <si>
    <t>A5568</t>
  </si>
  <si>
    <t>A5569</t>
  </si>
  <si>
    <t>A5571</t>
  </si>
  <si>
    <t>A5573</t>
  </si>
  <si>
    <t>A5574</t>
  </si>
  <si>
    <t>A5575</t>
  </si>
  <si>
    <t>DIFERENCIA POR ENTREGA DE MOLECULA EN TOP MARZO</t>
  </si>
  <si>
    <t>A5576</t>
  </si>
  <si>
    <t>A5577</t>
  </si>
  <si>
    <t>A5578</t>
  </si>
  <si>
    <t>ENTREGA DE MOLÉCULA 16 AL 30 Abril 2024</t>
  </si>
  <si>
    <t>A5579</t>
  </si>
  <si>
    <t>SERVICIO DE COMPRESIÓN 16 AL 30 Abril 2024</t>
  </si>
  <si>
    <t>A5580</t>
  </si>
  <si>
    <t>A5581</t>
  </si>
  <si>
    <t>A5582</t>
  </si>
  <si>
    <t>RENTA DE CONTENEDORES DEL 02 DE MAYO AL 02 DE JUNIO</t>
  </si>
  <si>
    <t>ENCOGNV</t>
  </si>
  <si>
    <t>A5583</t>
  </si>
  <si>
    <t>ENTREGA DE MOLÉCULA 15 AL 30 Abril 2024</t>
  </si>
  <si>
    <t>A5587</t>
  </si>
  <si>
    <t>A5589</t>
  </si>
  <si>
    <t>A5590</t>
  </si>
  <si>
    <t>SERVICIO DE COMPRESIÓN 15 AL 30 Abril 2024</t>
  </si>
  <si>
    <t>A5591</t>
  </si>
  <si>
    <t>A5593</t>
  </si>
  <si>
    <t>A5595</t>
  </si>
  <si>
    <t>A5596</t>
  </si>
  <si>
    <t>A5597</t>
  </si>
  <si>
    <t>A5599</t>
  </si>
  <si>
    <t>A5600</t>
  </si>
  <si>
    <t>A5601</t>
  </si>
  <si>
    <t>AJUSTE ENTREGA DE MOLÉCULA 16 AL 30 Abril 2024</t>
  </si>
  <si>
    <t>A5602</t>
  </si>
  <si>
    <t>AJUSTE SERVICIO DE COMPRESIÓN 16 AL 30 Abril 2024</t>
  </si>
  <si>
    <t>A5603</t>
  </si>
  <si>
    <t>A5604</t>
  </si>
  <si>
    <t>A5605</t>
  </si>
  <si>
    <t>A5606</t>
  </si>
  <si>
    <t>A5607</t>
  </si>
  <si>
    <t>A5609</t>
  </si>
  <si>
    <t>A5611</t>
  </si>
  <si>
    <t>ABONO $8,842.48  EL 24/05/2024</t>
  </si>
  <si>
    <t>2996 / 3054</t>
  </si>
  <si>
    <t>A5613</t>
  </si>
  <si>
    <t>A5615</t>
  </si>
  <si>
    <t>A5617</t>
  </si>
  <si>
    <t>A5618</t>
  </si>
  <si>
    <t>A5619</t>
  </si>
  <si>
    <t>A5620</t>
  </si>
  <si>
    <t>A5621</t>
  </si>
  <si>
    <t>TOP ABRIL 2024</t>
  </si>
  <si>
    <t>A5622</t>
  </si>
  <si>
    <t>A5624</t>
  </si>
  <si>
    <t>A5626</t>
  </si>
  <si>
    <t>SERVICIOS ADICIONALES MAYO 2024</t>
  </si>
  <si>
    <t>A5629</t>
  </si>
  <si>
    <t>ENTREGA DE MOLÉCULA 01 AL 14 MAYO 2024</t>
  </si>
  <si>
    <t>A5631</t>
  </si>
  <si>
    <t>A5633</t>
  </si>
  <si>
    <t>A5635</t>
  </si>
  <si>
    <t>A5636</t>
  </si>
  <si>
    <t>A5637</t>
  </si>
  <si>
    <t>A5639</t>
  </si>
  <si>
    <t>A5641</t>
  </si>
  <si>
    <t>A5642</t>
  </si>
  <si>
    <t>SERVICIO DE COMPRESIÓN 01 AL 14 MAYO 2024</t>
  </si>
  <si>
    <t>A5643</t>
  </si>
  <si>
    <t>A5644</t>
  </si>
  <si>
    <t>A5646</t>
  </si>
  <si>
    <t>A5647</t>
  </si>
  <si>
    <t>A5648</t>
  </si>
  <si>
    <t>A5650</t>
  </si>
  <si>
    <t>A5652</t>
  </si>
  <si>
    <t>ABONA $39,007.26 EL 14/06/2024. ABONA 220,000 EL 04/07/2024</t>
  </si>
  <si>
    <t>3054 / 3142</t>
  </si>
  <si>
    <t>A5654</t>
  </si>
  <si>
    <t>A5656</t>
  </si>
  <si>
    <t>A5658</t>
  </si>
  <si>
    <t>A5659</t>
  </si>
  <si>
    <t>A5660</t>
  </si>
  <si>
    <t>SIU duplica folio GENERADA CON ANTERIORIDAD</t>
  </si>
  <si>
    <t>A5661</t>
  </si>
  <si>
    <t>ENTREGA DE MOLÉCULA 01 AL 15 MAYO 2024</t>
  </si>
  <si>
    <t>A5662</t>
  </si>
  <si>
    <t>SERVICIO DE COMPRESIÓN 01 AL 15 MAYO 2024</t>
  </si>
  <si>
    <t>A5663</t>
  </si>
  <si>
    <t>A5664</t>
  </si>
  <si>
    <t>A5665</t>
  </si>
  <si>
    <t>A5666</t>
  </si>
  <si>
    <t>SIU SELECCINA RAZON SOCIAL INCORRECTA EAV POR OXITENO</t>
  </si>
  <si>
    <t>A5667</t>
  </si>
  <si>
    <t>SIU ERROR SIN ESPECIFICAR</t>
  </si>
  <si>
    <t>A5668</t>
  </si>
  <si>
    <t>ENTREGA DE MOLÉCULA 16 AL 31 MARZO 2024</t>
  </si>
  <si>
    <t>A5669</t>
  </si>
  <si>
    <t>A5670</t>
  </si>
  <si>
    <t>A5672</t>
  </si>
  <si>
    <t>A5674</t>
  </si>
  <si>
    <t>ENTREGA DE MOLÉCULA 16 AL 31 MAYO 2024</t>
  </si>
  <si>
    <t>A5675</t>
  </si>
  <si>
    <t>SERVICIO DE COMPRESIÓN 16 AL 31 MAYO 2024</t>
  </si>
  <si>
    <t>A5676</t>
  </si>
  <si>
    <t>A5677</t>
  </si>
  <si>
    <t>A5678</t>
  </si>
  <si>
    <t>A5679</t>
  </si>
  <si>
    <t>A5682</t>
  </si>
  <si>
    <t>ENTREGA DE MOLÉCULA 15 AL 31 MAYO 2024</t>
  </si>
  <si>
    <t>A5684</t>
  </si>
  <si>
    <t>A5685</t>
  </si>
  <si>
    <t>SERVICIO DE COMPRESIÓN 15 AL 31 MAYO 2024</t>
  </si>
  <si>
    <t>A5686</t>
  </si>
  <si>
    <t>A5688</t>
  </si>
  <si>
    <t>A5689</t>
  </si>
  <si>
    <t>A5690</t>
  </si>
  <si>
    <t>A5692</t>
  </si>
  <si>
    <t>A5694</t>
  </si>
  <si>
    <t>SERVICIOS ADICIONALES JUNIO 2024</t>
  </si>
  <si>
    <t>A5695</t>
  </si>
  <si>
    <t>AJUSTE ENTREGA DE MOLÉCULA 01 AL 14 MAYO 2024</t>
  </si>
  <si>
    <t>A5697</t>
  </si>
  <si>
    <t>A5699</t>
  </si>
  <si>
    <t>A5700</t>
  </si>
  <si>
    <t>A5701</t>
  </si>
  <si>
    <t>RENTA DE CONTENEDORES DEL 02 DE JUNIO AL 02 DE JULIO</t>
  </si>
  <si>
    <t>A5702</t>
  </si>
  <si>
    <t>A5703</t>
  </si>
  <si>
    <t>A5704</t>
  </si>
  <si>
    <t>A5705</t>
  </si>
  <si>
    <t>A5706</t>
  </si>
  <si>
    <t>A5707</t>
  </si>
  <si>
    <t>A5708</t>
  </si>
  <si>
    <t>A5709</t>
  </si>
  <si>
    <t>A5710</t>
  </si>
  <si>
    <t>A5712</t>
  </si>
  <si>
    <t>A5714</t>
  </si>
  <si>
    <t>ABONA $193,799.36 EL 12/07/2024</t>
  </si>
  <si>
    <t>3142 / 3165</t>
  </si>
  <si>
    <t>A5716</t>
  </si>
  <si>
    <t>A5718</t>
  </si>
  <si>
    <t>A5720</t>
  </si>
  <si>
    <t>A5721</t>
  </si>
  <si>
    <t>A5722</t>
  </si>
  <si>
    <t>A5724</t>
  </si>
  <si>
    <t>A5726</t>
  </si>
  <si>
    <t>TOP MAYO 2024</t>
  </si>
  <si>
    <t>A5727</t>
  </si>
  <si>
    <t>A5728</t>
  </si>
  <si>
    <t>ABONA $134,350.14 EL 21/06/2024</t>
  </si>
  <si>
    <t>3079 / 3242</t>
  </si>
  <si>
    <t>A5729</t>
  </si>
  <si>
    <t>ENTREGA DE MOLÉCULA 01 AL 14 JUNIO 2024</t>
  </si>
  <si>
    <t>A5730</t>
  </si>
  <si>
    <t>SERVICIO DE COMPRESIÓN 01 AL 14 JUNIO 2024</t>
  </si>
  <si>
    <t>A5731</t>
  </si>
  <si>
    <t>A5733</t>
  </si>
  <si>
    <t>A5734</t>
  </si>
  <si>
    <t>A5735</t>
  </si>
  <si>
    <t>A5737</t>
  </si>
  <si>
    <t>A5739</t>
  </si>
  <si>
    <t>A5741</t>
  </si>
  <si>
    <t>A5742</t>
  </si>
  <si>
    <t>A5743</t>
  </si>
  <si>
    <t>A5744</t>
  </si>
  <si>
    <t>A5745</t>
  </si>
  <si>
    <t>A5746</t>
  </si>
  <si>
    <t>A5747</t>
  </si>
  <si>
    <t>A5749</t>
  </si>
  <si>
    <t>A5751</t>
  </si>
  <si>
    <t>A5753</t>
  </si>
  <si>
    <t>A5755</t>
  </si>
  <si>
    <t>A5756</t>
  </si>
  <si>
    <t>A5757</t>
  </si>
  <si>
    <t>A5758</t>
  </si>
  <si>
    <t>A5759</t>
  </si>
  <si>
    <t>A5761</t>
  </si>
  <si>
    <t>A5763</t>
  </si>
  <si>
    <t>ABONA $35,777.73 A A5763, ABONA $200,000.00 A A 5763</t>
  </si>
  <si>
    <t>3165/3190/ 3204</t>
  </si>
  <si>
    <t>A5765</t>
  </si>
  <si>
    <t>A5767</t>
  </si>
  <si>
    <t>A5769</t>
  </si>
  <si>
    <t>A5770</t>
  </si>
  <si>
    <t>A5771</t>
  </si>
  <si>
    <t>A5772</t>
  </si>
  <si>
    <t>A5774</t>
  </si>
  <si>
    <t>A5775</t>
  </si>
  <si>
    <t>A5776</t>
  </si>
  <si>
    <t>A5777</t>
  </si>
  <si>
    <t>A5778</t>
  </si>
  <si>
    <t>A5779</t>
  </si>
  <si>
    <t>A5780</t>
  </si>
  <si>
    <t>A5781</t>
  </si>
  <si>
    <t>A5782</t>
  </si>
  <si>
    <t>A5783</t>
  </si>
  <si>
    <t>ENTREGA DE MOLÉCULA 15 AL 30 JUNIO 2024</t>
  </si>
  <si>
    <t>ABONA $51,492.29 EL 14/08/2024</t>
  </si>
  <si>
    <t>3199/3255</t>
  </si>
  <si>
    <t>A5785</t>
  </si>
  <si>
    <t>A5787</t>
  </si>
  <si>
    <t>A5788</t>
  </si>
  <si>
    <t>SERVICIO DE COMPRESIÓN 15 AL 30 JUNIO 2024</t>
  </si>
  <si>
    <t>A5789</t>
  </si>
  <si>
    <t>A5791</t>
  </si>
  <si>
    <t>A5793</t>
  </si>
  <si>
    <t>A5794</t>
  </si>
  <si>
    <t>A5795</t>
  </si>
  <si>
    <t>A5796</t>
  </si>
  <si>
    <t>A5797</t>
  </si>
  <si>
    <t>ENTREGA DE MOLÉCULA 16 AL 30 JUNIO 2024</t>
  </si>
  <si>
    <t>A5798</t>
  </si>
  <si>
    <t>SERVICIO DE COMPRESIÓN 16 AL 30 JUNIO 2024</t>
  </si>
  <si>
    <t>A5799</t>
  </si>
  <si>
    <t>A5800</t>
  </si>
  <si>
    <t>A5801</t>
  </si>
  <si>
    <t>A5802</t>
  </si>
  <si>
    <t>A5803</t>
  </si>
  <si>
    <t>A5804</t>
  </si>
  <si>
    <t>A5805</t>
  </si>
  <si>
    <t>A5807</t>
  </si>
  <si>
    <t>SERVICIOS ADICIONALES JULIO 2024</t>
  </si>
  <si>
    <t>A5808</t>
  </si>
  <si>
    <t>RENTA DE CONTENEDORES DEL 02 DE JULIO AL 02 DE AGOSTO</t>
  </si>
  <si>
    <t>A5809</t>
  </si>
  <si>
    <t>A5810</t>
  </si>
  <si>
    <t>A5811</t>
  </si>
  <si>
    <t>A5813</t>
  </si>
  <si>
    <t>A5815</t>
  </si>
  <si>
    <t>ABONA $134,204.55 EL 14/08/2024, ABONA $250,000 EL 23/08/2024</t>
  </si>
  <si>
    <t>3204/3232/3256</t>
  </si>
  <si>
    <t>A5817</t>
  </si>
  <si>
    <t>A5819</t>
  </si>
  <si>
    <t>A5821</t>
  </si>
  <si>
    <t>A5822</t>
  </si>
  <si>
    <t>A5823</t>
  </si>
  <si>
    <t>A5824</t>
  </si>
  <si>
    <t>A5825</t>
  </si>
  <si>
    <t>TOP JUNIO 2024</t>
  </si>
  <si>
    <t>A5826</t>
  </si>
  <si>
    <t>A5828</t>
  </si>
  <si>
    <t>A5830</t>
  </si>
  <si>
    <t>ENTREGA DE MOLÉCULA 01 AL 14 JULIO 2024</t>
  </si>
  <si>
    <t>A5832</t>
  </si>
  <si>
    <t>A5833</t>
  </si>
  <si>
    <t>SERVICIO DE COMPRESIÓN 01 AL 14 JULIO 2024</t>
  </si>
  <si>
    <t>A5834</t>
  </si>
  <si>
    <t>A5836</t>
  </si>
  <si>
    <t>A5838</t>
  </si>
  <si>
    <t>A5839</t>
  </si>
  <si>
    <t>A5840</t>
  </si>
  <si>
    <t>ABONA $51,492.21 EL 06/09/2024</t>
  </si>
  <si>
    <t>3255/3326</t>
  </si>
  <si>
    <t>A5842</t>
  </si>
  <si>
    <t>ENTREGA DE MOLÉCULA 01 AL 15 JULIO 2024</t>
  </si>
  <si>
    <t>A5843</t>
  </si>
  <si>
    <t>SERVICIO DE COMPRESIÓN 01 AL 15 JULIO 2024</t>
  </si>
  <si>
    <t>A5844</t>
  </si>
  <si>
    <t>A5845</t>
  </si>
  <si>
    <t>A5846</t>
  </si>
  <si>
    <t>A5847</t>
  </si>
  <si>
    <t>A5848</t>
  </si>
  <si>
    <t>A5849</t>
  </si>
  <si>
    <t>A5850</t>
  </si>
  <si>
    <t>A5852</t>
  </si>
  <si>
    <t>A5854</t>
  </si>
  <si>
    <t>ABONA $162,582.92 EL 06/09/2204</t>
  </si>
  <si>
    <t>3256/3304</t>
  </si>
  <si>
    <t>A5856</t>
  </si>
  <si>
    <t>A5858</t>
  </si>
  <si>
    <t>A5859</t>
  </si>
  <si>
    <t>A5860</t>
  </si>
  <si>
    <t>A5862</t>
  </si>
  <si>
    <t>A5864</t>
  </si>
  <si>
    <t>A5865</t>
  </si>
  <si>
    <t>A5866</t>
  </si>
  <si>
    <t>A5867</t>
  </si>
  <si>
    <t>A5868</t>
  </si>
  <si>
    <t>A5870</t>
  </si>
  <si>
    <t>A5872</t>
  </si>
  <si>
    <t>ENTREGA DE MOLÉCULA 16 AL 31 JULIO 2024</t>
  </si>
  <si>
    <t>A5873</t>
  </si>
  <si>
    <t>SERVICIO DE COMPRESIÓN 16 AL 31 JULIO 2024</t>
  </si>
  <si>
    <t>A5874</t>
  </si>
  <si>
    <t>A5875</t>
  </si>
  <si>
    <t>A5876</t>
  </si>
  <si>
    <t>A5877</t>
  </si>
  <si>
    <t>A5878</t>
  </si>
  <si>
    <t>DIFERENCIA POR CAMBIO DE TARIFA EN SERVICIO DE COMPRESIÓN 15 AL 30 JULIO 2024</t>
  </si>
  <si>
    <t>A5879</t>
  </si>
  <si>
    <t>ENTREGA DE MOLÉCULA 15 AL 31 JULIO 2024</t>
  </si>
  <si>
    <t>A5881</t>
  </si>
  <si>
    <t>A5883</t>
  </si>
  <si>
    <t>A5884</t>
  </si>
  <si>
    <t>SERVICIO DE COMPRESIÓN 15 AL 31 JULIO 2024</t>
  </si>
  <si>
    <t>A5885</t>
  </si>
  <si>
    <t>A5886</t>
  </si>
  <si>
    <t>A5887</t>
  </si>
  <si>
    <t>A5889</t>
  </si>
  <si>
    <t>A5890</t>
  </si>
  <si>
    <t>A5891</t>
  </si>
  <si>
    <t>A5893</t>
  </si>
  <si>
    <t>A5894</t>
  </si>
  <si>
    <t>A5895</t>
  </si>
  <si>
    <t>A5897</t>
  </si>
  <si>
    <t>RENTA DE CONTENEDORES DEL 02 DE AGOSTO AL 02 DE SEPTIEMBRE</t>
  </si>
  <si>
    <t>A5898</t>
  </si>
  <si>
    <t>SERVICIOS ADICIONALES AGOSTO 2024</t>
  </si>
  <si>
    <t>A5899</t>
  </si>
  <si>
    <t>A5900</t>
  </si>
  <si>
    <t>A5901</t>
  </si>
  <si>
    <t>A5902</t>
  </si>
  <si>
    <t>A5903</t>
  </si>
  <si>
    <t>3276/3282</t>
  </si>
  <si>
    <t>A5904</t>
  </si>
  <si>
    <t>A5905</t>
  </si>
  <si>
    <t>A5906</t>
  </si>
  <si>
    <t>A5907</t>
  </si>
  <si>
    <t>A5909</t>
  </si>
  <si>
    <t>A5911</t>
  </si>
  <si>
    <t>A5913</t>
  </si>
  <si>
    <t>A5915</t>
  </si>
  <si>
    <t>A5916</t>
  </si>
  <si>
    <t>A5917</t>
  </si>
  <si>
    <t>A5919</t>
  </si>
  <si>
    <t>A5920</t>
  </si>
  <si>
    <t>A5922</t>
  </si>
  <si>
    <t>A5923</t>
  </si>
  <si>
    <t>A5924</t>
  </si>
  <si>
    <t>A5925</t>
  </si>
  <si>
    <t>SERVICIOS DE SISTEMAS ELECTRONICOS</t>
  </si>
  <si>
    <t>A5926</t>
  </si>
  <si>
    <t>ABONA $81,291.82 EL 02/10/2024, ABONA $61,979.34 EL 02/10/204</t>
  </si>
  <si>
    <t>3304/3314/3305</t>
  </si>
  <si>
    <t>A5928</t>
  </si>
  <si>
    <t>COMSUSTENTA CARDENAS</t>
  </si>
  <si>
    <t>A5930</t>
  </si>
  <si>
    <t>SERVICIO DE TRANSPORTE Y COMPRESIÓN 15 AL 31 JULIO 2024</t>
  </si>
  <si>
    <t>ABONA $22,633.22 EL 09/10/2024</t>
  </si>
  <si>
    <t>A5931</t>
  </si>
  <si>
    <t>A5932</t>
  </si>
  <si>
    <t>ANACLETO-CASA BLANCA</t>
  </si>
  <si>
    <t>A5933</t>
  </si>
  <si>
    <t>A5934</t>
  </si>
  <si>
    <t>ENTREGA DE MOLECULA DEL 15 AL 31 DE JULIO 2024</t>
  </si>
  <si>
    <t>A5935</t>
  </si>
  <si>
    <t>A5936</t>
  </si>
  <si>
    <t>ENTREGA DE MOLECULA DEL 01 AL 15 DE AGOSTO 2024</t>
  </si>
  <si>
    <t>A5937</t>
  </si>
  <si>
    <t>SERVICIO DE COMPRESIÓN 01 AL 15 AGOSTO 2024</t>
  </si>
  <si>
    <t>A5938</t>
  </si>
  <si>
    <t>A5939</t>
  </si>
  <si>
    <t>A5940</t>
  </si>
  <si>
    <t>A5941</t>
  </si>
  <si>
    <t>A5942</t>
  </si>
  <si>
    <t>ENTREGA DE MOLECULA DEL 01 AL 14 DE AGOSTO 2024</t>
  </si>
  <si>
    <t>A5944</t>
  </si>
  <si>
    <t>A5946</t>
  </si>
  <si>
    <t>A5947</t>
  </si>
  <si>
    <t>SERVICIO DE COMPRESIÓN 01 AL 16 AGOSTO 2024</t>
  </si>
  <si>
    <t>A5948</t>
  </si>
  <si>
    <t>A5949</t>
  </si>
  <si>
    <t>A5950</t>
  </si>
  <si>
    <t>A5952</t>
  </si>
  <si>
    <t>A5954</t>
  </si>
  <si>
    <t>A5955</t>
  </si>
  <si>
    <t>SERVICIO DE COMPRESIÓN 01 AL 14 DE AGOSTO 2024</t>
  </si>
  <si>
    <t>A5956</t>
  </si>
  <si>
    <t>A5958</t>
  </si>
  <si>
    <t>A5959</t>
  </si>
  <si>
    <t>PRODUCTORA NACIONAL DE PAPEL</t>
  </si>
  <si>
    <t>A5960</t>
  </si>
  <si>
    <t>A5961</t>
  </si>
  <si>
    <t>A5962</t>
  </si>
  <si>
    <t>A5963</t>
  </si>
  <si>
    <t>A5964</t>
  </si>
  <si>
    <t>A5965</t>
  </si>
  <si>
    <t>A5967</t>
  </si>
  <si>
    <t>A5968</t>
  </si>
  <si>
    <t>A5969</t>
  </si>
  <si>
    <t>A5971</t>
  </si>
  <si>
    <t>A5973</t>
  </si>
  <si>
    <t>A5975</t>
  </si>
  <si>
    <t>A5977</t>
  </si>
  <si>
    <t>A5978</t>
  </si>
  <si>
    <t>A5981</t>
  </si>
  <si>
    <t>ENTREGA DE MOLECULA DEL 16 AL 31 DE AGOSTO 2024</t>
  </si>
  <si>
    <t>A5982</t>
  </si>
  <si>
    <t>SERVICIO DE COMPRESIÓN 16 AL 31 DE AGOSTO 2024</t>
  </si>
  <si>
    <t>A5983</t>
  </si>
  <si>
    <t>A5984</t>
  </si>
  <si>
    <t>A5985</t>
  </si>
  <si>
    <t>A5986</t>
  </si>
  <si>
    <t>A5987</t>
  </si>
  <si>
    <t>SERVICIOS ADICIONALES SEPTIEMBRE 2024</t>
  </si>
  <si>
    <t>A5988</t>
  </si>
  <si>
    <t>RENTA DE CONTENEDORES DEL 02 DE SEPTIEMBRE AL 15 DE SEPTIEMBRE</t>
  </si>
  <si>
    <t>A5991</t>
  </si>
  <si>
    <t>ENTREGA DE MOLECULA DEL 15 AL 31 DE AGOSTO 2024</t>
  </si>
  <si>
    <t>A5992</t>
  </si>
  <si>
    <t>SERVICIO DE COMPRESIÓN 15 AL 31 DE AGOSTO 2024</t>
  </si>
  <si>
    <t>A5993</t>
  </si>
  <si>
    <t>A5995</t>
  </si>
  <si>
    <t>A5997</t>
  </si>
  <si>
    <t>A5998</t>
  </si>
  <si>
    <t>A5999</t>
  </si>
  <si>
    <t>A6000</t>
  </si>
  <si>
    <t>A6001</t>
  </si>
  <si>
    <t>A6003</t>
  </si>
  <si>
    <t>A6004</t>
  </si>
  <si>
    <t>A6005</t>
  </si>
  <si>
    <t>A6007</t>
  </si>
  <si>
    <t>A6009</t>
  </si>
  <si>
    <t>A6010</t>
  </si>
  <si>
    <t>A6011</t>
  </si>
  <si>
    <t>A6013</t>
  </si>
  <si>
    <t>A6015</t>
  </si>
  <si>
    <t>A6017</t>
  </si>
  <si>
    <t>A6019</t>
  </si>
  <si>
    <t>A6020</t>
  </si>
  <si>
    <t>A6021</t>
  </si>
  <si>
    <t>A6023</t>
  </si>
  <si>
    <t>A6024</t>
  </si>
  <si>
    <t xml:space="preserve">TRANSPORTE/COMPRESIÓN/ADMINISTRACIÓN AGOSTO </t>
  </si>
  <si>
    <t>A6025</t>
  </si>
  <si>
    <t>A6026</t>
  </si>
  <si>
    <t>A6027</t>
  </si>
  <si>
    <t>A6028</t>
  </si>
  <si>
    <t>A6029</t>
  </si>
  <si>
    <t>A6030</t>
  </si>
  <si>
    <t>A6031</t>
  </si>
  <si>
    <t>A6032</t>
  </si>
  <si>
    <t>A6033</t>
  </si>
  <si>
    <t>A6034</t>
  </si>
  <si>
    <t>ENTREGA DE MOLECULA AGOSTO</t>
  </si>
  <si>
    <t>ANACLETO-CASA BLANCA Y CARDENAS</t>
  </si>
  <si>
    <t>A6035</t>
  </si>
  <si>
    <t>ENTREGA DE MOLECULA DEL 01 AL 14 DE SEPTIEMBRE 2024</t>
  </si>
  <si>
    <t>A6036</t>
  </si>
  <si>
    <t>SERVICIO DE COMPRESIÓN 01 AL 14 DE SEPTIEMBRE 2024</t>
  </si>
  <si>
    <t>A6037</t>
  </si>
  <si>
    <t>A6039</t>
  </si>
  <si>
    <t>A6041</t>
  </si>
  <si>
    <t>A6043</t>
  </si>
  <si>
    <t>A6044</t>
  </si>
  <si>
    <t>A6045</t>
  </si>
  <si>
    <t>A6049</t>
  </si>
  <si>
    <t>A6051</t>
  </si>
  <si>
    <t>A6052</t>
  </si>
  <si>
    <t>A6053</t>
  </si>
  <si>
    <t>A6054</t>
  </si>
  <si>
    <t>A6055</t>
  </si>
  <si>
    <t>ENTREGA DE MOLECULA DEL 01 AL 15 DE SEPTIEMBRE 2024</t>
  </si>
  <si>
    <t>A6056</t>
  </si>
  <si>
    <t>SERVICIO DE COMPRESIÓN 01 AL 15 DE SEPTIEMBRE 2024</t>
  </si>
  <si>
    <t>A6057</t>
  </si>
  <si>
    <t>A6058</t>
  </si>
  <si>
    <t>A6059</t>
  </si>
  <si>
    <t>A6060</t>
  </si>
  <si>
    <t>A6061</t>
  </si>
  <si>
    <t>A6063</t>
  </si>
  <si>
    <t>A6065</t>
  </si>
  <si>
    <t>A6067</t>
  </si>
  <si>
    <t>A6069</t>
  </si>
  <si>
    <t>A6070</t>
  </si>
  <si>
    <t>A6071</t>
  </si>
  <si>
    <t>A6072</t>
  </si>
  <si>
    <t>A6073</t>
  </si>
  <si>
    <t>ENTREGA DE MOLECULA DEL 16 AL 30 DE SEPTIEMBRE 2024</t>
  </si>
  <si>
    <t>A6074</t>
  </si>
  <si>
    <t>SERVICIO DE COMPRESIÓN 16 AL 30 DE SEPTIEMBRE 2024</t>
  </si>
  <si>
    <t>A6075</t>
  </si>
  <si>
    <t>A6076</t>
  </si>
  <si>
    <t>A6079</t>
  </si>
  <si>
    <t>ENTREGA DE MOLECULA DEL 15 AL 30 DE SEPTIEMBRE 2024</t>
  </si>
  <si>
    <t>A6080</t>
  </si>
  <si>
    <t>SERVICIO DE COMPRESIÓN 15 AL 30 DE SEPTIEMBRE 2024</t>
  </si>
  <si>
    <t>A6081</t>
  </si>
  <si>
    <t>A6083</t>
  </si>
  <si>
    <t>A6085</t>
  </si>
  <si>
    <t>A6086</t>
  </si>
  <si>
    <t>A6087</t>
  </si>
  <si>
    <t>A6088</t>
  </si>
  <si>
    <t>A6091</t>
  </si>
  <si>
    <t>A6093</t>
  </si>
  <si>
    <t>A6095</t>
  </si>
  <si>
    <t>LORIE</t>
  </si>
  <si>
    <t>INTERESES POR PRESTAMO</t>
  </si>
  <si>
    <t>A6096</t>
  </si>
  <si>
    <t>COMPRESIÓN/MOLECULA/TRANSPORTE SEPTIEMBRE 2024</t>
  </si>
  <si>
    <t>A6097</t>
  </si>
  <si>
    <t>A6098</t>
  </si>
  <si>
    <t>A6099</t>
  </si>
  <si>
    <t>A6100</t>
  </si>
  <si>
    <t>A6101</t>
  </si>
  <si>
    <t>A6102</t>
  </si>
  <si>
    <t>A6104</t>
  </si>
  <si>
    <t>SERVICIOS ADICIONALES OCTUBRE 2024</t>
  </si>
  <si>
    <t>A6107</t>
  </si>
  <si>
    <t>A6109</t>
  </si>
  <si>
    <t>A6110</t>
  </si>
  <si>
    <t>A6111</t>
  </si>
  <si>
    <t>A6113</t>
  </si>
  <si>
    <t>A6115</t>
  </si>
  <si>
    <t>A6117</t>
  </si>
  <si>
    <t>A6119</t>
  </si>
  <si>
    <t>A6120</t>
  </si>
  <si>
    <t>A6121</t>
  </si>
  <si>
    <t>A6122</t>
  </si>
  <si>
    <t>A6124</t>
  </si>
  <si>
    <t>A6129</t>
  </si>
  <si>
    <t>ENTREGA DE MOLECULA DEL 01 AL 14 DE OCTUBRE 2024</t>
  </si>
  <si>
    <t>A6133</t>
  </si>
  <si>
    <t>A6135</t>
  </si>
  <si>
    <t>A6136</t>
  </si>
  <si>
    <t>SERVICIO DE COMPRESIÓN 01 AL 14 DE OCTUBRE 2024</t>
  </si>
  <si>
    <t>A6137</t>
  </si>
  <si>
    <t>ABONA $38,743.27 EL 22/11/2024</t>
  </si>
  <si>
    <t>3413/3445</t>
  </si>
  <si>
    <t>A6138</t>
  </si>
  <si>
    <t>A6141</t>
  </si>
  <si>
    <t>A6143</t>
  </si>
  <si>
    <t>A6145</t>
  </si>
  <si>
    <t>ABONA $2,000.00 EL 26/12/2024</t>
  </si>
  <si>
    <t>A6146</t>
  </si>
  <si>
    <t>A6147</t>
  </si>
  <si>
    <t>A6148</t>
  </si>
  <si>
    <t>A6149</t>
  </si>
  <si>
    <t>A6151</t>
  </si>
  <si>
    <t>A6152</t>
  </si>
  <si>
    <t>A6154</t>
  </si>
  <si>
    <t>A6157</t>
  </si>
  <si>
    <t>A6161</t>
  </si>
  <si>
    <t>A6163</t>
  </si>
  <si>
    <t>A6165</t>
  </si>
  <si>
    <t>A6166</t>
  </si>
  <si>
    <t>A6167</t>
  </si>
  <si>
    <t>A6168</t>
  </si>
  <si>
    <t>A6169</t>
  </si>
  <si>
    <t>SERVICIO DE , SUMINISTRO DE GAS NATURAL JULIO</t>
  </si>
  <si>
    <t>CARDENAS</t>
  </si>
  <si>
    <t>A6170</t>
  </si>
  <si>
    <t>CASA BLANCA</t>
  </si>
  <si>
    <t>A6171</t>
  </si>
  <si>
    <t>SERVICIO DE , SUMINISTRO DE GAS NATURAL AGOSTO</t>
  </si>
  <si>
    <t>ABONA $190,720.81 EL 28/10/2024</t>
  </si>
  <si>
    <t>3353/3364</t>
  </si>
  <si>
    <t>A6172</t>
  </si>
  <si>
    <t>ABONA $250,000.00 EL 11/08/2024</t>
  </si>
  <si>
    <t>3364/3383/ 3397</t>
  </si>
  <si>
    <t>A6173</t>
  </si>
  <si>
    <t>SERVICIO DE , SUMINISTRO DE GAS NATURAL SEPTIEMBRE</t>
  </si>
  <si>
    <t>A6174</t>
  </si>
  <si>
    <t>ABONA $200,000 EL 20/11/2024</t>
  </si>
  <si>
    <t>3408/3461</t>
  </si>
  <si>
    <t>A6175</t>
  </si>
  <si>
    <t>A6177</t>
  </si>
  <si>
    <t>A6178</t>
  </si>
  <si>
    <t>SERVICIO DE COMPRESIÓN 01 AL 14 OCTUBRE 2024</t>
  </si>
  <si>
    <t>A6179</t>
  </si>
  <si>
    <t>A6180</t>
  </si>
  <si>
    <t>A6181</t>
  </si>
  <si>
    <t>ENTREGA DE MOLECULA DEL 16 AL 31 DE OCTUBRE 2024</t>
  </si>
  <si>
    <t>A6182</t>
  </si>
  <si>
    <t>SERVICIO DE COMPRESIÓN 16 AL 31 DE OCTUBRE 2024</t>
  </si>
  <si>
    <t>A6183</t>
  </si>
  <si>
    <t>A6184</t>
  </si>
  <si>
    <t>A6185</t>
  </si>
  <si>
    <t>SERVICIOS ADICIONALES NOVIEMBRE 2024</t>
  </si>
  <si>
    <t>A6188</t>
  </si>
  <si>
    <t>ENTREGA DE MOLECULA DEL 15 AL 31 DE OCTUBRE 2024</t>
  </si>
  <si>
    <t>A6192</t>
  </si>
  <si>
    <t>A6194</t>
  </si>
  <si>
    <t>A6195</t>
  </si>
  <si>
    <t>SERVICIO DE COMPRESIÓN 15 AL 31 DE OCTUBRE 2024</t>
  </si>
  <si>
    <t>A6196</t>
  </si>
  <si>
    <t>A6197</t>
  </si>
  <si>
    <t>A6198</t>
  </si>
  <si>
    <t>A6200</t>
  </si>
  <si>
    <t>A6204</t>
  </si>
  <si>
    <t>A6205</t>
  </si>
  <si>
    <t>A6206</t>
  </si>
  <si>
    <t>A6207</t>
  </si>
  <si>
    <t>A6208</t>
  </si>
  <si>
    <t>A6210</t>
  </si>
  <si>
    <t>MANTENIMIENTO ESTACION CASA BLACA-VILLA HERMOSA</t>
  </si>
  <si>
    <t>A6211</t>
  </si>
  <si>
    <t>A6212</t>
  </si>
  <si>
    <t>A6213</t>
  </si>
  <si>
    <t>A6215</t>
  </si>
  <si>
    <t>A6217</t>
  </si>
  <si>
    <t>A6219</t>
  </si>
  <si>
    <t>A6221</t>
  </si>
  <si>
    <t>A6222</t>
  </si>
  <si>
    <t>A6223</t>
  </si>
  <si>
    <t>A6224</t>
  </si>
  <si>
    <t>A6225</t>
  </si>
  <si>
    <t>A6227</t>
  </si>
  <si>
    <t>SERVICIO DE SUMINISTRO DE GNC OCTUBRE 2024</t>
  </si>
  <si>
    <t>ABONA $144,109.41 EL 09/12/2024</t>
  </si>
  <si>
    <t>A6228</t>
  </si>
  <si>
    <t>ABONA $76,124.71 EL 17/12/2024, ABONAN $200,00.00 A A6228 EL 20/12/2024</t>
  </si>
  <si>
    <t>A6229</t>
  </si>
  <si>
    <t>A6231</t>
  </si>
  <si>
    <t>A6232</t>
  </si>
  <si>
    <t>A6233</t>
  </si>
  <si>
    <t>A6234</t>
  </si>
  <si>
    <t>A6235</t>
  </si>
  <si>
    <t>A6236</t>
  </si>
  <si>
    <t>A6237</t>
  </si>
  <si>
    <t>A6238</t>
  </si>
  <si>
    <t>ENTREGA DE MOLECULA 01-14 NOVIEMBRE 2024</t>
  </si>
  <si>
    <t>A6239</t>
  </si>
  <si>
    <t>SERVICIO DE COMPRESIÓN 01-14 NOVIEMBRE 2024</t>
  </si>
  <si>
    <t>A6242</t>
  </si>
  <si>
    <t>A6246</t>
  </si>
  <si>
    <t>A6248</t>
  </si>
  <si>
    <t>A6249</t>
  </si>
  <si>
    <t>A6250</t>
  </si>
  <si>
    <t>A6251</t>
  </si>
  <si>
    <t>A6252</t>
  </si>
  <si>
    <t>A6254</t>
  </si>
  <si>
    <t>A6258</t>
  </si>
  <si>
    <t>A6259</t>
  </si>
  <si>
    <t>A6260</t>
  </si>
  <si>
    <t>A6261</t>
  </si>
  <si>
    <t>A6262</t>
  </si>
  <si>
    <t>A6263</t>
  </si>
  <si>
    <t>A6264</t>
  </si>
  <si>
    <t>A6266</t>
  </si>
  <si>
    <t>A6268</t>
  </si>
  <si>
    <t>A6269</t>
  </si>
  <si>
    <t>A6271</t>
  </si>
  <si>
    <t>A6273</t>
  </si>
  <si>
    <t>A6275</t>
  </si>
  <si>
    <t>A6277</t>
  </si>
  <si>
    <t>A6278</t>
  </si>
  <si>
    <t>A6279</t>
  </si>
  <si>
    <t>A6280</t>
  </si>
  <si>
    <t>A6281</t>
  </si>
  <si>
    <t>A6285</t>
  </si>
  <si>
    <t>ENTREGA DE MOLECULA 16-30 NOVIEMBRE 2024</t>
  </si>
  <si>
    <t>A6286</t>
  </si>
  <si>
    <t>SERVICIO DE COMPRESIÓN 16-30 NOVIEMBRE 2024</t>
  </si>
  <si>
    <t>A6287</t>
  </si>
  <si>
    <t>A6288</t>
  </si>
  <si>
    <t>A6289</t>
  </si>
  <si>
    <t>A6290</t>
  </si>
  <si>
    <t>A6291</t>
  </si>
  <si>
    <t>ENTREGA DE MOLECULA 15-30 NOVIEMBRE 2024</t>
  </si>
  <si>
    <t>A6292</t>
  </si>
  <si>
    <t>SERVICIO DE COMPRESIÓN 15-30 NOVIEMBRE 2024</t>
  </si>
  <si>
    <t>A6294</t>
  </si>
  <si>
    <t>A6295</t>
  </si>
  <si>
    <t>A6297</t>
  </si>
  <si>
    <t>A6301</t>
  </si>
  <si>
    <t>A6303</t>
  </si>
  <si>
    <t>A6304</t>
  </si>
  <si>
    <t>A6305</t>
  </si>
  <si>
    <t>A6306</t>
  </si>
  <si>
    <t>A6309</t>
  </si>
  <si>
    <t>A6311</t>
  </si>
  <si>
    <t>SERVICIOS ADICIONALES DICIEMBRE 2024</t>
  </si>
  <si>
    <t>A6314</t>
  </si>
  <si>
    <t>MANTENIMIENTO ANUAL A LINEAS DE GAS NATURAL</t>
  </si>
  <si>
    <t>A6315</t>
  </si>
  <si>
    <t>A6318</t>
  </si>
  <si>
    <t>SERVICIO DE SUMINISTRO DE GNC NOVIEMBRE 2024</t>
  </si>
  <si>
    <t>ABONA $92,115.26 EL 31/12/2024</t>
  </si>
  <si>
    <t>A6319</t>
  </si>
  <si>
    <t>PARAISO</t>
  </si>
  <si>
    <t>ABONA $39,908.92</t>
  </si>
  <si>
    <t>3543/3553</t>
  </si>
  <si>
    <t>A6320</t>
  </si>
  <si>
    <t>ABONA $191,858.90 EL 17/01/2025</t>
  </si>
  <si>
    <t>3553/3572</t>
  </si>
  <si>
    <t>A6321</t>
  </si>
  <si>
    <t>A6322</t>
  </si>
  <si>
    <t>A6323</t>
  </si>
  <si>
    <t>A6325</t>
  </si>
  <si>
    <t>A6327</t>
  </si>
  <si>
    <t>A6329</t>
  </si>
  <si>
    <t>A6331</t>
  </si>
  <si>
    <t>A6332</t>
  </si>
  <si>
    <t>A6333</t>
  </si>
  <si>
    <t>A6334</t>
  </si>
  <si>
    <t>A6335</t>
  </si>
  <si>
    <t>A6336</t>
  </si>
  <si>
    <t>A6337</t>
  </si>
  <si>
    <t>A6338</t>
  </si>
  <si>
    <t>A6339</t>
  </si>
  <si>
    <t>A6340</t>
  </si>
  <si>
    <t>A6341</t>
  </si>
  <si>
    <t>A6343</t>
  </si>
  <si>
    <t>A6344</t>
  </si>
  <si>
    <t>A6345</t>
  </si>
  <si>
    <t>A6349</t>
  </si>
  <si>
    <t>ENTREGA DE MOLECULA 01-14 DICIEMBRE 2024</t>
  </si>
  <si>
    <t>A6353</t>
  </si>
  <si>
    <t>A6354</t>
  </si>
  <si>
    <t>SERVICIO DE COMPRESIÓN 01-14 DICIEMBRE 2024</t>
  </si>
  <si>
    <t>A6355</t>
  </si>
  <si>
    <t>A6360</t>
  </si>
  <si>
    <t>A6362</t>
  </si>
  <si>
    <t>A6364</t>
  </si>
  <si>
    <t>A6365</t>
  </si>
  <si>
    <t>A6366</t>
  </si>
  <si>
    <t>A6367</t>
  </si>
  <si>
    <t>A6368</t>
  </si>
  <si>
    <t>A6369</t>
  </si>
  <si>
    <t>A6370</t>
  </si>
  <si>
    <t>A6371</t>
  </si>
  <si>
    <t>A6372</t>
  </si>
  <si>
    <t>A6374</t>
  </si>
  <si>
    <t>A6376</t>
  </si>
  <si>
    <t>A6377</t>
  </si>
  <si>
    <t>A6378</t>
  </si>
  <si>
    <t>A6380</t>
  </si>
  <si>
    <t>A6382</t>
  </si>
  <si>
    <t>A6384</t>
  </si>
  <si>
    <t>A6386</t>
  </si>
  <si>
    <t>A6387</t>
  </si>
  <si>
    <t>A6388</t>
  </si>
  <si>
    <t>ENTREGA DE MOLECULA 01-15 DICIEMBRE 2024</t>
  </si>
  <si>
    <t>A6389</t>
  </si>
  <si>
    <t>SERVICIO DE COMPRESIÓN 01-15 DICIEMBRE 2024</t>
  </si>
  <si>
    <t>A6390</t>
  </si>
  <si>
    <t>A6391</t>
  </si>
  <si>
    <t>A6392</t>
  </si>
  <si>
    <t>A6393</t>
  </si>
  <si>
    <t>A6394</t>
  </si>
  <si>
    <t>AJUSTE POR DIFERENCIA EN TARIFA SERVICIO DE SUMINISTRO DE GNC NOVIEMBRE 2024</t>
  </si>
  <si>
    <t>A6395</t>
  </si>
  <si>
    <t>A6396</t>
  </si>
  <si>
    <t>A6397</t>
  </si>
  <si>
    <t>A6399</t>
  </si>
  <si>
    <t>ENTREGA DE MOLECULA 16-31 DICIEMBRE 2024</t>
  </si>
  <si>
    <t>A6400</t>
  </si>
  <si>
    <t>SERVICIO DE COMPRESIÓN DE MOLECULA 16-31 DICIEMBRE 2024</t>
  </si>
  <si>
    <t>A6401</t>
  </si>
  <si>
    <t>A6402</t>
  </si>
  <si>
    <t>A6403</t>
  </si>
  <si>
    <t>A6404</t>
  </si>
  <si>
    <t>A6406</t>
  </si>
  <si>
    <t>ENTREGA DE MOLECULA 15-31 DICIEMBRE 2024</t>
  </si>
  <si>
    <t>A6407</t>
  </si>
  <si>
    <t>SERVICIO DE COMPRESIÓN DE MOLECULA 15-31 DICIEMBRE 2024</t>
  </si>
  <si>
    <t>A6408</t>
  </si>
  <si>
    <t>A6409</t>
  </si>
  <si>
    <t>A6412</t>
  </si>
  <si>
    <t>A6416</t>
  </si>
  <si>
    <t>A6418</t>
  </si>
  <si>
    <t>A6419</t>
  </si>
  <si>
    <t>A6420</t>
  </si>
  <si>
    <t>A6421</t>
  </si>
  <si>
    <t>A6424</t>
  </si>
  <si>
    <t>A6426</t>
  </si>
  <si>
    <t>A6428</t>
  </si>
  <si>
    <t>A6429</t>
  </si>
  <si>
    <t>A6430</t>
  </si>
  <si>
    <t>A6431</t>
  </si>
  <si>
    <t>A6432</t>
  </si>
  <si>
    <t>A6433</t>
  </si>
  <si>
    <t>A6434</t>
  </si>
  <si>
    <t>SERVICIOS ADICIONALES ENERO 2025</t>
  </si>
  <si>
    <t>A6436</t>
  </si>
  <si>
    <t>SERVICIO DE SUMINISTRO DE GNC DICIEMBRE 2024</t>
  </si>
  <si>
    <t>A6437</t>
  </si>
  <si>
    <t>ABONA $15.670.65 EL 24/01/2025 ABONA $200,000.00 EL 10/02/2025,ABONA $300,000 EL 21/02/2025</t>
  </si>
  <si>
    <t>A6438</t>
  </si>
  <si>
    <t>ABONA $157,141.35</t>
  </si>
  <si>
    <t>3630, 3694</t>
  </si>
  <si>
    <t>A6439</t>
  </si>
  <si>
    <t>A6440</t>
  </si>
  <si>
    <t>A6441</t>
  </si>
  <si>
    <t>A6443</t>
  </si>
  <si>
    <t>A6445</t>
  </si>
  <si>
    <t>A6447</t>
  </si>
  <si>
    <t>A6449</t>
  </si>
  <si>
    <t>A6450</t>
  </si>
  <si>
    <t>A6451</t>
  </si>
  <si>
    <t>A6452</t>
  </si>
  <si>
    <t>A6453</t>
  </si>
  <si>
    <t>A6454</t>
  </si>
  <si>
    <t>SERVICIO DE COMPRESIÓN DE MOLECULA 01-14 DICIEMBRE 2024</t>
  </si>
  <si>
    <t>A6455</t>
  </si>
  <si>
    <t>A6456</t>
  </si>
  <si>
    <t>A6457</t>
  </si>
  <si>
    <t>A6458</t>
  </si>
  <si>
    <t>A6459</t>
  </si>
  <si>
    <t>A6461</t>
  </si>
  <si>
    <t>A6463</t>
  </si>
  <si>
    <t xml:space="preserve">SERVICIOS ADICIONALES NESTLE </t>
  </si>
  <si>
    <t>A6464</t>
  </si>
  <si>
    <t>ENTREGA DE MOLECULA 01-14 ENERO 2025</t>
  </si>
  <si>
    <t>A6465</t>
  </si>
  <si>
    <t>SERVICIO DE COMPRESIÓN DE MOLECULA 01-14 ENERO 2025</t>
  </si>
  <si>
    <t>A6468</t>
  </si>
  <si>
    <t>A6472</t>
  </si>
  <si>
    <t>A6473</t>
  </si>
  <si>
    <t>A6474</t>
  </si>
  <si>
    <t>A6476</t>
  </si>
  <si>
    <t>A6477</t>
  </si>
  <si>
    <t>A6478</t>
  </si>
  <si>
    <t>A6479</t>
  </si>
  <si>
    <t>A6482</t>
  </si>
  <si>
    <t>ENTREGA DE MOLECULA 01-15 ENERO 2025</t>
  </si>
  <si>
    <t>A6483</t>
  </si>
  <si>
    <t>SERVICIO DE COMPRESIÓN DE MOLECULA 01-15 ENERO 2025</t>
  </si>
  <si>
    <t>A6484</t>
  </si>
  <si>
    <t>A6485</t>
  </si>
  <si>
    <t>A6486</t>
  </si>
  <si>
    <t>A6487</t>
  </si>
  <si>
    <t>A6488</t>
  </si>
  <si>
    <t>A6490</t>
  </si>
  <si>
    <t>A6492</t>
  </si>
  <si>
    <t>A6493</t>
  </si>
  <si>
    <t>A6494</t>
  </si>
  <si>
    <t>A6496</t>
  </si>
  <si>
    <t>A6498</t>
  </si>
  <si>
    <t>A6500</t>
  </si>
  <si>
    <t>A6501</t>
  </si>
  <si>
    <t>A6502</t>
  </si>
  <si>
    <t>A6504</t>
  </si>
  <si>
    <t>A6506</t>
  </si>
  <si>
    <t>NEOSILICE</t>
  </si>
  <si>
    <t>A6508</t>
  </si>
  <si>
    <t>ENTREGA DE MOLECULA 16-31 ENERO 2025</t>
  </si>
  <si>
    <t>A6509</t>
  </si>
  <si>
    <t>SERVICIO DE COMPRESIÓN DE MOLECULA 16-31 ENERO 2025</t>
  </si>
  <si>
    <t>A6510</t>
  </si>
  <si>
    <t>A6511</t>
  </si>
  <si>
    <t>A6512</t>
  </si>
  <si>
    <t>A6513</t>
  </si>
  <si>
    <t>A6514</t>
  </si>
  <si>
    <t>C</t>
  </si>
  <si>
    <t>A6515</t>
  </si>
  <si>
    <t>A6516</t>
  </si>
  <si>
    <t>ENTREGA DE MOLECULA 15-31 ENERO 2025</t>
  </si>
  <si>
    <t>A6517</t>
  </si>
  <si>
    <t>SERVICIO DE COMPRESIÓN DE MOLECULA 15-31 ENERO 2025</t>
  </si>
  <si>
    <t>A6518</t>
  </si>
  <si>
    <t>A6519</t>
  </si>
  <si>
    <t>A6520</t>
  </si>
  <si>
    <t>A6521</t>
  </si>
  <si>
    <t>A6524</t>
  </si>
  <si>
    <t>A6528</t>
  </si>
  <si>
    <t>A6529</t>
  </si>
  <si>
    <t>A6530</t>
  </si>
  <si>
    <t>A6534</t>
  </si>
  <si>
    <t>A6536</t>
  </si>
  <si>
    <t>A6538</t>
  </si>
  <si>
    <t>A6539</t>
  </si>
  <si>
    <t>A6540</t>
  </si>
  <si>
    <t>A6541</t>
  </si>
  <si>
    <t>A6542</t>
  </si>
  <si>
    <t>A6543</t>
  </si>
  <si>
    <t>A6544</t>
  </si>
  <si>
    <t>NESTLE</t>
  </si>
  <si>
    <t>A6545</t>
  </si>
  <si>
    <t>A6546</t>
  </si>
  <si>
    <t>A6547</t>
  </si>
  <si>
    <t>A6548</t>
  </si>
  <si>
    <t>A6550</t>
  </si>
  <si>
    <t xml:space="preserve">AGRO PALM </t>
  </si>
  <si>
    <t>A6551</t>
  </si>
  <si>
    <t>A6552</t>
  </si>
  <si>
    <t>A6554</t>
  </si>
  <si>
    <t>A6556</t>
  </si>
  <si>
    <t>A6558</t>
  </si>
  <si>
    <t>A6559</t>
  </si>
  <si>
    <t>A6560</t>
  </si>
  <si>
    <t>A6562</t>
  </si>
  <si>
    <t>A6563</t>
  </si>
  <si>
    <t>A6564</t>
  </si>
  <si>
    <t>TOP NOVIEMBRE 2024</t>
  </si>
  <si>
    <t>ALUMINUM</t>
  </si>
  <si>
    <t>A6565</t>
  </si>
  <si>
    <t>TOP DICIEMBRE 2024</t>
  </si>
  <si>
    <t>A6566</t>
  </si>
  <si>
    <t>SERVICIO DE SUMINISTRO DE GNC ENERO 2025</t>
  </si>
  <si>
    <t xml:space="preserve">ABONA $182,130.94 EL 20/03/2025 </t>
  </si>
  <si>
    <t>A6567</t>
  </si>
  <si>
    <t>ABONA $101,590.55 EL 26/03/2025</t>
  </si>
  <si>
    <t>A6568</t>
  </si>
  <si>
    <t>ABONA $3,216.64 EL 07/04/2025</t>
  </si>
  <si>
    <t>A6569</t>
  </si>
  <si>
    <t>A6572</t>
  </si>
  <si>
    <t>SERVICIOS ADICIONALES FEBRERO 2025</t>
  </si>
  <si>
    <t>A6575</t>
  </si>
  <si>
    <t>ENTREGA DE MOLECULA 01-14 FEBRERO 2025</t>
  </si>
  <si>
    <t>A6576</t>
  </si>
  <si>
    <t>SERVICIO DE COMPRESIÓN DE MOLECULA 01-14 FEBRERO 2025</t>
  </si>
  <si>
    <t>A6577</t>
  </si>
  <si>
    <t>A6579</t>
  </si>
  <si>
    <t>A6580</t>
  </si>
  <si>
    <t>A6581</t>
  </si>
  <si>
    <t>ABONA 19/03/2025</t>
  </si>
  <si>
    <t>A6582</t>
  </si>
  <si>
    <t>A6585</t>
  </si>
  <si>
    <t>A6587</t>
  </si>
  <si>
    <t>A6591</t>
  </si>
  <si>
    <t>A6593</t>
  </si>
  <si>
    <t>A6595</t>
  </si>
  <si>
    <t>ENTREGA DE MOLECULA 01-15 FEBRERO 2025</t>
  </si>
  <si>
    <t>A6596</t>
  </si>
  <si>
    <t>SERVICIO DE COMPRESIÓN DE MOLECULA 01-15 FEBRERO 2025</t>
  </si>
  <si>
    <t>A6597</t>
  </si>
  <si>
    <t>A6598</t>
  </si>
  <si>
    <t>A6599</t>
  </si>
  <si>
    <t>A6600</t>
  </si>
  <si>
    <t>A6601</t>
  </si>
  <si>
    <t>A6603</t>
  </si>
  <si>
    <t>A6605</t>
  </si>
  <si>
    <t>A6607</t>
  </si>
  <si>
    <t>A6608</t>
  </si>
  <si>
    <t>A6609</t>
  </si>
  <si>
    <t>A6610</t>
  </si>
  <si>
    <t>A6611</t>
  </si>
  <si>
    <t>A6613</t>
  </si>
  <si>
    <t>A6615</t>
  </si>
  <si>
    <t>A6616</t>
  </si>
  <si>
    <t>A6617</t>
  </si>
  <si>
    <t>ENTREGA DE MOLECULA 16-28 FEBRERO 2025</t>
  </si>
  <si>
    <t>SE CANCELARON POR ERROR DE PERIODO</t>
  </si>
  <si>
    <t>A6618</t>
  </si>
  <si>
    <t>SERVICIO DE COMPRESIÓN DE MOLECULA 16-28 FEBRERO 2025</t>
  </si>
  <si>
    <t>A6619</t>
  </si>
  <si>
    <t>A6620</t>
  </si>
  <si>
    <t>A6621</t>
  </si>
  <si>
    <t>A6622</t>
  </si>
  <si>
    <t>A6623</t>
  </si>
  <si>
    <t>A6624</t>
  </si>
  <si>
    <t>A6625</t>
  </si>
  <si>
    <t>A6626</t>
  </si>
  <si>
    <t>A6627</t>
  </si>
  <si>
    <t>A6628</t>
  </si>
  <si>
    <t>A6629</t>
  </si>
  <si>
    <t>A6630</t>
  </si>
  <si>
    <t>A6631</t>
  </si>
  <si>
    <t>A6634</t>
  </si>
  <si>
    <t>ENTREGA DE MOLECULA 15-28 FEBRERO 2025</t>
  </si>
  <si>
    <t>A6638</t>
  </si>
  <si>
    <t>A6639</t>
  </si>
  <si>
    <t>SERVICIO DE COMPRESIÓN DE MOLECULA 15-28 FEBRERO 2025</t>
  </si>
  <si>
    <t>A6640</t>
  </si>
  <si>
    <t>A6642</t>
  </si>
  <si>
    <t>SAN FELIPE</t>
  </si>
  <si>
    <t>A6643</t>
  </si>
  <si>
    <t>A6644</t>
  </si>
  <si>
    <t>SAUCITO</t>
  </si>
  <si>
    <t>A6645</t>
  </si>
  <si>
    <t>ABONA $36,819.92 28/03/2025, ABONA $9,569.19</t>
  </si>
  <si>
    <t>A6648</t>
  </si>
  <si>
    <t>A6650</t>
  </si>
  <si>
    <t>A6652</t>
  </si>
  <si>
    <t>A6654</t>
  </si>
  <si>
    <t>A6655</t>
  </si>
  <si>
    <t>A6656</t>
  </si>
  <si>
    <t>A6657</t>
  </si>
  <si>
    <t>A6658</t>
  </si>
  <si>
    <t>A6659</t>
  </si>
  <si>
    <t>A6660</t>
  </si>
  <si>
    <t>A6662</t>
  </si>
  <si>
    <t>A6663</t>
  </si>
  <si>
    <t>A6664</t>
  </si>
  <si>
    <t>A6666</t>
  </si>
  <si>
    <t>A6668</t>
  </si>
  <si>
    <t>A6670</t>
  </si>
  <si>
    <t>A6672</t>
  </si>
  <si>
    <t>A6673</t>
  </si>
  <si>
    <t>A6674</t>
  </si>
  <si>
    <t>A6675</t>
  </si>
  <si>
    <t>A6676</t>
  </si>
  <si>
    <t>A6677</t>
  </si>
  <si>
    <t>A6678</t>
  </si>
  <si>
    <t>SERVICIO DE COMPRESIÓN DE MOLECULA 01-28 FEBRERO 2025</t>
  </si>
  <si>
    <t>ABONA $94,931.51 EL 15/04/2025</t>
  </si>
  <si>
    <t>3756, 3769</t>
  </si>
  <si>
    <t>A6679</t>
  </si>
  <si>
    <t>ABONA $154689.46 EL 21/04/2025</t>
  </si>
  <si>
    <t>A6680</t>
  </si>
  <si>
    <t>A6681</t>
  </si>
  <si>
    <t>SERVICIOS ADICIONALES MARZO 2025</t>
  </si>
  <si>
    <t>A6682</t>
  </si>
  <si>
    <t>TOP ENERO 2025</t>
  </si>
  <si>
    <t>A6683</t>
  </si>
  <si>
    <t>TOP FEBRERO 2025</t>
  </si>
  <si>
    <t>A6687</t>
  </si>
  <si>
    <t>ENTREGA DE MOLECULA 01-14 MARZO 2025</t>
  </si>
  <si>
    <t>A6691</t>
  </si>
  <si>
    <t>A6692</t>
  </si>
  <si>
    <t>SERVICIO DE COMPRESIÓN DE MOLECULA 01-14 MARZO 2025</t>
  </si>
  <si>
    <t>A6693</t>
  </si>
  <si>
    <t>A6695</t>
  </si>
  <si>
    <t>A6696</t>
  </si>
  <si>
    <t>A6697</t>
  </si>
  <si>
    <t>A6698</t>
  </si>
  <si>
    <t>A6701</t>
  </si>
  <si>
    <t>A6703</t>
  </si>
  <si>
    <t>A6705</t>
  </si>
  <si>
    <t>ENTREGA DE MOLECULA 01-15 MARZO 2025</t>
  </si>
  <si>
    <t>A6706</t>
  </si>
  <si>
    <t>SERVICIO DE COMPRESIÓN DE MOLECULA 01-15 MARZO 2025</t>
  </si>
  <si>
    <t>A6707</t>
  </si>
  <si>
    <t>A6708</t>
  </si>
  <si>
    <t>A6709</t>
  </si>
  <si>
    <t>A6710</t>
  </si>
  <si>
    <t>A6711</t>
  </si>
  <si>
    <t>A6712</t>
  </si>
  <si>
    <t>A6713</t>
  </si>
  <si>
    <t>A6714</t>
  </si>
  <si>
    <t>A6715</t>
  </si>
  <si>
    <t>A6717</t>
  </si>
  <si>
    <t>A6719</t>
  </si>
  <si>
    <t>A6721</t>
  </si>
  <si>
    <t>A6723</t>
  </si>
  <si>
    <t>A6725</t>
  </si>
  <si>
    <t>A6726</t>
  </si>
  <si>
    <t>A6727</t>
  </si>
  <si>
    <t>A6728</t>
  </si>
  <si>
    <t>A6729</t>
  </si>
  <si>
    <t>A6730</t>
  </si>
  <si>
    <t>A6732</t>
  </si>
  <si>
    <t>ENTREGA DE MOLECULA 16-31 MARZO 2025</t>
  </si>
  <si>
    <t>A6733</t>
  </si>
  <si>
    <t>SERVICIO DE COMPRESIÓN DE MOLECULA 15-31 MARZO 2025</t>
  </si>
  <si>
    <t>A6734</t>
  </si>
  <si>
    <t>ENTREGA DE MOLECULA 15-31 MARZO 2025</t>
  </si>
  <si>
    <t>A6739</t>
  </si>
  <si>
    <t>A6743</t>
  </si>
  <si>
    <t>A6744</t>
  </si>
  <si>
    <t>A6745</t>
  </si>
  <si>
    <t>A6747</t>
  </si>
  <si>
    <t>A6748</t>
  </si>
  <si>
    <t>A6749</t>
  </si>
  <si>
    <t>A6750</t>
  </si>
  <si>
    <t>SERVICIO DE COMPRESIÓN DE MOLECULA 16-31 MARZO 2025</t>
  </si>
  <si>
    <t>A6753</t>
  </si>
  <si>
    <t>A6755</t>
  </si>
  <si>
    <t>A6756</t>
  </si>
  <si>
    <t>A6757</t>
  </si>
  <si>
    <t>A6759</t>
  </si>
  <si>
    <t>A6760</t>
  </si>
  <si>
    <t>A6761</t>
  </si>
  <si>
    <t>A6763</t>
  </si>
  <si>
    <t>A6765</t>
  </si>
  <si>
    <t>A6767</t>
  </si>
  <si>
    <t>A6769</t>
  </si>
  <si>
    <t>A6770</t>
  </si>
  <si>
    <t>A6771</t>
  </si>
  <si>
    <t>SERVICIO DE COMPRESIÓN DE MOLECULA 01-31 MARZO 2025</t>
  </si>
  <si>
    <t>A6772</t>
  </si>
  <si>
    <t>A6773</t>
  </si>
  <si>
    <t>A6774</t>
  </si>
  <si>
    <t>A6776</t>
  </si>
  <si>
    <t xml:space="preserve">NESTLE </t>
  </si>
  <si>
    <t>A6777</t>
  </si>
  <si>
    <t>A6778</t>
  </si>
  <si>
    <t>A6779</t>
  </si>
  <si>
    <t>A6780</t>
  </si>
  <si>
    <t>SERVICIO DE MANTENIMIENTO POR LIBRANZA MARZO 2025</t>
  </si>
  <si>
    <t>A6781</t>
  </si>
  <si>
    <t>SERVICIOS ADICIONALES ABRIL 2025</t>
  </si>
  <si>
    <t>A6782</t>
  </si>
  <si>
    <t>MGNV</t>
  </si>
  <si>
    <t>A6783</t>
  </si>
  <si>
    <t>KONKAAK</t>
  </si>
  <si>
    <t>A6784</t>
  </si>
  <si>
    <t>BRAVO ENERGY MEXICO</t>
  </si>
  <si>
    <t xml:space="preserve">SERVICIO DE RECOLECCION DE DESECHOS </t>
  </si>
  <si>
    <t>BRAVO ENERGY</t>
  </si>
  <si>
    <t>A6785</t>
  </si>
  <si>
    <t>A6786</t>
  </si>
  <si>
    <t>A6787</t>
  </si>
  <si>
    <t>ENTREGA DE MOLECULA 01-14 ABRIL 2025</t>
  </si>
  <si>
    <t>A6789</t>
  </si>
  <si>
    <t>A6791</t>
  </si>
  <si>
    <t>A6792</t>
  </si>
  <si>
    <t>SERVICIO DE COMPRESIÓN 01-14 ABRIL 2025</t>
  </si>
  <si>
    <t>A6793</t>
  </si>
  <si>
    <t>A6795</t>
  </si>
  <si>
    <t>A6796</t>
  </si>
  <si>
    <t>A6797</t>
  </si>
  <si>
    <t>A6798</t>
  </si>
  <si>
    <t>A6799</t>
  </si>
  <si>
    <t>A6801</t>
  </si>
  <si>
    <t>A6803</t>
  </si>
  <si>
    <t>A6805</t>
  </si>
  <si>
    <t>A6806</t>
  </si>
  <si>
    <t>A6807</t>
  </si>
  <si>
    <t>A6809</t>
  </si>
  <si>
    <t>A6811</t>
  </si>
  <si>
    <t>A6812</t>
  </si>
  <si>
    <t>A6813</t>
  </si>
  <si>
    <t>A6815</t>
  </si>
  <si>
    <t>A6817</t>
  </si>
  <si>
    <t>A6818</t>
  </si>
  <si>
    <t>A6819</t>
  </si>
  <si>
    <t>ENTREGA DE MOLECULA 01-15 ABRIL 2025</t>
  </si>
  <si>
    <t>A6820</t>
  </si>
  <si>
    <t>SERVICIO DE COMPRESIÓN 01-15 ABRIL 2025</t>
  </si>
  <si>
    <t>A6821</t>
  </si>
  <si>
    <t>A6823</t>
  </si>
  <si>
    <t>A6824</t>
  </si>
  <si>
    <t>A6825</t>
  </si>
  <si>
    <t>SERVICIO DE MANTENIMIENTO POR LIBRANZA ABRIL 2025</t>
  </si>
  <si>
    <t>A6827</t>
  </si>
  <si>
    <t xml:space="preserve">INTERESES MORATORIOS </t>
  </si>
  <si>
    <t>FAC US$</t>
  </si>
  <si>
    <t>fecha</t>
  </si>
  <si>
    <t>Total</t>
  </si>
  <si>
    <t>Importe NC</t>
  </si>
  <si>
    <t>Comentarios</t>
  </si>
  <si>
    <t>COMPLEMNTOS</t>
  </si>
  <si>
    <t>TC DOF</t>
  </si>
  <si>
    <t>MONTO MXN</t>
  </si>
  <si>
    <t xml:space="preserve">SERVICIO DE COMPRESION Y SUMINISTRO </t>
  </si>
  <si>
    <t>#REF!</t>
  </si>
  <si>
    <t>se refacturo de la 126</t>
  </si>
  <si>
    <t xml:space="preserve">GDF SUEZ MEXICO COMERCIALIZADORA S DE RL DE CV </t>
  </si>
  <si>
    <t xml:space="preserve">GDF </t>
  </si>
  <si>
    <t>SERVICIO DE COMPRESION  1 AL 14 DE ENERO 2018</t>
  </si>
  <si>
    <t>RENTA PORTACONTENEDORES TOP FEBRERO 2022</t>
  </si>
  <si>
    <t>pago 12120.22 tc20.0446</t>
  </si>
  <si>
    <t xml:space="preserve">Serv.compresion,transporte sobre ruedas y descomprension/moleculas de gas natural en sus instalaciones febrero </t>
  </si>
  <si>
    <t>AHRESTY</t>
  </si>
  <si>
    <t>serv.compresion y transportacion gas natural feb</t>
  </si>
  <si>
    <t xml:space="preserve">Serv.compresion,transporte sobre ruedas y descomprension/moleculas de gas natural en sus instalaciones 01 al 14  febrero </t>
  </si>
  <si>
    <t>Serv.compresion,transporte sobre ruedas y descomprension/moleculas de gas natural en sus instalaciones 15 al 28 de feb</t>
  </si>
  <si>
    <t>serv.comprension y transportacion de gas natural marzo</t>
  </si>
  <si>
    <t xml:space="preserve">Serv.compresion,transporte sobre ruedas y descomprension/moleculas de gas natural en sus instalaciones  15 al 31 marzo </t>
  </si>
  <si>
    <t>serv.de comprension y transportacion de gas natural abril 2015</t>
  </si>
  <si>
    <t>serv.comprension y transportacion de gas natural mayo 2015</t>
  </si>
  <si>
    <t>serv.comprension y transportacion de gas natural 1q mayo 2015</t>
  </si>
  <si>
    <t>serv.comprension y transportacion de gas natural junio 2015</t>
  </si>
  <si>
    <t>serv.comprension y transportacion de gas natural 2q mayo 2015</t>
  </si>
  <si>
    <t>serv.comprension y transportacion de gas natural 1q junio 2015</t>
  </si>
  <si>
    <t>serv.comprension y transportacion de gas natural 2q junio 2015</t>
  </si>
  <si>
    <t>serv.comprension y transportacion de gas natural 1q julio 2015</t>
  </si>
  <si>
    <t>serv.comprension y transportacion de gas natural 2q julio 2015</t>
  </si>
  <si>
    <t>se refacturo de la 177</t>
  </si>
  <si>
    <t>ciTROFRUT</t>
  </si>
  <si>
    <t xml:space="preserve">Serv.compresion ,suministro y descompresion de gas natural </t>
  </si>
  <si>
    <t>2,312,094.30</t>
  </si>
  <si>
    <t xml:space="preserve">AHRESTY </t>
  </si>
  <si>
    <t>se refacturo de 245 Y 239</t>
  </si>
  <si>
    <t>6,799,088.62</t>
  </si>
  <si>
    <t>SE REFACTURO DE LA 418</t>
  </si>
  <si>
    <t>se refacturo de la 416</t>
  </si>
  <si>
    <t>231,378.21</t>
  </si>
  <si>
    <t xml:space="preserve">checar el monto es de octubre primer quincena </t>
  </si>
  <si>
    <t xml:space="preserve">take or pay septiembre </t>
  </si>
  <si>
    <t xml:space="preserve">take or pay </t>
  </si>
  <si>
    <t xml:space="preserve">take or pay octubre </t>
  </si>
  <si>
    <t>se refacturro de la 544</t>
  </si>
  <si>
    <t xml:space="preserve">take or pay noviembre </t>
  </si>
  <si>
    <t>INTERESES NOVIEMBRE 2016</t>
  </si>
  <si>
    <t xml:space="preserve">CEHCAR SI ESTA CANCELADA </t>
  </si>
  <si>
    <t>COMMITTMENT FEE</t>
  </si>
  <si>
    <t>take or pay diciembre</t>
  </si>
  <si>
    <t>INTERESES Y NET COM FEE DICIEMBRE 2016</t>
  </si>
  <si>
    <t xml:space="preserve">take or pay enero </t>
  </si>
  <si>
    <t>INTERESES Y NET COM FEE FEBRERO 2017</t>
  </si>
  <si>
    <t xml:space="preserve">50% LIQUIDACION  PARA INSTALACION DE PLANTA DE DESCOMPRENSION DEL BMW </t>
  </si>
  <si>
    <t>INTERESES Y NET COM FEE MARZO 2017</t>
  </si>
  <si>
    <t xml:space="preserve">se pago en pesos </t>
  </si>
  <si>
    <t>GNC</t>
  </si>
  <si>
    <t xml:space="preserve">ARRENDAMIENTO </t>
  </si>
  <si>
    <t xml:space="preserve">CHECAR CANCELADA </t>
  </si>
  <si>
    <t>50% ANTICIPO PARA INSTALACION DE PLANTA DE DESCOMPRENSION DEL CLIENTE BMW</t>
  </si>
  <si>
    <t>RENTA 2 TITANES</t>
  </si>
  <si>
    <t xml:space="preserve">RENTA 1 TITAN </t>
  </si>
  <si>
    <t>RENTA PRS</t>
  </si>
  <si>
    <t xml:space="preserve">RENTA 2 TITANES MAYO,JUNIO Y JULIO </t>
  </si>
  <si>
    <t xml:space="preserve">RENTA 2 TITANES 21 DE JUNIO AL 30 JUNIO /01 AL 31 JULIO </t>
  </si>
  <si>
    <t>RENTA PRS RENTA PRS 01 al 31 mayo 2017 /RENTA PRS 01 al 30 junio 2017/RENTA PRS 01 al 31 julio 2017</t>
  </si>
  <si>
    <t xml:space="preserve"> /cancelado con nota de credito </t>
  </si>
  <si>
    <t>50% ANTICIPO PARA INSTALACION DE PLANTA DE DESCOMPRENSION DEL</t>
  </si>
  <si>
    <t>3 CONTENEDOR DE TRANSPORTE DE GAS NATURAL</t>
  </si>
  <si>
    <t>RENTA DE TITANES PARA EL SERVICIO DE AGROMAIZZA SAPI DE CV, MAYO 2017</t>
  </si>
  <si>
    <t>RENTA DE PRS PARA EL SERVICIO DE AGROMAIZZA SAPI DE CV, MAYO 2017</t>
  </si>
  <si>
    <t>RENTA DE PRS PARA EL SERVICIO DE AGROMAIZZA SAPI DE CV, JUNIO 2017</t>
  </si>
  <si>
    <t>RENTA DE PRS PARA EL SERVICIO DE AGROMAIZZA SAPI DE CV, JULIO 2017</t>
  </si>
  <si>
    <t>RENTA DE PRS PARA EL SERVICIO DE AGROMAIZZA SAPI DE CV, AGOSTO 2017</t>
  </si>
  <si>
    <t>RENTA DE TITANES PARA EL SERVICIO DE AGROMAIZZA SAPI DE CV, JUNIO 2017</t>
  </si>
  <si>
    <t xml:space="preserve">ARRENDAMIENTO DEL 15 DE AGOSTO AL 14 DE SEPTIEMBRE </t>
  </si>
  <si>
    <t xml:space="preserve">ARRENDAMIENTO DEL 15 DE AGOSTO AL 31 DE AGOSTO </t>
  </si>
  <si>
    <t xml:space="preserve">ARRENDAMINETO DEL 16 AL 26 DE SEPTIMBRE </t>
  </si>
  <si>
    <t>TAKE OR PAY 01 AL 14 OCT</t>
  </si>
  <si>
    <t>INTERESES MAYO 2017</t>
  </si>
  <si>
    <t>INTERESE JUNIO 2017</t>
  </si>
  <si>
    <t>INTERESES JULIO 2017</t>
  </si>
  <si>
    <t>INTERESES AGOSTO 2017</t>
  </si>
  <si>
    <t>INTERESES SEPTIEMBRE  2017</t>
  </si>
  <si>
    <t>INTERESES OCTUBRE  2017</t>
  </si>
  <si>
    <t xml:space="preserve">RENTA DE PRS PARA EL SERVICIO DE AGROMAIZZA SAPI DE CV, SEPTIEMBRE </t>
  </si>
  <si>
    <t>PGADO CON FOLIO 817</t>
  </si>
  <si>
    <t>RENTA DE PRS PARA EL SERVICIO DE AGROMAIZZA SAPI DE CV, OCTUBRE 2017</t>
  </si>
  <si>
    <t>SERVICIO DE TRANSPORTACIÓN DE GAS NATURAL</t>
  </si>
  <si>
    <t>SERVICIO DE COMPRESIÓN, SUMINISTRO Y DESCOMPRESIÓN DE GAS NATURAL</t>
  </si>
  <si>
    <t xml:space="preserve">SERVICIO DE COMPRESION Y  SUMINISTRO </t>
  </si>
  <si>
    <t xml:space="preserve">SERVICIO DE COMPRESION, SUMINISTRO Y DESCOMPRENSION DE GAS </t>
  </si>
  <si>
    <t>INTERESES Y NET COM FEE NOVIEMBRE 2017</t>
  </si>
  <si>
    <t xml:space="preserve">SERVICIO DE COMPRESION ,SUMINISTRO </t>
  </si>
  <si>
    <t>SERVICIO LIQUIDACION PROYECTO BMW</t>
  </si>
  <si>
    <t>Y NET COM FEE NOVIEMBRE 2017</t>
  </si>
  <si>
    <t>INTERESES DICIEMBRE 2017</t>
  </si>
  <si>
    <t>PAGADO 20-02</t>
  </si>
  <si>
    <t>Y NET COM FEE ENERO 2018</t>
  </si>
  <si>
    <t xml:space="preserve">SERVICIO DE COMPRESION PROCESADORA </t>
  </si>
  <si>
    <t>INTERESES Y NET COM FEBRERO 2018</t>
  </si>
  <si>
    <t xml:space="preserve">ARRENDAMIENTO  DE PRS PARA EL SERVICIO DE AGROMAIZZA SAPI DE CV, NOVIEMBRE 2017
</t>
  </si>
  <si>
    <t xml:space="preserve">ARRENDAMIENTO  DE PRS PARA EL SERVICIO DE AGROMAIZZA SAPI DE CV, DICIEMBRE 2017
</t>
  </si>
  <si>
    <t>ARRENDAMIENTO DE PRS PARA EL SERVICIO DE AGROMAIZZA ENERO 2018</t>
  </si>
  <si>
    <t>ARRENDAMIENTO DE PRS PARA EL SERVICIO DE AGROMAIZZA FEBRERO 2018</t>
  </si>
  <si>
    <t xml:space="preserve">TRASLADO DE DESCOMPRESORA DE GAS </t>
  </si>
  <si>
    <t xml:space="preserve">se envio factura nabile para programacion de pago </t>
  </si>
  <si>
    <t xml:space="preserve">ARRENDAMIENTO DE EQUIPO DE TRANSPORTE </t>
  </si>
  <si>
    <t xml:space="preserve">INTERESES MARZO </t>
  </si>
  <si>
    <t>INTERESES ABRIL 2018</t>
  </si>
  <si>
    <t>INTERESES MAYO 2018</t>
  </si>
  <si>
    <t>INTERESES JUNIO 2018</t>
  </si>
  <si>
    <t>INTERESES Y NET JULIO 2018</t>
  </si>
  <si>
    <t xml:space="preserve">CANCELADO POR PETICION RODRIGO </t>
  </si>
  <si>
    <t>ARRENDAMIENTO AGROMAIZZA ABRIL 2018</t>
  </si>
  <si>
    <t>ARRENDAMIENTO AGROMAIZZA MAYO 2018</t>
  </si>
  <si>
    <t>ARRENDAMIENTO AGROMAIZZA JUNIO 2018</t>
  </si>
  <si>
    <t>ARRENDAMIENTO DE MODULO EKC PARA EL SERVICIO DE EMPAQUES NOVA SAPI DE CV, JUNIO 2018</t>
  </si>
  <si>
    <t>ARRENDAMIENTO DE PRS PARA EL SERVICIO DE AGROMAIZZA Y EMPAQUES NOVA, JUNIO 2018</t>
  </si>
  <si>
    <t>ARRENDAMIENTO DE MODULO HEXAGON PARA EL SERVICIO DE AGROMAIZZA SAPI DE CV, JULIO 2018</t>
  </si>
  <si>
    <t>ARRENDAMIENTO DE MODULO EKC PARA EL SERVICIO DE EMPAQUES NOVA SAPI DE CV, JULIO 2018</t>
  </si>
  <si>
    <t>ARRENDAMIENTO DE PRS PARA EL SERVICIO DE AGROMAIZZA Y EMPAQUES NOVA JULIO 2018</t>
  </si>
  <si>
    <t xml:space="preserve">SERVICIO DE COMPRESION TAKE OR PAY </t>
  </si>
  <si>
    <t>ARRENDAMIENTO DE PRS PARA EL SERVICIO DE AGROMAIZZA JUNIO 2018</t>
  </si>
  <si>
    <t>ARRENDAMIENTO DE PRS PARA EL SERVICIO DE EMPAQUES NOVA, JUNIO 2018</t>
  </si>
  <si>
    <t>ARRENDAMIENTO DE PRS PARA EL SERVICIO DE AGROMAIZZA JULIO 2018</t>
  </si>
  <si>
    <t>ARRENDAMIENTO DE PRS PARA EL SERVICIO DE EMPAQUES NOVA JULIO 2018</t>
  </si>
  <si>
    <t xml:space="preserve">TAKE OR PAY JUNIO </t>
  </si>
  <si>
    <t xml:space="preserve">TAKE OR PAY JULIO </t>
  </si>
  <si>
    <t>ARRENDAMIENTO DE PRS PARA EL SERVICIO DE AGROMAIZZA Y EMPAQUES NOVA AGOSTO 2018</t>
  </si>
  <si>
    <t>ARRENDAMIENTO DE PRS PARA EL SERVICIO DE AGROMAIZZA Y EMPAQUES NOVA SEPTIEMBRE 2018</t>
  </si>
  <si>
    <t>ARRENDAMIENTO DE MODULO EKC PARA EL SERVICIO DE EMPAQUES NOVA SAPI DE CV, AGOSTO 2018</t>
  </si>
  <si>
    <t>ARRENDAMIENTO DE MODULO EKC PARA EL SERVICIO DE EMPAQUES NOVA SAPI DE CV, SEPTIEMBRE 2018</t>
  </si>
  <si>
    <t>ARRENDAMIENTO DE MODULO HEXAGON PARA EL SERVICIO DE AGROMAIZZA SAPI DE CV, AGOSTO 2018</t>
  </si>
  <si>
    <t>ARRENDAMINETO DE MODULO HEXAGON PARA EL SERVICIO DE AGROMAIZZA SAPI DE CV, SEPTIEMBRE 2018</t>
  </si>
  <si>
    <t>INTERESES Y NET COM FEE JULIO Y AGOSTO 2018</t>
  </si>
  <si>
    <t>Servicios profesionales referentes al MSA celebrado entre VPM y ENP</t>
  </si>
  <si>
    <t>INTERESE Y NET COM FEE COMPLEMENTO AÑO 2017</t>
  </si>
  <si>
    <t xml:space="preserve">PAGADO CON LA COMPRA DE LAS ACCIONES </t>
  </si>
  <si>
    <t>ARRENDAMIENTO DE MODULO HEXAGON PARA EL SERVICIO DE AGROMAIZZA SAPI DE CV, OCTUBRE 2018</t>
  </si>
  <si>
    <t>ARRENDAMIENTO DE MODULO EKC PARA EL SERVICIO DE EMPAQUES NOVA SAPI DE CV, OCTUBRE 2018</t>
  </si>
  <si>
    <t>ARRENDAMIENTO DE PRS PARA EL SERVICIO DE EMPAQUES NOVA OCTUBRE 2018</t>
  </si>
  <si>
    <t>PAGO DE GARANTIA POR SERVICIO DE GNC</t>
  </si>
  <si>
    <t xml:space="preserve">CAMBIO DE MONTOS </t>
  </si>
  <si>
    <t xml:space="preserve">NO SE TIMBRO </t>
  </si>
  <si>
    <t>SERVICIO DE COMPRESION</t>
  </si>
  <si>
    <t xml:space="preserve">SE FACTURO 2 VECES POR ERROR </t>
  </si>
  <si>
    <t>ARRENDAMIENTO DE MODULO EKC PARA EL SERVICIO DE EMPAQUES NOVA SAPI DE CV, NOVIEMBRE 2018</t>
  </si>
  <si>
    <t>ARRENDAMIENTO DE PRS PARA EL SERVICIO DE EMPAQUES NOVA NOVIEMBRE 2018</t>
  </si>
  <si>
    <t>ARRENDAMIENTO DE MODULO HEXAGON PARA EL SERVICIO DE AGROMAIZZA SAPI DE CV, NOVIEMBRE 2018</t>
  </si>
  <si>
    <t xml:space="preserve">PERC AGUADULCE </t>
  </si>
  <si>
    <t xml:space="preserve">GIS POWER </t>
  </si>
  <si>
    <t>ARRENDAMIENTO DE MODULO EKC PARA EL SERVICIO DE EMPAQUES NOVA SAPI DE CV, DICIEMBRE 2018</t>
  </si>
  <si>
    <t>ARRENDAMIENTO DE PRS PARA EL SERVICIO DE EMPAQUES NOVA DICIEMBRE 2018</t>
  </si>
  <si>
    <t>ARRENDAMIENTO DE MODULO HEXAGON PARA EL SERVICIO DE AGROMAIZZA SAPI DE CV, DICIEMBRE 2018</t>
  </si>
  <si>
    <t>CANCELADA, FECHA DE PAGO 17/01/2019 SE SUSTITUYE CPN FACTURA 1725</t>
  </si>
  <si>
    <t>SE CANCELA Y SUSTITUYE CON FACTURA 1727, FECHA DE PAGO 25/01/2019</t>
  </si>
  <si>
    <t>ARRENDAMIENTO DE PRS PARA EL SERVICIO DE AGROMAIZZA DICIEMBRE 2018</t>
  </si>
  <si>
    <t>ARRENDAMIENTO DE MODULO EKC PARA EL SERVICIO DE EMPAQUES NOVA SAPI DE CV, ENERO 2019</t>
  </si>
  <si>
    <t>ARRENDAMIENTO DE PRS PARA EL SERVICIO DE EMPAQUES NOVA ENERO 2019</t>
  </si>
  <si>
    <t>ARRENDAMIENTO DE MODULO HEXAGON PARA EL SERVICIO DE AGROMAIZZA SAPI DE CV, ENERO 2019</t>
  </si>
  <si>
    <t>ARRENDAMIENTO DE PRS PARA EL SERVICIO DE AGROMAIZZA ENERO 2019</t>
  </si>
  <si>
    <t>SERVICIO DE COMPRESION 15 AL 31 ENERO 2019</t>
  </si>
  <si>
    <t>SE CANCELA Y SUSTITUYE CON FACTURA 1729, FECHA D EPAGO 17/02/2019</t>
  </si>
  <si>
    <t>SERVICIO DE COMPRESION  15 AL 31 ENERO 2019</t>
  </si>
  <si>
    <t>SERVICIO DE COMPRESION 1 AL 14 FEBRERO 2019</t>
  </si>
  <si>
    <t>SE CANCELA Y SUSTITUYE CON FACTURA 1631, FECHA DE PAGO 27/02/2019</t>
  </si>
  <si>
    <t>SERVICIO DE COMPRESION 01 AL 14 DE FEBRERO 2019</t>
  </si>
  <si>
    <t>DE TRANSPORTE DE GAS NATURAL COMPRIMIDO</t>
  </si>
  <si>
    <t>DE TRANSPORTE DE GAS NATURAL COMPRIMIDO FACTURA 925 CON FOLIO FISCAL 07AFE267-9E65-4822-A879-A4C75DCC3DAE</t>
  </si>
  <si>
    <t>RENTA DE MODULO EKC PARA EL SERVICIO DE EMPAQUES NOVA SAPI DE CV, ENERO 2019</t>
  </si>
  <si>
    <t>RENTA DE PRS PARA EL SERVICIO DE EMPAQUES NOVA ENERO 2019</t>
  </si>
  <si>
    <t>RENTA DE MODULO HEXAGON PARA EL SERVICIO DE AGROMAIZZA SAPI DE CV, ENERO 2019</t>
  </si>
  <si>
    <t>RENTA DE PRS PARA EL SERVICIO DE AGROMAIZZA ENERO 2019</t>
  </si>
  <si>
    <t>SERVICIO DE COMPRESION 15 AL 28 FEBRERO 2019</t>
  </si>
  <si>
    <t>SE CANCELA Y SUSTITUYE CON FACTURA 1733, FECHA DE PAGO 15/03/2019</t>
  </si>
  <si>
    <t>SERVICIO DE COMPRESIOM 15 AL 28 FEBRERO 2019</t>
  </si>
  <si>
    <t>SERVICIO DE COMPRESION, SUMINISTRO Y DESCOMPRESION (CONSUMO MINIMO)</t>
  </si>
  <si>
    <t>ARRENDAMIENTO 2 MODULOS EKC PARA EL SERVICIO DE EMPAQUES NOVA  FEBRERO 2019</t>
  </si>
  <si>
    <t>SE CONCILIO CON PAGO DEL 08/05/2019</t>
  </si>
  <si>
    <t>ARRENDAMIENTO DE 2 MODULOS TITAN  IV HEXAGON LINCOLN PARA SERV DE AGROMAIZZA FEBRERO 2019</t>
  </si>
  <si>
    <t>ARRENDAMIENTO DE PRS PARA SERVICIO DE AGROMAIZZA FEBRERO 2019</t>
  </si>
  <si>
    <t>ARRENDAMIENTO DE PRS PARA SERVICIO DE EMPAQUES NOVA FEBRERO 2020</t>
  </si>
  <si>
    <t>SERVICIO DE COMPRESION 1 AL 14 MARZO 2019</t>
  </si>
  <si>
    <t>Liquidan facturas 1679 y 1705 total 5,311.48con pago en pesos por $102,087.18  con TC 19.2201</t>
  </si>
  <si>
    <t>SE CANCELA Y SUSITUYE CON 1736, FECHA DE PAGO 05/04/2019</t>
  </si>
  <si>
    <t>ARRENDAMIENTO INSTALACIONES Y EQUIPO ABR 2019</t>
  </si>
  <si>
    <t>ARRENDAMIENTO INSTALACIONES Y EQUIPO OCT 2018</t>
  </si>
  <si>
    <t>SE APLICARA NC 61 POR $ 1,693.51 USD</t>
  </si>
  <si>
    <t>SERVICIO DE COMPRESION 15 AL 31 MARZO 2019</t>
  </si>
  <si>
    <t>PAGO DE $ 34,105.34 Usd, Y SE APLICA NC61 POR $1,693.51 Usd</t>
  </si>
  <si>
    <t>AREENDAMIENTO INSTALACIONES Y EQUIPO MAR 2019</t>
  </si>
  <si>
    <t>TIPO DE CAMBIO 18.848899</t>
  </si>
  <si>
    <t>ARRENDAMIENTO DE EQUIPO EKC EMPAQUES NOVA</t>
  </si>
  <si>
    <t>ARRENDAMIENTO DE TITAN IV AGRAMAIZA</t>
  </si>
  <si>
    <t>ARRENDAMIENTO DE PRS NOVA</t>
  </si>
  <si>
    <t>ARRENDAMIENTO PRS AGROMAIZA</t>
  </si>
  <si>
    <t>FACTURA QUE SUSTITUYE A LA 1557</t>
  </si>
  <si>
    <t>FACTURA QUE SUSTITUYE A LA 1581</t>
  </si>
  <si>
    <t>FACTURA QUE SUSTITUYE A LA 1614</t>
  </si>
  <si>
    <t>FACTURA QUE SUSTITUYE A LA 1624</t>
  </si>
  <si>
    <t>FACTURA QUE SUSTITUYE A LA 1651</t>
  </si>
  <si>
    <t>FACTURA QUE SUSTITUYE A LA 1681</t>
  </si>
  <si>
    <t>SERVICIO DE COMPRESION 1 AL 14 ABRIL 2019</t>
  </si>
  <si>
    <t>Pago en pesos 1,370,582.94 T.C. 19.0837</t>
  </si>
  <si>
    <t>PAGO PARCIAL DE 20,000 USD del dia 17/07/2019, SALDO 27,628.21</t>
  </si>
  <si>
    <t>ARRENDAMIENTO DE INSTALACIONES Y EQUIPO MAYO 2019</t>
  </si>
  <si>
    <t>SERVICIO DE COMPRESION 15 AL 30 ABRIL 2019</t>
  </si>
  <si>
    <t>PAGO EN PESOS POR $1,474.72‬ TC 19.2622</t>
  </si>
  <si>
    <t>ARRENDAMIENTO DE MODULOS EKC PARA EL SERVICIO DE EMPAQUES NOVA SAPI DE CV ABRIL 2019</t>
  </si>
  <si>
    <t>ARRENDAMIENTO MODULOS TITAN IV HEXAGON LINCOLN PARA EL SERVICIO DE AGROMAIZZA SAPI DE CV ABRIL 2019</t>
  </si>
  <si>
    <t>AREENDAMIENTO DE PRS PARA EL SERVICIO DE EMPAQUES NOVA ABRIL 2019</t>
  </si>
  <si>
    <t>DE PRS PARA EL SERVICIO DE AGROMAIZZA SAPI DE CV ABRIL 2019</t>
  </si>
  <si>
    <t>Pago en pesos 1,533,520.36 T.C. 19.06830004041158</t>
  </si>
  <si>
    <t>ARRENDAMIENTO DE INSTALACIONES Y EQUIPO ABRIL 2019</t>
  </si>
  <si>
    <t>El 6 de mayo se pagaron 3000 usd y el 9 de mayo 480 usd</t>
  </si>
  <si>
    <t>SERVICIO DE COMPRESION 1 AL 14 MAYO 2019</t>
  </si>
  <si>
    <t>SE LIQUIDA FACTURA EN PESOS 54,254.71 T.C. 19.6528</t>
  </si>
  <si>
    <t>Liquidan facturas 1801 y 1812 monto toal $173,592.86 usd con pago en pesos por $3,328,695.17 con TC 19.17530</t>
  </si>
  <si>
    <t>SE RECIBE PAGO POR 23,862.32, DE LOS CUALES 3614.71 SE APLICARAN A LA FACTURA 1862</t>
  </si>
  <si>
    <t>SERVICIO DE COMPRESION 15 AL 31 MAYO 2019</t>
  </si>
  <si>
    <t>PAGADO EN PESOS AL TC 19.20</t>
  </si>
  <si>
    <t>ARRENDAMIENTO DE MODULOS EKC PARA EL SERVICIO DE EMPAQUES NOVA SAPI DE CV MAYO 2019</t>
  </si>
  <si>
    <t>ARRENDAMIENTO MODULOS TITAN IV HEXAGON LINCOLN PARA EL SERVICIO DE AGROMAIZZA SAPI DE CV MAYO 2019</t>
  </si>
  <si>
    <t>ARRENDAMIENTO DE PRS PARA EL SERVICIO DE AGROMAIZZA SAPI DE CV ABRIL 2019</t>
  </si>
  <si>
    <t>SE REFACTURARON A FAVOR DE SAN JOSE Y SU AGRICULTURA</t>
  </si>
  <si>
    <t>SERVICIO DE COMPRESION 1 AL 14 JUNIO 2019</t>
  </si>
  <si>
    <t>PAGO EN PESOS 2,100,814.74</t>
  </si>
  <si>
    <t>PAGO EN PESOS JUNTO CON TIPO DE CAMBIO DE $19.13</t>
  </si>
  <si>
    <t>SERVICIO DE CPMPRESION 15 AL 30 JUNIO 2019</t>
  </si>
  <si>
    <t>SE PAGA EN PESOS JUNTO CON FACTURA 1853 MXN $ 78,655.35 TC. 18.9947</t>
  </si>
  <si>
    <t>SE RECIBE PAGO PARCIAL EL 30/O7/2019 POR 16,662.37 Y SE LIQUIDA CON EL REMANENTE DEL PAGO DE LA FACTURA 1803 POR 3614.71</t>
  </si>
  <si>
    <t>PAGO EN PESOS POR $2,223,839.51; TC. 19.0894000</t>
  </si>
  <si>
    <t>PAGO EN PESOS POR $1,966,204.27 TC. 18.99</t>
  </si>
  <si>
    <t>ARRENDAMIENTO DE PRS PARA EL SERVICIO DE EMPAQUES NOVA JUNIO 2019</t>
  </si>
  <si>
    <t>ARRENDAMIENTO DE PRS PARA EL SERVICIO DE AGROMAIZZA SAPI DE CV JUNIO 2019</t>
  </si>
  <si>
    <t>ENP (AGROMAIZZA)</t>
  </si>
  <si>
    <t>ARRENDAMIENTO MODULOS EKC PARA EL SERVICIO DE EMPAQUES AGROMAIZZA SAPI DE CV JUNIO 2019</t>
  </si>
  <si>
    <t>ARRENDAMIENTO MODULOS TITAN IV HEXAGON LINCOLN PARA EL SERVICIO DE NOVA SAPI DE CV  JUNIO 2019</t>
  </si>
  <si>
    <t>PAGO EN PESOS POR $ 131,981.46 TC 19.4262</t>
  </si>
  <si>
    <t>SERVICIO DE COMPRESION 15 SL 31 JULIO 2019</t>
  </si>
  <si>
    <t>SERVICIO DE OCMPRESION 15 AL 31 JULIO 2019</t>
  </si>
  <si>
    <t>SERVICIO DE COMPRESION 15 AL31 JULIO 2019</t>
  </si>
  <si>
    <t>PAGO EN PESOS POR $2,162,937.20 TC 9.9086</t>
  </si>
  <si>
    <t>ARRENDAMIENTO MODULOS EKC PARA EL SERVICIO DE EMPAQUES NOVA SAPI DE CV JULIO 2019</t>
  </si>
  <si>
    <t>NOVA</t>
  </si>
  <si>
    <t>ARRENDAMIENTO MODULOS TITAN IV HEXAGON LINCOLN PARA EL SERVICIO DE AGROMAIZZA SAPI DE CV JULIO 2019</t>
  </si>
  <si>
    <t>ARRENDAMIENTO DE PRS PARA EL SERVICIO DE EMPAQUES NOVA JULIO 2019</t>
  </si>
  <si>
    <t>ARRENDAMIENTO DE PRS PARA EL SERVICIO DE AGROMAIZZA SAPI DE CV JULIO 2019</t>
  </si>
  <si>
    <t>SERVICIO DE CPMPRESION 1 AL 14 AGOSTO 2019</t>
  </si>
  <si>
    <t>DEPOSITO EN PESOS POR $2,104,888.26 TC. 19,7806</t>
  </si>
  <si>
    <t>DEPOSITO EN PESOS OR $142,603.49 TC 19.4262</t>
  </si>
  <si>
    <t>DEPOSITO EN PESOS POR $2,179,864.90 TC. 19.5477</t>
  </si>
  <si>
    <t>ARRENDAMIENTO DE PRS PARA EL SERVICIO DE EMPAQUES NOVA AGOSTO 2019</t>
  </si>
  <si>
    <t>ARRENDAMIENTO DE PRS PARA EL SERVICIO DE EMPAQUES AGROMAIZZA AGOSTO 2019</t>
  </si>
  <si>
    <t>ARRENDAMIENTO MODULOS EKC PARA EL SERVICIO DE AGROMAIZZA SAPI DE CV AGOSTO 2019</t>
  </si>
  <si>
    <t>ARRENDAMIENTO MODULOS TITAN IV HEXAGON LINCOLN PARA EL SERVICIO DE EMPAQUES NOVA SAPI DE CV</t>
  </si>
  <si>
    <t xml:space="preserve"> A1479</t>
  </si>
  <si>
    <t>A0002</t>
  </si>
  <si>
    <t>SERVICIO DE COMRPESION 1 AL 14 SEPTIEMBRE 2019</t>
  </si>
  <si>
    <t>A0006</t>
  </si>
  <si>
    <t>A0008</t>
  </si>
  <si>
    <t>A0010</t>
  </si>
  <si>
    <t>PAGO POR 113,136.55 PESOS T.C.  19.1953</t>
  </si>
  <si>
    <t>A0014</t>
  </si>
  <si>
    <t>A0016</t>
  </si>
  <si>
    <t>PAGO EN PESOS POR $591,504.89 T.C. 19.5522</t>
  </si>
  <si>
    <t>A0028</t>
  </si>
  <si>
    <t>ARRENDAMIENTO DE INSTALACIONES Y EQUIPO DE DESCOMPRESION NOVIEMBRE 2018</t>
  </si>
  <si>
    <t>PAGO 524,653.15 POR 27,840.00 USD TC 18.84529 FACTURAS 28,29,30,31,32,35,36 Y 37</t>
  </si>
  <si>
    <t>A0029</t>
  </si>
  <si>
    <t>ARRENDAMIENTO DE INSTALACIONES Y EQUIPO DE DESCOMPRESION OCTUBRE 2018</t>
  </si>
  <si>
    <t>A0030</t>
  </si>
  <si>
    <t>ARRENDAMIENTO DE INSTALACIONES Y EQUIPO DE DESCOMPRESION DICIEMBRE 2018</t>
  </si>
  <si>
    <t>A0031</t>
  </si>
  <si>
    <t>ARRENDAMIENTO DE INSTALACIONES Y EQUIPO DE DESCOMPRESION ENERO 2019</t>
  </si>
  <si>
    <t>A0032</t>
  </si>
  <si>
    <t>ARRENDAMIENTO DE INSTALACIONES Y EQUIPO DE DESCOMPRESION FEBRERO 2019</t>
  </si>
  <si>
    <t>A0033</t>
  </si>
  <si>
    <t>ARRENDAMIENTO DE INSTALACIONES Y EQUIPO DE DESCOMPRESION MARZO 2019</t>
  </si>
  <si>
    <t>A0034</t>
  </si>
  <si>
    <t>ARRENDAMIENTO DE INSTALACIONES Y EQUIPO DE DESCOMPRESION ABRIL 2019</t>
  </si>
  <si>
    <t>A0035</t>
  </si>
  <si>
    <t>ARRENDAMIENTO DE INSTALACIONES Y EQUIPO DE DESCOMPRESION MAYO 2019</t>
  </si>
  <si>
    <t>A0036</t>
  </si>
  <si>
    <t>ARRENDAMIENTO DE INSTALACIONES Y EQUIPO DE DESCOMPRESION JUNIO 2019</t>
  </si>
  <si>
    <t>A0037</t>
  </si>
  <si>
    <t>ARRENDAMIENTO DE INSTALACIONES Y EQUIPO DE DESCOMPRESION JULIO 2019</t>
  </si>
  <si>
    <t>A0039</t>
  </si>
  <si>
    <t>A0041</t>
  </si>
  <si>
    <t>A0044</t>
  </si>
  <si>
    <t>PAGO EN DOS FECHAS REVISAR 1ER PAGO EN CASO DE LA SOLICTUD DEL COMPLEMENTO SE RECIBE PAGO POR DIFERENCIA DE 6,286.50 EL 07/04/2020 ALICABLES A FACTURAS 43 Y 44</t>
  </si>
  <si>
    <t>A0046</t>
  </si>
  <si>
    <t>PAGO EN PESOS POR 205611.1 JUNTO CON FACTURA A0063 TC. 20.30767</t>
  </si>
  <si>
    <t>A0048</t>
  </si>
  <si>
    <t>PAGO EN PESOS POR $117,475.70 TC 19.3687</t>
  </si>
  <si>
    <t>A0050</t>
  </si>
  <si>
    <t>A0054</t>
  </si>
  <si>
    <t>A0056</t>
  </si>
  <si>
    <t>PAGO EN PESOS + FACTURA A0071 POR 1,707,913.18. T.C. 19.13</t>
  </si>
  <si>
    <t>A0060</t>
  </si>
  <si>
    <t>A0063</t>
  </si>
  <si>
    <t>A0065</t>
  </si>
  <si>
    <t>PAGO EN PESOS $125,032.05 Se aplican a la factura $107,109.34 y  a factura A0124 $17,922.71mxn</t>
  </si>
  <si>
    <t>A0067</t>
  </si>
  <si>
    <t>A0071</t>
  </si>
  <si>
    <t>PAGO EN PESOS + FACTURA A0056 POR 1,707,913.18. T.C. 19.13</t>
  </si>
  <si>
    <t>A0075</t>
  </si>
  <si>
    <t>A0078</t>
  </si>
  <si>
    <t>A0079</t>
  </si>
  <si>
    <t>ARRENDAMIENTO DE MODULOS TITAN IV HEXAGON LINCOLN PARA EL SERVICIO DE EMPAQUES NOVA SA DE CV SEPTIEMBRE 2019</t>
  </si>
  <si>
    <t>A0080</t>
  </si>
  <si>
    <t>ARRENDAMIENTO MODULOS EKC PARA EL SERVICIO DE AGROMAIZZA SAPI DE CV SEPTIEMBRE 2019</t>
  </si>
  <si>
    <t>A0081</t>
  </si>
  <si>
    <t>ARRENDAMIENTO DE PRS PARA EL SERVICIO DE EMPAQUES NOVA SA DE CV SEPTIEMBRE 2019</t>
  </si>
  <si>
    <t>A0082</t>
  </si>
  <si>
    <t>ARRENDAMIENTO DE PRS PARA EL SERVICIO DE AGROMAIZZA SAPI DE CV SEPTIEMBRE 2019</t>
  </si>
  <si>
    <t>A0084</t>
  </si>
  <si>
    <t>A0095</t>
  </si>
  <si>
    <t>PAGO EL 29/01/2020 $82688 TIPO DE CAMBIO 18.80212</t>
  </si>
  <si>
    <t>A0097</t>
  </si>
  <si>
    <t>PAGADOEN PESOS POR $69,596.50 TC 19.19</t>
  </si>
  <si>
    <t>A0100</t>
  </si>
  <si>
    <t>A0101</t>
  </si>
  <si>
    <t>A0102</t>
  </si>
  <si>
    <t>TAKE OR PAY SERVICIO DE COMPRESION 1 AL 31 OCTUBRE 2019</t>
  </si>
  <si>
    <t>A0104</t>
  </si>
  <si>
    <t>A0105</t>
  </si>
  <si>
    <t>SUSTITUIDA POR LA A0218</t>
  </si>
  <si>
    <t>A0109</t>
  </si>
  <si>
    <t>A0111</t>
  </si>
  <si>
    <t>PAGO EN PESOS POR  1,410,971.30 TC 19.41</t>
  </si>
  <si>
    <t>A0115</t>
  </si>
  <si>
    <t>A0122</t>
  </si>
  <si>
    <t>ARRENDAMIENTO DE MODULOS TITAN IV HEXAGON LINCOLN PARA EL SERVICIO DE EMPAQUES NOVA SA DE CV OCTUBRE 2019</t>
  </si>
  <si>
    <t>A0123</t>
  </si>
  <si>
    <t>ARRENDAMIENTO DE PRS PARA EL SERVICIO DE EMPAQUES NOVA SA DE CV OCTUBRE 2019</t>
  </si>
  <si>
    <t>A0125</t>
  </si>
  <si>
    <t>PAGO EN MXN POR  $136,731.01 TC. 18.78529</t>
  </si>
  <si>
    <t>A0127</t>
  </si>
  <si>
    <t>A0129</t>
  </si>
  <si>
    <t>PAGO POR $62,305.00 TC 19.20</t>
  </si>
  <si>
    <t>A0131</t>
  </si>
  <si>
    <t>SERVICIO DE CPMPRESION 1 AL 14 NOVIEMBRE 2019</t>
  </si>
  <si>
    <t>Complemento 344</t>
  </si>
  <si>
    <t>A0134</t>
  </si>
  <si>
    <t>A0136</t>
  </si>
  <si>
    <t>A0144</t>
  </si>
  <si>
    <t>PAGO POR $2,325,742.94 TC 19.17849999</t>
  </si>
  <si>
    <t>A0148</t>
  </si>
  <si>
    <t>A0150</t>
  </si>
  <si>
    <t>A0154</t>
  </si>
  <si>
    <t>A0156</t>
  </si>
  <si>
    <t>SERVICIO DE COPMRESION 15 AL30 NOVIEMBRE 2019</t>
  </si>
  <si>
    <t>PAGO POR $72,861.60 TC 19.53519</t>
  </si>
  <si>
    <t>A0158</t>
  </si>
  <si>
    <t>PAGO EN MXN POR $130,348.50, TC 18.7991888 DEL 20 DE FEBRERO 2020</t>
  </si>
  <si>
    <t>A0160</t>
  </si>
  <si>
    <t>A0161</t>
  </si>
  <si>
    <t>ARENDAMIENTO DE MODULOS TITAN IV HEXAGON LINCOLN PARA EL SERVICIO DE EMPAQUES NOVA NOVIEMBRE 2019</t>
  </si>
  <si>
    <t>A0162</t>
  </si>
  <si>
    <t>ARRENDAMIENTO DE PRS PARA EL SERVICIO DE EMPAQUES NOVA SA DE CV NOVIEMBRE 2019</t>
  </si>
  <si>
    <t>A0168</t>
  </si>
  <si>
    <t>A0170</t>
  </si>
  <si>
    <t>A0172</t>
  </si>
  <si>
    <t>SE APLICA NC 76 Y SE REFCTURA CON A0397</t>
  </si>
  <si>
    <t>A0174</t>
  </si>
  <si>
    <t>A0178</t>
  </si>
  <si>
    <t>A0185</t>
  </si>
  <si>
    <t>SE APLICA NC 66 POR DIFERENCIA EN MEDICION.</t>
  </si>
  <si>
    <t>A0187</t>
  </si>
  <si>
    <t>A0189</t>
  </si>
  <si>
    <t>PAGO EN PESOS POR 62,736.92 TC 17.770837 se solicta la corrección al cliente. Cliente paga 3,743.78 27/01/2020</t>
  </si>
  <si>
    <t>A0191</t>
  </si>
  <si>
    <t>A0193</t>
  </si>
  <si>
    <t>A0195</t>
  </si>
  <si>
    <t>PAGO EN PESOS $108,009.39 TC 22.1518</t>
  </si>
  <si>
    <t>A0206</t>
  </si>
  <si>
    <t>A0210</t>
  </si>
  <si>
    <t>A0217</t>
  </si>
  <si>
    <t>A0218</t>
  </si>
  <si>
    <t>SUSTITUYE A FACTURA A0105</t>
  </si>
  <si>
    <t>A0220</t>
  </si>
  <si>
    <t>A0222</t>
  </si>
  <si>
    <t>SERVICIO DE CPMPRESION 15 AL 31 DICIEMBRE 2019</t>
  </si>
  <si>
    <t>A0224</t>
  </si>
  <si>
    <t>PAGO EN USD POR $70,311.58 MXN TC. 18.86445</t>
  </si>
  <si>
    <t>A0226</t>
  </si>
  <si>
    <t>A0228</t>
  </si>
  <si>
    <t>A0240</t>
  </si>
  <si>
    <t>PAGO EN MXN POR 1,102,476.31 TC 18.79299</t>
  </si>
  <si>
    <t>A0242</t>
  </si>
  <si>
    <t>A0251</t>
  </si>
  <si>
    <t>TAKE OR PAY SEPTIEMBRE A DICIEMBRE 2019</t>
  </si>
  <si>
    <t>A0253</t>
  </si>
  <si>
    <t>SERVCIO DE COMPRESION 15 AL 31 DICIEMBRE 2019</t>
  </si>
  <si>
    <t>A0254</t>
  </si>
  <si>
    <t>A0260</t>
  </si>
  <si>
    <t>A0262</t>
  </si>
  <si>
    <t>A0264</t>
  </si>
  <si>
    <t>PAGO PARCIAL DE 54,430.00 MXN del 31/01/2020 y $1820.17 mxn del 04/02/2020</t>
  </si>
  <si>
    <t>A0266</t>
  </si>
  <si>
    <t>A0268</t>
  </si>
  <si>
    <t>A0270</t>
  </si>
  <si>
    <t>PAGO EN PESOS POR $26,961.88 TC $22.1518</t>
  </si>
  <si>
    <t>A0272</t>
  </si>
  <si>
    <t>A0276</t>
  </si>
  <si>
    <t>A0278</t>
  </si>
  <si>
    <t>A0282</t>
  </si>
  <si>
    <t>A0285</t>
  </si>
  <si>
    <t>A0287</t>
  </si>
  <si>
    <t>A0289</t>
  </si>
  <si>
    <t>PAGO EN MXN 60,502.27 TC 18.7852 SE RECIBE PAGO DE DIFERENCIA EN TC POR 3,811.19 APLICABLES A FACTURAS 289 Y 333 EL 07/04/2020</t>
  </si>
  <si>
    <t>A0291</t>
  </si>
  <si>
    <t>A0293</t>
  </si>
  <si>
    <t>Pago en Mxn  $251,414.05 TC 24.1087</t>
  </si>
  <si>
    <t>A0297</t>
  </si>
  <si>
    <t>PAGO EN MXN 1,554,838.78 TC 18.7991999</t>
  </si>
  <si>
    <t>A0301</t>
  </si>
  <si>
    <t>A0304</t>
  </si>
  <si>
    <t>ARRENDAMIENTO DE INSTALACIONES Y EQUIPO DE DESCOMPRESION AGOSTO 2019</t>
  </si>
  <si>
    <t>PAGO EN MXN POR $83,270.43</t>
  </si>
  <si>
    <t>A0305</t>
  </si>
  <si>
    <t>ARRENDAMIENTO DE INSTALACIONES Y EQUIPO DE DESCOMPRESION SEPTIEMBRE 2019</t>
  </si>
  <si>
    <t>A0306</t>
  </si>
  <si>
    <t>ARRENDAMIENTO DE INSTALACIONES Y EQUIPO DE DESCOMPRESION OCTUBRE 2019</t>
  </si>
  <si>
    <t>A0307</t>
  </si>
  <si>
    <t>ARRENDAMIENTO DE INSTALACIONES Y EQUIPO DE DESCOMPRESION NOVIEMBRE 2019</t>
  </si>
  <si>
    <t>A0308</t>
  </si>
  <si>
    <t>ARRENDAMIENTO DE INSTALACIONES Y EQUIPO DE DESCOMPRESION DICIEMBRE 2019</t>
  </si>
  <si>
    <t>A0309</t>
  </si>
  <si>
    <t>ARRENDAMIENTO DE INSTALACIONES Y EQUIPO DE DESCOMPRESION ENERO 2020</t>
  </si>
  <si>
    <t>A0310</t>
  </si>
  <si>
    <t>ARRENDAMIENTO DE INSTALACIONES Y EQUIPO DE DESCOMPRESION FEBRERO 2020</t>
  </si>
  <si>
    <t>A0311</t>
  </si>
  <si>
    <t>ARRENDAMIENTO DE MODULOS TITAN IV HEXAGON LINCOLN PARA EL SERVICIO DE EMPAQUES NOVA SA DE CV DICIEMBRE 2019</t>
  </si>
  <si>
    <t>A0312</t>
  </si>
  <si>
    <t>ARRENDAMIENTO DE MODULOS TITAN IV HEXAGON LINCOLN PARA EL SERVICIO DE EMPAQUES NOVA SA DE CV ENERO 2020</t>
  </si>
  <si>
    <t>A0313</t>
  </si>
  <si>
    <t>ARRENDAMIENTO DE MODULOS TITAN IV HEXAGON LINCOLN PARA EL SERVICIO DE EMPAQUES NOVA SA DE CV FEBRERO 2020</t>
  </si>
  <si>
    <t>A0314</t>
  </si>
  <si>
    <t>ARRENDAMIENTO DE PRS PARA EL SERVICIO DE EMPAQUES NOVA SA DE CV DICIEMBRE 2019</t>
  </si>
  <si>
    <t>A0315</t>
  </si>
  <si>
    <t>ARRENDAMIENTO DE PRS PARA EL SERVICIO DE EMPAQUES NOVA SA DE CV ENERO 2020</t>
  </si>
  <si>
    <t>A0316</t>
  </si>
  <si>
    <t>ARRENDAMIENTO DE PRS PARA EL SERVICIO DE EMPAQUES NOVA SA DE CV FEBRERO 2020</t>
  </si>
  <si>
    <t>A0320</t>
  </si>
  <si>
    <t>A0325</t>
  </si>
  <si>
    <t>A0329</t>
  </si>
  <si>
    <t>A0331</t>
  </si>
  <si>
    <t>A0333</t>
  </si>
  <si>
    <t>PAGO EN MXN 41,167.89 TC 18.5680 DEBIO SER A 19.3973</t>
  </si>
  <si>
    <t>A0335</t>
  </si>
  <si>
    <t>Complemento 356</t>
  </si>
  <si>
    <t>A0337</t>
  </si>
  <si>
    <t>A0339</t>
  </si>
  <si>
    <t>PAGO EN MXN POR $190,584.18 TC 21.9288</t>
  </si>
  <si>
    <t>A0341</t>
  </si>
  <si>
    <t>PAGO PARCIAL 22,100 USD 23/03/2020</t>
  </si>
  <si>
    <t>A0343</t>
  </si>
  <si>
    <t>PAGO EN MXN 1,740,902.64 TC 19.8095</t>
  </si>
  <si>
    <t>A0347</t>
  </si>
  <si>
    <t>A0350</t>
  </si>
  <si>
    <t>A0351</t>
  </si>
  <si>
    <t>ARRENDAMIENTO DE PLATAFORMAS JUNIO, JULIO Y AGOSTO 2019 PCC</t>
  </si>
  <si>
    <t>A0355</t>
  </si>
  <si>
    <t>ARRENDAMIENTO PLATAFORMAS SEPTIEMBRE, OCTUBRE, NOVIEMBRE Y DICIEMBRE 2019 EMPAQUES NOVA</t>
  </si>
  <si>
    <t>A0356</t>
  </si>
  <si>
    <t>ARRENDAMIENTO PLATAFORMAS ENERO Y FEBRERO 2020 EMPAQUES NOVA</t>
  </si>
  <si>
    <t>A0357</t>
  </si>
  <si>
    <t>ARRENDAMIENTO PLATAFORMAS SEPTIEMBRE 2019</t>
  </si>
  <si>
    <t>A0358</t>
  </si>
  <si>
    <t>ARRENDAMIENTO PLATAFORMAS SEPTIEMBRE, OCTUBRE, NOVIEMBRE Y DICIEMBRE 2019 PCC</t>
  </si>
  <si>
    <t>A0359</t>
  </si>
  <si>
    <t>ARRENDAMIENTO PLATAFORMAS ENERO Y FEBRERO 2020 PCC</t>
  </si>
  <si>
    <t>A0360</t>
  </si>
  <si>
    <t>A0361</t>
  </si>
  <si>
    <t>A0362</t>
  </si>
  <si>
    <t>A0363</t>
  </si>
  <si>
    <t>31/04/2020</t>
  </si>
  <si>
    <t>A0364</t>
  </si>
  <si>
    <t>A0366</t>
  </si>
  <si>
    <t>A0368</t>
  </si>
  <si>
    <t>SE CANCELA POR INDICACION DE RODRIGO CELAYETA</t>
  </si>
  <si>
    <t>A0370</t>
  </si>
  <si>
    <t>A0372</t>
  </si>
  <si>
    <t>A0374</t>
  </si>
  <si>
    <t>A0376</t>
  </si>
  <si>
    <t>PAGO EN MXN POR $ 67,742.03 TC 22.959975</t>
  </si>
  <si>
    <t>A0378</t>
  </si>
  <si>
    <t>Complemento 396</t>
  </si>
  <si>
    <t>A0390</t>
  </si>
  <si>
    <t>SERVICIO DE CPMPRESION 15 AL 29 FEBRERO 2020</t>
  </si>
  <si>
    <t>A0394</t>
  </si>
  <si>
    <t>SE RECIBE $4,834,538.34 PAGA FATURA 394 Y 416</t>
  </si>
  <si>
    <t>A0397</t>
  </si>
  <si>
    <t>A0402</t>
  </si>
  <si>
    <t>A0404</t>
  </si>
  <si>
    <t>A0406</t>
  </si>
  <si>
    <t>A0408</t>
  </si>
  <si>
    <t>PAGO EN MXN POR 60,204.26 TC 24.0487</t>
  </si>
  <si>
    <t>A0410</t>
  </si>
  <si>
    <t>Complemento 388</t>
  </si>
  <si>
    <t>A0412</t>
  </si>
  <si>
    <t>A0416</t>
  </si>
  <si>
    <t>A0420</t>
  </si>
  <si>
    <t>A0424</t>
  </si>
  <si>
    <t>A0426</t>
  </si>
  <si>
    <t>Complemento 411</t>
  </si>
  <si>
    <t>A0428</t>
  </si>
  <si>
    <t>PAGO PARCIAL POR $ 57,160.00 MXN TC 22.2040 PAGO CMPLEMENTO $ 11,947.45</t>
  </si>
  <si>
    <t>A0430</t>
  </si>
  <si>
    <t>A0432</t>
  </si>
  <si>
    <t>A0434</t>
  </si>
  <si>
    <t>A0436</t>
  </si>
  <si>
    <t>Pago en Mxn $2,712,401.11  TC 24.2098</t>
  </si>
  <si>
    <t>A0440</t>
  </si>
  <si>
    <t>A0452</t>
  </si>
  <si>
    <t>Arrendamiento Plataformas Marzo 2020 EMPAQUES NOVA</t>
  </si>
  <si>
    <t>A0453</t>
  </si>
  <si>
    <t>Arrendamiento Plataformas Febrero 2020 PCC</t>
  </si>
  <si>
    <t>Error en la Factura correo 15/04/2020 Jon Sanchez</t>
  </si>
  <si>
    <t>A0454</t>
  </si>
  <si>
    <t>Arrendamiento Plataformas Marzo 2020 PCC</t>
  </si>
  <si>
    <t>A0456</t>
  </si>
  <si>
    <t>A0458</t>
  </si>
  <si>
    <t>A0460</t>
  </si>
  <si>
    <t>Se abonan 1,909.78 el 14/08/2020, Se abona $3,819.57 Usd el 21/08/2020, se recibe pago el 28/08/2020 por $1,909.78 Usd</t>
  </si>
  <si>
    <t>A0462</t>
  </si>
  <si>
    <t>Pago en Mxn por $42,088.58 de los cuales se aplican 36,613.57 Mxn para liquidar la factura 462 y el resto (5475.01) a la factura F-511 de molecula</t>
  </si>
  <si>
    <t>A0464</t>
  </si>
  <si>
    <t>Complemento 428</t>
  </si>
  <si>
    <t>A0466</t>
  </si>
  <si>
    <t>A0467</t>
  </si>
  <si>
    <t>ARRENDAMIENTO DE PRS PARA EL SERVICIO DE EMPAQUES NOVA SA DE CV MARZO 2020</t>
  </si>
  <si>
    <t>A0468</t>
  </si>
  <si>
    <t>ARRENDAMIENTO DE MODULOS TITAN IV HEXAGON LINCOLN PARA EL SERVICIO DE EMPAQUES NOVA SA DE CV MARZO 2020</t>
  </si>
  <si>
    <t>A0469</t>
  </si>
  <si>
    <t>ARRENDAMIENTO DE PRS PARA EL SERVICIO DE EMPAQUES NOVA SA DE CV ABRIL 2020</t>
  </si>
  <si>
    <t>A0470</t>
  </si>
  <si>
    <t>ARRENDAMIENTO DE MODULOS TITAN IV HEXAGON LINCOLN PARA EL SERVICIO DE EMPAQUES NOVA SA DE CV ABRIL 2020</t>
  </si>
  <si>
    <t>A0476</t>
  </si>
  <si>
    <t>A0477</t>
  </si>
  <si>
    <t>A0478</t>
  </si>
  <si>
    <t>A0479</t>
  </si>
  <si>
    <t>A0488</t>
  </si>
  <si>
    <t>A0492</t>
  </si>
  <si>
    <t>PAGO EN MXN POR 2,421,561.28 TC 24.0562</t>
  </si>
  <si>
    <t>A0494</t>
  </si>
  <si>
    <t>A0495</t>
  </si>
  <si>
    <t>ARRENDAMIENTO DE INSTALACIONES Y EQUIPO DE DESCOMPRESION MARZO 2020</t>
  </si>
  <si>
    <t>A0496</t>
  </si>
  <si>
    <t>ARRENDAMIENTO DE INSTALACIONES Y EQUIPO DE DESCOMPRESION ABRIL 2020</t>
  </si>
  <si>
    <t>A0498</t>
  </si>
  <si>
    <t>PAGO DE FACTURA 498 Y 519 POR 2,754,809.10TC. 24.2708</t>
  </si>
  <si>
    <t>A0500</t>
  </si>
  <si>
    <t>A0508</t>
  </si>
  <si>
    <t>A0510</t>
  </si>
  <si>
    <t>ABONO POR US $4,448.66 DEL 04/09/2020 pago por 666.28 del 18/09/2020</t>
  </si>
  <si>
    <t>A0512</t>
  </si>
  <si>
    <t>PAGO EN MXN POR 49,954.82 TC 22.425198</t>
  </si>
  <si>
    <t>A0513</t>
  </si>
  <si>
    <t>TAKE OR PAY SERVICIO DE COMPRESION 1 ENERO AL 30 ABRIL 2020</t>
  </si>
  <si>
    <t>Complemento 443</t>
  </si>
  <si>
    <t>A0517</t>
  </si>
  <si>
    <t>A0519</t>
  </si>
  <si>
    <t>A0523</t>
  </si>
  <si>
    <t>A0526</t>
  </si>
  <si>
    <t>ARRENDAMIENTO DE INSTALACIONES Y EQUIPO DE DESCOMPRESION MAYO 2020</t>
  </si>
  <si>
    <t>A0527</t>
  </si>
  <si>
    <t>ARRENDAMIENTO DE MODULOS TITAN IV HEXAGON LINCOLN PARA EL SERVICIO DE EMPAQUES NOVA SA DE CV MAYO 2020</t>
  </si>
  <si>
    <t>A0528</t>
  </si>
  <si>
    <t>ARRENDAMIENTO DE PRS PARA EL SERVICIO DE EMPAQUES NOVA SA DE CV MAYO 2020</t>
  </si>
  <si>
    <t>A0541</t>
  </si>
  <si>
    <t>ENTREGA DE MOLÉCULA POR ARRIBA DE CMD GAS NATURAL EN  SUS INSTALACIONES. 1 AL 30 ABRIL 2020</t>
  </si>
  <si>
    <t>A0544</t>
  </si>
  <si>
    <t>ARRENDAMIENTO DE PLATAFORMAS ABRIL 2020 EMPAQUES NOVA</t>
  </si>
  <si>
    <t>A0545</t>
  </si>
  <si>
    <t>ARRENDAMIENTO DE PLATAFORMAS ABRIL 2020 EMPAQUES PCC</t>
  </si>
  <si>
    <t>A0546</t>
  </si>
  <si>
    <t>ENTREGA DE MOLÉCULA POR ARRIBA DE CMD GIGAJOULE GAS NATURAL EN  SUS INSTALACIONES. 1 AL 31 MARZO 2020</t>
  </si>
  <si>
    <t>A0547</t>
  </si>
  <si>
    <t>PAGO EN MXN POR $969,839.27 TC 21.8388</t>
  </si>
  <si>
    <t>A0548</t>
  </si>
  <si>
    <t>RENTA DE PORTACONTENEDORES TOP ENERO 2020</t>
  </si>
  <si>
    <t>SE APLICA NC106</t>
  </si>
  <si>
    <t>A0549</t>
  </si>
  <si>
    <t>RENTA DE PORTACONTENEDORES TOP FEBRERO 2020</t>
  </si>
  <si>
    <t>PAGO EN MXN POR $28,621.97 TC 20.1174</t>
  </si>
  <si>
    <t>A0550</t>
  </si>
  <si>
    <t>RENTA DE PORTACONTENEDORES TOP MARZO 2020</t>
  </si>
  <si>
    <t>A0551</t>
  </si>
  <si>
    <t>RENTA DE PORTACONTENEDORES TOP ABRIL 2020</t>
  </si>
  <si>
    <t>PAGO EN MXN $28,525.51 TC 20.049</t>
  </si>
  <si>
    <t>A0554</t>
  </si>
  <si>
    <t>A0556</t>
  </si>
  <si>
    <t xml:space="preserve">ABONO del 11/09/20 por $2,557.47 USD Y PAGO del 18/09/20 por $2,557.47 USD liquidando </t>
  </si>
  <si>
    <t>A0558</t>
  </si>
  <si>
    <t>PAGO EN MXN POR $ 35,568.95 TC. 22.3032</t>
  </si>
  <si>
    <t>A0562</t>
  </si>
  <si>
    <t>ERROR EN EL CLIENTE</t>
  </si>
  <si>
    <t>A0564</t>
  </si>
  <si>
    <t>PAGO EN MXN $2,838,340.57 TC 22.177799</t>
  </si>
  <si>
    <t>A0569</t>
  </si>
  <si>
    <t>A0570</t>
  </si>
  <si>
    <t>A0573</t>
  </si>
  <si>
    <t>AJUSTE POR ADMINISTRACION DE SUMINSTRO DE GNC AGROMAIZZA</t>
  </si>
  <si>
    <t>A0574</t>
  </si>
  <si>
    <t>AJUSTE POR ADMINISTRACION DE SUMINSTRO DE GNC EMPAQUES NOVA</t>
  </si>
  <si>
    <t>A0575</t>
  </si>
  <si>
    <t>AJUSTE POR ADMINISTRACION DE SUMINISTRO DE GNC PCC</t>
  </si>
  <si>
    <t>A0577</t>
  </si>
  <si>
    <t>A0579</t>
  </si>
  <si>
    <t>PAGO EN MXN POR $62,789.44 TC 21.9900</t>
  </si>
  <si>
    <t>A0581</t>
  </si>
  <si>
    <t>Complemento 462</t>
  </si>
  <si>
    <t>A0583</t>
  </si>
  <si>
    <t>SERVICIO DE COMPERSION 15 AL 31 MAYO 2020</t>
  </si>
  <si>
    <t>A0587</t>
  </si>
  <si>
    <t>A0591</t>
  </si>
  <si>
    <t>PAGO EN MXN POR 2,533,019.39 TC 23.13249</t>
  </si>
  <si>
    <t>A0598</t>
  </si>
  <si>
    <t>A0599</t>
  </si>
  <si>
    <t>A0613</t>
  </si>
  <si>
    <t>ARRENDAMIENTO DE INSTALACIONES Y EQUIPO DE DESCOMPRESION JUNIO 2020</t>
  </si>
  <si>
    <t>A0618</t>
  </si>
  <si>
    <t xml:space="preserve">PAGO EN MXN $2,796,677.79 FACTURAS A0618 Y A1036 TC 21.6383 </t>
  </si>
  <si>
    <t>A0621</t>
  </si>
  <si>
    <t>RENTA DE PORTACONTENEDORES POR TOP MAYO 2020</t>
  </si>
  <si>
    <t>A0623</t>
  </si>
  <si>
    <t>PAGO EN  $53,536.85 TC 22.3032</t>
  </si>
  <si>
    <t>A0625</t>
  </si>
  <si>
    <t>SERVICIO DE OCMPRESION 1 AL 14 JUNIO 2010</t>
  </si>
  <si>
    <t>A0627</t>
  </si>
  <si>
    <t>A0629</t>
  </si>
  <si>
    <t>PAGO EN MXN POR 2,192,519.65 TC 22.52249</t>
  </si>
  <si>
    <t>A0635</t>
  </si>
  <si>
    <t>ERROR EN EL NOMBRE DEL CLIENTE</t>
  </si>
  <si>
    <t>A0682</t>
  </si>
  <si>
    <t>A0685</t>
  </si>
  <si>
    <t>ARRENDAMIENTO PLATAFORMAS MAYO 2020 PCC</t>
  </si>
  <si>
    <t>A0721</t>
  </si>
  <si>
    <t>A0723</t>
  </si>
  <si>
    <t>PAGO EN MXN POR $59,699.60 TC 21.9900</t>
  </si>
  <si>
    <t>A0725</t>
  </si>
  <si>
    <t>A0834</t>
  </si>
  <si>
    <t>Pago por MX$ 2,612,620.09 facturas A0834 y A1064 $  TC 21.27729</t>
  </si>
  <si>
    <t>A0835</t>
  </si>
  <si>
    <t>TRANSPORTES LAR MEX, SA DE CV</t>
  </si>
  <si>
    <t>RENTA DE PORTACONTENEDORES TOP JUNIO 2020</t>
  </si>
  <si>
    <t>SE CANCELA POR ERROR EN EL CLIENTE</t>
  </si>
  <si>
    <t>A0836</t>
  </si>
  <si>
    <t>RENTA DE INSTALACIONES Y EQUIPO DE DESCOMPRESION JULIO 2020</t>
  </si>
  <si>
    <t>A0838</t>
  </si>
  <si>
    <t>A0839</t>
  </si>
  <si>
    <t>SUSTITUYE FACTURA A0835 PAGO EN MXN $28,525.51 TC 20.049</t>
  </si>
  <si>
    <t>A0862</t>
  </si>
  <si>
    <t>PAGO POR $ 4,198,915.61 MXN, TC 22.1760</t>
  </si>
  <si>
    <t>A0874</t>
  </si>
  <si>
    <t>A0896</t>
  </si>
  <si>
    <t>PAGO EN MXN POR $51,993.01 TC 21.9900</t>
  </si>
  <si>
    <t>A0898</t>
  </si>
  <si>
    <t>A0970</t>
  </si>
  <si>
    <t>A1014</t>
  </si>
  <si>
    <t>A1016</t>
  </si>
  <si>
    <r>
      <rPr>
        <rFont val="Calibri"/>
        <color rgb="FF000000"/>
        <sz val="11.0"/>
      </rPr>
      <t xml:space="preserve">PAGO EN MXN POR $ </t>
    </r>
    <r>
      <rPr>
        <rFont val="Calibri"/>
        <color rgb="FF000000"/>
        <sz val="11.0"/>
        <u/>
      </rPr>
      <t>53,931.92 TC 21.8393</t>
    </r>
    <r>
      <rPr>
        <rFont val="Calibri"/>
        <color rgb="FF000000"/>
        <sz val="11.0"/>
      </rPr>
      <t xml:space="preserve"> DEL  03/09/2020</t>
    </r>
  </si>
  <si>
    <t>A1036</t>
  </si>
  <si>
    <t>A1040</t>
  </si>
  <si>
    <t>A1041</t>
  </si>
  <si>
    <t>A1042</t>
  </si>
  <si>
    <t>A1044</t>
  </si>
  <si>
    <t>A1046</t>
  </si>
  <si>
    <t>A1047</t>
  </si>
  <si>
    <t>ARRENDAMIENTO DE INSTALACION Y EQUIPO AGOSTO 2020</t>
  </si>
  <si>
    <t>A1048</t>
  </si>
  <si>
    <t>RENTA DE PORTACONTENEDORES POR TOP JULIO 2020</t>
  </si>
  <si>
    <t>A1050</t>
  </si>
  <si>
    <t>A1052</t>
  </si>
  <si>
    <t>SERVICIO DE COMRPESION 1 AL 14 AGOSTO 2020</t>
  </si>
  <si>
    <t>PAGO EN POR MX $ 63,413.72; TC DE 21.6383 DEL 04/09/2020</t>
  </si>
  <si>
    <t>A1060</t>
  </si>
  <si>
    <t>A1064</t>
  </si>
  <si>
    <t>A1066</t>
  </si>
  <si>
    <t>A1068</t>
  </si>
  <si>
    <t>A1070</t>
  </si>
  <si>
    <t>Pago por MX$ 68,735.93 TC 21.32100</t>
  </si>
  <si>
    <t>A1072</t>
  </si>
  <si>
    <t>A1073</t>
  </si>
  <si>
    <t>A1074</t>
  </si>
  <si>
    <t>TAKE OR PAY SERVICIO DE COMPRESION 1 MAYO AL 31 AGOSTO 2020</t>
  </si>
  <si>
    <t>A1075</t>
  </si>
  <si>
    <t>SERVICIO DE PREARRANQUE DE DESCOMPRESORA EDRM 1000</t>
  </si>
  <si>
    <t>A1080</t>
  </si>
  <si>
    <t>A1082</t>
  </si>
  <si>
    <t>Pago por $2,421,094.25 TC 22.3677</t>
  </si>
  <si>
    <t>A1086</t>
  </si>
  <si>
    <t>A1088</t>
  </si>
  <si>
    <t>A1092</t>
  </si>
  <si>
    <t>PAGO EN PESOS POR $30,761.43 TC 21.182200 JUNTO CON FACTURA A1124</t>
  </si>
  <si>
    <t>A1101</t>
  </si>
  <si>
    <t>Sustituye factura A1088</t>
  </si>
  <si>
    <t>A1105</t>
  </si>
  <si>
    <t>ANTICIPO POR SERVICIO DE COMPRESION, TRANSPORTE Y DESCOMPRESION EN SUS INSTALACIONES</t>
  </si>
  <si>
    <t>A1107</t>
  </si>
  <si>
    <t>A1109</t>
  </si>
  <si>
    <t>A1111</t>
  </si>
  <si>
    <t>PAGO EN MXN POR $ 48,169.20 TC 20.6200</t>
  </si>
  <si>
    <t>A1113</t>
  </si>
  <si>
    <t>A1115</t>
  </si>
  <si>
    <t>SE APLICA NC 94 POR US$15,041.74, SE RECIBE PAGO EN MX$ 1,585,344.25 TC 21.3832</t>
  </si>
  <si>
    <t>A1119</t>
  </si>
  <si>
    <t>A1121</t>
  </si>
  <si>
    <t>A1125</t>
  </si>
  <si>
    <t>SE APLICA NC95, Y pago en mxn por $176,152.15 TC 20.5772</t>
  </si>
  <si>
    <t>A1126</t>
  </si>
  <si>
    <t>A1130</t>
  </si>
  <si>
    <t>A1136</t>
  </si>
  <si>
    <t>A1138</t>
  </si>
  <si>
    <t>A1140</t>
  </si>
  <si>
    <t>PAGO EN MXN POR $ 62,615.07 TC 21.2183</t>
  </si>
  <si>
    <t>A1142</t>
  </si>
  <si>
    <t>A1146</t>
  </si>
  <si>
    <t>A1148</t>
  </si>
  <si>
    <t>A1152</t>
  </si>
  <si>
    <t>PAGO EN MXN POR $1,995,698.84 TC 21.02999</t>
  </si>
  <si>
    <t>A1154</t>
  </si>
  <si>
    <t>A1157</t>
  </si>
  <si>
    <t>RENTA PORTACONTENEDORES POR TOP AGOSTO 2020</t>
  </si>
  <si>
    <t>A1158</t>
  </si>
  <si>
    <t>RENTA PORTACONTENEDORES POR TOP SEPTIEMBRE 2020</t>
  </si>
  <si>
    <t>A1159</t>
  </si>
  <si>
    <t>ARRENDAMIENTO DE INSTALACIONES Y EQUIPO DE DESCOMPRESION SEPTIEMBRE 2020</t>
  </si>
  <si>
    <t>A1160</t>
  </si>
  <si>
    <t>TAKE OR PAY POR SERVICIO DE COMPRESION 1 AL 30 DE SEPTIEMBRE 2020</t>
  </si>
  <si>
    <t>A1169</t>
  </si>
  <si>
    <t>A1171</t>
  </si>
  <si>
    <t>A1172</t>
  </si>
  <si>
    <t>A1174</t>
  </si>
  <si>
    <t>A1176</t>
  </si>
  <si>
    <t>SERVICIO DE OCMPRESION 1 AL 14 OCTUBRE 2020</t>
  </si>
  <si>
    <t>A1178</t>
  </si>
  <si>
    <t>PAGO EN MXN POR $56,590.98 TC 21.2183</t>
  </si>
  <si>
    <t>A1180</t>
  </si>
  <si>
    <t>A1182</t>
  </si>
  <si>
    <t>A1184</t>
  </si>
  <si>
    <t>A1192</t>
  </si>
  <si>
    <t>A1194</t>
  </si>
  <si>
    <t>SE APLICA NC 097</t>
  </si>
  <si>
    <t>A1198</t>
  </si>
  <si>
    <t>A1200</t>
  </si>
  <si>
    <t>A1208</t>
  </si>
  <si>
    <t>PAGO POR $3,708,377.52 APLICADO A LAS FACTURAS A1208 Y A1241 TC 20.1858</t>
  </si>
  <si>
    <t>A1210</t>
  </si>
  <si>
    <t>PAGO POR $$119,056.75 TC 20.0467</t>
  </si>
  <si>
    <t>A1211</t>
  </si>
  <si>
    <t>A1212</t>
  </si>
  <si>
    <t>POLIZA DE MANTENIMIENTO OCTUBRE 2020</t>
  </si>
  <si>
    <t>A1214</t>
  </si>
  <si>
    <t>A1216</t>
  </si>
  <si>
    <t>A1218</t>
  </si>
  <si>
    <t>Pago por $86,991.85 TC 19.95720</t>
  </si>
  <si>
    <t>A1221</t>
  </si>
  <si>
    <t>A1229</t>
  </si>
  <si>
    <t>APLICAR NC101 POR DIFERENCIA EN COSTO DE SEFRVICIO DE COMPRESION</t>
  </si>
  <si>
    <t>A1230</t>
  </si>
  <si>
    <t>A1231</t>
  </si>
  <si>
    <t>CANCELADA POR ERROR EN EL IMPORTE DE LA FACTURA SUSTITUYE FACT A1249</t>
  </si>
  <si>
    <t>A1235</t>
  </si>
  <si>
    <t>A1237</t>
  </si>
  <si>
    <t>A1241</t>
  </si>
  <si>
    <t>SERVICIO DE COMPRESION15 AL 31 OCTUBRE 2020</t>
  </si>
  <si>
    <t>A1243</t>
  </si>
  <si>
    <t>PAGO EN MXN POR $ 41,548.91 PAGAN $31,613.44 TC 20.1398 Y SALDO A FACTURA A1285 DE MOLECULA</t>
  </si>
  <si>
    <t>A1244</t>
  </si>
  <si>
    <t>TAKE OR PAY POR SERVICIO DE COMPRESION, TRANSPORTE Y DESCOMPRESION DE GAS NATURAL EQUIVALENTE A 11,324.16 GJ OCTUBRE 2020</t>
  </si>
  <si>
    <t>A1248</t>
  </si>
  <si>
    <t>A1249</t>
  </si>
  <si>
    <t>A1252</t>
  </si>
  <si>
    <t>A1254</t>
  </si>
  <si>
    <t>A1256</t>
  </si>
  <si>
    <t>A1258</t>
  </si>
  <si>
    <t>PAGO EN MXN POR $74,627.29 TC 19.9083</t>
  </si>
  <si>
    <t>A1260</t>
  </si>
  <si>
    <t>A1262</t>
  </si>
  <si>
    <t>A1263</t>
  </si>
  <si>
    <t>A1264</t>
  </si>
  <si>
    <t>A1266</t>
  </si>
  <si>
    <t>PAGO EN MXN POR $179,709.66 TC 19.94870 DIFERNCIA APLICADA A FACTURA A1335</t>
  </si>
  <si>
    <t>A1268</t>
  </si>
  <si>
    <t>Ingreso en MXN por $1,334,065.18 TC 19.95720</t>
  </si>
  <si>
    <t>A1272</t>
  </si>
  <si>
    <t>A1274</t>
  </si>
  <si>
    <t>A1287</t>
  </si>
  <si>
    <t>A1289</t>
  </si>
  <si>
    <t>COSTO ADICIONAL POR SERVICIO DE GN (TRANSPORTE EN RUTA ALTERNA POR FUERZA MAYOR)EQUIVALENTE A 12,805.42
GJ</t>
  </si>
  <si>
    <t>SE APLICA NC120 Y SE GENERA FACTURA A1874</t>
  </si>
  <si>
    <t>A1290</t>
  </si>
  <si>
    <t>A1291</t>
  </si>
  <si>
    <t>RENTA PORTACONTENEDORES POR TOP OCTUBRE 2020</t>
  </si>
  <si>
    <t>SE APLICA NC107</t>
  </si>
  <si>
    <t>A1292</t>
  </si>
  <si>
    <t>RENTA PORTACONTENEDORES POR TOP NOVIEMBRE 2020</t>
  </si>
  <si>
    <t>SE APLICA NC108</t>
  </si>
  <si>
    <t>A1293</t>
  </si>
  <si>
    <t>RENTA DE INSTALACIONES Y EQUIPO DE DESCOMPRESION OCTUBRE 2020</t>
  </si>
  <si>
    <t>A1295</t>
  </si>
  <si>
    <t>RENTA DE INSTALACIONES Y EQUIPO DE DESCOMPRESION NOVIEMBRE 2020</t>
  </si>
  <si>
    <t>A1296</t>
  </si>
  <si>
    <t>A1298</t>
  </si>
  <si>
    <t>A1304</t>
  </si>
  <si>
    <t>A1305</t>
  </si>
  <si>
    <t>PAGO EN MX$73,749.18 TC 19.73929</t>
  </si>
  <si>
    <t>A1307</t>
  </si>
  <si>
    <t>A1309</t>
  </si>
  <si>
    <t>A1310</t>
  </si>
  <si>
    <t>A1312</t>
  </si>
  <si>
    <t>A1313</t>
  </si>
  <si>
    <t>TAKE OR PAY POR SERVICIO DE COMPRESION, TRANSPORTE Y DESCOMPRESION DE GAS NATURAL EQUIVALENTE A
11,602.23 GJ NOVIEMBRE 2020</t>
  </si>
  <si>
    <t>A1316</t>
  </si>
  <si>
    <t>A1317</t>
  </si>
  <si>
    <t>A1319</t>
  </si>
  <si>
    <t>A1320</t>
  </si>
  <si>
    <t>PAGO EN MXN POR $25,086.6 TC 19.91</t>
  </si>
  <si>
    <t>A1322</t>
  </si>
  <si>
    <t>A1330</t>
  </si>
  <si>
    <t>A1332</t>
  </si>
  <si>
    <t>A1334</t>
  </si>
  <si>
    <t>pago en mxn por $1,950,822.46  tc 19.9087</t>
  </si>
  <si>
    <t>A1336</t>
  </si>
  <si>
    <t>PAGO EN MXN POR $$ 802,723.33 FACTURAS A1414 $610,053.80 Y A1336 POR $192,669.53 TC 19.79349</t>
  </si>
  <si>
    <t>A1338</t>
  </si>
  <si>
    <t>A1340</t>
  </si>
  <si>
    <t>A1341</t>
  </si>
  <si>
    <t>A1343</t>
  </si>
  <si>
    <t>A1345</t>
  </si>
  <si>
    <t>A1347</t>
  </si>
  <si>
    <t>PAGO EN MX$ 74,137.59 TC 20.71327</t>
  </si>
  <si>
    <t>A1349</t>
  </si>
  <si>
    <t>A1354</t>
  </si>
  <si>
    <t>A1356</t>
  </si>
  <si>
    <t>PAGO PARCIAL POR US$40,000.00 19/05/2021, PAGO POR US$25,856.24 02/06/2021</t>
  </si>
  <si>
    <t>A1358</t>
  </si>
  <si>
    <t>A1359</t>
  </si>
  <si>
    <t>A1360</t>
  </si>
  <si>
    <t>A1362</t>
  </si>
  <si>
    <t>A1364</t>
  </si>
  <si>
    <t>A1366</t>
  </si>
  <si>
    <t>PAGO EN MXN POR $1,833,734.49 TC 19.9099</t>
  </si>
  <si>
    <t>A1368</t>
  </si>
  <si>
    <t>PAGO EN POR MX$167,486.18 TC 19.73929</t>
  </si>
  <si>
    <t>A1378</t>
  </si>
  <si>
    <t>SERVICIO DE COMPRESION 15 AL 29 DICIEMBRE 2020</t>
  </si>
  <si>
    <t>A1380</t>
  </si>
  <si>
    <t>SERVICIO DE COMPRESION 30 AL 31 DICIEMBRE 2020</t>
  </si>
  <si>
    <t>A1382</t>
  </si>
  <si>
    <t>SERVICIO DE COMPRESION 15 AL 31 DICEMBRE 2020</t>
  </si>
  <si>
    <t>A1384</t>
  </si>
  <si>
    <t>PAGO EN MX$ 63,635.41  TC 20.4414995</t>
  </si>
  <si>
    <t>A1386</t>
  </si>
  <si>
    <t>A1388</t>
  </si>
  <si>
    <t>A1399</t>
  </si>
  <si>
    <t>ENTREGA DE MOLECULA 15 AL 31 DICIEMBRE 2020</t>
  </si>
  <si>
    <t>A1400</t>
  </si>
  <si>
    <t>A1401</t>
  </si>
  <si>
    <t>A1407</t>
  </si>
  <si>
    <t>A1409</t>
  </si>
  <si>
    <t>A1411</t>
  </si>
  <si>
    <t>A1413</t>
  </si>
  <si>
    <t>PAGO EN MX $1,779,380.44 TC 19.77929</t>
  </si>
  <si>
    <t>A1415</t>
  </si>
  <si>
    <t>PAGO EN MX $215,042.46 TC 20.216799</t>
  </si>
  <si>
    <t>A1418</t>
  </si>
  <si>
    <t>TAKE OR PAY POR SERVICIO DE COMPRESION, TRANSPORTE Y DESCOMPRESION DE GAS NATURAL EQUIVALENTE A 920.42
GJ DICIEMBRE 2020</t>
  </si>
  <si>
    <t>SE APLICA NC 109 POR DIFERENCIA EN VOLUMEN DE TOP DE OCT, NOV Y DIC 2020</t>
  </si>
  <si>
    <t>A1448</t>
  </si>
  <si>
    <t>PAGO PARCIAL POR US$14,000.00 FALTA FECHA,  PAGO PARCIAL POR US$10,000.00 16/07/2021 PAGO PARCIAL POR US$5,000 31/08/2021, PAGO PARCIAL 20/09/2021 US$60,000, SE APLICA PAGO 06/10/2021 18,498.27 DE ABONO POR $60,010.62</t>
  </si>
  <si>
    <t>A1449</t>
  </si>
  <si>
    <t>ARRENDAMIENTO PORTACONTENEDORES POR TOP DICIEMBRE 2020</t>
  </si>
  <si>
    <t>PAGO EN MX$24,031.48 TC 19.87189</t>
  </si>
  <si>
    <t>A1450</t>
  </si>
  <si>
    <t>ARRENDAMIENTO DE EQUIPOS E INSTALACIONES DICIEMBRE 2020</t>
  </si>
  <si>
    <t>A1452</t>
  </si>
  <si>
    <t>PAGO EN MXN POR $78,643.15 TC 20.2168</t>
  </si>
  <si>
    <t>A1454</t>
  </si>
  <si>
    <t>A1456</t>
  </si>
  <si>
    <t>A1458</t>
  </si>
  <si>
    <t>PAGO EN MXN POR $33,828.92 TC 20.4415467</t>
  </si>
  <si>
    <t>A1460</t>
  </si>
  <si>
    <t>A1462</t>
  </si>
  <si>
    <t>A1464</t>
  </si>
  <si>
    <t>A1474</t>
  </si>
  <si>
    <t>A1476</t>
  </si>
  <si>
    <t>A1481</t>
  </si>
  <si>
    <t>ERROR EN TARIFAS</t>
  </si>
  <si>
    <t>A1482</t>
  </si>
  <si>
    <t>A1484</t>
  </si>
  <si>
    <t>PAGO EN MXN POR $25,609.33 TC 20.427</t>
  </si>
  <si>
    <t>A1486</t>
  </si>
  <si>
    <t>A1488</t>
  </si>
  <si>
    <t>A1518</t>
  </si>
  <si>
    <t>A1526</t>
  </si>
  <si>
    <t>A1528</t>
  </si>
  <si>
    <t>A1530</t>
  </si>
  <si>
    <t>PAGO EN MX$ 46,992.00 TC 20.058307</t>
  </si>
  <si>
    <t>A1532</t>
  </si>
  <si>
    <t>A1535</t>
  </si>
  <si>
    <t>A1537</t>
  </si>
  <si>
    <t>A1554</t>
  </si>
  <si>
    <t>A1556</t>
  </si>
  <si>
    <t>A1558</t>
  </si>
  <si>
    <t>PAGO EN MX$ 49,975.60  TC 20.6000</t>
  </si>
  <si>
    <t>A1562</t>
  </si>
  <si>
    <t>pago en mxn por $2,063,562.88 tc 20.8498.</t>
  </si>
  <si>
    <t>A1564</t>
  </si>
  <si>
    <t>PAGO EN MX$374,403.27 TC 20.09</t>
  </si>
  <si>
    <t>A1566</t>
  </si>
  <si>
    <t>PAGO A CTA POR US$60,000 2 SEPTIEMBRE 2021, SE APLICA ABONO $31,512.35 DE ABONO POR $60,010.62</t>
  </si>
  <si>
    <t>A1700</t>
  </si>
  <si>
    <t>ARRENDAMIENTO PORTACONTENEDORES POR TOP ENERO 2021</t>
  </si>
  <si>
    <t>PAGO POR MX%27,854.16 TC 19.9915</t>
  </si>
  <si>
    <t>A1701</t>
  </si>
  <si>
    <t>TAKE OR PAY POR SERVICIO DE COMPRESION, TRANSPORTE Y DESCOMPRESION DE GAS NATURAL EQUIVALENTE A 920.42
GJ ENERO 2021</t>
  </si>
  <si>
    <t>A1705</t>
  </si>
  <si>
    <t>A1706</t>
  </si>
  <si>
    <t>A1708</t>
  </si>
  <si>
    <t>PAGO EN MX$53,339.73 TC 20.1599</t>
  </si>
  <si>
    <t>A1711</t>
  </si>
  <si>
    <t>pago junto con la factura A1802</t>
  </si>
  <si>
    <t>A1713</t>
  </si>
  <si>
    <t>Pago en MX$169,141.97 TC 19.9269</t>
  </si>
  <si>
    <t>A1727</t>
  </si>
  <si>
    <t>A1729</t>
  </si>
  <si>
    <t>SERVICIO DE COMPRESION 1 A 14 FEBRERO 2021</t>
  </si>
  <si>
    <t>A1731</t>
  </si>
  <si>
    <t>PAGO EN MX$ 37,282.93 TC 19.9269527</t>
  </si>
  <si>
    <t>A1733</t>
  </si>
  <si>
    <t>A1735</t>
  </si>
  <si>
    <t>A1736</t>
  </si>
  <si>
    <t>CANCELADA POR ERROR EN IMPORTE</t>
  </si>
  <si>
    <t>A1737</t>
  </si>
  <si>
    <t>A1738</t>
  </si>
  <si>
    <t>PAGO EN MXN POR $116,460.95  TC 20.7133012</t>
  </si>
  <si>
    <t>A1739</t>
  </si>
  <si>
    <t>PAGO EN MXN POR $737,218.41  TC 20.4415001</t>
  </si>
  <si>
    <t>A1741</t>
  </si>
  <si>
    <t>SE APLICA ABONO $10,000 DE ABONO POR $60,010.62, SE RECIBE PAGO POR US$248,363.11 DEL 20/10/2021 SE APLICA PAGO A SALDO DE A1741, A1772, A1800, A1867, A1922</t>
  </si>
  <si>
    <t>A1745</t>
  </si>
  <si>
    <t>A1747</t>
  </si>
  <si>
    <t>A1748</t>
  </si>
  <si>
    <t>PAGO EN MXN POR  MXN$ 970,198.36   TC 20.4415001</t>
  </si>
  <si>
    <t>A1749</t>
  </si>
  <si>
    <t xml:space="preserve">SERVICIO DE COMPRESION 15 AL 28 FEBRERO 2021 </t>
  </si>
  <si>
    <t>PAGO JUNTO CON FACTURA A1749</t>
  </si>
  <si>
    <t>A1751</t>
  </si>
  <si>
    <t>PAGO POR MX$ 50,976.47  TC 20.1410</t>
  </si>
  <si>
    <t>A1755</t>
  </si>
  <si>
    <t>SERVICIO DE CMPRESION 15 AL 28 FEBRERO 2021</t>
  </si>
  <si>
    <t>PAGO EN MXN POR $705,919.52  TC 20.4400</t>
  </si>
  <si>
    <t>A1757</t>
  </si>
  <si>
    <t>A1759</t>
  </si>
  <si>
    <t>A1760</t>
  </si>
  <si>
    <t>A1762</t>
  </si>
  <si>
    <t>PAGO EN MX$ 20,309.12 TC 20.48</t>
  </si>
  <si>
    <t>A1764</t>
  </si>
  <si>
    <t>PAGO MX$30855.15 tc 19.8695</t>
  </si>
  <si>
    <t>A1766</t>
  </si>
  <si>
    <t>A1768</t>
  </si>
  <si>
    <t>A1769</t>
  </si>
  <si>
    <t>TAKE OR PAY POR SERVICIO DE COMPRESION, TRANSPORTE Y DESCOMPRESION DE GAS NATURAL EQUIVALENTE A 679.95
GJ FEBRERO 2021</t>
  </si>
  <si>
    <t>A1770</t>
  </si>
  <si>
    <t>RENTA DE PORTACONTENEDORES POR TOP FEBRERO 2021</t>
  </si>
  <si>
    <t>PAGO POR MX$28,188.02 TC 19.9847</t>
  </si>
  <si>
    <t>A1772</t>
  </si>
  <si>
    <t>SERVICIO DE COMPRESION 15 AL28 FEBRERO 2021</t>
  </si>
  <si>
    <t>A1780</t>
  </si>
  <si>
    <t>CARGO POR CAPACIDAD DE GAS NATURAL NO UTILIZADA 16 AL 22 FEBRERO 2021 EQUIVALENTE A 302.57 MMBtu</t>
  </si>
  <si>
    <t>A1791</t>
  </si>
  <si>
    <t>A1793</t>
  </si>
  <si>
    <t>A1794</t>
  </si>
  <si>
    <t>A1795</t>
  </si>
  <si>
    <t>A1796</t>
  </si>
  <si>
    <t>A1800</t>
  </si>
  <si>
    <t>A1802</t>
  </si>
  <si>
    <t>pago POR MXN $3,259,597.88 TC19.9269</t>
  </si>
  <si>
    <t>A1804</t>
  </si>
  <si>
    <t>A1806</t>
  </si>
  <si>
    <t>A1808</t>
  </si>
  <si>
    <t xml:space="preserve">PAGO EN MX$ $ 30,576.48 TC 19.9270604 </t>
  </si>
  <si>
    <t>A1810</t>
  </si>
  <si>
    <t>PAGO MX$184414.37 TC 19.881</t>
  </si>
  <si>
    <t>A1812</t>
  </si>
  <si>
    <t>A1814</t>
  </si>
  <si>
    <t>A1823</t>
  </si>
  <si>
    <t>PGO MX$81,115.67 TC  20.0495</t>
  </si>
  <si>
    <t>A1844</t>
  </si>
  <si>
    <t>A1846</t>
  </si>
  <si>
    <t>A1848</t>
  </si>
  <si>
    <t>PAGO POR MX$46,872.25 TC 20.2077</t>
  </si>
  <si>
    <t>A1850</t>
  </si>
  <si>
    <t>A1853</t>
  </si>
  <si>
    <t>A1857</t>
  </si>
  <si>
    <t>A1859</t>
  </si>
  <si>
    <t>A1860</t>
  </si>
  <si>
    <t>A1861</t>
  </si>
  <si>
    <t>A1863</t>
  </si>
  <si>
    <t>PAGO MX$77,888.90  TC 20.0495</t>
  </si>
  <si>
    <t>A1867</t>
  </si>
  <si>
    <t>A1869</t>
  </si>
  <si>
    <t>PAGO EN MX$2,699,963.26 TC 19.8865</t>
  </si>
  <si>
    <t>A1871</t>
  </si>
  <si>
    <t>A1875</t>
  </si>
  <si>
    <t>COSTO ADICIONAL POR SERVICIO DE GN (TRANSPORTE EN RUTA ALTERNA POR FUERZA MAYOR) EQUIVALENTE A 
12,805.42 GJ</t>
  </si>
  <si>
    <t>SUSITUTYE A FACTURA A1289</t>
  </si>
  <si>
    <t>A1879</t>
  </si>
  <si>
    <t>RENTA PORTACONTENEDORES POR TOP MARZO 2021</t>
  </si>
  <si>
    <t>PAGO EN MX$27,770.98  TC19.9318022</t>
  </si>
  <si>
    <t>A1889</t>
  </si>
  <si>
    <t>A1891</t>
  </si>
  <si>
    <t>A1892</t>
  </si>
  <si>
    <t>A1893</t>
  </si>
  <si>
    <t>A1895</t>
  </si>
  <si>
    <t>PAGO MX$74,249.48  TC 19.7929998</t>
  </si>
  <si>
    <t>A1899</t>
  </si>
  <si>
    <t>A1901</t>
  </si>
  <si>
    <t>PAGO POR MX$1,977,968.20 TC 20.1838</t>
  </si>
  <si>
    <t>A1903</t>
  </si>
  <si>
    <t>A1905</t>
  </si>
  <si>
    <t>A1907</t>
  </si>
  <si>
    <t>PAGO EN MX$39,010.08 TC 19.77276</t>
  </si>
  <si>
    <t>A1909</t>
  </si>
  <si>
    <t>PAGO POR MX$ 418,180.39 TC 19.92769 JUNTO CON FACTURAS A1784, A1908 y A1954</t>
  </si>
  <si>
    <t>A1911</t>
  </si>
  <si>
    <t>A1913</t>
  </si>
  <si>
    <t>A1922</t>
  </si>
  <si>
    <t>A1924</t>
  </si>
  <si>
    <t>A1932</t>
  </si>
  <si>
    <t>A1937</t>
  </si>
  <si>
    <t>A1939</t>
  </si>
  <si>
    <t>A1941</t>
  </si>
  <si>
    <t>PAGO POR MX$72,640.18 TC 19.882299</t>
  </si>
  <si>
    <t>A1945</t>
  </si>
  <si>
    <t>A1947</t>
  </si>
  <si>
    <t>PAGO POR MX$2,097,028.73 TC 20.04949</t>
  </si>
  <si>
    <t>A1949</t>
  </si>
  <si>
    <t>A1951</t>
  </si>
  <si>
    <t>A1953</t>
  </si>
  <si>
    <t>PAGO EN MX$56,909.41  TC19.9547</t>
  </si>
  <si>
    <t>A1955</t>
  </si>
  <si>
    <t>A1957</t>
  </si>
  <si>
    <t>A1958</t>
  </si>
  <si>
    <t>TAKE OR PAY POR SERVICIO DE COMPRESION, TRANSPORTE Y DESCOMPRESION DE GAS NATURAL EQUIVALENTE A 
1,422.86 GJ ABRIL 2021</t>
  </si>
  <si>
    <t>CANCELADA POR ERROR EN EL MONTO</t>
  </si>
  <si>
    <t>A1959</t>
  </si>
  <si>
    <t>RENTA PORTACONTENEDORES POR TOP ABRIL 2021</t>
  </si>
  <si>
    <t>A1960</t>
  </si>
  <si>
    <t>A1961</t>
  </si>
  <si>
    <t>A1962</t>
  </si>
  <si>
    <t>PAGO PARCIAL POR US$6,142.03 03/05/2021 PAGO SALDO US$1,840.74 04/06/2021</t>
  </si>
  <si>
    <t>A1963</t>
  </si>
  <si>
    <t>A1964</t>
  </si>
  <si>
    <t>A1965</t>
  </si>
  <si>
    <t>VENTA DE DESCOMPRESORA PRS 2000 Numero de Serie: 337.00.00/ WC1005736</t>
  </si>
  <si>
    <t xml:space="preserve">FACTURA SUTITUIDA POR FACTURA A1982 </t>
  </si>
  <si>
    <t>A1969</t>
  </si>
  <si>
    <t>SERVICIO DE COMPRESION 1 AL 14 MAYO 2021</t>
  </si>
  <si>
    <t>A1971</t>
  </si>
  <si>
    <t>A1973</t>
  </si>
  <si>
    <t>PAGO POR MX$101,871.20  TC20.00</t>
  </si>
  <si>
    <t>A1977</t>
  </si>
  <si>
    <t>PAGO POR MX$1,767,192.06 TC 19.70020</t>
  </si>
  <si>
    <t>A1979</t>
  </si>
  <si>
    <t>PAGO EN MX$1,378,171.01, SE PAGAN FACTURA A1979, A2009 Y A2035 TC 20.29330. Y FACTURA A2139 MX$716,866.95</t>
  </si>
  <si>
    <t>A1981</t>
  </si>
  <si>
    <t>A1982</t>
  </si>
  <si>
    <t>ANTICIPO DE FACTURA 13/05/2021</t>
  </si>
  <si>
    <t>A1984</t>
  </si>
  <si>
    <t xml:space="preserve">PAGO EN MXN$44,123.15 TC19.7930003 </t>
  </si>
  <si>
    <t>A1992</t>
  </si>
  <si>
    <t>A1993</t>
  </si>
  <si>
    <t>A1995</t>
  </si>
  <si>
    <t>A1997</t>
  </si>
  <si>
    <t>A1999</t>
  </si>
  <si>
    <t>PAGO EN XM$ 37,623.69 TC20.14029913</t>
  </si>
  <si>
    <t>A2001</t>
  </si>
  <si>
    <t>A2009</t>
  </si>
  <si>
    <t>SUSTITUYE FACTURA A1871</t>
  </si>
  <si>
    <t>A2019</t>
  </si>
  <si>
    <t>A2021</t>
  </si>
  <si>
    <t>A2022</t>
  </si>
  <si>
    <t>ENTREGA DE MOLECULA  15 AL 31 MAYO 2021</t>
  </si>
  <si>
    <t>A2023</t>
  </si>
  <si>
    <t>A2025</t>
  </si>
  <si>
    <t>PAGO POR MX$73,000.00 TC 20.02</t>
  </si>
  <si>
    <t>A2027</t>
  </si>
  <si>
    <t>PAGO POR MX$2,088,404.59 TC 20.42919</t>
  </si>
  <si>
    <t>A2029</t>
  </si>
  <si>
    <t>A2031</t>
  </si>
  <si>
    <t>A2033</t>
  </si>
  <si>
    <t>PAGO EN MX$ 48,810.62  TC 20.14029948</t>
  </si>
  <si>
    <t>A2035</t>
  </si>
  <si>
    <t>A2037</t>
  </si>
  <si>
    <t>A2039</t>
  </si>
  <si>
    <t>INGRESO POR MX$47,783.60 TC 20.00</t>
  </si>
  <si>
    <t>A2043</t>
  </si>
  <si>
    <t>A2045</t>
  </si>
  <si>
    <t>INTERESES DE FACTURAS VENCIDAS AL 31 DE MAYO 2021 POR SERVICIO DE GNC FACTURAS: A1356, A1448, A1566, 
A1741, A1772, A1800, A1867, A1922, A1945 Y A1981</t>
  </si>
  <si>
    <t>A2048</t>
  </si>
  <si>
    <t>DIFERENCIA POR SERVICIO DE COMPRESIÓN, TRANSPORTE DE GAS NATURAL EQUIVALENTE A 555.75 GJ DE LOS DÍAS 13 Y 
14 DE MAYO 2021</t>
  </si>
  <si>
    <t>A2049</t>
  </si>
  <si>
    <t>TAKE OR PAY POR SERVICIO DE COMPRESIÓN, TRANSPORTE Y DESCOMPRESIÓN DE GAS NATURAL EQUIVALENTE A 759.08 GJ
GJ MAYO 2021</t>
  </si>
  <si>
    <t>A2050</t>
  </si>
  <si>
    <t>RENTA PORTACONTENEDORES POR TOP MAYO 2021</t>
  </si>
  <si>
    <t>PAGO EN MX$ 12,051.96  TC. 19.9317964</t>
  </si>
  <si>
    <t>A2051</t>
  </si>
  <si>
    <t>A2052</t>
  </si>
  <si>
    <t>A2054</t>
  </si>
  <si>
    <t>A2056</t>
  </si>
  <si>
    <t>SE SITITUYE POR FACTURA A2245</t>
  </si>
  <si>
    <t>A2058</t>
  </si>
  <si>
    <t xml:space="preserve">PAGO EN MX$ 43,579.98 TC 20.14085666 </t>
  </si>
  <si>
    <t>A2060</t>
  </si>
  <si>
    <t>A2064</t>
  </si>
  <si>
    <t>A2066</t>
  </si>
  <si>
    <t>A2070</t>
  </si>
  <si>
    <t>PAGO POR MX$1,705,376.69 TC 19.85769</t>
  </si>
  <si>
    <t>A2072</t>
  </si>
  <si>
    <t>PAGO EN MX$899,881.39  TC 20.03280 FACTURS A2109, A2140 y A2175</t>
  </si>
  <si>
    <t>A2080</t>
  </si>
  <si>
    <t>INGRESO POR MX$95612.64 TC 20.604000</t>
  </si>
  <si>
    <t>A2082</t>
  </si>
  <si>
    <t xml:space="preserve">PAGO EN MX$150,228.38 TC 20.0037 </t>
  </si>
  <si>
    <t>A2092</t>
  </si>
  <si>
    <t>SERVICIO DE CPMPRESION 15 AL 30 JUNI 2021</t>
  </si>
  <si>
    <t>A2096</t>
  </si>
  <si>
    <t>A2097</t>
  </si>
  <si>
    <t>A2099</t>
  </si>
  <si>
    <t>PAGO JUNTO CON FACTURA A2082</t>
  </si>
  <si>
    <t>A2101</t>
  </si>
  <si>
    <t>PAGO EN MX$51,754.6 TC 20.105198</t>
  </si>
  <si>
    <t>A2103</t>
  </si>
  <si>
    <t>A2105</t>
  </si>
  <si>
    <t>A2107</t>
  </si>
  <si>
    <t>PAGO POR MX$2,127,755.78 TC 20.181199.</t>
  </si>
  <si>
    <t>A2109</t>
  </si>
  <si>
    <t>A2113</t>
  </si>
  <si>
    <t>SE SITITUYE POR FACTURA A2113</t>
  </si>
  <si>
    <t>A2115</t>
  </si>
  <si>
    <t>PAGO POR MX$40,150.22 TC. 20.18369 DEL 26/10/2021 REVISAR PAGO DUPLICADO</t>
  </si>
  <si>
    <t>A2116</t>
  </si>
  <si>
    <t>A2117</t>
  </si>
  <si>
    <t>RENTA PORTACONTENEDORES POR TOP JUNIO 2021</t>
  </si>
  <si>
    <t>A2119</t>
  </si>
  <si>
    <t>SUSTITUYE FACTURA A2019</t>
  </si>
  <si>
    <t>A2120</t>
  </si>
  <si>
    <t>TAKE OR PAY SUMINISTRO GNC 1 AL 10 DE JUNIO 2021</t>
  </si>
  <si>
    <t>A2124</t>
  </si>
  <si>
    <t>A2126</t>
  </si>
  <si>
    <t>A2127</t>
  </si>
  <si>
    <t>ENTREGA D EMOLECULA 1 AL 14 JULIO 2021</t>
  </si>
  <si>
    <t>A2128</t>
  </si>
  <si>
    <t>A2130</t>
  </si>
  <si>
    <t>PAGO POR MX$135.754.33 TC 20.7090</t>
  </si>
  <si>
    <t>A2134</t>
  </si>
  <si>
    <t>A2136</t>
  </si>
  <si>
    <t>PAGO POR MX$1,957,038.53 TC 19.9293</t>
  </si>
  <si>
    <t>A2138</t>
  </si>
  <si>
    <t>PAGO POR MX$ 36,879.52 TC 20.1897</t>
  </si>
  <si>
    <t>A2140</t>
  </si>
  <si>
    <t>A2157</t>
  </si>
  <si>
    <t>A2159</t>
  </si>
  <si>
    <t>A2160</t>
  </si>
  <si>
    <t>A2161</t>
  </si>
  <si>
    <t>A2163</t>
  </si>
  <si>
    <t>INGRESO POR MX$129,669.43</t>
  </si>
  <si>
    <t>A2165</t>
  </si>
  <si>
    <t xml:space="preserve">PAGO POR MX$50,820.43  TC$19.9912 </t>
  </si>
  <si>
    <t>A2169</t>
  </si>
  <si>
    <t>A2171</t>
  </si>
  <si>
    <t>PAGO EN MX$ 2,139,464.57 TC 19.970299</t>
  </si>
  <si>
    <t>A2173</t>
  </si>
  <si>
    <t>PAGO POR MX$ 44,301.87 TC 20.3255</t>
  </si>
  <si>
    <t>A2175</t>
  </si>
  <si>
    <t>A2176</t>
  </si>
  <si>
    <t>RENTA PORTACONTENEDORES POR TOP JULIO 2021</t>
  </si>
  <si>
    <t>DESCUENTO POR US$91.99 PAGO POR MX$13,192.77  TC 21.81849304</t>
  </si>
  <si>
    <t>A2180</t>
  </si>
  <si>
    <t>SERVICIO DE COMPRESION 1 AL 14 DE AGOSTO 2021</t>
  </si>
  <si>
    <t>A2182</t>
  </si>
  <si>
    <t>A2183</t>
  </si>
  <si>
    <t>A2184</t>
  </si>
  <si>
    <t>A2186</t>
  </si>
  <si>
    <t>INGRESO POR MX$53,447.07 TC19.99119890182642 +$2,057.73</t>
  </si>
  <si>
    <t>A2192</t>
  </si>
  <si>
    <t>A2194</t>
  </si>
  <si>
    <t>PAGO EN MX$  TC3,779,912.73 19.90029 JUNTO CON FACTURA A2294</t>
  </si>
  <si>
    <t>A2196</t>
  </si>
  <si>
    <t>PAGO POR MX$41,978.68 TC 21.54620158</t>
  </si>
  <si>
    <t>A2198</t>
  </si>
  <si>
    <t>PAGO EN MX$ 1,352,544.55 LIQUIDAN FACTURAS A2197 POR MX$833,467.73 Y PARA FACTURAS A2198 Y A2216 MX$519,076.82 TC 20.1922</t>
  </si>
  <si>
    <t>A2205</t>
  </si>
  <si>
    <t>PAGO POR MX$ 205,600.50  TC20.92378915 SE APLICA A FACTURA A2257</t>
  </si>
  <si>
    <t>A2214</t>
  </si>
  <si>
    <t>SUSTITUYE FACTURA A1982</t>
  </si>
  <si>
    <t>A2216</t>
  </si>
  <si>
    <t>A2220</t>
  </si>
  <si>
    <t>A2222</t>
  </si>
  <si>
    <t>A2223</t>
  </si>
  <si>
    <t>A2224</t>
  </si>
  <si>
    <t>A2226</t>
  </si>
  <si>
    <t>A2228</t>
  </si>
  <si>
    <t>A2232</t>
  </si>
  <si>
    <t>A2234</t>
  </si>
  <si>
    <t>A2236</t>
  </si>
  <si>
    <t>PAGO POR MX$48,114.43  TC21.4176979</t>
  </si>
  <si>
    <t>A2238</t>
  </si>
  <si>
    <t>A2240</t>
  </si>
  <si>
    <t>A2241</t>
  </si>
  <si>
    <t>RENTA PORTACONTENEDORES POR TOP AGOSTO 2021</t>
  </si>
  <si>
    <t>PAGO POR MX$ 12,657.34  TC 20.9329871</t>
  </si>
  <si>
    <t>A2245</t>
  </si>
  <si>
    <t>A2246</t>
  </si>
  <si>
    <t>A2253</t>
  </si>
  <si>
    <t>A2255</t>
  </si>
  <si>
    <t>A2257</t>
  </si>
  <si>
    <t>A2259</t>
  </si>
  <si>
    <t>SE SUTITUYE CON FACTURA A2281</t>
  </si>
  <si>
    <t>A2263</t>
  </si>
  <si>
    <t>PAGO POR US$45,336.21 SE APLICAN A FACTURAS A2192, A2232 y saldo de US$11,000.00 a factura A2263</t>
  </si>
  <si>
    <t>A2265</t>
  </si>
  <si>
    <t>PAGO EN MX$1,960,666.59 TC 20.60750</t>
  </si>
  <si>
    <t>A2267</t>
  </si>
  <si>
    <t>A2269</t>
  </si>
  <si>
    <t>PAGO POR MX$ 48,442.57 TC 20.92379891067256</t>
  </si>
  <si>
    <t>A2271</t>
  </si>
  <si>
    <t>SE SUSTITUYE CON FACTURA A2318</t>
  </si>
  <si>
    <t>A2273</t>
  </si>
  <si>
    <t>A2281</t>
  </si>
  <si>
    <t>PAGADA EN MX TC 20.30, SOBRA $88.39</t>
  </si>
  <si>
    <t>A2282</t>
  </si>
  <si>
    <t>A2283</t>
  </si>
  <si>
    <t>MANTENIMIENTO EDRM 1000 HACIENDA FRESH</t>
  </si>
  <si>
    <t>SE SUSTITUYE CON FACTURA A2284</t>
  </si>
  <si>
    <t>A2284</t>
  </si>
  <si>
    <t>A2291</t>
  </si>
  <si>
    <t>A2292</t>
  </si>
  <si>
    <t>A2296</t>
  </si>
  <si>
    <t>A2298</t>
  </si>
  <si>
    <t>A2299</t>
  </si>
  <si>
    <t>A2300</t>
  </si>
  <si>
    <t>A2302</t>
  </si>
  <si>
    <t>PAGO POR MX $107,122.80 TIPO DE CAMBIO 20.40</t>
  </si>
  <si>
    <t>A2306</t>
  </si>
  <si>
    <t>A2308</t>
  </si>
  <si>
    <t>PAGO POR MX$1,958,019.52 TC 20.52969</t>
  </si>
  <si>
    <t>A2310</t>
  </si>
  <si>
    <t>A2312</t>
  </si>
  <si>
    <t>PAGO POR MX$ 55,801.47   TC 20.92379888</t>
  </si>
  <si>
    <t>A2314</t>
  </si>
  <si>
    <t>PAGO POR MX$6,577,857.16</t>
  </si>
  <si>
    <t>A2316</t>
  </si>
  <si>
    <t>A2318</t>
  </si>
  <si>
    <t>PAGO POR MX$3,625,512.62  FACTURAS A2215, A2313 Y A2317 Y A2318 EN USD POR MX$247,389.94 TC 21.8185004418558</t>
  </si>
  <si>
    <t>A2319</t>
  </si>
  <si>
    <t>RENTA PORTACONTENEDORES POR TOP SEPTIEMBRE 2021</t>
  </si>
  <si>
    <t>PAGO POR MX 12,333.67 TIPO DE CAMBIO 20.40</t>
  </si>
  <si>
    <t>A2321</t>
  </si>
  <si>
    <t>A2323</t>
  </si>
  <si>
    <t>A2324</t>
  </si>
  <si>
    <t>A2325</t>
  </si>
  <si>
    <t>SOPORTE DE OPERACIÓN EN SITIO PARA LA DESCOMPRESION LOS DÍAS 21, 22, 23 Y 24 DE SEPTIEMBRE 2021</t>
  </si>
  <si>
    <t>A2328</t>
  </si>
  <si>
    <t>A2329</t>
  </si>
  <si>
    <t>A2331</t>
  </si>
  <si>
    <t>A2333</t>
  </si>
  <si>
    <t>A2335</t>
  </si>
  <si>
    <t>PAGADOR POR MX$117,319.22 TC $20,3570</t>
  </si>
  <si>
    <t>A2339</t>
  </si>
  <si>
    <t>A2341</t>
  </si>
  <si>
    <t xml:space="preserve">PAGO POR MX$1,821,687.94 TC 20.624199 </t>
  </si>
  <si>
    <t>A2343</t>
  </si>
  <si>
    <t>A2345</t>
  </si>
  <si>
    <t>A2347</t>
  </si>
  <si>
    <t>PAGO POR MX$ 51,647.47 TC 20.92379961</t>
  </si>
  <si>
    <t>A2349</t>
  </si>
  <si>
    <t>A2351</t>
  </si>
  <si>
    <t>A2358</t>
  </si>
  <si>
    <t>SUSTITUYE FACTURA A1958</t>
  </si>
  <si>
    <t>A2368</t>
  </si>
  <si>
    <t>SERVICIO DE COMPRESION DEL 21 AL 27 DE OCTUBRE 2021</t>
  </si>
  <si>
    <t>A2369</t>
  </si>
  <si>
    <t>PAGO POR MX$6,577,857.16 SE ABONA A FACTURAS EN MX$5,139,536.29 (A2491, A2348, A2401 Y A2436, SALDO APLICADO A FACTURAS A2369, A2402, A2492 Y A2437)  POR MX1,438,320.87 TC</t>
  </si>
  <si>
    <t>A2377</t>
  </si>
  <si>
    <t>A2378</t>
  </si>
  <si>
    <t>A2380</t>
  </si>
  <si>
    <t>A2382</t>
  </si>
  <si>
    <t>A2383</t>
  </si>
  <si>
    <t>A2384</t>
  </si>
  <si>
    <t>A2385</t>
  </si>
  <si>
    <t>A2386</t>
  </si>
  <si>
    <t>A2388</t>
  </si>
  <si>
    <t>abono $136,828.63, abono $50,000 24/06/22, sobran $31,072.69 para abono a f: a2423</t>
  </si>
  <si>
    <t>1456 y 1457</t>
  </si>
  <si>
    <t>A2392</t>
  </si>
  <si>
    <t>A2394</t>
  </si>
  <si>
    <t>PAGO POR MX$2,222,028.83 TC 20.76279</t>
  </si>
  <si>
    <t>A2396</t>
  </si>
  <si>
    <t>A2398</t>
  </si>
  <si>
    <t>A2400</t>
  </si>
  <si>
    <t>PAGADO EN PESOS AL TC 20.46  $61,105.02</t>
  </si>
  <si>
    <t>A2402</t>
  </si>
  <si>
    <t>A2404</t>
  </si>
  <si>
    <t>A2406</t>
  </si>
  <si>
    <t>A2408</t>
  </si>
  <si>
    <t>RENTA PORTACONTENEDORES POR TOP OCTUBRE 2021</t>
  </si>
  <si>
    <t>PAGADO EN PESOS AL TC 20.46  $12,371.34</t>
  </si>
  <si>
    <t>A2410</t>
  </si>
  <si>
    <t>SERVICIO DE COMPRESION 1 AL 7 NOVIEMBRE 2021</t>
  </si>
  <si>
    <t>A2413</t>
  </si>
  <si>
    <t>A2414</t>
  </si>
  <si>
    <t>A2416</t>
  </si>
  <si>
    <t>A2418</t>
  </si>
  <si>
    <t>A2419</t>
  </si>
  <si>
    <t>A2420</t>
  </si>
  <si>
    <t>A2421</t>
  </si>
  <si>
    <t>A2423</t>
  </si>
  <si>
    <t>abono $31,072.69 más $50,000 del dia 24/6/22 total abonado $81,072.69, ABONO $100,000, SOBRANTE $67,925.77 APLICAN A F: A2496</t>
  </si>
  <si>
    <t>1455 y 1457</t>
  </si>
  <si>
    <t>A2427</t>
  </si>
  <si>
    <t>PAGADO 12 ENERO EN DLLS</t>
  </si>
  <si>
    <t>A2429</t>
  </si>
  <si>
    <t>A2431</t>
  </si>
  <si>
    <t>A2433</t>
  </si>
  <si>
    <t>A2435</t>
  </si>
  <si>
    <t>PAGADO EN PESOS AL TC 20.46 $49,912.71</t>
  </si>
  <si>
    <t>A2437</t>
  </si>
  <si>
    <t>A2439</t>
  </si>
  <si>
    <t>A2447</t>
  </si>
  <si>
    <t>SERVICIO DE COMPRESION 8 AL 14 NOVIEMBRE 2021</t>
  </si>
  <si>
    <t>A2448</t>
  </si>
  <si>
    <t>A2453</t>
  </si>
  <si>
    <t>FACTURA QUE SUSTITUYE A2447</t>
  </si>
  <si>
    <t>A2454</t>
  </si>
  <si>
    <t>FACTURA QUE SUSTITUYE A A2429</t>
  </si>
  <si>
    <t>A2456</t>
  </si>
  <si>
    <t>SERVICIO DE COMPRESION 15 AL 21 NOVIEMBRE 2021</t>
  </si>
  <si>
    <t>A2457</t>
  </si>
  <si>
    <t>DIFERENCIA POR AJUSTE DE TARIFA DE SERVICIO DE COMPRESION, SUMINISTRO Y DESCOMPRENSION DE GAS NATURAL
PARA 18,708.74 GJ TARIFA DEL 1 AL 10 DE OCTUBRE US$4.07 POR GJ MAS LO CORRESPONDIENTE A LA TARIFA DEL 11
AL 14 DE OCTUBRE US$4.58 POR GJ</t>
  </si>
  <si>
    <t>PAGO POR MX$373,934.23 TC 21.23929</t>
  </si>
  <si>
    <t>A2458</t>
  </si>
  <si>
    <t>AJUSTE POR DIFERENCIA EN TARIFA SERVICIO DE COMPRESION, SUMINISTRO Y DESCOMPRENSION DE GAS NATURAL PARA
22,667.90 GJ DE US$4.07 POR GJ A US$4.58 POR GJ</t>
  </si>
  <si>
    <t>A2466</t>
  </si>
  <si>
    <t>SERVICIO DE COMPRESION 22 AL 28 NOVIEMBRE 2021</t>
  </si>
  <si>
    <t>A2467</t>
  </si>
  <si>
    <t>A2468</t>
  </si>
  <si>
    <t>A2469</t>
  </si>
  <si>
    <t>A2470</t>
  </si>
  <si>
    <t>A2472</t>
  </si>
  <si>
    <t>A2474</t>
  </si>
  <si>
    <t>A2476</t>
  </si>
  <si>
    <t>PAGADO EN PESOS AL TC 20.46 $59,788.45</t>
  </si>
  <si>
    <t>A2478</t>
  </si>
  <si>
    <t>PAGADO EL 11 ENERO EN DLLS</t>
  </si>
  <si>
    <t>A2480</t>
  </si>
  <si>
    <t>A2484</t>
  </si>
  <si>
    <t>A2486</t>
  </si>
  <si>
    <t>A2490</t>
  </si>
  <si>
    <t>PAGO POR MX$4,617,661.28 TC20.46720</t>
  </si>
  <si>
    <t>A2492</t>
  </si>
  <si>
    <t>A2494</t>
  </si>
  <si>
    <t>A2496</t>
  </si>
  <si>
    <t>ABONO $67925.77 EL 27/6/22 TC $19.9847, realiza abono $200,000 liquida y sobra $194.199.84 aplica fA2525</t>
  </si>
  <si>
    <t>1455 y 1472</t>
  </si>
  <si>
    <t>A2498</t>
  </si>
  <si>
    <t>SERVICIO DE COMPRESION 29 AL 30 NOVIEMBRE 2021</t>
  </si>
  <si>
    <t>A2500</t>
  </si>
  <si>
    <t>SERVICIO DE COMPRESION 1 AL 5 DICIEMBRE 2021</t>
  </si>
  <si>
    <t>A2501</t>
  </si>
  <si>
    <t>RENTA PORTACONTENEDORES POR TOP NOVIEMBRE 2021</t>
  </si>
  <si>
    <t>pago 12,474.72 tc 20.6308</t>
  </si>
  <si>
    <t>A2506</t>
  </si>
  <si>
    <t>A2507</t>
  </si>
  <si>
    <t>A2509</t>
  </si>
  <si>
    <t>A2511</t>
  </si>
  <si>
    <t>A2519</t>
  </si>
  <si>
    <t>A2521</t>
  </si>
  <si>
    <t>A2523</t>
  </si>
  <si>
    <t>A2525</t>
  </si>
  <si>
    <t>realiza abono 15/7/22 $194,199.84 sobrante $65,612.75 aplican a f:A2572</t>
  </si>
  <si>
    <t>A2527</t>
  </si>
  <si>
    <t>A2529</t>
  </si>
  <si>
    <t>PAGADO EN PESOS TC $20.5561999</t>
  </si>
  <si>
    <t>A2531</t>
  </si>
  <si>
    <t>A2533</t>
  </si>
  <si>
    <t>A2536</t>
  </si>
  <si>
    <t>SERVICIO DE COMPRESION 6 AL 13 DICIEMBRE 2021</t>
  </si>
  <si>
    <t>A2538</t>
  </si>
  <si>
    <t>A2545</t>
  </si>
  <si>
    <t>ENTREGA DE MOLÉCULA  1 AL 14 DICIEMBRE 2021</t>
  </si>
  <si>
    <t>SE APLICA NC 172</t>
  </si>
  <si>
    <t>A2546</t>
  </si>
  <si>
    <t>SERVICIO DE COMPRESIÓN 15 AL 31 DICIEMBRE 2021</t>
  </si>
  <si>
    <t>PAGO EN DOLARES</t>
  </si>
  <si>
    <t>A2547</t>
  </si>
  <si>
    <t>ENTREGA DE MOLÉCULA 15 AL 31  DICIEMBRE 2021</t>
  </si>
  <si>
    <t>A2549</t>
  </si>
  <si>
    <t>A2556</t>
  </si>
  <si>
    <t>DESBALANCE DE MOLÉCULA DE GAS NATURAL APLICADO POR EL CENAGAS DERIVADO DE LA INETRVENCIÓN POR INYECCIÓN DEL GAS CONTINENTAL EN EL PERIODO. EQUIVALENTE A 831.74 GJ</t>
  </si>
  <si>
    <t>A2565</t>
  </si>
  <si>
    <t>A2566</t>
  </si>
  <si>
    <t>A2568</t>
  </si>
  <si>
    <t>A2570</t>
  </si>
  <si>
    <t>A2572</t>
  </si>
  <si>
    <t>abono 15 /7/22 $65,612.75 tc 20.94, abono $50,000, sobrante $28,623.01 aplica a Factura A2651</t>
  </si>
  <si>
    <t>A2576</t>
  </si>
  <si>
    <t>A2578</t>
  </si>
  <si>
    <t>PAGADO EN PESOS $2,324,827.05 TC: $20.63</t>
  </si>
  <si>
    <t>A2580</t>
  </si>
  <si>
    <t xml:space="preserve">HACIENDA </t>
  </si>
  <si>
    <t>A2582</t>
  </si>
  <si>
    <t>A2584</t>
  </si>
  <si>
    <t>PAGADO EN PESOS TC $20.732499</t>
  </si>
  <si>
    <t>A2586</t>
  </si>
  <si>
    <t>A2588</t>
  </si>
  <si>
    <t>A2590</t>
  </si>
  <si>
    <t>SERVICIO DE COMPRESION DE 15 AL 31 DICIEMBRE 2021</t>
  </si>
  <si>
    <t xml:space="preserve">SE APLICA NC 171 por 1,765.42 </t>
  </si>
  <si>
    <t>A2592</t>
  </si>
  <si>
    <t>SERVICIO DE COMPRESION DEL 14 AL 19 DICIEMBRE 2021</t>
  </si>
  <si>
    <t>A2594</t>
  </si>
  <si>
    <t>SERVICIO DE COMPRESION DEL 20 AL 26 DICIEMBRE 2021</t>
  </si>
  <si>
    <t>A2596</t>
  </si>
  <si>
    <t>SERVICIO DE COMPRESION DEL 27 AL 31 DICIEMBRE 2021</t>
  </si>
  <si>
    <t>abono 28 enero $3331.58 usd</t>
  </si>
  <si>
    <t>A2597</t>
  </si>
  <si>
    <t>ONDARE, SA DE CV</t>
  </si>
  <si>
    <t>A2598</t>
  </si>
  <si>
    <t>ANTICIPO DEL BIEN O SERVICIO</t>
  </si>
  <si>
    <t>A2599</t>
  </si>
  <si>
    <t>RENTA PORTACONTENEDORES POR TOP DICIEMBRE 2021</t>
  </si>
  <si>
    <t>PAGADO EN PESOS TC $20.7324943</t>
  </si>
  <si>
    <t>A2601</t>
  </si>
  <si>
    <t xml:space="preserve">DESBALANCE DE MOLÉCULA DICIEMBRE 2021 </t>
  </si>
  <si>
    <t>A2602</t>
  </si>
  <si>
    <t>A2613</t>
  </si>
  <si>
    <t>SERVICIO DE COMPRESION 1 AL 9 ENERO 2022</t>
  </si>
  <si>
    <t>abono 11 marzo 5,000 usd</t>
  </si>
  <si>
    <t>A2617</t>
  </si>
  <si>
    <t>SERVICIO DE COMPRESION 1 AL 14 ENERO 2022</t>
  </si>
  <si>
    <t>A2625</t>
  </si>
  <si>
    <t>A2627</t>
  </si>
  <si>
    <t>pago 38,120.55 tc 20.4147</t>
  </si>
  <si>
    <t>A2629</t>
  </si>
  <si>
    <t>A2631</t>
  </si>
  <si>
    <t>A2633</t>
  </si>
  <si>
    <t>A2634</t>
  </si>
  <si>
    <t>ENTREGA DE MOLÉCULA  1 AL 14 ENERO 2022</t>
  </si>
  <si>
    <t>A2635</t>
  </si>
  <si>
    <t>A2637</t>
  </si>
  <si>
    <t>SERVICIO DE COMPRESION 10 AL 16 ENERO 2022</t>
  </si>
  <si>
    <t>deposita $5000 usd, sobra $922.47 aplica f:2659</t>
  </si>
  <si>
    <t>A2638</t>
  </si>
  <si>
    <t>A2639</t>
  </si>
  <si>
    <t>A2640</t>
  </si>
  <si>
    <t>SERVICIO DE COMPRESIÓN, 15 AL 31 DICIEMBRE 2021</t>
  </si>
  <si>
    <t>A2642</t>
  </si>
  <si>
    <t xml:space="preserve">SERVICIO DE COMPRESION DÍAS 6 Y 7 DE DICIEMBRE 2021 </t>
  </si>
  <si>
    <t>CANCELADA POR MONTO INCORRECTO</t>
  </si>
  <si>
    <t>A2644</t>
  </si>
  <si>
    <t xml:space="preserve">SERVICIO DE COMPRESION 1 AL 14 ENERO 2022 </t>
  </si>
  <si>
    <t>A2646</t>
  </si>
  <si>
    <t xml:space="preserve">SERVICIO DE COMPRESION, 1 AL 14 ENERO 2022 </t>
  </si>
  <si>
    <t>A2649</t>
  </si>
  <si>
    <t>A2651</t>
  </si>
  <si>
    <t>abono $28,623.01 27/7/22, abono $50,000 2/8/22, ABONO 8 AGO $100,000, SOBRAN $54,476.39, SOBRANTE APLICA A 2874</t>
  </si>
  <si>
    <t>A2655</t>
  </si>
  <si>
    <t>pagado en pesos 2,255,158.20, tc 20.7325</t>
  </si>
  <si>
    <t>A2657</t>
  </si>
  <si>
    <t xml:space="preserve">SERVICIO DE COMPRESION 1 AL 14 ENERO 2022. </t>
  </si>
  <si>
    <t>A2659</t>
  </si>
  <si>
    <t>SERVICIO COMPRESIÓN SEMANA 17 AL 23 ENERO 2022</t>
  </si>
  <si>
    <t>abono $922.57 17/06/22</t>
  </si>
  <si>
    <t>A2660</t>
  </si>
  <si>
    <t>A2669</t>
  </si>
  <si>
    <t>A2670</t>
  </si>
  <si>
    <t>SERVICIO DE COMPRESIÓN 15 AL 31 ENERO 2022</t>
  </si>
  <si>
    <t>A2672</t>
  </si>
  <si>
    <t>A2674</t>
  </si>
  <si>
    <t>A2676</t>
  </si>
  <si>
    <t>A2681</t>
  </si>
  <si>
    <t>A2683</t>
  </si>
  <si>
    <t>A2685</t>
  </si>
  <si>
    <t>A2687</t>
  </si>
  <si>
    <t>PAGADO EN MXN 60,853.62 TC 20.65</t>
  </si>
  <si>
    <t>A2689</t>
  </si>
  <si>
    <t>pago 2,726,031.90 tc 20.4257</t>
  </si>
  <si>
    <t>A2691</t>
  </si>
  <si>
    <t>A2692</t>
  </si>
  <si>
    <t>A2693</t>
  </si>
  <si>
    <t>A2695</t>
  </si>
  <si>
    <t>A2697</t>
  </si>
  <si>
    <t>A2698</t>
  </si>
  <si>
    <t>RENTA CONTENEDORES TOP ENERO 2022</t>
  </si>
  <si>
    <t>PAGADO EN MXN 12,487.74 TC 20.65</t>
  </si>
  <si>
    <t>A2700</t>
  </si>
  <si>
    <t>DESBALANCE NOVIEMBRE 2021</t>
  </si>
  <si>
    <t>A2703</t>
  </si>
  <si>
    <t>A2717</t>
  </si>
  <si>
    <t>SERVICIO DE COMPRESIÓN 1 AL 6 FEBRERO 2022</t>
  </si>
  <si>
    <t>A2720</t>
  </si>
  <si>
    <t>A2726</t>
  </si>
  <si>
    <t>A2727</t>
  </si>
  <si>
    <t>A2728</t>
  </si>
  <si>
    <t>A2729</t>
  </si>
  <si>
    <t>A2731</t>
  </si>
  <si>
    <t>A2733</t>
  </si>
  <si>
    <t>A2735</t>
  </si>
  <si>
    <t>pago en MXN  42,531.45 TC 20.92</t>
  </si>
  <si>
    <t>A2737</t>
  </si>
  <si>
    <t>SERVICIO DE COMPRESIÓN 7 AL 13 FEBRERO 2022</t>
  </si>
  <si>
    <t>A2739</t>
  </si>
  <si>
    <t>A2741</t>
  </si>
  <si>
    <t>A2751</t>
  </si>
  <si>
    <t>A2753</t>
  </si>
  <si>
    <t>A2755</t>
  </si>
  <si>
    <t>APLICA NC 175 POR $132.51</t>
  </si>
  <si>
    <t>A2757</t>
  </si>
  <si>
    <t>A2761</t>
  </si>
  <si>
    <t xml:space="preserve"> pago 1,605,336.16 tc 20.7033</t>
  </si>
  <si>
    <t>A2763</t>
  </si>
  <si>
    <t>A2765</t>
  </si>
  <si>
    <t>SERVICIO DE COMPRESIÓN FALTANTE 1 AL 14 FEBRERO 2022</t>
  </si>
  <si>
    <t>A2766</t>
  </si>
  <si>
    <t>A2774</t>
  </si>
  <si>
    <t>CIMGAS SA DE CV</t>
  </si>
  <si>
    <t>SERVICIO DE COMPRESIÓN 1 AL 15 FEBRERO</t>
  </si>
  <si>
    <t>CIMGAS</t>
  </si>
  <si>
    <t>A2775</t>
  </si>
  <si>
    <t>ENTREGA DE MOLECULA DIFERENCIAS DIAS 4,9 Y 11 FEBRERO 2022</t>
  </si>
  <si>
    <t>A2776</t>
  </si>
  <si>
    <t>SERVICIO DE COMPRESIÓN DIFERENCIAS DIAS 4,9 Y 11 FEBRERO 2022</t>
  </si>
  <si>
    <t>A2777</t>
  </si>
  <si>
    <t>A2778</t>
  </si>
  <si>
    <t>SERVICIO DE COMPRESIÓN 15 AL 28 FEBRERO 2022</t>
  </si>
  <si>
    <t>A2779</t>
  </si>
  <si>
    <t>A2780</t>
  </si>
  <si>
    <t>A2788</t>
  </si>
  <si>
    <t>A2790</t>
  </si>
  <si>
    <t>A2792</t>
  </si>
  <si>
    <t>se realizaron dos pagos,  24 marzo 40,665.49 y 25 marzo 10,037.70</t>
  </si>
  <si>
    <t>A2794</t>
  </si>
  <si>
    <t>SERVICIO DE COMPRESIÓN 14 AL 17 FEBRERO 2022</t>
  </si>
  <si>
    <t>A2796</t>
  </si>
  <si>
    <t>abono 28/4/22 $30,000</t>
  </si>
  <si>
    <t>A2800</t>
  </si>
  <si>
    <t>A2802</t>
  </si>
  <si>
    <t>A2804</t>
  </si>
  <si>
    <t>tc 20.1085</t>
  </si>
  <si>
    <t>A2808</t>
  </si>
  <si>
    <t xml:space="preserve"> pago 1,438,403.53 tc  20.1313</t>
  </si>
  <si>
    <t>A2810</t>
  </si>
  <si>
    <t>A2812</t>
  </si>
  <si>
    <t>A2815</t>
  </si>
  <si>
    <t>A2816</t>
  </si>
  <si>
    <t>CANCELADO POR ARACELI</t>
  </si>
  <si>
    <t>A2826</t>
  </si>
  <si>
    <t>A2827</t>
  </si>
  <si>
    <t>A2829</t>
  </si>
  <si>
    <t>A2831</t>
  </si>
  <si>
    <t>A2838</t>
  </si>
  <si>
    <t>A2839</t>
  </si>
  <si>
    <t>A2847</t>
  </si>
  <si>
    <t>A2849</t>
  </si>
  <si>
    <t>A2851</t>
  </si>
  <si>
    <t>pago 37,551.47  TC 19.8431</t>
  </si>
  <si>
    <t>A2853</t>
  </si>
  <si>
    <t>SERVICIO DE COMPRESIÓN 11 AL 14 MARZO 2022</t>
  </si>
  <si>
    <t>ABONO 7 OCT  3,989.84, abono 28/10/22 1,340.65, sobrante aplica a facturas de molécula</t>
  </si>
  <si>
    <t>A2855</t>
  </si>
  <si>
    <t>A2857</t>
  </si>
  <si>
    <t>APLICA NC 182</t>
  </si>
  <si>
    <t>A2858</t>
  </si>
  <si>
    <t>A2859</t>
  </si>
  <si>
    <t>A2860</t>
  </si>
  <si>
    <t>MANTENIMIENTO POSTES INVERAGRO</t>
  </si>
  <si>
    <t>A2864</t>
  </si>
  <si>
    <t>A2866</t>
  </si>
  <si>
    <t>A2868</t>
  </si>
  <si>
    <t>A2872</t>
  </si>
  <si>
    <t>pago 1,459,968.78 tc 20.1605</t>
  </si>
  <si>
    <t>A2874</t>
  </si>
  <si>
    <t>ABONO 8/8/22 $3,251.07</t>
  </si>
  <si>
    <t>1527/2680</t>
  </si>
  <si>
    <t>A2876</t>
  </si>
  <si>
    <t>A2883</t>
  </si>
  <si>
    <t>ENTREGA DE MOLECULA 15 AL 31 MARZO 2O22</t>
  </si>
  <si>
    <t>A2884</t>
  </si>
  <si>
    <t>A2886</t>
  </si>
  <si>
    <t>A2888</t>
  </si>
  <si>
    <t>A2890</t>
  </si>
  <si>
    <t xml:space="preserve"> pago 53,728.21 tc 20.0446</t>
  </si>
  <si>
    <t>A2892</t>
  </si>
  <si>
    <t xml:space="preserve">se recibe pago por 63,284.92 usd,  sobrante $20,000 usd aplica f:2946 según información de depósito </t>
  </si>
  <si>
    <t>A2894</t>
  </si>
  <si>
    <t>A2895</t>
  </si>
  <si>
    <t>A2896</t>
  </si>
  <si>
    <t>A2901</t>
  </si>
  <si>
    <t>RENTA PORTACONTENEDORES POR TOP MARZO 2022</t>
  </si>
  <si>
    <t>A2907</t>
  </si>
  <si>
    <t>A2909</t>
  </si>
  <si>
    <t>A2911</t>
  </si>
  <si>
    <t>A2913</t>
  </si>
  <si>
    <t>A2917</t>
  </si>
  <si>
    <t>paga 2 facturas 2917 y 2921 total pagado  2,018,991.88 tc 20.1802</t>
  </si>
  <si>
    <t>A2919</t>
  </si>
  <si>
    <t>A2921</t>
  </si>
  <si>
    <t xml:space="preserve">SERVICIO DE COMPRESIÓN 15 AL 31 MARZO 2022 FALTANTE 29 AL 31 </t>
  </si>
  <si>
    <t>A2922</t>
  </si>
  <si>
    <t>TOP ENTREGA DE MOLECULA 1 AL 31 MARZO 2022</t>
  </si>
  <si>
    <t>se solicita cancelación por cambio de uso CFDI, lo solicita Verónica de AGUILARES LA SUSTITUYE f3642</t>
  </si>
  <si>
    <t>A2925</t>
  </si>
  <si>
    <t>A2931</t>
  </si>
  <si>
    <t>ENTREGA DE MOLÉCULA 1 AL 14 ABRIL 2022</t>
  </si>
  <si>
    <t>A2932</t>
  </si>
  <si>
    <t>A2940</t>
  </si>
  <si>
    <t>A2942</t>
  </si>
  <si>
    <t>A2944</t>
  </si>
  <si>
    <t>pago 68,551.87 tc 20.47</t>
  </si>
  <si>
    <t>A2946</t>
  </si>
  <si>
    <t>abono 6/7/22 por $20,000 USD sobrante del pago del mismo día</t>
  </si>
  <si>
    <t>A2948</t>
  </si>
  <si>
    <t>NC 189, SUSTITUYE F:2999</t>
  </si>
  <si>
    <t>A2952</t>
  </si>
  <si>
    <t>A2954</t>
  </si>
  <si>
    <t>A2956</t>
  </si>
  <si>
    <t>A2958</t>
  </si>
  <si>
    <t>Abona $3,753.25 22/12/23</t>
  </si>
  <si>
    <t>2680/2713</t>
  </si>
  <si>
    <t>A2960</t>
  </si>
  <si>
    <t>pago 1,870,911.84 tc 20.2218</t>
  </si>
  <si>
    <t>A2962</t>
  </si>
  <si>
    <t>TC 20.5728</t>
  </si>
  <si>
    <t>A2972</t>
  </si>
  <si>
    <t>ENTREGA  DE MOLÉCULA 15 AL 3O ABRIL 2022</t>
  </si>
  <si>
    <t>A2973</t>
  </si>
  <si>
    <t>A2975</t>
  </si>
  <si>
    <t>A2977</t>
  </si>
  <si>
    <t>pago 69,752.06 tc19.9663</t>
  </si>
  <si>
    <t>A2979</t>
  </si>
  <si>
    <t>A2981</t>
  </si>
  <si>
    <t>A2982</t>
  </si>
  <si>
    <t>RENTA PORTACONTENEDORES ABRIL 2022</t>
  </si>
  <si>
    <t>pago 11,823.94 tc 19.5546</t>
  </si>
  <si>
    <t>A2986</t>
  </si>
  <si>
    <t>A2988</t>
  </si>
  <si>
    <t>A2990</t>
  </si>
  <si>
    <t>A2992</t>
  </si>
  <si>
    <t>A2994</t>
  </si>
  <si>
    <t xml:space="preserve"> pago 1,930,796.60 tc 19.9267 </t>
  </si>
  <si>
    <t>A2996</t>
  </si>
  <si>
    <t>realiza pago en MX tc20.4423</t>
  </si>
  <si>
    <t>A2999</t>
  </si>
  <si>
    <t>SERVICIO DE COMPRESION 1 A 14 ABRIL 2022</t>
  </si>
  <si>
    <t>A3009</t>
  </si>
  <si>
    <t>ENTREGA DE MOLECULA 1 AL 14 MAYO 2022</t>
  </si>
  <si>
    <t>A3010</t>
  </si>
  <si>
    <t>A3012</t>
  </si>
  <si>
    <t>A3014</t>
  </si>
  <si>
    <t>A3016</t>
  </si>
  <si>
    <t>pago en pesos $47,055.06 TC 19.55 día 7 jun 2022</t>
  </si>
  <si>
    <t>A3018</t>
  </si>
  <si>
    <t>A3026</t>
  </si>
  <si>
    <t>A3028</t>
  </si>
  <si>
    <t>EN PESOS TC $19.6128,  $1,701,708.32</t>
  </si>
  <si>
    <t>A3030</t>
  </si>
  <si>
    <t>A3032</t>
  </si>
  <si>
    <t>A3034</t>
  </si>
  <si>
    <t>A3036</t>
  </si>
  <si>
    <t>A3037</t>
  </si>
  <si>
    <t>A3059</t>
  </si>
  <si>
    <t>SERVICIO DE COMPRESIÓN 15 AL 31 MAYO 202</t>
  </si>
  <si>
    <t>A3061</t>
  </si>
  <si>
    <t>A3063</t>
  </si>
  <si>
    <t>A3065</t>
  </si>
  <si>
    <t>A3069</t>
  </si>
  <si>
    <t xml:space="preserve"> pagado en pesos 2,423,197.70 TC 20.5728</t>
  </si>
  <si>
    <t>A3070</t>
  </si>
  <si>
    <t>A3071</t>
  </si>
  <si>
    <t>A3073</t>
  </si>
  <si>
    <t>A3075</t>
  </si>
  <si>
    <t>pago 69,518.63 tc 19.8706</t>
  </si>
  <si>
    <t>A3077</t>
  </si>
  <si>
    <t>A3079</t>
  </si>
  <si>
    <t>A3086</t>
  </si>
  <si>
    <t>RENTA DE PORTACONTENEDORES TOP MAYO 2022</t>
  </si>
  <si>
    <t>pago  12,015.08 tc 19.87</t>
  </si>
  <si>
    <t>A3090</t>
  </si>
  <si>
    <t>tc 19.8619 16 agosto</t>
  </si>
  <si>
    <t>A3102</t>
  </si>
  <si>
    <t>abona $1,734.34 el 02/01/2024</t>
  </si>
  <si>
    <t>2713/2775</t>
  </si>
  <si>
    <t>A3103</t>
  </si>
  <si>
    <t>ENTREGA DE MOLÉCULA 1 AL 14 JUNIO 2022</t>
  </si>
  <si>
    <t>A3104</t>
  </si>
  <si>
    <t>A3106</t>
  </si>
  <si>
    <t>pago 46,035.25 tc 19.87</t>
  </si>
  <si>
    <t>A3108</t>
  </si>
  <si>
    <t>A3117</t>
  </si>
  <si>
    <t>A3121</t>
  </si>
  <si>
    <t>A3123</t>
  </si>
  <si>
    <t>A3125</t>
  </si>
  <si>
    <t>abona $4,208.12 el 31/02/24</t>
  </si>
  <si>
    <t>2775/2868</t>
  </si>
  <si>
    <t>A3129</t>
  </si>
  <si>
    <t>PAGADO EN PESOS $2,145,100.88 tc 20.9415</t>
  </si>
  <si>
    <t>A3131</t>
  </si>
  <si>
    <t>APLICA NC 231 Y 241 POR DIFERENCIA DE CONSUMO MAL REPORTADO</t>
  </si>
  <si>
    <t>A3138</t>
  </si>
  <si>
    <t>A3139</t>
  </si>
  <si>
    <t>A3141</t>
  </si>
  <si>
    <t>A3143</t>
  </si>
  <si>
    <t xml:space="preserve"> pago 66,297.34 tc 20.6109</t>
  </si>
  <si>
    <t>A3150</t>
  </si>
  <si>
    <t>RENTA PORTACONTENEDORES JUNIO 2022</t>
  </si>
  <si>
    <t>paga en MX $12,545.06 tc 20.7472</t>
  </si>
  <si>
    <t>A3154</t>
  </si>
  <si>
    <t>A3156</t>
  </si>
  <si>
    <t>A3158</t>
  </si>
  <si>
    <t>A3160</t>
  </si>
  <si>
    <t>A3164</t>
  </si>
  <si>
    <t>pago 4,401,362.29 aplica a f:3164 y 3238 tc20.0835</t>
  </si>
  <si>
    <t>A3166</t>
  </si>
  <si>
    <t>APLICA NC 242</t>
  </si>
  <si>
    <t>A3172</t>
  </si>
  <si>
    <t>A3173</t>
  </si>
  <si>
    <t>A3175</t>
  </si>
  <si>
    <t>pago 59,887.26 tc 20.0119</t>
  </si>
  <si>
    <t>A3177</t>
  </si>
  <si>
    <t>A3187</t>
  </si>
  <si>
    <t>SERICIO DE COMPRESIÓN 1 AL 14 JULIO 2022</t>
  </si>
  <si>
    <t>A3189</t>
  </si>
  <si>
    <t>A3191</t>
  </si>
  <si>
    <t>abona $3,276.99 el 19/03/2024</t>
  </si>
  <si>
    <t>2868/2963</t>
  </si>
  <si>
    <t>A3193</t>
  </si>
  <si>
    <t>pago en MX 1,946,161.06 tc 20.3484</t>
  </si>
  <si>
    <t>A3195</t>
  </si>
  <si>
    <t>A3199</t>
  </si>
  <si>
    <t>TC 19.9027</t>
  </si>
  <si>
    <t>A3200</t>
  </si>
  <si>
    <t>A3201</t>
  </si>
  <si>
    <t>A3211</t>
  </si>
  <si>
    <t>A3212</t>
  </si>
  <si>
    <t>A3214</t>
  </si>
  <si>
    <t>A3216</t>
  </si>
  <si>
    <t>pago 67,846.89 tc 19.9562</t>
  </si>
  <si>
    <t>A3223</t>
  </si>
  <si>
    <t>RENTA PORTACONTENEDORES TOP JULIO 2022</t>
  </si>
  <si>
    <t>pago 12,066.72 tc 19.9562</t>
  </si>
  <si>
    <t>A3227</t>
  </si>
  <si>
    <t>A3229</t>
  </si>
  <si>
    <t>A3231</t>
  </si>
  <si>
    <t>A3233</t>
  </si>
  <si>
    <t>A3237</t>
  </si>
  <si>
    <t>A3238</t>
  </si>
  <si>
    <t>A3240</t>
  </si>
  <si>
    <t>APLICA NC 237</t>
  </si>
  <si>
    <t>A3247</t>
  </si>
  <si>
    <t>A3248</t>
  </si>
  <si>
    <t>A3250</t>
  </si>
  <si>
    <t xml:space="preserve"> pago 49,965.28 tc 19.9619</t>
  </si>
  <si>
    <t>A3252</t>
  </si>
  <si>
    <t>cancelado</t>
  </si>
  <si>
    <t>cancelada por cambio RFC</t>
  </si>
  <si>
    <t>A3259</t>
  </si>
  <si>
    <t>A3261</t>
  </si>
  <si>
    <t>A3263</t>
  </si>
  <si>
    <t>A3267</t>
  </si>
  <si>
    <t xml:space="preserve"> pago 1,999,969.98 tc 20.2472</t>
  </si>
  <si>
    <t>A3269</t>
  </si>
  <si>
    <t>A3286</t>
  </si>
  <si>
    <t>SERVICIO DE COMPRESIÓN 15 AL 31 AGOTO 2022</t>
  </si>
  <si>
    <t>A3288</t>
  </si>
  <si>
    <t>A3290</t>
  </si>
  <si>
    <t>pago 60,079.1 tc20.002</t>
  </si>
  <si>
    <t>A3291</t>
  </si>
  <si>
    <t>A3292</t>
  </si>
  <si>
    <t>A3299</t>
  </si>
  <si>
    <t>RENTA DE PORTACONTENEDORES AGOSTO 2022</t>
  </si>
  <si>
    <t xml:space="preserve"> pago en pesos $12,093.2 tc 20.00</t>
  </si>
  <si>
    <t>A3303</t>
  </si>
  <si>
    <t>A3305</t>
  </si>
  <si>
    <t>A3307</t>
  </si>
  <si>
    <t>A3311</t>
  </si>
  <si>
    <t>pago 2,027,963.67 tc 20.0525</t>
  </si>
  <si>
    <t>A3313</t>
  </si>
  <si>
    <t>A3315</t>
  </si>
  <si>
    <t>A3317</t>
  </si>
  <si>
    <t>A3319</t>
  </si>
  <si>
    <t>A3321</t>
  </si>
  <si>
    <t>SERVICIO DE COMPRESIÓN 15 AL 31 ABRIL 2022 VOL FALTANTE</t>
  </si>
  <si>
    <t>A3323</t>
  </si>
  <si>
    <t>SERVICIO DE COMPRESIÓN 15 AL 31 MAYO 2022 VOL FALTANTE</t>
  </si>
  <si>
    <t>A3326</t>
  </si>
  <si>
    <t>SERVICIO DE COMPRESION 1 AL 14 SEPTIEMBRE 2022</t>
  </si>
  <si>
    <t>A3328</t>
  </si>
  <si>
    <t>A3329</t>
  </si>
  <si>
    <t>A3330</t>
  </si>
  <si>
    <t>A3332</t>
  </si>
  <si>
    <t>A3334</t>
  </si>
  <si>
    <t xml:space="preserve">sustituye la;3354 </t>
  </si>
  <si>
    <t>A3336</t>
  </si>
  <si>
    <t>A3338</t>
  </si>
  <si>
    <t>pago en MN  65,103.63 tc 20.1266</t>
  </si>
  <si>
    <t>A3339</t>
  </si>
  <si>
    <t>A3340</t>
  </si>
  <si>
    <t>A3342</t>
  </si>
  <si>
    <t>A3345</t>
  </si>
  <si>
    <t>A3347</t>
  </si>
  <si>
    <t>A3354</t>
  </si>
  <si>
    <t>A3357</t>
  </si>
  <si>
    <t>pago 1,972,499.79 tc 20.1087</t>
  </si>
  <si>
    <t>A3359</t>
  </si>
  <si>
    <t>A3361</t>
  </si>
  <si>
    <t>A3363</t>
  </si>
  <si>
    <t>PAGADO EN PESOS TC 19.9647</t>
  </si>
  <si>
    <t>A3369</t>
  </si>
  <si>
    <t>pagado 24/11/22 tc 19.4667</t>
  </si>
  <si>
    <t>A3376</t>
  </si>
  <si>
    <t>A3377</t>
  </si>
  <si>
    <t>SERVICIO DE COMPRESION 15 AL 30 SEPTIEMBRE 2022</t>
  </si>
  <si>
    <t>A3379</t>
  </si>
  <si>
    <t>A3381</t>
  </si>
  <si>
    <t>paga 44,951.80 tc 20.0008</t>
  </si>
  <si>
    <t>A3382</t>
  </si>
  <si>
    <t>A3383</t>
  </si>
  <si>
    <t>A3385</t>
  </si>
  <si>
    <t>A3387</t>
  </si>
  <si>
    <t>pago 64,116.05 tc 20.035</t>
  </si>
  <si>
    <t>A3389</t>
  </si>
  <si>
    <t>A3391</t>
  </si>
  <si>
    <t>A3393</t>
  </si>
  <si>
    <t>A3395</t>
  </si>
  <si>
    <t>A3397</t>
  </si>
  <si>
    <t>A3405</t>
  </si>
  <si>
    <t>A3408</t>
  </si>
  <si>
    <t>SERVICIO DE COMPRESION 1 AL 4 OCTUBRE 2022</t>
  </si>
  <si>
    <t>1621-1708</t>
  </si>
  <si>
    <t>A3410</t>
  </si>
  <si>
    <t>pago 24/11/22 tc19.4667</t>
  </si>
  <si>
    <t>1720 - 1765</t>
  </si>
  <si>
    <t>A3414</t>
  </si>
  <si>
    <t>A3416</t>
  </si>
  <si>
    <t>CANCELADA POR DUPLICADA</t>
  </si>
  <si>
    <t>A3418</t>
  </si>
  <si>
    <t>A3422</t>
  </si>
  <si>
    <t> pago 2,093,415.57 tc 20.0448</t>
  </si>
  <si>
    <t>A3424</t>
  </si>
  <si>
    <t>INTERESES DE FACTURAS VENCIDAS AL 09 OCTUBRE 2022 POR SERVICIO DE GNC. FACTURAS: A3214, A3252, A3288 Y</t>
  </si>
  <si>
    <t>A3426</t>
  </si>
  <si>
    <t>DIFERENCIA POR SERVICIO DE COMPRESIÓN 1 AL 4 OCTUBRE 2022</t>
  </si>
  <si>
    <t>A3428</t>
  </si>
  <si>
    <t>SERVICIO DE COMPRESIÓN 4 AL 9 OCTUBRE 2022</t>
  </si>
  <si>
    <t>A3429</t>
  </si>
  <si>
    <t>A3430</t>
  </si>
  <si>
    <t>A3432</t>
  </si>
  <si>
    <t>A3434</t>
  </si>
  <si>
    <t>A3435</t>
  </si>
  <si>
    <t>A3436</t>
  </si>
  <si>
    <t>A3438</t>
  </si>
  <si>
    <t>A3440</t>
  </si>
  <si>
    <t>A3442</t>
  </si>
  <si>
    <t>pago  51,201.12 tc 19.4647</t>
  </si>
  <si>
    <t>A3444</t>
  </si>
  <si>
    <t>A3446</t>
  </si>
  <si>
    <t>A3448</t>
  </si>
  <si>
    <t>A3450</t>
  </si>
  <si>
    <t>CANCELADA POR ARACELI, IMPORTE MAYOR AL REAL</t>
  </si>
  <si>
    <t>A3452</t>
  </si>
  <si>
    <t>A3461</t>
  </si>
  <si>
    <t>SERVICIO DE COMPRESIÓN 10 AL 16 OCTUBRE 2022</t>
  </si>
  <si>
    <t>A3462</t>
  </si>
  <si>
    <t>CANCELADA POR ARACELI, ESTÁ MAL RELACIONADA</t>
  </si>
  <si>
    <t>A3463</t>
  </si>
  <si>
    <t>A3467</t>
  </si>
  <si>
    <t>A3469</t>
  </si>
  <si>
    <t>A3471</t>
  </si>
  <si>
    <t>A3475</t>
  </si>
  <si>
    <t>pagado tc 19.4667</t>
  </si>
  <si>
    <t>A3477</t>
  </si>
  <si>
    <t>pago 1,976,708.99 tc 19.6672</t>
  </si>
  <si>
    <t>A3480</t>
  </si>
  <si>
    <t>SERVICIO DE COMPRESIÓN 17 AL 23 OCTUBRE 2022</t>
  </si>
  <si>
    <t xml:space="preserve">APLICA NC 262, realiza pago por 8,809.53 USD, sobrante aplica a f:2853 </t>
  </si>
  <si>
    <t>A3487</t>
  </si>
  <si>
    <t>SERVICIO DE COMPRESIÓN 1 AL 14 OCTUBRE 2022 POR AJUSTE DE TARIFA</t>
  </si>
  <si>
    <t>A3489</t>
  </si>
  <si>
    <t>SERVICIO DE COMPRESIÓN 24 AL 31 OCTUBRE 2022</t>
  </si>
  <si>
    <t>ABONO 8,809.53  4/11/22, liquida 11/11/22 3,546.37, sobran 188.9dls aplican a f:2680</t>
  </si>
  <si>
    <t>A3492</t>
  </si>
  <si>
    <t>SERVICIO DE COMPRESIÓN 15 AL 31 OCTUBRE 2022</t>
  </si>
  <si>
    <t>A3493</t>
  </si>
  <si>
    <t>A3494</t>
  </si>
  <si>
    <t>A3496</t>
  </si>
  <si>
    <t>A3498</t>
  </si>
  <si>
    <t>A3500</t>
  </si>
  <si>
    <t>pago  66,497.18 tc 19.6732</t>
  </si>
  <si>
    <t>A3501</t>
  </si>
  <si>
    <t>A3502</t>
  </si>
  <si>
    <t>A3504</t>
  </si>
  <si>
    <t>A3506</t>
  </si>
  <si>
    <t>A3508</t>
  </si>
  <si>
    <t>A3510</t>
  </si>
  <si>
    <t>A3518</t>
  </si>
  <si>
    <t>A3522</t>
  </si>
  <si>
    <t>A3524</t>
  </si>
  <si>
    <t>A3526</t>
  </si>
  <si>
    <t>ABONO $300,000 MX TC 19.6955 TOTAL USD ABONADO: $15,231.91,realiza abono por $500,000 el 30/1/23 tc 18.8355 equivalente a $26,545.62 usd, aplica a: A3526 $2,113.27 , A3571 $12,314.59 y A3625 $12,117.76</t>
  </si>
  <si>
    <t>A3530</t>
  </si>
  <si>
    <t>pago  2,263,113.13 tc 19.493</t>
  </si>
  <si>
    <t>A3532</t>
  </si>
  <si>
    <t>A3534</t>
  </si>
  <si>
    <t>SERVICIO DE COMPRESIÓN 1 AL 6 NOVIEMBRE 2022</t>
  </si>
  <si>
    <t>A3535</t>
  </si>
  <si>
    <t>COMERCIAL Y TRANSPORTE GNC SA DE CV</t>
  </si>
  <si>
    <t xml:space="preserve">TANQUE PARA TRANSPORTE DE GAS </t>
  </si>
  <si>
    <t>se solicita cancelación por homologación de moneda</t>
  </si>
  <si>
    <t>A3537</t>
  </si>
  <si>
    <t>SERVICIO DE COMPRESIÓN 7 AL 13 NOVIEMBRE 2022</t>
  </si>
  <si>
    <t>A3539</t>
  </si>
  <si>
    <t>SERVICIO DE COMPRESION 1 AL 14 NOVIEMRE 2022</t>
  </si>
  <si>
    <t>A3540</t>
  </si>
  <si>
    <t>A3541</t>
  </si>
  <si>
    <t>SERVICIO DE COMPRESION 1 AL 14 NOVIEMBRE 2022</t>
  </si>
  <si>
    <t>A3543</t>
  </si>
  <si>
    <t>A3545</t>
  </si>
  <si>
    <t>pago 60,436.42 tc 19.3249</t>
  </si>
  <si>
    <t>A3546</t>
  </si>
  <si>
    <t>ENTREGA DE MOLECULA 1 AL 14 NIVIEMBRE 2022</t>
  </si>
  <si>
    <t>A3547</t>
  </si>
  <si>
    <t>A3549</t>
  </si>
  <si>
    <t>A3551</t>
  </si>
  <si>
    <t>A3553</t>
  </si>
  <si>
    <t>A3555</t>
  </si>
  <si>
    <t>A3563</t>
  </si>
  <si>
    <t>SERVICIO DE COMPRESIÓN 14 AL 20 NOVIEMBRE 2022</t>
  </si>
  <si>
    <t>A3567</t>
  </si>
  <si>
    <t>A3569</t>
  </si>
  <si>
    <t>A3571</t>
  </si>
  <si>
    <t>realiza abono por $500,000 el 30/1/23 tc 18.8355 equivalente a $26,545.62 usd, aplica a: A3526 $2,113.27 , A3571 $12,314.59 y A3625 $12,117.76</t>
  </si>
  <si>
    <t>A3573</t>
  </si>
  <si>
    <t>A3577</t>
  </si>
  <si>
    <t>realiza pago en mxn 197,499.16 tc 19.6931</t>
  </si>
  <si>
    <t>A3579</t>
  </si>
  <si>
    <t>pago  1,862,467.16 tc 19.1433</t>
  </si>
  <si>
    <t>A3580</t>
  </si>
  <si>
    <t>realiza pago en mxn por $1,033,757.70 tc 19.8037</t>
  </si>
  <si>
    <t>A3582</t>
  </si>
  <si>
    <t>SERVICIO DE COMPRESIÓN 21 AL 27 NOVIEMBRE 2022</t>
  </si>
  <si>
    <t>A3590</t>
  </si>
  <si>
    <t>SERVICIO DE COMPRESIÓN 28 AL 30 NOVIEMBRE 202</t>
  </si>
  <si>
    <t>realiza pago por 19,515.02 paga 2 facturas 3637</t>
  </si>
  <si>
    <t>A3592</t>
  </si>
  <si>
    <t>SERVICIO DE COMPRESIÓN 15 AL 30 NOMVIEMBRE 2022</t>
  </si>
  <si>
    <t>A3593</t>
  </si>
  <si>
    <t>OJO. RALIZAN PAGO COMPLETO DE FACTURA Y NO APLICAN NC 271</t>
  </si>
  <si>
    <t>A3594</t>
  </si>
  <si>
    <t>A3596</t>
  </si>
  <si>
    <t>A3598</t>
  </si>
  <si>
    <t>  pago $55,304.09  tc 22.36, el tc no corresponde y sabran 6,596.50 que se aplican a la f:a3645</t>
  </si>
  <si>
    <t>1867 y 1874</t>
  </si>
  <si>
    <t>A3599</t>
  </si>
  <si>
    <t>A3600</t>
  </si>
  <si>
    <t>A3602</t>
  </si>
  <si>
    <t>A3604</t>
  </si>
  <si>
    <t>A3606</t>
  </si>
  <si>
    <t>A3608</t>
  </si>
  <si>
    <t xml:space="preserve">ENTREGA DE MOLÉCULA 1 AL 14 DICIEMBRE 2022 </t>
  </si>
  <si>
    <t>FACTURA ESTIMADA POR CIERRE DE AÑO</t>
  </si>
  <si>
    <t>A3609</t>
  </si>
  <si>
    <t>A3617</t>
  </si>
  <si>
    <t>A3621</t>
  </si>
  <si>
    <t>A3623</t>
  </si>
  <si>
    <t>A3625</t>
  </si>
  <si>
    <t>A3627</t>
  </si>
  <si>
    <t>A3631</t>
  </si>
  <si>
    <t>realiza pago en MX tc20.4423 1,995,767.47  tc 19.6955</t>
  </si>
  <si>
    <t>A3633</t>
  </si>
  <si>
    <t>paga   $436,527.71 tc. $18.3483 paga f:3633,3635 y 3688</t>
  </si>
  <si>
    <t>A3635</t>
  </si>
  <si>
    <t>A3637</t>
  </si>
  <si>
    <t>SERVICIO DE COMPRESIÓN 1 AL 4 DICIEMBRE 2022</t>
  </si>
  <si>
    <t>realiza pago por 19515.02 paga f: 3590 y 3637</t>
  </si>
  <si>
    <t>A3641</t>
  </si>
  <si>
    <t>SERVICIO DE COMPRESIÓN 5 AL 11 NOVIEMBRE 2022</t>
  </si>
  <si>
    <t>A3642</t>
  </si>
  <si>
    <t>ESTA FACTURA SUSTITUYE A LA 2922</t>
  </si>
  <si>
    <t>A3644</t>
  </si>
  <si>
    <t>A3646</t>
  </si>
  <si>
    <t>pagada en mx 45,787.42  tc 19.4287</t>
  </si>
  <si>
    <t>A3648</t>
  </si>
  <si>
    <t>A3650</t>
  </si>
  <si>
    <t>realiza dos pagos $20,000 y $1,257.07 el día 12 enero 23</t>
  </si>
  <si>
    <t>A3652</t>
  </si>
  <si>
    <t>A3660</t>
  </si>
  <si>
    <t>A3661</t>
  </si>
  <si>
    <t>A3662</t>
  </si>
  <si>
    <t>A3668</t>
  </si>
  <si>
    <t>A3670</t>
  </si>
  <si>
    <t>SERVICIO DE COMPRESIÓN 12 AL 18 DICIEMBRE 2022</t>
  </si>
  <si>
    <t>A3672</t>
  </si>
  <si>
    <t>A3676</t>
  </si>
  <si>
    <t>A3678</t>
  </si>
  <si>
    <t>A3680</t>
  </si>
  <si>
    <t>A3682</t>
  </si>
  <si>
    <t>A3684</t>
  </si>
  <si>
    <t>paga en MX $ 1,821,870.95 tc 19.3672</t>
  </si>
  <si>
    <t>A3688</t>
  </si>
  <si>
    <t>A3690</t>
  </si>
  <si>
    <t>A3694</t>
  </si>
  <si>
    <t>SERVICIO DE COMPRESIÓN 19 AL 25 DICIEMBRE 2022</t>
  </si>
  <si>
    <t>realiza abono 24/1/23 por $32,000 aplica a f:3694 (liquida) y abona a3706 5,251.94</t>
  </si>
  <si>
    <t>A3702</t>
  </si>
  <si>
    <t>A3704</t>
  </si>
  <si>
    <t>CANCELADA POR DATOS INCORRECTOS EN ARCHIVO</t>
  </si>
  <si>
    <t>A3706</t>
  </si>
  <si>
    <t>SERVICIO DE COMPRESIÓN 26 AL 31 DICIEMBRE 2022</t>
  </si>
  <si>
    <t>abono 5,251.94 del sobrante día 24 ene 2023</t>
  </si>
  <si>
    <t>1957 / 2287</t>
  </si>
  <si>
    <t>A3708</t>
  </si>
  <si>
    <t>A3710</t>
  </si>
  <si>
    <t>A3711</t>
  </si>
  <si>
    <t>A3712</t>
  </si>
  <si>
    <t>A3714</t>
  </si>
  <si>
    <t>A3716</t>
  </si>
  <si>
    <t>A3718</t>
  </si>
  <si>
    <t>APLICA NC 293</t>
  </si>
  <si>
    <t>A3719</t>
  </si>
  <si>
    <t>A3720</t>
  </si>
  <si>
    <t>LA SUSTITUYE LA F A3727</t>
  </si>
  <si>
    <t>A3721</t>
  </si>
  <si>
    <t>ENTREGA DE MOLECULA 1 AL 14 DICIEMBRE 2022 DIFERENCIA POR ESTIMACIÓN</t>
  </si>
  <si>
    <t>A3724</t>
  </si>
  <si>
    <t>A3726</t>
  </si>
  <si>
    <t>A3727</t>
  </si>
  <si>
    <t>A3731</t>
  </si>
  <si>
    <t>A3733</t>
  </si>
  <si>
    <t>A3735</t>
  </si>
  <si>
    <t>A3737</t>
  </si>
  <si>
    <t>A3742</t>
  </si>
  <si>
    <t>realiza pago en mxn  $2,147,235.15 TC 19.0327</t>
  </si>
  <si>
    <t>A3744</t>
  </si>
  <si>
    <t>PAGA EN PESOS 167,571.71</t>
  </si>
  <si>
    <t>A3746</t>
  </si>
  <si>
    <t>APLICA NC 289 DIFERENCIA TARIFA PAGA EN PESOS 48,438.64</t>
  </si>
  <si>
    <t>A3748</t>
  </si>
  <si>
    <t>SERVICIO DE COMPRESIÓN 1 AL 8 ENERO 2023</t>
  </si>
  <si>
    <t>1957 / 2287/ 2305</t>
  </si>
  <si>
    <t>A3749</t>
  </si>
  <si>
    <t>cancelada por araceli, factura con error por parte de SIU al sustituye la 3834</t>
  </si>
  <si>
    <t>A3750</t>
  </si>
  <si>
    <t>A3752</t>
  </si>
  <si>
    <t>A3754</t>
  </si>
  <si>
    <t>A3755</t>
  </si>
  <si>
    <t>A3756</t>
  </si>
  <si>
    <t>A3758</t>
  </si>
  <si>
    <t>A3760</t>
  </si>
  <si>
    <t>A3762</t>
  </si>
  <si>
    <t>A3771</t>
  </si>
  <si>
    <t>SERVICIO DE COMPRESIÓN 9 AL 15 ENERO 2023</t>
  </si>
  <si>
    <t>abono $5,000 17/3/23, abono 24/3/23 $5,000, abono 2mil usd 21/04/23, abono 1,000 usd 5/5/23</t>
  </si>
  <si>
    <t>2295 / 2296 / 2298 / 2299/2300/2302</t>
  </si>
  <si>
    <t>A3773</t>
  </si>
  <si>
    <t>A3774</t>
  </si>
  <si>
    <t>CANCELADA POR ARACELI NO ERA CLIENTE</t>
  </si>
  <si>
    <t>A3775</t>
  </si>
  <si>
    <t>A3777</t>
  </si>
  <si>
    <t>se cancela por error en leyenda</t>
  </si>
  <si>
    <t>A3779</t>
  </si>
  <si>
    <t>abono $8,767.10 26/5/23</t>
  </si>
  <si>
    <t>A3780</t>
  </si>
  <si>
    <t>A3782</t>
  </si>
  <si>
    <t>SERVICIO DE COMPRESIÓN 16 AL 22 ENERO 2023</t>
  </si>
  <si>
    <t xml:space="preserve">REALIZA PAGO POR $1,964,939.87 TC.16.7858 18/7/23  </t>
  </si>
  <si>
    <t>A3786</t>
  </si>
  <si>
    <t>SERVICIO  DE COMPRESIÓN 1 AL 14 ENERO 2023</t>
  </si>
  <si>
    <t>A3788</t>
  </si>
  <si>
    <t>A3790</t>
  </si>
  <si>
    <t>realiza abono de $500,000 mn tc 18.5383= $26,971.19 usd que aplica a f:3625,3680,3735 y 3790</t>
  </si>
  <si>
    <t>1975-2046</t>
  </si>
  <si>
    <t>A3792</t>
  </si>
  <si>
    <t>A3796</t>
  </si>
  <si>
    <t xml:space="preserve">realiza pago en mx </t>
  </si>
  <si>
    <t>A3805</t>
  </si>
  <si>
    <t>SERVICIO DE COMPRESIÓN 23 AL 29 ENERO 2023</t>
  </si>
  <si>
    <t>abono $10,000 27/1/23</t>
  </si>
  <si>
    <t>A3807</t>
  </si>
  <si>
    <t>PAGA EN PESOS  198,719.83</t>
  </si>
  <si>
    <t>A3809</t>
  </si>
  <si>
    <t>APLICA NC 299 POR DIFERENCIA DE TARIFA PAGA EN PESOS 39,339.19</t>
  </si>
  <si>
    <t>A3812</t>
  </si>
  <si>
    <t>A3814</t>
  </si>
  <si>
    <t>A3816</t>
  </si>
  <si>
    <t>A3818</t>
  </si>
  <si>
    <t>TC 18.549698</t>
  </si>
  <si>
    <t>A3819</t>
  </si>
  <si>
    <t>A3820</t>
  </si>
  <si>
    <t>A3822</t>
  </si>
  <si>
    <t>A3824</t>
  </si>
  <si>
    <t>A3826</t>
  </si>
  <si>
    <t>SERVICIO DE COMPRESIÓN 30 AL 31 ENERO 2023</t>
  </si>
  <si>
    <t>A3833</t>
  </si>
  <si>
    <t>SERVICIO DE COMPRESIÓN 1 L 14 ENERO 2023</t>
  </si>
  <si>
    <t>A3834</t>
  </si>
  <si>
    <t>CANCELADA SE SUSTITUYE POR LA 3865</t>
  </si>
  <si>
    <t>A3835</t>
  </si>
  <si>
    <t>Esta factura está mal, Araceli se confunde de cliente</t>
  </si>
  <si>
    <t>A3836</t>
  </si>
  <si>
    <t>A3837</t>
  </si>
  <si>
    <t>A3839</t>
  </si>
  <si>
    <t>A3841</t>
  </si>
  <si>
    <t>PAGA EN PESOS 21,301.84</t>
  </si>
  <si>
    <t>A3845</t>
  </si>
  <si>
    <t>A3847</t>
  </si>
  <si>
    <t>A3849</t>
  </si>
  <si>
    <t>A3853</t>
  </si>
  <si>
    <t>paga en pesos al TC 18.5497</t>
  </si>
  <si>
    <t>A3855</t>
  </si>
  <si>
    <t>SE CANCELA ERROR DE ARACELI EN RFC</t>
  </si>
  <si>
    <t>A3857</t>
  </si>
  <si>
    <t>A3859</t>
  </si>
  <si>
    <t>A3861</t>
  </si>
  <si>
    <t>A3863</t>
  </si>
  <si>
    <t>PAGA EN PESOS 55,773.82</t>
  </si>
  <si>
    <t>A3864</t>
  </si>
  <si>
    <t>abono $10,000 27/1/23, ESTA FACTURA SUSTITUYE A LA 3805</t>
  </si>
  <si>
    <t>A3865</t>
  </si>
  <si>
    <t>SUSTITUYE A LA 3834</t>
  </si>
  <si>
    <t>A3867</t>
  </si>
  <si>
    <t>SERVICIO DE COMPRESIÓN 1 AL 5 FEBRERO 2023</t>
  </si>
  <si>
    <t>A3869</t>
  </si>
  <si>
    <t>SERVICIO DE COMPRESIÓN 6 AL 12 FEBRERO 2023</t>
  </si>
  <si>
    <t>A3871</t>
  </si>
  <si>
    <t>SERVICIO DE COMPRESION 1 AL 14 FEBRERO 2023</t>
  </si>
  <si>
    <t>A3873</t>
  </si>
  <si>
    <t>tc 18.5496968</t>
  </si>
  <si>
    <t>A3875</t>
  </si>
  <si>
    <t>A3877</t>
  </si>
  <si>
    <t>A3879</t>
  </si>
  <si>
    <t>A3889</t>
  </si>
  <si>
    <t>A3891</t>
  </si>
  <si>
    <t>A3893</t>
  </si>
  <si>
    <t>SERVICIO DE COMPRESIÓN 13 AL 19 FEBRERO 2023</t>
  </si>
  <si>
    <t>A3895</t>
  </si>
  <si>
    <t>A3896</t>
  </si>
  <si>
    <t>A3897</t>
  </si>
  <si>
    <t>A3898</t>
  </si>
  <si>
    <t>A3899</t>
  </si>
  <si>
    <t>A3901</t>
  </si>
  <si>
    <t>SE CANCELA POR ERROR EN MONEDA</t>
  </si>
  <si>
    <t>A3903</t>
  </si>
  <si>
    <t>A3905</t>
  </si>
  <si>
    <t>pago en mxn TC 18.0577</t>
  </si>
  <si>
    <t>A3916</t>
  </si>
  <si>
    <t>A3918</t>
  </si>
  <si>
    <t>A3920</t>
  </si>
  <si>
    <t xml:space="preserve">abono 16/3/23, realiza abono $500,000 28/04/23 </t>
  </si>
  <si>
    <t>2046 y 2136</t>
  </si>
  <si>
    <t>A3922</t>
  </si>
  <si>
    <t>A3924</t>
  </si>
  <si>
    <t>A3926</t>
  </si>
  <si>
    <t>A3930</t>
  </si>
  <si>
    <t>A3932</t>
  </si>
  <si>
    <t>A3934</t>
  </si>
  <si>
    <t>A3936</t>
  </si>
  <si>
    <t>A3938</t>
  </si>
  <si>
    <t>A3940</t>
  </si>
  <si>
    <t>A3942</t>
  </si>
  <si>
    <t>A3944</t>
  </si>
  <si>
    <t>A3945</t>
  </si>
  <si>
    <t>ENTREGA DE MOLECULA 15 AL 28 FEBRERO 2023</t>
  </si>
  <si>
    <t>A3946</t>
  </si>
  <si>
    <t>A3947</t>
  </si>
  <si>
    <t>A3948</t>
  </si>
  <si>
    <t>A3958</t>
  </si>
  <si>
    <t>sustituye por la A4346, se cancela a petición del cliente</t>
  </si>
  <si>
    <t>A3960</t>
  </si>
  <si>
    <t>A3962</t>
  </si>
  <si>
    <t>realiza abono por $500,000 mxn el día 28/04/23 aplica a las facturas 3920/3962/3984 y 4026</t>
  </si>
  <si>
    <t>A3964</t>
  </si>
  <si>
    <t>A3968</t>
  </si>
  <si>
    <t>A3970</t>
  </si>
  <si>
    <t>A3972</t>
  </si>
  <si>
    <t>A3976</t>
  </si>
  <si>
    <t>A3980</t>
  </si>
  <si>
    <t>A3982</t>
  </si>
  <si>
    <t>A3984</t>
  </si>
  <si>
    <t>A3986</t>
  </si>
  <si>
    <t>A3990</t>
  </si>
  <si>
    <t>paga en mx $4,033299.47 paga facturas: 3990 y 4032</t>
  </si>
  <si>
    <t>A3992</t>
  </si>
  <si>
    <t>A3994</t>
  </si>
  <si>
    <t>A3996</t>
  </si>
  <si>
    <t>SERVICIO DE COMPRESIÓN 20 AL 28 FEBRERO 2023</t>
  </si>
  <si>
    <t>REALIZA PAGO POR $1,964,939.87 TC.16.7666</t>
  </si>
  <si>
    <t>A3997</t>
  </si>
  <si>
    <t>A3998</t>
  </si>
  <si>
    <t>A4000</t>
  </si>
  <si>
    <t>A4002</t>
  </si>
  <si>
    <t xml:space="preserve">realiza pago en mx $61,078.20 </t>
  </si>
  <si>
    <t>A4003</t>
  </si>
  <si>
    <t>A4004</t>
  </si>
  <si>
    <t>A4006</t>
  </si>
  <si>
    <t>A4008</t>
  </si>
  <si>
    <t>A4010</t>
  </si>
  <si>
    <t>A4012</t>
  </si>
  <si>
    <t>A4014</t>
  </si>
  <si>
    <t>A4022</t>
  </si>
  <si>
    <t>A4024</t>
  </si>
  <si>
    <t>A4026</t>
  </si>
  <si>
    <t xml:space="preserve">realiza abono por $500,000 mxn el día 28/04/23 aplica a las facturas 3920/3962/3984 y 4026, liquida 17/5/23 tc 17.46  </t>
  </si>
  <si>
    <t>A4028</t>
  </si>
  <si>
    <t>A4032</t>
  </si>
  <si>
    <t>A4036</t>
  </si>
  <si>
    <t>A4040</t>
  </si>
  <si>
    <t>A4042</t>
  </si>
  <si>
    <t>A4051</t>
  </si>
  <si>
    <t>A4052</t>
  </si>
  <si>
    <t>A4053</t>
  </si>
  <si>
    <t>A4054</t>
  </si>
  <si>
    <t>A4055</t>
  </si>
  <si>
    <t>A4057</t>
  </si>
  <si>
    <t>A4059</t>
  </si>
  <si>
    <t xml:space="preserve">paga en pesos </t>
  </si>
  <si>
    <t>A4061</t>
  </si>
  <si>
    <t>A4063</t>
  </si>
  <si>
    <t>A4065</t>
  </si>
  <si>
    <t>CANCELADA POR ARACELI, LA SUSTITUYE 4085</t>
  </si>
  <si>
    <t>A4067</t>
  </si>
  <si>
    <t>A4077</t>
  </si>
  <si>
    <t>INTERESES DE FACTURAS VENCIDAS</t>
  </si>
  <si>
    <t>A4082</t>
  </si>
  <si>
    <t>A4085</t>
  </si>
  <si>
    <t>ESTA FACTURA SUSTITUYE A LA 4065</t>
  </si>
  <si>
    <t>A4089</t>
  </si>
  <si>
    <t>A4091</t>
  </si>
  <si>
    <t>A4093</t>
  </si>
  <si>
    <t>paga en mxn $400,000 aplica a f:4093,4140 y 4194 total $22,778.39 tc $17.5605</t>
  </si>
  <si>
    <t>A4095</t>
  </si>
  <si>
    <t>A4099</t>
  </si>
  <si>
    <t xml:space="preserve">tc 18.009 pago en mx $1,933,879.90 </t>
  </si>
  <si>
    <t>A4101</t>
  </si>
  <si>
    <t>A4103</t>
  </si>
  <si>
    <t>A4105</t>
  </si>
  <si>
    <t>A4107</t>
  </si>
  <si>
    <t>A4109</t>
  </si>
  <si>
    <t>CAMBIA A MX SUSTITUYE POR LA 4126</t>
  </si>
  <si>
    <t>A4110</t>
  </si>
  <si>
    <t>A4111</t>
  </si>
  <si>
    <t>A4113</t>
  </si>
  <si>
    <t>A4115</t>
  </si>
  <si>
    <t>A4117</t>
  </si>
  <si>
    <t>A4119</t>
  </si>
  <si>
    <t>A4130</t>
  </si>
  <si>
    <t>A4132</t>
  </si>
  <si>
    <t>paga en MX  1,489,265.17 tc 17.63</t>
  </si>
  <si>
    <t>A4136</t>
  </si>
  <si>
    <t>A4138</t>
  </si>
  <si>
    <t>A4140</t>
  </si>
  <si>
    <t>A4142</t>
  </si>
  <si>
    <t>A4146</t>
  </si>
  <si>
    <t>A4148</t>
  </si>
  <si>
    <t>CANCELADA CAMBIO USO CFDI</t>
  </si>
  <si>
    <t>A4160</t>
  </si>
  <si>
    <t>A4162</t>
  </si>
  <si>
    <t>REALIZA ABONO $5,183.08 18/07/23, abono 7,774.62 21/8/23</t>
  </si>
  <si>
    <t>2279 / 2355 2397</t>
  </si>
  <si>
    <t>A4168</t>
  </si>
  <si>
    <t>A4169</t>
  </si>
  <si>
    <t>A4170</t>
  </si>
  <si>
    <t>A4172</t>
  </si>
  <si>
    <t>A4174</t>
  </si>
  <si>
    <t>A4176</t>
  </si>
  <si>
    <t>A4178</t>
  </si>
  <si>
    <t>A4183</t>
  </si>
  <si>
    <t>SERVICIO DE COMPRESIÓN 15 AL 30 ABRIL 2023 AJUSTE PC</t>
  </si>
  <si>
    <t>A4186</t>
  </si>
  <si>
    <t>SUSTITUYE 4158</t>
  </si>
  <si>
    <t>A4190</t>
  </si>
  <si>
    <t>A4192</t>
  </si>
  <si>
    <t>A4194</t>
  </si>
  <si>
    <t>abono sobrante del pago 31 mayo 2023, ABONO 11,912.42 (200,000 MN) TC 16.7892 17/07/23, ABONA $200,000 MX 25/7/23 APLICA A F: 4194 Y SOBRANTE 4239</t>
  </si>
  <si>
    <t>2197 / 2275 / 2317</t>
  </si>
  <si>
    <t>A4196</t>
  </si>
  <si>
    <t>A4200</t>
  </si>
  <si>
    <t>A4202</t>
  </si>
  <si>
    <t>A4204</t>
  </si>
  <si>
    <t>A4206</t>
  </si>
  <si>
    <t>ABONA 8,463.94 15/9/23</t>
  </si>
  <si>
    <t>2430 / 2447</t>
  </si>
  <si>
    <t>A4209</t>
  </si>
  <si>
    <t>A4210</t>
  </si>
  <si>
    <t>A4212</t>
  </si>
  <si>
    <t>A4214</t>
  </si>
  <si>
    <t>A4216</t>
  </si>
  <si>
    <t>A4218</t>
  </si>
  <si>
    <t>A4226</t>
  </si>
  <si>
    <t>A4230</t>
  </si>
  <si>
    <t>A4235</t>
  </si>
  <si>
    <t>A4237</t>
  </si>
  <si>
    <t>A4239</t>
  </si>
  <si>
    <t xml:space="preserve">ABONO SORANTE DEL 25/7/23 POR 200,000MXN, ABONO 200,000 26/7/23 APLICA A F: 4291 Y 4239 </t>
  </si>
  <si>
    <t>2317 / 2319</t>
  </si>
  <si>
    <t>A4241</t>
  </si>
  <si>
    <t>A4245</t>
  </si>
  <si>
    <t xml:space="preserve">paga en mxn  1,721,418.32 </t>
  </si>
  <si>
    <t>A4247</t>
  </si>
  <si>
    <t>A4249</t>
  </si>
  <si>
    <t>A4257</t>
  </si>
  <si>
    <t>A4259</t>
  </si>
  <si>
    <t>REALIZAN 3 PAGOS EL DÍA 20/10/2023</t>
  </si>
  <si>
    <t>A4265</t>
  </si>
  <si>
    <t>A4266</t>
  </si>
  <si>
    <t>A4267</t>
  </si>
  <si>
    <t>A4269</t>
  </si>
  <si>
    <t>A4271</t>
  </si>
  <si>
    <t>A4273</t>
  </si>
  <si>
    <t>A4275</t>
  </si>
  <si>
    <t>A4276</t>
  </si>
  <si>
    <t>A4283</t>
  </si>
  <si>
    <t>RENTA CONTENEDOR JUNIO 2023</t>
  </si>
  <si>
    <t>PAGA EN MXN  102,435.50</t>
  </si>
  <si>
    <t>A4287</t>
  </si>
  <si>
    <t>A4289</t>
  </si>
  <si>
    <t>A4291</t>
  </si>
  <si>
    <t>ABONO 200,000 MX 26/7/23 APLICA A 4291 Y 4239</t>
  </si>
  <si>
    <t>A4293</t>
  </si>
  <si>
    <t>A4297</t>
  </si>
  <si>
    <t>paga en mx  2,103,280.08 tc 17.1712</t>
  </si>
  <si>
    <t>A4299</t>
  </si>
  <si>
    <t>A4301</t>
  </si>
  <si>
    <t>A4303</t>
  </si>
  <si>
    <t>A4305</t>
  </si>
  <si>
    <t>A4305 Y ABONO DE $1,830.19  A4394</t>
  </si>
  <si>
    <t>A4311</t>
  </si>
  <si>
    <t>A4312</t>
  </si>
  <si>
    <t>A4313</t>
  </si>
  <si>
    <t>A4315</t>
  </si>
  <si>
    <t>A4317</t>
  </si>
  <si>
    <t>A4319</t>
  </si>
  <si>
    <t>A4326</t>
  </si>
  <si>
    <t>cancelada por ajuste de OC</t>
  </si>
  <si>
    <t>A4330</t>
  </si>
  <si>
    <t>A4332</t>
  </si>
  <si>
    <t>PAGA 400,000 28/7/23 APLICA 4291,4332 Y ABONO 4402 TC 16.88</t>
  </si>
  <si>
    <t>A4334</t>
  </si>
  <si>
    <t>A4338</t>
  </si>
  <si>
    <t>paga $3,374,775.95 que ampara a las F:4338 y 4408</t>
  </si>
  <si>
    <t>A4340</t>
  </si>
  <si>
    <t>A4342</t>
  </si>
  <si>
    <t>A4344</t>
  </si>
  <si>
    <t>A4346</t>
  </si>
  <si>
    <t>SUSTITUYE A LA A3958</t>
  </si>
  <si>
    <t>A4355</t>
  </si>
  <si>
    <t>A4356</t>
  </si>
  <si>
    <t>RENTA PORTACONTENEDOR JUNIO 2023</t>
  </si>
  <si>
    <t>A4364</t>
  </si>
  <si>
    <t>A4366</t>
  </si>
  <si>
    <t>SE CANCELA POR TC ERRÓNEO, SUSTITUYE 4394</t>
  </si>
  <si>
    <t>A4372</t>
  </si>
  <si>
    <t>A4373</t>
  </si>
  <si>
    <t>A4374</t>
  </si>
  <si>
    <t>A4376</t>
  </si>
  <si>
    <t>A4378</t>
  </si>
  <si>
    <t>A4380</t>
  </si>
  <si>
    <t>A4382</t>
  </si>
  <si>
    <t>A4390</t>
  </si>
  <si>
    <t>RENTA CONTENEDOR JULIO 2023</t>
  </si>
  <si>
    <t>A4391</t>
  </si>
  <si>
    <t>A4392</t>
  </si>
  <si>
    <t>A4393</t>
  </si>
  <si>
    <t>A4394</t>
  </si>
  <si>
    <t>SUSTITUYE A LA 4366 SE ABONA DEL SOBANTE DE 4305 07/11/23</t>
  </si>
  <si>
    <t>2578/2596</t>
  </si>
  <si>
    <t>A4398</t>
  </si>
  <si>
    <t>A4400</t>
  </si>
  <si>
    <t>A4402</t>
  </si>
  <si>
    <t>2325 / 2349 / 2368</t>
  </si>
  <si>
    <t>A4404</t>
  </si>
  <si>
    <t>A4408</t>
  </si>
  <si>
    <t>A4410</t>
  </si>
  <si>
    <t>A4412</t>
  </si>
  <si>
    <t>A4415</t>
  </si>
  <si>
    <t>A4417</t>
  </si>
  <si>
    <t>A4419</t>
  </si>
  <si>
    <t>A4421</t>
  </si>
  <si>
    <t>A4423</t>
  </si>
  <si>
    <t>A4425</t>
  </si>
  <si>
    <t>A4429</t>
  </si>
  <si>
    <t>A4439</t>
  </si>
  <si>
    <t>A4441</t>
  </si>
  <si>
    <t>A4443</t>
  </si>
  <si>
    <t>A4445</t>
  </si>
  <si>
    <t>A4447</t>
  </si>
  <si>
    <t>PAGA EN MX  1,635,150.46</t>
  </si>
  <si>
    <t>A4451</t>
  </si>
  <si>
    <t>A4453</t>
  </si>
  <si>
    <t>A4455</t>
  </si>
  <si>
    <t>SERVICIO DE COMPRESIÓN 23 JULIO 2023</t>
  </si>
  <si>
    <t>A4457</t>
  </si>
  <si>
    <t>A4459</t>
  </si>
  <si>
    <t>A4461</t>
  </si>
  <si>
    <t>A4463</t>
  </si>
  <si>
    <t>SERVICIO DE COMPRESIÓN 27 JULIO 2023</t>
  </si>
  <si>
    <t>REALIZA PAGO POR 1,789.33 SOBRAN 55.12 APLICAN PARA 4478</t>
  </si>
  <si>
    <t>A4471</t>
  </si>
  <si>
    <t>RENTA PORTACONTENEDORES AGOSTO 2023</t>
  </si>
  <si>
    <t>PAGA EN MX 246,290.96  12/10/23</t>
  </si>
  <si>
    <t>A4472</t>
  </si>
  <si>
    <t>RENTA PORTACONTENEDORES AGOSTO 2024</t>
  </si>
  <si>
    <t>A4473</t>
  </si>
  <si>
    <t>NOBREAK, ACCORDING TO ATTACHED DOCUMENTATION</t>
  </si>
  <si>
    <t>A4476</t>
  </si>
  <si>
    <t>A4478</t>
  </si>
  <si>
    <t>DIFERENCIO POR SERVICIO DE COMPRESIÓN JULIO 2023</t>
  </si>
  <si>
    <t>ABONA SOBRANTE 55.12 Y RESTAN 39.17 APLICAN 4500</t>
  </si>
  <si>
    <t>A4480</t>
  </si>
  <si>
    <t>A4482</t>
  </si>
  <si>
    <t>A4484</t>
  </si>
  <si>
    <t>A4486</t>
  </si>
  <si>
    <t>A4488</t>
  </si>
  <si>
    <t>A4498</t>
  </si>
  <si>
    <t>A4500</t>
  </si>
  <si>
    <t>SERVICIO DE COMPRESIÓN 5 AGOSTO  2023</t>
  </si>
  <si>
    <t>SOBRAN 43.83 SALDO A FAVOR DE ORGANIKA</t>
  </si>
  <si>
    <t>A4505</t>
  </si>
  <si>
    <t>A4507</t>
  </si>
  <si>
    <t>A4509</t>
  </si>
  <si>
    <t>ABONO 12/9/23</t>
  </si>
  <si>
    <t>2414 / 2456</t>
  </si>
  <si>
    <t>A4511</t>
  </si>
  <si>
    <t>A4513</t>
  </si>
  <si>
    <t>TC 16.9548 PAGA EN MX  2,056,725.07</t>
  </si>
  <si>
    <t>A4517</t>
  </si>
  <si>
    <t>A4519</t>
  </si>
  <si>
    <t>A4522</t>
  </si>
  <si>
    <t>NOBREAK, ACCORDING TO ATTACHED</t>
  </si>
  <si>
    <t>ESTA FACTURA SUSTITUYE A LA 4473</t>
  </si>
  <si>
    <t>A4527</t>
  </si>
  <si>
    <t>A4548</t>
  </si>
  <si>
    <t>AJUSTE TARIFA 1 AL 14 JUNIO 2023</t>
  </si>
  <si>
    <t>A4549</t>
  </si>
  <si>
    <t>A4550</t>
  </si>
  <si>
    <t>AJUSTE TARIFA 15 AL 30 JUNIO 2023</t>
  </si>
  <si>
    <t>A4592</t>
  </si>
  <si>
    <t>SERVICIO DE COMPRESIÓN 12 AGOSTO 2023</t>
  </si>
  <si>
    <t>A4594</t>
  </si>
  <si>
    <t>A4604</t>
  </si>
  <si>
    <t>A4605</t>
  </si>
  <si>
    <t>ENTREGA DE MOLÉCULA 1 AL 14 AGOSOT 2023</t>
  </si>
  <si>
    <t>A4606</t>
  </si>
  <si>
    <t>A4608</t>
  </si>
  <si>
    <t>A4611</t>
  </si>
  <si>
    <t>A4612</t>
  </si>
  <si>
    <t>A4614</t>
  </si>
  <si>
    <t>A4618</t>
  </si>
  <si>
    <t>A4620</t>
  </si>
  <si>
    <t>ABONO 9/10/23</t>
  </si>
  <si>
    <t>2479 / 2480</t>
  </si>
  <si>
    <t>A4622</t>
  </si>
  <si>
    <t>A4624</t>
  </si>
  <si>
    <t>A4628</t>
  </si>
  <si>
    <t xml:space="preserve">paga en mx  1,580,801.90 </t>
  </si>
  <si>
    <t>A4630</t>
  </si>
  <si>
    <t xml:space="preserve">PAGA EN MXN </t>
  </si>
  <si>
    <t>A4632</t>
  </si>
  <si>
    <t>A4636</t>
  </si>
  <si>
    <t>SERVICIO DE COMPRESIÓN 26 AGOSTO 2023</t>
  </si>
  <si>
    <t>A4637</t>
  </si>
  <si>
    <t>ABONA 1114.23 1/9/23, abono 157.47 9/10/23.</t>
  </si>
  <si>
    <t>A4638</t>
  </si>
  <si>
    <t>A4646</t>
  </si>
  <si>
    <t>SERVICIO DE COMPRESIÓN 30 AGOSTO 2023</t>
  </si>
  <si>
    <t>A4648</t>
  </si>
  <si>
    <t>A4650</t>
  </si>
  <si>
    <t>A4652</t>
  </si>
  <si>
    <t>A4653</t>
  </si>
  <si>
    <t>A4654</t>
  </si>
  <si>
    <t>A4656</t>
  </si>
  <si>
    <t>A4660</t>
  </si>
  <si>
    <t>A4662</t>
  </si>
  <si>
    <t>A4664</t>
  </si>
  <si>
    <t>A4666</t>
  </si>
  <si>
    <t>A4668</t>
  </si>
  <si>
    <t>A4675</t>
  </si>
  <si>
    <t>SERVICIO DE COMPRESIÓN 1 SEPTIEMEBRE 2023</t>
  </si>
  <si>
    <t>A4680</t>
  </si>
  <si>
    <t xml:space="preserve"> abono $3726.259 2/10/23</t>
  </si>
  <si>
    <t>2456 / 2490</t>
  </si>
  <si>
    <t>A4684</t>
  </si>
  <si>
    <t>TC 17.1042</t>
  </si>
  <si>
    <t>A4687</t>
  </si>
  <si>
    <t>PAGA EN MXN $457,435.01 APLICA A A4715,4689, 4687, 4774</t>
  </si>
  <si>
    <t>A4689</t>
  </si>
  <si>
    <t>A4696</t>
  </si>
  <si>
    <t>SERVICIO DE COMPRESIÓN 12 SEPTIEMBRE 2023</t>
  </si>
  <si>
    <t>A4697</t>
  </si>
  <si>
    <t>A4699</t>
  </si>
  <si>
    <t>A4707</t>
  </si>
  <si>
    <t>A4709</t>
  </si>
  <si>
    <t>A4713</t>
  </si>
  <si>
    <t>A4715</t>
  </si>
  <si>
    <t>A4719</t>
  </si>
  <si>
    <t>SERVICIO DE COMPRESIÓN 20 SEPTIEMBRE 2023</t>
  </si>
  <si>
    <t>A4721</t>
  </si>
  <si>
    <t>A4727</t>
  </si>
  <si>
    <t>abono 11/10/23</t>
  </si>
  <si>
    <t>2490 / 2505</t>
  </si>
  <si>
    <t>A4732</t>
  </si>
  <si>
    <t>PAGA EN MX $ 1,709,084.19  TC17.41</t>
  </si>
  <si>
    <t>A4734</t>
  </si>
  <si>
    <t>A4735</t>
  </si>
  <si>
    <t>A4737</t>
  </si>
  <si>
    <t>A4739</t>
  </si>
  <si>
    <t>A4741</t>
  </si>
  <si>
    <t>A4743</t>
  </si>
  <si>
    <t>SERVICIO DE COMPRESIÓN 22 SEPTIEMBRE 2023</t>
  </si>
  <si>
    <t>A4751</t>
  </si>
  <si>
    <t>MANTENIMIENTO DESCOMPRESORA INVERAGRO</t>
  </si>
  <si>
    <t>ABONA $8716.24 08/12/23</t>
  </si>
  <si>
    <t>2649/ 2690</t>
  </si>
  <si>
    <t>A4754</t>
  </si>
  <si>
    <t>SERVICIO DE COMPRESIÓN 15 AL 30 SEPTIEMBRE  2023</t>
  </si>
  <si>
    <t>A4755</t>
  </si>
  <si>
    <t>A4756</t>
  </si>
  <si>
    <t>A4757</t>
  </si>
  <si>
    <t>A4758</t>
  </si>
  <si>
    <t>A4760</t>
  </si>
  <si>
    <t>A4764</t>
  </si>
  <si>
    <t>A4766</t>
  </si>
  <si>
    <t>A4770</t>
  </si>
  <si>
    <t>A4774</t>
  </si>
  <si>
    <t>A4782</t>
  </si>
  <si>
    <t>SERVICIO DE COMPRESIÓN 29 Y 30 SEPTIEMBRE 2023</t>
  </si>
  <si>
    <t>A4785</t>
  </si>
  <si>
    <t>A4789</t>
  </si>
  <si>
    <t>A4791</t>
  </si>
  <si>
    <t>A4793</t>
  </si>
  <si>
    <t xml:space="preserve">realiza abono </t>
  </si>
  <si>
    <t>2548/2642</t>
  </si>
  <si>
    <t>A4795</t>
  </si>
  <si>
    <t>A4799</t>
  </si>
  <si>
    <t>A4803</t>
  </si>
  <si>
    <t>A4805</t>
  </si>
  <si>
    <t>A4808</t>
  </si>
  <si>
    <t>SERVICIO DE COMPRESIÓN 7,8 Y 9 OCTUBRE 2023</t>
  </si>
  <si>
    <t>A4810</t>
  </si>
  <si>
    <t>A4812</t>
  </si>
  <si>
    <t>A4814</t>
  </si>
  <si>
    <t>A4816</t>
  </si>
  <si>
    <t>A4819</t>
  </si>
  <si>
    <t>A4820</t>
  </si>
  <si>
    <t>A4830</t>
  </si>
  <si>
    <t>A4834</t>
  </si>
  <si>
    <t>A4836</t>
  </si>
  <si>
    <t>SERVICIO DE COMPRESIÓN 13 OCTUBRE 2023</t>
  </si>
  <si>
    <t>A4838</t>
  </si>
  <si>
    <t>SERVICIO DE COMPRESIÓN 17 OCTUBRE 2023</t>
  </si>
  <si>
    <t>A4839</t>
  </si>
  <si>
    <t>A4840</t>
  </si>
  <si>
    <t>A4844</t>
  </si>
  <si>
    <t>A4846</t>
  </si>
  <si>
    <t>A4848</t>
  </si>
  <si>
    <t>ABONA $7,046.40 08/12/23</t>
  </si>
  <si>
    <t>2642/2695</t>
  </si>
  <si>
    <t>A4850</t>
  </si>
  <si>
    <t>A4854</t>
  </si>
  <si>
    <t>A4856</t>
  </si>
  <si>
    <t>A4858</t>
  </si>
  <si>
    <t>pagan 1,822,385.02 tc 17.9305</t>
  </si>
  <si>
    <t>A4860</t>
  </si>
  <si>
    <t>SERVICIO DE COMPRESIÓN 20 OCTUBRE 2023</t>
  </si>
  <si>
    <t>A4864</t>
  </si>
  <si>
    <t>SERVICIO DE COMPRESIÓN 23, 24 Y 25 OCTUBRE 2023</t>
  </si>
  <si>
    <t>A4866</t>
  </si>
  <si>
    <t>SERVICIO DE COMPRESION 1 AL 14 OCTUBRE 2023</t>
  </si>
  <si>
    <t>A4868</t>
  </si>
  <si>
    <t>SERVICIO DE COMPRESIÓN 26 AL 28 OCTUBRE 2023</t>
  </si>
  <si>
    <t>A4870</t>
  </si>
  <si>
    <t>SERVICIO DE COMPRESIÓN 29 AL 31 OCTUBRE 2023</t>
  </si>
  <si>
    <t>pagan 10,000 restan 4,632.01 aplica factura pendiente</t>
  </si>
  <si>
    <t>A4880</t>
  </si>
  <si>
    <t>SERVICIO DE COMPRESIÓN 1 AL 3 NOVIEMBRE 2023</t>
  </si>
  <si>
    <t>pagan 5,000 restan 2208.01</t>
  </si>
  <si>
    <t>2554 / 2580</t>
  </si>
  <si>
    <t>A4882</t>
  </si>
  <si>
    <t>A4884</t>
  </si>
  <si>
    <t>A4885</t>
  </si>
  <si>
    <t>ENTREGA DE MOLÉCULA 15 AL  31 OCTUBRE 2023</t>
  </si>
  <si>
    <t>A4886</t>
  </si>
  <si>
    <t>A4887</t>
  </si>
  <si>
    <t>A4888</t>
  </si>
  <si>
    <t>A4890</t>
  </si>
  <si>
    <t>A4894</t>
  </si>
  <si>
    <t>A4896</t>
  </si>
  <si>
    <t>A4900</t>
  </si>
  <si>
    <t>A4902</t>
  </si>
  <si>
    <t>A4904</t>
  </si>
  <si>
    <t>A4917</t>
  </si>
  <si>
    <t>A4919</t>
  </si>
  <si>
    <t>A4921</t>
  </si>
  <si>
    <t>A4923</t>
  </si>
  <si>
    <t>A4927</t>
  </si>
  <si>
    <t>A4930</t>
  </si>
  <si>
    <t>A4932</t>
  </si>
  <si>
    <t>A4934</t>
  </si>
  <si>
    <t>SERVICIO DE COMPRESIÓN 4 AL 10 NOVIEMBRE 2023</t>
  </si>
  <si>
    <t>10/11/23 se abonan del restante A4870 // se abonan 6200 28/11/23</t>
  </si>
  <si>
    <t>A4936</t>
  </si>
  <si>
    <t>MANTENIMIENTO DESCOMPRESORA AGUILARES</t>
  </si>
  <si>
    <t>A4938</t>
  </si>
  <si>
    <t>A4940</t>
  </si>
  <si>
    <t>A4942</t>
  </si>
  <si>
    <t>A4946</t>
  </si>
  <si>
    <t>A4947</t>
  </si>
  <si>
    <t>ENTREGA DE MOLÉCULA 01 AL 14 OCTUBRE 2023</t>
  </si>
  <si>
    <t>A4948</t>
  </si>
  <si>
    <t>A4950</t>
  </si>
  <si>
    <t>ABONO $13,709.73 08/12/23</t>
  </si>
  <si>
    <t>2647/2652</t>
  </si>
  <si>
    <t>A4956</t>
  </si>
  <si>
    <t>A4958</t>
  </si>
  <si>
    <t>A4959</t>
  </si>
  <si>
    <t>ENTREGA DE MOLÉCULA 01 AL 14 NOVIEMBRE 2023</t>
  </si>
  <si>
    <t>A4960</t>
  </si>
  <si>
    <t>A4962</t>
  </si>
  <si>
    <t>A4970</t>
  </si>
  <si>
    <t>paGADO</t>
  </si>
  <si>
    <t>ABONA $13051.86 EL 02/01/23</t>
  </si>
  <si>
    <t>A4976</t>
  </si>
  <si>
    <t>A4978</t>
  </si>
  <si>
    <t>A4980</t>
  </si>
  <si>
    <t>A4982</t>
  </si>
  <si>
    <t>A4984</t>
  </si>
  <si>
    <t>A4986</t>
  </si>
  <si>
    <t>A4988</t>
  </si>
  <si>
    <t>SERVICIO DE COMPRESIÓN 15 AL 24 NOVIEMBRE 2023</t>
  </si>
  <si>
    <t>14/12/23  Se agrega la diferencia de los saldos anteriores no cargados a este cliente ($2,088.57)</t>
  </si>
  <si>
    <t>2634/2718</t>
  </si>
  <si>
    <t>A4989</t>
  </si>
  <si>
    <t>A4990</t>
  </si>
  <si>
    <t>A4991</t>
  </si>
  <si>
    <t>A4992</t>
  </si>
  <si>
    <t>A4993</t>
  </si>
  <si>
    <t>A4994</t>
  </si>
  <si>
    <t>A4995</t>
  </si>
  <si>
    <t>A5003</t>
  </si>
  <si>
    <t>A5004</t>
  </si>
  <si>
    <t>A5005</t>
  </si>
  <si>
    <t>A5007</t>
  </si>
  <si>
    <t>A5009</t>
  </si>
  <si>
    <t>A5013</t>
  </si>
  <si>
    <t>A5017</t>
  </si>
  <si>
    <t>A5019</t>
  </si>
  <si>
    <t>A5021</t>
  </si>
  <si>
    <t>A5033</t>
  </si>
  <si>
    <t>A5037</t>
  </si>
  <si>
    <t>A5041</t>
  </si>
  <si>
    <t>A5043</t>
  </si>
  <si>
    <t>A5045</t>
  </si>
  <si>
    <t>A5047</t>
  </si>
  <si>
    <t>abona 996.59 a A5047 08/01/2024, abona $11,673.72 el 23/01/2024</t>
  </si>
  <si>
    <t>A5053</t>
  </si>
  <si>
    <t>A5055</t>
  </si>
  <si>
    <t>A5057</t>
  </si>
  <si>
    <t>A5059</t>
  </si>
  <si>
    <t>SERVICIO DE COMPRESIÓN 01 AL 08 DICIEMBRE 2023</t>
  </si>
  <si>
    <t>A5063</t>
  </si>
  <si>
    <t>SERVICIO DE COMPRESIÓN 08 AL 15 DICIEMBRE 2023</t>
  </si>
  <si>
    <t>A5065</t>
  </si>
  <si>
    <t>SERVICIO DE COMPRESIÓN 16 AL 22 DICIEMBRE 2023</t>
  </si>
  <si>
    <t>abona 12156.10 usd el 02/01/24. abona 18831.70 el 03/01/24</t>
  </si>
  <si>
    <t>2716 2830</t>
  </si>
  <si>
    <t>A5067</t>
  </si>
  <si>
    <t>A5069</t>
  </si>
  <si>
    <t>A5073</t>
  </si>
  <si>
    <t>A5075</t>
  </si>
  <si>
    <t>A5079</t>
  </si>
  <si>
    <t>A5081</t>
  </si>
  <si>
    <t>A5083</t>
  </si>
  <si>
    <t>A5085</t>
  </si>
  <si>
    <t>A5092</t>
  </si>
  <si>
    <t>A5099</t>
  </si>
  <si>
    <t>A5105</t>
  </si>
  <si>
    <t>A5107</t>
  </si>
  <si>
    <t>A5109</t>
  </si>
  <si>
    <t>abona 6788.8902 el 29/01/2024</t>
  </si>
  <si>
    <t>2774/ 2786</t>
  </si>
  <si>
    <t>A5111</t>
  </si>
  <si>
    <t>A5113</t>
  </si>
  <si>
    <t>A5115</t>
  </si>
  <si>
    <t>SERVICIO DE COMPRESIÓN 23 AL 29 DICIEMBRE 2023</t>
  </si>
  <si>
    <t>abona $6,000 el 15/03/2024, abona nuevamente $6,000 el 22/03/2024</t>
  </si>
  <si>
    <t>2861 / 2893 / 3405</t>
  </si>
  <si>
    <t>A5123</t>
  </si>
  <si>
    <t>SERVICIO DE COMPRESIÓN 01 AL 07 ENERO 2024</t>
  </si>
  <si>
    <t>A5126</t>
  </si>
  <si>
    <t>SERVICIO DE COMPRESIÓN 08 AL 14 ENERO 2024</t>
  </si>
  <si>
    <t>A5128</t>
  </si>
  <si>
    <t>A5130</t>
  </si>
  <si>
    <t>A5131</t>
  </si>
  <si>
    <t>A5132</t>
  </si>
  <si>
    <t>A5134</t>
  </si>
  <si>
    <t>A5138</t>
  </si>
  <si>
    <t>A5140</t>
  </si>
  <si>
    <t>A5144</t>
  </si>
  <si>
    <t>ABONA $18,316.61 EL 19/01/2024</t>
  </si>
  <si>
    <t>2742/2763</t>
  </si>
  <si>
    <t>A5149</t>
  </si>
  <si>
    <t>A5155</t>
  </si>
  <si>
    <t>A5159</t>
  </si>
  <si>
    <t>A5161</t>
  </si>
  <si>
    <t>A5163</t>
  </si>
  <si>
    <t>ABONA $11,260.14 USD EL 07/02/2024</t>
  </si>
  <si>
    <t>A5165</t>
  </si>
  <si>
    <t>A5167</t>
  </si>
  <si>
    <t>A5172</t>
  </si>
  <si>
    <t>A5174</t>
  </si>
  <si>
    <t>A5176</t>
  </si>
  <si>
    <t>A5178</t>
  </si>
  <si>
    <t>A5179</t>
  </si>
  <si>
    <t>A5180</t>
  </si>
  <si>
    <t>ENTREGA DE MOLÉCULA 15 AL 30 NOVIEMBRE 2023 AJUSTE</t>
  </si>
  <si>
    <t>A5181</t>
  </si>
  <si>
    <t>A5182</t>
  </si>
  <si>
    <t>A5183</t>
  </si>
  <si>
    <t>ENTREGA DE MOLÉCULA 15 AL 31 DICIEMBRE 2023 AJUSTE</t>
  </si>
  <si>
    <t>2794/ 2786</t>
  </si>
  <si>
    <t>A5184</t>
  </si>
  <si>
    <t>SERVICIO DE COMPRESIÓN 15 AL 31 DICIEMBRE 2023 AJUSTE</t>
  </si>
  <si>
    <t>374/375</t>
  </si>
  <si>
    <t>A5190</t>
  </si>
  <si>
    <t>A5192</t>
  </si>
  <si>
    <t>A5194</t>
  </si>
  <si>
    <t>A5196</t>
  </si>
  <si>
    <t>A5198</t>
  </si>
  <si>
    <t>A5202</t>
  </si>
  <si>
    <t>A5203</t>
  </si>
  <si>
    <t>ENTREGA DE MOLÉCULA 01 AL 14 ENERO  2024</t>
  </si>
  <si>
    <t>A5204</t>
  </si>
  <si>
    <t>A5205</t>
  </si>
  <si>
    <t>A5206</t>
  </si>
  <si>
    <t>A5218</t>
  </si>
  <si>
    <t>A5222</t>
  </si>
  <si>
    <t>A5224</t>
  </si>
  <si>
    <t>A5226</t>
  </si>
  <si>
    <t>Abona $6247.35 el 27/02/2024</t>
  </si>
  <si>
    <t>2826 / 2855</t>
  </si>
  <si>
    <t>A5228</t>
  </si>
  <si>
    <t>A5234</t>
  </si>
  <si>
    <t>A5236</t>
  </si>
  <si>
    <t>A5246</t>
  </si>
  <si>
    <t>A5248</t>
  </si>
  <si>
    <t>A5251</t>
  </si>
  <si>
    <t>A5252</t>
  </si>
  <si>
    <t>A5254</t>
  </si>
  <si>
    <t>A5256</t>
  </si>
  <si>
    <t>A5257</t>
  </si>
  <si>
    <t>A5258</t>
  </si>
  <si>
    <t>A5260</t>
  </si>
  <si>
    <t>A5274</t>
  </si>
  <si>
    <t>A5276</t>
  </si>
  <si>
    <t>A5278</t>
  </si>
  <si>
    <t>ABONA $11,977.04 EL 08/03/2024</t>
  </si>
  <si>
    <t>2855/2876</t>
  </si>
  <si>
    <t>A5280</t>
  </si>
  <si>
    <t>A5282</t>
  </si>
  <si>
    <t>A5288</t>
  </si>
  <si>
    <t>A5290</t>
  </si>
  <si>
    <t>A5293</t>
  </si>
  <si>
    <t>SERVICIO DE COMPRESIÓN 01 AL 14 FEBRERO 2024</t>
  </si>
  <si>
    <t>A5294</t>
  </si>
  <si>
    <t>A5295</t>
  </si>
  <si>
    <t>A5297</t>
  </si>
  <si>
    <t>A5300</t>
  </si>
  <si>
    <t>A5301</t>
  </si>
  <si>
    <t>A5303</t>
  </si>
  <si>
    <t>A5314</t>
  </si>
  <si>
    <t>A5320</t>
  </si>
  <si>
    <t>A5322</t>
  </si>
  <si>
    <t>A5324</t>
  </si>
  <si>
    <t>ABONA $5,785.28 EL 20/03/2024</t>
  </si>
  <si>
    <t>2876/2903</t>
  </si>
  <si>
    <t>A5326</t>
  </si>
  <si>
    <t>A5328</t>
  </si>
  <si>
    <t>A5334</t>
  </si>
  <si>
    <t>A5336</t>
  </si>
  <si>
    <t>A5344</t>
  </si>
  <si>
    <t>A5346</t>
  </si>
  <si>
    <t>SERVICIO DE COMPRESIÓN 15 AL 29 FEBRERO 2024</t>
  </si>
  <si>
    <t>A5347</t>
  </si>
  <si>
    <t>ENTREGA DE MOLÉCULA 15 AL 29 ENERO 2024</t>
  </si>
  <si>
    <t>A5348</t>
  </si>
  <si>
    <t>A5351</t>
  </si>
  <si>
    <t>A5352</t>
  </si>
  <si>
    <t>A5354</t>
  </si>
  <si>
    <t>A5358</t>
  </si>
  <si>
    <t>A5362</t>
  </si>
  <si>
    <t>A5370</t>
  </si>
  <si>
    <t>A5380</t>
  </si>
  <si>
    <t>ENTREGA DE MOLÉCULA 15 AL 29 FEBRERO 2024</t>
  </si>
  <si>
    <t>A5381</t>
  </si>
  <si>
    <t>A5386</t>
  </si>
  <si>
    <t>AJUSTE DE TARIFA POR ENTREGA DE MOLÉCULA 01 AL 14 ENERO 2024</t>
  </si>
  <si>
    <t>LIQUIDADO CON NC 419</t>
  </si>
  <si>
    <t>A5389</t>
  </si>
  <si>
    <t>A5408</t>
  </si>
  <si>
    <t>A5410</t>
  </si>
  <si>
    <t>ABONA $10,201.05 EL  01/04/24</t>
  </si>
  <si>
    <t>2903/2962</t>
  </si>
  <si>
    <t>A5412</t>
  </si>
  <si>
    <t>A5414</t>
  </si>
  <si>
    <t>A5416</t>
  </si>
  <si>
    <t>A5422</t>
  </si>
  <si>
    <t>A5424</t>
  </si>
  <si>
    <t>A5428</t>
  </si>
  <si>
    <t>SERVICIO DE COMPRESIÓN 01 AL 14 MARZO 2024</t>
  </si>
  <si>
    <t>A5429</t>
  </si>
  <si>
    <t>ENTREGA DE MOLÉCULA 01 AL 14 MARZO 2024</t>
  </si>
  <si>
    <t>A5430</t>
  </si>
  <si>
    <t>A5432</t>
  </si>
  <si>
    <t>A5435</t>
  </si>
  <si>
    <t>A5436</t>
  </si>
  <si>
    <t>A5438</t>
  </si>
  <si>
    <t>A5442</t>
  </si>
  <si>
    <t>A5443</t>
  </si>
  <si>
    <t>A5445</t>
  </si>
  <si>
    <t>A5457</t>
  </si>
  <si>
    <t>A5459</t>
  </si>
  <si>
    <t>A5461</t>
  </si>
  <si>
    <t>2962/ 2966</t>
  </si>
  <si>
    <t>A5463</t>
  </si>
  <si>
    <t>A5465</t>
  </si>
  <si>
    <t>A5471</t>
  </si>
  <si>
    <t>A5473</t>
  </si>
  <si>
    <t>A5482</t>
  </si>
  <si>
    <t>SERVICIO DE COMPRESIÓN 15 AL 31 MARZO 2024</t>
  </si>
  <si>
    <t>A5483</t>
  </si>
  <si>
    <t>A5484</t>
  </si>
  <si>
    <t>A5486</t>
  </si>
  <si>
    <t>ABONA $1,816.55 EL 16/04/2024</t>
  </si>
  <si>
    <t>2937/2947</t>
  </si>
  <si>
    <t>A5489</t>
  </si>
  <si>
    <t>ENTREGA DE MOLÉCULA 15 AL 31 MARZO 2024</t>
  </si>
  <si>
    <t>A5490</t>
  </si>
  <si>
    <t>A5492</t>
  </si>
  <si>
    <t>A5496</t>
  </si>
  <si>
    <t>A5506</t>
  </si>
  <si>
    <t>A5512</t>
  </si>
  <si>
    <t>A5514</t>
  </si>
  <si>
    <t>A5516</t>
  </si>
  <si>
    <t>ABONA 808.21 USD EL 06/05/2024. ABONA 17,987.55 EL 17/05/2024</t>
  </si>
  <si>
    <t>2966 / 2988 / 3014</t>
  </si>
  <si>
    <t>A5518</t>
  </si>
  <si>
    <t>A5520</t>
  </si>
  <si>
    <t>A5526</t>
  </si>
  <si>
    <t>A5528</t>
  </si>
  <si>
    <t>A5531</t>
  </si>
  <si>
    <t>SERVICIO DE COMPRESIÓN 01 AL 14 ABRIL  2024</t>
  </si>
  <si>
    <t>A5532</t>
  </si>
  <si>
    <t>ENTREGA DE MOLÉCULA 01 AL 14 ABRIL  2024</t>
  </si>
  <si>
    <t>A5533</t>
  </si>
  <si>
    <t>A5535</t>
  </si>
  <si>
    <t>2947/ 2970</t>
  </si>
  <si>
    <t>A5539</t>
  </si>
  <si>
    <t>A5543</t>
  </si>
  <si>
    <t>A5545</t>
  </si>
  <si>
    <t>A5547</t>
  </si>
  <si>
    <t>A5549</t>
  </si>
  <si>
    <t xml:space="preserve">ABONA $11,952.13 31/05/2024 </t>
  </si>
  <si>
    <t>3014 / 3034</t>
  </si>
  <si>
    <t>A5551</t>
  </si>
  <si>
    <t>A5553</t>
  </si>
  <si>
    <t>A5566</t>
  </si>
  <si>
    <t>A5570</t>
  </si>
  <si>
    <t>A5572</t>
  </si>
  <si>
    <t>A5584</t>
  </si>
  <si>
    <t>SERVICIO DE COMPRESIÓN 15 AL 30 ABRIL  2024</t>
  </si>
  <si>
    <t>A5585</t>
  </si>
  <si>
    <t>ENTREGA DE MOLÉCULA 15 AL 30 ABRIL  2024</t>
  </si>
  <si>
    <t>A5586</t>
  </si>
  <si>
    <t>SERVICIO DE COMPRESIÓN 15 AL 30 ABRIL 2024</t>
  </si>
  <si>
    <t>A5588</t>
  </si>
  <si>
    <t>A5592</t>
  </si>
  <si>
    <t>A5594</t>
  </si>
  <si>
    <t>A5598</t>
  </si>
  <si>
    <t>A5608</t>
  </si>
  <si>
    <t>A5610</t>
  </si>
  <si>
    <t>A5612</t>
  </si>
  <si>
    <t>ABONA $3,285.87 EL 07/06/2024, ABONA $10,856 AL 21/06/2024, ABONA $11,027.06 EL 27/06/2027</t>
  </si>
  <si>
    <t>3034 / 3073 / 3116 / 3122</t>
  </si>
  <si>
    <t>A5614</t>
  </si>
  <si>
    <t>A5616</t>
  </si>
  <si>
    <t>A5623</t>
  </si>
  <si>
    <t>A5625</t>
  </si>
  <si>
    <t>A5627</t>
  </si>
  <si>
    <t>ENTREGA DE MOLÉCULA 01 AL 14 MAYO  2024</t>
  </si>
  <si>
    <t>A5628</t>
  </si>
  <si>
    <t>A5630</t>
  </si>
  <si>
    <t>A5632</t>
  </si>
  <si>
    <t>A5634</t>
  </si>
  <si>
    <t>A5638</t>
  </si>
  <si>
    <t>A5640</t>
  </si>
  <si>
    <t>A5645</t>
  </si>
  <si>
    <t>A5649</t>
  </si>
  <si>
    <t>A5651</t>
  </si>
  <si>
    <t>A5653</t>
  </si>
  <si>
    <t>ABONA $10,245.25 EL 01/07/2024, ABONA $11,051.113 EL 09/07/2024</t>
  </si>
  <si>
    <t>A5655</t>
  </si>
  <si>
    <t>A5657</t>
  </si>
  <si>
    <t>A5671</t>
  </si>
  <si>
    <t>A5673</t>
  </si>
  <si>
    <t>A5680</t>
  </si>
  <si>
    <t>A5681</t>
  </si>
  <si>
    <t>A5683</t>
  </si>
  <si>
    <t>A5687</t>
  </si>
  <si>
    <t>A5691</t>
  </si>
  <si>
    <t>A5693</t>
  </si>
  <si>
    <t>A5696</t>
  </si>
  <si>
    <t>AJUSTE SERVICIO DE COMPRESIÓN 01 AL 14 MAYO 2024</t>
  </si>
  <si>
    <t>A5698</t>
  </si>
  <si>
    <t>A5711</t>
  </si>
  <si>
    <t>A5713</t>
  </si>
  <si>
    <t>A5715</t>
  </si>
  <si>
    <t>ABONA $7,829.01 EL 18/08/2024, ABONA $10,901.68 EL 26/07/2024</t>
  </si>
  <si>
    <t>A5717</t>
  </si>
  <si>
    <t>A5719</t>
  </si>
  <si>
    <t>A5723</t>
  </si>
  <si>
    <t>A5725</t>
  </si>
  <si>
    <t>A5732</t>
  </si>
  <si>
    <t>A5736</t>
  </si>
  <si>
    <t>A5738</t>
  </si>
  <si>
    <t>A5740</t>
  </si>
  <si>
    <t>ABONA $2,014.50 EL 25/07/2024</t>
  </si>
  <si>
    <t>3172 / 3180</t>
  </si>
  <si>
    <t>A5748</t>
  </si>
  <si>
    <t>A5750</t>
  </si>
  <si>
    <t>A5752</t>
  </si>
  <si>
    <t>A5754</t>
  </si>
  <si>
    <t>A5760</t>
  </si>
  <si>
    <t>A5762</t>
  </si>
  <si>
    <t>A5764</t>
  </si>
  <si>
    <t>Abona $3,365.82 el 05/08/2024, Y $10,611.32 EL 16/08/2024</t>
  </si>
  <si>
    <t>3185/3208</t>
  </si>
  <si>
    <t>A5766</t>
  </si>
  <si>
    <t>A5768</t>
  </si>
  <si>
    <t>A5773</t>
  </si>
  <si>
    <t>A5784</t>
  </si>
  <si>
    <t>A5786</t>
  </si>
  <si>
    <t>A5790</t>
  </si>
  <si>
    <t>A5792</t>
  </si>
  <si>
    <t>A5806</t>
  </si>
  <si>
    <t>A5812</t>
  </si>
  <si>
    <t>A5814</t>
  </si>
  <si>
    <t>A5816</t>
  </si>
  <si>
    <t>Abona $1,453.57 el 21/08/2024, Abona $15,303.23 el 30/08/2024</t>
  </si>
  <si>
    <t>3217 / 3241 /3287</t>
  </si>
  <si>
    <t>A5818</t>
  </si>
  <si>
    <t>A5820</t>
  </si>
  <si>
    <t>A5827</t>
  </si>
  <si>
    <t>A5829</t>
  </si>
  <si>
    <t>A5831</t>
  </si>
  <si>
    <t>A5835</t>
  </si>
  <si>
    <t>A5837</t>
  </si>
  <si>
    <t>A5841</t>
  </si>
  <si>
    <t>A5851</t>
  </si>
  <si>
    <t>A5853</t>
  </si>
  <si>
    <t>A5855</t>
  </si>
  <si>
    <t>A5857</t>
  </si>
  <si>
    <t>A5861</t>
  </si>
  <si>
    <t>A5863</t>
  </si>
  <si>
    <t>A5869</t>
  </si>
  <si>
    <t>A5871</t>
  </si>
  <si>
    <t>A5880</t>
  </si>
  <si>
    <t>A5882</t>
  </si>
  <si>
    <t>A5888</t>
  </si>
  <si>
    <t>A5892</t>
  </si>
  <si>
    <t>A5896</t>
  </si>
  <si>
    <t>A5908</t>
  </si>
  <si>
    <t>A5910</t>
  </si>
  <si>
    <t>A5912</t>
  </si>
  <si>
    <t>A5914</t>
  </si>
  <si>
    <t>A5918</t>
  </si>
  <si>
    <t>A5921</t>
  </si>
  <si>
    <t>A5927</t>
  </si>
  <si>
    <t>ABONA $13,544.43 EL 26/09/2024</t>
  </si>
  <si>
    <t>A5929</t>
  </si>
  <si>
    <t>A5943</t>
  </si>
  <si>
    <t>SERVICIO DE COMPRESIÓN 01 AL 14 AGOSTO 2024</t>
  </si>
  <si>
    <t>A5945</t>
  </si>
  <si>
    <t>A5951</t>
  </si>
  <si>
    <t>A5953</t>
  </si>
  <si>
    <t>A5957</t>
  </si>
  <si>
    <t>A5966</t>
  </si>
  <si>
    <t>A5970</t>
  </si>
  <si>
    <t>A5972</t>
  </si>
  <si>
    <t>A5974</t>
  </si>
  <si>
    <t>A5976</t>
  </si>
  <si>
    <t>A5979</t>
  </si>
  <si>
    <t>A5980</t>
  </si>
  <si>
    <t>A5989</t>
  </si>
  <si>
    <t>A5990</t>
  </si>
  <si>
    <t>SERVICIO DE COMPRESIÓN 15 AL 31 AGOSTO 2024</t>
  </si>
  <si>
    <t>A5994</t>
  </si>
  <si>
    <t>A5996</t>
  </si>
  <si>
    <t>A6002</t>
  </si>
  <si>
    <t>A6006</t>
  </si>
  <si>
    <t>A6008</t>
  </si>
  <si>
    <t>A6012</t>
  </si>
  <si>
    <t>A6014</t>
  </si>
  <si>
    <t>A6016</t>
  </si>
  <si>
    <t>A6018</t>
  </si>
  <si>
    <t>A6022</t>
  </si>
  <si>
    <t>A6038</t>
  </si>
  <si>
    <t>SERVICIO DE COMPRESIÓN 01 AL 14 SEPTIEMBRE 2024</t>
  </si>
  <si>
    <t>A6040</t>
  </si>
  <si>
    <t>A6042</t>
  </si>
  <si>
    <t>A6046</t>
  </si>
  <si>
    <t>A6047</t>
  </si>
  <si>
    <t>A6048</t>
  </si>
  <si>
    <t>A6050</t>
  </si>
  <si>
    <t>A6062</t>
  </si>
  <si>
    <t>A6064</t>
  </si>
  <si>
    <t>A6066</t>
  </si>
  <si>
    <t>A6068</t>
  </si>
  <si>
    <t>A6077</t>
  </si>
  <si>
    <t>A6078</t>
  </si>
  <si>
    <t>A6082</t>
  </si>
  <si>
    <t>SERVICIO DE COMPRESIÓN 15 AL 30 SEPTIEMBRE 2024</t>
  </si>
  <si>
    <t>A6084</t>
  </si>
  <si>
    <t>A6089</t>
  </si>
  <si>
    <t>A6090</t>
  </si>
  <si>
    <t>A6092</t>
  </si>
  <si>
    <t>A6094</t>
  </si>
  <si>
    <t>A6103</t>
  </si>
  <si>
    <t>A6105</t>
  </si>
  <si>
    <t>GREENFIELD</t>
  </si>
  <si>
    <t>A6106</t>
  </si>
  <si>
    <t>A6108</t>
  </si>
  <si>
    <t>A6112</t>
  </si>
  <si>
    <t>A6114</t>
  </si>
  <si>
    <t>A6116</t>
  </si>
  <si>
    <t>A6118</t>
  </si>
  <si>
    <t>A6123</t>
  </si>
  <si>
    <t>A6125</t>
  </si>
  <si>
    <t>A6126</t>
  </si>
  <si>
    <t>REPOSICIÓN DE VALVULA</t>
  </si>
  <si>
    <t>ENCO GNV</t>
  </si>
  <si>
    <t>A6127</t>
  </si>
  <si>
    <t>A6128</t>
  </si>
  <si>
    <t>A6130</t>
  </si>
  <si>
    <t>A6131</t>
  </si>
  <si>
    <t>A6132</t>
  </si>
  <si>
    <t>A6134</t>
  </si>
  <si>
    <t>A6139</t>
  </si>
  <si>
    <t>A6140</t>
  </si>
  <si>
    <t>A6142</t>
  </si>
  <si>
    <t>A6144</t>
  </si>
  <si>
    <t>A6150</t>
  </si>
  <si>
    <t>A6156</t>
  </si>
  <si>
    <t>A6160</t>
  </si>
  <si>
    <t>A6162</t>
  </si>
  <si>
    <t>A6164</t>
  </si>
  <si>
    <t>A6176</t>
  </si>
  <si>
    <t>A6186</t>
  </si>
  <si>
    <t>A6187</t>
  </si>
  <si>
    <t>SERVICIO DE COMPRESIÓN 15 AL 31 OCTUBRE 2024</t>
  </si>
  <si>
    <t>A6189</t>
  </si>
  <si>
    <t>A6190</t>
  </si>
  <si>
    <t>A6191</t>
  </si>
  <si>
    <t>A6193</t>
  </si>
  <si>
    <t>A6199</t>
  </si>
  <si>
    <t>A6201</t>
  </si>
  <si>
    <t>A6202</t>
  </si>
  <si>
    <t>A6203</t>
  </si>
  <si>
    <t>A6209</t>
  </si>
  <si>
    <t>A6214</t>
  </si>
  <si>
    <t>A6216</t>
  </si>
  <si>
    <t>A6218</t>
  </si>
  <si>
    <t>A6220</t>
  </si>
  <si>
    <t>A6226</t>
  </si>
  <si>
    <t>A6230</t>
  </si>
  <si>
    <t>A6240</t>
  </si>
  <si>
    <t>A6241</t>
  </si>
  <si>
    <t>A6243</t>
  </si>
  <si>
    <t>A6244</t>
  </si>
  <si>
    <t>A6245</t>
  </si>
  <si>
    <t>A6247</t>
  </si>
  <si>
    <t>ABONA 50 USD EL 09/12/2024</t>
  </si>
  <si>
    <t>A6253</t>
  </si>
  <si>
    <t>A6255</t>
  </si>
  <si>
    <t>ABONA 500 USD EL 15/11/2024</t>
  </si>
  <si>
    <t>A6256</t>
  </si>
  <si>
    <t>A6257</t>
  </si>
  <si>
    <t>A6265</t>
  </si>
  <si>
    <t>A6267</t>
  </si>
  <si>
    <t>A6270</t>
  </si>
  <si>
    <t>A6272</t>
  </si>
  <si>
    <t>A6274</t>
  </si>
  <si>
    <t>A6276</t>
  </si>
  <si>
    <t>A6282</t>
  </si>
  <si>
    <t>A6283</t>
  </si>
  <si>
    <t>TOP 2023-2024</t>
  </si>
  <si>
    <t>ABONA $10,000 USD EL 31/12/24. SE ABONA NC POR $10,168.08 EL 29/01/2025, ABONA $5,000.00 USD EL 13/02/2025</t>
  </si>
  <si>
    <t>A6284</t>
  </si>
  <si>
    <t>ABONA $5,721.24 el 11/12/2024, ABONA $20,000 USD EL 31/01/2025, ABONA $41,282.76 EL 06/02/2025, ABONA $6,000.00 EL 14/02/2025, SE CANCELA EL COMP 3604, ABONA $6,000.00 EL 21/02/2025</t>
  </si>
  <si>
    <t>3624, 3634, 3654</t>
  </si>
  <si>
    <t>A6293</t>
  </si>
  <si>
    <t>A6296</t>
  </si>
  <si>
    <t>A6298</t>
  </si>
  <si>
    <t>A6299</t>
  </si>
  <si>
    <t>A6300</t>
  </si>
  <si>
    <t>A6302</t>
  </si>
  <si>
    <t>ABONA $8,312.97 EL 27/12/2024</t>
  </si>
  <si>
    <t>A6307</t>
  </si>
  <si>
    <t>A6308</t>
  </si>
  <si>
    <t>A6310</t>
  </si>
  <si>
    <t>A6312</t>
  </si>
  <si>
    <t>MANTENIMIENTO DESCOMPRESORA</t>
  </si>
  <si>
    <t>A6313</t>
  </si>
  <si>
    <t>A6316</t>
  </si>
  <si>
    <t>A6317</t>
  </si>
  <si>
    <t>A6324</t>
  </si>
  <si>
    <t>A6326</t>
  </si>
  <si>
    <t>A6328</t>
  </si>
  <si>
    <t>A6330</t>
  </si>
  <si>
    <t>A6342</t>
  </si>
  <si>
    <t>A6346</t>
  </si>
  <si>
    <t>A6347</t>
  </si>
  <si>
    <t>A6348</t>
  </si>
  <si>
    <t>A6350</t>
  </si>
  <si>
    <t>A6351</t>
  </si>
  <si>
    <t>A6352</t>
  </si>
  <si>
    <t>A6356</t>
  </si>
  <si>
    <t>A6357</t>
  </si>
  <si>
    <t>A6358</t>
  </si>
  <si>
    <t>A6359</t>
  </si>
  <si>
    <t>A6361</t>
  </si>
  <si>
    <t>A6363</t>
  </si>
  <si>
    <t>A6373</t>
  </si>
  <si>
    <t>A6375</t>
  </si>
  <si>
    <t>A6379</t>
  </si>
  <si>
    <t>A6381</t>
  </si>
  <si>
    <t>A6383</t>
  </si>
  <si>
    <t>A6385</t>
  </si>
  <si>
    <t>A6398</t>
  </si>
  <si>
    <t>A6405</t>
  </si>
  <si>
    <t>TOP 2023</t>
  </si>
  <si>
    <t>A6410</t>
  </si>
  <si>
    <t>A6411</t>
  </si>
  <si>
    <t>SERVICIO DE COMPRESIÓN 15-31 DICIEMBRE 2024</t>
  </si>
  <si>
    <t>A6413</t>
  </si>
  <si>
    <t>A6414</t>
  </si>
  <si>
    <t>A6415</t>
  </si>
  <si>
    <t>A6417</t>
  </si>
  <si>
    <t>A6422</t>
  </si>
  <si>
    <t>A6423</t>
  </si>
  <si>
    <t>A6425</t>
  </si>
  <si>
    <t>A6427</t>
  </si>
  <si>
    <t>A6435</t>
  </si>
  <si>
    <t>A6442</t>
  </si>
  <si>
    <t>A6444</t>
  </si>
  <si>
    <t>A6446</t>
  </si>
  <si>
    <t>A6448</t>
  </si>
  <si>
    <t>A6460</t>
  </si>
  <si>
    <t>A6462</t>
  </si>
  <si>
    <t>A6466</t>
  </si>
  <si>
    <t>A6467</t>
  </si>
  <si>
    <t>SERVICIO DE COMPRESIÓN 01-14 ENERO 2025</t>
  </si>
  <si>
    <t>A6469</t>
  </si>
  <si>
    <t>A6470</t>
  </si>
  <si>
    <t>A6471</t>
  </si>
  <si>
    <t>A6475</t>
  </si>
  <si>
    <t>A6480</t>
  </si>
  <si>
    <t>A6481</t>
  </si>
  <si>
    <t>A6489</t>
  </si>
  <si>
    <t>A6491</t>
  </si>
  <si>
    <t>ABONA $5,000.00 USD EL 30/01/2025</t>
  </si>
  <si>
    <t>A6495</t>
  </si>
  <si>
    <t>A6497</t>
  </si>
  <si>
    <t>A6499</t>
  </si>
  <si>
    <t>A6503</t>
  </si>
  <si>
    <t>A6505</t>
  </si>
  <si>
    <t>A6507</t>
  </si>
  <si>
    <t xml:space="preserve">NEOSILICE </t>
  </si>
  <si>
    <t>A6522</t>
  </si>
  <si>
    <t>A6523</t>
  </si>
  <si>
    <t>SERVICIO DE COMPRESIÓN 15-31 ENERO 2025</t>
  </si>
  <si>
    <t>A6525</t>
  </si>
  <si>
    <t>A6526</t>
  </si>
  <si>
    <t>A6527</t>
  </si>
  <si>
    <t>A6531</t>
  </si>
  <si>
    <t>A6532</t>
  </si>
  <si>
    <t>A6533</t>
  </si>
  <si>
    <t>A6535</t>
  </si>
  <si>
    <t>A6537</t>
  </si>
  <si>
    <t xml:space="preserve">COMPLEMNETO 3604 SE CANCELÓ </t>
  </si>
  <si>
    <t>A6549</t>
  </si>
  <si>
    <t>A6553</t>
  </si>
  <si>
    <t>A6555</t>
  </si>
  <si>
    <t>A6557</t>
  </si>
  <si>
    <t>A6561</t>
  </si>
  <si>
    <t>A6570</t>
  </si>
  <si>
    <t>A6571</t>
  </si>
  <si>
    <t>MANTENIMIENTO DESCOMPRESORA FEBRERO 2025</t>
  </si>
  <si>
    <t>ABONA $5,467.59 USD EL 07/02/2025</t>
  </si>
  <si>
    <t>3599-3640</t>
  </si>
  <si>
    <t>A6573</t>
  </si>
  <si>
    <t>A6574</t>
  </si>
  <si>
    <t>SERVICIO DE COMPRESIÓN 01-14 FEBRERO 2025</t>
  </si>
  <si>
    <t>A6578</t>
  </si>
  <si>
    <t>A6583</t>
  </si>
  <si>
    <t>A6584</t>
  </si>
  <si>
    <t>A6586</t>
  </si>
  <si>
    <t>A6588</t>
  </si>
  <si>
    <t>A6589</t>
  </si>
  <si>
    <t>A6590</t>
  </si>
  <si>
    <t>14/032025</t>
  </si>
  <si>
    <t>A6592</t>
  </si>
  <si>
    <t>A6594</t>
  </si>
  <si>
    <t>A6602</t>
  </si>
  <si>
    <t>A6604</t>
  </si>
  <si>
    <t>A6606</t>
  </si>
  <si>
    <t>A6612</t>
  </si>
  <si>
    <t>A6614</t>
  </si>
  <si>
    <t>A6632</t>
  </si>
  <si>
    <t>A6633</t>
  </si>
  <si>
    <t>SERVICIO DE COMPRESIÓN 15-28 FEBRERO 2025</t>
  </si>
  <si>
    <t>A6635</t>
  </si>
  <si>
    <t>A6636</t>
  </si>
  <si>
    <t>A6637</t>
  </si>
  <si>
    <t>A6641</t>
  </si>
  <si>
    <t>A6646</t>
  </si>
  <si>
    <t>A6647</t>
  </si>
  <si>
    <t>A6649</t>
  </si>
  <si>
    <t>A6651</t>
  </si>
  <si>
    <t>A6653</t>
  </si>
  <si>
    <t>A6661</t>
  </si>
  <si>
    <t>Paga en Mxn $2,090,709.98 tdc $20.0848</t>
  </si>
  <si>
    <t>A6665</t>
  </si>
  <si>
    <t>A6667</t>
  </si>
  <si>
    <t>A6669</t>
  </si>
  <si>
    <t>A6671</t>
  </si>
  <si>
    <t>A6684</t>
  </si>
  <si>
    <t>HERSAA SUMINISTROS INDUSTRIALES ELECTROMECANICOS</t>
  </si>
  <si>
    <t xml:space="preserve">MANTENIMIENTO DESCOMPRESORA </t>
  </si>
  <si>
    <t>HERSAA</t>
  </si>
  <si>
    <t>A6685</t>
  </si>
  <si>
    <t>A6686</t>
  </si>
  <si>
    <t>SERVICIO DE COMPRESIÓN 01-14 MARZO 2025</t>
  </si>
  <si>
    <t>A6688</t>
  </si>
  <si>
    <t>A6689</t>
  </si>
  <si>
    <t>A6690</t>
  </si>
  <si>
    <t>A6694</t>
  </si>
  <si>
    <t>A6699</t>
  </si>
  <si>
    <t>A6700</t>
  </si>
  <si>
    <t>A6702</t>
  </si>
  <si>
    <t>A6704</t>
  </si>
  <si>
    <t>A6716</t>
  </si>
  <si>
    <t>A6718</t>
  </si>
  <si>
    <t>A6720</t>
  </si>
  <si>
    <t>A6722</t>
  </si>
  <si>
    <t>Paga en Mxn $1,683,081.11 tdc $19.9708</t>
  </si>
  <si>
    <t>A6724</t>
  </si>
  <si>
    <t>A6731</t>
  </si>
  <si>
    <t>A6735</t>
  </si>
  <si>
    <t>SERVICIO DE COMPRESIÓN 15-31 MARZO 2025</t>
  </si>
  <si>
    <t>A6736</t>
  </si>
  <si>
    <t>A6737</t>
  </si>
  <si>
    <t>A6738</t>
  </si>
  <si>
    <t>A6740</t>
  </si>
  <si>
    <t>A6741</t>
  </si>
  <si>
    <t>A6742</t>
  </si>
  <si>
    <t>A6746</t>
  </si>
  <si>
    <t>A6751</t>
  </si>
  <si>
    <t>A6752</t>
  </si>
  <si>
    <t>A6754</t>
  </si>
  <si>
    <t>A6758</t>
  </si>
  <si>
    <t>A6762</t>
  </si>
  <si>
    <t>A6764</t>
  </si>
  <si>
    <t>A6766</t>
  </si>
  <si>
    <t>A6768</t>
  </si>
  <si>
    <t>Paga en Mxn $2,393,502.17 tdc $20.0213</t>
  </si>
  <si>
    <t>A6775</t>
  </si>
  <si>
    <t>A6788</t>
  </si>
  <si>
    <t>A6790</t>
  </si>
  <si>
    <t>A6794</t>
  </si>
  <si>
    <t>A6800</t>
  </si>
  <si>
    <t>A6802</t>
  </si>
  <si>
    <t>A6804</t>
  </si>
  <si>
    <t>A6808</t>
  </si>
  <si>
    <t>A6810</t>
  </si>
  <si>
    <t>A6814</t>
  </si>
  <si>
    <t>A6816</t>
  </si>
  <si>
    <t>A6822</t>
  </si>
  <si>
    <t>A6826</t>
  </si>
  <si>
    <t>(en blanco)</t>
  </si>
  <si>
    <t>Etiquetas de fila</t>
  </si>
  <si>
    <t>Suma de Al Corriente</t>
  </si>
  <si>
    <t>Suma de 1 A 15</t>
  </si>
  <si>
    <t>Suma de 16 AL 30</t>
  </si>
  <si>
    <t>Suma de 31 A 45</t>
  </si>
  <si>
    <t>Suma de 46 A 60</t>
  </si>
  <si>
    <t>Suma de 61 A 90</t>
  </si>
  <si>
    <t>Suma de MAS DE 91</t>
  </si>
  <si>
    <t>Suma de Saldo factura</t>
  </si>
  <si>
    <t>Total general</t>
  </si>
  <si>
    <t>subtotal</t>
  </si>
  <si>
    <t>iva</t>
  </si>
  <si>
    <t>total</t>
  </si>
  <si>
    <t>comentarios</t>
  </si>
  <si>
    <t>NC 270</t>
  </si>
  <si>
    <t>ajuste por acuerdo de pago</t>
  </si>
  <si>
    <t>pago realizado</t>
  </si>
  <si>
    <t>diferencia</t>
  </si>
  <si>
    <t>NC 274</t>
  </si>
  <si>
    <t>diferencia por volumen reportado</t>
  </si>
  <si>
    <t>dif. 3552</t>
  </si>
  <si>
    <t>dif. 3605</t>
  </si>
  <si>
    <t>Años</t>
  </si>
  <si>
    <t>2023</t>
  </si>
  <si>
    <t>(Varios elementos)</t>
  </si>
  <si>
    <t>(Todas)</t>
  </si>
  <si>
    <t>Suma de MONTO MXN</t>
  </si>
  <si>
    <t xml:space="preserve">Suma de Subtotal </t>
  </si>
  <si>
    <t>Facturación en MXN vencida</t>
  </si>
  <si>
    <t xml:space="preserve">Pagos </t>
  </si>
  <si>
    <t>Facturación en USD vencida</t>
  </si>
  <si>
    <t>Tipo de Cambio DOF al</t>
  </si>
  <si>
    <t>Total de facturación vencida en Mxn</t>
  </si>
  <si>
    <t>TOTAL MXN</t>
  </si>
  <si>
    <t>Vencido GREEN VALLEY</t>
  </si>
  <si>
    <t>RECUPERADO EN LA SEMANA</t>
  </si>
  <si>
    <t>Objetivo mensual</t>
  </si>
  <si>
    <t>Recuperado</t>
  </si>
  <si>
    <t>Avance</t>
  </si>
  <si>
    <t>NC Canceladas</t>
  </si>
  <si>
    <t>Cliente</t>
  </si>
  <si>
    <t>Motivo</t>
  </si>
  <si>
    <t>Facturas Canceladas</t>
  </si>
  <si>
    <t>Refacturaciones</t>
  </si>
  <si>
    <t>Notas de crédito acumuladas en el mes</t>
  </si>
  <si>
    <t>CLIENTE</t>
  </si>
  <si>
    <t>MONTO</t>
  </si>
  <si>
    <t>MONEDA</t>
  </si>
  <si>
    <t>RESPONSABLE</t>
  </si>
  <si>
    <t>MOTIVO</t>
  </si>
  <si>
    <t>DOF - Diario Oficial de la Federación</t>
  </si>
  <si>
    <t>Objetivo semanal</t>
  </si>
  <si>
    <t>Pendiente</t>
  </si>
  <si>
    <t>Semana inicial</t>
  </si>
  <si>
    <t>PAGOS</t>
  </si>
  <si>
    <t>Lunes</t>
  </si>
  <si>
    <t>Martes</t>
  </si>
  <si>
    <t>Miércoles</t>
  </si>
  <si>
    <t>Jueves</t>
  </si>
  <si>
    <t>Viernes</t>
  </si>
  <si>
    <t>Sábado</t>
  </si>
  <si>
    <t>Domingo</t>
  </si>
  <si>
    <t>Sobrante de la semana anterior</t>
  </si>
  <si>
    <t>total mxn</t>
  </si>
  <si>
    <t>TC prom</t>
  </si>
  <si>
    <t>total usd</t>
  </si>
  <si>
    <t>TOTAL ACUMULADO</t>
  </si>
  <si>
    <t>OBJETIVO:</t>
  </si>
  <si>
    <t>ACUMULADO</t>
  </si>
  <si>
    <t>OBJETIVO A LA  SEMANA INICIAL</t>
  </si>
  <si>
    <t>TOTAL A LA  SEMANA INCIAL</t>
  </si>
  <si>
    <t>DIFERENCIA</t>
  </si>
  <si>
    <t>OBJETIVO MENSUAL</t>
  </si>
  <si>
    <t>AVANCE</t>
  </si>
  <si>
    <t>RESTAN MXN</t>
  </si>
  <si>
    <t>Semana 1</t>
  </si>
  <si>
    <t>Semana 2</t>
  </si>
  <si>
    <t xml:space="preserve">OBJETIVO A LA SEGUNDA SEMANA </t>
  </si>
  <si>
    <t>TOTAL A LA SEGUNDA SEMANA</t>
  </si>
  <si>
    <t>Semana 3</t>
  </si>
  <si>
    <t>OBJETIVO A LA SEMANA 3</t>
  </si>
  <si>
    <t>TOTAL A LA SEMANA 3</t>
  </si>
  <si>
    <t>Semana 4</t>
  </si>
  <si>
    <t xml:space="preserve">Lunes </t>
  </si>
  <si>
    <t xml:space="preserve">Martes </t>
  </si>
  <si>
    <t>OBJETIVO A LA  SEMANA 4</t>
  </si>
  <si>
    <t>TOTAL A LA  SEMANA 4</t>
  </si>
  <si>
    <t>Semana final</t>
  </si>
  <si>
    <t>OBJETIVO A LA  SEMANA FINAL</t>
  </si>
  <si>
    <t>TOTAL A LA  SEMANA FINAL</t>
  </si>
  <si>
    <t>PAGOS ORGANIKA</t>
  </si>
  <si>
    <t xml:space="preserve">TC </t>
  </si>
  <si>
    <t>EN MXN</t>
  </si>
  <si>
    <t>en usd</t>
  </si>
  <si>
    <t>TC 17/07/23</t>
  </si>
  <si>
    <t>PAGO COMSUSTENTA</t>
  </si>
  <si>
    <t>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</si>
</sst>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7">
    <numFmt numFmtId="164" formatCode="_-&quot;€&quot;* #,##0.00_-;\-&quot;€&quot;* #,##0.00_-;_-&quot;€&quot;* &quot;-&quot;??_-;_-@"/>
    <numFmt numFmtId="165" formatCode="_-[$$-80A]* #,##0.00_-;\-[$$-80A]* #,##0.00_-;_-[$$-80A]* &quot;-&quot;??_-;_-@"/>
    <numFmt numFmtId="166" formatCode="dd\-mm\-yyyy"/>
    <numFmt numFmtId="167" formatCode="dd\-mm"/>
    <numFmt numFmtId="168" formatCode="d\-m"/>
    <numFmt numFmtId="169" formatCode="dd/mm/yyyy"/>
    <numFmt numFmtId="170" formatCode="_-* #,##0.00_-;\-* #,##0.00_-;_-* &quot;-&quot;??_-;_-@"/>
    <numFmt numFmtId="171" formatCode="_-[$$-409]* #,##0.00_ ;_-[$$-409]* \-#,##0.00\ ;_-[$$-409]* &quot;-&quot;??_ ;_-@_ "/>
    <numFmt numFmtId="172" formatCode="_-* #,##0.00\ &quot;€&quot;_-;\-* #,##0.00\ &quot;€&quot;_-;_-* &quot;-&quot;??\ &quot;€&quot;_-;_-@"/>
    <numFmt numFmtId="173" formatCode="0.0000"/>
    <numFmt numFmtId="174" formatCode="&quot;$&quot;#,##0.00;[Red]\-&quot;$&quot;#,##0.00"/>
    <numFmt numFmtId="175" formatCode="_-&quot;$&quot;* #,##0.0000_-;\-&quot;$&quot;* #,##0.0000_-;_-&quot;$&quot;* &quot;-&quot;????_-;_-@"/>
    <numFmt numFmtId="176" formatCode="_-&quot;$&quot;* #,##0.0000_-;\-&quot;$&quot;* #,##0.0000_-;_-&quot;$&quot;* &quot;-&quot;??_-;_-@"/>
    <numFmt numFmtId="177" formatCode="_-&quot;$&quot;* #,##0.00_-;\-&quot;$&quot;* #,##0.00_-;_-&quot;$&quot;* &quot;-&quot;??_-;_-@"/>
    <numFmt numFmtId="178" formatCode="[$$-80A]#,##0.00"/>
    <numFmt numFmtId="179" formatCode="_-* #,##0.00\ _€_-;\-* #,##0.00\ _€_-;_-* &quot;-&quot;??\ _€_-;_-@"/>
    <numFmt numFmtId="180" formatCode="0.0%"/>
  </numFmts>
  <fonts count="25">
    <font>
      <sz val="11.0"/>
      <color rgb="FF000000"/>
      <name val="Calibri"/>
      <scheme val="minor"/>
    </font>
    <font>
      <sz val="10.0"/>
      <color rgb="FF000000"/>
      <name val="Calibri"/>
    </font>
    <font>
      <sz val="11.0"/>
      <color theme="1"/>
      <name val="Calibri"/>
    </font>
    <font>
      <b/>
      <sz val="11.0"/>
      <color theme="1"/>
      <name val="Calibri"/>
    </font>
    <font>
      <b/>
      <sz val="10.0"/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sz val="10.0"/>
      <color theme="1"/>
      <name val="Calibri"/>
    </font>
    <font>
      <b/>
      <sz val="10.0"/>
      <color theme="0"/>
      <name val="Calibri"/>
    </font>
    <font>
      <sz val="10.0"/>
      <color theme="0"/>
      <name val="Calibri"/>
    </font>
    <font>
      <sz val="11.0"/>
      <color theme="0"/>
      <name val="Calibri"/>
    </font>
    <font>
      <color theme="1"/>
      <name val="Calibri"/>
    </font>
    <font>
      <b/>
      <sz val="9.0"/>
      <color rgb="FF000000"/>
      <name val="Calibri"/>
    </font>
    <font>
      <sz val="11.0"/>
      <color rgb="FF000000"/>
      <name val="Arial"/>
    </font>
    <font>
      <b/>
      <sz val="11.0"/>
      <color theme="0"/>
      <name val="Calibri"/>
    </font>
    <font>
      <b/>
      <sz val="10.0"/>
      <color theme="1"/>
      <name val="Calibri"/>
    </font>
    <font>
      <sz val="9.0"/>
      <color rgb="FF000000"/>
      <name val="Calibri"/>
    </font>
    <font>
      <b/>
      <sz val="11.0"/>
      <color rgb="FFFF0000"/>
      <name val="Calibri"/>
    </font>
    <font>
      <sz val="8.0"/>
      <color rgb="FF2F2F2F"/>
      <name val="Arial"/>
    </font>
    <font>
      <sz val="8.0"/>
      <color rgb="FF000000"/>
      <name val="Calibri"/>
    </font>
    <font/>
    <font>
      <b/>
      <sz val="10.0"/>
      <color rgb="FF2F2F2F"/>
      <name val="Arial"/>
    </font>
    <font>
      <sz val="11.0"/>
      <color rgb="FFFF0000"/>
      <name val="Calibri"/>
    </font>
    <font>
      <sz val="10.0"/>
      <color rgb="FF222222"/>
      <name val="Roboto"/>
    </font>
    <font>
      <u/>
      <sz val="11.0"/>
      <color theme="10"/>
      <name val="Calibri"/>
    </font>
  </fonts>
  <fills count="28">
    <fill>
      <patternFill patternType="none"/>
    </fill>
    <fill>
      <patternFill patternType="lightGray"/>
    </fill>
    <fill>
      <patternFill patternType="solid">
        <fgColor rgb="FFFFC000"/>
        <bgColor rgb="FFFFC000"/>
      </patternFill>
    </fill>
    <fill>
      <patternFill patternType="solid">
        <fgColor rgb="FFFBE4D5"/>
        <bgColor rgb="FFFBE4D5"/>
      </patternFill>
    </fill>
    <fill>
      <patternFill patternType="solid">
        <fgColor rgb="FFFEF2CB"/>
        <bgColor rgb="FFFEF2CB"/>
      </patternFill>
    </fill>
    <fill>
      <patternFill patternType="solid">
        <fgColor rgb="FF9CC2E5"/>
        <bgColor rgb="FF9CC2E5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E7E6E6"/>
        <bgColor rgb="FFE7E6E6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rgb="FFF4B083"/>
        <bgColor rgb="FFF4B083"/>
      </patternFill>
    </fill>
    <fill>
      <patternFill patternType="solid">
        <fgColor rgb="FFC55A11"/>
        <bgColor rgb="FFC55A11"/>
      </patternFill>
    </fill>
    <fill>
      <patternFill patternType="solid">
        <fgColor rgb="FFCCFF99"/>
        <bgColor rgb="FFCCFF99"/>
      </patternFill>
    </fill>
    <fill>
      <patternFill patternType="solid">
        <fgColor rgb="FF99FF66"/>
        <bgColor rgb="FF99FF66"/>
      </patternFill>
    </fill>
    <fill>
      <patternFill patternType="solid">
        <fgColor rgb="FF66FF99"/>
        <bgColor rgb="FF66FF99"/>
      </patternFill>
    </fill>
    <fill>
      <patternFill patternType="solid">
        <fgColor rgb="FFCC0000"/>
        <bgColor rgb="FFCC0000"/>
      </patternFill>
    </fill>
    <fill>
      <patternFill patternType="solid">
        <fgColor rgb="FFFF9900"/>
        <bgColor rgb="FFFF9900"/>
      </patternFill>
    </fill>
    <fill>
      <patternFill patternType="solid">
        <fgColor rgb="FFF7CAAC"/>
        <bgColor rgb="FFF7CAAC"/>
      </patternFill>
    </fill>
    <fill>
      <patternFill patternType="solid">
        <fgColor rgb="FFD9E2F3"/>
        <bgColor rgb="FFD9E2F3"/>
      </patternFill>
    </fill>
    <fill>
      <patternFill patternType="solid">
        <fgColor theme="0"/>
        <bgColor theme="0"/>
      </patternFill>
    </fill>
    <fill>
      <patternFill patternType="solid">
        <fgColor rgb="FF00B050"/>
        <bgColor rgb="FF00B050"/>
      </patternFill>
    </fill>
    <fill>
      <patternFill patternType="solid">
        <fgColor rgb="FFD6DCE4"/>
        <bgColor rgb="FFD6DCE4"/>
      </patternFill>
    </fill>
    <fill>
      <patternFill patternType="solid">
        <fgColor rgb="FFECECEC"/>
        <bgColor rgb="FFECECEC"/>
      </patternFill>
    </fill>
    <fill>
      <patternFill patternType="solid">
        <fgColor rgb="FFAEABAB"/>
        <bgColor rgb="FFAEABAB"/>
      </patternFill>
    </fill>
    <fill>
      <patternFill patternType="solid">
        <fgColor rgb="FFCCFFCC"/>
        <bgColor rgb="FFCCFFCC"/>
      </patternFill>
    </fill>
  </fills>
  <borders count="4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 style="thin">
        <color rgb="FF8EAADB"/>
      </top>
      <bottom style="thin">
        <color rgb="FF8EAADB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8EAADB"/>
      </top>
      <bottom style="thin">
        <color rgb="FF8EAADB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/>
      <right style="thin">
        <color rgb="FF8EAADB"/>
      </right>
      <top style="thin">
        <color rgb="FF8EAADB"/>
      </top>
      <bottom style="thin">
        <color rgb="FF8EAADB"/>
      </bottom>
    </border>
    <border>
      <bottom style="medium">
        <color rgb="FF8EA9DB"/>
      </bottom>
    </border>
    <border>
      <left/>
      <right style="thin">
        <color rgb="FF8EAADB"/>
      </right>
      <top/>
      <bottom/>
    </border>
    <border>
      <right style="medium">
        <color rgb="FF000000"/>
      </right>
      <bottom style="medium">
        <color rgb="FF000000"/>
      </bottom>
    </border>
    <border>
      <bottom style="double">
        <color rgb="FF000000"/>
      </bottom>
    </border>
    <border>
      <left/>
      <right/>
      <top/>
      <bottom style="double">
        <color rgb="FF000000"/>
      </bottom>
    </border>
    <border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top/>
      <bottom/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</borders>
  <cellStyleXfs count="1">
    <xf borderId="0" fillId="0" fontId="0" numFmtId="0" applyAlignment="1" applyFont="1"/>
  </cellStyleXfs>
  <cellXfs count="54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/>
    </xf>
    <xf borderId="1" fillId="0" fontId="1" numFmtId="0" xfId="0" applyBorder="1" applyFont="1"/>
    <xf borderId="1" fillId="0" fontId="1" numFmtId="14" xfId="0" applyBorder="1" applyFont="1" applyNumberFormat="1"/>
    <xf borderId="1" fillId="0" fontId="1" numFmtId="164" xfId="0" applyBorder="1" applyFont="1" applyNumberFormat="1"/>
    <xf borderId="0" fillId="0" fontId="1" numFmtId="0" xfId="0" applyFont="1"/>
    <xf borderId="1" fillId="2" fontId="1" numFmtId="0" xfId="0" applyAlignment="1" applyBorder="1" applyFill="1" applyFont="1">
      <alignment horizontal="center"/>
    </xf>
    <xf borderId="1" fillId="2" fontId="1" numFmtId="0" xfId="0" applyBorder="1" applyFont="1"/>
    <xf borderId="1" fillId="2" fontId="1" numFmtId="14" xfId="0" applyBorder="1" applyFont="1" applyNumberFormat="1"/>
    <xf borderId="1" fillId="2" fontId="1" numFmtId="164" xfId="0" applyBorder="1" applyFont="1" applyNumberFormat="1"/>
    <xf borderId="2" fillId="2" fontId="1" numFmtId="0" xfId="0" applyBorder="1" applyFont="1"/>
    <xf borderId="2" fillId="2" fontId="2" numFmtId="0" xfId="0" applyBorder="1" applyFont="1"/>
    <xf borderId="0" fillId="0" fontId="2" numFmtId="0" xfId="0" applyFont="1"/>
    <xf borderId="3" fillId="2" fontId="2" numFmtId="0" xfId="0" applyAlignment="1" applyBorder="1" applyFont="1">
      <alignment vertical="center"/>
    </xf>
    <xf borderId="4" fillId="3" fontId="3" numFmtId="0" xfId="0" applyAlignment="1" applyBorder="1" applyFill="1" applyFont="1">
      <alignment horizontal="center"/>
    </xf>
    <xf borderId="1" fillId="4" fontId="2" numFmtId="0" xfId="0" applyAlignment="1" applyBorder="1" applyFill="1" applyFont="1">
      <alignment horizontal="center"/>
    </xf>
    <xf borderId="1" fillId="3" fontId="2" numFmtId="0" xfId="0" applyAlignment="1" applyBorder="1" applyFont="1">
      <alignment horizontal="center"/>
    </xf>
    <xf borderId="1" fillId="0" fontId="2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5" fillId="4" fontId="2" numFmtId="0" xfId="0" applyAlignment="1" applyBorder="1" applyFont="1">
      <alignment horizontal="center"/>
    </xf>
    <xf borderId="6" fillId="4" fontId="2" numFmtId="0" xfId="0" applyAlignment="1" applyBorder="1" applyFont="1">
      <alignment horizontal="center"/>
    </xf>
    <xf borderId="1" fillId="5" fontId="4" numFmtId="0" xfId="0" applyAlignment="1" applyBorder="1" applyFill="1" applyFont="1">
      <alignment horizontal="center"/>
    </xf>
    <xf borderId="1" fillId="5" fontId="4" numFmtId="165" xfId="0" applyAlignment="1" applyBorder="1" applyFont="1" applyNumberFormat="1">
      <alignment horizontal="center"/>
    </xf>
    <xf borderId="1" fillId="5" fontId="4" numFmtId="164" xfId="0" applyAlignment="1" applyBorder="1" applyFont="1" applyNumberFormat="1">
      <alignment horizontal="center"/>
    </xf>
    <xf borderId="2" fillId="6" fontId="2" numFmtId="0" xfId="0" applyBorder="1" applyFill="1" applyFont="1"/>
    <xf borderId="1" fillId="0" fontId="4" numFmtId="0" xfId="0" applyAlignment="1" applyBorder="1" applyFont="1">
      <alignment horizontal="center"/>
    </xf>
    <xf borderId="1" fillId="0" fontId="4" numFmtId="0" xfId="0" applyBorder="1" applyFont="1"/>
    <xf borderId="1" fillId="0" fontId="4" numFmtId="165" xfId="0" applyBorder="1" applyFont="1" applyNumberFormat="1"/>
    <xf borderId="7" fillId="0" fontId="4" numFmtId="0" xfId="0" applyAlignment="1" applyBorder="1" applyFont="1">
      <alignment horizontal="center"/>
    </xf>
    <xf borderId="1" fillId="0" fontId="5" numFmtId="0" xfId="0" applyBorder="1" applyFont="1"/>
    <xf borderId="0" fillId="0" fontId="5" numFmtId="0" xfId="0" applyFont="1"/>
    <xf borderId="1" fillId="0" fontId="1" numFmtId="165" xfId="0" applyBorder="1" applyFont="1" applyNumberFormat="1"/>
    <xf borderId="7" fillId="0" fontId="1" numFmtId="0" xfId="0" applyAlignment="1" applyBorder="1" applyFont="1">
      <alignment horizontal="center"/>
    </xf>
    <xf borderId="1" fillId="0" fontId="2" numFmtId="166" xfId="0" applyBorder="1" applyFont="1" applyNumberFormat="1"/>
    <xf borderId="1" fillId="0" fontId="6" numFmtId="0" xfId="0" applyBorder="1" applyFont="1"/>
    <xf borderId="1" fillId="0" fontId="2" numFmtId="167" xfId="0" applyBorder="1" applyFont="1" applyNumberFormat="1"/>
    <xf borderId="1" fillId="0" fontId="6" numFmtId="167" xfId="0" applyBorder="1" applyFont="1" applyNumberFormat="1"/>
    <xf borderId="1" fillId="7" fontId="4" numFmtId="0" xfId="0" applyAlignment="1" applyBorder="1" applyFill="1" applyFont="1">
      <alignment horizontal="center"/>
    </xf>
    <xf borderId="1" fillId="7" fontId="1" numFmtId="0" xfId="0" applyBorder="1" applyFont="1"/>
    <xf borderId="1" fillId="7" fontId="1" numFmtId="0" xfId="0" applyAlignment="1" applyBorder="1" applyFont="1">
      <alignment horizontal="center"/>
    </xf>
    <xf borderId="1" fillId="7" fontId="1" numFmtId="165" xfId="0" applyBorder="1" applyFont="1" applyNumberFormat="1"/>
    <xf borderId="8" fillId="7" fontId="4" numFmtId="0" xfId="0" applyAlignment="1" applyBorder="1" applyFont="1">
      <alignment horizontal="center"/>
    </xf>
    <xf borderId="1" fillId="0" fontId="2" numFmtId="0" xfId="0" applyBorder="1" applyFont="1"/>
    <xf borderId="1" fillId="0" fontId="2" numFmtId="168" xfId="0" applyBorder="1" applyFont="1" applyNumberFormat="1"/>
    <xf borderId="1" fillId="0" fontId="6" numFmtId="14" xfId="0" applyBorder="1" applyFont="1" applyNumberFormat="1"/>
    <xf borderId="1" fillId="0" fontId="6" numFmtId="4" xfId="0" applyBorder="1" applyFont="1" applyNumberFormat="1"/>
    <xf borderId="9" fillId="0" fontId="4" numFmtId="0" xfId="0" applyBorder="1" applyFont="1"/>
    <xf borderId="9" fillId="0" fontId="1" numFmtId="14" xfId="0" applyBorder="1" applyFont="1" applyNumberFormat="1"/>
    <xf borderId="10" fillId="0" fontId="4" numFmtId="0" xfId="0" applyAlignment="1" applyBorder="1" applyFont="1">
      <alignment horizontal="center"/>
    </xf>
    <xf borderId="10" fillId="0" fontId="4" numFmtId="165" xfId="0" applyBorder="1" applyFont="1" applyNumberFormat="1"/>
    <xf borderId="10" fillId="0" fontId="6" numFmtId="0" xfId="0" applyBorder="1" applyFont="1"/>
    <xf borderId="10" fillId="0" fontId="6" numFmtId="14" xfId="0" applyBorder="1" applyFont="1" applyNumberFormat="1"/>
    <xf borderId="10" fillId="0" fontId="4" numFmtId="0" xfId="0" applyBorder="1" applyFont="1"/>
    <xf borderId="10" fillId="0" fontId="1" numFmtId="14" xfId="0" applyBorder="1" applyFont="1" applyNumberFormat="1"/>
    <xf borderId="11" fillId="0" fontId="4" numFmtId="0" xfId="0" applyAlignment="1" applyBorder="1" applyFont="1">
      <alignment horizontal="center"/>
    </xf>
    <xf borderId="12" fillId="0" fontId="4" numFmtId="0" xfId="0" applyAlignment="1" applyBorder="1" applyFont="1">
      <alignment horizontal="center"/>
    </xf>
    <xf borderId="1" fillId="0" fontId="6" numFmtId="165" xfId="0" applyBorder="1" applyFont="1" applyNumberFormat="1"/>
    <xf borderId="12" fillId="0" fontId="6" numFmtId="4" xfId="0" applyBorder="1" applyFont="1" applyNumberFormat="1"/>
    <xf borderId="13" fillId="0" fontId="4" numFmtId="0" xfId="0" applyBorder="1" applyFont="1"/>
    <xf borderId="12" fillId="0" fontId="1" numFmtId="14" xfId="0" applyBorder="1" applyFont="1" applyNumberFormat="1"/>
    <xf borderId="12" fillId="0" fontId="4" numFmtId="165" xfId="0" applyBorder="1" applyFont="1" applyNumberFormat="1"/>
    <xf borderId="12" fillId="0" fontId="6" numFmtId="0" xfId="0" applyBorder="1" applyFont="1"/>
    <xf borderId="12" fillId="0" fontId="6" numFmtId="14" xfId="0" applyBorder="1" applyFont="1" applyNumberFormat="1"/>
    <xf borderId="14" fillId="0" fontId="4" numFmtId="0" xfId="0" applyBorder="1" applyFont="1"/>
    <xf borderId="12" fillId="0" fontId="4" numFmtId="0" xfId="0" applyBorder="1" applyFont="1"/>
    <xf borderId="1" fillId="8" fontId="4" numFmtId="0" xfId="0" applyAlignment="1" applyBorder="1" applyFill="1" applyFont="1">
      <alignment horizontal="center"/>
    </xf>
    <xf borderId="4" fillId="8" fontId="4" numFmtId="0" xfId="0" applyBorder="1" applyFont="1"/>
    <xf borderId="1" fillId="8" fontId="4" numFmtId="0" xfId="0" applyBorder="1" applyFont="1"/>
    <xf borderId="1" fillId="8" fontId="1" numFmtId="14" xfId="0" applyBorder="1" applyFont="1" applyNumberFormat="1"/>
    <xf borderId="1" fillId="8" fontId="4" numFmtId="165" xfId="0" applyBorder="1" applyFont="1" applyNumberFormat="1"/>
    <xf borderId="8" fillId="8" fontId="4" numFmtId="0" xfId="0" applyAlignment="1" applyBorder="1" applyFont="1">
      <alignment horizontal="center"/>
    </xf>
    <xf borderId="1" fillId="8" fontId="6" numFmtId="0" xfId="0" applyBorder="1" applyFont="1"/>
    <xf borderId="2" fillId="8" fontId="6" numFmtId="0" xfId="0" applyBorder="1" applyFont="1"/>
    <xf borderId="15" fillId="0" fontId="7" numFmtId="0" xfId="0" applyAlignment="1" applyBorder="1" applyFont="1">
      <alignment horizontal="center"/>
    </xf>
    <xf borderId="1" fillId="9" fontId="4" numFmtId="0" xfId="0" applyAlignment="1" applyBorder="1" applyFill="1" applyFont="1">
      <alignment horizontal="center"/>
    </xf>
    <xf borderId="4" fillId="9" fontId="4" numFmtId="0" xfId="0" applyBorder="1" applyFont="1"/>
    <xf borderId="1" fillId="9" fontId="4" numFmtId="0" xfId="0" applyBorder="1" applyFont="1"/>
    <xf borderId="1" fillId="9" fontId="1" numFmtId="14" xfId="0" applyBorder="1" applyFont="1" applyNumberFormat="1"/>
    <xf borderId="1" fillId="9" fontId="4" numFmtId="165" xfId="0" applyBorder="1" applyFont="1" applyNumberFormat="1"/>
    <xf borderId="8" fillId="9" fontId="4" numFmtId="0" xfId="0" applyAlignment="1" applyBorder="1" applyFont="1">
      <alignment horizontal="center"/>
    </xf>
    <xf borderId="1" fillId="9" fontId="6" numFmtId="0" xfId="0" applyBorder="1" applyFont="1"/>
    <xf borderId="2" fillId="9" fontId="6" numFmtId="0" xfId="0" applyBorder="1" applyFont="1"/>
    <xf borderId="1" fillId="8" fontId="8" numFmtId="0" xfId="0" applyAlignment="1" applyBorder="1" applyFont="1">
      <alignment horizontal="center"/>
    </xf>
    <xf borderId="4" fillId="8" fontId="8" numFmtId="0" xfId="0" applyBorder="1" applyFont="1"/>
    <xf borderId="1" fillId="8" fontId="8" numFmtId="0" xfId="0" applyBorder="1" applyFont="1"/>
    <xf borderId="1" fillId="8" fontId="9" numFmtId="14" xfId="0" applyBorder="1" applyFont="1" applyNumberFormat="1"/>
    <xf borderId="1" fillId="8" fontId="8" numFmtId="165" xfId="0" applyBorder="1" applyFont="1" applyNumberFormat="1"/>
    <xf borderId="8" fillId="8" fontId="8" numFmtId="0" xfId="0" applyAlignment="1" applyBorder="1" applyFont="1">
      <alignment horizontal="center"/>
    </xf>
    <xf borderId="1" fillId="8" fontId="10" numFmtId="0" xfId="0" applyBorder="1" applyFont="1"/>
    <xf borderId="1" fillId="10" fontId="4" numFmtId="0" xfId="0" applyAlignment="1" applyBorder="1" applyFill="1" applyFont="1">
      <alignment horizontal="center"/>
    </xf>
    <xf borderId="16" fillId="8" fontId="8" numFmtId="0" xfId="0" applyAlignment="1" applyBorder="1" applyFont="1">
      <alignment horizontal="center"/>
    </xf>
    <xf borderId="16" fillId="8" fontId="8" numFmtId="0" xfId="0" applyBorder="1" applyFont="1"/>
    <xf borderId="2" fillId="8" fontId="10" numFmtId="14" xfId="0" applyBorder="1" applyFont="1" applyNumberFormat="1"/>
    <xf borderId="2" fillId="8" fontId="10" numFmtId="165" xfId="0" applyBorder="1" applyFont="1" applyNumberFormat="1"/>
    <xf borderId="17" fillId="8" fontId="8" numFmtId="0" xfId="0" applyAlignment="1" applyBorder="1" applyFont="1">
      <alignment horizontal="center"/>
    </xf>
    <xf borderId="16" fillId="8" fontId="10" numFmtId="0" xfId="0" applyBorder="1" applyFont="1"/>
    <xf borderId="2" fillId="8" fontId="10" numFmtId="0" xfId="0" applyBorder="1" applyFont="1"/>
    <xf borderId="16" fillId="9" fontId="4" numFmtId="0" xfId="0" applyAlignment="1" applyBorder="1" applyFont="1">
      <alignment horizontal="center"/>
    </xf>
    <xf borderId="18" fillId="0" fontId="4" numFmtId="0" xfId="0" applyBorder="1" applyFont="1"/>
    <xf borderId="0" fillId="0" fontId="6" numFmtId="14" xfId="0" applyFont="1" applyNumberFormat="1"/>
    <xf borderId="0" fillId="0" fontId="6" numFmtId="165" xfId="0" applyFont="1" applyNumberFormat="1"/>
    <xf borderId="18" fillId="0" fontId="6" numFmtId="0" xfId="0" applyBorder="1" applyFont="1"/>
    <xf borderId="0" fillId="0" fontId="6" numFmtId="0" xfId="0" applyFont="1"/>
    <xf borderId="18" fillId="0" fontId="4" numFmtId="0" xfId="0" applyAlignment="1" applyBorder="1" applyFont="1">
      <alignment horizontal="center"/>
    </xf>
    <xf borderId="0" fillId="0" fontId="11" numFmtId="0" xfId="0" applyFont="1"/>
    <xf borderId="11" fillId="0" fontId="4" numFmtId="0" xfId="0" applyBorder="1" applyFont="1"/>
    <xf borderId="16" fillId="5" fontId="4" numFmtId="164" xfId="0" applyAlignment="1" applyBorder="1" applyFont="1" applyNumberFormat="1">
      <alignment horizontal="center"/>
    </xf>
    <xf borderId="0" fillId="0" fontId="2" numFmtId="167" xfId="0" applyFont="1" applyNumberFormat="1"/>
    <xf borderId="1" fillId="0" fontId="4" numFmtId="14" xfId="0" applyBorder="1" applyFont="1" applyNumberFormat="1"/>
    <xf borderId="1" fillId="7" fontId="1" numFmtId="14" xfId="0" applyBorder="1" applyFont="1" applyNumberFormat="1"/>
    <xf borderId="1" fillId="7" fontId="4" numFmtId="165" xfId="0" applyBorder="1" applyFont="1" applyNumberFormat="1"/>
    <xf borderId="0" fillId="0" fontId="5" numFmtId="167" xfId="0" applyFont="1" applyNumberFormat="1"/>
    <xf borderId="0" fillId="0" fontId="1" numFmtId="0" xfId="0" applyAlignment="1" applyFont="1">
      <alignment horizontal="center"/>
    </xf>
    <xf borderId="0" fillId="0" fontId="1" numFmtId="14" xfId="0" applyFont="1" applyNumberFormat="1"/>
    <xf borderId="0" fillId="0" fontId="1" numFmtId="165" xfId="0" applyFont="1" applyNumberFormat="1"/>
    <xf borderId="0" fillId="0" fontId="4" numFmtId="0" xfId="0" applyFont="1"/>
    <xf borderId="0" fillId="0" fontId="4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6" numFmtId="169" xfId="0" applyFont="1" applyNumberFormat="1"/>
    <xf borderId="0" fillId="0" fontId="5" numFmtId="0" xfId="0" applyAlignment="1" applyFont="1">
      <alignment horizontal="center"/>
    </xf>
    <xf borderId="0" fillId="0" fontId="6" numFmtId="164" xfId="0" applyFont="1" applyNumberFormat="1"/>
    <xf borderId="12" fillId="0" fontId="1" numFmtId="0" xfId="0" applyBorder="1" applyFont="1"/>
    <xf borderId="1" fillId="9" fontId="1" numFmtId="0" xfId="0" applyAlignment="1" applyBorder="1" applyFont="1">
      <alignment horizontal="center"/>
    </xf>
    <xf borderId="4" fillId="9" fontId="1" numFmtId="0" xfId="0" applyBorder="1" applyFont="1"/>
    <xf borderId="1" fillId="9" fontId="1" numFmtId="0" xfId="0" applyBorder="1" applyFont="1"/>
    <xf borderId="2" fillId="9" fontId="4" numFmtId="0" xfId="0" applyAlignment="1" applyBorder="1" applyFont="1">
      <alignment horizontal="center"/>
    </xf>
    <xf borderId="1" fillId="9" fontId="1" numFmtId="165" xfId="0" applyBorder="1" applyFont="1" applyNumberFormat="1"/>
    <xf borderId="2" fillId="9" fontId="1" numFmtId="0" xfId="0" applyBorder="1" applyFont="1"/>
    <xf borderId="0" fillId="0" fontId="1" numFmtId="170" xfId="0" applyFont="1" applyNumberFormat="1"/>
    <xf borderId="0" fillId="0" fontId="6" numFmtId="171" xfId="0" applyFont="1" applyNumberFormat="1"/>
    <xf borderId="0" fillId="0" fontId="6" numFmtId="170" xfId="0" applyFont="1" applyNumberFormat="1"/>
    <xf borderId="1" fillId="8" fontId="1" numFmtId="0" xfId="0" applyAlignment="1" applyBorder="1" applyFont="1">
      <alignment horizontal="center"/>
    </xf>
    <xf borderId="4" fillId="8" fontId="1" numFmtId="0" xfId="0" applyBorder="1" applyFont="1"/>
    <xf borderId="1" fillId="8" fontId="1" numFmtId="0" xfId="0" applyBorder="1" applyFont="1"/>
    <xf borderId="2" fillId="8" fontId="4" numFmtId="0" xfId="0" applyAlignment="1" applyBorder="1" applyFont="1">
      <alignment horizontal="center"/>
    </xf>
    <xf borderId="1" fillId="8" fontId="1" numFmtId="165" xfId="0" applyBorder="1" applyFont="1" applyNumberFormat="1"/>
    <xf borderId="2" fillId="8" fontId="1" numFmtId="0" xfId="0" applyBorder="1" applyFont="1"/>
    <xf borderId="2" fillId="9" fontId="5" numFmtId="0" xfId="0" applyBorder="1" applyFont="1"/>
    <xf borderId="2" fillId="8" fontId="5" numFmtId="0" xfId="0" applyAlignment="1" applyBorder="1" applyFont="1">
      <alignment horizontal="center"/>
    </xf>
    <xf borderId="6" fillId="7" fontId="4" numFmtId="165" xfId="0" applyBorder="1" applyFont="1" applyNumberFormat="1"/>
    <xf borderId="0" fillId="0" fontId="4" numFmtId="165" xfId="0" applyFont="1" applyNumberFormat="1"/>
    <xf borderId="19" fillId="0" fontId="4" numFmtId="0" xfId="0" applyAlignment="1" applyBorder="1" applyFont="1">
      <alignment horizontal="center"/>
    </xf>
    <xf borderId="7" fillId="0" fontId="4" numFmtId="165" xfId="0" applyBorder="1" applyFont="1" applyNumberFormat="1"/>
    <xf borderId="14" fillId="0" fontId="4" numFmtId="0" xfId="0" applyAlignment="1" applyBorder="1" applyFont="1">
      <alignment horizontal="center"/>
    </xf>
    <xf borderId="4" fillId="7" fontId="4" numFmtId="165" xfId="0" applyBorder="1" applyFont="1" applyNumberFormat="1"/>
    <xf borderId="1" fillId="2" fontId="1" numFmtId="17" xfId="0" applyBorder="1" applyFont="1" applyNumberFormat="1"/>
    <xf borderId="1" fillId="2" fontId="1" numFmtId="165" xfId="0" applyBorder="1" applyFont="1" applyNumberFormat="1"/>
    <xf borderId="2" fillId="2" fontId="6" numFmtId="0" xfId="0" applyBorder="1" applyFont="1"/>
    <xf borderId="1" fillId="0" fontId="1" numFmtId="17" xfId="0" applyBorder="1" applyFont="1" applyNumberFormat="1"/>
    <xf borderId="2" fillId="5" fontId="4" numFmtId="164" xfId="0" applyAlignment="1" applyBorder="1" applyFont="1" applyNumberFormat="1">
      <alignment horizontal="center"/>
    </xf>
    <xf borderId="2" fillId="5" fontId="4" numFmtId="0" xfId="0" applyAlignment="1" applyBorder="1" applyFont="1">
      <alignment horizontal="center"/>
    </xf>
    <xf borderId="2" fillId="5" fontId="4" numFmtId="169" xfId="0" applyAlignment="1" applyBorder="1" applyFont="1" applyNumberFormat="1">
      <alignment horizontal="center"/>
    </xf>
    <xf borderId="2" fillId="5" fontId="4" numFmtId="165" xfId="0" applyAlignment="1" applyBorder="1" applyFont="1" applyNumberFormat="1">
      <alignment horizontal="center"/>
    </xf>
    <xf borderId="2" fillId="5" fontId="12" numFmtId="165" xfId="0" applyAlignment="1" applyBorder="1" applyFont="1" applyNumberFormat="1">
      <alignment horizontal="center"/>
    </xf>
    <xf borderId="2" fillId="5" fontId="12" numFmtId="0" xfId="0" applyAlignment="1" applyBorder="1" applyFont="1">
      <alignment horizontal="center"/>
    </xf>
    <xf borderId="2" fillId="5" fontId="4" numFmtId="169" xfId="0" applyAlignment="1" applyBorder="1" applyFont="1" applyNumberFormat="1">
      <alignment horizontal="right"/>
    </xf>
    <xf borderId="20" fillId="5" fontId="8" numFmtId="164" xfId="0" applyAlignment="1" applyBorder="1" applyFont="1" applyNumberFormat="1">
      <alignment horizontal="center"/>
    </xf>
    <xf borderId="0" fillId="0" fontId="4" numFmtId="0" xfId="0" applyAlignment="1" applyFont="1">
      <alignment horizontal="center"/>
    </xf>
    <xf borderId="0" fillId="0" fontId="7" numFmtId="0" xfId="0" applyFont="1"/>
    <xf borderId="0" fillId="0" fontId="4" numFmtId="169" xfId="0" applyFont="1" applyNumberFormat="1"/>
    <xf borderId="0" fillId="0" fontId="4" numFmtId="165" xfId="0" applyFont="1" applyNumberFormat="1"/>
    <xf borderId="0" fillId="0" fontId="4" numFmtId="0" xfId="0" applyFont="1"/>
    <xf borderId="0" fillId="0" fontId="1" numFmtId="0" xfId="0" applyAlignment="1" applyFont="1">
      <alignment horizontal="center"/>
    </xf>
    <xf borderId="0" fillId="0" fontId="2" numFmtId="169" xfId="0" applyFont="1" applyNumberFormat="1"/>
    <xf borderId="0" fillId="0" fontId="6" numFmtId="169" xfId="0" applyFont="1" applyNumberFormat="1"/>
    <xf borderId="0" fillId="0" fontId="5" numFmtId="0" xfId="0" applyAlignment="1" applyFont="1">
      <alignment horizontal="center"/>
    </xf>
    <xf borderId="0" fillId="0" fontId="2" numFmtId="0" xfId="0" applyFont="1"/>
    <xf borderId="0" fillId="0" fontId="11" numFmtId="0" xfId="0" applyFont="1"/>
    <xf borderId="0" fillId="0" fontId="6" numFmtId="165" xfId="0" applyFont="1" applyNumberFormat="1"/>
    <xf borderId="0" fillId="0" fontId="1" numFmtId="0" xfId="0" applyFont="1"/>
    <xf borderId="2" fillId="7" fontId="1" numFmtId="0" xfId="0" applyBorder="1" applyFont="1"/>
    <xf borderId="0" fillId="0" fontId="5" numFmtId="0" xfId="0" applyFont="1"/>
    <xf borderId="0" fillId="0" fontId="1" numFmtId="165" xfId="0" applyFont="1" applyNumberFormat="1"/>
    <xf borderId="2" fillId="7" fontId="1" numFmtId="165" xfId="0" applyBorder="1" applyFont="1" applyNumberFormat="1"/>
    <xf borderId="2" fillId="7" fontId="4" numFmtId="169" xfId="0" applyBorder="1" applyFont="1" applyNumberFormat="1"/>
    <xf borderId="0" fillId="0" fontId="2" numFmtId="169" xfId="0" applyAlignment="1" applyFont="1" applyNumberFormat="1">
      <alignment horizontal="right"/>
    </xf>
    <xf borderId="0" fillId="0" fontId="5" numFmtId="169" xfId="0" applyAlignment="1" applyFont="1" applyNumberFormat="1">
      <alignment horizontal="right"/>
    </xf>
    <xf borderId="2" fillId="7" fontId="4" numFmtId="0" xfId="0" applyBorder="1" applyFont="1"/>
    <xf borderId="2" fillId="7" fontId="4" numFmtId="0" xfId="0" applyAlignment="1" applyBorder="1" applyFont="1">
      <alignment horizontal="center"/>
    </xf>
    <xf borderId="2" fillId="7" fontId="4" numFmtId="165" xfId="0" applyBorder="1" applyFont="1" applyNumberFormat="1"/>
    <xf borderId="0" fillId="0" fontId="5" numFmtId="15" xfId="0" applyFont="1" applyNumberFormat="1"/>
    <xf borderId="2" fillId="7" fontId="1" numFmtId="0" xfId="0" applyAlignment="1" applyBorder="1" applyFont="1">
      <alignment horizontal="center"/>
    </xf>
    <xf borderId="0" fillId="0" fontId="6" numFmtId="169" xfId="0" applyAlignment="1" applyFont="1" applyNumberFormat="1">
      <alignment horizontal="right"/>
    </xf>
    <xf borderId="0" fillId="0" fontId="6" numFmtId="15" xfId="0" applyFont="1" applyNumberFormat="1"/>
    <xf borderId="2" fillId="7" fontId="6" numFmtId="169" xfId="0" applyBorder="1" applyFont="1" applyNumberFormat="1"/>
    <xf borderId="2" fillId="7" fontId="6" numFmtId="169" xfId="0" applyAlignment="1" applyBorder="1" applyFont="1" applyNumberFormat="1">
      <alignment horizontal="right"/>
    </xf>
    <xf borderId="2" fillId="9" fontId="4" numFmtId="169" xfId="0" applyBorder="1" applyFont="1" applyNumberFormat="1"/>
    <xf borderId="0" fillId="0" fontId="2" numFmtId="165" xfId="0" applyFont="1" applyNumberFormat="1"/>
    <xf borderId="2" fillId="9" fontId="1" numFmtId="165" xfId="0" applyBorder="1" applyFont="1" applyNumberFormat="1"/>
    <xf borderId="2" fillId="9" fontId="1" numFmtId="0" xfId="0" applyBorder="1" applyFont="1"/>
    <xf borderId="0" fillId="0" fontId="13" numFmtId="169" xfId="0" applyFont="1" applyNumberFormat="1"/>
    <xf borderId="2" fillId="7" fontId="1" numFmtId="164" xfId="0" applyBorder="1" applyFont="1" applyNumberFormat="1"/>
    <xf borderId="2" fillId="8" fontId="7" numFmtId="0" xfId="0" applyBorder="1" applyFont="1"/>
    <xf borderId="2" fillId="8" fontId="4" numFmtId="169" xfId="0" applyBorder="1" applyFont="1" applyNumberFormat="1"/>
    <xf borderId="2" fillId="8" fontId="4" numFmtId="0" xfId="0" applyAlignment="1" applyBorder="1" applyFont="1">
      <alignment horizontal="center"/>
    </xf>
    <xf borderId="2" fillId="8" fontId="4" numFmtId="165" xfId="0" applyBorder="1" applyFont="1" applyNumberFormat="1"/>
    <xf borderId="2" fillId="8" fontId="4" numFmtId="0" xfId="0" applyBorder="1" applyFont="1"/>
    <xf borderId="2" fillId="8" fontId="2" numFmtId="169" xfId="0" applyBorder="1" applyFont="1" applyNumberFormat="1"/>
    <xf borderId="2" fillId="8" fontId="2" numFmtId="0" xfId="0" applyBorder="1" applyFont="1"/>
    <xf borderId="0" fillId="0" fontId="4" numFmtId="164" xfId="0" applyAlignment="1" applyFont="1" applyNumberFormat="1">
      <alignment horizontal="center"/>
    </xf>
    <xf borderId="0" fillId="0" fontId="2" numFmtId="0" xfId="0" applyAlignment="1" applyFont="1">
      <alignment horizontal="right"/>
    </xf>
    <xf borderId="0" fillId="0" fontId="2" numFmtId="0" xfId="0" applyAlignment="1" applyFont="1">
      <alignment horizontal="left"/>
    </xf>
    <xf borderId="0" fillId="0" fontId="7" numFmtId="0" xfId="0" applyAlignment="1" applyFont="1">
      <alignment horizontal="center"/>
    </xf>
    <xf borderId="0" fillId="0" fontId="13" numFmtId="0" xfId="0" applyFont="1"/>
    <xf borderId="2" fillId="7" fontId="2" numFmtId="169" xfId="0" applyBorder="1" applyFont="1" applyNumberFormat="1"/>
    <xf borderId="2" fillId="7" fontId="4" numFmtId="164" xfId="0" applyAlignment="1" applyBorder="1" applyFont="1" applyNumberFormat="1">
      <alignment horizontal="center"/>
    </xf>
    <xf borderId="2" fillId="7" fontId="2" numFmtId="0" xfId="0" applyBorder="1" applyFont="1"/>
    <xf borderId="2" fillId="5" fontId="4" numFmtId="165" xfId="0" applyBorder="1" applyFont="1" applyNumberFormat="1"/>
    <xf borderId="2" fillId="5" fontId="4" numFmtId="0" xfId="0" applyBorder="1" applyFont="1"/>
    <xf borderId="2" fillId="9" fontId="7" numFmtId="0" xfId="0" applyBorder="1" applyFont="1"/>
    <xf borderId="2" fillId="9" fontId="4" numFmtId="0" xfId="0" applyAlignment="1" applyBorder="1" applyFont="1">
      <alignment horizontal="center"/>
    </xf>
    <xf borderId="2" fillId="9" fontId="4" numFmtId="165" xfId="0" applyBorder="1" applyFont="1" applyNumberFormat="1"/>
    <xf borderId="2" fillId="9" fontId="4" numFmtId="0" xfId="0" applyBorder="1" applyFont="1"/>
    <xf borderId="2" fillId="9" fontId="4" numFmtId="164" xfId="0" applyAlignment="1" applyBorder="1" applyFont="1" applyNumberFormat="1">
      <alignment horizontal="center"/>
    </xf>
    <xf borderId="2" fillId="9" fontId="2" numFmtId="169" xfId="0" applyAlignment="1" applyBorder="1" applyFont="1" applyNumberFormat="1">
      <alignment horizontal="right"/>
    </xf>
    <xf borderId="2" fillId="9" fontId="2" numFmtId="0" xfId="0" applyBorder="1" applyFont="1"/>
    <xf borderId="0" fillId="0" fontId="1" numFmtId="169" xfId="0" applyAlignment="1" applyFont="1" applyNumberFormat="1">
      <alignment horizontal="center" readingOrder="0"/>
    </xf>
    <xf borderId="0" fillId="0" fontId="2" numFmtId="168" xfId="0" applyFont="1" applyNumberFormat="1"/>
    <xf borderId="2" fillId="9" fontId="2" numFmtId="0" xfId="0" applyBorder="1" applyFont="1"/>
    <xf borderId="2" fillId="9" fontId="2" numFmtId="169" xfId="0" applyBorder="1" applyFont="1" applyNumberFormat="1"/>
    <xf borderId="0" fillId="0" fontId="6" numFmtId="0" xfId="0" applyFont="1"/>
    <xf borderId="0" fillId="0" fontId="7" numFmtId="0" xfId="0" applyAlignment="1" applyFont="1">
      <alignment shrinkToFit="0" wrapText="1"/>
    </xf>
    <xf borderId="0" fillId="0" fontId="4" numFmtId="165" xfId="0" applyAlignment="1" applyFont="1" applyNumberFormat="1">
      <alignment shrinkToFit="0" wrapText="1"/>
    </xf>
    <xf borderId="2" fillId="9" fontId="6" numFmtId="0" xfId="0" applyBorder="1" applyFont="1"/>
    <xf borderId="0" fillId="0" fontId="1" numFmtId="14" xfId="0" applyAlignment="1" applyFont="1" applyNumberFormat="1">
      <alignment horizontal="center"/>
    </xf>
    <xf borderId="0" fillId="0" fontId="7" numFmtId="0" xfId="0" applyAlignment="1" applyFont="1">
      <alignment vertical="center"/>
    </xf>
    <xf borderId="0" fillId="0" fontId="7" numFmtId="4" xfId="0" applyFont="1" applyNumberFormat="1"/>
    <xf borderId="2" fillId="9" fontId="1" numFmtId="0" xfId="0" applyAlignment="1" applyBorder="1" applyFont="1">
      <alignment horizontal="center"/>
    </xf>
    <xf borderId="2" fillId="11" fontId="7" numFmtId="0" xfId="0" applyBorder="1" applyFill="1" applyFont="1"/>
    <xf borderId="2" fillId="11" fontId="4" numFmtId="169" xfId="0" applyBorder="1" applyFont="1" applyNumberFormat="1"/>
    <xf borderId="2" fillId="11" fontId="4" numFmtId="0" xfId="0" applyAlignment="1" applyBorder="1" applyFont="1">
      <alignment horizontal="center"/>
    </xf>
    <xf borderId="2" fillId="11" fontId="4" numFmtId="165" xfId="0" applyBorder="1" applyFont="1" applyNumberFormat="1"/>
    <xf borderId="2" fillId="11" fontId="4" numFmtId="0" xfId="0" applyBorder="1" applyFont="1"/>
    <xf borderId="2" fillId="11" fontId="1" numFmtId="0" xfId="0" applyAlignment="1" applyBorder="1" applyFont="1">
      <alignment horizontal="center"/>
    </xf>
    <xf borderId="2" fillId="11" fontId="2" numFmtId="169" xfId="0" applyAlignment="1" applyBorder="1" applyFont="1" applyNumberFormat="1">
      <alignment horizontal="right"/>
    </xf>
    <xf borderId="2" fillId="11" fontId="6" numFmtId="169" xfId="0" applyBorder="1" applyFont="1" applyNumberFormat="1"/>
    <xf borderId="2" fillId="11" fontId="5" numFmtId="0" xfId="0" applyAlignment="1" applyBorder="1" applyFont="1">
      <alignment horizontal="center"/>
    </xf>
    <xf borderId="2" fillId="11" fontId="6" numFmtId="0" xfId="0" applyBorder="1" applyFont="1"/>
    <xf borderId="21" fillId="0" fontId="7" numFmtId="0" xfId="0" applyBorder="1" applyFont="1"/>
    <xf borderId="21" fillId="0" fontId="4" numFmtId="0" xfId="0" applyAlignment="1" applyBorder="1" applyFont="1">
      <alignment horizontal="center"/>
    </xf>
    <xf borderId="2" fillId="11" fontId="6" numFmtId="0" xfId="0" applyBorder="1" applyFont="1"/>
    <xf borderId="0" fillId="0" fontId="7" numFmtId="0" xfId="0" applyAlignment="1" applyFont="1">
      <alignment horizontal="left" shrinkToFit="0" wrapText="1"/>
    </xf>
    <xf borderId="2" fillId="11" fontId="6" numFmtId="165" xfId="0" applyBorder="1" applyFont="1" applyNumberFormat="1"/>
    <xf borderId="0" fillId="0" fontId="1" numFmtId="4" xfId="0" applyFont="1" applyNumberFormat="1"/>
    <xf borderId="2" fillId="9" fontId="7" numFmtId="0" xfId="0" applyAlignment="1" applyBorder="1" applyFont="1">
      <alignment shrinkToFit="0" wrapText="1"/>
    </xf>
    <xf borderId="2" fillId="9" fontId="6" numFmtId="169" xfId="0" applyBorder="1" applyFont="1" applyNumberFormat="1"/>
    <xf borderId="2" fillId="9" fontId="5" numFmtId="0" xfId="0" applyAlignment="1" applyBorder="1" applyFont="1">
      <alignment horizontal="center"/>
    </xf>
    <xf borderId="0" fillId="0" fontId="6" numFmtId="4" xfId="0" applyFont="1" applyNumberFormat="1"/>
    <xf borderId="2" fillId="12" fontId="4" numFmtId="165" xfId="0" applyBorder="1" applyFill="1" applyFont="1" applyNumberFormat="1"/>
    <xf borderId="2" fillId="12" fontId="4" numFmtId="0" xfId="0" applyBorder="1" applyFont="1"/>
    <xf borderId="2" fillId="3" fontId="4" numFmtId="165" xfId="0" applyBorder="1" applyFont="1" applyNumberFormat="1"/>
    <xf borderId="2" fillId="3" fontId="4" numFmtId="0" xfId="0" applyBorder="1" applyFont="1"/>
    <xf borderId="0" fillId="0" fontId="12" numFmtId="165" xfId="0" applyFont="1" applyNumberFormat="1"/>
    <xf borderId="0" fillId="0" fontId="12" numFmtId="0" xfId="0" applyFont="1"/>
    <xf borderId="0" fillId="0" fontId="7" numFmtId="0" xfId="0" applyAlignment="1" applyFont="1">
      <alignment horizontal="left" shrinkToFit="0" vertical="top" wrapText="1"/>
    </xf>
    <xf borderId="0" fillId="0" fontId="7" numFmtId="4" xfId="0" applyAlignment="1" applyFont="1" applyNumberFormat="1">
      <alignment horizontal="left" shrinkToFit="0" vertical="top" wrapText="1"/>
    </xf>
    <xf borderId="2" fillId="2" fontId="7" numFmtId="0" xfId="0" applyBorder="1" applyFont="1"/>
    <xf borderId="2" fillId="2" fontId="4" numFmtId="169" xfId="0" applyBorder="1" applyFont="1" applyNumberFormat="1"/>
    <xf borderId="2" fillId="2" fontId="4" numFmtId="0" xfId="0" applyAlignment="1" applyBorder="1" applyFont="1">
      <alignment horizontal="center"/>
    </xf>
    <xf borderId="2" fillId="2" fontId="4" numFmtId="165" xfId="0" applyBorder="1" applyFont="1" applyNumberFormat="1"/>
    <xf borderId="2" fillId="2" fontId="4" numFmtId="0" xfId="0" applyBorder="1" applyFont="1"/>
    <xf borderId="2" fillId="2" fontId="1" numFmtId="0" xfId="0" applyAlignment="1" applyBorder="1" applyFont="1">
      <alignment horizontal="center"/>
    </xf>
    <xf borderId="2" fillId="2" fontId="6" numFmtId="169" xfId="0" applyBorder="1" applyFont="1" applyNumberFormat="1"/>
    <xf borderId="2" fillId="2" fontId="5" numFmtId="0" xfId="0" applyAlignment="1" applyBorder="1" applyFont="1">
      <alignment horizontal="center"/>
    </xf>
    <xf borderId="2" fillId="2" fontId="6" numFmtId="0" xfId="0" applyBorder="1" applyFont="1"/>
    <xf borderId="0" fillId="0" fontId="6" numFmtId="3" xfId="0" applyFont="1" applyNumberFormat="1"/>
    <xf borderId="0" fillId="0" fontId="4" numFmtId="165" xfId="0" applyAlignment="1" applyFont="1" applyNumberFormat="1">
      <alignment horizontal="center"/>
    </xf>
    <xf borderId="2" fillId="9" fontId="12" numFmtId="165" xfId="0" applyBorder="1" applyFont="1" applyNumberFormat="1"/>
    <xf borderId="2" fillId="9" fontId="12" numFmtId="0" xfId="0" applyBorder="1" applyFont="1"/>
    <xf borderId="2" fillId="2" fontId="6" numFmtId="165" xfId="0" applyBorder="1" applyFont="1" applyNumberFormat="1"/>
    <xf borderId="2" fillId="2" fontId="1" numFmtId="165" xfId="0" applyAlignment="1" applyBorder="1" applyFont="1" applyNumberFormat="1">
      <alignment horizontal="center"/>
    </xf>
    <xf borderId="0" fillId="0" fontId="1" numFmtId="165" xfId="0" applyAlignment="1" applyFont="1" applyNumberFormat="1">
      <alignment horizontal="center"/>
    </xf>
    <xf borderId="0" fillId="0" fontId="6" numFmtId="172" xfId="0" applyFont="1" applyNumberFormat="1"/>
    <xf borderId="0" fillId="0" fontId="7" numFmtId="14" xfId="0" applyFont="1" applyNumberFormat="1"/>
    <xf borderId="2" fillId="3" fontId="7" numFmtId="0" xfId="0" applyBorder="1" applyFont="1"/>
    <xf borderId="0" fillId="0" fontId="4" numFmtId="164" xfId="0" applyFont="1" applyNumberFormat="1"/>
    <xf borderId="2" fillId="13" fontId="7" numFmtId="0" xfId="0" applyBorder="1" applyFill="1" applyFont="1"/>
    <xf borderId="2" fillId="13" fontId="4" numFmtId="169" xfId="0" applyBorder="1" applyFont="1" applyNumberFormat="1"/>
    <xf borderId="2" fillId="13" fontId="4" numFmtId="0" xfId="0" applyAlignment="1" applyBorder="1" applyFont="1">
      <alignment horizontal="center"/>
    </xf>
    <xf borderId="2" fillId="13" fontId="4" numFmtId="165" xfId="0" applyBorder="1" applyFont="1" applyNumberFormat="1"/>
    <xf borderId="2" fillId="13" fontId="4" numFmtId="0" xfId="0" applyBorder="1" applyFont="1"/>
    <xf borderId="2" fillId="13" fontId="1" numFmtId="0" xfId="0" applyAlignment="1" applyBorder="1" applyFont="1">
      <alignment horizontal="center"/>
    </xf>
    <xf borderId="2" fillId="13" fontId="6" numFmtId="169" xfId="0" applyBorder="1" applyFont="1" applyNumberFormat="1"/>
    <xf borderId="2" fillId="13" fontId="5" numFmtId="0" xfId="0" applyAlignment="1" applyBorder="1" applyFont="1">
      <alignment horizontal="center"/>
    </xf>
    <xf borderId="2" fillId="13" fontId="6" numFmtId="0" xfId="0" applyBorder="1" applyFont="1"/>
    <xf borderId="2" fillId="14" fontId="7" numFmtId="0" xfId="0" applyBorder="1" applyFill="1" applyFont="1"/>
    <xf borderId="2" fillId="14" fontId="4" numFmtId="169" xfId="0" applyBorder="1" applyFont="1" applyNumberFormat="1"/>
    <xf borderId="2" fillId="14" fontId="4" numFmtId="0" xfId="0" applyAlignment="1" applyBorder="1" applyFont="1">
      <alignment horizontal="center"/>
    </xf>
    <xf borderId="2" fillId="14" fontId="4" numFmtId="165" xfId="0" applyBorder="1" applyFont="1" applyNumberFormat="1"/>
    <xf borderId="2" fillId="14" fontId="4" numFmtId="0" xfId="0" applyBorder="1" applyFont="1"/>
    <xf borderId="2" fillId="14" fontId="1" numFmtId="0" xfId="0" applyAlignment="1" applyBorder="1" applyFont="1">
      <alignment horizontal="center"/>
    </xf>
    <xf borderId="2" fillId="14" fontId="6" numFmtId="169" xfId="0" applyBorder="1" applyFont="1" applyNumberFormat="1"/>
    <xf borderId="2" fillId="14" fontId="5" numFmtId="0" xfId="0" applyAlignment="1" applyBorder="1" applyFont="1">
      <alignment horizontal="center"/>
    </xf>
    <xf borderId="2" fillId="14" fontId="6" numFmtId="0" xfId="0" applyBorder="1" applyFont="1"/>
    <xf borderId="1" fillId="0" fontId="6" numFmtId="0" xfId="0" applyBorder="1" applyFont="1"/>
    <xf borderId="2" fillId="13" fontId="6" numFmtId="0" xfId="0" applyBorder="1" applyFont="1"/>
    <xf borderId="2" fillId="14" fontId="6" numFmtId="0" xfId="0" applyBorder="1" applyFont="1"/>
    <xf borderId="2" fillId="9" fontId="6" numFmtId="165" xfId="0" applyBorder="1" applyFont="1" applyNumberFormat="1"/>
    <xf borderId="2" fillId="15" fontId="4" numFmtId="165" xfId="0" applyBorder="1" applyFill="1" applyFont="1" applyNumberFormat="1"/>
    <xf borderId="2" fillId="8" fontId="8" numFmtId="0" xfId="0" applyAlignment="1" applyBorder="1" applyFont="1">
      <alignment horizontal="center"/>
    </xf>
    <xf borderId="2" fillId="8" fontId="9" numFmtId="0" xfId="0" applyBorder="1" applyFont="1"/>
    <xf borderId="2" fillId="8" fontId="8" numFmtId="169" xfId="0" applyBorder="1" applyFont="1" applyNumberFormat="1"/>
    <xf borderId="2" fillId="8" fontId="8" numFmtId="165" xfId="0" applyBorder="1" applyFont="1" applyNumberFormat="1"/>
    <xf borderId="0" fillId="0" fontId="8" numFmtId="165" xfId="0" applyFont="1" applyNumberFormat="1"/>
    <xf borderId="2" fillId="8" fontId="8" numFmtId="0" xfId="0" applyBorder="1" applyFont="1"/>
    <xf borderId="2" fillId="8" fontId="9" numFmtId="0" xfId="0" applyAlignment="1" applyBorder="1" applyFont="1">
      <alignment horizontal="center"/>
    </xf>
    <xf borderId="2" fillId="8" fontId="10" numFmtId="169" xfId="0" applyBorder="1" applyFont="1" applyNumberFormat="1"/>
    <xf borderId="2" fillId="8" fontId="14" numFmtId="0" xfId="0" applyAlignment="1" applyBorder="1" applyFont="1">
      <alignment horizontal="center"/>
    </xf>
    <xf borderId="2" fillId="8" fontId="10" numFmtId="0" xfId="0" applyBorder="1" applyFont="1"/>
    <xf borderId="2" fillId="8" fontId="10" numFmtId="165" xfId="0" applyBorder="1" applyFont="1" applyNumberFormat="1"/>
    <xf borderId="0" fillId="0" fontId="15" numFmtId="0" xfId="0" applyAlignment="1" applyFont="1">
      <alignment horizontal="center"/>
    </xf>
    <xf borderId="0" fillId="0" fontId="15" numFmtId="169" xfId="0" applyFont="1" applyNumberFormat="1"/>
    <xf borderId="0" fillId="0" fontId="15" numFmtId="165" xfId="0" applyFont="1" applyNumberFormat="1"/>
    <xf borderId="0" fillId="0" fontId="15" numFmtId="0" xfId="0" applyFont="1"/>
    <xf borderId="0" fillId="0" fontId="3" numFmtId="0" xfId="0" applyAlignment="1" applyFont="1">
      <alignment horizontal="center"/>
    </xf>
    <xf borderId="2" fillId="16" fontId="4" numFmtId="0" xfId="0" applyAlignment="1" applyBorder="1" applyFill="1" applyFont="1">
      <alignment horizontal="center"/>
    </xf>
    <xf borderId="2" fillId="3" fontId="4" numFmtId="0" xfId="0" applyAlignment="1" applyBorder="1" applyFont="1">
      <alignment horizontal="center"/>
    </xf>
    <xf borderId="0" fillId="0" fontId="5" numFmtId="14" xfId="0" applyFont="1" applyNumberFormat="1"/>
    <xf borderId="2" fillId="8" fontId="1" numFmtId="0" xfId="0" applyAlignment="1" applyBorder="1" applyFont="1">
      <alignment horizontal="center"/>
    </xf>
    <xf borderId="2" fillId="8" fontId="6" numFmtId="169" xfId="0" applyBorder="1" applyFont="1" applyNumberFormat="1"/>
    <xf borderId="2" fillId="8" fontId="5" numFmtId="0" xfId="0" applyAlignment="1" applyBorder="1" applyFont="1">
      <alignment horizontal="center"/>
    </xf>
    <xf borderId="2" fillId="8" fontId="6" numFmtId="0" xfId="0" applyBorder="1" applyFont="1"/>
    <xf borderId="2" fillId="8" fontId="6" numFmtId="165" xfId="0" applyBorder="1" applyFont="1" applyNumberFormat="1"/>
    <xf borderId="2" fillId="17" fontId="6" numFmtId="0" xfId="0" applyBorder="1" applyFill="1" applyFont="1"/>
    <xf borderId="0" fillId="0" fontId="16" numFmtId="165" xfId="0" applyFont="1" applyNumberFormat="1"/>
    <xf borderId="0" fillId="0" fontId="16" numFmtId="0" xfId="0" applyFont="1"/>
    <xf borderId="0" fillId="0" fontId="6" numFmtId="49" xfId="0" applyFont="1" applyNumberFormat="1"/>
    <xf borderId="6" fillId="5" fontId="4" numFmtId="0" xfId="0" applyAlignment="1" applyBorder="1" applyFont="1">
      <alignment horizontal="center"/>
    </xf>
    <xf borderId="6" fillId="5" fontId="4" numFmtId="165" xfId="0" applyAlignment="1" applyBorder="1" applyFont="1" applyNumberFormat="1">
      <alignment horizontal="center"/>
    </xf>
    <xf borderId="6" fillId="5" fontId="4" numFmtId="164" xfId="0" applyAlignment="1" applyBorder="1" applyFont="1" applyNumberFormat="1">
      <alignment horizontal="center"/>
    </xf>
    <xf borderId="16" fillId="5" fontId="4" numFmtId="164" xfId="0" applyAlignment="1" applyBorder="1" applyFont="1" applyNumberFormat="1">
      <alignment horizontal="center"/>
    </xf>
    <xf borderId="22" fillId="5" fontId="8" numFmtId="164" xfId="0" applyAlignment="1" applyBorder="1" applyFont="1" applyNumberFormat="1">
      <alignment horizontal="center"/>
    </xf>
    <xf borderId="0" fillId="0" fontId="5" numFmtId="14" xfId="0" applyAlignment="1" applyFont="1" applyNumberFormat="1">
      <alignment horizontal="center"/>
    </xf>
    <xf borderId="0" fillId="0" fontId="5" numFmtId="164" xfId="0" applyFont="1" applyNumberFormat="1"/>
    <xf borderId="0" fillId="0" fontId="6" numFmtId="164" xfId="0" applyFont="1" applyNumberFormat="1"/>
    <xf borderId="0" fillId="0" fontId="2" numFmtId="14" xfId="0" applyAlignment="1" applyFont="1" applyNumberFormat="1">
      <alignment horizontal="center"/>
    </xf>
    <xf borderId="0" fillId="0" fontId="4" numFmtId="14" xfId="0" applyFont="1" applyNumberFormat="1"/>
    <xf borderId="0" fillId="0" fontId="6" numFmtId="0" xfId="0" applyAlignment="1" applyFont="1">
      <alignment horizontal="center"/>
    </xf>
    <xf borderId="0" fillId="0" fontId="6" numFmtId="14" xfId="0" applyAlignment="1" applyFont="1" applyNumberFormat="1">
      <alignment horizontal="center"/>
    </xf>
    <xf borderId="0" fillId="0" fontId="3" numFmtId="0" xfId="0" applyFont="1"/>
    <xf borderId="0" fillId="0" fontId="3" numFmtId="164" xfId="0" applyFont="1" applyNumberFormat="1"/>
    <xf borderId="0" fillId="0" fontId="5" numFmtId="168" xfId="0" applyFont="1" applyNumberFormat="1"/>
    <xf borderId="2" fillId="18" fontId="4" numFmtId="0" xfId="0" applyAlignment="1" applyBorder="1" applyFill="1" applyFont="1">
      <alignment horizontal="center"/>
    </xf>
    <xf borderId="0" fillId="0" fontId="5" numFmtId="167" xfId="0" applyFont="1" applyNumberFormat="1"/>
    <xf borderId="2" fillId="9" fontId="5" numFmtId="14" xfId="0" applyAlignment="1" applyBorder="1" applyFont="1" applyNumberFormat="1">
      <alignment horizontal="center"/>
    </xf>
    <xf borderId="2" fillId="9" fontId="5" numFmtId="0" xfId="0" applyBorder="1" applyFont="1"/>
    <xf borderId="2" fillId="9" fontId="5" numFmtId="164" xfId="0" applyBorder="1" applyFont="1" applyNumberFormat="1"/>
    <xf borderId="0" fillId="0" fontId="5" numFmtId="4" xfId="0" applyFont="1" applyNumberFormat="1"/>
    <xf borderId="2" fillId="7" fontId="5" numFmtId="14" xfId="0" applyAlignment="1" applyBorder="1" applyFont="1" applyNumberFormat="1">
      <alignment horizontal="center"/>
    </xf>
    <xf borderId="0" fillId="0" fontId="13" numFmtId="14" xfId="0" applyAlignment="1" applyFont="1" applyNumberFormat="1">
      <alignment horizontal="center"/>
    </xf>
    <xf borderId="2" fillId="19" fontId="4" numFmtId="0" xfId="0" applyAlignment="1" applyBorder="1" applyFill="1" applyFont="1">
      <alignment horizontal="center"/>
    </xf>
    <xf borderId="2" fillId="19" fontId="1" numFmtId="0" xfId="0" applyBorder="1" applyFont="1"/>
    <xf borderId="2" fillId="19" fontId="4" numFmtId="169" xfId="0" applyBorder="1" applyFont="1" applyNumberFormat="1"/>
    <xf borderId="2" fillId="19" fontId="4" numFmtId="165" xfId="0" applyBorder="1" applyFont="1" applyNumberFormat="1"/>
    <xf borderId="2" fillId="19" fontId="1" numFmtId="165" xfId="0" applyBorder="1" applyFont="1" applyNumberFormat="1"/>
    <xf borderId="2" fillId="19" fontId="5" numFmtId="14" xfId="0" applyAlignment="1" applyBorder="1" applyFont="1" applyNumberFormat="1">
      <alignment horizontal="center"/>
    </xf>
    <xf borderId="2" fillId="19" fontId="5" numFmtId="0" xfId="0" applyBorder="1" applyFont="1"/>
    <xf borderId="2" fillId="19" fontId="5" numFmtId="164" xfId="0" applyBorder="1" applyFont="1" applyNumberFormat="1"/>
    <xf borderId="0" fillId="0" fontId="3" numFmtId="169" xfId="0" applyFont="1" applyNumberFormat="1"/>
    <xf borderId="2" fillId="19" fontId="6" numFmtId="0" xfId="0" applyAlignment="1" applyBorder="1" applyFont="1">
      <alignment horizontal="center"/>
    </xf>
    <xf borderId="0" fillId="0" fontId="3" numFmtId="165" xfId="0" applyFont="1" applyNumberFormat="1"/>
    <xf borderId="0" fillId="0" fontId="17" numFmtId="14" xfId="0" applyAlignment="1" applyFont="1" applyNumberFormat="1">
      <alignment horizontal="center"/>
    </xf>
    <xf borderId="0" fillId="0" fontId="4" numFmtId="14" xfId="0" applyAlignment="1" applyFont="1" applyNumberFormat="1">
      <alignment horizontal="center"/>
    </xf>
    <xf borderId="0" fillId="0" fontId="5" numFmtId="172" xfId="0" applyFont="1" applyNumberFormat="1"/>
    <xf borderId="0" fillId="0" fontId="5" numFmtId="165" xfId="0" applyFont="1" applyNumberFormat="1"/>
    <xf borderId="0" fillId="0" fontId="6" numFmtId="173" xfId="0" applyFont="1" applyNumberFormat="1"/>
    <xf borderId="0" fillId="0" fontId="1" numFmtId="0" xfId="0" applyAlignment="1" applyFont="1">
      <alignment shrinkToFit="0" wrapText="1"/>
    </xf>
    <xf borderId="0" fillId="0" fontId="1" numFmtId="0" xfId="0" applyAlignment="1" applyFont="1">
      <alignment horizontal="left"/>
    </xf>
    <xf borderId="0" fillId="0" fontId="1" numFmtId="0" xfId="0" applyAlignment="1" applyFont="1">
      <alignment horizontal="left" shrinkToFit="0" wrapText="1"/>
    </xf>
    <xf borderId="2" fillId="12" fontId="1" numFmtId="165" xfId="0" applyBorder="1" applyFont="1" applyNumberFormat="1"/>
    <xf borderId="2" fillId="12" fontId="1" numFmtId="0" xfId="0" applyBorder="1" applyFont="1"/>
    <xf borderId="2" fillId="8" fontId="1" numFmtId="165" xfId="0" applyBorder="1" applyFont="1" applyNumberFormat="1"/>
    <xf borderId="2" fillId="8" fontId="1" numFmtId="0" xfId="0" applyBorder="1" applyFont="1"/>
    <xf borderId="0" fillId="0" fontId="6" numFmtId="174" xfId="0" applyAlignment="1" applyFont="1" applyNumberFormat="1">
      <alignment horizontal="center" vertical="center"/>
    </xf>
    <xf borderId="0" fillId="0" fontId="1" numFmtId="0" xfId="0" applyAlignment="1" applyFont="1">
      <alignment horizontal="left" shrinkToFit="0" vertical="top" wrapText="1"/>
    </xf>
    <xf borderId="2" fillId="9" fontId="4" numFmtId="14" xfId="0" applyBorder="1" applyFont="1" applyNumberFormat="1"/>
    <xf borderId="2" fillId="9" fontId="6" numFmtId="0" xfId="0" applyAlignment="1" applyBorder="1" applyFont="1">
      <alignment horizontal="center"/>
    </xf>
    <xf borderId="2" fillId="9" fontId="6" numFmtId="14" xfId="0" applyAlignment="1" applyBorder="1" applyFont="1" applyNumberFormat="1">
      <alignment horizontal="center"/>
    </xf>
    <xf borderId="2" fillId="9" fontId="6" numFmtId="164" xfId="0" applyBorder="1" applyFont="1" applyNumberFormat="1"/>
    <xf borderId="2" fillId="9" fontId="1" numFmtId="0" xfId="0" applyAlignment="1" applyBorder="1" applyFont="1">
      <alignment shrinkToFit="0" wrapText="1"/>
    </xf>
    <xf borderId="2" fillId="2" fontId="1" numFmtId="0" xfId="0" applyBorder="1" applyFont="1"/>
    <xf borderId="2" fillId="2" fontId="4" numFmtId="14" xfId="0" applyBorder="1" applyFont="1" applyNumberFormat="1"/>
    <xf borderId="2" fillId="2" fontId="1" numFmtId="165" xfId="0" applyBorder="1" applyFont="1" applyNumberFormat="1"/>
    <xf borderId="2" fillId="2" fontId="6" numFmtId="0" xfId="0" applyAlignment="1" applyBorder="1" applyFont="1">
      <alignment horizontal="center"/>
    </xf>
    <xf borderId="2" fillId="2" fontId="6" numFmtId="14" xfId="0" applyAlignment="1" applyBorder="1" applyFont="1" applyNumberFormat="1">
      <alignment horizontal="center"/>
    </xf>
    <xf borderId="2" fillId="2" fontId="6" numFmtId="164" xfId="0" applyBorder="1" applyFont="1" applyNumberFormat="1"/>
    <xf borderId="0" fillId="0" fontId="6" numFmtId="175" xfId="0" applyAlignment="1" applyFont="1" applyNumberFormat="1">
      <alignment horizontal="center" vertical="center"/>
    </xf>
    <xf borderId="0" fillId="0" fontId="18" numFmtId="0" xfId="0" applyFont="1"/>
    <xf borderId="2" fillId="9" fontId="5" numFmtId="14" xfId="0" applyBorder="1" applyFont="1" applyNumberFormat="1"/>
    <xf borderId="0" fillId="0" fontId="19" numFmtId="4" xfId="0" applyFont="1" applyNumberFormat="1"/>
    <xf borderId="0" fillId="0" fontId="6" numFmtId="174" xfId="0" applyFont="1" applyNumberFormat="1"/>
    <xf borderId="2" fillId="14" fontId="1" numFmtId="0" xfId="0" applyBorder="1" applyFont="1"/>
    <xf borderId="2" fillId="14" fontId="5" numFmtId="14" xfId="0" applyBorder="1" applyFont="1" applyNumberFormat="1"/>
    <xf borderId="2" fillId="14" fontId="1" numFmtId="165" xfId="0" applyBorder="1" applyFont="1" applyNumberFormat="1"/>
    <xf borderId="2" fillId="14" fontId="6" numFmtId="0" xfId="0" applyAlignment="1" applyBorder="1" applyFont="1">
      <alignment horizontal="center"/>
    </xf>
    <xf borderId="2" fillId="14" fontId="6" numFmtId="14" xfId="0" applyAlignment="1" applyBorder="1" applyFont="1" applyNumberFormat="1">
      <alignment horizontal="center"/>
    </xf>
    <xf borderId="2" fillId="14" fontId="6" numFmtId="164" xfId="0" applyBorder="1" applyFont="1" applyNumberFormat="1"/>
    <xf borderId="23" fillId="0" fontId="7" numFmtId="165" xfId="0" applyAlignment="1" applyBorder="1" applyFont="1" applyNumberFormat="1">
      <alignment vertical="center"/>
    </xf>
    <xf borderId="23" fillId="0" fontId="7" numFmtId="0" xfId="0" applyAlignment="1" applyBorder="1" applyFont="1">
      <alignment vertical="center"/>
    </xf>
    <xf borderId="23" fillId="0" fontId="1" numFmtId="0" xfId="0" applyAlignment="1" applyBorder="1" applyFont="1">
      <alignment horizontal="right" vertical="center"/>
    </xf>
    <xf borderId="23" fillId="0" fontId="1" numFmtId="0" xfId="0" applyAlignment="1" applyBorder="1" applyFont="1">
      <alignment vertical="center"/>
    </xf>
    <xf borderId="23" fillId="0" fontId="7" numFmtId="0" xfId="0" applyAlignment="1" applyBorder="1" applyFont="1">
      <alignment shrinkToFit="0" vertical="center" wrapText="1"/>
    </xf>
    <xf borderId="24" fillId="0" fontId="6" numFmtId="165" xfId="0" applyBorder="1" applyFont="1" applyNumberFormat="1"/>
    <xf borderId="0" fillId="0" fontId="3" numFmtId="14" xfId="0" applyFont="1" applyNumberFormat="1"/>
    <xf borderId="0" fillId="0" fontId="7" numFmtId="165" xfId="0" applyFont="1" applyNumberFormat="1"/>
    <xf borderId="0" fillId="0" fontId="2" numFmtId="0" xfId="0" applyAlignment="1" applyFont="1">
      <alignment horizontal="center"/>
    </xf>
    <xf borderId="0" fillId="0" fontId="2" numFmtId="164" xfId="0" applyFont="1" applyNumberFormat="1"/>
    <xf borderId="2" fillId="8" fontId="14" numFmtId="14" xfId="0" applyBorder="1" applyFont="1" applyNumberFormat="1"/>
    <xf borderId="2" fillId="8" fontId="9" numFmtId="165" xfId="0" applyBorder="1" applyFont="1" applyNumberFormat="1"/>
    <xf borderId="2" fillId="8" fontId="10" numFmtId="0" xfId="0" applyAlignment="1" applyBorder="1" applyFont="1">
      <alignment horizontal="center"/>
    </xf>
    <xf borderId="2" fillId="8" fontId="10" numFmtId="14" xfId="0" applyAlignment="1" applyBorder="1" applyFont="1" applyNumberFormat="1">
      <alignment horizontal="center"/>
    </xf>
    <xf borderId="2" fillId="8" fontId="10" numFmtId="164" xfId="0" applyBorder="1" applyFont="1" applyNumberFormat="1"/>
    <xf borderId="2" fillId="11" fontId="1" numFmtId="165" xfId="0" applyBorder="1" applyFont="1" applyNumberFormat="1"/>
    <xf borderId="0" fillId="0" fontId="1" numFmtId="3" xfId="0" applyFont="1" applyNumberFormat="1"/>
    <xf borderId="0" fillId="0" fontId="6" numFmtId="165" xfId="0" applyAlignment="1" applyFont="1" applyNumberFormat="1">
      <alignment horizontal="center"/>
    </xf>
    <xf borderId="0" fillId="0" fontId="6" numFmtId="0" xfId="0" applyAlignment="1" applyFont="1">
      <alignment horizontal="right"/>
    </xf>
    <xf borderId="15" fillId="0" fontId="1" numFmtId="165" xfId="0" applyAlignment="1" applyBorder="1" applyFont="1" applyNumberFormat="1">
      <alignment horizontal="right"/>
    </xf>
    <xf borderId="0" fillId="0" fontId="6" numFmtId="176" xfId="0" applyAlignment="1" applyFont="1" applyNumberFormat="1">
      <alignment horizontal="center"/>
    </xf>
    <xf borderId="0" fillId="0" fontId="6" numFmtId="177" xfId="0" applyAlignment="1" applyFont="1" applyNumberFormat="1">
      <alignment horizontal="center"/>
    </xf>
    <xf borderId="0" fillId="0" fontId="6" numFmtId="176" xfId="0" applyFont="1" applyNumberFormat="1"/>
    <xf borderId="0" fillId="0" fontId="2" numFmtId="165" xfId="0" applyAlignment="1" applyFont="1" applyNumberFormat="1">
      <alignment horizontal="center"/>
    </xf>
    <xf borderId="0" fillId="0" fontId="2" numFmtId="0" xfId="0" applyAlignment="1" applyFont="1">
      <alignment horizontal="left"/>
    </xf>
    <xf borderId="0" fillId="0" fontId="2" numFmtId="165" xfId="0" applyFont="1" applyNumberFormat="1"/>
    <xf borderId="0" fillId="0" fontId="2" numFmtId="0" xfId="0" applyAlignment="1" applyFont="1">
      <alignment horizontal="center"/>
    </xf>
    <xf borderId="0" fillId="0" fontId="2" numFmtId="174" xfId="0" applyFont="1" applyNumberFormat="1"/>
    <xf borderId="0" fillId="0" fontId="2" numFmtId="170" xfId="0" applyFont="1" applyNumberFormat="1"/>
    <xf borderId="0" fillId="0" fontId="2" numFmtId="4" xfId="0" applyFont="1" applyNumberFormat="1"/>
    <xf borderId="24" fillId="0" fontId="6" numFmtId="165" xfId="0" applyBorder="1" applyFont="1" applyNumberFormat="1"/>
    <xf borderId="0" fillId="0" fontId="6" numFmtId="4" xfId="0" applyFont="1" applyNumberFormat="1"/>
    <xf borderId="2" fillId="20" fontId="6" numFmtId="4" xfId="0" applyBorder="1" applyFill="1" applyFont="1" applyNumberFormat="1"/>
    <xf borderId="2" fillId="20" fontId="6" numFmtId="165" xfId="0" applyBorder="1" applyFont="1" applyNumberFormat="1"/>
    <xf borderId="2" fillId="21" fontId="6" numFmtId="4" xfId="0" applyBorder="1" applyFill="1" applyFont="1" applyNumberFormat="1"/>
    <xf borderId="2" fillId="21" fontId="6" numFmtId="165" xfId="0" applyBorder="1" applyFont="1" applyNumberFormat="1"/>
    <xf borderId="2" fillId="3" fontId="6" numFmtId="0" xfId="0" applyBorder="1" applyFont="1"/>
    <xf borderId="2" fillId="3" fontId="6" numFmtId="165" xfId="0" applyBorder="1" applyFont="1" applyNumberFormat="1"/>
    <xf borderId="2" fillId="21" fontId="6" numFmtId="0" xfId="0" applyBorder="1" applyFont="1"/>
    <xf borderId="25" fillId="21" fontId="6" numFmtId="165" xfId="0" applyBorder="1" applyFont="1" applyNumberFormat="1"/>
    <xf borderId="0" fillId="0" fontId="6" numFmtId="0" xfId="0" applyAlignment="1" applyFont="1">
      <alignment horizontal="left"/>
    </xf>
    <xf borderId="0" fillId="0" fontId="6" numFmtId="178" xfId="0" applyFont="1" applyNumberFormat="1"/>
    <xf borderId="2" fillId="22" fontId="6" numFmtId="0" xfId="0" applyBorder="1" applyFill="1" applyFont="1"/>
    <xf borderId="2" fillId="22" fontId="6" numFmtId="165" xfId="0" applyBorder="1" applyFont="1" applyNumberFormat="1"/>
    <xf borderId="2" fillId="22" fontId="6" numFmtId="171" xfId="0" applyBorder="1" applyFont="1" applyNumberFormat="1"/>
    <xf borderId="1" fillId="22" fontId="5" numFmtId="165" xfId="0" applyBorder="1" applyFont="1" applyNumberFormat="1"/>
    <xf borderId="7" fillId="22" fontId="6" numFmtId="0" xfId="0" applyAlignment="1" applyBorder="1" applyFont="1">
      <alignment horizontal="left"/>
    </xf>
    <xf borderId="26" fillId="0" fontId="20" numFmtId="0" xfId="0" applyBorder="1" applyFont="1"/>
    <xf borderId="14" fillId="0" fontId="20" numFmtId="0" xfId="0" applyBorder="1" applyFont="1"/>
    <xf borderId="27" fillId="23" fontId="6" numFmtId="165" xfId="0" applyAlignment="1" applyBorder="1" applyFill="1" applyFont="1" applyNumberFormat="1">
      <alignment horizontal="center"/>
    </xf>
    <xf borderId="28" fillId="0" fontId="20" numFmtId="0" xfId="0" applyBorder="1" applyFont="1"/>
    <xf borderId="2" fillId="22" fontId="5" numFmtId="0" xfId="0" applyBorder="1" applyFont="1"/>
    <xf borderId="2" fillId="22" fontId="1" numFmtId="165" xfId="0" applyBorder="1" applyFont="1" applyNumberFormat="1"/>
    <xf borderId="0" fillId="0" fontId="21" numFmtId="0" xfId="0" applyFont="1"/>
    <xf borderId="1" fillId="22" fontId="6" numFmtId="14" xfId="0" applyAlignment="1" applyBorder="1" applyFont="1" applyNumberFormat="1">
      <alignment horizontal="center"/>
    </xf>
    <xf borderId="2" fillId="22" fontId="22" numFmtId="165" xfId="0" applyBorder="1" applyFont="1" applyNumberFormat="1"/>
    <xf borderId="2" fillId="22" fontId="5" numFmtId="4" xfId="0" applyAlignment="1" applyBorder="1" applyFont="1" applyNumberFormat="1">
      <alignment horizontal="center"/>
    </xf>
    <xf borderId="1" fillId="22" fontId="5" numFmtId="0" xfId="0" applyAlignment="1" applyBorder="1" applyFont="1">
      <alignment horizontal="center"/>
    </xf>
    <xf borderId="1" fillId="22" fontId="6" numFmtId="0" xfId="0" applyBorder="1" applyFont="1"/>
    <xf borderId="1" fillId="22" fontId="6" numFmtId="165" xfId="0" applyBorder="1" applyFont="1" applyNumberFormat="1"/>
    <xf borderId="1" fillId="22" fontId="21" numFmtId="10" xfId="0" applyAlignment="1" applyBorder="1" applyFont="1" applyNumberFormat="1">
      <alignment horizontal="center"/>
    </xf>
    <xf borderId="2" fillId="22" fontId="6" numFmtId="170" xfId="0" applyBorder="1" applyFont="1" applyNumberFormat="1"/>
    <xf borderId="2" fillId="22" fontId="6" numFmtId="172" xfId="0" applyBorder="1" applyFont="1" applyNumberFormat="1"/>
    <xf borderId="2" fillId="22" fontId="23" numFmtId="4" xfId="0" applyBorder="1" applyFont="1" applyNumberFormat="1"/>
    <xf borderId="1" fillId="22" fontId="6" numFmtId="0" xfId="0" applyAlignment="1" applyBorder="1" applyFont="1">
      <alignment horizontal="center"/>
    </xf>
    <xf borderId="1" fillId="22" fontId="6" numFmtId="165" xfId="0" applyAlignment="1" applyBorder="1" applyFont="1" applyNumberFormat="1">
      <alignment horizontal="center"/>
    </xf>
    <xf borderId="2" fillId="22" fontId="6" numFmtId="179" xfId="0" applyBorder="1" applyFont="1" applyNumberFormat="1"/>
    <xf borderId="1" fillId="22" fontId="6" numFmtId="9" xfId="0" applyAlignment="1" applyBorder="1" applyFont="1" applyNumberFormat="1">
      <alignment horizontal="center"/>
    </xf>
    <xf borderId="2" fillId="22" fontId="6" numFmtId="180" xfId="0" applyBorder="1" applyFont="1" applyNumberFormat="1"/>
    <xf borderId="2" fillId="22" fontId="1" numFmtId="4" xfId="0" applyBorder="1" applyFont="1" applyNumberFormat="1"/>
    <xf borderId="1" fillId="24" fontId="6" numFmtId="0" xfId="0" applyAlignment="1" applyBorder="1" applyFill="1" applyFont="1">
      <alignment horizontal="center"/>
    </xf>
    <xf borderId="7" fillId="24" fontId="6" numFmtId="0" xfId="0" applyAlignment="1" applyBorder="1" applyFont="1">
      <alignment horizontal="center"/>
    </xf>
    <xf borderId="2" fillId="22" fontId="6" numFmtId="0" xfId="0" applyAlignment="1" applyBorder="1" applyFont="1">
      <alignment horizontal="center"/>
    </xf>
    <xf borderId="1" fillId="22" fontId="6" numFmtId="0" xfId="0" applyAlignment="1" applyBorder="1" applyFont="1">
      <alignment horizontal="center" vertical="center"/>
    </xf>
    <xf borderId="1" fillId="22" fontId="16" numFmtId="0" xfId="0" applyAlignment="1" applyBorder="1" applyFont="1">
      <alignment horizontal="center" vertical="center"/>
    </xf>
    <xf borderId="7" fillId="22" fontId="6" numFmtId="0" xfId="0" applyAlignment="1" applyBorder="1" applyFont="1">
      <alignment horizontal="center" shrinkToFit="0" vertical="center" wrapText="1"/>
    </xf>
    <xf borderId="1" fillId="22" fontId="6" numFmtId="0" xfId="0" applyAlignment="1" applyBorder="1" applyFont="1">
      <alignment horizontal="center" shrinkToFit="0" vertical="center" wrapText="1"/>
    </xf>
    <xf borderId="2" fillId="22" fontId="6" numFmtId="0" xfId="0" applyAlignment="1" applyBorder="1" applyFont="1">
      <alignment horizontal="center" shrinkToFit="0" vertical="center" wrapText="1"/>
    </xf>
    <xf borderId="1" fillId="24" fontId="6" numFmtId="165" xfId="0" applyAlignment="1" applyBorder="1" applyFont="1" applyNumberFormat="1">
      <alignment horizontal="center"/>
    </xf>
    <xf borderId="7" fillId="22" fontId="16" numFmtId="0" xfId="0" applyAlignment="1" applyBorder="1" applyFont="1">
      <alignment horizontal="center" vertical="center"/>
    </xf>
    <xf borderId="2" fillId="22" fontId="6" numFmtId="0" xfId="0" applyAlignment="1" applyBorder="1" applyFont="1">
      <alignment horizontal="center" vertical="center"/>
    </xf>
    <xf borderId="6" fillId="24" fontId="6" numFmtId="0" xfId="0" applyAlignment="1" applyBorder="1" applyFont="1">
      <alignment horizontal="center"/>
    </xf>
    <xf borderId="2" fillId="22" fontId="6" numFmtId="0" xfId="0" applyAlignment="1" applyBorder="1" applyFont="1">
      <alignment shrinkToFit="0" vertical="center" wrapText="1"/>
    </xf>
    <xf borderId="2" fillId="22" fontId="6" numFmtId="0" xfId="0" applyAlignment="1" applyBorder="1" applyFont="1">
      <alignment horizontal="left" shrinkToFit="0" vertical="center" wrapText="1"/>
    </xf>
    <xf borderId="8" fillId="24" fontId="6" numFmtId="0" xfId="0" applyAlignment="1" applyBorder="1" applyFont="1">
      <alignment horizontal="center"/>
    </xf>
    <xf borderId="1" fillId="0" fontId="6" numFmtId="0" xfId="0" applyAlignment="1" applyBorder="1" applyFont="1">
      <alignment horizontal="center"/>
    </xf>
    <xf borderId="1" fillId="0" fontId="6" numFmtId="165" xfId="0" applyAlignment="1" applyBorder="1" applyFont="1" applyNumberFormat="1">
      <alignment horizontal="center"/>
    </xf>
    <xf borderId="7" fillId="0" fontId="6" numFmtId="0" xfId="0" applyAlignment="1" applyBorder="1" applyFont="1">
      <alignment horizontal="center"/>
    </xf>
    <xf borderId="2" fillId="7" fontId="1" numFmtId="165" xfId="0" applyBorder="1" applyFont="1" applyNumberFormat="1"/>
    <xf borderId="0" fillId="0" fontId="6" numFmtId="165" xfId="0" applyAlignment="1" applyFont="1" applyNumberFormat="1">
      <alignment horizontal="center"/>
    </xf>
    <xf borderId="0" fillId="0" fontId="6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6" numFmtId="165" xfId="0" applyAlignment="1" applyFont="1" applyNumberFormat="1">
      <alignment shrinkToFit="0" vertical="center" wrapText="1"/>
    </xf>
    <xf borderId="0" fillId="0" fontId="1" numFmtId="0" xfId="0" applyAlignment="1" applyFont="1">
      <alignment shrinkToFit="0" vertical="center" wrapText="1"/>
    </xf>
    <xf borderId="2" fillId="22" fontId="24" numFmtId="0" xfId="0" applyBorder="1" applyFont="1"/>
    <xf borderId="27" fillId="22" fontId="6" numFmtId="17" xfId="0" applyAlignment="1" applyBorder="1" applyFont="1" applyNumberFormat="1">
      <alignment horizontal="center"/>
    </xf>
    <xf borderId="29" fillId="22" fontId="5" numFmtId="0" xfId="0" applyAlignment="1" applyBorder="1" applyFont="1">
      <alignment horizontal="center"/>
    </xf>
    <xf borderId="30" fillId="22" fontId="5" numFmtId="0" xfId="0" applyAlignment="1" applyBorder="1" applyFont="1">
      <alignment horizontal="center"/>
    </xf>
    <xf borderId="31" fillId="22" fontId="5" numFmtId="0" xfId="0" applyAlignment="1" applyBorder="1" applyFont="1">
      <alignment horizontal="center"/>
    </xf>
    <xf borderId="32" fillId="22" fontId="5" numFmtId="165" xfId="0" applyAlignment="1" applyBorder="1" applyFont="1" applyNumberFormat="1">
      <alignment horizontal="center"/>
    </xf>
    <xf borderId="33" fillId="22" fontId="5" numFmtId="165" xfId="0" applyAlignment="1" applyBorder="1" applyFont="1" applyNumberFormat="1">
      <alignment horizontal="center"/>
    </xf>
    <xf borderId="33" fillId="22" fontId="5" numFmtId="10" xfId="0" applyAlignment="1" applyBorder="1" applyFont="1" applyNumberFormat="1">
      <alignment horizontal="center"/>
    </xf>
    <xf borderId="34" fillId="22" fontId="5" numFmtId="165" xfId="0" applyAlignment="1" applyBorder="1" applyFont="1" applyNumberFormat="1">
      <alignment horizontal="center"/>
    </xf>
    <xf borderId="35" fillId="0" fontId="6" numFmtId="0" xfId="0" applyAlignment="1" applyBorder="1" applyFont="1">
      <alignment horizontal="center"/>
    </xf>
    <xf borderId="36" fillId="0" fontId="20" numFmtId="0" xfId="0" applyBorder="1" applyFont="1"/>
    <xf borderId="37" fillId="0" fontId="20" numFmtId="0" xfId="0" applyBorder="1" applyFont="1"/>
    <xf borderId="38" fillId="10" fontId="6" numFmtId="0" xfId="0" applyBorder="1" applyFont="1"/>
    <xf borderId="2" fillId="10" fontId="5" numFmtId="0" xfId="0" applyAlignment="1" applyBorder="1" applyFont="1">
      <alignment horizontal="center" vertical="center"/>
    </xf>
    <xf borderId="39" fillId="10" fontId="5" numFmtId="0" xfId="0" applyAlignment="1" applyBorder="1" applyFont="1">
      <alignment horizontal="center" vertical="center"/>
    </xf>
    <xf borderId="38" fillId="25" fontId="6" numFmtId="0" xfId="0" applyBorder="1" applyFill="1" applyFont="1"/>
    <xf borderId="2" fillId="25" fontId="6" numFmtId="0" xfId="0" applyBorder="1" applyFont="1"/>
    <xf borderId="2" fillId="25" fontId="6" numFmtId="165" xfId="0" applyBorder="1" applyFont="1" applyNumberFormat="1"/>
    <xf borderId="39" fillId="25" fontId="6" numFmtId="165" xfId="0" applyAlignment="1" applyBorder="1" applyFont="1" applyNumberFormat="1">
      <alignment horizontal="right"/>
    </xf>
    <xf borderId="39" fillId="25" fontId="6" numFmtId="165" xfId="0" applyBorder="1" applyFont="1" applyNumberFormat="1"/>
    <xf borderId="40" fillId="26" fontId="5" numFmtId="0" xfId="0" applyAlignment="1" applyBorder="1" applyFill="1" applyFont="1">
      <alignment horizontal="center"/>
    </xf>
    <xf borderId="2" fillId="26" fontId="5" numFmtId="165" xfId="0" applyBorder="1" applyFont="1" applyNumberFormat="1"/>
    <xf borderId="39" fillId="26" fontId="5" numFmtId="0" xfId="0" applyBorder="1" applyFont="1"/>
    <xf borderId="39" fillId="26" fontId="5" numFmtId="165" xfId="0" applyBorder="1" applyFont="1" applyNumberFormat="1"/>
    <xf borderId="38" fillId="26" fontId="6" numFmtId="0" xfId="0" applyBorder="1" applyFont="1"/>
    <xf borderId="2" fillId="26" fontId="6" numFmtId="0" xfId="0" applyBorder="1" applyFont="1"/>
    <xf borderId="39" fillId="26" fontId="6" numFmtId="0" xfId="0" applyBorder="1" applyFont="1"/>
    <xf borderId="41" fillId="0" fontId="6" numFmtId="0" xfId="0" applyAlignment="1" applyBorder="1" applyFont="1">
      <alignment horizontal="center"/>
    </xf>
    <xf borderId="42" fillId="0" fontId="20" numFmtId="0" xfId="0" applyBorder="1" applyFont="1"/>
    <xf borderId="40" fillId="26" fontId="17" numFmtId="165" xfId="0" applyAlignment="1" applyBorder="1" applyFont="1" applyNumberFormat="1">
      <alignment horizontal="center"/>
    </xf>
    <xf borderId="39" fillId="26" fontId="17" numFmtId="165" xfId="0" applyBorder="1" applyFont="1" applyNumberFormat="1"/>
    <xf borderId="40" fillId="22" fontId="3" numFmtId="165" xfId="0" applyAlignment="1" applyBorder="1" applyFont="1" applyNumberFormat="1">
      <alignment horizontal="center"/>
    </xf>
    <xf borderId="39" fillId="22" fontId="3" numFmtId="165" xfId="0" applyAlignment="1" applyBorder="1" applyFont="1" applyNumberFormat="1">
      <alignment horizontal="center"/>
    </xf>
    <xf borderId="39" fillId="22" fontId="3" numFmtId="10" xfId="0" applyAlignment="1" applyBorder="1" applyFont="1" applyNumberFormat="1">
      <alignment horizontal="center"/>
    </xf>
    <xf borderId="43" fillId="22" fontId="3" numFmtId="165" xfId="0" applyAlignment="1" applyBorder="1" applyFont="1" applyNumberFormat="1">
      <alignment horizontal="center"/>
    </xf>
    <xf borderId="44" fillId="0" fontId="20" numFmtId="0" xfId="0" applyBorder="1" applyFont="1"/>
    <xf borderId="45" fillId="22" fontId="3" numFmtId="165" xfId="0" applyAlignment="1" applyBorder="1" applyFont="1" applyNumberFormat="1">
      <alignment horizontal="center"/>
    </xf>
    <xf borderId="39" fillId="26" fontId="5" numFmtId="0" xfId="0" applyAlignment="1" applyBorder="1" applyFont="1">
      <alignment horizontal="center"/>
    </xf>
    <xf borderId="40" fillId="27" fontId="17" numFmtId="165" xfId="0" applyAlignment="1" applyBorder="1" applyFill="1" applyFont="1" applyNumberFormat="1">
      <alignment horizontal="center"/>
    </xf>
    <xf borderId="2" fillId="22" fontId="6" numFmtId="165" xfId="0" applyAlignment="1" applyBorder="1" applyFont="1" applyNumberFormat="1">
      <alignment horizontal="center"/>
    </xf>
    <xf borderId="39" fillId="26" fontId="5" numFmtId="2" xfId="0" applyBorder="1" applyFont="1" applyNumberFormat="1"/>
    <xf borderId="2" fillId="22" fontId="6" numFmtId="172" xfId="0" applyAlignment="1" applyBorder="1" applyFont="1" applyNumberFormat="1">
      <alignment horizontal="center"/>
    </xf>
    <xf borderId="2" fillId="25" fontId="6" numFmtId="165" xfId="0" applyAlignment="1" applyBorder="1" applyFont="1" applyNumberFormat="1">
      <alignment horizontal="right"/>
    </xf>
    <xf borderId="2" fillId="22" fontId="6" numFmtId="9" xfId="0" applyAlignment="1" applyBorder="1" applyFont="1" applyNumberFormat="1">
      <alignment horizontal="center"/>
    </xf>
    <xf borderId="2" fillId="22" fontId="5" numFmtId="0" xfId="0" applyAlignment="1" applyBorder="1" applyFont="1">
      <alignment horizontal="center"/>
    </xf>
    <xf borderId="39" fillId="26" fontId="6" numFmtId="165" xfId="0" applyBorder="1" applyFont="1" applyNumberFormat="1"/>
    <xf borderId="39" fillId="22" fontId="3" numFmtId="9" xfId="0" applyAlignment="1" applyBorder="1" applyFont="1" applyNumberFormat="1">
      <alignment horizontal="center"/>
    </xf>
    <xf borderId="2" fillId="22" fontId="6" numFmtId="4" xfId="0" applyBorder="1" applyFont="1" applyNumberFormat="1"/>
    <xf borderId="24" fillId="0" fontId="1" numFmtId="165" xfId="0" applyBorder="1" applyFont="1" applyNumberFormat="1"/>
    <xf borderId="0" fillId="0" fontId="6" numFmtId="173" xfId="0" applyFont="1" applyNumberFormat="1"/>
  </cellXfs>
  <cellStyles count="1">
    <cellStyle xfId="0" name="Normal" builtinId="0"/>
  </cellStyles>
  <dxfs count="9">
    <dxf>
      <font/>
      <fill>
        <patternFill patternType="none"/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  <tableStyles count="3">
    <tableStyle count="3" pivot="0" name="perfil de pagos-style">
      <tableStyleElement dxfId="1" type="headerRow"/>
      <tableStyleElement dxfId="2" type="firstRowStripe"/>
      <tableStyleElement dxfId="3" type="secondRowStripe"/>
    </tableStyle>
    <tableStyle count="3" pivot="0" name="FACP$-style">
      <tableStyleElement dxfId="4" type="headerRow"/>
      <tableStyleElement dxfId="5" type="firstRowStripe"/>
      <tableStyleElement dxfId="3" type="secondRowStripe"/>
    </tableStyle>
    <tableStyle count="3" pivot="0" name="FACUS$-style">
      <tableStyleElement dxfId="4" type="headerRow"/>
      <tableStyleElement dxfId="5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3:C46" displayName="Table_1" name="Table_1" id="1">
  <tableColumns count="3">
    <tableColumn name="company" id="1"/>
    <tableColumn name="molecule" id="2"/>
    <tableColumn name="service" id="3"/>
  </tableColumns>
  <tableStyleInfo name="perfil de pagos-style" showColumnStripes="0" showFirstColumn="1" showLastColumn="1" showRowStripes="1"/>
</table>
</file>

<file path=xl/tables/table2.xml><?xml version="1.0" encoding="utf-8"?>
<table xmlns="http://schemas.openxmlformats.org/spreadsheetml/2006/main" ref="A1:Z5805" displayName="Table_2" name="Table_2" id="2">
  <tableColumns count="26">
    <tableColumn name="Factura" id="1"/>
    <tableColumn name="Cliente " id="2"/>
    <tableColumn name="Concepto " id="3"/>
    <tableColumn name="Fecha" id="4"/>
    <tableColumn name="Moneda " id="5"/>
    <tableColumn name="Subtotal " id="6"/>
    <tableColumn name="IVA " id="7"/>
    <tableColumn name="Total " id="8"/>
    <tableColumn name="Abono" id="9"/>
    <tableColumn name="NC" id="10"/>
    <tableColumn name="Monto NC" id="11"/>
    <tableColumn name="Saldo factura" id="12"/>
    <tableColumn name="Proyecto " id="13"/>
    <tableColumn name="Estatus" id="14"/>
    <tableColumn name="Fecha de pago " id="15"/>
    <tableColumn name="Vencimiento" id="16"/>
    <tableColumn name="Vencidos" id="17"/>
    <tableColumn name="Comentarios " id="18"/>
    <tableColumn name="COMPLEMENTO" id="19"/>
    <tableColumn name="Al Corriente" id="20"/>
    <tableColumn name="1 A 15" id="21"/>
    <tableColumn name="16 AL 30" id="22"/>
    <tableColumn name="31 A 45" id="23"/>
    <tableColumn name="46 A 60" id="24"/>
    <tableColumn name="61 A 90" id="25"/>
    <tableColumn name="MAS DE 91" id="26"/>
  </tableColumns>
  <tableStyleInfo name="FACP$-style" showColumnStripes="0" showFirstColumn="1" showLastColumn="1" showRowStripes="1"/>
</table>
</file>

<file path=xl/tables/table3.xml><?xml version="1.0" encoding="utf-8"?>
<table xmlns="http://schemas.openxmlformats.org/spreadsheetml/2006/main" ref="A1:AB2984" displayName="Table_3" name="Table_3" id="3">
  <tableColumns count="28">
    <tableColumn name="FAC US$" id="1"/>
    <tableColumn name="Cliente " id="2"/>
    <tableColumn name="Concepto " id="3"/>
    <tableColumn name="fecha" id="4"/>
    <tableColumn name="Moneda " id="5"/>
    <tableColumn name="Subtotal " id="6"/>
    <tableColumn name="IVA " id="7"/>
    <tableColumn name="Total" id="8"/>
    <tableColumn name="Abono" id="9"/>
    <tableColumn name="NC" id="10"/>
    <tableColumn name="Importe NC" id="11"/>
    <tableColumn name="Saldo factura" id="12"/>
    <tableColumn name="Proyecto " id="13"/>
    <tableColumn name="Estatus" id="14"/>
    <tableColumn name="Fecha de pago " id="15"/>
    <tableColumn name="Vencimiento" id="16"/>
    <tableColumn name="Vencidos" id="17"/>
    <tableColumn name="Comentarios" id="18"/>
    <tableColumn name="COMPLEMNTOS" id="19"/>
    <tableColumn name="TC DOF" id="20"/>
    <tableColumn name="MONTO MXN" id="21"/>
    <tableColumn name="Al Corriente" id="22"/>
    <tableColumn name="1 A 15" id="23"/>
    <tableColumn name="16 AL 30" id="24"/>
    <tableColumn name="31 A 45" id="25"/>
    <tableColumn name="46 A 60" id="26"/>
    <tableColumn name="61 A 90" id="27"/>
    <tableColumn name="MAS DE 91" id="28"/>
  </tableColumns>
  <tableStyleInfo name="FACUS$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2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3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f.gob.mx/indicadores_detalle.php?cod_tipo_indicador=158&amp;dfecha=01%2F04%2F2022&amp;hfecha=19%2F04%2F2022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10.71"/>
    <col customWidth="1" min="3" max="3" width="43.43"/>
    <col customWidth="1" min="4" max="5" width="10.71"/>
    <col customWidth="1" min="6" max="6" width="12.0"/>
    <col customWidth="1" min="7" max="7" width="10.71"/>
    <col customWidth="1" min="8" max="9" width="12.57"/>
    <col customWidth="1" min="10" max="10" width="10.71"/>
  </cols>
  <sheetData>
    <row r="1" ht="14.25" customHeight="1">
      <c r="A1" s="1">
        <v>117.0</v>
      </c>
      <c r="B1" s="2" t="s">
        <v>0</v>
      </c>
      <c r="C1" s="2" t="s">
        <v>1</v>
      </c>
      <c r="D1" s="3">
        <v>41974.0</v>
      </c>
      <c r="E1" s="1" t="s">
        <v>2</v>
      </c>
      <c r="F1" s="4">
        <v>1128.96</v>
      </c>
      <c r="G1" s="4">
        <v>180.83</v>
      </c>
      <c r="H1" s="4">
        <f t="shared" ref="H1:H5" si="1">F1+G1</f>
        <v>1309.79</v>
      </c>
      <c r="I1" s="1"/>
      <c r="J1" s="5" t="s">
        <v>3</v>
      </c>
    </row>
    <row r="2" ht="14.25" customHeight="1">
      <c r="A2" s="1">
        <v>119.0</v>
      </c>
      <c r="B2" s="2" t="s">
        <v>0</v>
      </c>
      <c r="C2" s="2" t="s">
        <v>4</v>
      </c>
      <c r="D2" s="3">
        <v>41974.0</v>
      </c>
      <c r="E2" s="1" t="s">
        <v>2</v>
      </c>
      <c r="F2" s="4">
        <v>24899.83</v>
      </c>
      <c r="G2" s="4">
        <v>3983.97</v>
      </c>
      <c r="H2" s="4">
        <f t="shared" si="1"/>
        <v>28883.8</v>
      </c>
      <c r="I2" s="1"/>
      <c r="J2" s="5" t="s">
        <v>5</v>
      </c>
    </row>
    <row r="3" ht="14.25" customHeight="1">
      <c r="A3" s="1">
        <v>120.0</v>
      </c>
      <c r="B3" s="2" t="s">
        <v>0</v>
      </c>
      <c r="C3" s="2" t="s">
        <v>6</v>
      </c>
      <c r="D3" s="3">
        <v>41974.0</v>
      </c>
      <c r="E3" s="1" t="s">
        <v>2</v>
      </c>
      <c r="F3" s="4">
        <v>10869.7</v>
      </c>
      <c r="G3" s="4">
        <v>1739.15</v>
      </c>
      <c r="H3" s="4">
        <f t="shared" si="1"/>
        <v>12608.85</v>
      </c>
      <c r="I3" s="1"/>
      <c r="J3" s="5" t="s">
        <v>3</v>
      </c>
    </row>
    <row r="4" ht="14.25" customHeight="1">
      <c r="A4" s="1">
        <v>121.0</v>
      </c>
      <c r="B4" s="2" t="s">
        <v>0</v>
      </c>
      <c r="C4" s="2" t="s">
        <v>1</v>
      </c>
      <c r="D4" s="3">
        <v>41974.0</v>
      </c>
      <c r="E4" s="1" t="s">
        <v>2</v>
      </c>
      <c r="F4" s="4">
        <v>412.55</v>
      </c>
      <c r="G4" s="4">
        <v>66.01</v>
      </c>
      <c r="H4" s="4">
        <f t="shared" si="1"/>
        <v>478.56</v>
      </c>
      <c r="I4" s="1"/>
      <c r="J4" s="5" t="s">
        <v>3</v>
      </c>
    </row>
    <row r="5" ht="14.25" customHeight="1">
      <c r="A5" s="6">
        <v>116.0</v>
      </c>
      <c r="B5" s="7" t="s">
        <v>0</v>
      </c>
      <c r="C5" s="7" t="s">
        <v>7</v>
      </c>
      <c r="D5" s="8">
        <v>1679.0</v>
      </c>
      <c r="E5" s="6" t="s">
        <v>8</v>
      </c>
      <c r="F5" s="9">
        <v>9664.2</v>
      </c>
      <c r="G5" s="9">
        <v>1546.27</v>
      </c>
      <c r="H5" s="9">
        <f t="shared" si="1"/>
        <v>11210.47</v>
      </c>
      <c r="I5" s="6"/>
      <c r="J5" s="10" t="s">
        <v>3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3.0"/>
    <col customWidth="1" min="2" max="2" width="12.86"/>
    <col customWidth="1" min="3" max="3" width="11.14"/>
    <col customWidth="1" min="4" max="26" width="11.57"/>
  </cols>
  <sheetData>
    <row r="1">
      <c r="A1" s="11"/>
      <c r="B1" s="11" t="s">
        <v>9</v>
      </c>
      <c r="C1" s="11" t="s">
        <v>10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1"/>
      <c r="B2" s="13" t="s">
        <v>11</v>
      </c>
      <c r="C2" s="13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4" t="s">
        <v>12</v>
      </c>
      <c r="B3" s="14" t="s">
        <v>13</v>
      </c>
      <c r="C3" s="14" t="s">
        <v>14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5" t="s">
        <v>15</v>
      </c>
      <c r="B4" s="15">
        <v>10.0</v>
      </c>
      <c r="C4" s="15">
        <v>10.0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6" t="s">
        <v>16</v>
      </c>
      <c r="B5" s="16">
        <v>10.0</v>
      </c>
      <c r="C5" s="16">
        <v>10.0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5" t="s">
        <v>17</v>
      </c>
      <c r="B6" s="15">
        <v>10.0</v>
      </c>
      <c r="C6" s="15">
        <v>10.0</v>
      </c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6" t="s">
        <v>18</v>
      </c>
      <c r="B7" s="16">
        <v>10.0</v>
      </c>
      <c r="C7" s="16">
        <v>10.0</v>
      </c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6" t="s">
        <v>19</v>
      </c>
      <c r="B8" s="16">
        <v>10.0</v>
      </c>
      <c r="C8" s="16">
        <v>10.0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5" t="s">
        <v>20</v>
      </c>
      <c r="B9" s="15">
        <v>10.0</v>
      </c>
      <c r="C9" s="15">
        <v>10.0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5" t="s">
        <v>21</v>
      </c>
      <c r="B10" s="15">
        <v>10.0</v>
      </c>
      <c r="C10" s="15">
        <v>10.0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6" t="s">
        <v>22</v>
      </c>
      <c r="B11" s="16">
        <v>10.0</v>
      </c>
      <c r="C11" s="16">
        <v>10.0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15" t="s">
        <v>23</v>
      </c>
      <c r="B12" s="15">
        <v>15.0</v>
      </c>
      <c r="C12" s="15">
        <v>15.0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7" t="s">
        <v>24</v>
      </c>
      <c r="B13" s="15">
        <v>10.0</v>
      </c>
      <c r="C13" s="15">
        <v>10.0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5" t="s">
        <v>25</v>
      </c>
      <c r="B14" s="15">
        <v>10.0</v>
      </c>
      <c r="C14" s="15">
        <v>10.0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6" t="s">
        <v>26</v>
      </c>
      <c r="B15" s="16">
        <v>10.0</v>
      </c>
      <c r="C15" s="16">
        <v>30.0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5" t="s">
        <v>27</v>
      </c>
      <c r="B16" s="15">
        <v>30.0</v>
      </c>
      <c r="C16" s="15">
        <v>30.0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5" t="s">
        <v>28</v>
      </c>
      <c r="B17" s="15">
        <v>10.0</v>
      </c>
      <c r="C17" s="15">
        <v>10.0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6" t="s">
        <v>29</v>
      </c>
      <c r="B18" s="16">
        <v>10.0</v>
      </c>
      <c r="C18" s="16">
        <v>10.0</v>
      </c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7" t="s">
        <v>30</v>
      </c>
      <c r="B19" s="17">
        <v>10.0</v>
      </c>
      <c r="C19" s="17">
        <v>10.0</v>
      </c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5" t="s">
        <v>31</v>
      </c>
      <c r="B20" s="15">
        <v>3.0</v>
      </c>
      <c r="C20" s="15">
        <v>3.0</v>
      </c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15" t="s">
        <v>32</v>
      </c>
      <c r="B21" s="15">
        <v>10.0</v>
      </c>
      <c r="C21" s="15">
        <v>10.0</v>
      </c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A22" s="15" t="s">
        <v>33</v>
      </c>
      <c r="B22" s="15">
        <v>10.0</v>
      </c>
      <c r="C22" s="15">
        <v>10.0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A23" s="15" t="s">
        <v>34</v>
      </c>
      <c r="B23" s="15">
        <v>10.0</v>
      </c>
      <c r="C23" s="15">
        <v>10.0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A24" s="15" t="s">
        <v>35</v>
      </c>
      <c r="B24" s="15">
        <v>10.0</v>
      </c>
      <c r="C24" s="15">
        <v>10.0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A25" s="15" t="s">
        <v>36</v>
      </c>
      <c r="B25" s="15">
        <v>10.0</v>
      </c>
      <c r="C25" s="15">
        <v>10.0</v>
      </c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A26" s="16" t="s">
        <v>37</v>
      </c>
      <c r="B26" s="16">
        <v>10.0</v>
      </c>
      <c r="C26" s="16">
        <v>10.0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A27" s="16" t="s">
        <v>38</v>
      </c>
      <c r="B27" s="16">
        <v>30.0</v>
      </c>
      <c r="C27" s="16">
        <v>30.0</v>
      </c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A28" s="15" t="s">
        <v>39</v>
      </c>
      <c r="B28" s="15">
        <v>10.0</v>
      </c>
      <c r="C28" s="15">
        <v>10.0</v>
      </c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A29" s="18" t="s">
        <v>40</v>
      </c>
      <c r="B29" s="15">
        <v>30.0</v>
      </c>
      <c r="C29" s="15">
        <v>30.0</v>
      </c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A30" s="15" t="s">
        <v>41</v>
      </c>
      <c r="B30" s="15">
        <v>10.0</v>
      </c>
      <c r="C30" s="15">
        <v>10.0</v>
      </c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A31" s="15" t="s">
        <v>42</v>
      </c>
      <c r="B31" s="15">
        <v>10.0</v>
      </c>
      <c r="C31" s="15">
        <v>10.0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A32" s="19" t="s">
        <v>43</v>
      </c>
      <c r="B32" s="18">
        <v>25.0</v>
      </c>
      <c r="C32" s="18">
        <v>25.0</v>
      </c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A33" s="20" t="s">
        <v>44</v>
      </c>
      <c r="B33" s="20">
        <v>10.0</v>
      </c>
      <c r="C33" s="20">
        <v>10.0</v>
      </c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A34" s="20" t="s">
        <v>45</v>
      </c>
      <c r="B34" s="20">
        <v>3.0</v>
      </c>
      <c r="C34" s="20">
        <v>3.0</v>
      </c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A35" s="20" t="s">
        <v>46</v>
      </c>
      <c r="B35" s="20">
        <v>15.0</v>
      </c>
      <c r="C35" s="20">
        <v>15.0</v>
      </c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A36" s="20" t="s">
        <v>47</v>
      </c>
      <c r="B36" s="20">
        <v>0.0</v>
      </c>
      <c r="C36" s="20">
        <v>0.0</v>
      </c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A37" s="20" t="s">
        <v>48</v>
      </c>
      <c r="B37" s="20">
        <v>5.0</v>
      </c>
      <c r="C37" s="20">
        <v>5.0</v>
      </c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A38" s="20" t="s">
        <v>49</v>
      </c>
      <c r="B38" s="20">
        <v>10.0</v>
      </c>
      <c r="C38" s="20">
        <v>10.0</v>
      </c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A39" s="20" t="s">
        <v>50</v>
      </c>
      <c r="B39" s="15">
        <v>10.0</v>
      </c>
      <c r="C39" s="15">
        <v>10.0</v>
      </c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A40" s="20" t="s">
        <v>51</v>
      </c>
      <c r="B40" s="20">
        <v>30.0</v>
      </c>
      <c r="C40" s="20">
        <v>30.0</v>
      </c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A41" s="20" t="s">
        <v>52</v>
      </c>
      <c r="B41" s="20">
        <v>15.0</v>
      </c>
      <c r="C41" s="20">
        <v>15.0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A42" s="20" t="s">
        <v>53</v>
      </c>
      <c r="B42" s="20">
        <v>15.0</v>
      </c>
      <c r="C42" s="20">
        <v>15.0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A43" s="20" t="s">
        <v>54</v>
      </c>
      <c r="B43" s="20">
        <v>60.0</v>
      </c>
      <c r="C43" s="20">
        <v>60.0</v>
      </c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A44" s="20" t="s">
        <v>55</v>
      </c>
      <c r="B44" s="20">
        <v>10.0</v>
      </c>
      <c r="C44" s="20">
        <v>15.0</v>
      </c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A45" s="15" t="s">
        <v>56</v>
      </c>
      <c r="B45" s="15">
        <v>30.0</v>
      </c>
      <c r="C45" s="15">
        <v>30.0</v>
      </c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A46" s="20" t="s">
        <v>57</v>
      </c>
      <c r="B46" s="20">
        <v>30.0</v>
      </c>
      <c r="C46" s="20">
        <v>30.0</v>
      </c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 ht="15.75" customHeight="1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 ht="15.75" customHeight="1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 ht="15.75" customHeight="1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 ht="15.75" customHeight="1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 ht="15.75" customHeight="1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 ht="15.75" customHeight="1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 ht="15.75" customHeight="1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 ht="15.75" customHeight="1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 ht="15.75" customHeight="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 ht="15.75" customHeight="1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 ht="15.75" customHeight="1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 ht="15.75" customHeight="1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 ht="15.75" customHeight="1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 ht="15.75" customHeight="1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 ht="15.75" customHeight="1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 ht="15.75" customHeight="1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 ht="15.75" customHeight="1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 ht="15.75" customHeight="1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 ht="15.75" customHeight="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 ht="15.75" customHeight="1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 ht="15.75" customHeight="1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ht="15.75" customHeight="1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 ht="15.75" customHeight="1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 ht="15.75" customHeight="1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14.43"/>
    <col customWidth="1" min="3" max="3" width="21.71"/>
    <col customWidth="1" min="4" max="4" width="12.0"/>
    <col customWidth="1" min="5" max="5" width="6.29"/>
    <col customWidth="1" min="6" max="6" width="16.29"/>
    <col customWidth="1" min="7" max="7" width="14.57"/>
    <col customWidth="1" min="8" max="8" width="15.71"/>
    <col customWidth="1" min="9" max="9" width="18.43"/>
    <col customWidth="1" min="10" max="10" width="14.86"/>
    <col customWidth="1" min="11" max="11" width="11.71"/>
    <col customWidth="1" min="12" max="12" width="75.29"/>
    <col customWidth="1" min="13" max="13" width="82.71"/>
    <col customWidth="1" min="14" max="26" width="17.29"/>
  </cols>
  <sheetData>
    <row r="1" ht="14.25" customHeight="1">
      <c r="A1" s="21" t="s">
        <v>58</v>
      </c>
      <c r="B1" s="21" t="s">
        <v>59</v>
      </c>
      <c r="C1" s="21" t="s">
        <v>60</v>
      </c>
      <c r="D1" s="21" t="s">
        <v>61</v>
      </c>
      <c r="E1" s="21" t="s">
        <v>62</v>
      </c>
      <c r="F1" s="22" t="s">
        <v>63</v>
      </c>
      <c r="G1" s="22" t="s">
        <v>64</v>
      </c>
      <c r="H1" s="22" t="s">
        <v>65</v>
      </c>
      <c r="I1" s="23" t="s">
        <v>66</v>
      </c>
      <c r="J1" s="24" t="s">
        <v>67</v>
      </c>
      <c r="K1" s="24" t="s">
        <v>68</v>
      </c>
      <c r="L1" s="24" t="s">
        <v>69</v>
      </c>
    </row>
    <row r="2" ht="14.25" customHeight="1">
      <c r="A2" s="25">
        <v>4.0</v>
      </c>
      <c r="B2" s="26" t="s">
        <v>70</v>
      </c>
      <c r="C2" s="26" t="s">
        <v>71</v>
      </c>
      <c r="D2" s="3">
        <v>41974.0</v>
      </c>
      <c r="E2" s="25" t="s">
        <v>8</v>
      </c>
      <c r="F2" s="27"/>
      <c r="G2" s="27"/>
      <c r="H2" s="27"/>
      <c r="I2" s="28" t="s">
        <v>72</v>
      </c>
      <c r="J2" s="29"/>
      <c r="K2" s="29"/>
      <c r="L2" s="29"/>
      <c r="M2" s="30"/>
    </row>
    <row r="3" ht="14.25" customHeight="1">
      <c r="A3" s="1">
        <v>6.0</v>
      </c>
      <c r="B3" s="2" t="s">
        <v>70</v>
      </c>
      <c r="C3" s="2" t="s">
        <v>73</v>
      </c>
      <c r="D3" s="3">
        <v>42005.0</v>
      </c>
      <c r="E3" s="1" t="s">
        <v>8</v>
      </c>
      <c r="F3" s="31">
        <v>-243829.76</v>
      </c>
      <c r="G3" s="31">
        <v>-39012.76</v>
      </c>
      <c r="H3" s="31">
        <f t="shared" ref="H3:H4" si="1">F3+G3</f>
        <v>-282842.52</v>
      </c>
      <c r="I3" s="32" t="s">
        <v>72</v>
      </c>
      <c r="J3" s="33">
        <v>42066.0</v>
      </c>
      <c r="K3" s="33"/>
      <c r="L3" s="34"/>
    </row>
    <row r="4" ht="14.25" customHeight="1">
      <c r="A4" s="1">
        <v>8.0</v>
      </c>
      <c r="B4" s="2" t="s">
        <v>70</v>
      </c>
      <c r="C4" s="2" t="s">
        <v>74</v>
      </c>
      <c r="D4" s="3">
        <v>42036.0</v>
      </c>
      <c r="E4" s="1" t="s">
        <v>8</v>
      </c>
      <c r="F4" s="31">
        <v>-365989.0</v>
      </c>
      <c r="G4" s="31">
        <v>-58558.24</v>
      </c>
      <c r="H4" s="31">
        <f t="shared" si="1"/>
        <v>-424547.24</v>
      </c>
      <c r="I4" s="32" t="s">
        <v>72</v>
      </c>
      <c r="J4" s="35">
        <v>42811.0</v>
      </c>
      <c r="K4" s="35"/>
      <c r="L4" s="34"/>
    </row>
    <row r="5" ht="14.25" customHeight="1">
      <c r="A5" s="25">
        <v>10.0</v>
      </c>
      <c r="B5" s="26" t="s">
        <v>70</v>
      </c>
      <c r="C5" s="26" t="s">
        <v>75</v>
      </c>
      <c r="D5" s="3">
        <v>42064.0</v>
      </c>
      <c r="E5" s="25" t="s">
        <v>8</v>
      </c>
      <c r="F5" s="27"/>
      <c r="G5" s="27"/>
      <c r="H5" s="27"/>
      <c r="I5" s="28" t="s">
        <v>72</v>
      </c>
      <c r="J5" s="29"/>
      <c r="K5" s="29"/>
      <c r="L5" s="29"/>
      <c r="M5" s="30"/>
    </row>
    <row r="6" ht="14.25" customHeight="1">
      <c r="A6" s="1">
        <v>12.0</v>
      </c>
      <c r="B6" s="2" t="s">
        <v>70</v>
      </c>
      <c r="C6" s="2" t="s">
        <v>76</v>
      </c>
      <c r="D6" s="3">
        <v>42064.0</v>
      </c>
      <c r="E6" s="1" t="s">
        <v>8</v>
      </c>
      <c r="F6" s="31">
        <v>-177834.0</v>
      </c>
      <c r="G6" s="31">
        <v>-28453.54</v>
      </c>
      <c r="H6" s="31">
        <f t="shared" ref="H6:H45" si="2">F6+G6</f>
        <v>-206287.54</v>
      </c>
      <c r="I6" s="32" t="s">
        <v>72</v>
      </c>
      <c r="J6" s="36">
        <v>42840.0</v>
      </c>
      <c r="K6" s="36"/>
      <c r="L6" s="34"/>
    </row>
    <row r="7" ht="14.25" customHeight="1">
      <c r="A7" s="1">
        <v>13.0</v>
      </c>
      <c r="B7" s="2" t="s">
        <v>70</v>
      </c>
      <c r="C7" s="2" t="s">
        <v>77</v>
      </c>
      <c r="D7" s="3">
        <v>42095.0</v>
      </c>
      <c r="E7" s="1" t="s">
        <v>8</v>
      </c>
      <c r="F7" s="31">
        <v>-3384.19</v>
      </c>
      <c r="G7" s="31">
        <v>-541.47</v>
      </c>
      <c r="H7" s="31">
        <f t="shared" si="2"/>
        <v>-3925.66</v>
      </c>
      <c r="I7" s="32" t="s">
        <v>72</v>
      </c>
      <c r="J7" s="35">
        <v>42874.0</v>
      </c>
      <c r="K7" s="35"/>
      <c r="L7" s="34"/>
    </row>
    <row r="8" ht="14.25" customHeight="1">
      <c r="A8" s="37">
        <v>15.0</v>
      </c>
      <c r="B8" s="38" t="s">
        <v>70</v>
      </c>
      <c r="C8" s="38" t="s">
        <v>78</v>
      </c>
      <c r="D8" s="3">
        <v>42125.0</v>
      </c>
      <c r="E8" s="39" t="s">
        <v>8</v>
      </c>
      <c r="F8" s="40">
        <v>-18418.88</v>
      </c>
      <c r="G8" s="40">
        <v>-297.02</v>
      </c>
      <c r="H8" s="40">
        <f t="shared" si="2"/>
        <v>-18715.9</v>
      </c>
      <c r="I8" s="41" t="s">
        <v>72</v>
      </c>
      <c r="J8" s="34"/>
      <c r="K8" s="34"/>
      <c r="L8" s="34"/>
    </row>
    <row r="9" ht="14.25" customHeight="1">
      <c r="A9" s="25">
        <v>20.0</v>
      </c>
      <c r="B9" s="26" t="s">
        <v>79</v>
      </c>
      <c r="C9" s="26" t="s">
        <v>80</v>
      </c>
      <c r="D9" s="3"/>
      <c r="E9" s="25" t="s">
        <v>8</v>
      </c>
      <c r="F9" s="27">
        <v>17418.99</v>
      </c>
      <c r="G9" s="27">
        <v>2787.04</v>
      </c>
      <c r="H9" s="40">
        <f t="shared" si="2"/>
        <v>20206.03</v>
      </c>
      <c r="I9" s="28" t="s">
        <v>81</v>
      </c>
      <c r="J9" s="34"/>
      <c r="K9" s="34"/>
      <c r="L9" s="34"/>
    </row>
    <row r="10" ht="14.25" customHeight="1">
      <c r="A10" s="25">
        <v>21.0</v>
      </c>
      <c r="B10" s="26" t="s">
        <v>82</v>
      </c>
      <c r="C10" s="26" t="s">
        <v>80</v>
      </c>
      <c r="D10" s="3"/>
      <c r="E10" s="25" t="s">
        <v>8</v>
      </c>
      <c r="F10" s="27">
        <v>17418.99</v>
      </c>
      <c r="G10" s="27">
        <v>2787.04</v>
      </c>
      <c r="H10" s="40">
        <f t="shared" si="2"/>
        <v>20206.03</v>
      </c>
      <c r="I10" s="28" t="s">
        <v>81</v>
      </c>
      <c r="J10" s="34"/>
      <c r="K10" s="34"/>
      <c r="L10" s="34"/>
    </row>
    <row r="11" ht="14.25" customHeight="1">
      <c r="A11" s="25">
        <v>22.0</v>
      </c>
      <c r="B11" s="26" t="s">
        <v>79</v>
      </c>
      <c r="C11" s="26" t="s">
        <v>80</v>
      </c>
      <c r="D11" s="3"/>
      <c r="E11" s="25" t="s">
        <v>8</v>
      </c>
      <c r="F11" s="27">
        <v>17876.63</v>
      </c>
      <c r="G11" s="27">
        <v>2860.26</v>
      </c>
      <c r="H11" s="40">
        <f t="shared" si="2"/>
        <v>20736.89</v>
      </c>
      <c r="I11" s="28" t="s">
        <v>72</v>
      </c>
      <c r="J11" s="34"/>
      <c r="K11" s="34"/>
      <c r="L11" s="34"/>
    </row>
    <row r="12" ht="14.25" customHeight="1">
      <c r="A12" s="25">
        <v>23.0</v>
      </c>
      <c r="B12" s="26" t="s">
        <v>82</v>
      </c>
      <c r="C12" s="26" t="s">
        <v>80</v>
      </c>
      <c r="D12" s="3"/>
      <c r="E12" s="25" t="s">
        <v>8</v>
      </c>
      <c r="F12" s="27">
        <v>17876.63</v>
      </c>
      <c r="G12" s="27">
        <v>2860.26</v>
      </c>
      <c r="H12" s="40">
        <f t="shared" si="2"/>
        <v>20736.89</v>
      </c>
      <c r="I12" s="28" t="s">
        <v>72</v>
      </c>
      <c r="J12" s="34"/>
      <c r="K12" s="34"/>
      <c r="L12" s="34"/>
    </row>
    <row r="13" ht="14.25" customHeight="1">
      <c r="A13" s="25">
        <v>19.0</v>
      </c>
      <c r="B13" s="26" t="s">
        <v>82</v>
      </c>
      <c r="C13" s="26" t="s">
        <v>83</v>
      </c>
      <c r="D13" s="3">
        <v>43006.0</v>
      </c>
      <c r="E13" s="25" t="s">
        <v>8</v>
      </c>
      <c r="F13" s="27">
        <v>75000.0</v>
      </c>
      <c r="G13" s="27">
        <v>12000.0</v>
      </c>
      <c r="H13" s="40">
        <f t="shared" si="2"/>
        <v>87000</v>
      </c>
      <c r="I13" s="28" t="s">
        <v>72</v>
      </c>
      <c r="J13" s="34"/>
      <c r="K13" s="34"/>
      <c r="L13" s="34"/>
    </row>
    <row r="14" ht="14.25" customHeight="1">
      <c r="A14" s="25">
        <v>28.0</v>
      </c>
      <c r="B14" s="26" t="s">
        <v>84</v>
      </c>
      <c r="C14" s="26" t="s">
        <v>85</v>
      </c>
      <c r="D14" s="3"/>
      <c r="E14" s="25" t="s">
        <v>8</v>
      </c>
      <c r="F14" s="27">
        <v>107234.12</v>
      </c>
      <c r="G14" s="27">
        <v>17158.9</v>
      </c>
      <c r="H14" s="40">
        <f t="shared" si="2"/>
        <v>124393.02</v>
      </c>
      <c r="I14" s="28" t="s">
        <v>72</v>
      </c>
      <c r="J14" s="42" t="s">
        <v>81</v>
      </c>
      <c r="K14" s="42"/>
      <c r="L14" s="34"/>
    </row>
    <row r="15" ht="14.25" customHeight="1">
      <c r="A15" s="25">
        <v>32.0</v>
      </c>
      <c r="B15" s="26" t="s">
        <v>86</v>
      </c>
      <c r="C15" s="26" t="s">
        <v>87</v>
      </c>
      <c r="D15" s="3"/>
      <c r="E15" s="25" t="s">
        <v>8</v>
      </c>
      <c r="F15" s="27">
        <v>23750.0</v>
      </c>
      <c r="G15" s="27">
        <v>3800.0</v>
      </c>
      <c r="H15" s="40">
        <f t="shared" si="2"/>
        <v>27550</v>
      </c>
      <c r="I15" s="28" t="s">
        <v>72</v>
      </c>
      <c r="J15" s="34"/>
      <c r="K15" s="34"/>
      <c r="L15" s="34"/>
    </row>
    <row r="16" ht="14.25" customHeight="1">
      <c r="A16" s="25">
        <v>30.0</v>
      </c>
      <c r="B16" s="26" t="s">
        <v>88</v>
      </c>
      <c r="C16" s="26" t="s">
        <v>85</v>
      </c>
      <c r="D16" s="3"/>
      <c r="E16" s="25" t="s">
        <v>8</v>
      </c>
      <c r="F16" s="27">
        <v>107243.12</v>
      </c>
      <c r="G16" s="27">
        <v>17158.9</v>
      </c>
      <c r="H16" s="40">
        <f t="shared" si="2"/>
        <v>124402.02</v>
      </c>
      <c r="I16" s="28" t="s">
        <v>89</v>
      </c>
      <c r="J16" s="35">
        <v>43238.0</v>
      </c>
      <c r="K16" s="35"/>
      <c r="L16" s="34"/>
    </row>
    <row r="17" ht="14.25" customHeight="1">
      <c r="A17" s="25">
        <v>17.0</v>
      </c>
      <c r="B17" s="26" t="s">
        <v>90</v>
      </c>
      <c r="C17" s="26" t="s">
        <v>87</v>
      </c>
      <c r="D17" s="3"/>
      <c r="E17" s="25" t="s">
        <v>8</v>
      </c>
      <c r="F17" s="27">
        <v>5828.49</v>
      </c>
      <c r="G17" s="27">
        <v>932.56</v>
      </c>
      <c r="H17" s="40">
        <f t="shared" si="2"/>
        <v>6761.05</v>
      </c>
      <c r="I17" s="28" t="s">
        <v>72</v>
      </c>
      <c r="J17" s="34"/>
      <c r="K17" s="34"/>
      <c r="L17" s="34"/>
    </row>
    <row r="18" ht="14.25" customHeight="1">
      <c r="A18" s="25">
        <v>26.0</v>
      </c>
      <c r="B18" s="26" t="s">
        <v>43</v>
      </c>
      <c r="C18" s="26" t="s">
        <v>87</v>
      </c>
      <c r="D18" s="3"/>
      <c r="E18" s="25" t="s">
        <v>8</v>
      </c>
      <c r="F18" s="27">
        <v>14264.72</v>
      </c>
      <c r="G18" s="27">
        <v>2282.36</v>
      </c>
      <c r="H18" s="40">
        <f t="shared" si="2"/>
        <v>16547.08</v>
      </c>
      <c r="I18" s="28" t="s">
        <v>72</v>
      </c>
      <c r="J18" s="34"/>
      <c r="K18" s="34"/>
      <c r="L18" s="34"/>
    </row>
    <row r="19" ht="14.25" customHeight="1">
      <c r="A19" s="25">
        <v>38.0</v>
      </c>
      <c r="B19" s="26" t="s">
        <v>24</v>
      </c>
      <c r="C19" s="26" t="s">
        <v>72</v>
      </c>
      <c r="D19" s="3">
        <v>43296.0</v>
      </c>
      <c r="E19" s="25" t="s">
        <v>8</v>
      </c>
      <c r="F19" s="27">
        <v>14322.82</v>
      </c>
      <c r="G19" s="27">
        <v>2291.65</v>
      </c>
      <c r="H19" s="40">
        <f t="shared" si="2"/>
        <v>16614.47</v>
      </c>
      <c r="I19" s="28" t="s">
        <v>91</v>
      </c>
      <c r="J19" s="25" t="s">
        <v>89</v>
      </c>
      <c r="K19" s="25"/>
      <c r="L19" s="43">
        <v>43434.0</v>
      </c>
    </row>
    <row r="20" ht="14.25" customHeight="1">
      <c r="A20" s="25">
        <v>39.0</v>
      </c>
      <c r="B20" s="26" t="s">
        <v>24</v>
      </c>
      <c r="C20" s="26" t="s">
        <v>72</v>
      </c>
      <c r="D20" s="3">
        <v>43313.0</v>
      </c>
      <c r="E20" s="25" t="s">
        <v>8</v>
      </c>
      <c r="F20" s="27">
        <v>19881.95</v>
      </c>
      <c r="G20" s="27">
        <v>3181.11</v>
      </c>
      <c r="H20" s="40">
        <f t="shared" si="2"/>
        <v>23063.06</v>
      </c>
      <c r="I20" s="28" t="s">
        <v>91</v>
      </c>
      <c r="J20" s="25" t="s">
        <v>89</v>
      </c>
      <c r="K20" s="25"/>
      <c r="L20" s="43">
        <v>43434.0</v>
      </c>
    </row>
    <row r="21" ht="14.25" customHeight="1">
      <c r="A21" s="25">
        <v>40.0</v>
      </c>
      <c r="B21" s="26" t="s">
        <v>24</v>
      </c>
      <c r="C21" s="26" t="s">
        <v>72</v>
      </c>
      <c r="D21" s="3">
        <v>43361.0</v>
      </c>
      <c r="E21" s="25" t="s">
        <v>8</v>
      </c>
      <c r="F21" s="27">
        <v>8000.0</v>
      </c>
      <c r="G21" s="27">
        <v>1280.0</v>
      </c>
      <c r="H21" s="40">
        <f t="shared" si="2"/>
        <v>9280</v>
      </c>
      <c r="I21" s="28" t="s">
        <v>91</v>
      </c>
      <c r="J21" s="25" t="s">
        <v>89</v>
      </c>
      <c r="K21" s="25"/>
      <c r="L21" s="43">
        <v>43434.0</v>
      </c>
    </row>
    <row r="22" ht="14.25" customHeight="1">
      <c r="A22" s="25">
        <v>41.0</v>
      </c>
      <c r="B22" s="26" t="s">
        <v>43</v>
      </c>
      <c r="C22" s="26" t="s">
        <v>87</v>
      </c>
      <c r="D22" s="3">
        <v>43410.0</v>
      </c>
      <c r="E22" s="25" t="s">
        <v>8</v>
      </c>
      <c r="F22" s="27">
        <v>16220.62</v>
      </c>
      <c r="G22" s="27">
        <v>2595.3</v>
      </c>
      <c r="H22" s="40">
        <f t="shared" si="2"/>
        <v>18815.92</v>
      </c>
      <c r="I22" s="28" t="s">
        <v>81</v>
      </c>
      <c r="J22" s="42" t="s">
        <v>92</v>
      </c>
      <c r="K22" s="42"/>
      <c r="L22" s="35">
        <v>43496.0</v>
      </c>
    </row>
    <row r="23" ht="14.25" customHeight="1">
      <c r="A23" s="25">
        <v>42.0</v>
      </c>
      <c r="B23" s="26" t="s">
        <v>93</v>
      </c>
      <c r="C23" s="26" t="s">
        <v>87</v>
      </c>
      <c r="D23" s="3">
        <v>43410.0</v>
      </c>
      <c r="E23" s="25" t="s">
        <v>8</v>
      </c>
      <c r="F23" s="27">
        <v>204275.84</v>
      </c>
      <c r="G23" s="27">
        <v>32684.13</v>
      </c>
      <c r="H23" s="40">
        <f t="shared" si="2"/>
        <v>236959.97</v>
      </c>
      <c r="I23" s="28" t="s">
        <v>81</v>
      </c>
      <c r="J23" s="34"/>
      <c r="K23" s="34"/>
      <c r="L23" s="34"/>
    </row>
    <row r="24" ht="14.25" customHeight="1">
      <c r="A24" s="25">
        <v>43.0</v>
      </c>
      <c r="B24" s="26" t="s">
        <v>29</v>
      </c>
      <c r="C24" s="26" t="s">
        <v>87</v>
      </c>
      <c r="D24" s="3">
        <v>43410.0</v>
      </c>
      <c r="E24" s="25" t="s">
        <v>8</v>
      </c>
      <c r="F24" s="27">
        <v>22512.79</v>
      </c>
      <c r="G24" s="27">
        <v>3602.05</v>
      </c>
      <c r="H24" s="40">
        <f t="shared" si="2"/>
        <v>26114.84</v>
      </c>
      <c r="I24" s="28" t="s">
        <v>81</v>
      </c>
      <c r="J24" s="34"/>
      <c r="K24" s="34"/>
      <c r="L24" s="34"/>
    </row>
    <row r="25" ht="14.25" customHeight="1">
      <c r="A25" s="25">
        <v>44.0</v>
      </c>
      <c r="B25" s="26" t="s">
        <v>93</v>
      </c>
      <c r="C25" s="26" t="s">
        <v>87</v>
      </c>
      <c r="D25" s="3">
        <v>43420.0</v>
      </c>
      <c r="E25" s="25" t="s">
        <v>8</v>
      </c>
      <c r="F25" s="27">
        <v>180011.9</v>
      </c>
      <c r="G25" s="27">
        <v>28801.9</v>
      </c>
      <c r="H25" s="40">
        <f t="shared" si="2"/>
        <v>208813.8</v>
      </c>
      <c r="I25" s="28" t="s">
        <v>93</v>
      </c>
      <c r="J25" s="34"/>
      <c r="K25" s="34"/>
      <c r="L25" s="34"/>
    </row>
    <row r="26" ht="14.25" customHeight="1">
      <c r="A26" s="25">
        <v>47.0</v>
      </c>
      <c r="B26" s="26" t="s">
        <v>94</v>
      </c>
      <c r="C26" s="26" t="s">
        <v>95</v>
      </c>
      <c r="D26" s="3">
        <v>43430.0</v>
      </c>
      <c r="E26" s="25" t="s">
        <v>8</v>
      </c>
      <c r="F26" s="27">
        <v>49032.48</v>
      </c>
      <c r="G26" s="27">
        <v>7845.2</v>
      </c>
      <c r="H26" s="40">
        <f t="shared" si="2"/>
        <v>56877.68</v>
      </c>
      <c r="I26" s="28" t="s">
        <v>96</v>
      </c>
      <c r="J26" s="42" t="s">
        <v>89</v>
      </c>
      <c r="K26" s="42"/>
      <c r="L26" s="35">
        <v>43438.0</v>
      </c>
    </row>
    <row r="27" ht="14.25" customHeight="1">
      <c r="A27" s="25">
        <v>48.0</v>
      </c>
      <c r="B27" s="26" t="s">
        <v>24</v>
      </c>
      <c r="C27" s="26" t="s">
        <v>72</v>
      </c>
      <c r="D27" s="3">
        <v>43433.0</v>
      </c>
      <c r="E27" s="25" t="s">
        <v>8</v>
      </c>
      <c r="F27" s="27">
        <v>5966.62</v>
      </c>
      <c r="G27" s="27">
        <v>954.66</v>
      </c>
      <c r="H27" s="40">
        <f t="shared" si="2"/>
        <v>6921.28</v>
      </c>
      <c r="I27" s="28" t="s">
        <v>91</v>
      </c>
      <c r="J27" s="34"/>
      <c r="K27" s="34"/>
      <c r="L27" s="34"/>
    </row>
    <row r="28" ht="14.25" customHeight="1">
      <c r="A28" s="25">
        <v>49.0</v>
      </c>
      <c r="B28" s="26" t="s">
        <v>94</v>
      </c>
      <c r="C28" s="26" t="s">
        <v>97</v>
      </c>
      <c r="D28" s="3">
        <v>43434.0</v>
      </c>
      <c r="E28" s="25" t="s">
        <v>8</v>
      </c>
      <c r="F28" s="27">
        <v>323478.03</v>
      </c>
      <c r="G28" s="27">
        <v>51756.48</v>
      </c>
      <c r="H28" s="40">
        <f t="shared" si="2"/>
        <v>375234.51</v>
      </c>
      <c r="I28" s="28" t="s">
        <v>96</v>
      </c>
      <c r="J28" s="42" t="s">
        <v>89</v>
      </c>
      <c r="K28" s="42"/>
      <c r="L28" s="34"/>
    </row>
    <row r="29" ht="14.25" customHeight="1">
      <c r="A29" s="25">
        <v>50.0</v>
      </c>
      <c r="B29" s="26" t="s">
        <v>94</v>
      </c>
      <c r="C29" s="26" t="s">
        <v>98</v>
      </c>
      <c r="D29" s="3">
        <v>43434.0</v>
      </c>
      <c r="E29" s="25" t="s">
        <v>8</v>
      </c>
      <c r="F29" s="27">
        <v>13712.76</v>
      </c>
      <c r="G29" s="27">
        <v>2194.04</v>
      </c>
      <c r="H29" s="40">
        <f t="shared" si="2"/>
        <v>15906.8</v>
      </c>
      <c r="I29" s="28" t="s">
        <v>96</v>
      </c>
      <c r="J29" s="42" t="s">
        <v>89</v>
      </c>
      <c r="K29" s="42"/>
      <c r="L29" s="34"/>
    </row>
    <row r="30" ht="14.25" customHeight="1">
      <c r="A30" s="25">
        <v>51.0</v>
      </c>
      <c r="B30" s="26" t="s">
        <v>94</v>
      </c>
      <c r="C30" s="26" t="s">
        <v>99</v>
      </c>
      <c r="D30" s="3">
        <v>43438.0</v>
      </c>
      <c r="E30" s="25" t="s">
        <v>8</v>
      </c>
      <c r="F30" s="27">
        <v>169150.14</v>
      </c>
      <c r="G30" s="27">
        <v>27064.02</v>
      </c>
      <c r="H30" s="40">
        <f t="shared" si="2"/>
        <v>196214.16</v>
      </c>
      <c r="I30" s="28" t="s">
        <v>96</v>
      </c>
      <c r="J30" s="42" t="s">
        <v>89</v>
      </c>
      <c r="K30" s="42"/>
      <c r="L30" s="34"/>
    </row>
    <row r="31" ht="14.25" customHeight="1">
      <c r="A31" s="25">
        <v>52.0</v>
      </c>
      <c r="B31" s="26" t="s">
        <v>94</v>
      </c>
      <c r="C31" s="26" t="s">
        <v>100</v>
      </c>
      <c r="D31" s="3">
        <v>43438.0</v>
      </c>
      <c r="E31" s="25" t="s">
        <v>8</v>
      </c>
      <c r="F31" s="27">
        <v>58548.48</v>
      </c>
      <c r="G31" s="27">
        <v>9367.76</v>
      </c>
      <c r="H31" s="40">
        <f t="shared" si="2"/>
        <v>67916.24</v>
      </c>
      <c r="I31" s="28" t="s">
        <v>96</v>
      </c>
      <c r="J31" s="42" t="s">
        <v>89</v>
      </c>
      <c r="K31" s="42"/>
      <c r="L31" s="34"/>
    </row>
    <row r="32" ht="14.25" customHeight="1">
      <c r="A32" s="25">
        <v>53.0</v>
      </c>
      <c r="B32" s="26" t="s">
        <v>101</v>
      </c>
      <c r="C32" s="26" t="s">
        <v>102</v>
      </c>
      <c r="D32" s="3">
        <v>43473.0</v>
      </c>
      <c r="E32" s="25" t="s">
        <v>8</v>
      </c>
      <c r="F32" s="27">
        <v>217.38</v>
      </c>
      <c r="G32" s="27">
        <v>34.78</v>
      </c>
      <c r="H32" s="40">
        <f t="shared" si="2"/>
        <v>252.16</v>
      </c>
      <c r="I32" s="28" t="s">
        <v>101</v>
      </c>
      <c r="J32" s="42"/>
      <c r="K32" s="42"/>
      <c r="L32" s="44"/>
    </row>
    <row r="33" ht="14.25" customHeight="1">
      <c r="A33" s="25">
        <v>55.0</v>
      </c>
      <c r="B33" s="26" t="s">
        <v>43</v>
      </c>
      <c r="C33" s="26" t="s">
        <v>87</v>
      </c>
      <c r="D33" s="3">
        <v>43486.0</v>
      </c>
      <c r="E33" s="25" t="s">
        <v>8</v>
      </c>
      <c r="F33" s="27">
        <v>52664.15</v>
      </c>
      <c r="G33" s="27">
        <v>8426.26</v>
      </c>
      <c r="H33" s="40">
        <f t="shared" si="2"/>
        <v>61090.41</v>
      </c>
      <c r="I33" s="28" t="s">
        <v>103</v>
      </c>
      <c r="J33" s="42" t="s">
        <v>104</v>
      </c>
      <c r="K33" s="42"/>
      <c r="L33" s="44">
        <v>43524.0</v>
      </c>
    </row>
    <row r="34" ht="14.25" customHeight="1">
      <c r="A34" s="25">
        <v>63.0</v>
      </c>
      <c r="B34" s="26" t="s">
        <v>105</v>
      </c>
      <c r="C34" s="26" t="s">
        <v>106</v>
      </c>
      <c r="D34" s="3">
        <v>43803.0</v>
      </c>
      <c r="E34" s="25" t="s">
        <v>8</v>
      </c>
      <c r="F34" s="27">
        <v>267191.82</v>
      </c>
      <c r="G34" s="27">
        <v>42750.69</v>
      </c>
      <c r="H34" s="40">
        <f t="shared" si="2"/>
        <v>309942.51</v>
      </c>
      <c r="I34" s="28" t="s">
        <v>107</v>
      </c>
      <c r="J34" s="34"/>
      <c r="K34" s="34"/>
      <c r="L34" s="34"/>
    </row>
    <row r="35" ht="14.25" customHeight="1">
      <c r="A35" s="25">
        <v>64.0</v>
      </c>
      <c r="B35" s="26" t="s">
        <v>43</v>
      </c>
      <c r="C35" s="26" t="s">
        <v>108</v>
      </c>
      <c r="D35" s="3">
        <v>43826.0</v>
      </c>
      <c r="E35" s="25" t="s">
        <v>8</v>
      </c>
      <c r="F35" s="27">
        <v>16386.04</v>
      </c>
      <c r="G35" s="27">
        <v>2621.77</v>
      </c>
      <c r="H35" s="40">
        <f t="shared" si="2"/>
        <v>19007.81</v>
      </c>
      <c r="I35" s="28" t="s">
        <v>43</v>
      </c>
      <c r="J35" s="34"/>
      <c r="K35" s="34"/>
      <c r="L35" s="34"/>
    </row>
    <row r="36" ht="14.25" customHeight="1">
      <c r="A36" s="25">
        <v>68.0</v>
      </c>
      <c r="B36" s="26" t="s">
        <v>27</v>
      </c>
      <c r="C36" s="26" t="s">
        <v>109</v>
      </c>
      <c r="D36" s="3">
        <v>43830.0</v>
      </c>
      <c r="E36" s="25" t="s">
        <v>8</v>
      </c>
      <c r="F36" s="27">
        <v>47459.49</v>
      </c>
      <c r="G36" s="27">
        <v>7593.52</v>
      </c>
      <c r="H36" s="40">
        <f t="shared" si="2"/>
        <v>55053.01</v>
      </c>
      <c r="I36" s="28" t="s">
        <v>110</v>
      </c>
      <c r="J36" s="34"/>
      <c r="K36" s="34"/>
      <c r="L36" s="34"/>
    </row>
    <row r="37" ht="14.25" customHeight="1">
      <c r="A37" s="25">
        <v>69.0</v>
      </c>
      <c r="B37" s="26" t="s">
        <v>27</v>
      </c>
      <c r="C37" s="26" t="s">
        <v>111</v>
      </c>
      <c r="D37" s="3">
        <v>43830.0</v>
      </c>
      <c r="E37" s="25" t="s">
        <v>8</v>
      </c>
      <c r="F37" s="27">
        <v>32894.33</v>
      </c>
      <c r="G37" s="27">
        <v>5263.09</v>
      </c>
      <c r="H37" s="40">
        <f t="shared" si="2"/>
        <v>38157.42</v>
      </c>
      <c r="I37" s="28" t="s">
        <v>110</v>
      </c>
      <c r="J37" s="34"/>
      <c r="K37" s="34"/>
      <c r="L37" s="34"/>
    </row>
    <row r="38" ht="14.25" customHeight="1">
      <c r="A38" s="25">
        <v>71.0</v>
      </c>
      <c r="B38" s="26" t="s">
        <v>27</v>
      </c>
      <c r="C38" s="26" t="s">
        <v>112</v>
      </c>
      <c r="D38" s="3">
        <v>43871.0</v>
      </c>
      <c r="E38" s="25" t="s">
        <v>8</v>
      </c>
      <c r="F38" s="27">
        <v>17449.36</v>
      </c>
      <c r="G38" s="27">
        <v>2791.9</v>
      </c>
      <c r="H38" s="27">
        <f t="shared" si="2"/>
        <v>20241.26</v>
      </c>
      <c r="I38" s="28" t="s">
        <v>110</v>
      </c>
      <c r="J38" s="34"/>
      <c r="K38" s="34"/>
      <c r="L38" s="34"/>
    </row>
    <row r="39" ht="14.25" customHeight="1">
      <c r="A39" s="25">
        <v>72.0</v>
      </c>
      <c r="B39" s="26" t="s">
        <v>27</v>
      </c>
      <c r="C39" s="26" t="s">
        <v>113</v>
      </c>
      <c r="D39" s="3">
        <v>43871.0</v>
      </c>
      <c r="E39" s="25" t="s">
        <v>8</v>
      </c>
      <c r="F39" s="27">
        <v>12146.72</v>
      </c>
      <c r="G39" s="27">
        <v>1943.48</v>
      </c>
      <c r="H39" s="27">
        <f t="shared" si="2"/>
        <v>14090.2</v>
      </c>
      <c r="I39" s="28" t="s">
        <v>110</v>
      </c>
      <c r="J39" s="34"/>
      <c r="K39" s="34"/>
      <c r="L39" s="34"/>
    </row>
    <row r="40" ht="14.25" customHeight="1">
      <c r="A40" s="25">
        <v>73.0</v>
      </c>
      <c r="B40" s="26" t="s">
        <v>114</v>
      </c>
      <c r="C40" s="26" t="s">
        <v>115</v>
      </c>
      <c r="D40" s="3">
        <v>43888.0</v>
      </c>
      <c r="E40" s="25" t="s">
        <v>8</v>
      </c>
      <c r="F40" s="27">
        <v>2358850.56</v>
      </c>
      <c r="G40" s="27">
        <v>377416.09</v>
      </c>
      <c r="H40" s="27">
        <f t="shared" si="2"/>
        <v>2736266.65</v>
      </c>
      <c r="I40" s="28" t="s">
        <v>116</v>
      </c>
      <c r="J40" s="34" t="s">
        <v>117</v>
      </c>
      <c r="K40" s="34"/>
      <c r="L40" s="34"/>
    </row>
    <row r="41" ht="14.25" customHeight="1">
      <c r="A41" s="25">
        <v>74.0</v>
      </c>
      <c r="B41" s="26" t="s">
        <v>114</v>
      </c>
      <c r="C41" s="26" t="s">
        <v>115</v>
      </c>
      <c r="D41" s="3">
        <v>43900.0</v>
      </c>
      <c r="E41" s="25" t="s">
        <v>8</v>
      </c>
      <c r="F41" s="27">
        <v>4577848.32</v>
      </c>
      <c r="G41" s="27">
        <v>732455.73</v>
      </c>
      <c r="H41" s="27">
        <f t="shared" si="2"/>
        <v>5310304.05</v>
      </c>
      <c r="I41" s="28" t="s">
        <v>116</v>
      </c>
      <c r="J41" s="34" t="s">
        <v>118</v>
      </c>
      <c r="K41" s="34"/>
      <c r="L41" s="34"/>
    </row>
    <row r="42" ht="14.25" customHeight="1">
      <c r="A42" s="25">
        <v>75.0</v>
      </c>
      <c r="B42" s="26" t="s">
        <v>119</v>
      </c>
      <c r="C42" s="26" t="s">
        <v>120</v>
      </c>
      <c r="D42" s="3">
        <v>43903.0</v>
      </c>
      <c r="E42" s="25" t="s">
        <v>8</v>
      </c>
      <c r="F42" s="27">
        <v>429622.08</v>
      </c>
      <c r="G42" s="27">
        <v>68739.53</v>
      </c>
      <c r="H42" s="27">
        <f t="shared" si="2"/>
        <v>498361.61</v>
      </c>
      <c r="I42" s="28" t="s">
        <v>121</v>
      </c>
      <c r="J42" s="34" t="s">
        <v>122</v>
      </c>
      <c r="K42" s="34"/>
      <c r="L42" s="34"/>
    </row>
    <row r="43" ht="14.25" customHeight="1">
      <c r="A43" s="25">
        <v>77.0</v>
      </c>
      <c r="B43" s="26" t="s">
        <v>27</v>
      </c>
      <c r="C43" s="26" t="s">
        <v>123</v>
      </c>
      <c r="D43" s="3">
        <v>43917.0</v>
      </c>
      <c r="E43" s="25" t="s">
        <v>8</v>
      </c>
      <c r="F43" s="27">
        <v>28924.98</v>
      </c>
      <c r="G43" s="27">
        <v>4628.0</v>
      </c>
      <c r="H43" s="27">
        <f t="shared" si="2"/>
        <v>33552.98</v>
      </c>
      <c r="I43" s="28" t="s">
        <v>110</v>
      </c>
      <c r="J43" s="34" t="s">
        <v>124</v>
      </c>
      <c r="K43" s="34"/>
      <c r="L43" s="34"/>
    </row>
    <row r="44" ht="14.25" customHeight="1">
      <c r="A44" s="25">
        <v>77.0</v>
      </c>
      <c r="B44" s="26" t="s">
        <v>27</v>
      </c>
      <c r="C44" s="26" t="s">
        <v>125</v>
      </c>
      <c r="D44" s="3">
        <v>43917.0</v>
      </c>
      <c r="E44" s="25" t="s">
        <v>8</v>
      </c>
      <c r="F44" s="27">
        <v>21638.54</v>
      </c>
      <c r="G44" s="27">
        <v>3462.17</v>
      </c>
      <c r="H44" s="27">
        <f t="shared" si="2"/>
        <v>25100.71</v>
      </c>
      <c r="I44" s="28" t="s">
        <v>110</v>
      </c>
      <c r="J44" s="34" t="s">
        <v>124</v>
      </c>
      <c r="K44" s="34"/>
      <c r="L44" s="34"/>
    </row>
    <row r="45" ht="14.25" customHeight="1">
      <c r="A45" s="25">
        <v>78.0</v>
      </c>
      <c r="B45" s="26" t="s">
        <v>27</v>
      </c>
      <c r="C45" s="26" t="s">
        <v>126</v>
      </c>
      <c r="D45" s="3">
        <v>43917.0</v>
      </c>
      <c r="E45" s="25" t="s">
        <v>8</v>
      </c>
      <c r="F45" s="27">
        <v>21638.54</v>
      </c>
      <c r="G45" s="27">
        <v>3462.17</v>
      </c>
      <c r="H45" s="27">
        <f t="shared" si="2"/>
        <v>25100.71</v>
      </c>
      <c r="I45" s="28" t="s">
        <v>110</v>
      </c>
      <c r="J45" s="34"/>
      <c r="K45" s="34"/>
      <c r="L45" s="34"/>
    </row>
    <row r="46" ht="14.25" customHeight="1">
      <c r="A46" s="28">
        <v>80.0</v>
      </c>
      <c r="B46" s="45" t="s">
        <v>105</v>
      </c>
      <c r="C46" s="46"/>
      <c r="D46" s="3"/>
      <c r="E46" s="25"/>
      <c r="F46" s="27"/>
      <c r="G46" s="27"/>
      <c r="H46" s="27"/>
      <c r="I46" s="28"/>
      <c r="J46" s="34" t="s">
        <v>127</v>
      </c>
      <c r="K46" s="34"/>
      <c r="L46" s="44"/>
    </row>
    <row r="47" ht="14.25" customHeight="1">
      <c r="A47" s="28">
        <v>82.0</v>
      </c>
      <c r="B47" s="45" t="s">
        <v>128</v>
      </c>
      <c r="C47" s="46" t="s">
        <v>129</v>
      </c>
      <c r="D47" s="3">
        <v>44043.0</v>
      </c>
      <c r="E47" s="25" t="s">
        <v>8</v>
      </c>
      <c r="F47" s="27">
        <v>17616.42</v>
      </c>
      <c r="G47" s="27">
        <v>2818.63</v>
      </c>
      <c r="H47" s="27">
        <f t="shared" ref="H47:H60" si="3">F47+G47</f>
        <v>20435.05</v>
      </c>
      <c r="I47" s="28" t="s">
        <v>130</v>
      </c>
      <c r="J47" s="34" t="s">
        <v>131</v>
      </c>
      <c r="K47" s="34"/>
      <c r="L47" s="44"/>
    </row>
    <row r="48" ht="14.25" customHeight="1">
      <c r="A48" s="28">
        <v>83.0</v>
      </c>
      <c r="B48" s="45" t="s">
        <v>105</v>
      </c>
      <c r="C48" s="46" t="s">
        <v>132</v>
      </c>
      <c r="D48" s="3">
        <v>44048.0</v>
      </c>
      <c r="E48" s="25" t="s">
        <v>8</v>
      </c>
      <c r="F48" s="27">
        <v>270126.41</v>
      </c>
      <c r="G48" s="27">
        <v>43220.22</v>
      </c>
      <c r="H48" s="27">
        <f t="shared" si="3"/>
        <v>313346.63</v>
      </c>
      <c r="I48" s="28" t="s">
        <v>107</v>
      </c>
      <c r="J48" s="34" t="s">
        <v>127</v>
      </c>
      <c r="K48" s="34"/>
      <c r="L48" s="44"/>
    </row>
    <row r="49" ht="14.25" customHeight="1">
      <c r="A49" s="28">
        <v>84.0</v>
      </c>
      <c r="B49" s="45" t="s">
        <v>105</v>
      </c>
      <c r="C49" s="46" t="s">
        <v>133</v>
      </c>
      <c r="D49" s="3">
        <v>44049.0</v>
      </c>
      <c r="E49" s="25" t="s">
        <v>8</v>
      </c>
      <c r="F49" s="27">
        <v>270126.41</v>
      </c>
      <c r="G49" s="27">
        <v>43220.22</v>
      </c>
      <c r="H49" s="27">
        <f t="shared" si="3"/>
        <v>313346.63</v>
      </c>
      <c r="I49" s="28" t="s">
        <v>107</v>
      </c>
      <c r="J49" s="34" t="s">
        <v>127</v>
      </c>
      <c r="K49" s="34"/>
      <c r="L49" s="44"/>
    </row>
    <row r="50" ht="14.25" customHeight="1">
      <c r="A50" s="28">
        <v>85.0</v>
      </c>
      <c r="B50" s="45" t="s">
        <v>105</v>
      </c>
      <c r="C50" s="46" t="s">
        <v>134</v>
      </c>
      <c r="D50" s="3">
        <v>44053.0</v>
      </c>
      <c r="E50" s="25" t="s">
        <v>8</v>
      </c>
      <c r="F50" s="27">
        <v>259178.41</v>
      </c>
      <c r="G50" s="27">
        <v>41468.54</v>
      </c>
      <c r="H50" s="27">
        <f t="shared" si="3"/>
        <v>300646.95</v>
      </c>
      <c r="I50" s="28" t="s">
        <v>107</v>
      </c>
      <c r="J50" s="34" t="s">
        <v>135</v>
      </c>
      <c r="K50" s="34"/>
      <c r="L50" s="44">
        <v>44069.0</v>
      </c>
    </row>
    <row r="51" ht="14.25" customHeight="1">
      <c r="A51" s="28">
        <v>86.0</v>
      </c>
      <c r="B51" s="45" t="s">
        <v>114</v>
      </c>
      <c r="C51" s="26" t="s">
        <v>136</v>
      </c>
      <c r="D51" s="47">
        <v>44055.0</v>
      </c>
      <c r="E51" s="48" t="s">
        <v>8</v>
      </c>
      <c r="F51" s="49">
        <v>580869.47</v>
      </c>
      <c r="G51" s="49">
        <v>92939.12</v>
      </c>
      <c r="H51" s="27">
        <f t="shared" si="3"/>
        <v>673808.59</v>
      </c>
      <c r="I51" s="28" t="s">
        <v>116</v>
      </c>
      <c r="J51" s="50" t="s">
        <v>137</v>
      </c>
      <c r="K51" s="50"/>
      <c r="L51" s="51">
        <v>44102.0</v>
      </c>
    </row>
    <row r="52" ht="14.25" customHeight="1">
      <c r="A52" s="28">
        <v>87.0</v>
      </c>
      <c r="B52" s="45" t="s">
        <v>114</v>
      </c>
      <c r="C52" s="34" t="s">
        <v>134</v>
      </c>
      <c r="D52" s="47">
        <v>44060.0</v>
      </c>
      <c r="E52" s="48" t="s">
        <v>8</v>
      </c>
      <c r="F52" s="49">
        <v>1751811.31</v>
      </c>
      <c r="G52" s="49">
        <v>280289.81</v>
      </c>
      <c r="H52" s="27">
        <f t="shared" si="3"/>
        <v>2032101.12</v>
      </c>
      <c r="I52" s="28" t="s">
        <v>116</v>
      </c>
      <c r="J52" s="50" t="s">
        <v>138</v>
      </c>
      <c r="K52" s="50"/>
      <c r="L52" s="51">
        <v>44102.0</v>
      </c>
    </row>
    <row r="53" ht="14.25" customHeight="1">
      <c r="A53" s="28">
        <v>88.0</v>
      </c>
      <c r="B53" s="52" t="s">
        <v>105</v>
      </c>
      <c r="C53" s="34" t="s">
        <v>134</v>
      </c>
      <c r="D53" s="53">
        <v>44061.0</v>
      </c>
      <c r="E53" s="48" t="s">
        <v>8</v>
      </c>
      <c r="F53" s="49">
        <v>227913.09</v>
      </c>
      <c r="G53" s="49">
        <v>36466.09</v>
      </c>
      <c r="H53" s="27">
        <f t="shared" si="3"/>
        <v>264379.18</v>
      </c>
      <c r="I53" s="28" t="s">
        <v>107</v>
      </c>
      <c r="J53" s="50" t="s">
        <v>127</v>
      </c>
      <c r="K53" s="50"/>
      <c r="L53" s="51">
        <v>44067.0</v>
      </c>
    </row>
    <row r="54" ht="14.25" customHeight="1">
      <c r="A54" s="54">
        <v>89.0</v>
      </c>
      <c r="B54" s="34" t="s">
        <v>128</v>
      </c>
      <c r="C54" s="34" t="s">
        <v>134</v>
      </c>
      <c r="D54" s="44">
        <v>44061.0</v>
      </c>
      <c r="E54" s="55" t="s">
        <v>8</v>
      </c>
      <c r="F54" s="56">
        <v>65275.35</v>
      </c>
      <c r="G54" s="56">
        <v>10444.06</v>
      </c>
      <c r="H54" s="27">
        <f t="shared" si="3"/>
        <v>75719.41</v>
      </c>
      <c r="I54" s="34" t="s">
        <v>130</v>
      </c>
      <c r="J54" s="34" t="s">
        <v>138</v>
      </c>
      <c r="K54" s="34"/>
      <c r="L54" s="34"/>
    </row>
    <row r="55" ht="14.25" customHeight="1">
      <c r="A55" s="28">
        <v>90.0</v>
      </c>
      <c r="B55" s="57" t="s">
        <v>105</v>
      </c>
      <c r="C55" s="58" t="s">
        <v>139</v>
      </c>
      <c r="D55" s="59">
        <v>44098.0</v>
      </c>
      <c r="E55" s="55" t="s">
        <v>8</v>
      </c>
      <c r="F55" s="60">
        <v>239553.65</v>
      </c>
      <c r="G55" s="60">
        <v>38328.58</v>
      </c>
      <c r="H55" s="27">
        <f t="shared" si="3"/>
        <v>277882.23</v>
      </c>
      <c r="I55" s="28" t="s">
        <v>107</v>
      </c>
      <c r="J55" s="61" t="s">
        <v>140</v>
      </c>
      <c r="K55" s="61"/>
      <c r="L55" s="62">
        <v>44070.0</v>
      </c>
    </row>
    <row r="56" ht="14.25" customHeight="1">
      <c r="A56" s="28">
        <v>91.0</v>
      </c>
      <c r="B56" s="26" t="s">
        <v>18</v>
      </c>
      <c r="C56" s="63" t="s">
        <v>139</v>
      </c>
      <c r="D56" s="3">
        <v>44098.0</v>
      </c>
      <c r="E56" s="25" t="s">
        <v>8</v>
      </c>
      <c r="F56" s="27">
        <v>2076.62</v>
      </c>
      <c r="G56" s="27">
        <v>332.26</v>
      </c>
      <c r="H56" s="27">
        <f t="shared" si="3"/>
        <v>2408.88</v>
      </c>
      <c r="I56" s="28" t="s">
        <v>141</v>
      </c>
      <c r="J56" s="34" t="s">
        <v>138</v>
      </c>
      <c r="K56" s="34"/>
      <c r="L56" s="44"/>
    </row>
    <row r="57" ht="14.25" customHeight="1">
      <c r="A57" s="28">
        <v>92.0</v>
      </c>
      <c r="B57" s="45" t="s">
        <v>105</v>
      </c>
      <c r="C57" s="63" t="s">
        <v>139</v>
      </c>
      <c r="D57" s="3">
        <v>44070.0</v>
      </c>
      <c r="E57" s="25" t="s">
        <v>8</v>
      </c>
      <c r="F57" s="27">
        <v>272246.23</v>
      </c>
      <c r="G57" s="27">
        <v>43559.4</v>
      </c>
      <c r="H57" s="27">
        <f t="shared" si="3"/>
        <v>315805.63</v>
      </c>
      <c r="I57" s="28" t="s">
        <v>107</v>
      </c>
      <c r="J57" s="34" t="s">
        <v>142</v>
      </c>
      <c r="K57" s="34"/>
      <c r="L57" s="34"/>
    </row>
    <row r="58" ht="14.25" customHeight="1">
      <c r="A58" s="25">
        <v>93.0</v>
      </c>
      <c r="B58" s="64" t="s">
        <v>105</v>
      </c>
      <c r="C58" s="26" t="s">
        <v>139</v>
      </c>
      <c r="D58" s="3">
        <v>44070.0</v>
      </c>
      <c r="E58" s="25" t="s">
        <v>8</v>
      </c>
      <c r="F58" s="27">
        <v>255993.61</v>
      </c>
      <c r="G58" s="27">
        <v>40958.98</v>
      </c>
      <c r="H58" s="27">
        <f t="shared" si="3"/>
        <v>296952.59</v>
      </c>
      <c r="I58" s="28" t="s">
        <v>107</v>
      </c>
      <c r="J58" s="34" t="s">
        <v>143</v>
      </c>
      <c r="K58" s="34"/>
      <c r="L58" s="34"/>
    </row>
    <row r="59" ht="14.25" customHeight="1">
      <c r="A59" s="25">
        <v>98.0</v>
      </c>
      <c r="B59" s="64" t="s">
        <v>38</v>
      </c>
      <c r="C59" s="26" t="s">
        <v>144</v>
      </c>
      <c r="D59" s="3">
        <v>44134.0</v>
      </c>
      <c r="E59" s="25" t="s">
        <v>8</v>
      </c>
      <c r="F59" s="27">
        <v>83246.31</v>
      </c>
      <c r="G59" s="27">
        <v>13319.41</v>
      </c>
      <c r="H59" s="27">
        <f t="shared" si="3"/>
        <v>96565.72</v>
      </c>
      <c r="I59" s="28" t="s">
        <v>145</v>
      </c>
      <c r="J59" s="34" t="s">
        <v>146</v>
      </c>
      <c r="K59" s="34"/>
      <c r="L59" s="34"/>
    </row>
    <row r="60" ht="14.25" customHeight="1">
      <c r="A60" s="25">
        <v>100.0</v>
      </c>
      <c r="B60" s="64" t="s">
        <v>38</v>
      </c>
      <c r="C60" s="26" t="s">
        <v>144</v>
      </c>
      <c r="D60" s="3">
        <v>44145.0</v>
      </c>
      <c r="E60" s="25" t="s">
        <v>8</v>
      </c>
      <c r="F60" s="27">
        <v>83246.31</v>
      </c>
      <c r="G60" s="27">
        <v>13319.41</v>
      </c>
      <c r="H60" s="27">
        <f t="shared" si="3"/>
        <v>96565.72</v>
      </c>
      <c r="I60" s="28" t="s">
        <v>145</v>
      </c>
      <c r="J60" s="34" t="s">
        <v>147</v>
      </c>
      <c r="K60" s="34"/>
      <c r="L60" s="34"/>
    </row>
    <row r="61" ht="14.25" customHeight="1">
      <c r="A61" s="25">
        <v>102.0</v>
      </c>
      <c r="B61" s="64" t="s">
        <v>146</v>
      </c>
      <c r="C61" s="26"/>
      <c r="D61" s="3"/>
      <c r="E61" s="25"/>
      <c r="F61" s="27"/>
      <c r="G61" s="27"/>
      <c r="H61" s="27"/>
      <c r="I61" s="28"/>
      <c r="J61" s="34" t="s">
        <v>146</v>
      </c>
      <c r="K61" s="34"/>
      <c r="L61" s="34"/>
    </row>
    <row r="62" ht="14.25" customHeight="1">
      <c r="A62" s="25">
        <v>103.0</v>
      </c>
      <c r="B62" s="64" t="s">
        <v>27</v>
      </c>
      <c r="C62" s="26" t="s">
        <v>148</v>
      </c>
      <c r="D62" s="3">
        <v>44158.0</v>
      </c>
      <c r="E62" s="25" t="s">
        <v>8</v>
      </c>
      <c r="F62" s="27">
        <v>85559.58</v>
      </c>
      <c r="G62" s="27">
        <v>13689.53</v>
      </c>
      <c r="H62" s="27">
        <f>F62+G62</f>
        <v>99249.11</v>
      </c>
      <c r="I62" s="28" t="s">
        <v>149</v>
      </c>
      <c r="J62" s="34"/>
      <c r="K62" s="34"/>
      <c r="L62" s="34"/>
    </row>
    <row r="63" ht="14.25" customHeight="1">
      <c r="A63" s="25">
        <v>104.0</v>
      </c>
      <c r="B63" s="64" t="s">
        <v>36</v>
      </c>
      <c r="C63" s="26" t="s">
        <v>146</v>
      </c>
      <c r="D63" s="3"/>
      <c r="E63" s="25"/>
      <c r="F63" s="27"/>
      <c r="G63" s="27"/>
      <c r="H63" s="27"/>
      <c r="I63" s="28"/>
      <c r="J63" s="34" t="s">
        <v>146</v>
      </c>
      <c r="K63" s="34"/>
      <c r="L63" s="34"/>
    </row>
    <row r="64" ht="14.25" customHeight="1">
      <c r="A64" s="25">
        <v>105.0</v>
      </c>
      <c r="B64" s="64" t="s">
        <v>36</v>
      </c>
      <c r="C64" s="26" t="s">
        <v>146</v>
      </c>
      <c r="D64" s="3"/>
      <c r="E64" s="25"/>
      <c r="F64" s="27"/>
      <c r="G64" s="27"/>
      <c r="H64" s="27"/>
      <c r="I64" s="28"/>
      <c r="J64" s="34" t="s">
        <v>146</v>
      </c>
      <c r="K64" s="34"/>
      <c r="L64" s="34"/>
    </row>
    <row r="65" ht="14.25" customHeight="1">
      <c r="A65" s="25">
        <v>110.0</v>
      </c>
      <c r="B65" s="64" t="s">
        <v>146</v>
      </c>
      <c r="C65" s="26" t="s">
        <v>146</v>
      </c>
      <c r="D65" s="3"/>
      <c r="E65" s="25"/>
      <c r="F65" s="27"/>
      <c r="G65" s="27"/>
      <c r="H65" s="27"/>
      <c r="I65" s="28"/>
      <c r="J65" s="34" t="s">
        <v>146</v>
      </c>
      <c r="K65" s="34"/>
      <c r="L65" s="34"/>
    </row>
    <row r="66" ht="14.25" customHeight="1">
      <c r="A66" s="25">
        <v>111.0</v>
      </c>
      <c r="B66" s="64" t="s">
        <v>27</v>
      </c>
      <c r="C66" s="26" t="s">
        <v>150</v>
      </c>
      <c r="D66" s="3">
        <v>44236.0</v>
      </c>
      <c r="E66" s="25" t="s">
        <v>8</v>
      </c>
      <c r="F66" s="27">
        <v>6632.64</v>
      </c>
      <c r="G66" s="27">
        <v>1061.22</v>
      </c>
      <c r="H66" s="27">
        <f t="shared" ref="H66:H67" si="4">F66+G66</f>
        <v>7693.86</v>
      </c>
      <c r="I66" s="28" t="s">
        <v>151</v>
      </c>
      <c r="J66" s="34" t="s">
        <v>152</v>
      </c>
      <c r="K66" s="34"/>
      <c r="L66" s="34"/>
    </row>
    <row r="67" ht="14.25" customHeight="1">
      <c r="A67" s="25">
        <v>112.0</v>
      </c>
      <c r="B67" s="64" t="s">
        <v>114</v>
      </c>
      <c r="C67" s="26" t="s">
        <v>153</v>
      </c>
      <c r="D67" s="3">
        <v>44256.0</v>
      </c>
      <c r="E67" s="25" t="s">
        <v>8</v>
      </c>
      <c r="F67" s="27">
        <v>672105.06</v>
      </c>
      <c r="G67" s="27">
        <v>107536.81</v>
      </c>
      <c r="H67" s="27">
        <f t="shared" si="4"/>
        <v>779641.87</v>
      </c>
      <c r="I67" s="28" t="s">
        <v>116</v>
      </c>
      <c r="J67" s="34" t="s">
        <v>154</v>
      </c>
      <c r="K67" s="34"/>
      <c r="L67" s="34"/>
    </row>
    <row r="68" ht="14.25" customHeight="1">
      <c r="A68" s="25">
        <v>113.0</v>
      </c>
      <c r="B68" s="64" t="s">
        <v>0</v>
      </c>
      <c r="C68" s="26" t="s">
        <v>155</v>
      </c>
      <c r="D68" s="3">
        <v>41974.0</v>
      </c>
      <c r="E68" s="25" t="s">
        <v>8</v>
      </c>
      <c r="F68" s="27">
        <v>258564.09</v>
      </c>
      <c r="G68" s="27">
        <v>41370.25</v>
      </c>
      <c r="H68" s="27">
        <v>299934.33999999997</v>
      </c>
      <c r="I68" s="28"/>
      <c r="J68" s="34"/>
      <c r="K68" s="34"/>
      <c r="L68" s="34"/>
    </row>
    <row r="69" ht="14.25" customHeight="1">
      <c r="A69" s="25">
        <v>114.0</v>
      </c>
      <c r="B69" s="64" t="s">
        <v>0</v>
      </c>
      <c r="C69" s="26" t="s">
        <v>155</v>
      </c>
      <c r="D69" s="3">
        <v>41974.0</v>
      </c>
      <c r="E69" s="25" t="s">
        <v>8</v>
      </c>
      <c r="F69" s="27">
        <v>112872.78</v>
      </c>
      <c r="G69" s="27">
        <v>18059.64</v>
      </c>
      <c r="H69" s="27">
        <v>130932.42</v>
      </c>
      <c r="I69" s="28"/>
      <c r="J69" s="34"/>
      <c r="K69" s="34"/>
      <c r="L69" s="34"/>
    </row>
    <row r="70" ht="14.25" customHeight="1">
      <c r="A70" s="25">
        <v>115.0</v>
      </c>
      <c r="B70" s="64" t="s">
        <v>114</v>
      </c>
      <c r="C70" s="26" t="s">
        <v>153</v>
      </c>
      <c r="D70" s="3">
        <v>40608.0</v>
      </c>
      <c r="E70" s="25" t="s">
        <v>8</v>
      </c>
      <c r="F70" s="27">
        <v>672105.06</v>
      </c>
      <c r="G70" s="27">
        <v>107536.81</v>
      </c>
      <c r="H70" s="27">
        <f t="shared" ref="H70:H71" si="5">F70+G70</f>
        <v>779641.87</v>
      </c>
      <c r="I70" s="28" t="s">
        <v>116</v>
      </c>
      <c r="J70" s="34" t="s">
        <v>156</v>
      </c>
      <c r="K70" s="34"/>
      <c r="L70" s="34"/>
    </row>
    <row r="71" ht="14.25" customHeight="1">
      <c r="A71" s="25">
        <v>116.0</v>
      </c>
      <c r="B71" s="64" t="s">
        <v>27</v>
      </c>
      <c r="C71" s="26" t="s">
        <v>157</v>
      </c>
      <c r="D71" s="3">
        <v>44286.0</v>
      </c>
      <c r="E71" s="25" t="s">
        <v>8</v>
      </c>
      <c r="F71" s="27">
        <v>4166.65</v>
      </c>
      <c r="G71" s="27">
        <v>666.66</v>
      </c>
      <c r="H71" s="27">
        <f t="shared" si="5"/>
        <v>4833.31</v>
      </c>
      <c r="I71" s="28" t="s">
        <v>158</v>
      </c>
      <c r="J71" s="34" t="s">
        <v>159</v>
      </c>
      <c r="K71" s="34"/>
      <c r="L71" s="34"/>
    </row>
    <row r="72" ht="14.25" customHeight="1">
      <c r="A72" s="25">
        <v>116.0</v>
      </c>
      <c r="B72" s="64" t="s">
        <v>0</v>
      </c>
      <c r="C72" s="26" t="s">
        <v>7</v>
      </c>
      <c r="D72" s="3">
        <v>1679.0</v>
      </c>
      <c r="E72" s="25" t="s">
        <v>8</v>
      </c>
      <c r="F72" s="27">
        <v>9664.2</v>
      </c>
      <c r="G72" s="27">
        <v>1546.27</v>
      </c>
      <c r="H72" s="27">
        <v>11210.470000000001</v>
      </c>
      <c r="I72" s="28"/>
      <c r="J72" s="34" t="s">
        <v>3</v>
      </c>
      <c r="K72" s="34"/>
      <c r="L72" s="34"/>
    </row>
    <row r="73" ht="14.25" customHeight="1">
      <c r="A73" s="25">
        <v>117.0</v>
      </c>
      <c r="B73" s="64" t="s">
        <v>27</v>
      </c>
      <c r="C73" s="26" t="s">
        <v>160</v>
      </c>
      <c r="D73" s="3">
        <v>44286.0</v>
      </c>
      <c r="E73" s="25" t="s">
        <v>8</v>
      </c>
      <c r="F73" s="27">
        <v>1957.43</v>
      </c>
      <c r="G73" s="27">
        <v>313.19</v>
      </c>
      <c r="H73" s="27">
        <f t="shared" ref="H73:H74" si="6">F73+G73</f>
        <v>2270.62</v>
      </c>
      <c r="I73" s="28" t="s">
        <v>81</v>
      </c>
      <c r="J73" s="34" t="s">
        <v>161</v>
      </c>
      <c r="K73" s="34"/>
      <c r="L73" s="34"/>
    </row>
    <row r="74" ht="14.25" customHeight="1">
      <c r="A74" s="25">
        <v>118.0</v>
      </c>
      <c r="B74" s="64" t="s">
        <v>27</v>
      </c>
      <c r="C74" s="26" t="s">
        <v>162</v>
      </c>
      <c r="D74" s="3">
        <v>44286.0</v>
      </c>
      <c r="E74" s="25" t="s">
        <v>8</v>
      </c>
      <c r="F74" s="27">
        <v>1303.0</v>
      </c>
      <c r="G74" s="27">
        <v>208.48</v>
      </c>
      <c r="H74" s="27">
        <f t="shared" si="6"/>
        <v>1511.48</v>
      </c>
      <c r="I74" s="28" t="s">
        <v>81</v>
      </c>
      <c r="J74" s="34" t="s">
        <v>163</v>
      </c>
      <c r="K74" s="34"/>
      <c r="L74" s="34"/>
    </row>
    <row r="75" ht="14.25" customHeight="1">
      <c r="A75" s="25">
        <v>119.0</v>
      </c>
      <c r="B75" s="64" t="s">
        <v>146</v>
      </c>
      <c r="C75" s="26"/>
      <c r="D75" s="3"/>
      <c r="E75" s="25"/>
      <c r="F75" s="27"/>
      <c r="G75" s="27"/>
      <c r="H75" s="27"/>
      <c r="I75" s="28" t="s">
        <v>81</v>
      </c>
      <c r="J75" s="34"/>
      <c r="K75" s="34"/>
      <c r="L75" s="34"/>
    </row>
    <row r="76" ht="14.25" customHeight="1">
      <c r="A76" s="25">
        <v>121.0</v>
      </c>
      <c r="B76" s="64" t="s">
        <v>27</v>
      </c>
      <c r="C76" s="26" t="s">
        <v>164</v>
      </c>
      <c r="D76" s="3">
        <v>44335.0</v>
      </c>
      <c r="E76" s="25" t="s">
        <v>8</v>
      </c>
      <c r="F76" s="27">
        <v>26109.28</v>
      </c>
      <c r="G76" s="27">
        <v>4177.48</v>
      </c>
      <c r="H76" s="27">
        <f t="shared" ref="H76:H86" si="7">F76+G76</f>
        <v>30286.76</v>
      </c>
      <c r="I76" s="28" t="s">
        <v>158</v>
      </c>
      <c r="J76" s="34" t="s">
        <v>165</v>
      </c>
      <c r="K76" s="34"/>
      <c r="L76" s="34"/>
    </row>
    <row r="77" ht="14.25" customHeight="1">
      <c r="A77" s="25">
        <v>122.0</v>
      </c>
      <c r="B77" s="64" t="s">
        <v>27</v>
      </c>
      <c r="C77" s="26" t="s">
        <v>166</v>
      </c>
      <c r="D77" s="3">
        <v>44335.0</v>
      </c>
      <c r="E77" s="25" t="s">
        <v>8</v>
      </c>
      <c r="F77" s="27">
        <v>16477.12</v>
      </c>
      <c r="G77" s="27">
        <v>2636.34</v>
      </c>
      <c r="H77" s="27">
        <f t="shared" si="7"/>
        <v>19113.46</v>
      </c>
      <c r="I77" s="28" t="s">
        <v>158</v>
      </c>
      <c r="J77" s="34" t="s">
        <v>167</v>
      </c>
      <c r="K77" s="34"/>
      <c r="L77" s="34"/>
    </row>
    <row r="78" ht="14.25" customHeight="1">
      <c r="A78" s="25">
        <v>123.0</v>
      </c>
      <c r="B78" s="64" t="s">
        <v>27</v>
      </c>
      <c r="C78" s="26" t="s">
        <v>168</v>
      </c>
      <c r="D78" s="3">
        <v>44351.0</v>
      </c>
      <c r="E78" s="25" t="s">
        <v>8</v>
      </c>
      <c r="F78" s="27">
        <v>9179.46</v>
      </c>
      <c r="G78" s="27">
        <v>1468.71</v>
      </c>
      <c r="H78" s="27">
        <f t="shared" si="7"/>
        <v>10648.17</v>
      </c>
      <c r="I78" s="28" t="s">
        <v>151</v>
      </c>
      <c r="J78" s="34" t="s">
        <v>169</v>
      </c>
      <c r="K78" s="34"/>
      <c r="L78" s="34"/>
    </row>
    <row r="79" ht="14.25" customHeight="1">
      <c r="A79" s="25">
        <v>124.0</v>
      </c>
      <c r="B79" s="64" t="s">
        <v>27</v>
      </c>
      <c r="C79" s="26" t="s">
        <v>160</v>
      </c>
      <c r="D79" s="3">
        <v>44286.0</v>
      </c>
      <c r="E79" s="25" t="s">
        <v>8</v>
      </c>
      <c r="F79" s="27">
        <v>1957.43</v>
      </c>
      <c r="G79" s="27">
        <v>313.19</v>
      </c>
      <c r="H79" s="27">
        <f t="shared" si="7"/>
        <v>2270.62</v>
      </c>
      <c r="I79" s="28"/>
      <c r="J79" s="34"/>
      <c r="K79" s="34"/>
      <c r="L79" s="34"/>
    </row>
    <row r="80" ht="14.25" customHeight="1">
      <c r="A80" s="25">
        <v>125.0</v>
      </c>
      <c r="B80" s="64" t="s">
        <v>27</v>
      </c>
      <c r="C80" s="26" t="s">
        <v>162</v>
      </c>
      <c r="D80" s="3">
        <v>44286.0</v>
      </c>
      <c r="E80" s="25" t="s">
        <v>8</v>
      </c>
      <c r="F80" s="27">
        <v>1303.0</v>
      </c>
      <c r="G80" s="27">
        <v>208.48</v>
      </c>
      <c r="H80" s="27">
        <f t="shared" si="7"/>
        <v>1511.48</v>
      </c>
      <c r="I80" s="28"/>
      <c r="J80" s="34"/>
      <c r="K80" s="34"/>
      <c r="L80" s="34"/>
    </row>
    <row r="81" ht="14.25" customHeight="1">
      <c r="A81" s="65">
        <v>126.0</v>
      </c>
      <c r="B81" s="66" t="s">
        <v>146</v>
      </c>
      <c r="C81" s="67"/>
      <c r="D81" s="68"/>
      <c r="E81" s="65"/>
      <c r="F81" s="69"/>
      <c r="G81" s="69"/>
      <c r="H81" s="69">
        <f t="shared" si="7"/>
        <v>0</v>
      </c>
      <c r="I81" s="70"/>
      <c r="J81" s="71"/>
      <c r="K81" s="71"/>
      <c r="L81" s="71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</row>
    <row r="82" ht="14.25" customHeight="1">
      <c r="A82" s="65">
        <v>127.0</v>
      </c>
      <c r="B82" s="66" t="s">
        <v>146</v>
      </c>
      <c r="C82" s="67"/>
      <c r="D82" s="68"/>
      <c r="E82" s="65"/>
      <c r="F82" s="69"/>
      <c r="G82" s="69"/>
      <c r="H82" s="69">
        <f t="shared" si="7"/>
        <v>0</v>
      </c>
      <c r="I82" s="70"/>
      <c r="J82" s="71"/>
      <c r="K82" s="71"/>
      <c r="L82" s="71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X82" s="72"/>
      <c r="Y82" s="72"/>
      <c r="Z82" s="72"/>
    </row>
    <row r="83" ht="14.25" customHeight="1">
      <c r="A83" s="25">
        <v>128.0</v>
      </c>
      <c r="B83" s="26" t="s">
        <v>170</v>
      </c>
      <c r="C83" s="26" t="s">
        <v>171</v>
      </c>
      <c r="D83" s="3">
        <v>44351.0</v>
      </c>
      <c r="E83" s="25" t="s">
        <v>8</v>
      </c>
      <c r="F83" s="27">
        <v>17370.71</v>
      </c>
      <c r="G83" s="27">
        <v>2779.31</v>
      </c>
      <c r="H83" s="27">
        <f t="shared" si="7"/>
        <v>20150.02</v>
      </c>
      <c r="I83" s="25" t="s">
        <v>151</v>
      </c>
      <c r="J83" s="34"/>
      <c r="K83" s="34"/>
      <c r="L83" s="34"/>
    </row>
    <row r="84" ht="14.25" customHeight="1">
      <c r="A84" s="25">
        <v>129.0</v>
      </c>
      <c r="B84" s="26" t="s">
        <v>170</v>
      </c>
      <c r="C84" s="26" t="s">
        <v>172</v>
      </c>
      <c r="D84" s="3">
        <v>44351.0</v>
      </c>
      <c r="E84" s="25" t="s">
        <v>8</v>
      </c>
      <c r="F84" s="27">
        <v>748.74</v>
      </c>
      <c r="G84" s="27">
        <v>119.8</v>
      </c>
      <c r="H84" s="27">
        <f t="shared" si="7"/>
        <v>868.54</v>
      </c>
      <c r="I84" s="25" t="s">
        <v>151</v>
      </c>
      <c r="J84" s="34"/>
      <c r="K84" s="34"/>
      <c r="L84" s="34"/>
    </row>
    <row r="85" ht="14.25" customHeight="1">
      <c r="A85" s="25">
        <v>130.0</v>
      </c>
      <c r="B85" s="26" t="s">
        <v>170</v>
      </c>
      <c r="C85" s="26" t="s">
        <v>173</v>
      </c>
      <c r="D85" s="3">
        <v>44351.0</v>
      </c>
      <c r="E85" s="25" t="s">
        <v>8</v>
      </c>
      <c r="F85" s="27">
        <v>5938.27</v>
      </c>
      <c r="G85" s="27">
        <v>950.12</v>
      </c>
      <c r="H85" s="27">
        <f t="shared" si="7"/>
        <v>6888.39</v>
      </c>
      <c r="I85" s="25" t="s">
        <v>151</v>
      </c>
      <c r="J85" s="34"/>
      <c r="K85" s="34"/>
      <c r="L85" s="34"/>
    </row>
    <row r="86" ht="14.25" customHeight="1">
      <c r="A86" s="25">
        <v>131.0</v>
      </c>
      <c r="B86" s="26" t="s">
        <v>170</v>
      </c>
      <c r="C86" s="26" t="s">
        <v>174</v>
      </c>
      <c r="D86" s="3">
        <v>44351.0</v>
      </c>
      <c r="E86" s="25" t="s">
        <v>8</v>
      </c>
      <c r="F86" s="27">
        <v>4789.01</v>
      </c>
      <c r="G86" s="27">
        <v>766.24</v>
      </c>
      <c r="H86" s="27">
        <f t="shared" si="7"/>
        <v>5555.25</v>
      </c>
      <c r="I86" s="25" t="s">
        <v>151</v>
      </c>
      <c r="J86" s="34"/>
      <c r="K86" s="34"/>
      <c r="L86" s="34"/>
    </row>
    <row r="87" ht="14.25" customHeight="1">
      <c r="A87" s="65">
        <v>132.0</v>
      </c>
      <c r="B87" s="66" t="s">
        <v>146</v>
      </c>
      <c r="C87" s="67"/>
      <c r="D87" s="68"/>
      <c r="E87" s="65"/>
      <c r="F87" s="69"/>
      <c r="G87" s="69"/>
      <c r="H87" s="69"/>
      <c r="I87" s="70"/>
      <c r="J87" s="71"/>
      <c r="K87" s="71"/>
      <c r="L87" s="71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</row>
    <row r="88" ht="14.25" customHeight="1">
      <c r="A88" s="25">
        <v>133.0</v>
      </c>
      <c r="B88" s="64" t="s">
        <v>175</v>
      </c>
      <c r="C88" s="26" t="s">
        <v>176</v>
      </c>
      <c r="D88" s="3">
        <v>44396.0</v>
      </c>
      <c r="E88" s="25" t="s">
        <v>8</v>
      </c>
      <c r="F88" s="27">
        <v>5336.26</v>
      </c>
      <c r="G88" s="27">
        <v>853.8</v>
      </c>
      <c r="H88" s="27">
        <f t="shared" ref="H88:H122" si="8">F88+G88</f>
        <v>6190.06</v>
      </c>
      <c r="I88" s="28" t="s">
        <v>177</v>
      </c>
      <c r="J88" s="34" t="s">
        <v>178</v>
      </c>
      <c r="K88" s="34"/>
      <c r="L88" s="34"/>
    </row>
    <row r="89" ht="14.25" customHeight="1">
      <c r="A89" s="25">
        <v>135.0</v>
      </c>
      <c r="B89" s="64" t="s">
        <v>175</v>
      </c>
      <c r="C89" s="26" t="s">
        <v>179</v>
      </c>
      <c r="D89" s="3">
        <v>44398.0</v>
      </c>
      <c r="E89" s="25" t="s">
        <v>8</v>
      </c>
      <c r="F89" s="27">
        <v>47993.4</v>
      </c>
      <c r="G89" s="27">
        <v>7678.94</v>
      </c>
      <c r="H89" s="27">
        <f t="shared" si="8"/>
        <v>55672.34</v>
      </c>
      <c r="I89" s="28" t="s">
        <v>177</v>
      </c>
      <c r="J89" s="34" t="s">
        <v>178</v>
      </c>
      <c r="K89" s="34"/>
      <c r="L89" s="34"/>
    </row>
    <row r="90" ht="14.25" customHeight="1">
      <c r="A90" s="25">
        <v>136.0</v>
      </c>
      <c r="B90" s="26" t="s">
        <v>170</v>
      </c>
      <c r="C90" s="26" t="s">
        <v>180</v>
      </c>
      <c r="D90" s="3">
        <v>44447.0</v>
      </c>
      <c r="E90" s="25" t="s">
        <v>8</v>
      </c>
      <c r="F90" s="27">
        <v>230.63</v>
      </c>
      <c r="G90" s="27">
        <v>36.9</v>
      </c>
      <c r="H90" s="27">
        <f t="shared" si="8"/>
        <v>267.53</v>
      </c>
      <c r="I90" s="25" t="s">
        <v>181</v>
      </c>
      <c r="J90" s="34"/>
      <c r="K90" s="34"/>
      <c r="L90" s="34"/>
    </row>
    <row r="91" ht="14.25" customHeight="1">
      <c r="A91" s="25">
        <v>137.0</v>
      </c>
      <c r="B91" s="26" t="s">
        <v>170</v>
      </c>
      <c r="C91" s="26" t="s">
        <v>182</v>
      </c>
      <c r="D91" s="3">
        <v>44447.0</v>
      </c>
      <c r="E91" s="25" t="s">
        <v>8</v>
      </c>
      <c r="F91" s="27">
        <v>304.68</v>
      </c>
      <c r="G91" s="27">
        <v>48.75</v>
      </c>
      <c r="H91" s="27">
        <f t="shared" si="8"/>
        <v>353.43</v>
      </c>
      <c r="I91" s="25" t="s">
        <v>181</v>
      </c>
      <c r="J91" s="34"/>
      <c r="K91" s="34"/>
      <c r="L91" s="34"/>
    </row>
    <row r="92" ht="14.25" customHeight="1">
      <c r="A92" s="65">
        <v>138.0</v>
      </c>
      <c r="B92" s="66" t="s">
        <v>16</v>
      </c>
      <c r="C92" s="67" t="s">
        <v>183</v>
      </c>
      <c r="D92" s="68">
        <v>44461.0</v>
      </c>
      <c r="E92" s="65" t="s">
        <v>8</v>
      </c>
      <c r="F92" s="69">
        <v>23416.69</v>
      </c>
      <c r="G92" s="69">
        <v>3746.67</v>
      </c>
      <c r="H92" s="69">
        <f t="shared" si="8"/>
        <v>27163.36</v>
      </c>
      <c r="I92" s="70" t="s">
        <v>107</v>
      </c>
      <c r="J92" s="71" t="s">
        <v>146</v>
      </c>
      <c r="K92" s="71"/>
      <c r="L92" s="71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X92" s="72"/>
      <c r="Y92" s="72"/>
      <c r="Z92" s="72"/>
    </row>
    <row r="93" ht="14.25" customHeight="1">
      <c r="A93" s="25">
        <v>139.0</v>
      </c>
      <c r="B93" s="64" t="s">
        <v>128</v>
      </c>
      <c r="C93" s="26" t="s">
        <v>184</v>
      </c>
      <c r="D93" s="3">
        <v>44461.0</v>
      </c>
      <c r="E93" s="25" t="s">
        <v>8</v>
      </c>
      <c r="F93" s="27">
        <v>23428.83</v>
      </c>
      <c r="G93" s="27">
        <v>3748.61</v>
      </c>
      <c r="H93" s="27">
        <f t="shared" si="8"/>
        <v>27177.44</v>
      </c>
      <c r="I93" s="28" t="s">
        <v>130</v>
      </c>
      <c r="J93" s="34" t="s">
        <v>185</v>
      </c>
      <c r="K93" s="34"/>
      <c r="L93" s="34"/>
    </row>
    <row r="94" ht="14.25" customHeight="1">
      <c r="A94" s="25">
        <v>141.0</v>
      </c>
      <c r="B94" s="64" t="s">
        <v>16</v>
      </c>
      <c r="C94" s="26" t="s">
        <v>183</v>
      </c>
      <c r="D94" s="3">
        <v>44484.0</v>
      </c>
      <c r="E94" s="25" t="s">
        <v>8</v>
      </c>
      <c r="F94" s="27">
        <v>23416.69</v>
      </c>
      <c r="G94" s="27">
        <v>3746.67</v>
      </c>
      <c r="H94" s="27">
        <f t="shared" si="8"/>
        <v>27163.36</v>
      </c>
      <c r="I94" s="28" t="s">
        <v>107</v>
      </c>
      <c r="J94" s="34"/>
      <c r="K94" s="34"/>
      <c r="L94" s="34"/>
    </row>
    <row r="95" ht="14.25" customHeight="1">
      <c r="A95" s="25">
        <v>142.0</v>
      </c>
      <c r="B95" s="64" t="s">
        <v>186</v>
      </c>
      <c r="C95" s="26" t="s">
        <v>187</v>
      </c>
      <c r="D95" s="3">
        <v>44509.0</v>
      </c>
      <c r="E95" s="25" t="s">
        <v>8</v>
      </c>
      <c r="F95" s="27">
        <v>14196.36</v>
      </c>
      <c r="G95" s="27">
        <v>2271.42</v>
      </c>
      <c r="H95" s="27">
        <f t="shared" si="8"/>
        <v>16467.78</v>
      </c>
      <c r="I95" s="73" t="s">
        <v>188</v>
      </c>
      <c r="J95" s="34" t="s">
        <v>189</v>
      </c>
      <c r="K95" s="34"/>
      <c r="L95" s="34"/>
    </row>
    <row r="96" ht="14.25" customHeight="1">
      <c r="A96" s="65">
        <v>143.0</v>
      </c>
      <c r="B96" s="66" t="s">
        <v>190</v>
      </c>
      <c r="C96" s="67" t="s">
        <v>191</v>
      </c>
      <c r="D96" s="68">
        <v>44509.0</v>
      </c>
      <c r="E96" s="65" t="s">
        <v>8</v>
      </c>
      <c r="F96" s="69">
        <v>1072.56</v>
      </c>
      <c r="G96" s="69">
        <v>171.61</v>
      </c>
      <c r="H96" s="69">
        <f t="shared" si="8"/>
        <v>1244.17</v>
      </c>
      <c r="I96" s="70" t="s">
        <v>177</v>
      </c>
      <c r="J96" s="71" t="s">
        <v>146</v>
      </c>
      <c r="K96" s="71"/>
      <c r="L96" s="71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72"/>
      <c r="Y96" s="72"/>
      <c r="Z96" s="72"/>
    </row>
    <row r="97" ht="14.25" customHeight="1">
      <c r="A97" s="25">
        <v>144.0</v>
      </c>
      <c r="B97" s="64" t="s">
        <v>190</v>
      </c>
      <c r="C97" s="26" t="s">
        <v>192</v>
      </c>
      <c r="D97" s="3">
        <v>44509.0</v>
      </c>
      <c r="E97" s="25" t="s">
        <v>8</v>
      </c>
      <c r="F97" s="27">
        <v>1658.42</v>
      </c>
      <c r="G97" s="27">
        <v>265.35</v>
      </c>
      <c r="H97" s="27">
        <f t="shared" si="8"/>
        <v>1923.77</v>
      </c>
      <c r="I97" s="28" t="s">
        <v>141</v>
      </c>
      <c r="J97" s="34"/>
      <c r="K97" s="34"/>
      <c r="L97" s="34"/>
    </row>
    <row r="98" ht="14.25" customHeight="1">
      <c r="A98" s="25">
        <v>145.0</v>
      </c>
      <c r="B98" s="64" t="s">
        <v>190</v>
      </c>
      <c r="C98" s="26" t="s">
        <v>193</v>
      </c>
      <c r="D98" s="3">
        <v>44520.0</v>
      </c>
      <c r="E98" s="25" t="s">
        <v>8</v>
      </c>
      <c r="F98" s="27">
        <v>1072.56</v>
      </c>
      <c r="G98" s="27">
        <v>171.61</v>
      </c>
      <c r="H98" s="27">
        <f t="shared" si="8"/>
        <v>1244.17</v>
      </c>
      <c r="I98" s="28" t="s">
        <v>177</v>
      </c>
      <c r="J98" s="34"/>
      <c r="K98" s="34"/>
      <c r="L98" s="34"/>
    </row>
    <row r="99" ht="14.25" customHeight="1">
      <c r="A99" s="25">
        <v>146.0</v>
      </c>
      <c r="B99" s="26" t="s">
        <v>170</v>
      </c>
      <c r="C99" s="26" t="s">
        <v>194</v>
      </c>
      <c r="D99" s="3">
        <v>44552.0</v>
      </c>
      <c r="E99" s="25" t="s">
        <v>8</v>
      </c>
      <c r="F99" s="27">
        <v>5369.57</v>
      </c>
      <c r="G99" s="27">
        <v>859.13</v>
      </c>
      <c r="H99" s="27">
        <f t="shared" si="8"/>
        <v>6228.7</v>
      </c>
      <c r="I99" s="28" t="s">
        <v>151</v>
      </c>
      <c r="J99" s="34"/>
      <c r="K99" s="34"/>
      <c r="L99" s="34"/>
    </row>
    <row r="100" ht="14.25" customHeight="1">
      <c r="A100" s="25">
        <v>147.0</v>
      </c>
      <c r="B100" s="26" t="s">
        <v>170</v>
      </c>
      <c r="C100" s="26" t="s">
        <v>195</v>
      </c>
      <c r="D100" s="3">
        <v>44552.0</v>
      </c>
      <c r="E100" s="25" t="s">
        <v>8</v>
      </c>
      <c r="F100" s="27">
        <v>4329.22</v>
      </c>
      <c r="G100" s="27">
        <v>692.68</v>
      </c>
      <c r="H100" s="27">
        <f t="shared" si="8"/>
        <v>5021.9</v>
      </c>
      <c r="I100" s="28" t="s">
        <v>151</v>
      </c>
      <c r="J100" s="34"/>
      <c r="K100" s="34"/>
      <c r="L100" s="34"/>
    </row>
    <row r="101" ht="14.25" customHeight="1">
      <c r="A101" s="25">
        <v>148.0</v>
      </c>
      <c r="B101" s="26" t="s">
        <v>170</v>
      </c>
      <c r="C101" s="26" t="s">
        <v>196</v>
      </c>
      <c r="D101" s="3">
        <v>44552.0</v>
      </c>
      <c r="E101" s="25" t="s">
        <v>8</v>
      </c>
      <c r="F101" s="27">
        <v>158.41</v>
      </c>
      <c r="G101" s="27">
        <v>25.35</v>
      </c>
      <c r="H101" s="27">
        <f t="shared" si="8"/>
        <v>183.76</v>
      </c>
      <c r="I101" s="25" t="s">
        <v>181</v>
      </c>
      <c r="J101" s="34"/>
      <c r="K101" s="34"/>
      <c r="L101" s="34"/>
    </row>
    <row r="102" ht="14.25" customHeight="1">
      <c r="A102" s="25">
        <v>149.0</v>
      </c>
      <c r="B102" s="26" t="s">
        <v>170</v>
      </c>
      <c r="C102" s="26" t="s">
        <v>195</v>
      </c>
      <c r="D102" s="3">
        <v>44552.0</v>
      </c>
      <c r="E102" s="25" t="s">
        <v>8</v>
      </c>
      <c r="F102" s="27">
        <v>120.06</v>
      </c>
      <c r="G102" s="27">
        <v>19.21</v>
      </c>
      <c r="H102" s="27">
        <f t="shared" si="8"/>
        <v>139.27</v>
      </c>
      <c r="I102" s="25" t="s">
        <v>181</v>
      </c>
      <c r="J102" s="34"/>
      <c r="K102" s="34"/>
      <c r="L102" s="34"/>
    </row>
    <row r="103" ht="14.25" customHeight="1">
      <c r="A103" s="25">
        <v>150.0</v>
      </c>
      <c r="B103" s="26" t="s">
        <v>170</v>
      </c>
      <c r="C103" s="26" t="s">
        <v>197</v>
      </c>
      <c r="D103" s="3">
        <v>44552.0</v>
      </c>
      <c r="E103" s="25" t="s">
        <v>8</v>
      </c>
      <c r="F103" s="27">
        <v>204.33</v>
      </c>
      <c r="G103" s="27">
        <v>32.69</v>
      </c>
      <c r="H103" s="27">
        <f t="shared" si="8"/>
        <v>237.02</v>
      </c>
      <c r="I103" s="25" t="s">
        <v>181</v>
      </c>
      <c r="J103" s="34"/>
      <c r="K103" s="34"/>
      <c r="L103" s="34"/>
    </row>
    <row r="104" ht="14.25" customHeight="1">
      <c r="A104" s="25">
        <v>151.0</v>
      </c>
      <c r="B104" s="26" t="s">
        <v>170</v>
      </c>
      <c r="C104" s="26" t="s">
        <v>198</v>
      </c>
      <c r="D104" s="3">
        <v>44552.0</v>
      </c>
      <c r="E104" s="25" t="s">
        <v>8</v>
      </c>
      <c r="F104" s="27">
        <v>17765.78</v>
      </c>
      <c r="G104" s="27">
        <v>2842.52</v>
      </c>
      <c r="H104" s="27">
        <f t="shared" si="8"/>
        <v>20608.3</v>
      </c>
      <c r="I104" s="28" t="s">
        <v>151</v>
      </c>
      <c r="J104" s="34"/>
      <c r="K104" s="34"/>
      <c r="L104" s="34"/>
    </row>
    <row r="105" ht="14.25" customHeight="1">
      <c r="A105" s="25">
        <v>152.0</v>
      </c>
      <c r="B105" s="26" t="s">
        <v>170</v>
      </c>
      <c r="C105" s="26" t="s">
        <v>195</v>
      </c>
      <c r="D105" s="3">
        <v>44552.0</v>
      </c>
      <c r="E105" s="25" t="s">
        <v>8</v>
      </c>
      <c r="F105" s="27">
        <v>10776.7</v>
      </c>
      <c r="G105" s="27">
        <v>1724.27</v>
      </c>
      <c r="H105" s="27">
        <f t="shared" si="8"/>
        <v>12500.97</v>
      </c>
      <c r="I105" s="28" t="s">
        <v>151</v>
      </c>
      <c r="J105" s="34"/>
      <c r="K105" s="34"/>
      <c r="L105" s="34"/>
    </row>
    <row r="106" ht="14.25" customHeight="1">
      <c r="A106" s="25">
        <v>153.0</v>
      </c>
      <c r="B106" s="26" t="s">
        <v>170</v>
      </c>
      <c r="C106" s="26" t="s">
        <v>199</v>
      </c>
      <c r="D106" s="3">
        <v>44552.0</v>
      </c>
      <c r="E106" s="25" t="s">
        <v>8</v>
      </c>
      <c r="F106" s="27">
        <v>339.23</v>
      </c>
      <c r="G106" s="27">
        <v>54.28</v>
      </c>
      <c r="H106" s="27">
        <f t="shared" si="8"/>
        <v>393.51</v>
      </c>
      <c r="I106" s="28" t="s">
        <v>151</v>
      </c>
      <c r="J106" s="34"/>
      <c r="K106" s="34"/>
      <c r="L106" s="34"/>
    </row>
    <row r="107" ht="14.25" customHeight="1">
      <c r="A107" s="25">
        <v>154.0</v>
      </c>
      <c r="B107" s="26" t="s">
        <v>170</v>
      </c>
      <c r="C107" s="26" t="s">
        <v>195</v>
      </c>
      <c r="D107" s="3">
        <v>44552.0</v>
      </c>
      <c r="E107" s="25" t="s">
        <v>8</v>
      </c>
      <c r="F107" s="27">
        <v>205.78</v>
      </c>
      <c r="G107" s="27">
        <v>32.92</v>
      </c>
      <c r="H107" s="27">
        <f t="shared" si="8"/>
        <v>238.7</v>
      </c>
      <c r="I107" s="28" t="s">
        <v>151</v>
      </c>
      <c r="J107" s="34"/>
      <c r="K107" s="34"/>
      <c r="L107" s="34"/>
    </row>
    <row r="108" ht="14.25" customHeight="1">
      <c r="A108" s="25">
        <v>155.0</v>
      </c>
      <c r="B108" s="26" t="s">
        <v>170</v>
      </c>
      <c r="C108" s="26" t="s">
        <v>200</v>
      </c>
      <c r="D108" s="3">
        <v>44552.0</v>
      </c>
      <c r="E108" s="25" t="s">
        <v>8</v>
      </c>
      <c r="F108" s="27">
        <v>256.86</v>
      </c>
      <c r="G108" s="27">
        <v>41.1</v>
      </c>
      <c r="H108" s="27">
        <f t="shared" si="8"/>
        <v>297.96</v>
      </c>
      <c r="I108" s="28" t="s">
        <v>151</v>
      </c>
      <c r="J108" s="34"/>
      <c r="K108" s="34"/>
      <c r="L108" s="34"/>
    </row>
    <row r="109" ht="14.25" customHeight="1">
      <c r="A109" s="65">
        <v>156.0</v>
      </c>
      <c r="B109" s="66" t="s">
        <v>146</v>
      </c>
      <c r="C109" s="67"/>
      <c r="D109" s="68"/>
      <c r="E109" s="65"/>
      <c r="F109" s="69"/>
      <c r="G109" s="69"/>
      <c r="H109" s="69">
        <f t="shared" si="8"/>
        <v>0</v>
      </c>
      <c r="I109" s="70"/>
      <c r="J109" s="71"/>
      <c r="K109" s="71"/>
      <c r="L109" s="71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</row>
    <row r="110" ht="14.25" customHeight="1">
      <c r="A110" s="25">
        <v>157.0</v>
      </c>
      <c r="B110" s="26" t="s">
        <v>170</v>
      </c>
      <c r="C110" s="26" t="s">
        <v>195</v>
      </c>
      <c r="D110" s="3">
        <v>44552.0</v>
      </c>
      <c r="E110" s="25" t="s">
        <v>8</v>
      </c>
      <c r="F110" s="27">
        <v>164.18</v>
      </c>
      <c r="G110" s="27">
        <v>26.27</v>
      </c>
      <c r="H110" s="27">
        <f t="shared" si="8"/>
        <v>190.45</v>
      </c>
      <c r="I110" s="28" t="s">
        <v>151</v>
      </c>
      <c r="J110" s="34"/>
      <c r="K110" s="34"/>
      <c r="L110" s="34"/>
    </row>
    <row r="111" ht="14.25" customHeight="1">
      <c r="A111" s="25">
        <v>158.0</v>
      </c>
      <c r="B111" s="26" t="s">
        <v>170</v>
      </c>
      <c r="C111" s="26" t="s">
        <v>201</v>
      </c>
      <c r="D111" s="3">
        <v>44560.0</v>
      </c>
      <c r="E111" s="25" t="s">
        <v>8</v>
      </c>
      <c r="F111" s="27">
        <v>385.3</v>
      </c>
      <c r="G111" s="27">
        <v>61.65</v>
      </c>
      <c r="H111" s="27">
        <f t="shared" si="8"/>
        <v>446.95</v>
      </c>
      <c r="I111" s="28" t="s">
        <v>202</v>
      </c>
      <c r="J111" s="34" t="s">
        <v>203</v>
      </c>
      <c r="K111" s="34"/>
      <c r="L111" s="34"/>
    </row>
    <row r="112" ht="14.25" customHeight="1">
      <c r="A112" s="65">
        <v>159.0</v>
      </c>
      <c r="B112" s="66" t="s">
        <v>146</v>
      </c>
      <c r="C112" s="67"/>
      <c r="D112" s="68"/>
      <c r="E112" s="65"/>
      <c r="F112" s="69"/>
      <c r="G112" s="69"/>
      <c r="H112" s="69">
        <f t="shared" si="8"/>
        <v>0</v>
      </c>
      <c r="I112" s="70"/>
      <c r="J112" s="71"/>
      <c r="K112" s="71"/>
      <c r="L112" s="71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X112" s="72"/>
      <c r="Y112" s="72"/>
      <c r="Z112" s="72"/>
    </row>
    <row r="113" ht="14.25" customHeight="1">
      <c r="A113" s="25">
        <v>160.0</v>
      </c>
      <c r="B113" s="26" t="s">
        <v>170</v>
      </c>
      <c r="C113" s="26" t="s">
        <v>204</v>
      </c>
      <c r="D113" s="3">
        <v>44560.0</v>
      </c>
      <c r="E113" s="25" t="s">
        <v>8</v>
      </c>
      <c r="F113" s="27">
        <v>209.19</v>
      </c>
      <c r="G113" s="27">
        <v>33.47</v>
      </c>
      <c r="H113" s="27">
        <f t="shared" si="8"/>
        <v>242.66</v>
      </c>
      <c r="I113" s="28" t="s">
        <v>181</v>
      </c>
      <c r="J113" s="34" t="s">
        <v>205</v>
      </c>
      <c r="K113" s="34"/>
      <c r="L113" s="34"/>
    </row>
    <row r="114" ht="14.25" customHeight="1">
      <c r="A114" s="25">
        <v>161.0</v>
      </c>
      <c r="B114" s="26" t="s">
        <v>170</v>
      </c>
      <c r="C114" s="26" t="s">
        <v>206</v>
      </c>
      <c r="D114" s="3">
        <v>44560.0</v>
      </c>
      <c r="E114" s="25" t="s">
        <v>8</v>
      </c>
      <c r="F114" s="27">
        <v>20611.84</v>
      </c>
      <c r="G114" s="27">
        <v>3297.89</v>
      </c>
      <c r="H114" s="27">
        <f t="shared" si="8"/>
        <v>23909.73</v>
      </c>
      <c r="I114" s="28" t="s">
        <v>151</v>
      </c>
      <c r="J114" s="34" t="s">
        <v>207</v>
      </c>
      <c r="K114" s="34"/>
      <c r="L114" s="34"/>
    </row>
    <row r="115" ht="14.25" customHeight="1">
      <c r="A115" s="25">
        <v>162.0</v>
      </c>
      <c r="B115" s="26" t="s">
        <v>170</v>
      </c>
      <c r="C115" s="26" t="s">
        <v>208</v>
      </c>
      <c r="D115" s="3">
        <v>44560.0</v>
      </c>
      <c r="E115" s="25" t="s">
        <v>8</v>
      </c>
      <c r="F115" s="27">
        <v>922.53</v>
      </c>
      <c r="G115" s="27">
        <v>147.6</v>
      </c>
      <c r="H115" s="27">
        <f t="shared" si="8"/>
        <v>1070.13</v>
      </c>
      <c r="I115" s="28" t="s">
        <v>151</v>
      </c>
      <c r="J115" s="34" t="s">
        <v>209</v>
      </c>
      <c r="K115" s="34"/>
      <c r="L115" s="34"/>
    </row>
    <row r="116" ht="14.25" customHeight="1">
      <c r="A116" s="25">
        <v>163.0</v>
      </c>
      <c r="B116" s="26" t="s">
        <v>170</v>
      </c>
      <c r="C116" s="26" t="s">
        <v>210</v>
      </c>
      <c r="D116" s="3">
        <v>44560.0</v>
      </c>
      <c r="E116" s="25" t="s">
        <v>8</v>
      </c>
      <c r="F116" s="27">
        <v>426.46</v>
      </c>
      <c r="G116" s="27">
        <v>68.23</v>
      </c>
      <c r="H116" s="27">
        <f t="shared" si="8"/>
        <v>494.69</v>
      </c>
      <c r="I116" s="28"/>
      <c r="J116" s="34" t="s">
        <v>211</v>
      </c>
      <c r="K116" s="34"/>
      <c r="L116" s="34"/>
    </row>
    <row r="117" ht="14.25" customHeight="1">
      <c r="A117" s="25">
        <v>164.0</v>
      </c>
      <c r="B117" s="26" t="s">
        <v>170</v>
      </c>
      <c r="C117" s="26" t="s">
        <v>212</v>
      </c>
      <c r="D117" s="3">
        <v>44560.0</v>
      </c>
      <c r="E117" s="25" t="s">
        <v>8</v>
      </c>
      <c r="F117" s="27">
        <v>16771.4</v>
      </c>
      <c r="G117" s="27">
        <v>2683.42</v>
      </c>
      <c r="H117" s="27">
        <f t="shared" si="8"/>
        <v>19454.82</v>
      </c>
      <c r="I117" s="28" t="s">
        <v>151</v>
      </c>
      <c r="J117" s="34" t="s">
        <v>213</v>
      </c>
      <c r="K117" s="34"/>
      <c r="L117" s="34"/>
    </row>
    <row r="118" ht="14.25" customHeight="1">
      <c r="A118" s="25">
        <v>165.0</v>
      </c>
      <c r="B118" s="26" t="s">
        <v>170</v>
      </c>
      <c r="C118" s="26" t="s">
        <v>214</v>
      </c>
      <c r="D118" s="3">
        <v>44560.0</v>
      </c>
      <c r="E118" s="25" t="s">
        <v>8</v>
      </c>
      <c r="F118" s="27">
        <v>696.07</v>
      </c>
      <c r="G118" s="27">
        <v>111.37</v>
      </c>
      <c r="H118" s="27">
        <f t="shared" si="8"/>
        <v>807.44</v>
      </c>
      <c r="I118" s="28" t="s">
        <v>151</v>
      </c>
      <c r="J118" s="34" t="s">
        <v>215</v>
      </c>
      <c r="K118" s="34"/>
      <c r="L118" s="34"/>
    </row>
    <row r="119" ht="14.25" customHeight="1">
      <c r="A119" s="25">
        <v>166.0</v>
      </c>
      <c r="B119" s="26" t="s">
        <v>170</v>
      </c>
      <c r="C119" s="26" t="s">
        <v>216</v>
      </c>
      <c r="D119" s="3">
        <v>44560.0</v>
      </c>
      <c r="E119" s="25" t="s">
        <v>8</v>
      </c>
      <c r="F119" s="27">
        <v>17373.68</v>
      </c>
      <c r="G119" s="27">
        <v>2779.79</v>
      </c>
      <c r="H119" s="27">
        <f t="shared" si="8"/>
        <v>20153.47</v>
      </c>
      <c r="I119" s="28" t="s">
        <v>151</v>
      </c>
      <c r="J119" s="34" t="s">
        <v>217</v>
      </c>
      <c r="K119" s="34"/>
      <c r="L119" s="34"/>
    </row>
    <row r="120" ht="14.25" customHeight="1">
      <c r="A120" s="25">
        <v>168.0</v>
      </c>
      <c r="B120" s="64" t="s">
        <v>218</v>
      </c>
      <c r="C120" s="26" t="s">
        <v>219</v>
      </c>
      <c r="D120" s="3">
        <v>44871.0</v>
      </c>
      <c r="E120" s="25" t="s">
        <v>8</v>
      </c>
      <c r="F120" s="27">
        <v>41214.03</v>
      </c>
      <c r="G120" s="27">
        <v>6594.24</v>
      </c>
      <c r="H120" s="27">
        <f t="shared" si="8"/>
        <v>47808.27</v>
      </c>
      <c r="I120" s="28" t="s">
        <v>220</v>
      </c>
      <c r="J120" s="34"/>
      <c r="K120" s="34"/>
      <c r="L120" s="34"/>
    </row>
    <row r="121" ht="14.25" customHeight="1">
      <c r="A121" s="25">
        <v>170.0</v>
      </c>
      <c r="B121" s="64" t="s">
        <v>218</v>
      </c>
      <c r="C121" s="26" t="s">
        <v>219</v>
      </c>
      <c r="D121" s="3">
        <v>44603.0</v>
      </c>
      <c r="E121" s="25" t="s">
        <v>8</v>
      </c>
      <c r="F121" s="27">
        <v>20463.87</v>
      </c>
      <c r="G121" s="27">
        <v>3274.22</v>
      </c>
      <c r="H121" s="27">
        <f t="shared" si="8"/>
        <v>23738.09</v>
      </c>
      <c r="I121" s="28" t="s">
        <v>220</v>
      </c>
      <c r="J121" s="34" t="s">
        <v>221</v>
      </c>
      <c r="K121" s="34"/>
      <c r="L121" s="34"/>
    </row>
    <row r="122" ht="14.25" customHeight="1">
      <c r="A122" s="25">
        <v>173.0</v>
      </c>
      <c r="B122" s="64" t="s">
        <v>27</v>
      </c>
      <c r="C122" s="26" t="s">
        <v>222</v>
      </c>
      <c r="D122" s="3">
        <v>44606.0</v>
      </c>
      <c r="E122" s="25" t="s">
        <v>8</v>
      </c>
      <c r="F122" s="27">
        <v>24.65</v>
      </c>
      <c r="G122" s="27">
        <v>3.94</v>
      </c>
      <c r="H122" s="27">
        <f t="shared" si="8"/>
        <v>28.59</v>
      </c>
      <c r="I122" s="28"/>
      <c r="J122" s="34" t="s">
        <v>223</v>
      </c>
      <c r="K122" s="34"/>
      <c r="L122" s="34"/>
    </row>
    <row r="123" ht="14.25" customHeight="1">
      <c r="A123" s="25">
        <v>174.0</v>
      </c>
      <c r="B123" s="64" t="s">
        <v>224</v>
      </c>
      <c r="C123" s="26"/>
      <c r="D123" s="3"/>
      <c r="E123" s="25"/>
      <c r="F123" s="27"/>
      <c r="G123" s="27"/>
      <c r="H123" s="27"/>
      <c r="I123" s="28"/>
      <c r="J123" s="34" t="s">
        <v>225</v>
      </c>
      <c r="K123" s="34"/>
      <c r="L123" s="34"/>
    </row>
    <row r="124" ht="14.25" customHeight="1">
      <c r="A124" s="25">
        <v>177.0</v>
      </c>
      <c r="B124" s="64" t="s">
        <v>27</v>
      </c>
      <c r="C124" s="26" t="s">
        <v>222</v>
      </c>
      <c r="D124" s="3">
        <v>44656.0</v>
      </c>
      <c r="E124" s="25" t="s">
        <v>8</v>
      </c>
      <c r="F124" s="27">
        <v>4467.88</v>
      </c>
      <c r="G124" s="27">
        <v>714.86</v>
      </c>
      <c r="H124" s="27">
        <f t="shared" ref="H124:H127" si="9">F124+G124</f>
        <v>5182.74</v>
      </c>
      <c r="I124" s="28" t="s">
        <v>158</v>
      </c>
      <c r="J124" s="34" t="s">
        <v>226</v>
      </c>
      <c r="K124" s="34"/>
      <c r="L124" s="34"/>
    </row>
    <row r="125" ht="14.25" customHeight="1">
      <c r="A125" s="25">
        <v>178.0</v>
      </c>
      <c r="B125" s="64" t="s">
        <v>27</v>
      </c>
      <c r="C125" s="26" t="s">
        <v>227</v>
      </c>
      <c r="D125" s="3">
        <v>44656.0</v>
      </c>
      <c r="E125" s="25" t="s">
        <v>8</v>
      </c>
      <c r="F125" s="27">
        <v>2274.42</v>
      </c>
      <c r="G125" s="27">
        <v>363.91</v>
      </c>
      <c r="H125" s="27">
        <f t="shared" si="9"/>
        <v>2638.33</v>
      </c>
      <c r="I125" s="28" t="s">
        <v>158</v>
      </c>
      <c r="J125" s="34" t="s">
        <v>228</v>
      </c>
      <c r="K125" s="34"/>
      <c r="L125" s="34"/>
    </row>
    <row r="126" ht="14.25" customHeight="1">
      <c r="A126" s="25">
        <v>179.0</v>
      </c>
      <c r="B126" s="64" t="s">
        <v>27</v>
      </c>
      <c r="C126" s="26" t="s">
        <v>222</v>
      </c>
      <c r="D126" s="3">
        <v>44656.0</v>
      </c>
      <c r="E126" s="25" t="s">
        <v>8</v>
      </c>
      <c r="F126" s="27">
        <v>1053.49</v>
      </c>
      <c r="G126" s="27">
        <v>168.56</v>
      </c>
      <c r="H126" s="27">
        <f t="shared" si="9"/>
        <v>1222.05</v>
      </c>
      <c r="I126" s="28" t="s">
        <v>229</v>
      </c>
      <c r="J126" s="34" t="s">
        <v>230</v>
      </c>
      <c r="K126" s="34"/>
      <c r="L126" s="34"/>
    </row>
    <row r="127" ht="14.25" customHeight="1">
      <c r="A127" s="25">
        <v>180.0</v>
      </c>
      <c r="B127" s="64" t="s">
        <v>27</v>
      </c>
      <c r="C127" s="26" t="s">
        <v>227</v>
      </c>
      <c r="D127" s="3">
        <v>44656.0</v>
      </c>
      <c r="E127" s="25" t="s">
        <v>8</v>
      </c>
      <c r="F127" s="27">
        <v>483.61</v>
      </c>
      <c r="G127" s="27">
        <v>77.38</v>
      </c>
      <c r="H127" s="27">
        <f t="shared" si="9"/>
        <v>560.99</v>
      </c>
      <c r="I127" s="28" t="s">
        <v>229</v>
      </c>
      <c r="J127" s="34" t="s">
        <v>231</v>
      </c>
      <c r="K127" s="34"/>
      <c r="L127" s="34"/>
    </row>
    <row r="128" ht="14.25" customHeight="1">
      <c r="A128" s="25">
        <v>181.0</v>
      </c>
      <c r="B128" s="64" t="s">
        <v>43</v>
      </c>
      <c r="C128" s="26" t="s">
        <v>232</v>
      </c>
      <c r="D128" s="3">
        <v>44658.0</v>
      </c>
      <c r="E128" s="25" t="s">
        <v>8</v>
      </c>
      <c r="F128" s="27">
        <v>20106.37</v>
      </c>
      <c r="G128" s="27">
        <v>3217.02</v>
      </c>
      <c r="H128" s="27">
        <v>23323.39</v>
      </c>
      <c r="I128" s="28" t="s">
        <v>233</v>
      </c>
      <c r="J128" s="34" t="s">
        <v>234</v>
      </c>
      <c r="K128" s="34"/>
      <c r="L128" s="34"/>
    </row>
    <row r="129" ht="14.25" customHeight="1">
      <c r="A129" s="25">
        <v>183.0</v>
      </c>
      <c r="B129" s="64" t="s">
        <v>27</v>
      </c>
      <c r="C129" s="26" t="s">
        <v>235</v>
      </c>
      <c r="D129" s="3">
        <v>44664.0</v>
      </c>
      <c r="E129" s="25" t="s">
        <v>8</v>
      </c>
      <c r="F129" s="27">
        <v>24826.96</v>
      </c>
      <c r="G129" s="27">
        <v>3972.31</v>
      </c>
      <c r="H129" s="27">
        <v>28799.27</v>
      </c>
      <c r="I129" s="28" t="s">
        <v>229</v>
      </c>
      <c r="J129" s="34" t="s">
        <v>236</v>
      </c>
      <c r="K129" s="34"/>
      <c r="L129" s="34"/>
    </row>
    <row r="130" ht="14.25" customHeight="1">
      <c r="A130" s="25">
        <v>184.0</v>
      </c>
      <c r="B130" s="64" t="s">
        <v>27</v>
      </c>
      <c r="C130" s="26" t="s">
        <v>235</v>
      </c>
      <c r="D130" s="3">
        <v>44664.0</v>
      </c>
      <c r="E130" s="25" t="s">
        <v>8</v>
      </c>
      <c r="F130" s="27">
        <v>1271.14</v>
      </c>
      <c r="G130" s="27">
        <v>203.38</v>
      </c>
      <c r="H130" s="27">
        <v>1474.52</v>
      </c>
      <c r="I130" s="28" t="s">
        <v>229</v>
      </c>
      <c r="J130" s="34" t="s">
        <v>237</v>
      </c>
      <c r="K130" s="34"/>
      <c r="L130" s="34"/>
    </row>
    <row r="131" ht="14.25" customHeight="1">
      <c r="A131" s="25">
        <v>185.0</v>
      </c>
      <c r="B131" s="64" t="s">
        <v>31</v>
      </c>
      <c r="C131" s="26" t="s">
        <v>238</v>
      </c>
      <c r="D131" s="3">
        <v>44686.0</v>
      </c>
      <c r="E131" s="25" t="s">
        <v>8</v>
      </c>
      <c r="F131" s="27">
        <v>55106.05</v>
      </c>
      <c r="G131" s="27">
        <v>8816.97</v>
      </c>
      <c r="H131" s="27">
        <f t="shared" ref="H131:H202" si="10">+G131+F131</f>
        <v>63923.02</v>
      </c>
      <c r="I131" s="28" t="s">
        <v>239</v>
      </c>
      <c r="J131" s="34" t="s">
        <v>240</v>
      </c>
      <c r="K131" s="34"/>
      <c r="L131" s="34"/>
    </row>
    <row r="132" ht="14.25" customHeight="1">
      <c r="A132" s="25">
        <v>186.0</v>
      </c>
      <c r="B132" s="64" t="s">
        <v>31</v>
      </c>
      <c r="C132" s="26" t="s">
        <v>241</v>
      </c>
      <c r="D132" s="3">
        <v>44686.0</v>
      </c>
      <c r="E132" s="25" t="s">
        <v>8</v>
      </c>
      <c r="F132" s="27">
        <v>12826.7</v>
      </c>
      <c r="G132" s="27">
        <v>2052.27</v>
      </c>
      <c r="H132" s="27">
        <f t="shared" si="10"/>
        <v>14878.97</v>
      </c>
      <c r="I132" s="28" t="s">
        <v>239</v>
      </c>
      <c r="J132" s="34" t="s">
        <v>242</v>
      </c>
      <c r="K132" s="34"/>
      <c r="L132" s="34"/>
    </row>
    <row r="133" ht="14.25" customHeight="1">
      <c r="A133" s="25">
        <v>187.0</v>
      </c>
      <c r="B133" s="64" t="s">
        <v>31</v>
      </c>
      <c r="C133" s="26" t="s">
        <v>243</v>
      </c>
      <c r="D133" s="3">
        <v>44686.0</v>
      </c>
      <c r="E133" s="25" t="s">
        <v>8</v>
      </c>
      <c r="F133" s="27">
        <v>167.14</v>
      </c>
      <c r="G133" s="27">
        <v>26.74</v>
      </c>
      <c r="H133" s="27">
        <f t="shared" si="10"/>
        <v>193.88</v>
      </c>
      <c r="I133" s="28" t="s">
        <v>239</v>
      </c>
      <c r="J133" s="34" t="s">
        <v>244</v>
      </c>
      <c r="K133" s="34"/>
      <c r="L133" s="34"/>
    </row>
    <row r="134" ht="14.25" customHeight="1">
      <c r="A134" s="25">
        <v>188.0</v>
      </c>
      <c r="B134" s="64" t="s">
        <v>31</v>
      </c>
      <c r="C134" s="26" t="s">
        <v>245</v>
      </c>
      <c r="D134" s="3">
        <v>44686.0</v>
      </c>
      <c r="E134" s="25" t="s">
        <v>8</v>
      </c>
      <c r="F134" s="27">
        <v>113850.0</v>
      </c>
      <c r="G134" s="27">
        <v>18216.0</v>
      </c>
      <c r="H134" s="27">
        <f t="shared" si="10"/>
        <v>132066</v>
      </c>
      <c r="I134" s="28" t="s">
        <v>239</v>
      </c>
      <c r="J134" s="34" t="s">
        <v>246</v>
      </c>
      <c r="K134" s="34"/>
      <c r="L134" s="34"/>
    </row>
    <row r="135" ht="14.25" customHeight="1">
      <c r="A135" s="25">
        <v>190.0</v>
      </c>
      <c r="B135" s="64" t="s">
        <v>38</v>
      </c>
      <c r="C135" s="26" t="s">
        <v>247</v>
      </c>
      <c r="D135" s="3">
        <v>44686.0</v>
      </c>
      <c r="E135" s="25" t="s">
        <v>8</v>
      </c>
      <c r="F135" s="27">
        <v>69295.45</v>
      </c>
      <c r="G135" s="27">
        <v>11087.27</v>
      </c>
      <c r="H135" s="27">
        <f t="shared" si="10"/>
        <v>80382.72</v>
      </c>
      <c r="I135" s="28" t="s">
        <v>145</v>
      </c>
      <c r="J135" s="34" t="s">
        <v>248</v>
      </c>
      <c r="K135" s="34"/>
      <c r="L135" s="34"/>
    </row>
    <row r="136" ht="14.25" customHeight="1">
      <c r="A136" s="25">
        <v>191.0</v>
      </c>
      <c r="B136" s="64" t="s">
        <v>119</v>
      </c>
      <c r="C136" s="26" t="s">
        <v>249</v>
      </c>
      <c r="D136" s="3">
        <v>44686.0</v>
      </c>
      <c r="E136" s="25" t="s">
        <v>8</v>
      </c>
      <c r="F136" s="27">
        <v>273900.44</v>
      </c>
      <c r="G136" s="27">
        <v>43824.07</v>
      </c>
      <c r="H136" s="27">
        <f t="shared" si="10"/>
        <v>317724.51</v>
      </c>
      <c r="I136" s="28" t="s">
        <v>121</v>
      </c>
      <c r="J136" s="34" t="s">
        <v>250</v>
      </c>
      <c r="K136" s="34"/>
      <c r="L136" s="34"/>
    </row>
    <row r="137" ht="14.25" customHeight="1">
      <c r="A137" s="25">
        <v>192.0</v>
      </c>
      <c r="B137" s="64" t="s">
        <v>27</v>
      </c>
      <c r="C137" s="26" t="s">
        <v>251</v>
      </c>
      <c r="D137" s="3">
        <v>44692.0</v>
      </c>
      <c r="E137" s="25" t="s">
        <v>8</v>
      </c>
      <c r="F137" s="27">
        <v>23464.16</v>
      </c>
      <c r="G137" s="27">
        <v>3754.27</v>
      </c>
      <c r="H137" s="27">
        <f t="shared" si="10"/>
        <v>27218.43</v>
      </c>
      <c r="I137" s="28" t="s">
        <v>229</v>
      </c>
      <c r="J137" s="34" t="s">
        <v>252</v>
      </c>
      <c r="K137" s="34"/>
      <c r="L137" s="34"/>
    </row>
    <row r="138" ht="14.25" customHeight="1">
      <c r="A138" s="25">
        <v>193.0</v>
      </c>
      <c r="B138" s="64" t="s">
        <v>27</v>
      </c>
      <c r="C138" s="26" t="s">
        <v>253</v>
      </c>
      <c r="D138" s="3">
        <v>44692.0</v>
      </c>
      <c r="E138" s="25" t="s">
        <v>8</v>
      </c>
      <c r="F138" s="27">
        <v>560.3</v>
      </c>
      <c r="G138" s="27">
        <v>89.65</v>
      </c>
      <c r="H138" s="27">
        <f t="shared" si="10"/>
        <v>649.95</v>
      </c>
      <c r="I138" s="28" t="s">
        <v>229</v>
      </c>
      <c r="J138" s="34" t="s">
        <v>254</v>
      </c>
      <c r="K138" s="34"/>
      <c r="L138" s="34"/>
    </row>
    <row r="139" ht="14.25" customHeight="1">
      <c r="A139" s="25">
        <v>194.0</v>
      </c>
      <c r="B139" s="64" t="s">
        <v>27</v>
      </c>
      <c r="C139" s="26" t="s">
        <v>255</v>
      </c>
      <c r="D139" s="3">
        <v>44692.0</v>
      </c>
      <c r="E139" s="25" t="s">
        <v>8</v>
      </c>
      <c r="F139" s="27">
        <v>10214.47</v>
      </c>
      <c r="G139" s="27">
        <v>1634.32</v>
      </c>
      <c r="H139" s="27">
        <f t="shared" si="10"/>
        <v>11848.79</v>
      </c>
      <c r="I139" s="28" t="s">
        <v>229</v>
      </c>
      <c r="J139" s="34" t="s">
        <v>256</v>
      </c>
      <c r="K139" s="34"/>
      <c r="L139" s="34"/>
    </row>
    <row r="140" ht="14.25" customHeight="1">
      <c r="A140" s="25">
        <v>195.0</v>
      </c>
      <c r="B140" s="64" t="s">
        <v>27</v>
      </c>
      <c r="C140" s="26" t="s">
        <v>257</v>
      </c>
      <c r="D140" s="3">
        <v>44692.0</v>
      </c>
      <c r="E140" s="25" t="s">
        <v>8</v>
      </c>
      <c r="F140" s="27">
        <v>307.03</v>
      </c>
      <c r="G140" s="27">
        <v>49.12</v>
      </c>
      <c r="H140" s="27">
        <f t="shared" si="10"/>
        <v>356.15</v>
      </c>
      <c r="I140" s="28" t="s">
        <v>229</v>
      </c>
      <c r="J140" s="34" t="s">
        <v>258</v>
      </c>
      <c r="K140" s="34"/>
      <c r="L140" s="34"/>
    </row>
    <row r="141" ht="14.25" customHeight="1">
      <c r="A141" s="25">
        <v>196.0</v>
      </c>
      <c r="B141" s="64" t="s">
        <v>27</v>
      </c>
      <c r="C141" s="26" t="s">
        <v>259</v>
      </c>
      <c r="D141" s="3">
        <v>44704.0</v>
      </c>
      <c r="E141" s="25" t="s">
        <v>8</v>
      </c>
      <c r="F141" s="27">
        <v>2817.33</v>
      </c>
      <c r="G141" s="27">
        <v>450.77</v>
      </c>
      <c r="H141" s="27">
        <f t="shared" si="10"/>
        <v>3268.1</v>
      </c>
      <c r="I141" s="28" t="s">
        <v>229</v>
      </c>
      <c r="J141" s="34" t="s">
        <v>260</v>
      </c>
      <c r="K141" s="34"/>
      <c r="L141" s="34"/>
    </row>
    <row r="142" ht="14.25" customHeight="1">
      <c r="A142" s="25">
        <v>197.0</v>
      </c>
      <c r="B142" s="64" t="s">
        <v>27</v>
      </c>
      <c r="C142" s="26" t="s">
        <v>259</v>
      </c>
      <c r="D142" s="3">
        <v>44704.0</v>
      </c>
      <c r="E142" s="25" t="s">
        <v>8</v>
      </c>
      <c r="F142" s="27">
        <v>198.65</v>
      </c>
      <c r="G142" s="27">
        <v>31.78</v>
      </c>
      <c r="H142" s="27">
        <f t="shared" si="10"/>
        <v>230.43</v>
      </c>
      <c r="I142" s="28" t="s">
        <v>229</v>
      </c>
      <c r="J142" s="34" t="s">
        <v>261</v>
      </c>
      <c r="K142" s="34"/>
      <c r="L142" s="34"/>
    </row>
    <row r="143" ht="14.25" customHeight="1">
      <c r="A143" s="25">
        <v>198.0</v>
      </c>
      <c r="B143" s="64" t="s">
        <v>27</v>
      </c>
      <c r="C143" s="26" t="s">
        <v>262</v>
      </c>
      <c r="D143" s="3">
        <v>44704.0</v>
      </c>
      <c r="E143" s="25" t="s">
        <v>8</v>
      </c>
      <c r="F143" s="27">
        <v>131.59</v>
      </c>
      <c r="G143" s="27">
        <v>21.05</v>
      </c>
      <c r="H143" s="27">
        <f t="shared" si="10"/>
        <v>152.64</v>
      </c>
      <c r="I143" s="28" t="s">
        <v>229</v>
      </c>
      <c r="J143" s="34" t="s">
        <v>263</v>
      </c>
      <c r="K143" s="34"/>
      <c r="L143" s="34"/>
    </row>
    <row r="144" ht="14.25" customHeight="1">
      <c r="A144" s="25">
        <v>199.0</v>
      </c>
      <c r="B144" s="64" t="s">
        <v>43</v>
      </c>
      <c r="C144" s="26" t="s">
        <v>264</v>
      </c>
      <c r="D144" s="3">
        <v>44719.0</v>
      </c>
      <c r="E144" s="25" t="s">
        <v>8</v>
      </c>
      <c r="F144" s="27">
        <v>408.92</v>
      </c>
      <c r="G144" s="27">
        <v>65.43</v>
      </c>
      <c r="H144" s="27">
        <f t="shared" si="10"/>
        <v>474.35</v>
      </c>
      <c r="I144" s="28" t="s">
        <v>43</v>
      </c>
      <c r="J144" s="34" t="s">
        <v>265</v>
      </c>
      <c r="K144" s="34"/>
      <c r="L144" s="34"/>
    </row>
    <row r="145" ht="15.0" customHeight="1">
      <c r="A145" s="74">
        <v>200.0</v>
      </c>
      <c r="B145" s="75" t="s">
        <v>177</v>
      </c>
      <c r="C145" s="76" t="s">
        <v>266</v>
      </c>
      <c r="D145" s="77">
        <v>44722.0</v>
      </c>
      <c r="E145" s="74" t="s">
        <v>8</v>
      </c>
      <c r="F145" s="78">
        <v>25.79</v>
      </c>
      <c r="G145" s="78">
        <f t="shared" ref="G145:G202" si="11">F145*0.16</f>
        <v>4.1264</v>
      </c>
      <c r="H145" s="78">
        <f t="shared" si="10"/>
        <v>29.9164</v>
      </c>
      <c r="I145" s="79" t="s">
        <v>177</v>
      </c>
      <c r="J145" s="80" t="s">
        <v>267</v>
      </c>
      <c r="K145" s="80"/>
      <c r="L145" s="80" t="s">
        <v>268</v>
      </c>
    </row>
    <row r="146" ht="15.0" customHeight="1">
      <c r="A146" s="25">
        <v>201.0</v>
      </c>
      <c r="B146" s="64" t="s">
        <v>269</v>
      </c>
      <c r="C146" s="26" t="s">
        <v>266</v>
      </c>
      <c r="D146" s="3">
        <v>44722.0</v>
      </c>
      <c r="E146" s="25" t="s">
        <v>8</v>
      </c>
      <c r="F146" s="27">
        <v>25.29</v>
      </c>
      <c r="G146" s="27">
        <f t="shared" si="11"/>
        <v>4.0464</v>
      </c>
      <c r="H146" s="27">
        <f t="shared" si="10"/>
        <v>29.3364</v>
      </c>
      <c r="I146" s="28" t="s">
        <v>107</v>
      </c>
      <c r="J146" s="34" t="s">
        <v>270</v>
      </c>
      <c r="K146" s="34"/>
      <c r="L146" s="34"/>
    </row>
    <row r="147" ht="15.0" customHeight="1">
      <c r="A147" s="74">
        <v>202.0</v>
      </c>
      <c r="B147" s="75" t="s">
        <v>271</v>
      </c>
      <c r="C147" s="76" t="s">
        <v>266</v>
      </c>
      <c r="D147" s="77">
        <v>44722.0</v>
      </c>
      <c r="E147" s="74" t="s">
        <v>8</v>
      </c>
      <c r="F147" s="78">
        <v>15.29</v>
      </c>
      <c r="G147" s="78">
        <f t="shared" si="11"/>
        <v>2.4464</v>
      </c>
      <c r="H147" s="78">
        <f t="shared" si="10"/>
        <v>17.7364</v>
      </c>
      <c r="I147" s="79" t="s">
        <v>141</v>
      </c>
      <c r="J147" s="80" t="s">
        <v>272</v>
      </c>
      <c r="K147" s="80"/>
      <c r="L147" s="80" t="s">
        <v>268</v>
      </c>
    </row>
    <row r="148" ht="15.0" customHeight="1">
      <c r="A148" s="25">
        <v>203.0</v>
      </c>
      <c r="B148" s="64" t="s">
        <v>218</v>
      </c>
      <c r="C148" s="26" t="s">
        <v>266</v>
      </c>
      <c r="D148" s="3">
        <v>44722.0</v>
      </c>
      <c r="E148" s="25" t="s">
        <v>8</v>
      </c>
      <c r="F148" s="27">
        <v>11.41</v>
      </c>
      <c r="G148" s="27">
        <f t="shared" si="11"/>
        <v>1.8256</v>
      </c>
      <c r="H148" s="27">
        <f t="shared" si="10"/>
        <v>13.2356</v>
      </c>
      <c r="I148" s="28" t="s">
        <v>220</v>
      </c>
      <c r="J148" s="34" t="s">
        <v>273</v>
      </c>
      <c r="K148" s="34"/>
      <c r="L148" s="34"/>
    </row>
    <row r="149" ht="15.0" customHeight="1">
      <c r="A149" s="25">
        <v>204.0</v>
      </c>
      <c r="B149" s="64" t="s">
        <v>274</v>
      </c>
      <c r="C149" s="26" t="s">
        <v>266</v>
      </c>
      <c r="D149" s="3">
        <v>44722.0</v>
      </c>
      <c r="E149" s="25" t="s">
        <v>8</v>
      </c>
      <c r="F149" s="27">
        <v>138.72</v>
      </c>
      <c r="G149" s="27">
        <f t="shared" si="11"/>
        <v>22.1952</v>
      </c>
      <c r="H149" s="27">
        <f t="shared" si="10"/>
        <v>160.9152</v>
      </c>
      <c r="I149" s="28" t="s">
        <v>130</v>
      </c>
      <c r="J149" s="34" t="s">
        <v>275</v>
      </c>
      <c r="K149" s="34"/>
      <c r="L149" s="34"/>
    </row>
    <row r="150" ht="15.0" customHeight="1">
      <c r="A150" s="74">
        <v>205.0</v>
      </c>
      <c r="B150" s="75" t="s">
        <v>276</v>
      </c>
      <c r="C150" s="76" t="s">
        <v>266</v>
      </c>
      <c r="D150" s="77">
        <v>44722.0</v>
      </c>
      <c r="E150" s="74" t="s">
        <v>8</v>
      </c>
      <c r="F150" s="78">
        <v>87.15</v>
      </c>
      <c r="G150" s="78">
        <f t="shared" si="11"/>
        <v>13.944</v>
      </c>
      <c r="H150" s="78">
        <f t="shared" si="10"/>
        <v>101.094</v>
      </c>
      <c r="I150" s="79" t="s">
        <v>276</v>
      </c>
      <c r="J150" s="80" t="s">
        <v>277</v>
      </c>
      <c r="K150" s="80"/>
      <c r="L150" s="80" t="s">
        <v>268</v>
      </c>
    </row>
    <row r="151" ht="15.0" customHeight="1">
      <c r="A151" s="25">
        <v>206.0</v>
      </c>
      <c r="B151" s="64" t="s">
        <v>36</v>
      </c>
      <c r="C151" s="26" t="s">
        <v>266</v>
      </c>
      <c r="D151" s="3">
        <v>44722.0</v>
      </c>
      <c r="E151" s="25" t="s">
        <v>8</v>
      </c>
      <c r="F151" s="27">
        <v>20.73</v>
      </c>
      <c r="G151" s="27">
        <f t="shared" si="11"/>
        <v>3.3168</v>
      </c>
      <c r="H151" s="27">
        <f t="shared" si="10"/>
        <v>24.0468</v>
      </c>
      <c r="I151" s="28" t="s">
        <v>278</v>
      </c>
      <c r="J151" s="34" t="s">
        <v>279</v>
      </c>
      <c r="K151" s="34"/>
      <c r="L151" s="34"/>
    </row>
    <row r="152" ht="14.25" customHeight="1">
      <c r="A152" s="25">
        <v>207.0</v>
      </c>
      <c r="B152" s="64" t="s">
        <v>38</v>
      </c>
      <c r="C152" s="26" t="s">
        <v>266</v>
      </c>
      <c r="D152" s="3">
        <v>44722.0</v>
      </c>
      <c r="E152" s="25" t="s">
        <v>8</v>
      </c>
      <c r="F152" s="27">
        <v>338.28</v>
      </c>
      <c r="G152" s="27">
        <f t="shared" si="11"/>
        <v>54.1248</v>
      </c>
      <c r="H152" s="27">
        <f t="shared" si="10"/>
        <v>392.4048</v>
      </c>
      <c r="I152" s="28" t="s">
        <v>38</v>
      </c>
      <c r="J152" s="34" t="s">
        <v>280</v>
      </c>
      <c r="K152" s="34"/>
      <c r="L152" s="34"/>
    </row>
    <row r="153" ht="14.25" customHeight="1">
      <c r="A153" s="25">
        <v>208.0</v>
      </c>
      <c r="B153" s="64" t="s">
        <v>114</v>
      </c>
      <c r="C153" s="26" t="s">
        <v>266</v>
      </c>
      <c r="D153" s="3">
        <v>44722.0</v>
      </c>
      <c r="E153" s="25" t="s">
        <v>8</v>
      </c>
      <c r="F153" s="27">
        <v>573.45</v>
      </c>
      <c r="G153" s="27">
        <f t="shared" si="11"/>
        <v>91.752</v>
      </c>
      <c r="H153" s="27">
        <f t="shared" si="10"/>
        <v>665.202</v>
      </c>
      <c r="I153" s="28" t="s">
        <v>116</v>
      </c>
      <c r="J153" s="34" t="s">
        <v>281</v>
      </c>
      <c r="K153" s="34"/>
      <c r="L153" s="34"/>
    </row>
    <row r="154" ht="14.25" customHeight="1">
      <c r="A154" s="25">
        <v>209.0</v>
      </c>
      <c r="B154" s="64" t="s">
        <v>119</v>
      </c>
      <c r="C154" s="26" t="s">
        <v>266</v>
      </c>
      <c r="D154" s="3">
        <v>44722.0</v>
      </c>
      <c r="E154" s="25" t="s">
        <v>8</v>
      </c>
      <c r="F154" s="27">
        <v>15.38</v>
      </c>
      <c r="G154" s="27">
        <f t="shared" si="11"/>
        <v>2.4608</v>
      </c>
      <c r="H154" s="27">
        <f t="shared" si="10"/>
        <v>17.8408</v>
      </c>
      <c r="I154" s="28" t="s">
        <v>121</v>
      </c>
      <c r="J154" s="34" t="s">
        <v>282</v>
      </c>
      <c r="K154" s="34"/>
      <c r="L154" s="34"/>
    </row>
    <row r="155" ht="14.25" customHeight="1">
      <c r="A155" s="25">
        <v>210.0</v>
      </c>
      <c r="B155" s="64" t="s">
        <v>43</v>
      </c>
      <c r="C155" s="26" t="s">
        <v>266</v>
      </c>
      <c r="D155" s="3">
        <v>44722.0</v>
      </c>
      <c r="E155" s="25" t="s">
        <v>8</v>
      </c>
      <c r="F155" s="27">
        <v>40.91</v>
      </c>
      <c r="G155" s="27">
        <f t="shared" si="11"/>
        <v>6.5456</v>
      </c>
      <c r="H155" s="27">
        <f t="shared" si="10"/>
        <v>47.4556</v>
      </c>
      <c r="I155" s="28" t="s">
        <v>43</v>
      </c>
      <c r="J155" s="34" t="s">
        <v>283</v>
      </c>
      <c r="K155" s="34"/>
      <c r="L155" s="34"/>
    </row>
    <row r="156" ht="14.25" customHeight="1">
      <c r="A156" s="25">
        <v>211.0</v>
      </c>
      <c r="B156" s="64" t="s">
        <v>27</v>
      </c>
      <c r="C156" s="26" t="s">
        <v>266</v>
      </c>
      <c r="D156" s="3">
        <v>44722.0</v>
      </c>
      <c r="E156" s="25" t="s">
        <v>8</v>
      </c>
      <c r="F156" s="27">
        <v>166.01</v>
      </c>
      <c r="G156" s="27">
        <f t="shared" si="11"/>
        <v>26.5616</v>
      </c>
      <c r="H156" s="27">
        <f t="shared" si="10"/>
        <v>192.5716</v>
      </c>
      <c r="I156" s="28" t="s">
        <v>158</v>
      </c>
      <c r="J156" s="34" t="s">
        <v>284</v>
      </c>
      <c r="K156" s="34"/>
      <c r="L156" s="34"/>
    </row>
    <row r="157" ht="14.25" customHeight="1">
      <c r="A157" s="25">
        <v>212.0</v>
      </c>
      <c r="B157" s="64" t="s">
        <v>27</v>
      </c>
      <c r="C157" s="26" t="s">
        <v>266</v>
      </c>
      <c r="D157" s="3">
        <v>44722.0</v>
      </c>
      <c r="E157" s="25" t="s">
        <v>8</v>
      </c>
      <c r="F157" s="27">
        <v>445.07</v>
      </c>
      <c r="G157" s="27">
        <f t="shared" si="11"/>
        <v>71.2112</v>
      </c>
      <c r="H157" s="27">
        <f t="shared" si="10"/>
        <v>516.2812</v>
      </c>
      <c r="I157" s="28" t="s">
        <v>151</v>
      </c>
      <c r="J157" s="34" t="s">
        <v>285</v>
      </c>
      <c r="K157" s="34"/>
      <c r="L157" s="34"/>
    </row>
    <row r="158" ht="14.25" customHeight="1">
      <c r="A158" s="25">
        <v>213.0</v>
      </c>
      <c r="B158" s="64" t="s">
        <v>27</v>
      </c>
      <c r="C158" s="26" t="s">
        <v>286</v>
      </c>
      <c r="D158" s="3">
        <v>44727.0</v>
      </c>
      <c r="E158" s="25" t="s">
        <v>8</v>
      </c>
      <c r="F158" s="27">
        <v>10947.89</v>
      </c>
      <c r="G158" s="27">
        <f t="shared" si="11"/>
        <v>1751.6624</v>
      </c>
      <c r="H158" s="27">
        <f t="shared" si="10"/>
        <v>12699.5524</v>
      </c>
      <c r="I158" s="28" t="s">
        <v>158</v>
      </c>
      <c r="J158" s="34" t="s">
        <v>287</v>
      </c>
      <c r="K158" s="34"/>
      <c r="L158" s="34"/>
    </row>
    <row r="159" ht="14.25" customHeight="1">
      <c r="A159" s="25">
        <v>214.0</v>
      </c>
      <c r="B159" s="64" t="s">
        <v>27</v>
      </c>
      <c r="C159" s="26" t="s">
        <v>288</v>
      </c>
      <c r="D159" s="3">
        <v>44727.0</v>
      </c>
      <c r="E159" s="25" t="s">
        <v>8</v>
      </c>
      <c r="F159" s="27">
        <v>12023.77</v>
      </c>
      <c r="G159" s="27">
        <f t="shared" si="11"/>
        <v>1923.8032</v>
      </c>
      <c r="H159" s="27">
        <f t="shared" si="10"/>
        <v>13947.5732</v>
      </c>
      <c r="I159" s="28" t="s">
        <v>158</v>
      </c>
      <c r="J159" s="34" t="s">
        <v>289</v>
      </c>
      <c r="K159" s="34"/>
      <c r="L159" s="34"/>
    </row>
    <row r="160" ht="14.25" customHeight="1">
      <c r="A160" s="25">
        <v>215.0</v>
      </c>
      <c r="B160" s="64" t="s">
        <v>27</v>
      </c>
      <c r="C160" s="26" t="s">
        <v>290</v>
      </c>
      <c r="D160" s="3">
        <v>44727.0</v>
      </c>
      <c r="E160" s="25" t="s">
        <v>8</v>
      </c>
      <c r="F160" s="27">
        <v>3165.17</v>
      </c>
      <c r="G160" s="27">
        <f t="shared" si="11"/>
        <v>506.4272</v>
      </c>
      <c r="H160" s="27">
        <f t="shared" si="10"/>
        <v>3671.5972</v>
      </c>
      <c r="I160" s="28" t="s">
        <v>151</v>
      </c>
      <c r="J160" s="34" t="s">
        <v>291</v>
      </c>
      <c r="K160" s="34"/>
      <c r="L160" s="34"/>
    </row>
    <row r="161" ht="14.25" customHeight="1">
      <c r="A161" s="25">
        <v>216.0</v>
      </c>
      <c r="B161" s="64" t="s">
        <v>27</v>
      </c>
      <c r="C161" s="26" t="s">
        <v>288</v>
      </c>
      <c r="D161" s="3">
        <v>44727.0</v>
      </c>
      <c r="E161" s="25" t="s">
        <v>8</v>
      </c>
      <c r="F161" s="27">
        <v>7596.42</v>
      </c>
      <c r="G161" s="27">
        <f t="shared" si="11"/>
        <v>1215.4272</v>
      </c>
      <c r="H161" s="27">
        <f t="shared" si="10"/>
        <v>8811.8472</v>
      </c>
      <c r="I161" s="28" t="s">
        <v>151</v>
      </c>
      <c r="J161" s="34" t="s">
        <v>292</v>
      </c>
      <c r="K161" s="34"/>
      <c r="L161" s="34"/>
    </row>
    <row r="162" ht="14.25" customHeight="1">
      <c r="A162" s="25">
        <v>217.0</v>
      </c>
      <c r="B162" s="64" t="s">
        <v>27</v>
      </c>
      <c r="C162" s="26" t="s">
        <v>293</v>
      </c>
      <c r="D162" s="3">
        <v>44727.0</v>
      </c>
      <c r="E162" s="25" t="s">
        <v>8</v>
      </c>
      <c r="F162" s="27">
        <v>180.89</v>
      </c>
      <c r="G162" s="27">
        <f t="shared" si="11"/>
        <v>28.9424</v>
      </c>
      <c r="H162" s="27">
        <f t="shared" si="10"/>
        <v>209.8324</v>
      </c>
      <c r="I162" s="28" t="s">
        <v>151</v>
      </c>
      <c r="J162" s="34" t="s">
        <v>294</v>
      </c>
      <c r="K162" s="34"/>
      <c r="L162" s="34"/>
    </row>
    <row r="163" ht="14.25" customHeight="1">
      <c r="A163" s="25">
        <v>218.0</v>
      </c>
      <c r="B163" s="64" t="s">
        <v>27</v>
      </c>
      <c r="C163" s="26" t="s">
        <v>295</v>
      </c>
      <c r="D163" s="3">
        <v>44727.0</v>
      </c>
      <c r="E163" s="25" t="s">
        <v>8</v>
      </c>
      <c r="F163" s="27">
        <v>434.13</v>
      </c>
      <c r="G163" s="27">
        <f t="shared" si="11"/>
        <v>69.4608</v>
      </c>
      <c r="H163" s="27">
        <f t="shared" si="10"/>
        <v>503.5908</v>
      </c>
      <c r="I163" s="28" t="s">
        <v>151</v>
      </c>
      <c r="J163" s="34" t="s">
        <v>296</v>
      </c>
      <c r="K163" s="34"/>
      <c r="L163" s="34"/>
    </row>
    <row r="164" ht="14.25" customHeight="1">
      <c r="A164" s="25">
        <v>219.0</v>
      </c>
      <c r="B164" s="64" t="s">
        <v>27</v>
      </c>
      <c r="C164" s="26" t="s">
        <v>297</v>
      </c>
      <c r="D164" s="3">
        <v>44727.0</v>
      </c>
      <c r="E164" s="25" t="s">
        <v>8</v>
      </c>
      <c r="F164" s="27">
        <v>8726.96</v>
      </c>
      <c r="G164" s="27">
        <f t="shared" si="11"/>
        <v>1396.3136</v>
      </c>
      <c r="H164" s="27">
        <f t="shared" si="10"/>
        <v>10123.2736</v>
      </c>
      <c r="I164" s="28" t="s">
        <v>151</v>
      </c>
      <c r="J164" s="34" t="s">
        <v>298</v>
      </c>
      <c r="K164" s="34"/>
      <c r="L164" s="34"/>
    </row>
    <row r="165" ht="14.25" customHeight="1">
      <c r="A165" s="25">
        <v>220.0</v>
      </c>
      <c r="B165" s="64" t="s">
        <v>27</v>
      </c>
      <c r="C165" s="26" t="s">
        <v>299</v>
      </c>
      <c r="D165" s="3">
        <v>44727.0</v>
      </c>
      <c r="E165" s="25" t="s">
        <v>8</v>
      </c>
      <c r="F165" s="27">
        <v>486.75</v>
      </c>
      <c r="G165" s="27">
        <f t="shared" si="11"/>
        <v>77.88</v>
      </c>
      <c r="H165" s="27">
        <f t="shared" si="10"/>
        <v>564.63</v>
      </c>
      <c r="I165" s="28" t="s">
        <v>151</v>
      </c>
      <c r="J165" s="34" t="s">
        <v>300</v>
      </c>
      <c r="K165" s="34"/>
      <c r="L165" s="34"/>
    </row>
    <row r="166" ht="14.25" customHeight="1">
      <c r="A166" s="25">
        <v>221.0</v>
      </c>
      <c r="B166" s="64" t="s">
        <v>276</v>
      </c>
      <c r="C166" s="26" t="s">
        <v>266</v>
      </c>
      <c r="D166" s="3">
        <v>44733.0</v>
      </c>
      <c r="E166" s="25" t="s">
        <v>8</v>
      </c>
      <c r="F166" s="27">
        <v>87.15</v>
      </c>
      <c r="G166" s="27">
        <f t="shared" si="11"/>
        <v>13.944</v>
      </c>
      <c r="H166" s="27">
        <f t="shared" si="10"/>
        <v>101.094</v>
      </c>
      <c r="I166" s="28" t="s">
        <v>276</v>
      </c>
      <c r="J166" s="34" t="s">
        <v>301</v>
      </c>
      <c r="K166" s="34"/>
      <c r="L166" s="34"/>
    </row>
    <row r="167" ht="14.25" customHeight="1">
      <c r="A167" s="65">
        <v>222.0</v>
      </c>
      <c r="B167" s="66" t="s">
        <v>177</v>
      </c>
      <c r="C167" s="67" t="s">
        <v>266</v>
      </c>
      <c r="D167" s="68">
        <v>44740.0</v>
      </c>
      <c r="E167" s="65" t="s">
        <v>302</v>
      </c>
      <c r="F167" s="69">
        <v>25.79</v>
      </c>
      <c r="G167" s="69">
        <f t="shared" si="11"/>
        <v>4.1264</v>
      </c>
      <c r="H167" s="69">
        <f t="shared" si="10"/>
        <v>29.9164</v>
      </c>
      <c r="I167" s="70" t="s">
        <v>177</v>
      </c>
      <c r="J167" s="71" t="s">
        <v>267</v>
      </c>
      <c r="K167" s="71"/>
      <c r="L167" s="71" t="s">
        <v>268</v>
      </c>
    </row>
    <row r="168" ht="14.25" customHeight="1">
      <c r="A168" s="65">
        <v>223.0</v>
      </c>
      <c r="B168" s="66" t="s">
        <v>271</v>
      </c>
      <c r="C168" s="67" t="s">
        <v>266</v>
      </c>
      <c r="D168" s="68">
        <v>44722.0</v>
      </c>
      <c r="E168" s="65" t="s">
        <v>8</v>
      </c>
      <c r="F168" s="69">
        <v>15.29</v>
      </c>
      <c r="G168" s="69">
        <f t="shared" si="11"/>
        <v>2.4464</v>
      </c>
      <c r="H168" s="69">
        <f t="shared" si="10"/>
        <v>17.7364</v>
      </c>
      <c r="I168" s="70" t="s">
        <v>141</v>
      </c>
      <c r="J168" s="71" t="s">
        <v>272</v>
      </c>
      <c r="K168" s="71"/>
      <c r="L168" s="71" t="s">
        <v>268</v>
      </c>
    </row>
    <row r="169" ht="14.25" customHeight="1">
      <c r="A169" s="25">
        <v>224.0</v>
      </c>
      <c r="B169" s="64" t="s">
        <v>177</v>
      </c>
      <c r="C169" s="26" t="s">
        <v>266</v>
      </c>
      <c r="D169" s="3">
        <v>44740.0</v>
      </c>
      <c r="E169" s="25" t="s">
        <v>302</v>
      </c>
      <c r="F169" s="27">
        <v>25.79</v>
      </c>
      <c r="G169" s="27">
        <f t="shared" si="11"/>
        <v>4.1264</v>
      </c>
      <c r="H169" s="27">
        <f t="shared" si="10"/>
        <v>29.9164</v>
      </c>
      <c r="I169" s="28" t="s">
        <v>177</v>
      </c>
      <c r="J169" s="34" t="s">
        <v>267</v>
      </c>
      <c r="K169" s="34"/>
      <c r="L169" s="34"/>
    </row>
    <row r="170" ht="14.25" customHeight="1">
      <c r="A170" s="25">
        <v>225.0</v>
      </c>
      <c r="B170" s="64" t="s">
        <v>271</v>
      </c>
      <c r="C170" s="26" t="s">
        <v>266</v>
      </c>
      <c r="D170" s="3">
        <v>44722.0</v>
      </c>
      <c r="E170" s="25" t="s">
        <v>8</v>
      </c>
      <c r="F170" s="27">
        <v>15.29</v>
      </c>
      <c r="G170" s="27">
        <f t="shared" si="11"/>
        <v>2.4464</v>
      </c>
      <c r="H170" s="27">
        <f t="shared" si="10"/>
        <v>17.7364</v>
      </c>
      <c r="I170" s="28" t="s">
        <v>141</v>
      </c>
      <c r="J170" s="34" t="s">
        <v>272</v>
      </c>
      <c r="K170" s="34"/>
      <c r="L170" s="34"/>
    </row>
    <row r="171" ht="14.25" customHeight="1">
      <c r="A171" s="25">
        <v>226.0</v>
      </c>
      <c r="B171" s="64" t="s">
        <v>27</v>
      </c>
      <c r="C171" s="26" t="s">
        <v>303</v>
      </c>
      <c r="D171" s="3">
        <v>44748.0</v>
      </c>
      <c r="E171" s="25" t="s">
        <v>8</v>
      </c>
      <c r="F171" s="27">
        <v>3793.74</v>
      </c>
      <c r="G171" s="27">
        <f t="shared" si="11"/>
        <v>606.9984</v>
      </c>
      <c r="H171" s="27">
        <f t="shared" si="10"/>
        <v>4400.7384</v>
      </c>
      <c r="I171" s="28" t="s">
        <v>158</v>
      </c>
      <c r="J171" s="34" t="s">
        <v>304</v>
      </c>
      <c r="K171" s="34"/>
      <c r="L171" s="34"/>
    </row>
    <row r="172" ht="14.25" customHeight="1">
      <c r="A172" s="25">
        <v>227.0</v>
      </c>
      <c r="B172" s="64" t="s">
        <v>27</v>
      </c>
      <c r="C172" s="26" t="s">
        <v>305</v>
      </c>
      <c r="D172" s="3">
        <v>44748.0</v>
      </c>
      <c r="E172" s="25" t="s">
        <v>8</v>
      </c>
      <c r="F172" s="27">
        <v>1541.99</v>
      </c>
      <c r="G172" s="27">
        <f t="shared" si="11"/>
        <v>246.7184</v>
      </c>
      <c r="H172" s="27">
        <f t="shared" si="10"/>
        <v>1788.7084</v>
      </c>
      <c r="I172" s="28" t="s">
        <v>158</v>
      </c>
      <c r="J172" s="34" t="s">
        <v>287</v>
      </c>
      <c r="K172" s="34"/>
      <c r="L172" s="34"/>
    </row>
    <row r="173" ht="14.25" customHeight="1">
      <c r="A173" s="25">
        <v>228.0</v>
      </c>
      <c r="B173" s="64" t="s">
        <v>38</v>
      </c>
      <c r="C173" s="26" t="s">
        <v>306</v>
      </c>
      <c r="D173" s="3">
        <v>44753.0</v>
      </c>
      <c r="E173" s="25" t="s">
        <v>8</v>
      </c>
      <c r="F173" s="27">
        <v>16932.9</v>
      </c>
      <c r="G173" s="27">
        <f t="shared" si="11"/>
        <v>2709.264</v>
      </c>
      <c r="H173" s="27">
        <f t="shared" si="10"/>
        <v>19642.164</v>
      </c>
      <c r="I173" s="28" t="s">
        <v>38</v>
      </c>
      <c r="J173" s="34" t="s">
        <v>307</v>
      </c>
      <c r="K173" s="34"/>
      <c r="L173" s="34"/>
    </row>
    <row r="174" ht="14.25" customHeight="1">
      <c r="A174" s="25">
        <v>229.0</v>
      </c>
      <c r="B174" s="64" t="s">
        <v>38</v>
      </c>
      <c r="C174" s="26" t="s">
        <v>308</v>
      </c>
      <c r="D174" s="3">
        <v>44753.0</v>
      </c>
      <c r="E174" s="25" t="s">
        <v>8</v>
      </c>
      <c r="F174" s="27">
        <v>26902.68</v>
      </c>
      <c r="G174" s="27">
        <f t="shared" si="11"/>
        <v>4304.4288</v>
      </c>
      <c r="H174" s="27">
        <f t="shared" si="10"/>
        <v>31207.1088</v>
      </c>
      <c r="I174" s="28" t="s">
        <v>38</v>
      </c>
      <c r="J174" s="34" t="s">
        <v>309</v>
      </c>
      <c r="K174" s="34"/>
      <c r="L174" s="34"/>
    </row>
    <row r="175" ht="14.25" customHeight="1">
      <c r="A175" s="65">
        <v>230.0</v>
      </c>
      <c r="B175" s="66" t="s">
        <v>38</v>
      </c>
      <c r="C175" s="67" t="s">
        <v>146</v>
      </c>
      <c r="D175" s="68"/>
      <c r="E175" s="65"/>
      <c r="F175" s="69"/>
      <c r="G175" s="69">
        <f t="shared" si="11"/>
        <v>0</v>
      </c>
      <c r="H175" s="69">
        <f t="shared" si="10"/>
        <v>0</v>
      </c>
      <c r="I175" s="70"/>
      <c r="J175" s="71"/>
      <c r="K175" s="71"/>
      <c r="L175" s="34"/>
    </row>
    <row r="176" ht="14.25" customHeight="1">
      <c r="A176" s="25">
        <v>232.0</v>
      </c>
      <c r="B176" s="64" t="s">
        <v>27</v>
      </c>
      <c r="C176" s="26" t="s">
        <v>310</v>
      </c>
      <c r="D176" s="3">
        <v>44775.0</v>
      </c>
      <c r="E176" s="25" t="s">
        <v>311</v>
      </c>
      <c r="F176" s="27">
        <v>46.22</v>
      </c>
      <c r="G176" s="27">
        <f t="shared" si="11"/>
        <v>7.3952</v>
      </c>
      <c r="H176" s="27">
        <f t="shared" si="10"/>
        <v>53.6152</v>
      </c>
      <c r="I176" s="28" t="s">
        <v>151</v>
      </c>
      <c r="J176" s="34" t="s">
        <v>312</v>
      </c>
      <c r="K176" s="34"/>
      <c r="L176" s="34"/>
    </row>
    <row r="177" ht="14.25" customHeight="1">
      <c r="A177" s="25">
        <v>233.0</v>
      </c>
      <c r="B177" s="64" t="s">
        <v>27</v>
      </c>
      <c r="C177" s="26" t="s">
        <v>313</v>
      </c>
      <c r="D177" s="3">
        <v>44775.0</v>
      </c>
      <c r="E177" s="25" t="s">
        <v>311</v>
      </c>
      <c r="F177" s="27">
        <v>153.36</v>
      </c>
      <c r="G177" s="27">
        <f t="shared" si="11"/>
        <v>24.5376</v>
      </c>
      <c r="H177" s="27">
        <f t="shared" si="10"/>
        <v>177.8976</v>
      </c>
      <c r="I177" s="28" t="s">
        <v>151</v>
      </c>
      <c r="J177" s="34" t="s">
        <v>314</v>
      </c>
      <c r="K177" s="34"/>
      <c r="L177" s="34"/>
    </row>
    <row r="178" ht="14.25" customHeight="1">
      <c r="A178" s="65">
        <v>234.0</v>
      </c>
      <c r="B178" s="66" t="s">
        <v>315</v>
      </c>
      <c r="C178" s="67" t="s">
        <v>316</v>
      </c>
      <c r="D178" s="68"/>
      <c r="E178" s="65"/>
      <c r="F178" s="69"/>
      <c r="G178" s="69">
        <f t="shared" si="11"/>
        <v>0</v>
      </c>
      <c r="H178" s="69">
        <f t="shared" si="10"/>
        <v>0</v>
      </c>
      <c r="I178" s="70"/>
      <c r="J178" s="71"/>
      <c r="K178" s="71"/>
      <c r="L178" s="34"/>
    </row>
    <row r="179" ht="14.25" customHeight="1">
      <c r="A179" s="65">
        <v>235.0</v>
      </c>
      <c r="B179" s="66" t="s">
        <v>315</v>
      </c>
      <c r="C179" s="67" t="s">
        <v>316</v>
      </c>
      <c r="D179" s="68"/>
      <c r="E179" s="65"/>
      <c r="F179" s="69"/>
      <c r="G179" s="69">
        <f t="shared" si="11"/>
        <v>0</v>
      </c>
      <c r="H179" s="69">
        <f t="shared" si="10"/>
        <v>0</v>
      </c>
      <c r="I179" s="70"/>
      <c r="J179" s="71"/>
      <c r="K179" s="71"/>
      <c r="L179" s="34"/>
    </row>
    <row r="180" ht="14.25" customHeight="1">
      <c r="A180" s="65">
        <v>236.0</v>
      </c>
      <c r="B180" s="66" t="s">
        <v>315</v>
      </c>
      <c r="C180" s="67" t="s">
        <v>316</v>
      </c>
      <c r="D180" s="68"/>
      <c r="E180" s="65"/>
      <c r="F180" s="69"/>
      <c r="G180" s="69">
        <f t="shared" si="11"/>
        <v>0</v>
      </c>
      <c r="H180" s="69">
        <f t="shared" si="10"/>
        <v>0</v>
      </c>
      <c r="I180" s="70"/>
      <c r="J180" s="71"/>
      <c r="K180" s="71"/>
      <c r="L180" s="34"/>
    </row>
    <row r="181" ht="14.25" customHeight="1">
      <c r="A181" s="65">
        <v>238.0</v>
      </c>
      <c r="B181" s="66" t="s">
        <v>38</v>
      </c>
      <c r="C181" s="67" t="s">
        <v>317</v>
      </c>
      <c r="D181" s="68">
        <v>44796.0</v>
      </c>
      <c r="E181" s="65" t="s">
        <v>311</v>
      </c>
      <c r="F181" s="69">
        <v>14653.1</v>
      </c>
      <c r="G181" s="69">
        <f t="shared" si="11"/>
        <v>2344.496</v>
      </c>
      <c r="H181" s="69">
        <f t="shared" si="10"/>
        <v>16997.596</v>
      </c>
      <c r="I181" s="70"/>
      <c r="J181" s="71" t="s">
        <v>318</v>
      </c>
      <c r="K181" s="71"/>
      <c r="L181" s="34"/>
    </row>
    <row r="182" ht="14.25" customHeight="1">
      <c r="A182" s="65">
        <v>239.0</v>
      </c>
      <c r="B182" s="66" t="s">
        <v>38</v>
      </c>
      <c r="C182" s="67" t="s">
        <v>319</v>
      </c>
      <c r="D182" s="68">
        <v>44796.0</v>
      </c>
      <c r="E182" s="65" t="s">
        <v>311</v>
      </c>
      <c r="F182" s="69">
        <v>87395.95</v>
      </c>
      <c r="G182" s="69">
        <f t="shared" si="11"/>
        <v>13983.352</v>
      </c>
      <c r="H182" s="69">
        <f t="shared" si="10"/>
        <v>101379.302</v>
      </c>
      <c r="I182" s="70" t="s">
        <v>38</v>
      </c>
      <c r="J182" s="71" t="s">
        <v>320</v>
      </c>
      <c r="K182" s="71"/>
      <c r="L182" s="34"/>
    </row>
    <row r="183" ht="14.25" customHeight="1">
      <c r="A183" s="65">
        <v>240.0</v>
      </c>
      <c r="B183" s="66" t="s">
        <v>38</v>
      </c>
      <c r="C183" s="67" t="s">
        <v>321</v>
      </c>
      <c r="D183" s="68">
        <v>44796.0</v>
      </c>
      <c r="E183" s="65" t="s">
        <v>311</v>
      </c>
      <c r="F183" s="69">
        <v>52682.25</v>
      </c>
      <c r="G183" s="69">
        <f t="shared" si="11"/>
        <v>8429.16</v>
      </c>
      <c r="H183" s="69">
        <f t="shared" si="10"/>
        <v>61111.41</v>
      </c>
      <c r="I183" s="70" t="s">
        <v>38</v>
      </c>
      <c r="J183" s="71" t="s">
        <v>322</v>
      </c>
      <c r="K183" s="71"/>
      <c r="L183" s="34"/>
    </row>
    <row r="184" ht="14.25" customHeight="1">
      <c r="A184" s="25">
        <v>243.0</v>
      </c>
      <c r="B184" s="64" t="s">
        <v>27</v>
      </c>
      <c r="C184" s="26" t="s">
        <v>323</v>
      </c>
      <c r="D184" s="3">
        <v>44811.0</v>
      </c>
      <c r="E184" s="25" t="s">
        <v>311</v>
      </c>
      <c r="F184" s="27">
        <v>3905.0</v>
      </c>
      <c r="G184" s="27">
        <f t="shared" si="11"/>
        <v>624.8</v>
      </c>
      <c r="H184" s="27">
        <f t="shared" si="10"/>
        <v>4529.8</v>
      </c>
      <c r="I184" s="28" t="s">
        <v>158</v>
      </c>
      <c r="J184" s="34" t="s">
        <v>324</v>
      </c>
      <c r="K184" s="34"/>
      <c r="L184" s="34"/>
    </row>
    <row r="185" ht="14.25" customHeight="1">
      <c r="A185" s="25">
        <v>244.0</v>
      </c>
      <c r="B185" s="64" t="s">
        <v>27</v>
      </c>
      <c r="C185" s="26" t="s">
        <v>325</v>
      </c>
      <c r="D185" s="3">
        <v>44811.0</v>
      </c>
      <c r="E185" s="25" t="s">
        <v>311</v>
      </c>
      <c r="F185" s="27">
        <v>4424.69</v>
      </c>
      <c r="G185" s="27">
        <f t="shared" si="11"/>
        <v>707.9504</v>
      </c>
      <c r="H185" s="27">
        <f t="shared" si="10"/>
        <v>5132.6404</v>
      </c>
      <c r="I185" s="28" t="s">
        <v>158</v>
      </c>
      <c r="J185" s="34" t="s">
        <v>326</v>
      </c>
      <c r="K185" s="34"/>
      <c r="L185" s="34"/>
    </row>
    <row r="186" ht="14.25" customHeight="1">
      <c r="A186" s="25">
        <v>245.0</v>
      </c>
      <c r="B186" s="64" t="s">
        <v>27</v>
      </c>
      <c r="C186" s="26" t="s">
        <v>327</v>
      </c>
      <c r="D186" s="3">
        <v>44811.0</v>
      </c>
      <c r="E186" s="25" t="s">
        <v>311</v>
      </c>
      <c r="F186" s="27">
        <v>15182.48</v>
      </c>
      <c r="G186" s="27">
        <f t="shared" si="11"/>
        <v>2429.1968</v>
      </c>
      <c r="H186" s="27">
        <f t="shared" si="10"/>
        <v>17611.6768</v>
      </c>
      <c r="I186" s="28" t="s">
        <v>229</v>
      </c>
      <c r="J186" s="34" t="s">
        <v>328</v>
      </c>
      <c r="K186" s="34"/>
      <c r="L186" s="34"/>
    </row>
    <row r="187" ht="14.25" customHeight="1">
      <c r="A187" s="65">
        <v>246.0</v>
      </c>
      <c r="B187" s="66" t="s">
        <v>27</v>
      </c>
      <c r="C187" s="67" t="s">
        <v>329</v>
      </c>
      <c r="D187" s="68">
        <v>44811.0</v>
      </c>
      <c r="E187" s="65" t="s">
        <v>311</v>
      </c>
      <c r="F187" s="69">
        <v>818.2</v>
      </c>
      <c r="G187" s="69">
        <f t="shared" si="11"/>
        <v>130.912</v>
      </c>
      <c r="H187" s="69">
        <f t="shared" si="10"/>
        <v>949.112</v>
      </c>
      <c r="I187" s="70" t="s">
        <v>229</v>
      </c>
      <c r="J187" s="71" t="s">
        <v>330</v>
      </c>
      <c r="K187" s="71"/>
      <c r="L187" s="34"/>
    </row>
    <row r="188" ht="14.25" customHeight="1">
      <c r="A188" s="25">
        <v>247.0</v>
      </c>
      <c r="B188" s="64" t="s">
        <v>27</v>
      </c>
      <c r="C188" s="26" t="s">
        <v>331</v>
      </c>
      <c r="D188" s="3">
        <v>44811.0</v>
      </c>
      <c r="E188" s="25" t="s">
        <v>311</v>
      </c>
      <c r="F188" s="27">
        <v>19129.94</v>
      </c>
      <c r="G188" s="27">
        <f t="shared" si="11"/>
        <v>3060.7904</v>
      </c>
      <c r="H188" s="27">
        <f t="shared" si="10"/>
        <v>22190.7304</v>
      </c>
      <c r="I188" s="28" t="s">
        <v>229</v>
      </c>
      <c r="J188" s="34" t="s">
        <v>332</v>
      </c>
      <c r="K188" s="34"/>
      <c r="L188" s="34"/>
    </row>
    <row r="189" ht="14.25" customHeight="1">
      <c r="A189" s="25">
        <v>248.0</v>
      </c>
      <c r="B189" s="64" t="s">
        <v>27</v>
      </c>
      <c r="C189" s="26" t="s">
        <v>333</v>
      </c>
      <c r="D189" s="3">
        <v>44811.0</v>
      </c>
      <c r="E189" s="25" t="s">
        <v>311</v>
      </c>
      <c r="F189" s="27">
        <v>1061.84</v>
      </c>
      <c r="G189" s="27">
        <f t="shared" si="11"/>
        <v>169.8944</v>
      </c>
      <c r="H189" s="27">
        <f t="shared" si="10"/>
        <v>1231.7344</v>
      </c>
      <c r="I189" s="28" t="s">
        <v>229</v>
      </c>
      <c r="J189" s="34" t="s">
        <v>334</v>
      </c>
      <c r="K189" s="34"/>
      <c r="L189" s="34"/>
    </row>
    <row r="190" ht="14.25" customHeight="1">
      <c r="A190" s="25">
        <v>249.0</v>
      </c>
      <c r="B190" s="64" t="s">
        <v>27</v>
      </c>
      <c r="C190" s="26" t="s">
        <v>335</v>
      </c>
      <c r="D190" s="3">
        <v>44811.0</v>
      </c>
      <c r="E190" s="25" t="s">
        <v>311</v>
      </c>
      <c r="F190" s="27">
        <v>22897.46</v>
      </c>
      <c r="G190" s="27">
        <f t="shared" si="11"/>
        <v>3663.5936</v>
      </c>
      <c r="H190" s="27">
        <f t="shared" si="10"/>
        <v>26561.0536</v>
      </c>
      <c r="I190" s="28" t="s">
        <v>229</v>
      </c>
      <c r="J190" s="34" t="s">
        <v>336</v>
      </c>
      <c r="K190" s="34"/>
      <c r="L190" s="34"/>
    </row>
    <row r="191" ht="14.25" customHeight="1">
      <c r="A191" s="25">
        <v>250.0</v>
      </c>
      <c r="B191" s="64" t="s">
        <v>27</v>
      </c>
      <c r="C191" s="26" t="s">
        <v>337</v>
      </c>
      <c r="D191" s="3">
        <v>44811.0</v>
      </c>
      <c r="E191" s="25" t="s">
        <v>311</v>
      </c>
      <c r="F191" s="27">
        <v>1163.68</v>
      </c>
      <c r="G191" s="27">
        <f t="shared" si="11"/>
        <v>186.1888</v>
      </c>
      <c r="H191" s="27">
        <f t="shared" si="10"/>
        <v>1349.8688</v>
      </c>
      <c r="I191" s="28" t="s">
        <v>229</v>
      </c>
      <c r="J191" s="34" t="s">
        <v>338</v>
      </c>
      <c r="K191" s="34"/>
      <c r="L191" s="34"/>
    </row>
    <row r="192" ht="14.25" customHeight="1">
      <c r="A192" s="65">
        <v>251.0</v>
      </c>
      <c r="B192" s="66" t="s">
        <v>38</v>
      </c>
      <c r="C192" s="67" t="s">
        <v>317</v>
      </c>
      <c r="D192" s="68">
        <v>44796.0</v>
      </c>
      <c r="E192" s="65" t="s">
        <v>311</v>
      </c>
      <c r="F192" s="69">
        <v>14653.1</v>
      </c>
      <c r="G192" s="69">
        <f t="shared" si="11"/>
        <v>2344.496</v>
      </c>
      <c r="H192" s="69">
        <f t="shared" si="10"/>
        <v>16997.596</v>
      </c>
      <c r="I192" s="70"/>
      <c r="J192" s="71" t="s">
        <v>146</v>
      </c>
      <c r="K192" s="71"/>
      <c r="L192" s="34"/>
    </row>
    <row r="193" ht="14.25" customHeight="1">
      <c r="A193" s="65">
        <v>252.0</v>
      </c>
      <c r="B193" s="66" t="s">
        <v>38</v>
      </c>
      <c r="C193" s="67" t="s">
        <v>339</v>
      </c>
      <c r="D193" s="68"/>
      <c r="E193" s="65"/>
      <c r="F193" s="69"/>
      <c r="G193" s="69">
        <f t="shared" si="11"/>
        <v>0</v>
      </c>
      <c r="H193" s="69">
        <f t="shared" si="10"/>
        <v>0</v>
      </c>
      <c r="I193" s="70"/>
      <c r="J193" s="71"/>
      <c r="K193" s="71"/>
      <c r="L193" s="34"/>
    </row>
    <row r="194" ht="14.25" customHeight="1">
      <c r="A194" s="25">
        <v>253.0</v>
      </c>
      <c r="B194" s="64" t="s">
        <v>38</v>
      </c>
      <c r="C194" s="26" t="s">
        <v>317</v>
      </c>
      <c r="D194" s="3">
        <v>44825.0</v>
      </c>
      <c r="E194" s="25" t="s">
        <v>311</v>
      </c>
      <c r="F194" s="27">
        <v>14653.1</v>
      </c>
      <c r="G194" s="27">
        <f t="shared" si="11"/>
        <v>2344.496</v>
      </c>
      <c r="H194" s="27">
        <f t="shared" si="10"/>
        <v>16997.596</v>
      </c>
      <c r="I194" s="28"/>
      <c r="J194" s="34" t="s">
        <v>340</v>
      </c>
      <c r="K194" s="34"/>
      <c r="L194" s="34"/>
    </row>
    <row r="195" ht="14.25" customHeight="1">
      <c r="A195" s="25">
        <v>254.0</v>
      </c>
      <c r="B195" s="64" t="s">
        <v>271</v>
      </c>
      <c r="C195" s="26" t="s">
        <v>341</v>
      </c>
      <c r="D195" s="3">
        <v>44830.0</v>
      </c>
      <c r="E195" s="25" t="s">
        <v>311</v>
      </c>
      <c r="F195" s="27">
        <v>4031.01</v>
      </c>
      <c r="G195" s="27">
        <f t="shared" si="11"/>
        <v>644.9616</v>
      </c>
      <c r="H195" s="27">
        <f t="shared" si="10"/>
        <v>4675.9716</v>
      </c>
      <c r="I195" s="28"/>
      <c r="J195" s="34" t="s">
        <v>342</v>
      </c>
      <c r="K195" s="34"/>
      <c r="L195" s="34"/>
    </row>
    <row r="196" ht="14.25" customHeight="1">
      <c r="A196" s="25">
        <v>255.0</v>
      </c>
      <c r="B196" s="64" t="s">
        <v>38</v>
      </c>
      <c r="C196" s="26" t="s">
        <v>319</v>
      </c>
      <c r="D196" s="3">
        <v>44833.0</v>
      </c>
      <c r="E196" s="25" t="s">
        <v>311</v>
      </c>
      <c r="F196" s="27">
        <v>87395.95</v>
      </c>
      <c r="G196" s="27">
        <f t="shared" si="11"/>
        <v>13983.352</v>
      </c>
      <c r="H196" s="27">
        <f t="shared" si="10"/>
        <v>101379.302</v>
      </c>
      <c r="I196" s="28" t="s">
        <v>38</v>
      </c>
      <c r="J196" s="34" t="s">
        <v>320</v>
      </c>
      <c r="K196" s="34"/>
      <c r="L196" s="34"/>
    </row>
    <row r="197" ht="14.25" customHeight="1">
      <c r="A197" s="25">
        <v>256.0</v>
      </c>
      <c r="B197" s="64" t="s">
        <v>38</v>
      </c>
      <c r="C197" s="26" t="s">
        <v>321</v>
      </c>
      <c r="D197" s="3">
        <v>44833.0</v>
      </c>
      <c r="E197" s="25" t="s">
        <v>311</v>
      </c>
      <c r="F197" s="27">
        <v>52682.25</v>
      </c>
      <c r="G197" s="27">
        <f t="shared" si="11"/>
        <v>8429.16</v>
      </c>
      <c r="H197" s="27">
        <f t="shared" si="10"/>
        <v>61111.41</v>
      </c>
      <c r="I197" s="28" t="s">
        <v>38</v>
      </c>
      <c r="J197" s="34" t="s">
        <v>322</v>
      </c>
      <c r="K197" s="34"/>
      <c r="L197" s="34"/>
    </row>
    <row r="198" ht="14.25" customHeight="1">
      <c r="A198" s="65">
        <v>257.0</v>
      </c>
      <c r="B198" s="66" t="s">
        <v>276</v>
      </c>
      <c r="C198" s="67" t="s">
        <v>343</v>
      </c>
      <c r="D198" s="68">
        <v>44854.0</v>
      </c>
      <c r="E198" s="65" t="s">
        <v>311</v>
      </c>
      <c r="F198" s="69">
        <v>35357.09</v>
      </c>
      <c r="G198" s="69">
        <f t="shared" si="11"/>
        <v>5657.1344</v>
      </c>
      <c r="H198" s="69">
        <f t="shared" si="10"/>
        <v>41014.2244</v>
      </c>
      <c r="I198" s="70" t="s">
        <v>276</v>
      </c>
      <c r="J198" s="71" t="s">
        <v>344</v>
      </c>
      <c r="K198" s="71"/>
      <c r="L198" s="34" t="s">
        <v>345</v>
      </c>
    </row>
    <row r="199" ht="14.25" customHeight="1">
      <c r="A199" s="65">
        <v>258.0</v>
      </c>
      <c r="B199" s="66" t="s">
        <v>276</v>
      </c>
      <c r="C199" s="67" t="s">
        <v>343</v>
      </c>
      <c r="D199" s="68">
        <v>44854.0</v>
      </c>
      <c r="E199" s="65" t="s">
        <v>311</v>
      </c>
      <c r="F199" s="69">
        <v>35357.09</v>
      </c>
      <c r="G199" s="69">
        <f t="shared" si="11"/>
        <v>5657.1344</v>
      </c>
      <c r="H199" s="69">
        <f t="shared" si="10"/>
        <v>41014.2244</v>
      </c>
      <c r="I199" s="70" t="s">
        <v>276</v>
      </c>
      <c r="J199" s="71" t="s">
        <v>344</v>
      </c>
      <c r="K199" s="71"/>
      <c r="L199" s="34" t="s">
        <v>345</v>
      </c>
    </row>
    <row r="200" ht="14.25" customHeight="1">
      <c r="A200" s="65">
        <v>259.0</v>
      </c>
      <c r="B200" s="66" t="s">
        <v>276</v>
      </c>
      <c r="C200" s="67" t="s">
        <v>343</v>
      </c>
      <c r="D200" s="68">
        <v>44854.0</v>
      </c>
      <c r="E200" s="65" t="s">
        <v>311</v>
      </c>
      <c r="F200" s="69">
        <v>35357.09</v>
      </c>
      <c r="G200" s="69">
        <f t="shared" si="11"/>
        <v>5657.1344</v>
      </c>
      <c r="H200" s="69">
        <f t="shared" si="10"/>
        <v>41014.2244</v>
      </c>
      <c r="I200" s="70" t="s">
        <v>276</v>
      </c>
      <c r="J200" s="71" t="s">
        <v>344</v>
      </c>
      <c r="K200" s="71"/>
      <c r="L200" s="34" t="s">
        <v>345</v>
      </c>
    </row>
    <row r="201" ht="14.25" customHeight="1">
      <c r="A201" s="25">
        <v>260.0</v>
      </c>
      <c r="B201" s="64" t="s">
        <v>276</v>
      </c>
      <c r="C201" s="26" t="s">
        <v>343</v>
      </c>
      <c r="D201" s="3">
        <v>44854.0</v>
      </c>
      <c r="E201" s="25" t="s">
        <v>311</v>
      </c>
      <c r="F201" s="27">
        <v>35357.09</v>
      </c>
      <c r="G201" s="27">
        <f t="shared" si="11"/>
        <v>5657.1344</v>
      </c>
      <c r="H201" s="27">
        <f t="shared" si="10"/>
        <v>41014.2244</v>
      </c>
      <c r="I201" s="28" t="s">
        <v>276</v>
      </c>
      <c r="J201" s="34" t="s">
        <v>346</v>
      </c>
      <c r="K201" s="34"/>
      <c r="L201" s="34" t="s">
        <v>347</v>
      </c>
    </row>
    <row r="202" ht="14.25" customHeight="1">
      <c r="A202" s="25">
        <v>261.0</v>
      </c>
      <c r="B202" s="64" t="s">
        <v>31</v>
      </c>
      <c r="C202" s="26" t="s">
        <v>348</v>
      </c>
      <c r="D202" s="3">
        <v>44861.0</v>
      </c>
      <c r="E202" s="25" t="s">
        <v>311</v>
      </c>
      <c r="F202" s="27">
        <v>28511.91</v>
      </c>
      <c r="G202" s="27">
        <f t="shared" si="11"/>
        <v>4561.9056</v>
      </c>
      <c r="H202" s="27">
        <f t="shared" si="10"/>
        <v>33073.8156</v>
      </c>
      <c r="I202" s="28" t="s">
        <v>349</v>
      </c>
      <c r="J202" s="34" t="s">
        <v>350</v>
      </c>
      <c r="K202" s="34"/>
      <c r="L202" s="34" t="s">
        <v>351</v>
      </c>
    </row>
    <row r="203" ht="14.25" customHeight="1">
      <c r="A203" s="65">
        <v>264.0</v>
      </c>
      <c r="B203" s="66" t="s">
        <v>146</v>
      </c>
      <c r="C203" s="67" t="s">
        <v>352</v>
      </c>
      <c r="D203" s="68"/>
      <c r="E203" s="65"/>
      <c r="F203" s="69"/>
      <c r="G203" s="69"/>
      <c r="H203" s="69"/>
      <c r="I203" s="70"/>
      <c r="J203" s="71"/>
      <c r="K203" s="71"/>
      <c r="L203" s="71" t="s">
        <v>353</v>
      </c>
    </row>
    <row r="204" ht="14.25" customHeight="1">
      <c r="A204" s="25">
        <v>265.0</v>
      </c>
      <c r="B204" s="64" t="s">
        <v>271</v>
      </c>
      <c r="C204" s="26" t="s">
        <v>354</v>
      </c>
      <c r="D204" s="3">
        <v>44873.0</v>
      </c>
      <c r="E204" s="25" t="s">
        <v>311</v>
      </c>
      <c r="F204" s="27">
        <v>63.54</v>
      </c>
      <c r="G204" s="27">
        <f t="shared" ref="G204:G263" si="12">F204*0.16</f>
        <v>10.1664</v>
      </c>
      <c r="H204" s="27">
        <f t="shared" ref="H204:H263" si="13">+G204+F204</f>
        <v>73.7064</v>
      </c>
      <c r="I204" s="28" t="s">
        <v>141</v>
      </c>
      <c r="J204" s="34" t="s">
        <v>355</v>
      </c>
      <c r="K204" s="34"/>
      <c r="L204" s="34" t="s">
        <v>356</v>
      </c>
    </row>
    <row r="205" ht="14.25" customHeight="1">
      <c r="A205" s="65">
        <v>266.0</v>
      </c>
      <c r="B205" s="66" t="s">
        <v>114</v>
      </c>
      <c r="C205" s="67" t="s">
        <v>357</v>
      </c>
      <c r="D205" s="68">
        <v>44888.0</v>
      </c>
      <c r="E205" s="65" t="s">
        <v>311</v>
      </c>
      <c r="F205" s="69">
        <v>332165.86</v>
      </c>
      <c r="G205" s="69">
        <f t="shared" si="12"/>
        <v>53146.5376</v>
      </c>
      <c r="H205" s="69">
        <f t="shared" si="13"/>
        <v>385312.3976</v>
      </c>
      <c r="I205" s="70" t="s">
        <v>116</v>
      </c>
      <c r="J205" s="71" t="s">
        <v>358</v>
      </c>
      <c r="K205" s="71"/>
      <c r="L205" s="71" t="s">
        <v>359</v>
      </c>
      <c r="M205" s="81" t="s">
        <v>360</v>
      </c>
    </row>
    <row r="206" ht="14.25" customHeight="1">
      <c r="A206" s="25">
        <v>267.0</v>
      </c>
      <c r="B206" s="64" t="s">
        <v>361</v>
      </c>
      <c r="C206" s="26" t="s">
        <v>362</v>
      </c>
      <c r="D206" s="3">
        <v>44889.0</v>
      </c>
      <c r="E206" s="25" t="s">
        <v>311</v>
      </c>
      <c r="F206" s="27">
        <v>23054.68</v>
      </c>
      <c r="G206" s="27">
        <f t="shared" si="12"/>
        <v>3688.7488</v>
      </c>
      <c r="H206" s="27">
        <f t="shared" si="13"/>
        <v>26743.4288</v>
      </c>
      <c r="I206" s="28" t="s">
        <v>363</v>
      </c>
      <c r="J206" s="34" t="s">
        <v>364</v>
      </c>
      <c r="K206" s="34"/>
      <c r="L206" s="34" t="s">
        <v>365</v>
      </c>
    </row>
    <row r="207" ht="14.25" customHeight="1">
      <c r="A207" s="25">
        <v>269.0</v>
      </c>
      <c r="B207" s="64" t="s">
        <v>177</v>
      </c>
      <c r="C207" s="26" t="s">
        <v>366</v>
      </c>
      <c r="D207" s="3">
        <v>44894.0</v>
      </c>
      <c r="E207" s="25" t="s">
        <v>311</v>
      </c>
      <c r="F207" s="27">
        <v>25.8</v>
      </c>
      <c r="G207" s="27">
        <f t="shared" si="12"/>
        <v>4.128</v>
      </c>
      <c r="H207" s="27">
        <f t="shared" si="13"/>
        <v>29.928</v>
      </c>
      <c r="I207" s="28" t="s">
        <v>177</v>
      </c>
      <c r="J207" s="34" t="s">
        <v>367</v>
      </c>
      <c r="K207" s="34"/>
      <c r="L207" s="34" t="s">
        <v>368</v>
      </c>
    </row>
    <row r="208" ht="14.25" customHeight="1">
      <c r="A208" s="25">
        <v>270.0</v>
      </c>
      <c r="B208" s="64" t="s">
        <v>43</v>
      </c>
      <c r="C208" s="26" t="s">
        <v>369</v>
      </c>
      <c r="D208" s="3">
        <v>44897.0</v>
      </c>
      <c r="E208" s="25" t="s">
        <v>311</v>
      </c>
      <c r="F208" s="27">
        <v>86206.9</v>
      </c>
      <c r="G208" s="27">
        <f t="shared" si="12"/>
        <v>13793.104</v>
      </c>
      <c r="H208" s="27">
        <f t="shared" si="13"/>
        <v>100000.004</v>
      </c>
      <c r="I208" s="28" t="s">
        <v>43</v>
      </c>
      <c r="J208" s="34" t="s">
        <v>370</v>
      </c>
      <c r="K208" s="34"/>
      <c r="L208" s="34"/>
    </row>
    <row r="209" ht="14.25" customHeight="1">
      <c r="A209" s="25">
        <v>273.0</v>
      </c>
      <c r="B209" s="64" t="s">
        <v>114</v>
      </c>
      <c r="C209" s="26" t="s">
        <v>357</v>
      </c>
      <c r="D209" s="3">
        <v>44903.0</v>
      </c>
      <c r="E209" s="25" t="s">
        <v>311</v>
      </c>
      <c r="F209" s="27">
        <v>342393.46</v>
      </c>
      <c r="G209" s="27">
        <f t="shared" si="12"/>
        <v>54782.9536</v>
      </c>
      <c r="H209" s="27">
        <f t="shared" si="13"/>
        <v>397176.4136</v>
      </c>
      <c r="I209" s="28" t="s">
        <v>116</v>
      </c>
      <c r="J209" s="34" t="s">
        <v>371</v>
      </c>
      <c r="K209" s="34"/>
      <c r="L209" s="34" t="s">
        <v>359</v>
      </c>
    </row>
    <row r="210" ht="14.25" customHeight="1">
      <c r="A210" s="65">
        <v>274.0</v>
      </c>
      <c r="B210" s="66" t="s">
        <v>43</v>
      </c>
      <c r="C210" s="67" t="s">
        <v>372</v>
      </c>
      <c r="D210" s="68">
        <v>44908.0</v>
      </c>
      <c r="E210" s="65" t="s">
        <v>311</v>
      </c>
      <c r="F210" s="69">
        <v>4488.18</v>
      </c>
      <c r="G210" s="69">
        <f t="shared" si="12"/>
        <v>718.1088</v>
      </c>
      <c r="H210" s="69">
        <f t="shared" si="13"/>
        <v>5206.2888</v>
      </c>
      <c r="I210" s="70" t="s">
        <v>43</v>
      </c>
      <c r="J210" s="71" t="s">
        <v>373</v>
      </c>
      <c r="K210" s="71"/>
      <c r="L210" s="71" t="s">
        <v>374</v>
      </c>
      <c r="M210" s="72" t="s">
        <v>375</v>
      </c>
    </row>
    <row r="211" ht="14.25" customHeight="1">
      <c r="A211" s="25">
        <v>276.0</v>
      </c>
      <c r="B211" s="64" t="s">
        <v>114</v>
      </c>
      <c r="C211" s="26" t="s">
        <v>357</v>
      </c>
      <c r="D211" s="3">
        <v>44918.0</v>
      </c>
      <c r="E211" s="25" t="s">
        <v>311</v>
      </c>
      <c r="F211" s="27">
        <v>342393.46</v>
      </c>
      <c r="G211" s="27">
        <f t="shared" si="12"/>
        <v>54782.9536</v>
      </c>
      <c r="H211" s="27">
        <f t="shared" si="13"/>
        <v>397176.4136</v>
      </c>
      <c r="I211" s="28" t="s">
        <v>116</v>
      </c>
      <c r="J211" s="34" t="s">
        <v>376</v>
      </c>
      <c r="K211" s="34"/>
      <c r="L211" s="34" t="s">
        <v>359</v>
      </c>
    </row>
    <row r="212" ht="14.25" customHeight="1">
      <c r="A212" s="25">
        <v>277.0</v>
      </c>
      <c r="B212" s="64" t="s">
        <v>27</v>
      </c>
      <c r="C212" s="26" t="s">
        <v>377</v>
      </c>
      <c r="D212" s="3">
        <v>44924.0</v>
      </c>
      <c r="E212" s="25" t="s">
        <v>311</v>
      </c>
      <c r="F212" s="27">
        <v>1761.3</v>
      </c>
      <c r="G212" s="27">
        <f t="shared" si="12"/>
        <v>281.808</v>
      </c>
      <c r="H212" s="27">
        <f t="shared" si="13"/>
        <v>2043.108</v>
      </c>
      <c r="I212" s="28" t="s">
        <v>229</v>
      </c>
      <c r="J212" s="34" t="s">
        <v>378</v>
      </c>
      <c r="K212" s="34"/>
      <c r="L212" s="34" t="s">
        <v>379</v>
      </c>
    </row>
    <row r="213" ht="14.25" customHeight="1">
      <c r="A213" s="25">
        <v>278.0</v>
      </c>
      <c r="B213" s="64" t="s">
        <v>27</v>
      </c>
      <c r="C213" s="26" t="s">
        <v>380</v>
      </c>
      <c r="D213" s="3">
        <v>44924.0</v>
      </c>
      <c r="E213" s="25" t="s">
        <v>311</v>
      </c>
      <c r="F213" s="27">
        <v>1076.31</v>
      </c>
      <c r="G213" s="27">
        <f t="shared" si="12"/>
        <v>172.2096</v>
      </c>
      <c r="H213" s="27">
        <f t="shared" si="13"/>
        <v>1248.5196</v>
      </c>
      <c r="I213" s="28" t="s">
        <v>229</v>
      </c>
      <c r="J213" s="34" t="s">
        <v>381</v>
      </c>
      <c r="K213" s="34"/>
      <c r="L213" s="34" t="s">
        <v>379</v>
      </c>
    </row>
    <row r="214" ht="14.25" customHeight="1">
      <c r="A214" s="25">
        <v>280.0</v>
      </c>
      <c r="B214" s="64" t="s">
        <v>27</v>
      </c>
      <c r="C214" s="26" t="s">
        <v>382</v>
      </c>
      <c r="D214" s="3">
        <v>44929.0</v>
      </c>
      <c r="E214" s="25" t="s">
        <v>311</v>
      </c>
      <c r="F214" s="27">
        <v>1292.66</v>
      </c>
      <c r="G214" s="27">
        <f t="shared" si="12"/>
        <v>206.8256</v>
      </c>
      <c r="H214" s="27">
        <f t="shared" si="13"/>
        <v>1499.4856</v>
      </c>
      <c r="I214" s="28" t="s">
        <v>158</v>
      </c>
      <c r="J214" s="34" t="s">
        <v>383</v>
      </c>
      <c r="K214" s="34"/>
      <c r="L214" s="34" t="s">
        <v>384</v>
      </c>
    </row>
    <row r="215" ht="14.25" customHeight="1">
      <c r="A215" s="25">
        <v>281.0</v>
      </c>
      <c r="B215" s="64" t="s">
        <v>27</v>
      </c>
      <c r="C215" s="26" t="s">
        <v>382</v>
      </c>
      <c r="D215" s="3">
        <v>44929.0</v>
      </c>
      <c r="E215" s="25" t="s">
        <v>311</v>
      </c>
      <c r="F215" s="27">
        <v>9300.55</v>
      </c>
      <c r="G215" s="27">
        <f t="shared" si="12"/>
        <v>1488.088</v>
      </c>
      <c r="H215" s="27">
        <f t="shared" si="13"/>
        <v>10788.638</v>
      </c>
      <c r="I215" s="28" t="s">
        <v>229</v>
      </c>
      <c r="J215" s="34" t="s">
        <v>385</v>
      </c>
      <c r="K215" s="34"/>
      <c r="L215" s="34" t="s">
        <v>384</v>
      </c>
    </row>
    <row r="216" ht="14.25" customHeight="1">
      <c r="A216" s="25">
        <v>282.0</v>
      </c>
      <c r="B216" s="64" t="s">
        <v>27</v>
      </c>
      <c r="C216" s="26" t="s">
        <v>386</v>
      </c>
      <c r="D216" s="3">
        <v>44929.0</v>
      </c>
      <c r="E216" s="25" t="s">
        <v>311</v>
      </c>
      <c r="F216" s="27">
        <v>4009.75</v>
      </c>
      <c r="G216" s="27">
        <f t="shared" si="12"/>
        <v>641.56</v>
      </c>
      <c r="H216" s="27">
        <f t="shared" si="13"/>
        <v>4651.31</v>
      </c>
      <c r="I216" s="28" t="s">
        <v>229</v>
      </c>
      <c r="J216" s="34" t="s">
        <v>387</v>
      </c>
      <c r="K216" s="34"/>
      <c r="L216" s="34" t="s">
        <v>384</v>
      </c>
    </row>
    <row r="217" ht="14.25" customHeight="1">
      <c r="A217" s="25">
        <v>283.0</v>
      </c>
      <c r="B217" s="64" t="s">
        <v>27</v>
      </c>
      <c r="C217" s="26" t="s">
        <v>388</v>
      </c>
      <c r="D217" s="3">
        <v>44929.0</v>
      </c>
      <c r="E217" s="25" t="s">
        <v>311</v>
      </c>
      <c r="F217" s="27">
        <v>380.59</v>
      </c>
      <c r="G217" s="27">
        <f t="shared" si="12"/>
        <v>60.8944</v>
      </c>
      <c r="H217" s="27">
        <f t="shared" si="13"/>
        <v>441.4844</v>
      </c>
      <c r="I217" s="28" t="s">
        <v>229</v>
      </c>
      <c r="J217" s="34" t="s">
        <v>389</v>
      </c>
      <c r="K217" s="34"/>
      <c r="L217" s="34" t="s">
        <v>384</v>
      </c>
    </row>
    <row r="218" ht="14.25" customHeight="1">
      <c r="A218" s="25">
        <v>284.0</v>
      </c>
      <c r="B218" s="64" t="s">
        <v>27</v>
      </c>
      <c r="C218" s="26" t="s">
        <v>390</v>
      </c>
      <c r="D218" s="3">
        <v>44929.0</v>
      </c>
      <c r="E218" s="25" t="s">
        <v>311</v>
      </c>
      <c r="F218" s="27">
        <v>139.05</v>
      </c>
      <c r="G218" s="27">
        <f t="shared" si="12"/>
        <v>22.248</v>
      </c>
      <c r="H218" s="27">
        <f t="shared" si="13"/>
        <v>161.298</v>
      </c>
      <c r="I218" s="28" t="s">
        <v>229</v>
      </c>
      <c r="J218" s="34" t="s">
        <v>391</v>
      </c>
      <c r="K218" s="34"/>
      <c r="L218" s="34" t="s">
        <v>384</v>
      </c>
    </row>
    <row r="219" ht="14.25" customHeight="1">
      <c r="A219" s="25">
        <v>285.0</v>
      </c>
      <c r="B219" s="64" t="s">
        <v>274</v>
      </c>
      <c r="C219" s="26" t="s">
        <v>392</v>
      </c>
      <c r="D219" s="3">
        <v>44936.0</v>
      </c>
      <c r="E219" s="25" t="s">
        <v>311</v>
      </c>
      <c r="F219" s="27">
        <v>58070.0</v>
      </c>
      <c r="G219" s="27">
        <f t="shared" si="12"/>
        <v>9291.2</v>
      </c>
      <c r="H219" s="27">
        <f t="shared" si="13"/>
        <v>67361.2</v>
      </c>
      <c r="I219" s="28" t="s">
        <v>130</v>
      </c>
      <c r="J219" s="34" t="s">
        <v>393</v>
      </c>
      <c r="K219" s="34"/>
      <c r="L219" s="34" t="s">
        <v>394</v>
      </c>
    </row>
    <row r="220" ht="14.25" customHeight="1">
      <c r="A220" s="25">
        <v>287.0</v>
      </c>
      <c r="B220" s="64" t="s">
        <v>395</v>
      </c>
      <c r="C220" s="26" t="s">
        <v>396</v>
      </c>
      <c r="D220" s="3">
        <v>44936.0</v>
      </c>
      <c r="E220" s="25" t="s">
        <v>311</v>
      </c>
      <c r="F220" s="27">
        <v>37355.99</v>
      </c>
      <c r="G220" s="27">
        <f t="shared" si="12"/>
        <v>5976.9584</v>
      </c>
      <c r="H220" s="27">
        <f t="shared" si="13"/>
        <v>43332.9484</v>
      </c>
      <c r="I220" s="28" t="s">
        <v>397</v>
      </c>
      <c r="J220" s="34" t="s">
        <v>398</v>
      </c>
      <c r="K220" s="34"/>
      <c r="L220" s="34" t="s">
        <v>399</v>
      </c>
    </row>
    <row r="221" ht="14.25" customHeight="1">
      <c r="A221" s="25">
        <v>289.0</v>
      </c>
      <c r="B221" s="64" t="s">
        <v>31</v>
      </c>
      <c r="C221" s="26" t="s">
        <v>400</v>
      </c>
      <c r="D221" s="3">
        <v>44939.0</v>
      </c>
      <c r="E221" s="25" t="s">
        <v>311</v>
      </c>
      <c r="F221" s="27">
        <v>68427.91</v>
      </c>
      <c r="G221" s="27">
        <f t="shared" si="12"/>
        <v>10948.4656</v>
      </c>
      <c r="H221" s="27">
        <f t="shared" si="13"/>
        <v>79376.3756</v>
      </c>
      <c r="I221" s="28" t="s">
        <v>349</v>
      </c>
      <c r="J221" s="34" t="s">
        <v>401</v>
      </c>
      <c r="K221" s="34"/>
      <c r="L221" s="34" t="s">
        <v>402</v>
      </c>
    </row>
    <row r="222" ht="14.25" customHeight="1">
      <c r="A222" s="65">
        <v>291.0</v>
      </c>
      <c r="B222" s="66" t="s">
        <v>146</v>
      </c>
      <c r="C222" s="67"/>
      <c r="D222" s="68"/>
      <c r="E222" s="65"/>
      <c r="F222" s="69"/>
      <c r="G222" s="69">
        <f t="shared" si="12"/>
        <v>0</v>
      </c>
      <c r="H222" s="69">
        <f t="shared" si="13"/>
        <v>0</v>
      </c>
      <c r="I222" s="70"/>
      <c r="J222" s="71"/>
      <c r="K222" s="71"/>
      <c r="L222" s="71" t="s">
        <v>403</v>
      </c>
    </row>
    <row r="223" ht="14.25" customHeight="1">
      <c r="A223" s="65">
        <v>292.0</v>
      </c>
      <c r="B223" s="66" t="s">
        <v>146</v>
      </c>
      <c r="C223" s="67"/>
      <c r="D223" s="68"/>
      <c r="E223" s="65"/>
      <c r="F223" s="69"/>
      <c r="G223" s="69">
        <f t="shared" si="12"/>
        <v>0</v>
      </c>
      <c r="H223" s="69">
        <f t="shared" si="13"/>
        <v>0</v>
      </c>
      <c r="I223" s="70"/>
      <c r="J223" s="71"/>
      <c r="K223" s="71"/>
      <c r="L223" s="71" t="s">
        <v>403</v>
      </c>
    </row>
    <row r="224" ht="14.25" customHeight="1">
      <c r="A224" s="25">
        <v>294.0</v>
      </c>
      <c r="B224" s="64" t="s">
        <v>43</v>
      </c>
      <c r="C224" s="26" t="s">
        <v>404</v>
      </c>
      <c r="D224" s="3">
        <v>44953.0</v>
      </c>
      <c r="E224" s="25" t="s">
        <v>311</v>
      </c>
      <c r="F224" s="27">
        <v>86206.9</v>
      </c>
      <c r="G224" s="27">
        <f t="shared" si="12"/>
        <v>13793.104</v>
      </c>
      <c r="H224" s="27">
        <f t="shared" si="13"/>
        <v>100000.004</v>
      </c>
      <c r="I224" s="28" t="s">
        <v>43</v>
      </c>
      <c r="J224" s="34" t="s">
        <v>405</v>
      </c>
      <c r="K224" s="34"/>
      <c r="L224" s="34"/>
    </row>
    <row r="225" ht="14.25" customHeight="1">
      <c r="A225" s="25">
        <v>295.0</v>
      </c>
      <c r="B225" s="64" t="s">
        <v>43</v>
      </c>
      <c r="C225" s="26" t="s">
        <v>372</v>
      </c>
      <c r="D225" s="3">
        <v>44953.0</v>
      </c>
      <c r="E225" s="25" t="s">
        <v>311</v>
      </c>
      <c r="F225" s="27">
        <v>4488.18</v>
      </c>
      <c r="G225" s="27">
        <f t="shared" si="12"/>
        <v>718.1088</v>
      </c>
      <c r="H225" s="27">
        <f t="shared" si="13"/>
        <v>5206.2888</v>
      </c>
      <c r="I225" s="28" t="s">
        <v>43</v>
      </c>
      <c r="J225" s="34" t="s">
        <v>406</v>
      </c>
      <c r="K225" s="34"/>
      <c r="L225" s="34"/>
    </row>
    <row r="226" ht="14.25" customHeight="1">
      <c r="A226" s="25">
        <v>296.0</v>
      </c>
      <c r="B226" s="64" t="s">
        <v>395</v>
      </c>
      <c r="C226" s="26" t="s">
        <v>407</v>
      </c>
      <c r="D226" s="3">
        <v>44595.0</v>
      </c>
      <c r="E226" s="25" t="s">
        <v>311</v>
      </c>
      <c r="F226" s="27">
        <v>44185.35</v>
      </c>
      <c r="G226" s="27">
        <f t="shared" si="12"/>
        <v>7069.656</v>
      </c>
      <c r="H226" s="27">
        <f t="shared" si="13"/>
        <v>51255.006</v>
      </c>
      <c r="I226" s="28" t="s">
        <v>395</v>
      </c>
      <c r="J226" s="34" t="s">
        <v>408</v>
      </c>
      <c r="K226" s="34"/>
      <c r="L226" s="34" t="s">
        <v>409</v>
      </c>
    </row>
    <row r="227" ht="14.25" customHeight="1">
      <c r="A227" s="25">
        <v>304.0</v>
      </c>
      <c r="B227" s="64" t="s">
        <v>27</v>
      </c>
      <c r="C227" s="26" t="s">
        <v>410</v>
      </c>
      <c r="D227" s="3">
        <v>45050.0</v>
      </c>
      <c r="E227" s="25" t="s">
        <v>311</v>
      </c>
      <c r="F227" s="27">
        <v>573.46</v>
      </c>
      <c r="G227" s="27">
        <f t="shared" si="12"/>
        <v>91.7536</v>
      </c>
      <c r="H227" s="27">
        <f t="shared" si="13"/>
        <v>665.2136</v>
      </c>
      <c r="I227" s="28" t="s">
        <v>151</v>
      </c>
      <c r="J227" s="34" t="s">
        <v>411</v>
      </c>
      <c r="K227" s="34"/>
      <c r="L227" s="34" t="s">
        <v>412</v>
      </c>
    </row>
    <row r="228" ht="14.25" customHeight="1">
      <c r="A228" s="25">
        <v>305.0</v>
      </c>
      <c r="B228" s="64" t="s">
        <v>27</v>
      </c>
      <c r="C228" s="26" t="s">
        <v>413</v>
      </c>
      <c r="D228" s="3">
        <v>45050.0</v>
      </c>
      <c r="E228" s="25" t="s">
        <v>311</v>
      </c>
      <c r="F228" s="27">
        <v>158.0</v>
      </c>
      <c r="G228" s="27">
        <f t="shared" si="12"/>
        <v>25.28</v>
      </c>
      <c r="H228" s="27">
        <f t="shared" si="13"/>
        <v>183.28</v>
      </c>
      <c r="I228" s="28" t="s">
        <v>151</v>
      </c>
      <c r="J228" s="34" t="s">
        <v>414</v>
      </c>
      <c r="K228" s="34"/>
      <c r="L228" s="34" t="s">
        <v>412</v>
      </c>
    </row>
    <row r="229" ht="14.25" customHeight="1">
      <c r="A229" s="25">
        <v>306.0</v>
      </c>
      <c r="B229" s="64" t="s">
        <v>27</v>
      </c>
      <c r="C229" s="26" t="s">
        <v>415</v>
      </c>
      <c r="D229" s="3">
        <v>45050.0</v>
      </c>
      <c r="E229" s="25" t="s">
        <v>311</v>
      </c>
      <c r="F229" s="27">
        <v>4360.67</v>
      </c>
      <c r="G229" s="27">
        <f t="shared" si="12"/>
        <v>697.7072</v>
      </c>
      <c r="H229" s="27">
        <f t="shared" si="13"/>
        <v>5058.3772</v>
      </c>
      <c r="I229" s="28" t="s">
        <v>151</v>
      </c>
      <c r="J229" s="34" t="s">
        <v>416</v>
      </c>
      <c r="K229" s="34"/>
      <c r="L229" s="34" t="s">
        <v>412</v>
      </c>
    </row>
    <row r="230" ht="14.25" customHeight="1">
      <c r="A230" s="25">
        <v>307.0</v>
      </c>
      <c r="B230" s="64" t="s">
        <v>27</v>
      </c>
      <c r="C230" s="26" t="s">
        <v>417</v>
      </c>
      <c r="D230" s="3">
        <v>45050.0</v>
      </c>
      <c r="E230" s="25" t="s">
        <v>311</v>
      </c>
      <c r="F230" s="27">
        <v>205.59</v>
      </c>
      <c r="G230" s="27">
        <f t="shared" si="12"/>
        <v>32.8944</v>
      </c>
      <c r="H230" s="27">
        <f t="shared" si="13"/>
        <v>238.4844</v>
      </c>
      <c r="I230" s="28" t="s">
        <v>151</v>
      </c>
      <c r="J230" s="34" t="s">
        <v>418</v>
      </c>
      <c r="K230" s="34"/>
      <c r="L230" s="34" t="s">
        <v>412</v>
      </c>
    </row>
    <row r="231" ht="14.25" customHeight="1">
      <c r="A231" s="25">
        <v>308.0</v>
      </c>
      <c r="B231" s="64" t="s">
        <v>27</v>
      </c>
      <c r="C231" s="26" t="s">
        <v>419</v>
      </c>
      <c r="D231" s="3">
        <v>45050.0</v>
      </c>
      <c r="E231" s="25" t="s">
        <v>311</v>
      </c>
      <c r="F231" s="27">
        <v>278.0</v>
      </c>
      <c r="G231" s="27">
        <f t="shared" si="12"/>
        <v>44.48</v>
      </c>
      <c r="H231" s="27">
        <f t="shared" si="13"/>
        <v>322.48</v>
      </c>
      <c r="I231" s="28" t="s">
        <v>151</v>
      </c>
      <c r="J231" s="34" t="s">
        <v>420</v>
      </c>
      <c r="K231" s="34"/>
      <c r="L231" s="34" t="s">
        <v>412</v>
      </c>
    </row>
    <row r="232" ht="14.25" customHeight="1">
      <c r="A232" s="25">
        <v>309.0</v>
      </c>
      <c r="B232" s="64" t="s">
        <v>269</v>
      </c>
      <c r="C232" s="26" t="s">
        <v>421</v>
      </c>
      <c r="D232" s="3">
        <v>45050.0</v>
      </c>
      <c r="E232" s="25" t="s">
        <v>311</v>
      </c>
      <c r="F232" s="27">
        <v>213.87</v>
      </c>
      <c r="G232" s="27">
        <f t="shared" si="12"/>
        <v>34.2192</v>
      </c>
      <c r="H232" s="27">
        <f t="shared" si="13"/>
        <v>248.0892</v>
      </c>
      <c r="I232" s="28" t="s">
        <v>269</v>
      </c>
      <c r="J232" s="34" t="s">
        <v>422</v>
      </c>
      <c r="K232" s="34"/>
      <c r="L232" s="34"/>
    </row>
    <row r="233" ht="14.25" customHeight="1">
      <c r="A233" s="25">
        <v>310.0</v>
      </c>
      <c r="B233" s="64" t="s">
        <v>269</v>
      </c>
      <c r="C233" s="26" t="s">
        <v>423</v>
      </c>
      <c r="D233" s="3">
        <v>45050.0</v>
      </c>
      <c r="E233" s="25" t="s">
        <v>311</v>
      </c>
      <c r="F233" s="27">
        <v>271.31</v>
      </c>
      <c r="G233" s="27">
        <f t="shared" si="12"/>
        <v>43.4096</v>
      </c>
      <c r="H233" s="27">
        <f t="shared" si="13"/>
        <v>314.7196</v>
      </c>
      <c r="I233" s="28" t="s">
        <v>269</v>
      </c>
      <c r="J233" s="34" t="s">
        <v>424</v>
      </c>
      <c r="K233" s="34"/>
      <c r="L233" s="34"/>
    </row>
    <row r="234" ht="14.25" customHeight="1">
      <c r="A234" s="25">
        <v>311.0</v>
      </c>
      <c r="B234" s="64" t="s">
        <v>177</v>
      </c>
      <c r="C234" s="26" t="s">
        <v>425</v>
      </c>
      <c r="D234" s="3">
        <v>45050.0</v>
      </c>
      <c r="E234" s="25" t="s">
        <v>311</v>
      </c>
      <c r="F234" s="27">
        <v>20.75</v>
      </c>
      <c r="G234" s="27">
        <f t="shared" si="12"/>
        <v>3.32</v>
      </c>
      <c r="H234" s="27">
        <f t="shared" si="13"/>
        <v>24.07</v>
      </c>
      <c r="I234" s="28" t="s">
        <v>177</v>
      </c>
      <c r="J234" s="34" t="s">
        <v>426</v>
      </c>
      <c r="K234" s="34"/>
      <c r="L234" s="34"/>
    </row>
    <row r="235" ht="14.25" customHeight="1">
      <c r="A235" s="25">
        <v>313.0</v>
      </c>
      <c r="B235" s="64" t="s">
        <v>271</v>
      </c>
      <c r="C235" s="26" t="s">
        <v>425</v>
      </c>
      <c r="D235" s="3">
        <v>45050.0</v>
      </c>
      <c r="E235" s="25" t="s">
        <v>311</v>
      </c>
      <c r="F235" s="27">
        <v>92.43</v>
      </c>
      <c r="G235" s="27">
        <f t="shared" si="12"/>
        <v>14.7888</v>
      </c>
      <c r="H235" s="27">
        <f t="shared" si="13"/>
        <v>107.2188</v>
      </c>
      <c r="I235" s="28" t="s">
        <v>427</v>
      </c>
      <c r="J235" s="34" t="s">
        <v>428</v>
      </c>
      <c r="K235" s="34"/>
      <c r="L235" s="34"/>
    </row>
    <row r="236" ht="14.25" customHeight="1">
      <c r="A236" s="25">
        <v>315.0</v>
      </c>
      <c r="B236" s="64" t="s">
        <v>218</v>
      </c>
      <c r="C236" s="26" t="s">
        <v>425</v>
      </c>
      <c r="D236" s="3">
        <v>45050.0</v>
      </c>
      <c r="E236" s="25" t="s">
        <v>311</v>
      </c>
      <c r="F236" s="27">
        <v>168.86</v>
      </c>
      <c r="G236" s="27">
        <f t="shared" si="12"/>
        <v>27.0176</v>
      </c>
      <c r="H236" s="27">
        <f t="shared" si="13"/>
        <v>195.8776</v>
      </c>
      <c r="I236" s="28" t="s">
        <v>220</v>
      </c>
      <c r="J236" s="34" t="s">
        <v>429</v>
      </c>
      <c r="K236" s="34"/>
      <c r="L236" s="34"/>
    </row>
    <row r="237" ht="14.25" customHeight="1">
      <c r="A237" s="25">
        <v>317.0</v>
      </c>
      <c r="B237" s="64" t="s">
        <v>274</v>
      </c>
      <c r="C237" s="26" t="s">
        <v>425</v>
      </c>
      <c r="D237" s="3">
        <v>45050.0</v>
      </c>
      <c r="E237" s="25" t="s">
        <v>311</v>
      </c>
      <c r="F237" s="27">
        <v>362.61</v>
      </c>
      <c r="G237" s="27">
        <f t="shared" si="12"/>
        <v>58.0176</v>
      </c>
      <c r="H237" s="27">
        <f t="shared" si="13"/>
        <v>420.6276</v>
      </c>
      <c r="I237" s="28" t="s">
        <v>130</v>
      </c>
      <c r="J237" s="34" t="s">
        <v>430</v>
      </c>
      <c r="K237" s="34"/>
      <c r="L237" s="34"/>
    </row>
    <row r="238" ht="14.25" customHeight="1">
      <c r="A238" s="25">
        <v>318.0</v>
      </c>
      <c r="B238" s="64" t="s">
        <v>274</v>
      </c>
      <c r="C238" s="26" t="s">
        <v>431</v>
      </c>
      <c r="D238" s="3">
        <v>45050.0</v>
      </c>
      <c r="E238" s="25" t="s">
        <v>311</v>
      </c>
      <c r="F238" s="27">
        <v>598.6</v>
      </c>
      <c r="G238" s="27">
        <f t="shared" si="12"/>
        <v>95.776</v>
      </c>
      <c r="H238" s="27">
        <f t="shared" si="13"/>
        <v>694.376</v>
      </c>
      <c r="I238" s="28" t="s">
        <v>130</v>
      </c>
      <c r="J238" s="34" t="s">
        <v>432</v>
      </c>
      <c r="K238" s="34"/>
      <c r="L238" s="34"/>
    </row>
    <row r="239" ht="14.25" customHeight="1">
      <c r="A239" s="25">
        <v>319.0</v>
      </c>
      <c r="B239" s="64" t="s">
        <v>38</v>
      </c>
      <c r="C239" s="26" t="s">
        <v>425</v>
      </c>
      <c r="D239" s="3">
        <v>45050.0</v>
      </c>
      <c r="E239" s="25" t="s">
        <v>311</v>
      </c>
      <c r="F239" s="27">
        <v>1337.54</v>
      </c>
      <c r="G239" s="27">
        <f t="shared" si="12"/>
        <v>214.0064</v>
      </c>
      <c r="H239" s="27">
        <f t="shared" si="13"/>
        <v>1551.5464</v>
      </c>
      <c r="I239" s="28" t="s">
        <v>145</v>
      </c>
      <c r="J239" s="34" t="s">
        <v>433</v>
      </c>
      <c r="K239" s="34"/>
      <c r="L239" s="34"/>
    </row>
    <row r="240" ht="14.25" customHeight="1">
      <c r="A240" s="25">
        <v>321.0</v>
      </c>
      <c r="B240" s="64" t="s">
        <v>38</v>
      </c>
      <c r="C240" s="26" t="s">
        <v>425</v>
      </c>
      <c r="D240" s="3">
        <v>45050.0</v>
      </c>
      <c r="E240" s="25" t="s">
        <v>311</v>
      </c>
      <c r="F240" s="27">
        <v>64.34</v>
      </c>
      <c r="G240" s="27">
        <f t="shared" si="12"/>
        <v>10.2944</v>
      </c>
      <c r="H240" s="27">
        <f t="shared" si="13"/>
        <v>74.6344</v>
      </c>
      <c r="I240" s="28" t="s">
        <v>434</v>
      </c>
      <c r="J240" s="34" t="s">
        <v>435</v>
      </c>
      <c r="K240" s="34"/>
      <c r="L240" s="34"/>
    </row>
    <row r="241" ht="14.25" customHeight="1">
      <c r="A241" s="25">
        <v>323.0</v>
      </c>
      <c r="B241" s="64" t="s">
        <v>114</v>
      </c>
      <c r="C241" s="26" t="s">
        <v>425</v>
      </c>
      <c r="D241" s="3">
        <v>45054.0</v>
      </c>
      <c r="E241" s="25" t="s">
        <v>311</v>
      </c>
      <c r="F241" s="27">
        <v>1505.69</v>
      </c>
      <c r="G241" s="27">
        <f t="shared" si="12"/>
        <v>240.9104</v>
      </c>
      <c r="H241" s="27">
        <f t="shared" si="13"/>
        <v>1746.6004</v>
      </c>
      <c r="I241" s="28" t="s">
        <v>116</v>
      </c>
      <c r="J241" s="34" t="s">
        <v>436</v>
      </c>
      <c r="K241" s="34"/>
      <c r="L241" s="34"/>
    </row>
    <row r="242" ht="14.25" customHeight="1">
      <c r="A242" s="25">
        <v>325.0</v>
      </c>
      <c r="B242" s="64" t="s">
        <v>27</v>
      </c>
      <c r="C242" s="26" t="s">
        <v>437</v>
      </c>
      <c r="D242" s="3">
        <v>45054.0</v>
      </c>
      <c r="E242" s="25" t="s">
        <v>311</v>
      </c>
      <c r="F242" s="27">
        <v>565.09</v>
      </c>
      <c r="G242" s="27">
        <f t="shared" si="12"/>
        <v>90.4144</v>
      </c>
      <c r="H242" s="27">
        <f t="shared" si="13"/>
        <v>655.5044</v>
      </c>
      <c r="I242" s="28" t="s">
        <v>158</v>
      </c>
      <c r="J242" s="34" t="s">
        <v>438</v>
      </c>
      <c r="K242" s="34"/>
      <c r="L242" s="34" t="s">
        <v>439</v>
      </c>
    </row>
    <row r="243" ht="14.25" customHeight="1">
      <c r="A243" s="25">
        <v>326.0</v>
      </c>
      <c r="B243" s="64" t="s">
        <v>42</v>
      </c>
      <c r="C243" s="26" t="s">
        <v>440</v>
      </c>
      <c r="D243" s="3">
        <v>45068.0</v>
      </c>
      <c r="E243" s="25" t="s">
        <v>311</v>
      </c>
      <c r="F243" s="27">
        <v>1994.35</v>
      </c>
      <c r="G243" s="27">
        <f t="shared" si="12"/>
        <v>319.096</v>
      </c>
      <c r="H243" s="27">
        <f t="shared" si="13"/>
        <v>2313.446</v>
      </c>
      <c r="I243" s="28" t="s">
        <v>42</v>
      </c>
      <c r="J243" s="34" t="s">
        <v>441</v>
      </c>
      <c r="K243" s="34"/>
      <c r="L243" s="34" t="s">
        <v>442</v>
      </c>
    </row>
    <row r="244" ht="14.25" customHeight="1">
      <c r="A244" s="25">
        <v>327.0</v>
      </c>
      <c r="B244" s="64" t="s">
        <v>443</v>
      </c>
      <c r="C244" s="26" t="s">
        <v>444</v>
      </c>
      <c r="D244" s="3">
        <v>45068.0</v>
      </c>
      <c r="E244" s="25" t="s">
        <v>311</v>
      </c>
      <c r="F244" s="27">
        <v>13344.36</v>
      </c>
      <c r="G244" s="27">
        <f t="shared" si="12"/>
        <v>2135.0976</v>
      </c>
      <c r="H244" s="27">
        <f t="shared" si="13"/>
        <v>15479.4576</v>
      </c>
      <c r="I244" s="28" t="s">
        <v>443</v>
      </c>
      <c r="J244" s="34" t="s">
        <v>445</v>
      </c>
      <c r="K244" s="34"/>
      <c r="L244" s="34" t="s">
        <v>446</v>
      </c>
    </row>
    <row r="245" ht="14.25" customHeight="1">
      <c r="A245" s="25">
        <v>329.0</v>
      </c>
      <c r="B245" s="64" t="s">
        <v>43</v>
      </c>
      <c r="C245" s="26" t="s">
        <v>444</v>
      </c>
      <c r="D245" s="3">
        <v>45086.0</v>
      </c>
      <c r="E245" s="25" t="s">
        <v>311</v>
      </c>
      <c r="F245" s="27">
        <v>12652.5</v>
      </c>
      <c r="G245" s="27">
        <f t="shared" si="12"/>
        <v>2024.4</v>
      </c>
      <c r="H245" s="27">
        <f t="shared" si="13"/>
        <v>14676.9</v>
      </c>
      <c r="I245" s="28" t="s">
        <v>43</v>
      </c>
      <c r="J245" s="34" t="s">
        <v>447</v>
      </c>
      <c r="K245" s="34"/>
      <c r="L245" s="34"/>
    </row>
    <row r="246" ht="14.25" customHeight="1">
      <c r="A246" s="65">
        <v>330.0</v>
      </c>
      <c r="B246" s="66" t="s">
        <v>43</v>
      </c>
      <c r="C246" s="67" t="s">
        <v>146</v>
      </c>
      <c r="D246" s="68"/>
      <c r="E246" s="65"/>
      <c r="F246" s="69"/>
      <c r="G246" s="69">
        <f t="shared" si="12"/>
        <v>0</v>
      </c>
      <c r="H246" s="69">
        <f t="shared" si="13"/>
        <v>0</v>
      </c>
      <c r="I246" s="70"/>
      <c r="J246" s="71" t="s">
        <v>448</v>
      </c>
      <c r="K246" s="71"/>
      <c r="L246" s="71"/>
      <c r="M246" s="72"/>
      <c r="N246" s="72"/>
      <c r="O246" s="72"/>
      <c r="P246" s="72"/>
      <c r="Q246" s="72"/>
      <c r="R246" s="72"/>
      <c r="S246" s="72"/>
      <c r="T246" s="72"/>
      <c r="U246" s="72"/>
      <c r="V246" s="72"/>
      <c r="W246" s="72"/>
      <c r="X246" s="72"/>
      <c r="Y246" s="72"/>
      <c r="Z246" s="72"/>
    </row>
    <row r="247" ht="14.25" customHeight="1">
      <c r="A247" s="25">
        <v>332.0</v>
      </c>
      <c r="B247" s="64" t="s">
        <v>177</v>
      </c>
      <c r="C247" s="26" t="s">
        <v>372</v>
      </c>
      <c r="D247" s="3">
        <v>45114.0</v>
      </c>
      <c r="E247" s="25" t="s">
        <v>311</v>
      </c>
      <c r="F247" s="27">
        <v>3568.1</v>
      </c>
      <c r="G247" s="27">
        <f t="shared" si="12"/>
        <v>570.896</v>
      </c>
      <c r="H247" s="27">
        <f t="shared" si="13"/>
        <v>4138.996</v>
      </c>
      <c r="I247" s="28" t="s">
        <v>177</v>
      </c>
      <c r="J247" s="34" t="s">
        <v>449</v>
      </c>
      <c r="K247" s="34"/>
      <c r="L247" s="34"/>
    </row>
    <row r="248" ht="14.25" customHeight="1">
      <c r="A248" s="25">
        <v>334.0</v>
      </c>
      <c r="B248" s="64" t="s">
        <v>43</v>
      </c>
      <c r="C248" s="26" t="s">
        <v>450</v>
      </c>
      <c r="D248" s="3">
        <v>45147.0</v>
      </c>
      <c r="E248" s="25" t="s">
        <v>311</v>
      </c>
      <c r="F248" s="27">
        <v>705.85</v>
      </c>
      <c r="G248" s="27">
        <f t="shared" si="12"/>
        <v>112.936</v>
      </c>
      <c r="H248" s="27">
        <f t="shared" si="13"/>
        <v>818.786</v>
      </c>
      <c r="I248" s="28" t="s">
        <v>43</v>
      </c>
      <c r="J248" s="34" t="s">
        <v>451</v>
      </c>
      <c r="K248" s="34"/>
      <c r="L248" s="34" t="s">
        <v>452</v>
      </c>
    </row>
    <row r="249" ht="14.25" customHeight="1">
      <c r="A249" s="25">
        <v>336.0</v>
      </c>
      <c r="B249" s="64" t="s">
        <v>27</v>
      </c>
      <c r="C249" s="26" t="s">
        <v>453</v>
      </c>
      <c r="D249" s="3">
        <v>45156.0</v>
      </c>
      <c r="E249" s="25" t="s">
        <v>311</v>
      </c>
      <c r="F249" s="27">
        <v>7858.71</v>
      </c>
      <c r="G249" s="27">
        <f t="shared" si="12"/>
        <v>1257.3936</v>
      </c>
      <c r="H249" s="27">
        <f t="shared" si="13"/>
        <v>9116.1036</v>
      </c>
      <c r="I249" s="28" t="s">
        <v>454</v>
      </c>
      <c r="J249" s="34" t="s">
        <v>455</v>
      </c>
      <c r="K249" s="34"/>
      <c r="L249" s="34"/>
    </row>
    <row r="250" ht="14.25" customHeight="1">
      <c r="A250" s="25">
        <v>337.0</v>
      </c>
      <c r="B250" s="64" t="s">
        <v>27</v>
      </c>
      <c r="C250" s="26" t="s">
        <v>453</v>
      </c>
      <c r="D250" s="3">
        <v>45156.0</v>
      </c>
      <c r="E250" s="25" t="s">
        <v>311</v>
      </c>
      <c r="F250" s="27">
        <v>955.5</v>
      </c>
      <c r="G250" s="27">
        <f t="shared" si="12"/>
        <v>152.88</v>
      </c>
      <c r="H250" s="27">
        <f t="shared" si="13"/>
        <v>1108.38</v>
      </c>
      <c r="I250" s="28" t="s">
        <v>151</v>
      </c>
      <c r="J250" s="34" t="s">
        <v>456</v>
      </c>
      <c r="K250" s="34"/>
      <c r="L250" s="34"/>
    </row>
    <row r="251" ht="14.25" customHeight="1">
      <c r="A251" s="25">
        <v>338.0</v>
      </c>
      <c r="B251" s="64" t="s">
        <v>274</v>
      </c>
      <c r="C251" s="26" t="s">
        <v>392</v>
      </c>
      <c r="D251" s="3">
        <v>45162.0</v>
      </c>
      <c r="E251" s="25" t="s">
        <v>311</v>
      </c>
      <c r="F251" s="27">
        <v>58070.01</v>
      </c>
      <c r="G251" s="27">
        <f t="shared" si="12"/>
        <v>9291.2016</v>
      </c>
      <c r="H251" s="27">
        <f t="shared" si="13"/>
        <v>67361.2116</v>
      </c>
      <c r="I251" s="28" t="s">
        <v>130</v>
      </c>
      <c r="J251" s="34" t="s">
        <v>457</v>
      </c>
      <c r="K251" s="34"/>
      <c r="L251" s="34" t="s">
        <v>458</v>
      </c>
    </row>
    <row r="252" ht="14.25" customHeight="1">
      <c r="A252" s="74">
        <v>339.0</v>
      </c>
      <c r="B252" s="75" t="s">
        <v>27</v>
      </c>
      <c r="C252" s="76" t="s">
        <v>459</v>
      </c>
      <c r="D252" s="77">
        <v>45175.0</v>
      </c>
      <c r="E252" s="74" t="s">
        <v>311</v>
      </c>
      <c r="F252" s="78">
        <v>954.02</v>
      </c>
      <c r="G252" s="78">
        <f t="shared" si="12"/>
        <v>152.6432</v>
      </c>
      <c r="H252" s="78">
        <f t="shared" si="13"/>
        <v>1106.6632</v>
      </c>
      <c r="I252" s="79" t="s">
        <v>158</v>
      </c>
      <c r="J252" s="80" t="s">
        <v>460</v>
      </c>
      <c r="K252" s="80"/>
      <c r="L252" s="80"/>
      <c r="M252" s="81"/>
      <c r="N252" s="81"/>
      <c r="O252" s="81"/>
      <c r="P252" s="81"/>
      <c r="Q252" s="81"/>
      <c r="R252" s="81"/>
      <c r="S252" s="81"/>
      <c r="T252" s="81"/>
      <c r="U252" s="81"/>
      <c r="V252" s="81"/>
      <c r="W252" s="81"/>
      <c r="X252" s="81"/>
      <c r="Y252" s="81"/>
      <c r="Z252" s="81"/>
    </row>
    <row r="253" ht="14.25" customHeight="1">
      <c r="A253" s="25">
        <v>340.0</v>
      </c>
      <c r="B253" s="64" t="s">
        <v>27</v>
      </c>
      <c r="C253" s="26" t="s">
        <v>461</v>
      </c>
      <c r="D253" s="3">
        <v>45175.0</v>
      </c>
      <c r="E253" s="25" t="s">
        <v>311</v>
      </c>
      <c r="F253" s="27">
        <v>716.49</v>
      </c>
      <c r="G253" s="27">
        <f t="shared" si="12"/>
        <v>114.6384</v>
      </c>
      <c r="H253" s="27">
        <f t="shared" si="13"/>
        <v>831.1284</v>
      </c>
      <c r="I253" s="28" t="s">
        <v>158</v>
      </c>
      <c r="J253" s="34" t="s">
        <v>462</v>
      </c>
      <c r="K253" s="34"/>
      <c r="L253" s="34"/>
    </row>
    <row r="254" ht="14.25" customHeight="1">
      <c r="A254" s="25">
        <v>342.0</v>
      </c>
      <c r="B254" s="64" t="s">
        <v>43</v>
      </c>
      <c r="C254" s="26" t="s">
        <v>463</v>
      </c>
      <c r="D254" s="3">
        <v>45210.0</v>
      </c>
      <c r="E254" s="25" t="s">
        <v>311</v>
      </c>
      <c r="F254" s="27">
        <v>25862.07</v>
      </c>
      <c r="G254" s="27">
        <f t="shared" si="12"/>
        <v>4137.9312</v>
      </c>
      <c r="H254" s="27">
        <f t="shared" si="13"/>
        <v>30000.0012</v>
      </c>
      <c r="I254" s="28" t="s">
        <v>103</v>
      </c>
      <c r="J254" s="34" t="s">
        <v>464</v>
      </c>
      <c r="K254" s="34"/>
      <c r="L254" s="34" t="s">
        <v>465</v>
      </c>
    </row>
    <row r="255" ht="14.25" customHeight="1">
      <c r="A255" s="25" t="s">
        <v>466</v>
      </c>
      <c r="B255" s="64"/>
      <c r="C255" s="26"/>
      <c r="D255" s="3"/>
      <c r="E255" s="25"/>
      <c r="F255" s="27"/>
      <c r="G255" s="27">
        <f t="shared" si="12"/>
        <v>0</v>
      </c>
      <c r="H255" s="27">
        <f t="shared" si="13"/>
        <v>0</v>
      </c>
      <c r="I255" s="28"/>
      <c r="J255" s="34"/>
      <c r="K255" s="34"/>
      <c r="L255" s="34"/>
    </row>
    <row r="256" ht="14.25" customHeight="1">
      <c r="A256" s="25">
        <v>346.0</v>
      </c>
      <c r="B256" s="64" t="s">
        <v>467</v>
      </c>
      <c r="C256" s="26" t="s">
        <v>468</v>
      </c>
      <c r="D256" s="3">
        <v>45180.0</v>
      </c>
      <c r="E256" s="25" t="s">
        <v>311</v>
      </c>
      <c r="F256" s="27">
        <v>43248.0</v>
      </c>
      <c r="G256" s="27">
        <f t="shared" si="12"/>
        <v>6919.68</v>
      </c>
      <c r="H256" s="27">
        <f t="shared" si="13"/>
        <v>50167.68</v>
      </c>
      <c r="I256" s="28" t="s">
        <v>278</v>
      </c>
      <c r="J256" s="34" t="s">
        <v>469</v>
      </c>
      <c r="K256" s="34"/>
      <c r="L256" s="34"/>
    </row>
    <row r="257" ht="14.25" customHeight="1">
      <c r="A257" s="25">
        <v>347.0</v>
      </c>
      <c r="B257" s="64" t="s">
        <v>467</v>
      </c>
      <c r="C257" s="26" t="s">
        <v>470</v>
      </c>
      <c r="D257" s="3">
        <v>45180.0</v>
      </c>
      <c r="E257" s="25" t="s">
        <v>311</v>
      </c>
      <c r="F257" s="27">
        <v>31728.79</v>
      </c>
      <c r="G257" s="27">
        <f t="shared" si="12"/>
        <v>5076.6064</v>
      </c>
      <c r="H257" s="27">
        <f t="shared" si="13"/>
        <v>36805.3964</v>
      </c>
      <c r="I257" s="28" t="s">
        <v>278</v>
      </c>
      <c r="J257" s="34" t="s">
        <v>471</v>
      </c>
      <c r="K257" s="34"/>
      <c r="L257" s="34"/>
    </row>
    <row r="258" ht="14.25" customHeight="1">
      <c r="A258" s="65">
        <v>348.0</v>
      </c>
      <c r="B258" s="66" t="s">
        <v>146</v>
      </c>
      <c r="C258" s="67" t="s">
        <v>472</v>
      </c>
      <c r="D258" s="68">
        <v>45180.0</v>
      </c>
      <c r="E258" s="65" t="s">
        <v>311</v>
      </c>
      <c r="F258" s="69">
        <v>21293.18</v>
      </c>
      <c r="G258" s="69">
        <f t="shared" si="12"/>
        <v>3406.9088</v>
      </c>
      <c r="H258" s="69">
        <f t="shared" si="13"/>
        <v>24700.0888</v>
      </c>
      <c r="I258" s="70" t="s">
        <v>42</v>
      </c>
      <c r="J258" s="71" t="s">
        <v>473</v>
      </c>
      <c r="K258" s="71"/>
      <c r="L258" s="34"/>
    </row>
    <row r="259" ht="14.25" customHeight="1">
      <c r="A259" s="25">
        <v>350.0</v>
      </c>
      <c r="B259" s="64" t="s">
        <v>42</v>
      </c>
      <c r="C259" s="26" t="s">
        <v>472</v>
      </c>
      <c r="D259" s="3">
        <v>45182.0</v>
      </c>
      <c r="E259" s="25" t="s">
        <v>311</v>
      </c>
      <c r="F259" s="27">
        <v>869.29</v>
      </c>
      <c r="G259" s="27">
        <f t="shared" si="12"/>
        <v>139.0864</v>
      </c>
      <c r="H259" s="27">
        <f t="shared" si="13"/>
        <v>1008.3764</v>
      </c>
      <c r="I259" s="28" t="s">
        <v>42</v>
      </c>
      <c r="J259" s="34" t="s">
        <v>473</v>
      </c>
      <c r="K259" s="34"/>
      <c r="L259" s="34"/>
    </row>
    <row r="260" ht="14.25" customHeight="1">
      <c r="A260" s="25">
        <v>356.0</v>
      </c>
      <c r="B260" s="64" t="s">
        <v>31</v>
      </c>
      <c r="C260" s="26" t="s">
        <v>474</v>
      </c>
      <c r="D260" s="3">
        <v>45182.0</v>
      </c>
      <c r="E260" s="25" t="s">
        <v>311</v>
      </c>
      <c r="F260" s="27">
        <v>148205.87000000002</v>
      </c>
      <c r="G260" s="27">
        <f t="shared" si="12"/>
        <v>23712.9392</v>
      </c>
      <c r="H260" s="27">
        <f t="shared" si="13"/>
        <v>171918.8092</v>
      </c>
      <c r="I260" s="28" t="s">
        <v>31</v>
      </c>
      <c r="J260" s="34" t="s">
        <v>475</v>
      </c>
      <c r="K260" s="34"/>
      <c r="L260" s="34"/>
    </row>
    <row r="261" ht="14.25" customHeight="1">
      <c r="A261" s="82">
        <v>357.0</v>
      </c>
      <c r="B261" s="83" t="s">
        <v>27</v>
      </c>
      <c r="C261" s="84" t="s">
        <v>476</v>
      </c>
      <c r="D261" s="85">
        <v>45296.0</v>
      </c>
      <c r="E261" s="82" t="s">
        <v>311</v>
      </c>
      <c r="F261" s="86">
        <v>6628.37</v>
      </c>
      <c r="G261" s="86">
        <f t="shared" si="12"/>
        <v>1060.5392</v>
      </c>
      <c r="H261" s="86">
        <f t="shared" si="13"/>
        <v>7688.9092</v>
      </c>
      <c r="I261" s="87" t="s">
        <v>158</v>
      </c>
      <c r="J261" s="88" t="s">
        <v>477</v>
      </c>
      <c r="K261" s="88" t="s">
        <v>146</v>
      </c>
      <c r="L261" s="88" t="s">
        <v>478</v>
      </c>
    </row>
    <row r="262" ht="14.25" customHeight="1">
      <c r="A262" s="82">
        <v>358.0</v>
      </c>
      <c r="B262" s="83" t="s">
        <v>27</v>
      </c>
      <c r="C262" s="84" t="s">
        <v>476</v>
      </c>
      <c r="D262" s="85">
        <v>45296.0</v>
      </c>
      <c r="E262" s="82" t="s">
        <v>311</v>
      </c>
      <c r="F262" s="86">
        <v>6628.37</v>
      </c>
      <c r="G262" s="86">
        <f t="shared" si="12"/>
        <v>1060.5392</v>
      </c>
      <c r="H262" s="86">
        <f t="shared" si="13"/>
        <v>7688.9092</v>
      </c>
      <c r="I262" s="87" t="s">
        <v>158</v>
      </c>
      <c r="J262" s="88" t="s">
        <v>477</v>
      </c>
      <c r="K262" s="88" t="s">
        <v>146</v>
      </c>
      <c r="L262" s="88" t="s">
        <v>268</v>
      </c>
    </row>
    <row r="263" ht="14.25" customHeight="1">
      <c r="A263" s="82">
        <v>359.0</v>
      </c>
      <c r="B263" s="83" t="s">
        <v>27</v>
      </c>
      <c r="C263" s="84" t="s">
        <v>476</v>
      </c>
      <c r="D263" s="85">
        <v>45296.0</v>
      </c>
      <c r="E263" s="82" t="s">
        <v>311</v>
      </c>
      <c r="F263" s="86">
        <v>8412.2</v>
      </c>
      <c r="G263" s="86">
        <f t="shared" si="12"/>
        <v>1345.952</v>
      </c>
      <c r="H263" s="86">
        <f t="shared" si="13"/>
        <v>9758.152</v>
      </c>
      <c r="I263" s="87" t="s">
        <v>151</v>
      </c>
      <c r="J263" s="88" t="s">
        <v>479</v>
      </c>
      <c r="K263" s="88" t="s">
        <v>146</v>
      </c>
      <c r="L263" s="88" t="s">
        <v>268</v>
      </c>
    </row>
    <row r="264" ht="14.25" customHeight="1">
      <c r="A264" s="82">
        <v>360.0</v>
      </c>
      <c r="B264" s="83" t="s">
        <v>146</v>
      </c>
      <c r="C264" s="84" t="s">
        <v>466</v>
      </c>
      <c r="D264" s="85">
        <v>45296.0</v>
      </c>
      <c r="E264" s="82"/>
      <c r="F264" s="86"/>
      <c r="G264" s="86"/>
      <c r="H264" s="86"/>
      <c r="I264" s="87"/>
      <c r="J264" s="88"/>
      <c r="K264" s="88" t="s">
        <v>146</v>
      </c>
      <c r="L264" s="88"/>
    </row>
    <row r="265" ht="14.25" customHeight="1">
      <c r="A265" s="82">
        <v>361.0</v>
      </c>
      <c r="B265" s="83" t="s">
        <v>146</v>
      </c>
      <c r="C265" s="84" t="s">
        <v>466</v>
      </c>
      <c r="D265" s="85">
        <v>45296.0</v>
      </c>
      <c r="E265" s="82"/>
      <c r="F265" s="86"/>
      <c r="G265" s="86"/>
      <c r="H265" s="86"/>
      <c r="I265" s="87"/>
      <c r="J265" s="88"/>
      <c r="K265" s="88" t="s">
        <v>146</v>
      </c>
      <c r="L265" s="88"/>
    </row>
    <row r="266" ht="14.25" customHeight="1">
      <c r="A266" s="65">
        <v>362.0</v>
      </c>
      <c r="B266" s="66" t="s">
        <v>27</v>
      </c>
      <c r="C266" s="67" t="s">
        <v>480</v>
      </c>
      <c r="D266" s="68">
        <v>45299.0</v>
      </c>
      <c r="E266" s="65" t="s">
        <v>311</v>
      </c>
      <c r="F266" s="69">
        <v>189.49</v>
      </c>
      <c r="G266" s="69">
        <f t="shared" ref="G266:G315" si="14">F266*0.16</f>
        <v>30.3184</v>
      </c>
      <c r="H266" s="69">
        <f t="shared" ref="H266:H315" si="15">+G266+F266</f>
        <v>219.8084</v>
      </c>
      <c r="I266" s="70" t="s">
        <v>151</v>
      </c>
      <c r="J266" s="71" t="s">
        <v>481</v>
      </c>
      <c r="K266" s="71" t="s">
        <v>146</v>
      </c>
      <c r="L266" s="71" t="s">
        <v>268</v>
      </c>
    </row>
    <row r="267" ht="14.25" customHeight="1">
      <c r="A267" s="89">
        <v>363.0</v>
      </c>
      <c r="B267" s="66" t="s">
        <v>482</v>
      </c>
      <c r="C267" s="67" t="s">
        <v>483</v>
      </c>
      <c r="D267" s="68">
        <v>45299.0</v>
      </c>
      <c r="E267" s="65" t="s">
        <v>311</v>
      </c>
      <c r="F267" s="69">
        <v>25114.47</v>
      </c>
      <c r="G267" s="69">
        <f t="shared" si="14"/>
        <v>4018.3152</v>
      </c>
      <c r="H267" s="69">
        <f t="shared" si="15"/>
        <v>29132.7852</v>
      </c>
      <c r="I267" s="70" t="s">
        <v>130</v>
      </c>
      <c r="J267" s="71" t="s">
        <v>484</v>
      </c>
      <c r="K267" s="71" t="s">
        <v>146</v>
      </c>
      <c r="L267" s="71" t="s">
        <v>268</v>
      </c>
    </row>
    <row r="268" ht="14.25" customHeight="1">
      <c r="A268" s="89">
        <v>364.0</v>
      </c>
      <c r="B268" s="64" t="s">
        <v>31</v>
      </c>
      <c r="C268" s="26" t="s">
        <v>485</v>
      </c>
      <c r="D268" s="3">
        <v>45301.0</v>
      </c>
      <c r="E268" s="25" t="s">
        <v>311</v>
      </c>
      <c r="F268" s="27">
        <v>201177.68</v>
      </c>
      <c r="G268" s="27">
        <f t="shared" si="14"/>
        <v>32188.4288</v>
      </c>
      <c r="H268" s="27">
        <f t="shared" si="15"/>
        <v>233366.1088</v>
      </c>
      <c r="I268" s="28" t="s">
        <v>486</v>
      </c>
      <c r="J268" s="34" t="s">
        <v>487</v>
      </c>
      <c r="K268" s="34"/>
      <c r="L268" s="34"/>
    </row>
    <row r="269" ht="14.25" customHeight="1">
      <c r="A269" s="89">
        <v>367.0</v>
      </c>
      <c r="B269" s="64" t="s">
        <v>31</v>
      </c>
      <c r="C269" s="26" t="s">
        <v>488</v>
      </c>
      <c r="D269" s="3">
        <v>45303.0</v>
      </c>
      <c r="E269" s="25" t="s">
        <v>311</v>
      </c>
      <c r="F269" s="27">
        <v>264254.31</v>
      </c>
      <c r="G269" s="27">
        <f t="shared" si="14"/>
        <v>42280.6896</v>
      </c>
      <c r="H269" s="27">
        <f t="shared" si="15"/>
        <v>306534.9996</v>
      </c>
      <c r="I269" s="28" t="s">
        <v>486</v>
      </c>
      <c r="J269" s="34" t="s">
        <v>489</v>
      </c>
      <c r="K269" s="34"/>
      <c r="L269" s="34"/>
    </row>
    <row r="270" ht="14.25" customHeight="1">
      <c r="A270" s="89">
        <v>371.0</v>
      </c>
      <c r="B270" s="66" t="s">
        <v>490</v>
      </c>
      <c r="C270" s="67" t="s">
        <v>491</v>
      </c>
      <c r="D270" s="68">
        <v>45307.0</v>
      </c>
      <c r="E270" s="65" t="s">
        <v>311</v>
      </c>
      <c r="F270" s="69">
        <v>1740.56</v>
      </c>
      <c r="G270" s="69">
        <f t="shared" si="14"/>
        <v>278.4896</v>
      </c>
      <c r="H270" s="69">
        <f t="shared" si="15"/>
        <v>2019.0496</v>
      </c>
      <c r="I270" s="70" t="s">
        <v>490</v>
      </c>
      <c r="J270" s="71" t="s">
        <v>492</v>
      </c>
      <c r="K270" s="71" t="s">
        <v>146</v>
      </c>
      <c r="L270" s="71" t="s">
        <v>268</v>
      </c>
    </row>
    <row r="271" ht="14.25" customHeight="1">
      <c r="A271" s="89">
        <v>372.0</v>
      </c>
      <c r="B271" s="66" t="s">
        <v>490</v>
      </c>
      <c r="C271" s="67" t="s">
        <v>483</v>
      </c>
      <c r="D271" s="68">
        <v>45307.0</v>
      </c>
      <c r="E271" s="65" t="s">
        <v>311</v>
      </c>
      <c r="F271" s="69">
        <v>1762.47</v>
      </c>
      <c r="G271" s="69">
        <f t="shared" si="14"/>
        <v>281.9952</v>
      </c>
      <c r="H271" s="69">
        <f t="shared" si="15"/>
        <v>2044.4652</v>
      </c>
      <c r="I271" s="70" t="s">
        <v>490</v>
      </c>
      <c r="J271" s="71" t="s">
        <v>493</v>
      </c>
      <c r="K271" s="71" t="s">
        <v>146</v>
      </c>
      <c r="L271" s="71" t="s">
        <v>268</v>
      </c>
    </row>
    <row r="272" ht="14.25" customHeight="1">
      <c r="A272" s="89">
        <v>376.0</v>
      </c>
      <c r="B272" s="75" t="s">
        <v>490</v>
      </c>
      <c r="C272" s="26" t="s">
        <v>491</v>
      </c>
      <c r="D272" s="3">
        <v>45316.0</v>
      </c>
      <c r="E272" s="25" t="s">
        <v>311</v>
      </c>
      <c r="F272" s="27">
        <v>1740.56</v>
      </c>
      <c r="G272" s="27">
        <f t="shared" si="14"/>
        <v>278.4896</v>
      </c>
      <c r="H272" s="27">
        <f t="shared" si="15"/>
        <v>2019.0496</v>
      </c>
      <c r="I272" s="28" t="s">
        <v>490</v>
      </c>
      <c r="J272" s="34" t="s">
        <v>494</v>
      </c>
      <c r="K272" s="34"/>
      <c r="L272" s="34"/>
    </row>
    <row r="273" ht="14.25" customHeight="1">
      <c r="A273" s="89">
        <v>377.0</v>
      </c>
      <c r="B273" s="75" t="s">
        <v>490</v>
      </c>
      <c r="C273" s="26" t="s">
        <v>483</v>
      </c>
      <c r="D273" s="3">
        <v>45316.0</v>
      </c>
      <c r="E273" s="25" t="s">
        <v>311</v>
      </c>
      <c r="F273" s="27">
        <v>1762.47</v>
      </c>
      <c r="G273" s="27">
        <f t="shared" si="14"/>
        <v>281.9952</v>
      </c>
      <c r="H273" s="27">
        <f t="shared" si="15"/>
        <v>2044.4652</v>
      </c>
      <c r="I273" s="28" t="s">
        <v>490</v>
      </c>
      <c r="J273" s="34" t="s">
        <v>495</v>
      </c>
      <c r="K273" s="34"/>
      <c r="L273" s="34"/>
    </row>
    <row r="274" ht="14.25" customHeight="1">
      <c r="A274" s="89">
        <v>378.0</v>
      </c>
      <c r="B274" s="64" t="s">
        <v>43</v>
      </c>
      <c r="C274" s="26" t="s">
        <v>488</v>
      </c>
      <c r="D274" s="3">
        <v>45334.0</v>
      </c>
      <c r="E274" s="25" t="s">
        <v>311</v>
      </c>
      <c r="F274" s="27">
        <v>49857.55</v>
      </c>
      <c r="G274" s="27">
        <f t="shared" si="14"/>
        <v>7977.208</v>
      </c>
      <c r="H274" s="27">
        <f t="shared" si="15"/>
        <v>57834.758</v>
      </c>
      <c r="I274" s="28" t="s">
        <v>43</v>
      </c>
      <c r="J274" s="34" t="s">
        <v>496</v>
      </c>
      <c r="K274" s="34"/>
      <c r="L274" s="34"/>
    </row>
    <row r="275" ht="14.25" customHeight="1">
      <c r="A275" s="89">
        <v>379.0</v>
      </c>
      <c r="B275" s="64" t="s">
        <v>43</v>
      </c>
      <c r="C275" s="26" t="s">
        <v>488</v>
      </c>
      <c r="D275" s="3">
        <v>45334.0</v>
      </c>
      <c r="E275" s="25" t="s">
        <v>311</v>
      </c>
      <c r="F275" s="27">
        <v>53500.43</v>
      </c>
      <c r="G275" s="27">
        <f t="shared" si="14"/>
        <v>8560.0688</v>
      </c>
      <c r="H275" s="27">
        <f t="shared" si="15"/>
        <v>62060.4988</v>
      </c>
      <c r="I275" s="28" t="s">
        <v>43</v>
      </c>
      <c r="J275" s="34" t="s">
        <v>497</v>
      </c>
      <c r="K275" s="34"/>
      <c r="L275" s="34"/>
    </row>
    <row r="276" ht="14.25" customHeight="1">
      <c r="A276" s="89">
        <v>380.0</v>
      </c>
      <c r="B276" s="66" t="s">
        <v>490</v>
      </c>
      <c r="C276" s="67" t="s">
        <v>498</v>
      </c>
      <c r="D276" s="68">
        <v>45338.0</v>
      </c>
      <c r="E276" s="65" t="s">
        <v>311</v>
      </c>
      <c r="F276" s="69">
        <v>10426.32</v>
      </c>
      <c r="G276" s="69">
        <f t="shared" si="14"/>
        <v>1668.2112</v>
      </c>
      <c r="H276" s="69">
        <f t="shared" si="15"/>
        <v>12094.5312</v>
      </c>
      <c r="I276" s="70" t="s">
        <v>490</v>
      </c>
      <c r="J276" s="71" t="s">
        <v>499</v>
      </c>
      <c r="K276" s="71" t="s">
        <v>146</v>
      </c>
      <c r="L276" s="71" t="s">
        <v>268</v>
      </c>
    </row>
    <row r="277" ht="14.25" customHeight="1">
      <c r="A277" s="89">
        <v>381.0</v>
      </c>
      <c r="B277" s="64" t="s">
        <v>43</v>
      </c>
      <c r="C277" s="26" t="s">
        <v>488</v>
      </c>
      <c r="D277" s="3">
        <v>45342.0</v>
      </c>
      <c r="E277" s="25" t="s">
        <v>311</v>
      </c>
      <c r="F277" s="27">
        <v>9427.9</v>
      </c>
      <c r="G277" s="27">
        <f t="shared" si="14"/>
        <v>1508.464</v>
      </c>
      <c r="H277" s="27">
        <f t="shared" si="15"/>
        <v>10936.364</v>
      </c>
      <c r="I277" s="28" t="s">
        <v>43</v>
      </c>
      <c r="J277" s="34" t="s">
        <v>496</v>
      </c>
      <c r="K277" s="34"/>
      <c r="L277" s="34"/>
    </row>
    <row r="278" ht="14.25" customHeight="1">
      <c r="A278" s="89">
        <v>382.0</v>
      </c>
      <c r="B278" s="64" t="s">
        <v>43</v>
      </c>
      <c r="C278" s="26" t="s">
        <v>488</v>
      </c>
      <c r="D278" s="3">
        <v>45342.0</v>
      </c>
      <c r="E278" s="25" t="s">
        <v>311</v>
      </c>
      <c r="F278" s="27">
        <v>11267.15</v>
      </c>
      <c r="G278" s="27">
        <f t="shared" si="14"/>
        <v>1802.744</v>
      </c>
      <c r="H278" s="27">
        <f t="shared" si="15"/>
        <v>13069.894</v>
      </c>
      <c r="I278" s="28" t="s">
        <v>43</v>
      </c>
      <c r="J278" s="34" t="s">
        <v>497</v>
      </c>
      <c r="K278" s="34"/>
      <c r="L278" s="34"/>
    </row>
    <row r="279" ht="14.25" customHeight="1">
      <c r="A279" s="89">
        <v>383.0</v>
      </c>
      <c r="B279" s="66" t="s">
        <v>128</v>
      </c>
      <c r="C279" s="67" t="s">
        <v>483</v>
      </c>
      <c r="D279" s="68">
        <v>45362.0</v>
      </c>
      <c r="E279" s="65" t="s">
        <v>311</v>
      </c>
      <c r="F279" s="69">
        <v>125114.46</v>
      </c>
      <c r="G279" s="69">
        <f t="shared" si="14"/>
        <v>20018.3136</v>
      </c>
      <c r="H279" s="69">
        <f t="shared" si="15"/>
        <v>145132.7736</v>
      </c>
      <c r="I279" s="70" t="s">
        <v>130</v>
      </c>
      <c r="J279" s="71" t="s">
        <v>500</v>
      </c>
      <c r="K279" s="71" t="s">
        <v>146</v>
      </c>
      <c r="L279" s="71" t="s">
        <v>268</v>
      </c>
    </row>
    <row r="280" ht="14.25" customHeight="1">
      <c r="A280" s="89">
        <v>384.0</v>
      </c>
      <c r="B280" s="75" t="s">
        <v>128</v>
      </c>
      <c r="C280" s="26" t="s">
        <v>483</v>
      </c>
      <c r="D280" s="3">
        <v>45363.0</v>
      </c>
      <c r="E280" s="25" t="s">
        <v>311</v>
      </c>
      <c r="F280" s="27">
        <v>25114.46</v>
      </c>
      <c r="G280" s="27">
        <f t="shared" si="14"/>
        <v>4018.3136</v>
      </c>
      <c r="H280" s="27">
        <f t="shared" si="15"/>
        <v>29132.7736</v>
      </c>
      <c r="I280" s="28" t="s">
        <v>130</v>
      </c>
      <c r="J280" s="34" t="s">
        <v>500</v>
      </c>
      <c r="K280" s="34"/>
      <c r="L280" s="34"/>
    </row>
    <row r="281" ht="14.25" customHeight="1">
      <c r="A281" s="89">
        <v>385.0</v>
      </c>
      <c r="B281" s="66" t="s">
        <v>490</v>
      </c>
      <c r="C281" s="67" t="s">
        <v>498</v>
      </c>
      <c r="D281" s="68">
        <v>45377.0</v>
      </c>
      <c r="E281" s="65" t="s">
        <v>311</v>
      </c>
      <c r="F281" s="69">
        <v>10426.32</v>
      </c>
      <c r="G281" s="69">
        <f t="shared" si="14"/>
        <v>1668.2112</v>
      </c>
      <c r="H281" s="69">
        <f t="shared" si="15"/>
        <v>12094.5312</v>
      </c>
      <c r="I281" s="70" t="s">
        <v>490</v>
      </c>
      <c r="J281" s="71" t="s">
        <v>501</v>
      </c>
      <c r="K281" s="71" t="s">
        <v>146</v>
      </c>
      <c r="L281" s="71" t="s">
        <v>268</v>
      </c>
    </row>
    <row r="282" ht="14.25" customHeight="1">
      <c r="A282" s="89">
        <v>386.0</v>
      </c>
      <c r="B282" s="75" t="s">
        <v>490</v>
      </c>
      <c r="C282" s="26" t="s">
        <v>502</v>
      </c>
      <c r="D282" s="3">
        <v>45377.0</v>
      </c>
      <c r="E282" s="25" t="s">
        <v>311</v>
      </c>
      <c r="F282" s="27">
        <v>34403.02</v>
      </c>
      <c r="G282" s="27">
        <f t="shared" si="14"/>
        <v>5504.4832</v>
      </c>
      <c r="H282" s="27">
        <f t="shared" si="15"/>
        <v>39907.5032</v>
      </c>
      <c r="I282" s="28" t="s">
        <v>490</v>
      </c>
      <c r="J282" s="34" t="s">
        <v>503</v>
      </c>
      <c r="K282" s="34"/>
      <c r="L282" s="34"/>
    </row>
    <row r="283" ht="14.25" customHeight="1">
      <c r="A283" s="89">
        <v>387.0</v>
      </c>
      <c r="B283" s="66" t="s">
        <v>504</v>
      </c>
      <c r="C283" s="67" t="s">
        <v>502</v>
      </c>
      <c r="D283" s="68">
        <v>45378.0</v>
      </c>
      <c r="E283" s="65" t="s">
        <v>311</v>
      </c>
      <c r="F283" s="69">
        <v>347393.8</v>
      </c>
      <c r="G283" s="69">
        <f t="shared" si="14"/>
        <v>55583.008</v>
      </c>
      <c r="H283" s="69">
        <f t="shared" si="15"/>
        <v>402976.808</v>
      </c>
      <c r="I283" s="70" t="s">
        <v>504</v>
      </c>
      <c r="J283" s="71" t="s">
        <v>505</v>
      </c>
      <c r="K283" s="71" t="s">
        <v>146</v>
      </c>
      <c r="L283" s="71"/>
    </row>
    <row r="284" ht="14.25" customHeight="1">
      <c r="A284" s="89">
        <v>388.0</v>
      </c>
      <c r="B284" s="64" t="s">
        <v>504</v>
      </c>
      <c r="C284" s="26" t="s">
        <v>502</v>
      </c>
      <c r="D284" s="3">
        <v>45393.0</v>
      </c>
      <c r="E284" s="25" t="s">
        <v>311</v>
      </c>
      <c r="F284" s="27">
        <v>347393.8</v>
      </c>
      <c r="G284" s="27">
        <f t="shared" si="14"/>
        <v>55583.008</v>
      </c>
      <c r="H284" s="27">
        <f t="shared" si="15"/>
        <v>402976.808</v>
      </c>
      <c r="I284" s="28" t="s">
        <v>504</v>
      </c>
      <c r="J284" s="34" t="s">
        <v>505</v>
      </c>
      <c r="K284" s="34"/>
      <c r="L284" s="34"/>
    </row>
    <row r="285" ht="14.25" customHeight="1">
      <c r="A285" s="82">
        <v>389.0</v>
      </c>
      <c r="B285" s="83" t="s">
        <v>490</v>
      </c>
      <c r="C285" s="84" t="s">
        <v>506</v>
      </c>
      <c r="D285" s="85">
        <v>45405.0</v>
      </c>
      <c r="E285" s="82" t="s">
        <v>311</v>
      </c>
      <c r="F285" s="86">
        <v>22195.72</v>
      </c>
      <c r="G285" s="86">
        <f t="shared" si="14"/>
        <v>3551.3152</v>
      </c>
      <c r="H285" s="86">
        <f t="shared" si="15"/>
        <v>25747.0352</v>
      </c>
      <c r="I285" s="87" t="s">
        <v>490</v>
      </c>
      <c r="J285" s="88" t="s">
        <v>507</v>
      </c>
      <c r="K285" s="88" t="s">
        <v>146</v>
      </c>
      <c r="L285" s="88" t="s">
        <v>508</v>
      </c>
    </row>
    <row r="286" ht="14.25" customHeight="1">
      <c r="A286" s="82">
        <v>390.0</v>
      </c>
      <c r="B286" s="83" t="s">
        <v>490</v>
      </c>
      <c r="C286" s="84" t="s">
        <v>509</v>
      </c>
      <c r="D286" s="85">
        <v>45405.0</v>
      </c>
      <c r="E286" s="82" t="s">
        <v>311</v>
      </c>
      <c r="F286" s="86">
        <v>45904.9</v>
      </c>
      <c r="G286" s="86">
        <f t="shared" si="14"/>
        <v>7344.784</v>
      </c>
      <c r="H286" s="86">
        <f t="shared" si="15"/>
        <v>53249.684</v>
      </c>
      <c r="I286" s="87" t="s">
        <v>490</v>
      </c>
      <c r="J286" s="88" t="s">
        <v>510</v>
      </c>
      <c r="K286" s="88" t="s">
        <v>146</v>
      </c>
      <c r="L286" s="88" t="s">
        <v>508</v>
      </c>
    </row>
    <row r="287" ht="14.25" customHeight="1">
      <c r="A287" s="82">
        <v>391.0</v>
      </c>
      <c r="B287" s="83" t="s">
        <v>490</v>
      </c>
      <c r="C287" s="84" t="s">
        <v>498</v>
      </c>
      <c r="D287" s="85">
        <v>45420.0</v>
      </c>
      <c r="E287" s="82" t="s">
        <v>311</v>
      </c>
      <c r="F287" s="86">
        <v>10426.32</v>
      </c>
      <c r="G287" s="86">
        <f t="shared" si="14"/>
        <v>1668.2112</v>
      </c>
      <c r="H287" s="86">
        <f t="shared" si="15"/>
        <v>12094.5312</v>
      </c>
      <c r="I287" s="87" t="s">
        <v>490</v>
      </c>
      <c r="J287" s="88" t="s">
        <v>511</v>
      </c>
      <c r="K287" s="88" t="s">
        <v>146</v>
      </c>
      <c r="L287" s="88" t="s">
        <v>508</v>
      </c>
    </row>
    <row r="288" ht="14.25" customHeight="1">
      <c r="A288" s="82">
        <v>392.0</v>
      </c>
      <c r="B288" s="83" t="s">
        <v>490</v>
      </c>
      <c r="C288" s="84" t="s">
        <v>506</v>
      </c>
      <c r="D288" s="85">
        <v>45420.0</v>
      </c>
      <c r="E288" s="82" t="s">
        <v>311</v>
      </c>
      <c r="F288" s="86">
        <v>22195.72</v>
      </c>
      <c r="G288" s="86">
        <f t="shared" si="14"/>
        <v>3551.3152</v>
      </c>
      <c r="H288" s="86">
        <f t="shared" si="15"/>
        <v>25747.0352</v>
      </c>
      <c r="I288" s="87" t="s">
        <v>490</v>
      </c>
      <c r="J288" s="88" t="s">
        <v>512</v>
      </c>
      <c r="K288" s="88" t="s">
        <v>146</v>
      </c>
      <c r="L288" s="88" t="s">
        <v>508</v>
      </c>
    </row>
    <row r="289" ht="14.25" customHeight="1">
      <c r="A289" s="82">
        <v>393.0</v>
      </c>
      <c r="B289" s="83" t="s">
        <v>490</v>
      </c>
      <c r="C289" s="84"/>
      <c r="D289" s="85">
        <v>45420.0</v>
      </c>
      <c r="E289" s="82" t="s">
        <v>311</v>
      </c>
      <c r="F289" s="86"/>
      <c r="G289" s="86">
        <f t="shared" si="14"/>
        <v>0</v>
      </c>
      <c r="H289" s="86">
        <f t="shared" si="15"/>
        <v>0</v>
      </c>
      <c r="I289" s="87"/>
      <c r="J289" s="88"/>
      <c r="K289" s="88" t="s">
        <v>146</v>
      </c>
      <c r="L289" s="88" t="s">
        <v>508</v>
      </c>
    </row>
    <row r="290" ht="14.25" customHeight="1">
      <c r="A290" s="25">
        <v>394.0</v>
      </c>
      <c r="B290" s="64" t="s">
        <v>490</v>
      </c>
      <c r="C290" s="26" t="s">
        <v>513</v>
      </c>
      <c r="D290" s="3">
        <v>45455.0</v>
      </c>
      <c r="E290" s="25" t="s">
        <v>311</v>
      </c>
      <c r="F290" s="27">
        <v>45904.9</v>
      </c>
      <c r="G290" s="27">
        <f t="shared" si="14"/>
        <v>7344.784</v>
      </c>
      <c r="H290" s="27">
        <f t="shared" si="15"/>
        <v>53249.684</v>
      </c>
      <c r="I290" s="28" t="s">
        <v>490</v>
      </c>
      <c r="J290" s="34" t="s">
        <v>510</v>
      </c>
      <c r="K290" s="34"/>
      <c r="L290" s="34"/>
    </row>
    <row r="291" ht="14.25" customHeight="1">
      <c r="A291" s="25">
        <v>395.0</v>
      </c>
      <c r="B291" s="64" t="s">
        <v>490</v>
      </c>
      <c r="C291" s="26" t="s">
        <v>498</v>
      </c>
      <c r="D291" s="3">
        <v>45455.0</v>
      </c>
      <c r="E291" s="25" t="s">
        <v>311</v>
      </c>
      <c r="F291" s="27">
        <v>10426.32</v>
      </c>
      <c r="G291" s="27">
        <f t="shared" si="14"/>
        <v>1668.2112</v>
      </c>
      <c r="H291" s="27">
        <f t="shared" si="15"/>
        <v>12094.5312</v>
      </c>
      <c r="I291" s="28" t="s">
        <v>490</v>
      </c>
      <c r="J291" s="34" t="s">
        <v>511</v>
      </c>
      <c r="K291" s="34"/>
      <c r="L291" s="34"/>
    </row>
    <row r="292" ht="14.25" customHeight="1">
      <c r="A292" s="25">
        <v>396.0</v>
      </c>
      <c r="B292" s="64" t="s">
        <v>490</v>
      </c>
      <c r="C292" s="26" t="s">
        <v>502</v>
      </c>
      <c r="D292" s="3">
        <v>45455.0</v>
      </c>
      <c r="E292" s="25" t="s">
        <v>311</v>
      </c>
      <c r="F292" s="27">
        <v>22195.72</v>
      </c>
      <c r="G292" s="27">
        <f t="shared" si="14"/>
        <v>3551.3152</v>
      </c>
      <c r="H292" s="27">
        <f t="shared" si="15"/>
        <v>25747.0352</v>
      </c>
      <c r="I292" s="28" t="s">
        <v>490</v>
      </c>
      <c r="J292" s="34" t="s">
        <v>512</v>
      </c>
      <c r="K292" s="34"/>
      <c r="L292" s="34"/>
    </row>
    <row r="293" ht="14.25" customHeight="1">
      <c r="A293" s="25">
        <v>397.0</v>
      </c>
      <c r="B293" s="64" t="s">
        <v>43</v>
      </c>
      <c r="C293" s="26" t="s">
        <v>502</v>
      </c>
      <c r="D293" s="3">
        <v>45512.0</v>
      </c>
      <c r="E293" s="25" t="s">
        <v>311</v>
      </c>
      <c r="F293" s="27">
        <v>2159.22</v>
      </c>
      <c r="G293" s="27">
        <f t="shared" si="14"/>
        <v>345.4752</v>
      </c>
      <c r="H293" s="27">
        <f t="shared" si="15"/>
        <v>2504.6952</v>
      </c>
      <c r="I293" s="28" t="s">
        <v>490</v>
      </c>
      <c r="J293" s="34" t="s">
        <v>514</v>
      </c>
      <c r="K293" s="34"/>
      <c r="L293" s="34"/>
    </row>
    <row r="294" ht="14.25" customHeight="1">
      <c r="A294" s="25">
        <v>398.0</v>
      </c>
      <c r="B294" s="64" t="s">
        <v>43</v>
      </c>
      <c r="C294" s="26" t="s">
        <v>513</v>
      </c>
      <c r="D294" s="3">
        <v>45512.0</v>
      </c>
      <c r="E294" s="25" t="s">
        <v>311</v>
      </c>
      <c r="F294" s="27">
        <v>5626.29</v>
      </c>
      <c r="G294" s="27">
        <f t="shared" si="14"/>
        <v>900.2064</v>
      </c>
      <c r="H294" s="27">
        <f t="shared" si="15"/>
        <v>6526.4964</v>
      </c>
      <c r="I294" s="28" t="s">
        <v>490</v>
      </c>
      <c r="J294" s="34" t="s">
        <v>515</v>
      </c>
      <c r="K294" s="34"/>
      <c r="L294" s="34"/>
    </row>
    <row r="295" ht="15.0" customHeight="1">
      <c r="A295" s="90">
        <v>399.0</v>
      </c>
      <c r="B295" s="91" t="s">
        <v>218</v>
      </c>
      <c r="C295" s="84" t="s">
        <v>513</v>
      </c>
      <c r="D295" s="92">
        <v>45524.0</v>
      </c>
      <c r="E295" s="82" t="s">
        <v>311</v>
      </c>
      <c r="F295" s="93">
        <v>4449.65</v>
      </c>
      <c r="G295" s="93">
        <f t="shared" si="14"/>
        <v>711.944</v>
      </c>
      <c r="H295" s="93">
        <f t="shared" si="15"/>
        <v>5161.594</v>
      </c>
      <c r="I295" s="94" t="s">
        <v>516</v>
      </c>
      <c r="J295" s="95" t="s">
        <v>517</v>
      </c>
      <c r="K295" s="71" t="s">
        <v>146</v>
      </c>
      <c r="L295" s="96" t="s">
        <v>518</v>
      </c>
    </row>
    <row r="296" ht="15.0" customHeight="1">
      <c r="A296" s="90">
        <v>400.0</v>
      </c>
      <c r="B296" s="91" t="s">
        <v>218</v>
      </c>
      <c r="C296" s="84" t="s">
        <v>513</v>
      </c>
      <c r="D296" s="92">
        <v>45524.0</v>
      </c>
      <c r="E296" s="82" t="s">
        <v>311</v>
      </c>
      <c r="F296" s="93">
        <v>1353.7</v>
      </c>
      <c r="G296" s="93">
        <f t="shared" si="14"/>
        <v>216.592</v>
      </c>
      <c r="H296" s="93">
        <f t="shared" si="15"/>
        <v>1570.292</v>
      </c>
      <c r="I296" s="94" t="s">
        <v>519</v>
      </c>
      <c r="J296" s="95" t="s">
        <v>520</v>
      </c>
      <c r="K296" s="71" t="s">
        <v>146</v>
      </c>
      <c r="L296" s="96" t="s">
        <v>518</v>
      </c>
    </row>
    <row r="297" ht="15.0" customHeight="1">
      <c r="A297" s="97">
        <v>404.0</v>
      </c>
      <c r="B297" s="98" t="s">
        <v>490</v>
      </c>
      <c r="C297" s="26" t="s">
        <v>502</v>
      </c>
      <c r="D297" s="99">
        <v>45541.0</v>
      </c>
      <c r="E297" s="25" t="s">
        <v>311</v>
      </c>
      <c r="F297" s="100">
        <v>149828.66</v>
      </c>
      <c r="G297" s="100">
        <f t="shared" si="14"/>
        <v>23972.5856</v>
      </c>
      <c r="H297" s="100">
        <f t="shared" si="15"/>
        <v>173801.2456</v>
      </c>
      <c r="I297" s="54" t="s">
        <v>490</v>
      </c>
      <c r="J297" s="101" t="s">
        <v>521</v>
      </c>
      <c r="K297" s="102"/>
    </row>
    <row r="298" ht="15.0" customHeight="1">
      <c r="A298" s="97">
        <v>405.0</v>
      </c>
      <c r="B298" s="98" t="s">
        <v>490</v>
      </c>
      <c r="C298" s="26" t="s">
        <v>502</v>
      </c>
      <c r="D298" s="99">
        <v>45541.0</v>
      </c>
      <c r="E298" s="25" t="s">
        <v>311</v>
      </c>
      <c r="F298" s="100">
        <v>134379.9</v>
      </c>
      <c r="G298" s="100">
        <f t="shared" si="14"/>
        <v>21500.784</v>
      </c>
      <c r="H298" s="100">
        <f t="shared" si="15"/>
        <v>155880.684</v>
      </c>
      <c r="I298" s="54" t="s">
        <v>490</v>
      </c>
      <c r="J298" s="101" t="s">
        <v>522</v>
      </c>
      <c r="K298" s="102"/>
    </row>
    <row r="299" ht="15.0" customHeight="1">
      <c r="A299" s="103">
        <v>406.0</v>
      </c>
      <c r="B299" s="98" t="s">
        <v>43</v>
      </c>
      <c r="C299" s="104" t="s">
        <v>523</v>
      </c>
      <c r="D299" s="99">
        <v>45576.0</v>
      </c>
      <c r="E299" s="25" t="s">
        <v>311</v>
      </c>
      <c r="F299" s="100">
        <v>19797.62</v>
      </c>
      <c r="G299" s="100">
        <f t="shared" si="14"/>
        <v>3167.6192</v>
      </c>
      <c r="H299" s="100">
        <f t="shared" si="15"/>
        <v>22965.2392</v>
      </c>
      <c r="I299" s="54" t="s">
        <v>43</v>
      </c>
      <c r="J299" s="101" t="s">
        <v>524</v>
      </c>
      <c r="K299" s="102"/>
    </row>
    <row r="300" ht="15.0" customHeight="1">
      <c r="A300" s="103">
        <v>407.0</v>
      </c>
      <c r="B300" s="98" t="s">
        <v>43</v>
      </c>
      <c r="C300" s="104" t="s">
        <v>523</v>
      </c>
      <c r="D300" s="99">
        <v>45576.0</v>
      </c>
      <c r="E300" s="25" t="s">
        <v>311</v>
      </c>
      <c r="F300" s="100">
        <v>18324.64</v>
      </c>
      <c r="G300" s="100">
        <f t="shared" si="14"/>
        <v>2931.9424</v>
      </c>
      <c r="H300" s="100">
        <f t="shared" si="15"/>
        <v>21256.5824</v>
      </c>
      <c r="I300" s="54" t="s">
        <v>43</v>
      </c>
      <c r="J300" s="101" t="s">
        <v>525</v>
      </c>
      <c r="K300" s="102"/>
    </row>
    <row r="301" ht="15.0" customHeight="1">
      <c r="A301" s="103">
        <v>408.0</v>
      </c>
      <c r="B301" s="104" t="s">
        <v>27</v>
      </c>
      <c r="C301" s="104" t="s">
        <v>523</v>
      </c>
      <c r="D301" s="99">
        <v>45590.0</v>
      </c>
      <c r="E301" s="25" t="s">
        <v>311</v>
      </c>
      <c r="F301" s="100">
        <v>6622.08</v>
      </c>
      <c r="G301" s="100">
        <f t="shared" si="14"/>
        <v>1059.5328</v>
      </c>
      <c r="H301" s="100">
        <f t="shared" si="15"/>
        <v>7681.6128</v>
      </c>
      <c r="I301" s="54" t="s">
        <v>158</v>
      </c>
      <c r="J301" s="104" t="s">
        <v>477</v>
      </c>
    </row>
    <row r="302" ht="15.0" customHeight="1">
      <c r="A302" s="103">
        <v>409.0</v>
      </c>
      <c r="B302" s="104" t="s">
        <v>27</v>
      </c>
      <c r="C302" s="104" t="s">
        <v>523</v>
      </c>
      <c r="D302" s="99">
        <v>45590.0</v>
      </c>
      <c r="E302" s="25" t="s">
        <v>311</v>
      </c>
      <c r="F302" s="100">
        <v>189.88</v>
      </c>
      <c r="G302" s="100">
        <f t="shared" si="14"/>
        <v>30.3808</v>
      </c>
      <c r="H302" s="100">
        <f t="shared" si="15"/>
        <v>220.2608</v>
      </c>
      <c r="I302" s="54" t="s">
        <v>151</v>
      </c>
      <c r="J302" s="104" t="s">
        <v>481</v>
      </c>
    </row>
    <row r="303" ht="15.0" customHeight="1">
      <c r="A303" s="103">
        <v>410.0</v>
      </c>
      <c r="B303" s="105" t="s">
        <v>467</v>
      </c>
      <c r="C303" s="102" t="s">
        <v>502</v>
      </c>
      <c r="D303" s="99">
        <v>45593.0</v>
      </c>
      <c r="E303" s="25" t="s">
        <v>311</v>
      </c>
      <c r="F303" s="100">
        <v>16485.69</v>
      </c>
      <c r="G303" s="100">
        <f t="shared" si="14"/>
        <v>2637.7104</v>
      </c>
      <c r="H303" s="100">
        <f t="shared" si="15"/>
        <v>19123.4004</v>
      </c>
      <c r="I303" s="54" t="s">
        <v>526</v>
      </c>
      <c r="J303" s="102" t="s">
        <v>527</v>
      </c>
      <c r="K303" s="102"/>
    </row>
    <row r="304" ht="15.0" customHeight="1">
      <c r="A304" s="103">
        <v>411.0</v>
      </c>
      <c r="B304" s="105" t="s">
        <v>467</v>
      </c>
      <c r="C304" s="102" t="s">
        <v>502</v>
      </c>
      <c r="D304" s="99">
        <v>45593.0</v>
      </c>
      <c r="E304" s="25" t="s">
        <v>311</v>
      </c>
      <c r="F304" s="100">
        <v>44033.5</v>
      </c>
      <c r="G304" s="100">
        <f t="shared" si="14"/>
        <v>7045.36</v>
      </c>
      <c r="H304" s="100">
        <f t="shared" si="15"/>
        <v>51078.86</v>
      </c>
      <c r="I304" s="54" t="s">
        <v>526</v>
      </c>
      <c r="J304" s="102" t="s">
        <v>528</v>
      </c>
      <c r="K304" s="102"/>
    </row>
    <row r="305" ht="15.0" customHeight="1">
      <c r="A305" s="103">
        <v>412.0</v>
      </c>
      <c r="B305" s="104" t="s">
        <v>27</v>
      </c>
      <c r="C305" s="104" t="s">
        <v>523</v>
      </c>
      <c r="D305" s="99">
        <v>45595.0</v>
      </c>
      <c r="E305" s="25" t="s">
        <v>311</v>
      </c>
      <c r="F305" s="100">
        <v>8412.2</v>
      </c>
      <c r="G305" s="100">
        <f t="shared" si="14"/>
        <v>1345.952</v>
      </c>
      <c r="H305" s="100">
        <f t="shared" si="15"/>
        <v>9758.152</v>
      </c>
      <c r="I305" s="54" t="s">
        <v>151</v>
      </c>
      <c r="J305" s="104" t="s">
        <v>529</v>
      </c>
    </row>
    <row r="306" ht="15.0" customHeight="1">
      <c r="A306" s="103">
        <v>413.0</v>
      </c>
      <c r="B306" s="105" t="s">
        <v>467</v>
      </c>
      <c r="C306" s="102" t="s">
        <v>502</v>
      </c>
      <c r="D306" s="99">
        <v>45609.0</v>
      </c>
      <c r="E306" s="103" t="s">
        <v>311</v>
      </c>
      <c r="F306" s="100">
        <v>1211.89</v>
      </c>
      <c r="G306" s="100">
        <f t="shared" si="14"/>
        <v>193.9024</v>
      </c>
      <c r="H306" s="100">
        <f t="shared" si="15"/>
        <v>1405.7924</v>
      </c>
      <c r="I306" s="54" t="s">
        <v>530</v>
      </c>
      <c r="J306" s="104" t="s">
        <v>531</v>
      </c>
    </row>
    <row r="307" ht="15.0" customHeight="1">
      <c r="A307" s="103">
        <v>414.0</v>
      </c>
      <c r="B307" s="105" t="s">
        <v>467</v>
      </c>
      <c r="C307" s="102" t="s">
        <v>502</v>
      </c>
      <c r="D307" s="99">
        <v>45609.0</v>
      </c>
      <c r="E307" s="103" t="s">
        <v>311</v>
      </c>
      <c r="F307" s="100">
        <v>4452.0</v>
      </c>
      <c r="G307" s="100">
        <f t="shared" si="14"/>
        <v>712.32</v>
      </c>
      <c r="H307" s="100">
        <f t="shared" si="15"/>
        <v>5164.32</v>
      </c>
      <c r="I307" s="54" t="s">
        <v>530</v>
      </c>
      <c r="J307" s="104" t="s">
        <v>532</v>
      </c>
    </row>
    <row r="308" ht="15.0" customHeight="1">
      <c r="A308" s="103">
        <v>415.0</v>
      </c>
      <c r="B308" s="105" t="s">
        <v>467</v>
      </c>
      <c r="C308" s="102" t="s">
        <v>502</v>
      </c>
      <c r="D308" s="99">
        <v>45624.0</v>
      </c>
      <c r="E308" s="103" t="s">
        <v>311</v>
      </c>
      <c r="F308" s="100">
        <v>498.84</v>
      </c>
      <c r="G308" s="100">
        <f t="shared" si="14"/>
        <v>79.8144</v>
      </c>
      <c r="H308" s="100">
        <f t="shared" si="15"/>
        <v>578.6544</v>
      </c>
      <c r="I308" s="54" t="s">
        <v>526</v>
      </c>
      <c r="J308" s="104" t="s">
        <v>533</v>
      </c>
    </row>
    <row r="309" ht="15.0" customHeight="1">
      <c r="A309" s="103">
        <v>416.0</v>
      </c>
      <c r="B309" s="105" t="s">
        <v>467</v>
      </c>
      <c r="C309" s="102" t="s">
        <v>502</v>
      </c>
      <c r="D309" s="99">
        <v>45624.0</v>
      </c>
      <c r="E309" s="103" t="s">
        <v>311</v>
      </c>
      <c r="F309" s="100">
        <v>2655.35</v>
      </c>
      <c r="G309" s="100">
        <f t="shared" si="14"/>
        <v>424.856</v>
      </c>
      <c r="H309" s="100">
        <f t="shared" si="15"/>
        <v>3080.206</v>
      </c>
      <c r="I309" s="54" t="s">
        <v>526</v>
      </c>
      <c r="J309" s="104" t="s">
        <v>534</v>
      </c>
    </row>
    <row r="310" ht="15.0" customHeight="1">
      <c r="A310" s="103">
        <v>417.0</v>
      </c>
      <c r="B310" s="105" t="s">
        <v>467</v>
      </c>
      <c r="C310" s="102" t="s">
        <v>502</v>
      </c>
      <c r="D310" s="99">
        <v>45638.0</v>
      </c>
      <c r="E310" s="103" t="s">
        <v>311</v>
      </c>
      <c r="F310" s="100">
        <v>3533.66</v>
      </c>
      <c r="G310" s="100">
        <f t="shared" si="14"/>
        <v>565.3856</v>
      </c>
      <c r="H310" s="100">
        <f t="shared" si="15"/>
        <v>4099.0456</v>
      </c>
      <c r="I310" s="54" t="s">
        <v>530</v>
      </c>
      <c r="J310" s="104" t="s">
        <v>535</v>
      </c>
    </row>
    <row r="311" ht="15.0" customHeight="1">
      <c r="A311" s="103">
        <v>418.0</v>
      </c>
      <c r="B311" s="105" t="s">
        <v>467</v>
      </c>
      <c r="C311" s="102" t="s">
        <v>502</v>
      </c>
      <c r="D311" s="99">
        <v>45638.0</v>
      </c>
      <c r="E311" s="103" t="s">
        <v>311</v>
      </c>
      <c r="F311" s="100">
        <v>10830.0</v>
      </c>
      <c r="G311" s="100">
        <f t="shared" si="14"/>
        <v>1732.8</v>
      </c>
      <c r="H311" s="100">
        <f t="shared" si="15"/>
        <v>12562.8</v>
      </c>
      <c r="I311" s="54" t="s">
        <v>530</v>
      </c>
      <c r="J311" s="104" t="s">
        <v>536</v>
      </c>
    </row>
    <row r="312" ht="15.0" customHeight="1">
      <c r="A312" s="103">
        <v>419.0</v>
      </c>
      <c r="B312" s="105" t="s">
        <v>34</v>
      </c>
      <c r="C312" s="102" t="s">
        <v>537</v>
      </c>
      <c r="D312" s="99">
        <v>45660.0</v>
      </c>
      <c r="E312" s="103" t="s">
        <v>311</v>
      </c>
      <c r="F312" s="100">
        <v>1603.7</v>
      </c>
      <c r="G312" s="100">
        <f t="shared" si="14"/>
        <v>256.592</v>
      </c>
      <c r="H312" s="100">
        <f t="shared" si="15"/>
        <v>1860.292</v>
      </c>
      <c r="I312" s="54" t="s">
        <v>538</v>
      </c>
      <c r="J312" s="102" t="s">
        <v>539</v>
      </c>
    </row>
    <row r="313" ht="15.0" customHeight="1">
      <c r="A313" s="103">
        <v>422.0</v>
      </c>
      <c r="B313" s="105" t="s">
        <v>467</v>
      </c>
      <c r="C313" s="102" t="s">
        <v>502</v>
      </c>
      <c r="D313" s="99">
        <v>45706.0</v>
      </c>
      <c r="E313" s="103" t="s">
        <v>311</v>
      </c>
      <c r="F313" s="100">
        <v>4591.73</v>
      </c>
      <c r="G313" s="100">
        <f t="shared" si="14"/>
        <v>734.6768</v>
      </c>
      <c r="H313" s="100">
        <f t="shared" si="15"/>
        <v>5326.4068</v>
      </c>
      <c r="I313" s="54" t="s">
        <v>526</v>
      </c>
      <c r="J313" s="102" t="s">
        <v>540</v>
      </c>
    </row>
    <row r="314" ht="15.0" customHeight="1">
      <c r="A314" s="103">
        <v>423.0</v>
      </c>
      <c r="B314" s="105" t="s">
        <v>467</v>
      </c>
      <c r="C314" s="102" t="s">
        <v>502</v>
      </c>
      <c r="D314" s="99">
        <v>45706.0</v>
      </c>
      <c r="E314" s="103" t="s">
        <v>311</v>
      </c>
      <c r="F314" s="100">
        <v>8871.1</v>
      </c>
      <c r="G314" s="100">
        <f t="shared" si="14"/>
        <v>1419.376</v>
      </c>
      <c r="H314" s="100">
        <f t="shared" si="15"/>
        <v>10290.476</v>
      </c>
      <c r="I314" s="54" t="s">
        <v>526</v>
      </c>
      <c r="J314" s="102" t="s">
        <v>541</v>
      </c>
    </row>
    <row r="315" ht="15.0" customHeight="1">
      <c r="A315" s="103">
        <v>424.0</v>
      </c>
      <c r="B315" s="105" t="s">
        <v>361</v>
      </c>
      <c r="C315" s="102" t="s">
        <v>502</v>
      </c>
      <c r="E315" s="103" t="s">
        <v>311</v>
      </c>
      <c r="F315" s="100">
        <v>3538.0</v>
      </c>
      <c r="G315" s="100">
        <f t="shared" si="14"/>
        <v>566.08</v>
      </c>
      <c r="H315" s="100">
        <f t="shared" si="15"/>
        <v>4104.08</v>
      </c>
      <c r="I315" s="54" t="s">
        <v>363</v>
      </c>
      <c r="J315" s="102" t="s">
        <v>542</v>
      </c>
    </row>
    <row r="316" ht="15.75" customHeight="1">
      <c r="F316" s="100"/>
      <c r="G316" s="100"/>
      <c r="H316" s="100"/>
    </row>
    <row r="317" ht="15.0" customHeight="1">
      <c r="E317" s="103"/>
      <c r="F317" s="100"/>
      <c r="G317" s="100"/>
      <c r="H317" s="100"/>
    </row>
    <row r="318" ht="15.0" customHeight="1">
      <c r="E318" s="103"/>
      <c r="F318" s="100"/>
      <c r="G318" s="100"/>
      <c r="H318" s="100"/>
    </row>
    <row r="319" ht="15.0" customHeight="1">
      <c r="E319" s="103"/>
      <c r="F319" s="100"/>
      <c r="G319" s="100"/>
      <c r="H319" s="100"/>
    </row>
    <row r="320" ht="15.75" customHeight="1">
      <c r="F320" s="100"/>
      <c r="G320" s="100"/>
      <c r="H320" s="100"/>
    </row>
    <row r="321" ht="15.75" customHeight="1">
      <c r="F321" s="100"/>
      <c r="G321" s="100"/>
      <c r="H321" s="100"/>
    </row>
    <row r="322" ht="15.75" customHeight="1">
      <c r="F322" s="100"/>
      <c r="G322" s="100"/>
      <c r="H322" s="100"/>
    </row>
    <row r="323" ht="15.75" customHeight="1">
      <c r="F323" s="100"/>
      <c r="G323" s="100"/>
      <c r="H323" s="100"/>
    </row>
    <row r="324" ht="15.75" customHeight="1">
      <c r="F324" s="100"/>
      <c r="G324" s="100"/>
      <c r="H324" s="100"/>
    </row>
    <row r="325" ht="15.75" customHeight="1">
      <c r="F325" s="100"/>
      <c r="G325" s="100"/>
      <c r="H325" s="100"/>
    </row>
    <row r="326" ht="15.75" customHeight="1">
      <c r="F326" s="100"/>
      <c r="G326" s="100"/>
      <c r="H326" s="100"/>
    </row>
    <row r="327" ht="15.75" customHeight="1">
      <c r="F327" s="100"/>
      <c r="G327" s="100"/>
      <c r="H327" s="100"/>
    </row>
    <row r="328" ht="15.75" customHeight="1">
      <c r="F328" s="100"/>
      <c r="G328" s="100"/>
      <c r="H328" s="100"/>
    </row>
    <row r="329" ht="15.75" customHeight="1">
      <c r="F329" s="100"/>
      <c r="G329" s="100"/>
      <c r="H329" s="100"/>
    </row>
    <row r="330" ht="15.75" customHeight="1">
      <c r="F330" s="100"/>
      <c r="G330" s="100"/>
      <c r="H330" s="100"/>
    </row>
    <row r="331" ht="15.75" customHeight="1">
      <c r="F331" s="100"/>
      <c r="G331" s="100"/>
      <c r="H331" s="100"/>
    </row>
    <row r="332" ht="15.75" customHeight="1">
      <c r="F332" s="100"/>
      <c r="G332" s="100"/>
      <c r="H332" s="100"/>
    </row>
    <row r="333" ht="15.75" customHeight="1">
      <c r="F333" s="100"/>
      <c r="G333" s="100"/>
      <c r="H333" s="100"/>
    </row>
    <row r="334" ht="15.75" customHeight="1">
      <c r="F334" s="100"/>
      <c r="G334" s="100"/>
      <c r="H334" s="100"/>
    </row>
    <row r="335" ht="15.75" customHeight="1">
      <c r="F335" s="100"/>
      <c r="G335" s="100"/>
      <c r="H335" s="100"/>
    </row>
    <row r="336" ht="15.75" customHeight="1">
      <c r="F336" s="100"/>
      <c r="G336" s="100"/>
      <c r="H336" s="100"/>
    </row>
    <row r="337" ht="15.75" customHeight="1">
      <c r="F337" s="100"/>
      <c r="G337" s="100"/>
      <c r="H337" s="100"/>
    </row>
    <row r="338" ht="15.75" customHeight="1">
      <c r="F338" s="100"/>
      <c r="G338" s="100"/>
      <c r="H338" s="100"/>
    </row>
    <row r="339" ht="15.75" customHeight="1">
      <c r="F339" s="100"/>
      <c r="G339" s="100"/>
      <c r="H339" s="100"/>
    </row>
    <row r="340" ht="15.75" customHeight="1">
      <c r="F340" s="100"/>
      <c r="G340" s="100"/>
      <c r="H340" s="100"/>
    </row>
    <row r="341" ht="15.75" customHeight="1">
      <c r="F341" s="100"/>
      <c r="G341" s="100"/>
      <c r="H341" s="100"/>
    </row>
    <row r="342" ht="15.75" customHeight="1">
      <c r="F342" s="100"/>
      <c r="G342" s="100"/>
      <c r="H342" s="100"/>
    </row>
    <row r="343" ht="15.75" customHeight="1">
      <c r="F343" s="100"/>
      <c r="G343" s="100"/>
      <c r="H343" s="100"/>
    </row>
    <row r="344" ht="15.75" customHeight="1">
      <c r="F344" s="100"/>
      <c r="G344" s="100"/>
      <c r="H344" s="100"/>
    </row>
    <row r="345" ht="15.75" customHeight="1">
      <c r="F345" s="100"/>
      <c r="G345" s="100"/>
      <c r="H345" s="100"/>
    </row>
    <row r="346" ht="15.75" customHeight="1">
      <c r="F346" s="100"/>
      <c r="G346" s="100"/>
      <c r="H346" s="100"/>
    </row>
    <row r="347" ht="15.75" customHeight="1">
      <c r="F347" s="100"/>
      <c r="G347" s="100"/>
      <c r="H347" s="100"/>
    </row>
    <row r="348" ht="15.75" customHeight="1">
      <c r="F348" s="100"/>
      <c r="G348" s="100"/>
      <c r="H348" s="100"/>
    </row>
    <row r="349" ht="15.75" customHeight="1">
      <c r="F349" s="100"/>
      <c r="G349" s="100"/>
      <c r="H349" s="100"/>
    </row>
    <row r="350" ht="15.75" customHeight="1">
      <c r="F350" s="100"/>
      <c r="G350" s="100"/>
      <c r="H350" s="100"/>
    </row>
    <row r="351" ht="15.75" customHeight="1">
      <c r="F351" s="100"/>
      <c r="G351" s="100"/>
      <c r="H351" s="100"/>
    </row>
    <row r="352" ht="15.75" customHeight="1">
      <c r="F352" s="100"/>
      <c r="G352" s="100"/>
      <c r="H352" s="100"/>
    </row>
    <row r="353" ht="15.75" customHeight="1">
      <c r="F353" s="100"/>
      <c r="G353" s="100"/>
      <c r="H353" s="100"/>
    </row>
    <row r="354" ht="15.75" customHeight="1">
      <c r="F354" s="100"/>
      <c r="G354" s="100"/>
      <c r="H354" s="100"/>
    </row>
    <row r="355" ht="15.75" customHeight="1">
      <c r="F355" s="100"/>
      <c r="G355" s="100"/>
      <c r="H355" s="100"/>
    </row>
    <row r="356" ht="15.75" customHeight="1">
      <c r="F356" s="100"/>
      <c r="G356" s="100"/>
      <c r="H356" s="100"/>
    </row>
    <row r="357" ht="15.75" customHeight="1">
      <c r="F357" s="100"/>
      <c r="G357" s="100"/>
      <c r="H357" s="100"/>
    </row>
    <row r="358" ht="15.75" customHeight="1">
      <c r="F358" s="100"/>
      <c r="G358" s="100"/>
      <c r="H358" s="100"/>
    </row>
    <row r="359" ht="15.75" customHeight="1">
      <c r="F359" s="100"/>
      <c r="G359" s="100"/>
      <c r="H359" s="100"/>
    </row>
    <row r="360" ht="15.75" customHeight="1">
      <c r="F360" s="100"/>
      <c r="G360" s="100"/>
      <c r="H360" s="100"/>
    </row>
    <row r="361" ht="15.75" customHeight="1">
      <c r="F361" s="100"/>
      <c r="G361" s="100"/>
      <c r="H361" s="100"/>
    </row>
    <row r="362" ht="15.75" customHeight="1">
      <c r="F362" s="100"/>
      <c r="G362" s="100"/>
      <c r="H362" s="100"/>
    </row>
    <row r="363" ht="15.75" customHeight="1">
      <c r="F363" s="100"/>
      <c r="G363" s="100"/>
      <c r="H363" s="100"/>
    </row>
    <row r="364" ht="15.75" customHeight="1">
      <c r="F364" s="100"/>
      <c r="G364" s="100"/>
      <c r="H364" s="100"/>
    </row>
    <row r="365" ht="15.75" customHeight="1">
      <c r="F365" s="100"/>
      <c r="G365" s="100"/>
      <c r="H365" s="100"/>
    </row>
    <row r="366" ht="15.75" customHeight="1">
      <c r="F366" s="100"/>
      <c r="G366" s="100"/>
      <c r="H366" s="100"/>
    </row>
    <row r="367" ht="15.75" customHeight="1">
      <c r="F367" s="100"/>
      <c r="G367" s="100"/>
      <c r="H367" s="100"/>
    </row>
    <row r="368" ht="15.75" customHeight="1">
      <c r="F368" s="100"/>
      <c r="G368" s="100"/>
      <c r="H368" s="100"/>
    </row>
    <row r="369" ht="15.75" customHeight="1">
      <c r="F369" s="100"/>
      <c r="G369" s="100"/>
      <c r="H369" s="100"/>
    </row>
    <row r="370" ht="15.75" customHeight="1">
      <c r="F370" s="100"/>
      <c r="G370" s="100"/>
      <c r="H370" s="100"/>
    </row>
    <row r="371" ht="15.75" customHeight="1">
      <c r="F371" s="100"/>
      <c r="G371" s="100"/>
      <c r="H371" s="100"/>
    </row>
    <row r="372" ht="15.75" customHeight="1">
      <c r="F372" s="100"/>
      <c r="G372" s="100"/>
      <c r="H372" s="100"/>
    </row>
    <row r="373" ht="15.75" customHeight="1">
      <c r="F373" s="100"/>
      <c r="G373" s="100"/>
      <c r="H373" s="100"/>
    </row>
    <row r="374" ht="15.75" customHeight="1">
      <c r="F374" s="100"/>
      <c r="G374" s="100"/>
      <c r="H374" s="100"/>
    </row>
    <row r="375" ht="15.75" customHeight="1">
      <c r="F375" s="100"/>
      <c r="G375" s="100"/>
      <c r="H375" s="100"/>
    </row>
    <row r="376" ht="15.75" customHeight="1">
      <c r="F376" s="100"/>
      <c r="G376" s="100"/>
      <c r="H376" s="100"/>
    </row>
    <row r="377" ht="15.75" customHeight="1">
      <c r="F377" s="100"/>
      <c r="G377" s="100"/>
      <c r="H377" s="100"/>
    </row>
    <row r="378" ht="15.75" customHeight="1">
      <c r="F378" s="100"/>
      <c r="G378" s="100"/>
      <c r="H378" s="100"/>
    </row>
    <row r="379" ht="15.75" customHeight="1">
      <c r="F379" s="100"/>
      <c r="G379" s="100"/>
      <c r="H379" s="100"/>
    </row>
    <row r="380" ht="15.75" customHeight="1">
      <c r="F380" s="100"/>
      <c r="G380" s="100"/>
      <c r="H380" s="100"/>
    </row>
    <row r="381" ht="15.75" customHeight="1">
      <c r="F381" s="100"/>
      <c r="G381" s="100"/>
      <c r="H381" s="100"/>
    </row>
    <row r="382" ht="15.75" customHeight="1">
      <c r="F382" s="100"/>
      <c r="G382" s="100"/>
      <c r="H382" s="100"/>
    </row>
    <row r="383" ht="15.75" customHeight="1">
      <c r="F383" s="100"/>
      <c r="G383" s="100"/>
      <c r="H383" s="100"/>
    </row>
    <row r="384" ht="15.75" customHeight="1">
      <c r="F384" s="100"/>
      <c r="G384" s="100"/>
      <c r="H384" s="100"/>
    </row>
    <row r="385" ht="15.75" customHeight="1">
      <c r="F385" s="100"/>
      <c r="G385" s="100"/>
      <c r="H385" s="100"/>
    </row>
    <row r="386" ht="15.75" customHeight="1">
      <c r="F386" s="100"/>
      <c r="G386" s="100"/>
      <c r="H386" s="100"/>
    </row>
    <row r="387" ht="15.75" customHeight="1">
      <c r="F387" s="100"/>
      <c r="G387" s="100"/>
      <c r="H387" s="100"/>
    </row>
    <row r="388" ht="15.75" customHeight="1">
      <c r="F388" s="100"/>
      <c r="G388" s="100"/>
      <c r="H388" s="100"/>
    </row>
    <row r="389" ht="15.75" customHeight="1">
      <c r="F389" s="100"/>
      <c r="G389" s="100"/>
      <c r="H389" s="100"/>
    </row>
    <row r="390" ht="15.75" customHeight="1">
      <c r="F390" s="100"/>
      <c r="G390" s="100"/>
      <c r="H390" s="100"/>
    </row>
    <row r="391" ht="15.75" customHeight="1">
      <c r="F391" s="100"/>
      <c r="G391" s="100"/>
      <c r="H391" s="100"/>
    </row>
    <row r="392" ht="15.75" customHeight="1">
      <c r="F392" s="100"/>
      <c r="G392" s="100"/>
      <c r="H392" s="100"/>
    </row>
    <row r="393" ht="15.75" customHeight="1">
      <c r="F393" s="100"/>
      <c r="G393" s="100"/>
      <c r="H393" s="100"/>
    </row>
    <row r="394" ht="15.75" customHeight="1">
      <c r="F394" s="100"/>
      <c r="G394" s="100"/>
      <c r="H394" s="100"/>
    </row>
    <row r="395" ht="15.75" customHeight="1">
      <c r="F395" s="100"/>
      <c r="G395" s="100"/>
      <c r="H395" s="100"/>
    </row>
    <row r="396" ht="15.75" customHeight="1">
      <c r="F396" s="100"/>
      <c r="G396" s="100"/>
      <c r="H396" s="100"/>
    </row>
    <row r="397" ht="15.75" customHeight="1">
      <c r="F397" s="100"/>
      <c r="G397" s="100"/>
      <c r="H397" s="100"/>
    </row>
    <row r="398" ht="15.75" customHeight="1">
      <c r="F398" s="100"/>
      <c r="G398" s="100"/>
      <c r="H398" s="100"/>
    </row>
    <row r="399" ht="15.75" customHeight="1">
      <c r="F399" s="100"/>
      <c r="G399" s="100"/>
      <c r="H399" s="100"/>
    </row>
    <row r="400" ht="15.75" customHeight="1">
      <c r="F400" s="100"/>
      <c r="G400" s="100"/>
      <c r="H400" s="100"/>
    </row>
    <row r="401" ht="15.75" customHeight="1">
      <c r="F401" s="100"/>
      <c r="G401" s="100"/>
      <c r="H401" s="100"/>
    </row>
    <row r="402" ht="15.75" customHeight="1">
      <c r="F402" s="100"/>
      <c r="G402" s="100"/>
      <c r="H402" s="100"/>
    </row>
    <row r="403" ht="15.75" customHeight="1">
      <c r="F403" s="100"/>
      <c r="G403" s="100"/>
      <c r="H403" s="100"/>
    </row>
    <row r="404" ht="15.75" customHeight="1">
      <c r="F404" s="100"/>
      <c r="G404" s="100"/>
      <c r="H404" s="100"/>
    </row>
    <row r="405" ht="15.75" customHeight="1">
      <c r="F405" s="100"/>
      <c r="G405" s="100"/>
      <c r="H405" s="100"/>
    </row>
    <row r="406" ht="15.75" customHeight="1">
      <c r="F406" s="100"/>
      <c r="G406" s="100"/>
      <c r="H406" s="100"/>
    </row>
    <row r="407" ht="15.75" customHeight="1">
      <c r="F407" s="100"/>
      <c r="G407" s="100"/>
      <c r="H407" s="100"/>
    </row>
    <row r="408" ht="15.75" customHeight="1">
      <c r="F408" s="100"/>
      <c r="G408" s="100"/>
      <c r="H408" s="100"/>
    </row>
    <row r="409" ht="15.75" customHeight="1">
      <c r="F409" s="100"/>
      <c r="G409" s="100"/>
      <c r="H409" s="100"/>
    </row>
    <row r="410" ht="15.75" customHeight="1">
      <c r="F410" s="100"/>
      <c r="G410" s="100"/>
      <c r="H410" s="100"/>
    </row>
    <row r="411" ht="15.75" customHeight="1">
      <c r="F411" s="100"/>
      <c r="G411" s="100"/>
      <c r="H411" s="100"/>
    </row>
    <row r="412" ht="15.75" customHeight="1">
      <c r="F412" s="100"/>
      <c r="G412" s="100"/>
      <c r="H412" s="100"/>
    </row>
    <row r="413" ht="15.75" customHeight="1">
      <c r="F413" s="100"/>
      <c r="G413" s="100"/>
      <c r="H413" s="100"/>
    </row>
    <row r="414" ht="15.75" customHeight="1">
      <c r="F414" s="100"/>
      <c r="G414" s="100"/>
      <c r="H414" s="100"/>
    </row>
    <row r="415" ht="15.75" customHeight="1">
      <c r="F415" s="100"/>
      <c r="G415" s="100"/>
      <c r="H415" s="100"/>
    </row>
    <row r="416" ht="15.75" customHeight="1">
      <c r="F416" s="100"/>
      <c r="G416" s="100"/>
      <c r="H416" s="100"/>
    </row>
    <row r="417" ht="15.75" customHeight="1">
      <c r="F417" s="100"/>
      <c r="G417" s="100"/>
      <c r="H417" s="100"/>
    </row>
    <row r="418" ht="15.75" customHeight="1">
      <c r="F418" s="100"/>
      <c r="G418" s="100"/>
      <c r="H418" s="100"/>
    </row>
    <row r="419" ht="15.75" customHeight="1">
      <c r="F419" s="100"/>
      <c r="G419" s="100"/>
      <c r="H419" s="100"/>
    </row>
    <row r="420" ht="14.25" customHeight="1">
      <c r="B420" s="26" t="s">
        <v>543</v>
      </c>
      <c r="C420" s="26"/>
      <c r="D420" s="3"/>
      <c r="E420" s="25"/>
      <c r="F420" s="27">
        <f t="shared" ref="F420:H420" si="16">SUM(F2:F291)</f>
        <v>19963990.32</v>
      </c>
      <c r="G420" s="27">
        <f t="shared" si="16"/>
        <v>3196889.736</v>
      </c>
      <c r="H420" s="27">
        <f t="shared" si="16"/>
        <v>23160880.06</v>
      </c>
    </row>
    <row r="421" ht="15.75" customHeight="1">
      <c r="F421" s="100"/>
      <c r="G421" s="100"/>
      <c r="H421" s="100"/>
    </row>
    <row r="422" ht="15.75" customHeight="1">
      <c r="F422" s="100"/>
      <c r="G422" s="100"/>
      <c r="H422" s="100"/>
    </row>
    <row r="423" ht="15.75" customHeight="1">
      <c r="F423" s="100"/>
      <c r="G423" s="100"/>
      <c r="H423" s="100"/>
    </row>
    <row r="424" ht="15.75" customHeight="1">
      <c r="F424" s="100"/>
      <c r="G424" s="100"/>
      <c r="H424" s="100"/>
    </row>
    <row r="425" ht="15.75" customHeight="1">
      <c r="F425" s="100"/>
      <c r="G425" s="100"/>
      <c r="H425" s="100"/>
    </row>
    <row r="426" ht="15.75" customHeight="1">
      <c r="F426" s="100"/>
      <c r="G426" s="100"/>
      <c r="H426" s="100"/>
    </row>
    <row r="427" ht="15.75" customHeight="1">
      <c r="F427" s="100"/>
      <c r="G427" s="100"/>
      <c r="H427" s="100"/>
    </row>
    <row r="428" ht="15.75" customHeight="1">
      <c r="F428" s="100"/>
      <c r="G428" s="100"/>
      <c r="H428" s="100"/>
    </row>
    <row r="429" ht="15.75" customHeight="1">
      <c r="F429" s="100"/>
      <c r="G429" s="100"/>
      <c r="H429" s="100"/>
    </row>
    <row r="430" ht="15.75" customHeight="1">
      <c r="F430" s="100"/>
      <c r="G430" s="100"/>
      <c r="H430" s="100"/>
    </row>
    <row r="431" ht="15.75" customHeight="1">
      <c r="F431" s="100"/>
      <c r="G431" s="100"/>
      <c r="H431" s="100"/>
    </row>
    <row r="432" ht="15.75" customHeight="1">
      <c r="F432" s="100"/>
      <c r="G432" s="100"/>
      <c r="H432" s="100"/>
    </row>
    <row r="433" ht="15.75" customHeight="1">
      <c r="F433" s="100"/>
      <c r="G433" s="100"/>
      <c r="H433" s="100"/>
    </row>
    <row r="434" ht="15.75" customHeight="1">
      <c r="F434" s="100"/>
      <c r="G434" s="100"/>
      <c r="H434" s="100"/>
    </row>
    <row r="435" ht="15.75" customHeight="1">
      <c r="F435" s="100"/>
      <c r="G435" s="100"/>
      <c r="H435" s="100"/>
    </row>
    <row r="436" ht="15.75" customHeight="1">
      <c r="F436" s="100"/>
      <c r="G436" s="100"/>
      <c r="H436" s="100"/>
    </row>
    <row r="437" ht="15.75" customHeight="1">
      <c r="F437" s="100"/>
      <c r="G437" s="100"/>
      <c r="H437" s="100"/>
    </row>
    <row r="438" ht="15.75" customHeight="1">
      <c r="F438" s="100"/>
      <c r="G438" s="100"/>
      <c r="H438" s="100"/>
    </row>
    <row r="439" ht="15.75" customHeight="1">
      <c r="F439" s="100"/>
      <c r="G439" s="100"/>
      <c r="H439" s="100"/>
    </row>
    <row r="440" ht="15.75" customHeight="1">
      <c r="F440" s="100"/>
      <c r="G440" s="100"/>
      <c r="H440" s="100"/>
    </row>
    <row r="441" ht="15.75" customHeight="1">
      <c r="F441" s="100"/>
      <c r="G441" s="100"/>
      <c r="H441" s="100"/>
    </row>
    <row r="442" ht="15.75" customHeight="1">
      <c r="F442" s="100"/>
      <c r="G442" s="100"/>
      <c r="H442" s="100"/>
    </row>
    <row r="443" ht="15.75" customHeight="1">
      <c r="F443" s="100"/>
      <c r="G443" s="100"/>
      <c r="H443" s="100"/>
    </row>
    <row r="444" ht="15.75" customHeight="1">
      <c r="F444" s="100"/>
      <c r="G444" s="100"/>
      <c r="H444" s="100"/>
    </row>
    <row r="445" ht="15.75" customHeight="1">
      <c r="F445" s="100"/>
      <c r="G445" s="100"/>
      <c r="H445" s="100"/>
    </row>
    <row r="446" ht="15.75" customHeight="1">
      <c r="F446" s="100"/>
      <c r="G446" s="100"/>
      <c r="H446" s="100"/>
    </row>
    <row r="447" ht="15.75" customHeight="1">
      <c r="F447" s="100"/>
      <c r="G447" s="100"/>
      <c r="H447" s="100"/>
    </row>
    <row r="448" ht="15.75" customHeight="1">
      <c r="F448" s="100"/>
      <c r="G448" s="100"/>
      <c r="H448" s="100"/>
    </row>
    <row r="449" ht="15.75" customHeight="1">
      <c r="F449" s="100"/>
      <c r="G449" s="100"/>
      <c r="H449" s="100"/>
    </row>
    <row r="450" ht="15.75" customHeight="1">
      <c r="F450" s="100"/>
      <c r="G450" s="100"/>
      <c r="H450" s="100"/>
    </row>
    <row r="451" ht="15.75" customHeight="1">
      <c r="F451" s="100"/>
      <c r="G451" s="100"/>
      <c r="H451" s="100"/>
    </row>
    <row r="452" ht="15.75" customHeight="1">
      <c r="F452" s="100"/>
      <c r="G452" s="100"/>
      <c r="H452" s="100"/>
    </row>
    <row r="453" ht="15.75" customHeight="1">
      <c r="F453" s="100"/>
      <c r="G453" s="100"/>
      <c r="H453" s="100"/>
    </row>
    <row r="454" ht="15.75" customHeight="1">
      <c r="F454" s="100"/>
      <c r="G454" s="100"/>
      <c r="H454" s="100"/>
    </row>
    <row r="455" ht="15.75" customHeight="1">
      <c r="F455" s="100"/>
      <c r="G455" s="100"/>
      <c r="H455" s="100"/>
    </row>
    <row r="456" ht="15.75" customHeight="1">
      <c r="F456" s="100"/>
      <c r="G456" s="100"/>
      <c r="H456" s="100"/>
    </row>
    <row r="457" ht="15.75" customHeight="1">
      <c r="F457" s="100"/>
      <c r="G457" s="100"/>
      <c r="H457" s="100"/>
    </row>
    <row r="458" ht="15.75" customHeight="1">
      <c r="F458" s="100"/>
      <c r="G458" s="100"/>
      <c r="H458" s="100"/>
    </row>
    <row r="459" ht="15.75" customHeight="1">
      <c r="F459" s="100"/>
      <c r="G459" s="100"/>
      <c r="H459" s="100"/>
    </row>
    <row r="460" ht="15.75" customHeight="1">
      <c r="F460" s="100"/>
      <c r="G460" s="100"/>
      <c r="H460" s="100"/>
    </row>
    <row r="461" ht="15.75" customHeight="1">
      <c r="F461" s="100"/>
      <c r="G461" s="100"/>
      <c r="H461" s="100"/>
    </row>
    <row r="462" ht="15.75" customHeight="1">
      <c r="F462" s="100"/>
      <c r="G462" s="100"/>
      <c r="H462" s="100"/>
    </row>
    <row r="463" ht="15.75" customHeight="1">
      <c r="F463" s="100"/>
      <c r="G463" s="100"/>
      <c r="H463" s="100"/>
    </row>
    <row r="464" ht="15.75" customHeight="1">
      <c r="F464" s="100"/>
      <c r="G464" s="100"/>
      <c r="H464" s="100"/>
    </row>
    <row r="465" ht="15.75" customHeight="1">
      <c r="F465" s="100"/>
      <c r="G465" s="100"/>
      <c r="H465" s="100"/>
    </row>
    <row r="466" ht="15.75" customHeight="1">
      <c r="F466" s="100"/>
      <c r="G466" s="100"/>
      <c r="H466" s="100"/>
    </row>
    <row r="467" ht="15.75" customHeight="1">
      <c r="F467" s="100"/>
      <c r="G467" s="100"/>
      <c r="H467" s="100"/>
    </row>
    <row r="468" ht="15.75" customHeight="1">
      <c r="F468" s="100"/>
      <c r="G468" s="100"/>
      <c r="H468" s="100"/>
    </row>
    <row r="469" ht="15.75" customHeight="1">
      <c r="F469" s="100"/>
      <c r="G469" s="100"/>
      <c r="H469" s="100"/>
    </row>
    <row r="470" ht="15.75" customHeight="1">
      <c r="F470" s="100"/>
      <c r="G470" s="100"/>
      <c r="H470" s="100"/>
    </row>
    <row r="471" ht="15.75" customHeight="1">
      <c r="F471" s="100"/>
      <c r="G471" s="100"/>
      <c r="H471" s="100"/>
    </row>
    <row r="472" ht="15.75" customHeight="1">
      <c r="F472" s="100"/>
      <c r="G472" s="100"/>
      <c r="H472" s="100"/>
    </row>
    <row r="473" ht="15.75" customHeight="1">
      <c r="F473" s="100"/>
      <c r="G473" s="100"/>
      <c r="H473" s="100"/>
    </row>
    <row r="474" ht="15.75" customHeight="1">
      <c r="F474" s="100"/>
      <c r="G474" s="100"/>
      <c r="H474" s="100"/>
    </row>
    <row r="475" ht="15.75" customHeight="1">
      <c r="F475" s="100"/>
      <c r="G475" s="100"/>
      <c r="H475" s="100"/>
    </row>
    <row r="476" ht="15.75" customHeight="1">
      <c r="F476" s="100"/>
      <c r="G476" s="100"/>
      <c r="H476" s="100"/>
    </row>
    <row r="477" ht="15.75" customHeight="1">
      <c r="F477" s="100"/>
      <c r="G477" s="100"/>
      <c r="H477" s="100"/>
    </row>
    <row r="478" ht="15.75" customHeight="1">
      <c r="F478" s="100"/>
      <c r="G478" s="100"/>
      <c r="H478" s="100"/>
    </row>
    <row r="479" ht="15.75" customHeight="1">
      <c r="F479" s="100"/>
      <c r="G479" s="100"/>
      <c r="H479" s="100"/>
    </row>
    <row r="480" ht="15.75" customHeight="1">
      <c r="F480" s="100"/>
      <c r="G480" s="100"/>
      <c r="H480" s="100"/>
    </row>
    <row r="481" ht="15.75" customHeight="1">
      <c r="F481" s="100"/>
      <c r="G481" s="100"/>
      <c r="H481" s="100"/>
    </row>
    <row r="482" ht="15.75" customHeight="1">
      <c r="F482" s="100"/>
      <c r="G482" s="100"/>
      <c r="H482" s="100"/>
    </row>
    <row r="483" ht="15.75" customHeight="1">
      <c r="F483" s="100"/>
      <c r="G483" s="100"/>
      <c r="H483" s="100"/>
    </row>
    <row r="484" ht="15.75" customHeight="1">
      <c r="F484" s="100"/>
      <c r="G484" s="100"/>
      <c r="H484" s="100"/>
    </row>
    <row r="485" ht="15.75" customHeight="1">
      <c r="F485" s="100"/>
      <c r="G485" s="100"/>
      <c r="H485" s="100"/>
    </row>
    <row r="486" ht="15.75" customHeight="1">
      <c r="F486" s="100"/>
      <c r="G486" s="100"/>
      <c r="H486" s="100"/>
    </row>
    <row r="487" ht="15.75" customHeight="1">
      <c r="F487" s="100"/>
      <c r="G487" s="100"/>
      <c r="H487" s="100"/>
    </row>
    <row r="488" ht="15.75" customHeight="1">
      <c r="F488" s="100"/>
      <c r="G488" s="100"/>
      <c r="H488" s="100"/>
    </row>
    <row r="489" ht="15.75" customHeight="1">
      <c r="F489" s="100"/>
      <c r="G489" s="100"/>
      <c r="H489" s="100"/>
    </row>
    <row r="490" ht="15.75" customHeight="1">
      <c r="F490" s="100"/>
      <c r="G490" s="100"/>
      <c r="H490" s="100"/>
    </row>
    <row r="491" ht="15.75" customHeight="1">
      <c r="F491" s="100"/>
      <c r="G491" s="100"/>
      <c r="H491" s="100"/>
    </row>
    <row r="492" ht="15.75" customHeight="1">
      <c r="F492" s="100"/>
      <c r="G492" s="100"/>
      <c r="H492" s="100"/>
    </row>
    <row r="493" ht="15.75" customHeight="1">
      <c r="F493" s="100"/>
      <c r="G493" s="100"/>
      <c r="H493" s="100"/>
    </row>
    <row r="494" ht="15.75" customHeight="1">
      <c r="F494" s="100"/>
      <c r="G494" s="100"/>
      <c r="H494" s="100"/>
    </row>
    <row r="495" ht="15.75" customHeight="1">
      <c r="F495" s="100"/>
      <c r="G495" s="100"/>
      <c r="H495" s="100"/>
    </row>
    <row r="496" ht="15.75" customHeight="1">
      <c r="F496" s="100"/>
      <c r="G496" s="100"/>
      <c r="H496" s="100"/>
    </row>
    <row r="497" ht="15.75" customHeight="1">
      <c r="F497" s="100"/>
      <c r="G497" s="100"/>
      <c r="H497" s="100"/>
    </row>
    <row r="498" ht="15.75" customHeight="1">
      <c r="F498" s="100"/>
      <c r="G498" s="100"/>
      <c r="H498" s="100"/>
    </row>
    <row r="499" ht="15.75" customHeight="1">
      <c r="F499" s="100"/>
      <c r="G499" s="100"/>
      <c r="H499" s="100"/>
    </row>
    <row r="500" ht="15.75" customHeight="1">
      <c r="F500" s="100"/>
      <c r="G500" s="100"/>
      <c r="H500" s="100"/>
    </row>
    <row r="501" ht="15.75" customHeight="1">
      <c r="F501" s="100"/>
      <c r="G501" s="100"/>
      <c r="H501" s="100"/>
    </row>
    <row r="502" ht="15.75" customHeight="1">
      <c r="F502" s="100"/>
      <c r="G502" s="100"/>
      <c r="H502" s="100"/>
    </row>
    <row r="503" ht="15.75" customHeight="1">
      <c r="F503" s="100"/>
      <c r="G503" s="100"/>
      <c r="H503" s="100"/>
    </row>
    <row r="504" ht="15.75" customHeight="1">
      <c r="F504" s="100"/>
      <c r="G504" s="100"/>
      <c r="H504" s="100"/>
    </row>
    <row r="505" ht="15.75" customHeight="1">
      <c r="F505" s="100"/>
      <c r="G505" s="100"/>
      <c r="H505" s="100"/>
    </row>
    <row r="506" ht="15.75" customHeight="1">
      <c r="F506" s="100"/>
      <c r="G506" s="100"/>
      <c r="H506" s="100"/>
    </row>
    <row r="507" ht="15.75" customHeight="1">
      <c r="F507" s="100"/>
      <c r="G507" s="100"/>
      <c r="H507" s="100"/>
    </row>
    <row r="508" ht="15.75" customHeight="1">
      <c r="F508" s="100"/>
      <c r="G508" s="100"/>
      <c r="H508" s="100"/>
    </row>
    <row r="509" ht="15.75" customHeight="1">
      <c r="F509" s="100"/>
      <c r="G509" s="100"/>
      <c r="H509" s="100"/>
    </row>
    <row r="510" ht="15.75" customHeight="1">
      <c r="F510" s="100"/>
      <c r="G510" s="100"/>
      <c r="H510" s="100"/>
    </row>
    <row r="511" ht="15.75" customHeight="1">
      <c r="F511" s="100"/>
      <c r="G511" s="100"/>
      <c r="H511" s="100"/>
    </row>
    <row r="512" ht="15.75" customHeight="1">
      <c r="F512" s="100"/>
      <c r="G512" s="100"/>
      <c r="H512" s="100"/>
    </row>
    <row r="513" ht="15.75" customHeight="1">
      <c r="F513" s="100"/>
      <c r="G513" s="100"/>
      <c r="H513" s="100"/>
    </row>
    <row r="514" ht="15.75" customHeight="1">
      <c r="F514" s="100"/>
      <c r="G514" s="100"/>
      <c r="H514" s="100"/>
    </row>
    <row r="515" ht="15.75" customHeight="1">
      <c r="F515" s="100"/>
      <c r="G515" s="100"/>
      <c r="H515" s="100"/>
    </row>
    <row r="516" ht="15.75" customHeight="1">
      <c r="F516" s="100"/>
      <c r="G516" s="100"/>
      <c r="H516" s="100"/>
    </row>
    <row r="517" ht="15.75" customHeight="1">
      <c r="F517" s="100"/>
      <c r="G517" s="100"/>
      <c r="H517" s="100"/>
    </row>
    <row r="518" ht="15.75" customHeight="1">
      <c r="F518" s="100"/>
      <c r="G518" s="100"/>
      <c r="H518" s="100"/>
    </row>
    <row r="519" ht="15.75" customHeight="1">
      <c r="F519" s="100"/>
      <c r="G519" s="100"/>
      <c r="H519" s="100"/>
    </row>
    <row r="520" ht="15.75" customHeight="1">
      <c r="F520" s="100"/>
      <c r="G520" s="100"/>
      <c r="H520" s="100"/>
    </row>
    <row r="521" ht="15.75" customHeight="1">
      <c r="F521" s="100"/>
      <c r="G521" s="100"/>
      <c r="H521" s="100"/>
    </row>
    <row r="522" ht="15.75" customHeight="1">
      <c r="F522" s="100"/>
      <c r="G522" s="100"/>
      <c r="H522" s="100"/>
    </row>
    <row r="523" ht="15.75" customHeight="1">
      <c r="F523" s="100"/>
      <c r="G523" s="100"/>
      <c r="H523" s="100"/>
    </row>
    <row r="524" ht="15.75" customHeight="1">
      <c r="F524" s="100"/>
      <c r="G524" s="100"/>
      <c r="H524" s="100"/>
    </row>
    <row r="525" ht="15.75" customHeight="1">
      <c r="F525" s="100"/>
      <c r="G525" s="100"/>
      <c r="H525" s="100"/>
    </row>
    <row r="526" ht="15.75" customHeight="1">
      <c r="F526" s="100"/>
      <c r="G526" s="100"/>
      <c r="H526" s="100"/>
    </row>
    <row r="527" ht="15.75" customHeight="1">
      <c r="F527" s="100"/>
      <c r="G527" s="100"/>
      <c r="H527" s="100"/>
    </row>
    <row r="528" ht="15.75" customHeight="1">
      <c r="F528" s="100"/>
      <c r="G528" s="100"/>
      <c r="H528" s="100"/>
    </row>
    <row r="529" ht="15.75" customHeight="1">
      <c r="F529" s="100"/>
      <c r="G529" s="100"/>
      <c r="H529" s="100"/>
    </row>
    <row r="530" ht="15.75" customHeight="1">
      <c r="F530" s="100"/>
      <c r="G530" s="100"/>
      <c r="H530" s="100"/>
    </row>
    <row r="531" ht="15.75" customHeight="1">
      <c r="F531" s="100"/>
      <c r="G531" s="100"/>
      <c r="H531" s="100"/>
    </row>
    <row r="532" ht="15.75" customHeight="1">
      <c r="F532" s="100"/>
      <c r="G532" s="100"/>
      <c r="H532" s="100"/>
    </row>
    <row r="533" ht="15.75" customHeight="1">
      <c r="F533" s="100"/>
      <c r="G533" s="100"/>
      <c r="H533" s="100"/>
    </row>
    <row r="534" ht="15.75" customHeight="1">
      <c r="F534" s="100"/>
      <c r="G534" s="100"/>
      <c r="H534" s="100"/>
    </row>
    <row r="535" ht="15.75" customHeight="1">
      <c r="F535" s="100"/>
      <c r="G535" s="100"/>
      <c r="H535" s="100"/>
    </row>
    <row r="536" ht="15.75" customHeight="1">
      <c r="F536" s="100"/>
      <c r="G536" s="100"/>
      <c r="H536" s="100"/>
    </row>
    <row r="537" ht="15.75" customHeight="1">
      <c r="F537" s="100"/>
      <c r="G537" s="100"/>
      <c r="H537" s="100"/>
    </row>
    <row r="538" ht="15.75" customHeight="1">
      <c r="F538" s="100"/>
      <c r="G538" s="100"/>
      <c r="H538" s="100"/>
    </row>
    <row r="539" ht="15.75" customHeight="1">
      <c r="F539" s="100"/>
      <c r="G539" s="100"/>
      <c r="H539" s="100"/>
    </row>
    <row r="540" ht="15.75" customHeight="1">
      <c r="F540" s="100"/>
      <c r="G540" s="100"/>
      <c r="H540" s="100"/>
    </row>
    <row r="541" ht="15.75" customHeight="1">
      <c r="F541" s="100"/>
      <c r="G541" s="100"/>
      <c r="H541" s="100"/>
    </row>
    <row r="542" ht="15.75" customHeight="1">
      <c r="F542" s="100"/>
      <c r="G542" s="100"/>
      <c r="H542" s="100"/>
    </row>
    <row r="543" ht="15.75" customHeight="1">
      <c r="F543" s="100"/>
      <c r="G543" s="100"/>
      <c r="H543" s="100"/>
    </row>
    <row r="544" ht="15.75" customHeight="1">
      <c r="F544" s="100"/>
      <c r="G544" s="100"/>
      <c r="H544" s="100"/>
    </row>
    <row r="545" ht="15.75" customHeight="1">
      <c r="F545" s="100"/>
      <c r="G545" s="100"/>
      <c r="H545" s="100"/>
    </row>
    <row r="546" ht="15.75" customHeight="1">
      <c r="F546" s="100"/>
      <c r="G546" s="100"/>
      <c r="H546" s="100"/>
    </row>
    <row r="547" ht="15.75" customHeight="1">
      <c r="F547" s="100"/>
      <c r="G547" s="100"/>
      <c r="H547" s="100"/>
    </row>
    <row r="548" ht="15.75" customHeight="1">
      <c r="F548" s="100"/>
      <c r="G548" s="100"/>
      <c r="H548" s="100"/>
    </row>
    <row r="549" ht="15.75" customHeight="1">
      <c r="F549" s="100"/>
      <c r="G549" s="100"/>
      <c r="H549" s="100"/>
    </row>
    <row r="550" ht="15.75" customHeight="1">
      <c r="F550" s="100"/>
      <c r="G550" s="100"/>
      <c r="H550" s="100"/>
    </row>
    <row r="551" ht="15.75" customHeight="1">
      <c r="F551" s="100"/>
      <c r="G551" s="100"/>
      <c r="H551" s="100"/>
    </row>
    <row r="552" ht="15.75" customHeight="1">
      <c r="F552" s="100"/>
      <c r="G552" s="100"/>
      <c r="H552" s="100"/>
    </row>
    <row r="553" ht="15.75" customHeight="1">
      <c r="F553" s="100"/>
      <c r="G553" s="100"/>
      <c r="H553" s="100"/>
    </row>
    <row r="554" ht="15.75" customHeight="1">
      <c r="F554" s="100"/>
      <c r="G554" s="100"/>
      <c r="H554" s="100"/>
    </row>
    <row r="555" ht="15.75" customHeight="1">
      <c r="F555" s="100"/>
      <c r="G555" s="100"/>
      <c r="H555" s="100"/>
    </row>
    <row r="556" ht="15.75" customHeight="1">
      <c r="F556" s="100"/>
      <c r="G556" s="100"/>
      <c r="H556" s="100"/>
    </row>
    <row r="557" ht="15.75" customHeight="1">
      <c r="F557" s="100"/>
      <c r="G557" s="100"/>
      <c r="H557" s="100"/>
    </row>
    <row r="558" ht="15.75" customHeight="1">
      <c r="F558" s="100"/>
      <c r="G558" s="100"/>
      <c r="H558" s="100"/>
    </row>
    <row r="559" ht="15.75" customHeight="1">
      <c r="F559" s="100"/>
      <c r="G559" s="100"/>
      <c r="H559" s="100"/>
    </row>
    <row r="560" ht="15.75" customHeight="1">
      <c r="F560" s="100"/>
      <c r="G560" s="100"/>
      <c r="H560" s="100"/>
    </row>
    <row r="561" ht="15.75" customHeight="1">
      <c r="F561" s="100"/>
      <c r="G561" s="100"/>
      <c r="H561" s="100"/>
    </row>
    <row r="562" ht="15.75" customHeight="1">
      <c r="F562" s="100"/>
      <c r="G562" s="100"/>
      <c r="H562" s="100"/>
    </row>
    <row r="563" ht="15.75" customHeight="1">
      <c r="F563" s="100"/>
      <c r="G563" s="100"/>
      <c r="H563" s="100"/>
    </row>
    <row r="564" ht="15.75" customHeight="1">
      <c r="F564" s="100"/>
      <c r="G564" s="100"/>
      <c r="H564" s="100"/>
    </row>
    <row r="565" ht="15.75" customHeight="1">
      <c r="F565" s="100"/>
      <c r="G565" s="100"/>
      <c r="H565" s="100"/>
    </row>
    <row r="566" ht="15.75" customHeight="1">
      <c r="F566" s="100"/>
      <c r="G566" s="100"/>
      <c r="H566" s="100"/>
    </row>
    <row r="567" ht="15.75" customHeight="1">
      <c r="F567" s="100"/>
      <c r="G567" s="100"/>
      <c r="H567" s="100"/>
    </row>
    <row r="568" ht="15.75" customHeight="1">
      <c r="F568" s="100"/>
      <c r="G568" s="100"/>
      <c r="H568" s="100"/>
    </row>
    <row r="569" ht="15.75" customHeight="1">
      <c r="F569" s="100"/>
      <c r="G569" s="100"/>
      <c r="H569" s="100"/>
    </row>
    <row r="570" ht="15.75" customHeight="1">
      <c r="F570" s="100"/>
      <c r="G570" s="100"/>
      <c r="H570" s="100"/>
    </row>
    <row r="571" ht="15.75" customHeight="1">
      <c r="F571" s="100"/>
      <c r="G571" s="100"/>
      <c r="H571" s="100"/>
    </row>
    <row r="572" ht="15.75" customHeight="1">
      <c r="F572" s="100"/>
      <c r="G572" s="100"/>
      <c r="H572" s="100"/>
    </row>
    <row r="573" ht="15.75" customHeight="1">
      <c r="F573" s="100"/>
      <c r="G573" s="100"/>
      <c r="H573" s="100"/>
    </row>
    <row r="574" ht="15.75" customHeight="1">
      <c r="F574" s="100"/>
      <c r="G574" s="100"/>
      <c r="H574" s="100"/>
    </row>
    <row r="575" ht="15.75" customHeight="1">
      <c r="F575" s="100"/>
      <c r="G575" s="100"/>
      <c r="H575" s="100"/>
    </row>
    <row r="576" ht="15.75" customHeight="1">
      <c r="F576" s="100"/>
      <c r="G576" s="100"/>
      <c r="H576" s="100"/>
    </row>
    <row r="577" ht="15.75" customHeight="1">
      <c r="F577" s="100"/>
      <c r="G577" s="100"/>
      <c r="H577" s="100"/>
    </row>
    <row r="578" ht="15.75" customHeight="1">
      <c r="F578" s="100"/>
      <c r="G578" s="100"/>
      <c r="H578" s="100"/>
    </row>
    <row r="579" ht="15.75" customHeight="1">
      <c r="F579" s="100"/>
      <c r="G579" s="100"/>
      <c r="H579" s="100"/>
    </row>
    <row r="580" ht="15.75" customHeight="1">
      <c r="F580" s="100"/>
      <c r="G580" s="100"/>
      <c r="H580" s="100"/>
    </row>
    <row r="581" ht="15.75" customHeight="1">
      <c r="F581" s="100"/>
      <c r="G581" s="100"/>
      <c r="H581" s="100"/>
    </row>
    <row r="582" ht="15.75" customHeight="1">
      <c r="F582" s="100"/>
      <c r="G582" s="100"/>
      <c r="H582" s="100"/>
    </row>
    <row r="583" ht="15.75" customHeight="1">
      <c r="F583" s="100"/>
      <c r="G583" s="100"/>
      <c r="H583" s="100"/>
    </row>
    <row r="584" ht="15.75" customHeight="1">
      <c r="F584" s="100"/>
      <c r="G584" s="100"/>
      <c r="H584" s="100"/>
    </row>
    <row r="585" ht="15.75" customHeight="1">
      <c r="F585" s="100"/>
      <c r="G585" s="100"/>
      <c r="H585" s="100"/>
    </row>
    <row r="586" ht="15.75" customHeight="1">
      <c r="F586" s="100"/>
      <c r="G586" s="100"/>
      <c r="H586" s="100"/>
    </row>
    <row r="587" ht="15.75" customHeight="1">
      <c r="F587" s="100"/>
      <c r="G587" s="100"/>
      <c r="H587" s="100"/>
    </row>
    <row r="588" ht="15.75" customHeight="1">
      <c r="F588" s="100"/>
      <c r="G588" s="100"/>
      <c r="H588" s="100"/>
    </row>
    <row r="589" ht="15.75" customHeight="1">
      <c r="F589" s="100"/>
      <c r="G589" s="100"/>
      <c r="H589" s="100"/>
    </row>
    <row r="590" ht="15.75" customHeight="1">
      <c r="F590" s="100"/>
      <c r="G590" s="100"/>
      <c r="H590" s="100"/>
    </row>
    <row r="591" ht="15.75" customHeight="1">
      <c r="F591" s="100"/>
      <c r="G591" s="100"/>
      <c r="H591" s="100"/>
    </row>
    <row r="592" ht="15.75" customHeight="1">
      <c r="F592" s="100"/>
      <c r="G592" s="100"/>
      <c r="H592" s="100"/>
    </row>
    <row r="593" ht="15.75" customHeight="1">
      <c r="F593" s="100"/>
      <c r="G593" s="100"/>
      <c r="H593" s="100"/>
    </row>
    <row r="594" ht="15.75" customHeight="1">
      <c r="F594" s="100"/>
      <c r="G594" s="100"/>
      <c r="H594" s="100"/>
    </row>
    <row r="595" ht="15.75" customHeight="1">
      <c r="F595" s="100"/>
      <c r="G595" s="100"/>
      <c r="H595" s="100"/>
    </row>
    <row r="596" ht="15.75" customHeight="1">
      <c r="F596" s="100"/>
      <c r="G596" s="100"/>
      <c r="H596" s="100"/>
    </row>
    <row r="597" ht="15.75" customHeight="1">
      <c r="F597" s="100"/>
      <c r="G597" s="100"/>
      <c r="H597" s="100"/>
    </row>
    <row r="598" ht="15.75" customHeight="1">
      <c r="F598" s="100"/>
      <c r="G598" s="100"/>
      <c r="H598" s="100"/>
    </row>
    <row r="599" ht="15.75" customHeight="1">
      <c r="F599" s="100"/>
      <c r="G599" s="100"/>
      <c r="H599" s="100"/>
    </row>
    <row r="600" ht="15.75" customHeight="1">
      <c r="F600" s="100"/>
      <c r="G600" s="100"/>
      <c r="H600" s="100"/>
    </row>
    <row r="601" ht="15.75" customHeight="1">
      <c r="F601" s="100"/>
      <c r="G601" s="100"/>
      <c r="H601" s="100"/>
    </row>
    <row r="602" ht="15.75" customHeight="1">
      <c r="F602" s="100"/>
      <c r="G602" s="100"/>
      <c r="H602" s="100"/>
    </row>
    <row r="603" ht="15.75" customHeight="1">
      <c r="F603" s="100"/>
      <c r="G603" s="100"/>
      <c r="H603" s="100"/>
    </row>
    <row r="604" ht="15.75" customHeight="1">
      <c r="F604" s="100"/>
      <c r="G604" s="100"/>
      <c r="H604" s="100"/>
    </row>
    <row r="605" ht="15.75" customHeight="1">
      <c r="F605" s="100"/>
      <c r="G605" s="100"/>
      <c r="H605" s="100"/>
    </row>
    <row r="606" ht="15.75" customHeight="1">
      <c r="F606" s="100"/>
      <c r="G606" s="100"/>
      <c r="H606" s="100"/>
    </row>
    <row r="607" ht="15.75" customHeight="1">
      <c r="F607" s="100"/>
      <c r="G607" s="100"/>
      <c r="H607" s="100"/>
    </row>
    <row r="608" ht="15.75" customHeight="1">
      <c r="F608" s="100"/>
      <c r="G608" s="100"/>
      <c r="H608" s="100"/>
    </row>
    <row r="609" ht="15.75" customHeight="1">
      <c r="F609" s="100"/>
      <c r="G609" s="100"/>
      <c r="H609" s="100"/>
    </row>
    <row r="610" ht="15.75" customHeight="1">
      <c r="F610" s="100"/>
      <c r="G610" s="100"/>
      <c r="H610" s="100"/>
    </row>
    <row r="611" ht="15.75" customHeight="1">
      <c r="F611" s="100"/>
      <c r="G611" s="100"/>
      <c r="H611" s="100"/>
    </row>
    <row r="612" ht="15.75" customHeight="1">
      <c r="F612" s="100"/>
      <c r="G612" s="100"/>
      <c r="H612" s="100"/>
    </row>
    <row r="613" ht="15.75" customHeight="1">
      <c r="F613" s="100"/>
      <c r="G613" s="100"/>
      <c r="H613" s="100"/>
    </row>
    <row r="614" ht="15.75" customHeight="1">
      <c r="F614" s="100"/>
      <c r="G614" s="100"/>
      <c r="H614" s="100"/>
    </row>
    <row r="615" ht="15.75" customHeight="1">
      <c r="F615" s="100"/>
      <c r="G615" s="100"/>
      <c r="H615" s="100"/>
    </row>
    <row r="616" ht="15.75" customHeight="1">
      <c r="F616" s="100"/>
      <c r="G616" s="100"/>
      <c r="H616" s="100"/>
    </row>
    <row r="617" ht="15.75" customHeight="1">
      <c r="F617" s="100"/>
      <c r="G617" s="100"/>
      <c r="H617" s="100"/>
    </row>
    <row r="618" ht="15.75" customHeight="1">
      <c r="F618" s="100"/>
      <c r="G618" s="100"/>
      <c r="H618" s="100"/>
    </row>
    <row r="619" ht="15.75" customHeight="1">
      <c r="F619" s="100"/>
      <c r="G619" s="100"/>
      <c r="H619" s="100"/>
    </row>
    <row r="620" ht="15.75" customHeight="1">
      <c r="F620" s="100"/>
      <c r="G620" s="100"/>
      <c r="H620" s="100"/>
    </row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L$420"/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1.43"/>
    <col customWidth="1" min="2" max="2" width="34.57"/>
    <col customWidth="1" min="3" max="3" width="67.71"/>
    <col customWidth="1" min="4" max="4" width="12.0"/>
    <col customWidth="1" min="5" max="5" width="11.43"/>
    <col customWidth="1" min="6" max="6" width="16.29"/>
    <col customWidth="1" min="7" max="7" width="13.43"/>
    <col customWidth="1" min="8" max="8" width="14.14"/>
    <col customWidth="1" min="9" max="9" width="17.0"/>
    <col customWidth="1" min="10" max="12" width="10.71"/>
    <col customWidth="1" min="13" max="13" width="12.86"/>
    <col customWidth="1" min="14" max="14" width="12.14"/>
    <col customWidth="1" min="15" max="24" width="10.71"/>
    <col customWidth="1" min="25" max="26" width="17.29"/>
  </cols>
  <sheetData>
    <row r="1" ht="14.25" customHeight="1">
      <c r="A1" s="21" t="s">
        <v>544</v>
      </c>
      <c r="B1" s="21" t="s">
        <v>59</v>
      </c>
      <c r="C1" s="21" t="s">
        <v>60</v>
      </c>
      <c r="D1" s="21" t="s">
        <v>61</v>
      </c>
      <c r="E1" s="21" t="s">
        <v>62</v>
      </c>
      <c r="F1" s="22" t="s">
        <v>63</v>
      </c>
      <c r="G1" s="22" t="s">
        <v>64</v>
      </c>
      <c r="H1" s="22" t="s">
        <v>65</v>
      </c>
      <c r="I1" s="23" t="s">
        <v>66</v>
      </c>
      <c r="J1" s="106" t="s">
        <v>545</v>
      </c>
    </row>
    <row r="2" ht="14.25" customHeight="1">
      <c r="A2" s="1">
        <v>3.0</v>
      </c>
      <c r="B2" s="2" t="s">
        <v>70</v>
      </c>
      <c r="C2" s="2" t="s">
        <v>546</v>
      </c>
      <c r="D2" s="3">
        <v>41974.0</v>
      </c>
      <c r="E2" s="25" t="s">
        <v>547</v>
      </c>
      <c r="F2" s="31">
        <v>-19971.15</v>
      </c>
      <c r="G2" s="31">
        <v>-3195.38</v>
      </c>
      <c r="H2" s="31">
        <f>F2+G2</f>
        <v>-23166.53</v>
      </c>
      <c r="I2" s="1" t="s">
        <v>72</v>
      </c>
      <c r="J2" s="107">
        <v>43004.0</v>
      </c>
    </row>
    <row r="3" ht="14.25" customHeight="1">
      <c r="A3" s="25">
        <v>5.0</v>
      </c>
      <c r="B3" s="26" t="s">
        <v>70</v>
      </c>
      <c r="C3" s="26" t="s">
        <v>548</v>
      </c>
      <c r="D3" s="108">
        <v>42005.0</v>
      </c>
      <c r="E3" s="25" t="s">
        <v>547</v>
      </c>
      <c r="F3" s="27"/>
      <c r="G3" s="27"/>
      <c r="H3" s="27"/>
      <c r="I3" s="25" t="s">
        <v>72</v>
      </c>
      <c r="J3" s="30"/>
      <c r="K3" s="30"/>
      <c r="L3" s="30"/>
      <c r="M3" s="30"/>
    </row>
    <row r="4" ht="14.25" customHeight="1">
      <c r="A4" s="1">
        <v>7.0</v>
      </c>
      <c r="B4" s="2" t="s">
        <v>70</v>
      </c>
      <c r="C4" s="2" t="s">
        <v>549</v>
      </c>
      <c r="D4" s="3">
        <v>42005.0</v>
      </c>
      <c r="E4" s="25" t="s">
        <v>547</v>
      </c>
      <c r="F4" s="31">
        <v>-8152.5</v>
      </c>
      <c r="G4" s="31">
        <v>-1304.4</v>
      </c>
      <c r="H4" s="31">
        <f t="shared" ref="H4:H13" si="1">F4+G4</f>
        <v>-9456.9</v>
      </c>
      <c r="I4" s="1" t="s">
        <v>72</v>
      </c>
    </row>
    <row r="5" ht="14.25" customHeight="1">
      <c r="A5" s="1">
        <v>9.0</v>
      </c>
      <c r="B5" s="2" t="s">
        <v>70</v>
      </c>
      <c r="C5" s="2" t="s">
        <v>74</v>
      </c>
      <c r="D5" s="3">
        <v>42036.0</v>
      </c>
      <c r="E5" s="25" t="s">
        <v>547</v>
      </c>
      <c r="F5" s="31">
        <v>-50400.0</v>
      </c>
      <c r="G5" s="31">
        <v>-8064.0</v>
      </c>
      <c r="H5" s="31">
        <f t="shared" si="1"/>
        <v>-58464</v>
      </c>
      <c r="I5" s="1" t="s">
        <v>72</v>
      </c>
      <c r="J5" s="107">
        <v>42811.0</v>
      </c>
    </row>
    <row r="6" ht="14.25" customHeight="1">
      <c r="A6" s="1">
        <v>11.0</v>
      </c>
      <c r="B6" s="2" t="s">
        <v>70</v>
      </c>
      <c r="C6" s="2" t="s">
        <v>550</v>
      </c>
      <c r="D6" s="3">
        <v>42064.0</v>
      </c>
      <c r="E6" s="25" t="s">
        <v>547</v>
      </c>
      <c r="F6" s="31">
        <v>-23902.5</v>
      </c>
      <c r="G6" s="31">
        <v>-3824.4</v>
      </c>
      <c r="H6" s="31">
        <f t="shared" si="1"/>
        <v>-27726.9</v>
      </c>
      <c r="I6" s="1" t="s">
        <v>72</v>
      </c>
    </row>
    <row r="7" ht="14.25" customHeight="1">
      <c r="A7" s="1">
        <v>14.0</v>
      </c>
      <c r="B7" s="2" t="s">
        <v>70</v>
      </c>
      <c r="C7" s="2" t="s">
        <v>551</v>
      </c>
      <c r="D7" s="3">
        <v>42095.0</v>
      </c>
      <c r="E7" s="25" t="s">
        <v>547</v>
      </c>
      <c r="F7" s="31">
        <v>-540.0</v>
      </c>
      <c r="G7" s="31">
        <v>-86.4</v>
      </c>
      <c r="H7" s="31">
        <f t="shared" si="1"/>
        <v>-626.4</v>
      </c>
      <c r="I7" s="1" t="s">
        <v>72</v>
      </c>
      <c r="J7" s="107">
        <v>42874.0</v>
      </c>
    </row>
    <row r="8" ht="14.25" customHeight="1">
      <c r="A8" s="37">
        <v>16.0</v>
      </c>
      <c r="B8" s="38" t="s">
        <v>552</v>
      </c>
      <c r="C8" s="38" t="s">
        <v>553</v>
      </c>
      <c r="D8" s="109">
        <v>42125.0</v>
      </c>
      <c r="E8" s="25" t="s">
        <v>547</v>
      </c>
      <c r="F8" s="110">
        <v>-2993.85</v>
      </c>
      <c r="G8" s="110">
        <v>-479.02</v>
      </c>
      <c r="H8" s="110">
        <f t="shared" si="1"/>
        <v>-3472.87</v>
      </c>
      <c r="I8" s="37" t="s">
        <v>72</v>
      </c>
      <c r="J8" s="30" t="s">
        <v>554</v>
      </c>
      <c r="K8" s="111"/>
      <c r="L8" s="30"/>
      <c r="M8" s="30"/>
    </row>
    <row r="9" ht="14.25" customHeight="1">
      <c r="A9" s="25">
        <v>27.0</v>
      </c>
      <c r="B9" s="26" t="s">
        <v>43</v>
      </c>
      <c r="C9" s="26" t="s">
        <v>555</v>
      </c>
      <c r="D9" s="108"/>
      <c r="E9" s="25" t="s">
        <v>547</v>
      </c>
      <c r="F9" s="27">
        <v>777.36</v>
      </c>
      <c r="G9" s="27">
        <v>124.38</v>
      </c>
      <c r="H9" s="110">
        <f t="shared" si="1"/>
        <v>901.74</v>
      </c>
      <c r="I9" s="25" t="s">
        <v>72</v>
      </c>
      <c r="J9" s="30"/>
      <c r="K9" s="30"/>
      <c r="L9" s="30"/>
      <c r="M9" s="30"/>
    </row>
    <row r="10" ht="14.25" customHeight="1">
      <c r="A10" s="25">
        <v>45.0</v>
      </c>
      <c r="B10" s="26" t="s">
        <v>94</v>
      </c>
      <c r="C10" s="26" t="s">
        <v>556</v>
      </c>
      <c r="D10" s="108">
        <v>43430.0</v>
      </c>
      <c r="E10" s="25" t="s">
        <v>547</v>
      </c>
      <c r="F10" s="27">
        <v>45000.0</v>
      </c>
      <c r="G10" s="27">
        <v>7200.0</v>
      </c>
      <c r="H10" s="110">
        <f t="shared" si="1"/>
        <v>52200</v>
      </c>
      <c r="I10" s="25" t="s">
        <v>96</v>
      </c>
      <c r="J10" s="30"/>
      <c r="K10" s="30"/>
      <c r="L10" s="30"/>
      <c r="M10" s="30"/>
    </row>
    <row r="11" ht="14.25" customHeight="1">
      <c r="A11" s="25">
        <v>46.0</v>
      </c>
      <c r="B11" s="26" t="s">
        <v>94</v>
      </c>
      <c r="C11" s="26" t="s">
        <v>556</v>
      </c>
      <c r="D11" s="108">
        <v>43430.0</v>
      </c>
      <c r="E11" s="25" t="s">
        <v>547</v>
      </c>
      <c r="F11" s="27">
        <v>7500.0</v>
      </c>
      <c r="G11" s="27">
        <v>1200.0</v>
      </c>
      <c r="H11" s="110">
        <f t="shared" si="1"/>
        <v>8700</v>
      </c>
      <c r="I11" s="25" t="s">
        <v>96</v>
      </c>
      <c r="J11" s="30" t="s">
        <v>557</v>
      </c>
      <c r="K11" s="30"/>
      <c r="L11" s="30"/>
      <c r="M11" s="30"/>
    </row>
    <row r="12" ht="14.25" customHeight="1">
      <c r="A12" s="25">
        <v>54.0</v>
      </c>
      <c r="B12" s="26" t="s">
        <v>101</v>
      </c>
      <c r="C12" s="26" t="s">
        <v>558</v>
      </c>
      <c r="D12" s="108">
        <v>43479.0</v>
      </c>
      <c r="E12" s="25" t="s">
        <v>547</v>
      </c>
      <c r="F12" s="27">
        <v>217.38</v>
      </c>
      <c r="G12" s="27">
        <v>34.78</v>
      </c>
      <c r="H12" s="110">
        <f t="shared" si="1"/>
        <v>252.16</v>
      </c>
      <c r="I12" s="25" t="s">
        <v>101</v>
      </c>
      <c r="J12" s="30" t="s">
        <v>89</v>
      </c>
      <c r="K12" s="111"/>
      <c r="L12" s="30"/>
      <c r="M12" s="30"/>
    </row>
    <row r="13" ht="14.25" customHeight="1">
      <c r="A13" s="25">
        <v>56.0</v>
      </c>
      <c r="B13" s="26" t="s">
        <v>43</v>
      </c>
      <c r="C13" s="26" t="s">
        <v>555</v>
      </c>
      <c r="D13" s="108">
        <v>43486.0</v>
      </c>
      <c r="E13" s="25" t="s">
        <v>547</v>
      </c>
      <c r="F13" s="27">
        <v>1824.9</v>
      </c>
      <c r="G13" s="27">
        <v>291.98</v>
      </c>
      <c r="H13" s="110">
        <f t="shared" si="1"/>
        <v>2116.88</v>
      </c>
      <c r="I13" s="25" t="s">
        <v>43</v>
      </c>
      <c r="J13" s="30" t="s">
        <v>89</v>
      </c>
      <c r="K13" s="111"/>
      <c r="L13" s="30"/>
      <c r="M13" s="30"/>
    </row>
    <row r="14" ht="14.25" customHeight="1">
      <c r="A14" s="25">
        <v>58.0</v>
      </c>
      <c r="B14" s="26" t="s">
        <v>559</v>
      </c>
      <c r="C14" s="26" t="s">
        <v>146</v>
      </c>
      <c r="D14" s="108"/>
      <c r="E14" s="25"/>
      <c r="F14" s="27"/>
      <c r="G14" s="27"/>
      <c r="H14" s="110"/>
      <c r="I14" s="25"/>
      <c r="J14" s="30"/>
      <c r="K14" s="111"/>
      <c r="L14" s="30"/>
      <c r="M14" s="30"/>
    </row>
    <row r="15" ht="14.25" customHeight="1">
      <c r="A15" s="74">
        <v>59.0</v>
      </c>
      <c r="B15" s="26" t="s">
        <v>43</v>
      </c>
      <c r="C15" s="26"/>
      <c r="D15" s="108"/>
      <c r="E15" s="25"/>
      <c r="F15" s="27"/>
      <c r="G15" s="27"/>
      <c r="H15" s="110"/>
      <c r="I15" s="25"/>
      <c r="J15" s="30"/>
      <c r="K15" s="111"/>
      <c r="L15" s="30"/>
      <c r="M15" s="30"/>
    </row>
    <row r="16" ht="14.25" customHeight="1">
      <c r="A16" s="74">
        <v>61.0</v>
      </c>
      <c r="B16" s="26" t="s">
        <v>43</v>
      </c>
      <c r="C16" s="26" t="s">
        <v>560</v>
      </c>
      <c r="D16" s="108">
        <v>43739.0</v>
      </c>
      <c r="E16" s="25" t="s">
        <v>547</v>
      </c>
      <c r="F16" s="27">
        <v>1459.92</v>
      </c>
      <c r="G16" s="27">
        <v>233.59</v>
      </c>
      <c r="H16" s="110">
        <f t="shared" ref="H16:H37" si="2">F16+G16</f>
        <v>1693.51</v>
      </c>
      <c r="I16" s="25" t="s">
        <v>43</v>
      </c>
      <c r="J16" s="30"/>
      <c r="K16" s="30"/>
      <c r="L16" s="30"/>
      <c r="M16" s="30"/>
    </row>
    <row r="17" ht="14.25" customHeight="1">
      <c r="A17" s="25">
        <v>65.0</v>
      </c>
      <c r="B17" s="26" t="s">
        <v>43</v>
      </c>
      <c r="C17" s="26" t="s">
        <v>127</v>
      </c>
      <c r="D17" s="108"/>
      <c r="E17" s="25" t="s">
        <v>547</v>
      </c>
      <c r="F17" s="27">
        <v>4229.04</v>
      </c>
      <c r="G17" s="27">
        <v>676.65</v>
      </c>
      <c r="H17" s="110">
        <f t="shared" si="2"/>
        <v>4905.69</v>
      </c>
      <c r="I17" s="25" t="s">
        <v>43</v>
      </c>
      <c r="J17" s="30"/>
      <c r="K17" s="30"/>
      <c r="L17" s="30"/>
      <c r="M17" s="30"/>
    </row>
    <row r="18" ht="14.25" customHeight="1">
      <c r="A18" s="25">
        <v>66.0</v>
      </c>
      <c r="B18" s="26" t="s">
        <v>43</v>
      </c>
      <c r="C18" s="26" t="s">
        <v>561</v>
      </c>
      <c r="D18" s="108">
        <v>43826.0</v>
      </c>
      <c r="E18" s="25" t="s">
        <v>547</v>
      </c>
      <c r="F18" s="27">
        <v>1057.02</v>
      </c>
      <c r="G18" s="27">
        <v>169.12</v>
      </c>
      <c r="H18" s="110">
        <f t="shared" si="2"/>
        <v>1226.14</v>
      </c>
      <c r="I18" s="25" t="s">
        <v>43</v>
      </c>
      <c r="J18" s="30"/>
      <c r="K18" s="30"/>
      <c r="L18" s="30"/>
      <c r="M18" s="30"/>
    </row>
    <row r="19" ht="14.25" customHeight="1">
      <c r="A19" s="25">
        <v>70.0</v>
      </c>
      <c r="B19" s="26" t="s">
        <v>35</v>
      </c>
      <c r="C19" s="26" t="s">
        <v>562</v>
      </c>
      <c r="D19" s="108">
        <v>43850.0</v>
      </c>
      <c r="E19" s="25" t="s">
        <v>547</v>
      </c>
      <c r="F19" s="27">
        <v>2819.44</v>
      </c>
      <c r="G19" s="27">
        <v>451.11</v>
      </c>
      <c r="H19" s="110">
        <f t="shared" si="2"/>
        <v>3270.55</v>
      </c>
      <c r="I19" s="25" t="s">
        <v>276</v>
      </c>
      <c r="J19" s="30"/>
      <c r="K19" s="30"/>
      <c r="L19" s="30"/>
      <c r="M19" s="30"/>
    </row>
    <row r="20" ht="14.25" customHeight="1">
      <c r="A20" s="25">
        <v>76.0</v>
      </c>
      <c r="B20" s="26" t="s">
        <v>119</v>
      </c>
      <c r="C20" s="26" t="s">
        <v>563</v>
      </c>
      <c r="D20" s="3">
        <v>43903.0</v>
      </c>
      <c r="E20" s="25" t="s">
        <v>547</v>
      </c>
      <c r="F20" s="27">
        <v>37178.65</v>
      </c>
      <c r="G20" s="27">
        <v>5948.58</v>
      </c>
      <c r="H20" s="27">
        <f t="shared" si="2"/>
        <v>43127.23</v>
      </c>
      <c r="I20" s="25" t="s">
        <v>121</v>
      </c>
      <c r="J20" s="30"/>
      <c r="K20" s="30"/>
      <c r="L20" s="30"/>
      <c r="M20" s="30"/>
    </row>
    <row r="21" ht="14.25" customHeight="1">
      <c r="A21" s="25">
        <v>79.0</v>
      </c>
      <c r="B21" s="26" t="s">
        <v>114</v>
      </c>
      <c r="C21" s="26" t="s">
        <v>564</v>
      </c>
      <c r="D21" s="108">
        <v>44039.0</v>
      </c>
      <c r="E21" s="25" t="s">
        <v>547</v>
      </c>
      <c r="F21" s="27">
        <v>541759.74</v>
      </c>
      <c r="G21" s="27">
        <v>86681.56</v>
      </c>
      <c r="H21" s="110">
        <f t="shared" si="2"/>
        <v>628441.3</v>
      </c>
      <c r="I21" s="25" t="s">
        <v>116</v>
      </c>
      <c r="J21" s="30" t="s">
        <v>565</v>
      </c>
      <c r="K21" s="30"/>
      <c r="L21" s="30"/>
      <c r="M21" s="30"/>
    </row>
    <row r="22" ht="14.25" customHeight="1">
      <c r="A22" s="25">
        <v>94.0</v>
      </c>
      <c r="B22" s="26" t="s">
        <v>114</v>
      </c>
      <c r="C22" s="26" t="s">
        <v>566</v>
      </c>
      <c r="D22" s="108">
        <v>44112.0</v>
      </c>
      <c r="E22" s="25" t="s">
        <v>547</v>
      </c>
      <c r="F22" s="27">
        <v>12967.02</v>
      </c>
      <c r="G22" s="27">
        <v>2074.72</v>
      </c>
      <c r="H22" s="110">
        <f t="shared" si="2"/>
        <v>15041.74</v>
      </c>
      <c r="I22" s="25" t="s">
        <v>116</v>
      </c>
      <c r="J22" s="30" t="s">
        <v>567</v>
      </c>
      <c r="K22" s="30"/>
      <c r="L22" s="30"/>
      <c r="M22" s="30"/>
    </row>
    <row r="23" ht="14.25" customHeight="1">
      <c r="A23" s="25">
        <v>95.0</v>
      </c>
      <c r="B23" s="26" t="s">
        <v>38</v>
      </c>
      <c r="C23" s="26" t="s">
        <v>568</v>
      </c>
      <c r="D23" s="108">
        <v>44126.0</v>
      </c>
      <c r="E23" s="25" t="s">
        <v>547</v>
      </c>
      <c r="F23" s="27">
        <v>1442.75</v>
      </c>
      <c r="G23" s="27">
        <v>230.84</v>
      </c>
      <c r="H23" s="110">
        <f t="shared" si="2"/>
        <v>1673.59</v>
      </c>
      <c r="I23" s="25" t="s">
        <v>145</v>
      </c>
      <c r="J23" s="30"/>
      <c r="K23" s="30"/>
      <c r="L23" s="30"/>
      <c r="M23" s="30"/>
    </row>
    <row r="24" ht="14.25" customHeight="1">
      <c r="A24" s="25">
        <v>96.0</v>
      </c>
      <c r="B24" s="26" t="s">
        <v>146</v>
      </c>
      <c r="C24" s="26" t="s">
        <v>146</v>
      </c>
      <c r="D24" s="108"/>
      <c r="E24" s="25"/>
      <c r="F24" s="27"/>
      <c r="G24" s="27"/>
      <c r="H24" s="110">
        <f t="shared" si="2"/>
        <v>0</v>
      </c>
      <c r="I24" s="25" t="s">
        <v>146</v>
      </c>
      <c r="J24" s="30"/>
      <c r="K24" s="30"/>
      <c r="L24" s="30"/>
      <c r="M24" s="30"/>
    </row>
    <row r="25" ht="14.25" customHeight="1">
      <c r="A25" s="25">
        <v>97.0</v>
      </c>
      <c r="B25" s="26" t="s">
        <v>50</v>
      </c>
      <c r="C25" s="26" t="s">
        <v>569</v>
      </c>
      <c r="D25" s="108">
        <v>44134.0</v>
      </c>
      <c r="E25" s="25" t="s">
        <v>547</v>
      </c>
      <c r="F25" s="27">
        <v>1868.88</v>
      </c>
      <c r="G25" s="27">
        <v>299.02</v>
      </c>
      <c r="H25" s="110">
        <f t="shared" si="2"/>
        <v>2167.9</v>
      </c>
      <c r="I25" s="25" t="s">
        <v>570</v>
      </c>
      <c r="J25" s="30"/>
      <c r="K25" s="30"/>
      <c r="L25" s="30"/>
      <c r="M25" s="30"/>
    </row>
    <row r="26" ht="14.25" customHeight="1">
      <c r="A26" s="25">
        <v>99.0</v>
      </c>
      <c r="B26" s="26" t="s">
        <v>38</v>
      </c>
      <c r="C26" s="26" t="s">
        <v>571</v>
      </c>
      <c r="D26" s="108">
        <v>44134.0</v>
      </c>
      <c r="E26" s="25" t="s">
        <v>547</v>
      </c>
      <c r="F26" s="27">
        <v>134.85</v>
      </c>
      <c r="G26" s="27">
        <v>21.58</v>
      </c>
      <c r="H26" s="110">
        <f t="shared" si="2"/>
        <v>156.43</v>
      </c>
      <c r="I26" s="25" t="s">
        <v>145</v>
      </c>
      <c r="J26" s="30"/>
      <c r="K26" s="30"/>
      <c r="L26" s="30"/>
      <c r="M26" s="30"/>
    </row>
    <row r="27" ht="14.25" customHeight="1">
      <c r="A27" s="25">
        <v>101.0</v>
      </c>
      <c r="B27" s="64" t="s">
        <v>119</v>
      </c>
      <c r="C27" s="26" t="s">
        <v>572</v>
      </c>
      <c r="D27" s="3">
        <v>44146.0</v>
      </c>
      <c r="E27" s="25" t="s">
        <v>547</v>
      </c>
      <c r="F27" s="27">
        <v>3089.19</v>
      </c>
      <c r="G27" s="27">
        <v>494.27</v>
      </c>
      <c r="H27" s="110">
        <f t="shared" si="2"/>
        <v>3583.46</v>
      </c>
      <c r="I27" s="25" t="s">
        <v>121</v>
      </c>
      <c r="J27" s="30"/>
      <c r="K27" s="30"/>
      <c r="L27" s="30"/>
      <c r="M27" s="30"/>
    </row>
    <row r="28" ht="14.25" customHeight="1">
      <c r="A28" s="25">
        <v>106.0</v>
      </c>
      <c r="B28" s="64" t="s">
        <v>36</v>
      </c>
      <c r="C28" s="26" t="s">
        <v>573</v>
      </c>
      <c r="D28" s="3">
        <v>44194.0</v>
      </c>
      <c r="E28" s="25" t="s">
        <v>547</v>
      </c>
      <c r="F28" s="27">
        <v>1226.5</v>
      </c>
      <c r="G28" s="27">
        <v>196.24</v>
      </c>
      <c r="H28" s="110">
        <f t="shared" si="2"/>
        <v>1422.74</v>
      </c>
      <c r="I28" s="25" t="s">
        <v>574</v>
      </c>
      <c r="J28" s="30" t="s">
        <v>575</v>
      </c>
      <c r="K28" s="30"/>
      <c r="L28" s="30"/>
      <c r="M28" s="30"/>
    </row>
    <row r="29" ht="14.25" customHeight="1">
      <c r="A29" s="25">
        <v>107.0</v>
      </c>
      <c r="B29" s="64" t="s">
        <v>36</v>
      </c>
      <c r="C29" s="26" t="s">
        <v>576</v>
      </c>
      <c r="D29" s="3">
        <v>44194.0</v>
      </c>
      <c r="E29" s="25" t="s">
        <v>547</v>
      </c>
      <c r="F29" s="27">
        <v>1226.5</v>
      </c>
      <c r="G29" s="27">
        <v>196.24</v>
      </c>
      <c r="H29" s="110">
        <f t="shared" si="2"/>
        <v>1422.74</v>
      </c>
      <c r="I29" s="25" t="s">
        <v>574</v>
      </c>
      <c r="J29" s="30" t="s">
        <v>577</v>
      </c>
      <c r="K29" s="30"/>
      <c r="L29" s="30"/>
      <c r="M29" s="30"/>
    </row>
    <row r="30" ht="14.25" customHeight="1">
      <c r="A30" s="25">
        <v>108.0</v>
      </c>
      <c r="B30" s="64" t="s">
        <v>36</v>
      </c>
      <c r="C30" s="26" t="s">
        <v>578</v>
      </c>
      <c r="D30" s="3">
        <v>44194.0</v>
      </c>
      <c r="E30" s="25" t="s">
        <v>547</v>
      </c>
      <c r="F30" s="27">
        <v>1226.5</v>
      </c>
      <c r="G30" s="27">
        <v>196.24</v>
      </c>
      <c r="H30" s="110">
        <f t="shared" si="2"/>
        <v>1422.74</v>
      </c>
      <c r="I30" s="25" t="s">
        <v>574</v>
      </c>
      <c r="J30" s="30" t="s">
        <v>579</v>
      </c>
      <c r="K30" s="30"/>
      <c r="L30" s="30"/>
      <c r="M30" s="30"/>
    </row>
    <row r="31" ht="14.25" customHeight="1">
      <c r="A31" s="25">
        <v>109.0</v>
      </c>
      <c r="B31" s="64" t="s">
        <v>580</v>
      </c>
      <c r="C31" s="26" t="s">
        <v>581</v>
      </c>
      <c r="D31" s="3">
        <v>44204.0</v>
      </c>
      <c r="E31" s="25" t="s">
        <v>547</v>
      </c>
      <c r="F31" s="27">
        <v>4339.27</v>
      </c>
      <c r="G31" s="27">
        <v>694.28</v>
      </c>
      <c r="H31" s="110">
        <f t="shared" si="2"/>
        <v>5033.55</v>
      </c>
      <c r="I31" s="25" t="s">
        <v>580</v>
      </c>
      <c r="J31" s="30" t="s">
        <v>582</v>
      </c>
      <c r="K31" s="30"/>
      <c r="L31" s="30"/>
      <c r="M31" s="30"/>
    </row>
    <row r="32" ht="14.25" customHeight="1">
      <c r="A32" s="25">
        <v>120.0</v>
      </c>
      <c r="B32" s="64" t="s">
        <v>114</v>
      </c>
      <c r="C32" s="26" t="s">
        <v>583</v>
      </c>
      <c r="D32" s="3">
        <v>44294.0</v>
      </c>
      <c r="E32" s="25" t="s">
        <v>547</v>
      </c>
      <c r="F32" s="27">
        <v>21153.23</v>
      </c>
      <c r="G32" s="27">
        <v>3384.52</v>
      </c>
      <c r="H32" s="110">
        <f t="shared" si="2"/>
        <v>24537.75</v>
      </c>
      <c r="I32" s="25" t="s">
        <v>116</v>
      </c>
      <c r="J32" s="30" t="s">
        <v>584</v>
      </c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</row>
    <row r="33" ht="14.25" customHeight="1">
      <c r="A33" s="25">
        <v>134.0</v>
      </c>
      <c r="B33" s="64" t="s">
        <v>190</v>
      </c>
      <c r="C33" s="26" t="s">
        <v>585</v>
      </c>
      <c r="D33" s="3">
        <v>44396.0</v>
      </c>
      <c r="E33" s="25" t="s">
        <v>547</v>
      </c>
      <c r="F33" s="27">
        <v>3553.63</v>
      </c>
      <c r="G33" s="27">
        <v>568.58</v>
      </c>
      <c r="H33" s="110">
        <f t="shared" si="2"/>
        <v>4122.21</v>
      </c>
      <c r="I33" s="25" t="s">
        <v>586</v>
      </c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</row>
    <row r="34" ht="14.25" customHeight="1">
      <c r="A34" s="25">
        <v>140.0</v>
      </c>
      <c r="B34" s="64" t="s">
        <v>587</v>
      </c>
      <c r="C34" s="26" t="s">
        <v>588</v>
      </c>
      <c r="D34" s="3">
        <v>44484.0</v>
      </c>
      <c r="E34" s="25" t="s">
        <v>547</v>
      </c>
      <c r="F34" s="27">
        <v>2057.08</v>
      </c>
      <c r="G34" s="27">
        <v>329.13</v>
      </c>
      <c r="H34" s="110">
        <f t="shared" si="2"/>
        <v>2386.21</v>
      </c>
      <c r="I34" s="25"/>
      <c r="O34" s="30"/>
      <c r="P34" s="30"/>
      <c r="Q34" s="30"/>
      <c r="R34" s="30"/>
      <c r="S34" s="30"/>
      <c r="T34" s="30"/>
      <c r="U34" s="30"/>
      <c r="V34" s="30"/>
      <c r="W34" s="30"/>
      <c r="X34" s="30"/>
    </row>
    <row r="35" ht="14.25" customHeight="1">
      <c r="A35" s="1">
        <v>167.0</v>
      </c>
      <c r="B35" s="2" t="s">
        <v>589</v>
      </c>
      <c r="C35" s="2" t="s">
        <v>590</v>
      </c>
      <c r="D35" s="3">
        <v>44564.0</v>
      </c>
      <c r="E35" s="1" t="s">
        <v>547</v>
      </c>
      <c r="F35" s="31">
        <v>3764.14</v>
      </c>
      <c r="G35" s="31">
        <v>602.26</v>
      </c>
      <c r="H35" s="31">
        <f t="shared" si="2"/>
        <v>4366.4</v>
      </c>
      <c r="I35" s="1"/>
      <c r="J35" s="5" t="s">
        <v>591</v>
      </c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ht="14.25" customHeight="1">
      <c r="A36" s="1">
        <v>169.0</v>
      </c>
      <c r="B36" s="2" t="s">
        <v>218</v>
      </c>
      <c r="C36" s="2" t="s">
        <v>592</v>
      </c>
      <c r="D36" s="3">
        <v>44567.0</v>
      </c>
      <c r="E36" s="1" t="s">
        <v>547</v>
      </c>
      <c r="F36" s="31">
        <v>2587.7</v>
      </c>
      <c r="G36" s="31">
        <v>414.03</v>
      </c>
      <c r="H36" s="31">
        <f t="shared" si="2"/>
        <v>3001.73</v>
      </c>
      <c r="I36" s="1" t="s">
        <v>593</v>
      </c>
      <c r="J36" s="5" t="s">
        <v>594</v>
      </c>
      <c r="L36" s="102"/>
      <c r="O36" s="30"/>
      <c r="P36" s="30"/>
      <c r="Q36" s="30"/>
      <c r="R36" s="30"/>
      <c r="S36" s="30"/>
      <c r="T36" s="30"/>
      <c r="U36" s="30"/>
      <c r="V36" s="30"/>
      <c r="W36" s="30"/>
      <c r="X36" s="30"/>
    </row>
    <row r="37" ht="14.25" customHeight="1">
      <c r="A37" s="1">
        <v>171.0</v>
      </c>
      <c r="B37" s="2" t="s">
        <v>218</v>
      </c>
      <c r="C37" s="2" t="s">
        <v>595</v>
      </c>
      <c r="D37" s="3">
        <v>44603.0</v>
      </c>
      <c r="E37" s="1" t="s">
        <v>547</v>
      </c>
      <c r="F37" s="31">
        <v>1521.91</v>
      </c>
      <c r="G37" s="31">
        <v>243.51</v>
      </c>
      <c r="H37" s="31">
        <f t="shared" si="2"/>
        <v>1765.42</v>
      </c>
      <c r="I37" s="1" t="s">
        <v>593</v>
      </c>
      <c r="J37" s="5" t="s">
        <v>596</v>
      </c>
      <c r="O37" s="30"/>
      <c r="P37" s="30"/>
      <c r="Q37" s="30"/>
      <c r="R37" s="30"/>
      <c r="S37" s="30"/>
      <c r="T37" s="30"/>
      <c r="U37" s="30"/>
      <c r="V37" s="30"/>
      <c r="W37" s="30"/>
      <c r="X37" s="30"/>
    </row>
    <row r="38" ht="14.25" customHeight="1">
      <c r="A38" s="112">
        <v>172.0</v>
      </c>
      <c r="B38" s="5" t="s">
        <v>589</v>
      </c>
      <c r="C38" s="5" t="s">
        <v>597</v>
      </c>
      <c r="D38" s="113">
        <v>44607.0</v>
      </c>
      <c r="E38" s="1" t="s">
        <v>547</v>
      </c>
      <c r="F38" s="114">
        <v>3656.14</v>
      </c>
      <c r="G38" s="114">
        <f>+F38*0.16</f>
        <v>584.9824</v>
      </c>
      <c r="H38" s="114">
        <f>+G38+F38</f>
        <v>4241.1224</v>
      </c>
      <c r="I38" s="112" t="s">
        <v>570</v>
      </c>
      <c r="J38" s="5" t="s">
        <v>598</v>
      </c>
      <c r="O38" s="30"/>
      <c r="P38" s="30"/>
      <c r="Q38" s="30"/>
      <c r="R38" s="30"/>
      <c r="S38" s="30"/>
      <c r="T38" s="30"/>
      <c r="U38" s="30"/>
      <c r="V38" s="30"/>
      <c r="W38" s="30"/>
      <c r="X38" s="30"/>
    </row>
    <row r="39" ht="14.25" customHeight="1">
      <c r="A39" s="112">
        <v>175.0</v>
      </c>
      <c r="B39" s="115" t="s">
        <v>22</v>
      </c>
      <c r="C39" s="115" t="s">
        <v>599</v>
      </c>
      <c r="D39" s="113">
        <v>44631.0</v>
      </c>
      <c r="E39" s="116" t="s">
        <v>600</v>
      </c>
      <c r="F39" s="114">
        <v>114.23</v>
      </c>
      <c r="G39" s="114">
        <v>18.28</v>
      </c>
      <c r="H39" s="114">
        <f t="shared" ref="H39:H55" si="3">F39+G39</f>
        <v>132.51</v>
      </c>
      <c r="I39" s="112" t="s">
        <v>220</v>
      </c>
      <c r="J39" s="117" t="s">
        <v>601</v>
      </c>
      <c r="K39" s="117"/>
      <c r="L39" s="118"/>
      <c r="M39" s="119"/>
      <c r="Q39" s="120"/>
      <c r="R39" s="100"/>
      <c r="S39" s="100"/>
      <c r="T39" s="100"/>
      <c r="U39" s="100"/>
      <c r="V39" s="100"/>
      <c r="W39" s="100"/>
      <c r="X39" s="100"/>
    </row>
    <row r="40" ht="14.25" customHeight="1">
      <c r="A40" s="1">
        <v>182.0</v>
      </c>
      <c r="B40" s="121" t="s">
        <v>43</v>
      </c>
      <c r="C40" s="2" t="s">
        <v>602</v>
      </c>
      <c r="D40" s="3">
        <v>44658.0</v>
      </c>
      <c r="E40" s="116" t="s">
        <v>600</v>
      </c>
      <c r="F40" s="31">
        <v>841.36</v>
      </c>
      <c r="G40" s="31">
        <v>134.62</v>
      </c>
      <c r="H40" s="110">
        <f t="shared" si="3"/>
        <v>975.98</v>
      </c>
      <c r="I40" s="1" t="s">
        <v>603</v>
      </c>
      <c r="J40" s="5"/>
      <c r="O40" s="30"/>
      <c r="P40" s="30"/>
      <c r="Q40" s="30"/>
      <c r="R40" s="30"/>
      <c r="S40" s="30"/>
      <c r="T40" s="30"/>
      <c r="U40" s="30"/>
      <c r="V40" s="30"/>
      <c r="W40" s="30"/>
      <c r="X40" s="30"/>
    </row>
    <row r="41" ht="14.25" customHeight="1">
      <c r="A41" s="122">
        <v>189.0</v>
      </c>
      <c r="B41" s="123" t="s">
        <v>43</v>
      </c>
      <c r="C41" s="124" t="s">
        <v>604</v>
      </c>
      <c r="D41" s="77">
        <v>44686.0</v>
      </c>
      <c r="E41" s="125" t="s">
        <v>600</v>
      </c>
      <c r="F41" s="126">
        <v>28110.87</v>
      </c>
      <c r="G41" s="126">
        <v>4497.74</v>
      </c>
      <c r="H41" s="78">
        <f t="shared" si="3"/>
        <v>32608.61</v>
      </c>
      <c r="I41" s="122" t="s">
        <v>605</v>
      </c>
      <c r="J41" s="127" t="s">
        <v>146</v>
      </c>
      <c r="O41" s="30"/>
      <c r="P41" s="30"/>
      <c r="Q41" s="30"/>
      <c r="R41" s="30"/>
      <c r="S41" s="30"/>
      <c r="T41" s="30"/>
      <c r="U41" s="30"/>
      <c r="V41" s="30"/>
      <c r="W41" s="30"/>
      <c r="X41" s="30"/>
    </row>
    <row r="42" ht="14.25" customHeight="1">
      <c r="A42" s="1">
        <v>231.0</v>
      </c>
      <c r="B42" s="121" t="s">
        <v>38</v>
      </c>
      <c r="C42" s="2" t="s">
        <v>606</v>
      </c>
      <c r="D42" s="3">
        <v>44754.0</v>
      </c>
      <c r="E42" s="116" t="s">
        <v>600</v>
      </c>
      <c r="F42" s="31">
        <v>550.03</v>
      </c>
      <c r="G42" s="31">
        <f t="shared" ref="G42:G55" si="4">F42*0.16</f>
        <v>88.0048</v>
      </c>
      <c r="H42" s="110">
        <f t="shared" si="3"/>
        <v>638.0348</v>
      </c>
      <c r="I42" s="1" t="s">
        <v>607</v>
      </c>
      <c r="J42" s="128"/>
      <c r="M42" s="129"/>
      <c r="N42" s="129"/>
      <c r="O42" s="30"/>
      <c r="P42" s="30"/>
      <c r="Q42" s="30"/>
      <c r="R42" s="30"/>
      <c r="S42" s="30"/>
      <c r="T42" s="30"/>
      <c r="U42" s="30"/>
      <c r="V42" s="30"/>
      <c r="W42" s="30"/>
      <c r="X42" s="30"/>
    </row>
    <row r="43" ht="14.25" customHeight="1">
      <c r="A43" s="1">
        <v>237.0</v>
      </c>
      <c r="B43" s="121" t="s">
        <v>38</v>
      </c>
      <c r="C43" s="2" t="s">
        <v>608</v>
      </c>
      <c r="D43" s="3">
        <v>44796.0</v>
      </c>
      <c r="E43" s="116" t="s">
        <v>600</v>
      </c>
      <c r="F43" s="31">
        <v>527.41</v>
      </c>
      <c r="G43" s="31">
        <f t="shared" si="4"/>
        <v>84.3856</v>
      </c>
      <c r="H43" s="110">
        <f t="shared" si="3"/>
        <v>611.7956</v>
      </c>
      <c r="I43" s="1" t="s">
        <v>609</v>
      </c>
      <c r="J43" s="5"/>
      <c r="M43" s="129"/>
      <c r="O43" s="30"/>
      <c r="P43" s="30"/>
      <c r="Q43" s="30"/>
      <c r="R43" s="30"/>
      <c r="S43" s="30"/>
      <c r="T43" s="30"/>
      <c r="U43" s="30"/>
      <c r="V43" s="30"/>
      <c r="W43" s="30"/>
      <c r="X43" s="30"/>
    </row>
    <row r="44" ht="14.25" customHeight="1">
      <c r="A44" s="1">
        <v>241.0</v>
      </c>
      <c r="B44" s="121" t="s">
        <v>38</v>
      </c>
      <c r="C44" s="2" t="s">
        <v>610</v>
      </c>
      <c r="D44" s="3">
        <v>44799.0</v>
      </c>
      <c r="E44" s="116" t="s">
        <v>600</v>
      </c>
      <c r="F44" s="31">
        <v>184.64</v>
      </c>
      <c r="G44" s="31">
        <f t="shared" si="4"/>
        <v>29.5424</v>
      </c>
      <c r="H44" s="110">
        <f t="shared" si="3"/>
        <v>214.1824</v>
      </c>
      <c r="I44" s="1" t="s">
        <v>611</v>
      </c>
      <c r="J44" s="5"/>
      <c r="M44" s="129"/>
      <c r="O44" s="30"/>
      <c r="P44" s="30"/>
      <c r="Q44" s="30"/>
      <c r="R44" s="30"/>
      <c r="S44" s="30"/>
      <c r="T44" s="30"/>
      <c r="U44" s="30"/>
      <c r="V44" s="30"/>
      <c r="W44" s="30"/>
      <c r="X44" s="30"/>
    </row>
    <row r="45" ht="14.25" customHeight="1">
      <c r="A45" s="1">
        <v>242.0</v>
      </c>
      <c r="B45" s="121" t="s">
        <v>38</v>
      </c>
      <c r="C45" s="2" t="s">
        <v>612</v>
      </c>
      <c r="D45" s="3">
        <v>44799.0</v>
      </c>
      <c r="E45" s="116" t="s">
        <v>600</v>
      </c>
      <c r="F45" s="31">
        <v>728.83</v>
      </c>
      <c r="G45" s="31">
        <f t="shared" si="4"/>
        <v>116.6128</v>
      </c>
      <c r="H45" s="110">
        <f t="shared" si="3"/>
        <v>845.4428</v>
      </c>
      <c r="I45" s="1" t="s">
        <v>613</v>
      </c>
      <c r="J45" s="5"/>
      <c r="M45" s="130"/>
      <c r="O45" s="30"/>
      <c r="P45" s="30"/>
      <c r="Q45" s="30"/>
      <c r="R45" s="30"/>
      <c r="S45" s="30"/>
      <c r="T45" s="30"/>
      <c r="U45" s="30"/>
      <c r="V45" s="30"/>
      <c r="W45" s="30"/>
      <c r="X45" s="30"/>
    </row>
    <row r="46" ht="14.25" customHeight="1">
      <c r="A46" s="1">
        <v>262.0</v>
      </c>
      <c r="B46" s="121" t="s">
        <v>614</v>
      </c>
      <c r="C46" s="2" t="s">
        <v>615</v>
      </c>
      <c r="D46" s="3">
        <v>44861.0</v>
      </c>
      <c r="E46" s="116" t="s">
        <v>600</v>
      </c>
      <c r="F46" s="31">
        <v>1155.73</v>
      </c>
      <c r="G46" s="31">
        <f t="shared" si="4"/>
        <v>184.9168</v>
      </c>
      <c r="H46" s="110">
        <f t="shared" si="3"/>
        <v>1340.6468</v>
      </c>
      <c r="I46" s="1" t="s">
        <v>616</v>
      </c>
      <c r="J46" s="5" t="s">
        <v>617</v>
      </c>
      <c r="O46" s="30"/>
      <c r="P46" s="30"/>
      <c r="Q46" s="30"/>
      <c r="R46" s="30"/>
      <c r="S46" s="30"/>
      <c r="T46" s="30"/>
      <c r="U46" s="30"/>
      <c r="V46" s="30"/>
      <c r="W46" s="30"/>
      <c r="X46" s="30"/>
    </row>
    <row r="47" ht="14.25" customHeight="1">
      <c r="A47" s="25">
        <v>263.0</v>
      </c>
      <c r="B47" s="64" t="s">
        <v>17</v>
      </c>
      <c r="C47" s="26" t="s">
        <v>618</v>
      </c>
      <c r="D47" s="3">
        <v>44869.0</v>
      </c>
      <c r="E47" s="116" t="s">
        <v>600</v>
      </c>
      <c r="F47" s="27">
        <v>15.26</v>
      </c>
      <c r="G47" s="27">
        <f t="shared" si="4"/>
        <v>2.4416</v>
      </c>
      <c r="H47" s="27">
        <f t="shared" si="3"/>
        <v>17.7016</v>
      </c>
      <c r="I47" s="28" t="s">
        <v>619</v>
      </c>
      <c r="J47" s="34"/>
      <c r="K47" s="34"/>
    </row>
    <row r="48" ht="14.25" customHeight="1">
      <c r="A48" s="1">
        <v>268.0</v>
      </c>
      <c r="B48" s="121" t="s">
        <v>361</v>
      </c>
      <c r="C48" s="2" t="s">
        <v>620</v>
      </c>
      <c r="D48" s="3">
        <v>44889.0</v>
      </c>
      <c r="E48" s="116" t="s">
        <v>600</v>
      </c>
      <c r="F48" s="31">
        <v>4275.42</v>
      </c>
      <c r="G48" s="31">
        <f t="shared" si="4"/>
        <v>684.0672</v>
      </c>
      <c r="H48" s="110">
        <f t="shared" si="3"/>
        <v>4959.4872</v>
      </c>
      <c r="I48" s="1" t="s">
        <v>621</v>
      </c>
      <c r="J48" s="5" t="s">
        <v>622</v>
      </c>
      <c r="M48" s="130"/>
      <c r="O48" s="30"/>
    </row>
    <row r="49" ht="14.25" customHeight="1">
      <c r="A49" s="1">
        <v>271.0</v>
      </c>
      <c r="B49" s="121" t="s">
        <v>17</v>
      </c>
      <c r="C49" s="2" t="s">
        <v>623</v>
      </c>
      <c r="D49" s="3">
        <v>44901.0</v>
      </c>
      <c r="E49" s="116" t="s">
        <v>600</v>
      </c>
      <c r="F49" s="31">
        <v>260.0</v>
      </c>
      <c r="G49" s="31">
        <f t="shared" si="4"/>
        <v>41.6</v>
      </c>
      <c r="H49" s="110">
        <f t="shared" si="3"/>
        <v>301.6</v>
      </c>
      <c r="I49" s="1" t="s">
        <v>624</v>
      </c>
      <c r="J49" s="5" t="s">
        <v>625</v>
      </c>
      <c r="O49" s="30"/>
    </row>
    <row r="50" ht="14.25" customHeight="1">
      <c r="A50" s="1">
        <v>272.0</v>
      </c>
      <c r="B50" s="121" t="s">
        <v>36</v>
      </c>
      <c r="C50" s="2" t="s">
        <v>626</v>
      </c>
      <c r="D50" s="3">
        <v>44901.0</v>
      </c>
      <c r="E50" s="116" t="s">
        <v>600</v>
      </c>
      <c r="F50" s="31">
        <v>142.47</v>
      </c>
      <c r="G50" s="31">
        <f t="shared" si="4"/>
        <v>22.7952</v>
      </c>
      <c r="H50" s="110">
        <f t="shared" si="3"/>
        <v>165.2652</v>
      </c>
      <c r="I50" s="1" t="s">
        <v>627</v>
      </c>
      <c r="J50" s="5" t="s">
        <v>628</v>
      </c>
      <c r="O50" s="30"/>
    </row>
    <row r="51" ht="14.25" customHeight="1">
      <c r="A51" s="131">
        <v>275.0</v>
      </c>
      <c r="B51" s="132" t="s">
        <v>43</v>
      </c>
      <c r="C51" s="133" t="s">
        <v>629</v>
      </c>
      <c r="D51" s="68">
        <v>44908.0</v>
      </c>
      <c r="E51" s="134" t="s">
        <v>600</v>
      </c>
      <c r="F51" s="135">
        <v>142.86</v>
      </c>
      <c r="G51" s="135">
        <f t="shared" si="4"/>
        <v>22.8576</v>
      </c>
      <c r="H51" s="69">
        <f t="shared" si="3"/>
        <v>165.7176</v>
      </c>
      <c r="I51" s="131" t="s">
        <v>630</v>
      </c>
      <c r="J51" s="136" t="s">
        <v>631</v>
      </c>
      <c r="K51" s="72"/>
      <c r="L51" s="72"/>
      <c r="M51" s="72"/>
      <c r="N51" s="72"/>
      <c r="O51" s="30"/>
    </row>
    <row r="52" ht="14.25" customHeight="1">
      <c r="A52" s="1">
        <v>279.0</v>
      </c>
      <c r="B52" s="121" t="s">
        <v>17</v>
      </c>
      <c r="C52" s="2" t="s">
        <v>632</v>
      </c>
      <c r="D52" s="3">
        <v>44929.0</v>
      </c>
      <c r="E52" s="116" t="s">
        <v>600</v>
      </c>
      <c r="F52" s="31">
        <v>174.29</v>
      </c>
      <c r="G52" s="31">
        <f t="shared" si="4"/>
        <v>27.8864</v>
      </c>
      <c r="H52" s="110">
        <f t="shared" si="3"/>
        <v>202.1764</v>
      </c>
      <c r="I52" s="1" t="s">
        <v>633</v>
      </c>
      <c r="J52" s="5" t="s">
        <v>634</v>
      </c>
      <c r="O52" s="30"/>
    </row>
    <row r="53" ht="14.25" customHeight="1">
      <c r="A53" s="1">
        <v>286.0</v>
      </c>
      <c r="B53" s="121" t="s">
        <v>17</v>
      </c>
      <c r="C53" s="2" t="s">
        <v>632</v>
      </c>
      <c r="D53" s="3">
        <v>44936.0</v>
      </c>
      <c r="E53" s="116" t="s">
        <v>600</v>
      </c>
      <c r="F53" s="31">
        <v>174.29</v>
      </c>
      <c r="G53" s="31">
        <f t="shared" si="4"/>
        <v>27.8864</v>
      </c>
      <c r="H53" s="110">
        <f t="shared" si="3"/>
        <v>202.1764</v>
      </c>
      <c r="I53" s="1" t="s">
        <v>635</v>
      </c>
      <c r="J53" s="5" t="s">
        <v>634</v>
      </c>
      <c r="O53" s="30"/>
    </row>
    <row r="54" ht="14.25" customHeight="1">
      <c r="A54" s="25">
        <v>288.0</v>
      </c>
      <c r="B54" s="64" t="s">
        <v>395</v>
      </c>
      <c r="C54" s="26" t="s">
        <v>636</v>
      </c>
      <c r="D54" s="3">
        <v>44936.0</v>
      </c>
      <c r="E54" s="25" t="s">
        <v>547</v>
      </c>
      <c r="F54" s="27">
        <v>3185.09</v>
      </c>
      <c r="G54" s="31">
        <f t="shared" si="4"/>
        <v>509.6144</v>
      </c>
      <c r="H54" s="110">
        <f t="shared" si="3"/>
        <v>3694.7044</v>
      </c>
      <c r="I54" s="25" t="s">
        <v>637</v>
      </c>
      <c r="J54" s="34" t="s">
        <v>399</v>
      </c>
      <c r="K54" s="30"/>
      <c r="L54" s="30"/>
      <c r="M54" s="30"/>
      <c r="N54" s="30"/>
      <c r="O54" s="30"/>
    </row>
    <row r="55" ht="14.25" customHeight="1">
      <c r="A55" s="25">
        <v>290.0</v>
      </c>
      <c r="B55" s="64" t="s">
        <v>17</v>
      </c>
      <c r="C55" s="26" t="s">
        <v>396</v>
      </c>
      <c r="D55" s="3">
        <v>44943.0</v>
      </c>
      <c r="E55" s="25" t="s">
        <v>547</v>
      </c>
      <c r="F55" s="27">
        <v>339.35</v>
      </c>
      <c r="G55" s="31">
        <f t="shared" si="4"/>
        <v>54.296</v>
      </c>
      <c r="H55" s="110">
        <f t="shared" si="3"/>
        <v>393.646</v>
      </c>
      <c r="I55" s="25" t="s">
        <v>638</v>
      </c>
      <c r="J55" s="30"/>
      <c r="K55" s="30"/>
      <c r="L55" s="30"/>
      <c r="M55" s="30"/>
      <c r="N55" s="30"/>
      <c r="O55" s="30"/>
    </row>
    <row r="56" ht="14.25" customHeight="1">
      <c r="A56" s="25">
        <v>293.0</v>
      </c>
      <c r="B56" s="64" t="s">
        <v>43</v>
      </c>
      <c r="C56" s="26" t="s">
        <v>629</v>
      </c>
      <c r="D56" s="3">
        <v>44953.0</v>
      </c>
      <c r="E56" s="25" t="s">
        <v>600</v>
      </c>
      <c r="F56" s="27">
        <v>142.86</v>
      </c>
      <c r="G56" s="31">
        <v>22.8576</v>
      </c>
      <c r="H56" s="110">
        <v>165.7176</v>
      </c>
      <c r="I56" s="25" t="s">
        <v>639</v>
      </c>
      <c r="J56" s="30"/>
      <c r="K56" s="30"/>
      <c r="L56" s="30"/>
      <c r="M56" s="30"/>
      <c r="N56" s="30"/>
      <c r="O56" s="30"/>
    </row>
    <row r="57" ht="14.25" customHeight="1">
      <c r="A57" s="25">
        <v>297.0</v>
      </c>
      <c r="B57" s="64" t="s">
        <v>395</v>
      </c>
      <c r="C57" s="26" t="s">
        <v>640</v>
      </c>
      <c r="D57" s="3">
        <v>44960.0</v>
      </c>
      <c r="E57" s="25" t="s">
        <v>600</v>
      </c>
      <c r="F57" s="27">
        <v>7713.74</v>
      </c>
      <c r="G57" s="31">
        <f t="shared" ref="G57:G77" si="5">F57*0.16</f>
        <v>1234.1984</v>
      </c>
      <c r="H57" s="110">
        <f t="shared" ref="H57:H77" si="6">F57+G57</f>
        <v>8947.9384</v>
      </c>
      <c r="I57" s="25" t="s">
        <v>641</v>
      </c>
      <c r="J57" s="30"/>
      <c r="K57" s="30"/>
      <c r="L57" s="30"/>
      <c r="M57" s="30"/>
      <c r="N57" s="30"/>
      <c r="O57" s="30"/>
    </row>
    <row r="58" ht="14.25" customHeight="1">
      <c r="A58" s="25">
        <v>298.0</v>
      </c>
      <c r="B58" s="64" t="s">
        <v>642</v>
      </c>
      <c r="C58" s="26" t="s">
        <v>643</v>
      </c>
      <c r="D58" s="3">
        <v>44964.0</v>
      </c>
      <c r="E58" s="25" t="s">
        <v>600</v>
      </c>
      <c r="F58" s="27">
        <v>179.8</v>
      </c>
      <c r="G58" s="31">
        <f t="shared" si="5"/>
        <v>28.768</v>
      </c>
      <c r="H58" s="110">
        <f t="shared" si="6"/>
        <v>208.568</v>
      </c>
      <c r="I58" s="25" t="s">
        <v>644</v>
      </c>
      <c r="J58" s="30"/>
      <c r="K58" s="30"/>
      <c r="L58" s="30"/>
      <c r="M58" s="30"/>
      <c r="N58" s="30"/>
      <c r="O58" s="30"/>
    </row>
    <row r="59" ht="14.25" customHeight="1">
      <c r="A59" s="25">
        <v>299.0</v>
      </c>
      <c r="B59" s="64" t="s">
        <v>642</v>
      </c>
      <c r="C59" s="26" t="s">
        <v>645</v>
      </c>
      <c r="D59" s="3">
        <v>44964.0</v>
      </c>
      <c r="E59" s="25" t="s">
        <v>600</v>
      </c>
      <c r="F59" s="27">
        <v>50.44</v>
      </c>
      <c r="G59" s="31">
        <f t="shared" si="5"/>
        <v>8.0704</v>
      </c>
      <c r="H59" s="110">
        <f t="shared" si="6"/>
        <v>58.5104</v>
      </c>
      <c r="I59" s="25" t="s">
        <v>646</v>
      </c>
      <c r="J59" s="30"/>
      <c r="K59" s="30"/>
      <c r="L59" s="30"/>
      <c r="M59" s="30"/>
      <c r="N59" s="30"/>
      <c r="O59" s="30"/>
    </row>
    <row r="60" ht="14.25" customHeight="1">
      <c r="A60" s="25">
        <v>300.0</v>
      </c>
      <c r="B60" s="64" t="s">
        <v>17</v>
      </c>
      <c r="C60" s="26" t="s">
        <v>647</v>
      </c>
      <c r="D60" s="3">
        <v>44980.0</v>
      </c>
      <c r="E60" s="25" t="s">
        <v>600</v>
      </c>
      <c r="F60" s="27">
        <v>6632.69</v>
      </c>
      <c r="G60" s="31">
        <f t="shared" si="5"/>
        <v>1061.2304</v>
      </c>
      <c r="H60" s="110">
        <f t="shared" si="6"/>
        <v>7693.9204</v>
      </c>
      <c r="I60" s="25" t="s">
        <v>648</v>
      </c>
      <c r="J60" s="30" t="s">
        <v>649</v>
      </c>
      <c r="K60" s="30"/>
      <c r="L60" s="30"/>
      <c r="M60" s="30"/>
      <c r="N60" s="30"/>
      <c r="O60" s="30"/>
    </row>
    <row r="61" ht="14.25" customHeight="1">
      <c r="A61" s="25">
        <v>301.0</v>
      </c>
      <c r="B61" s="64" t="s">
        <v>17</v>
      </c>
      <c r="C61" s="26" t="s">
        <v>650</v>
      </c>
      <c r="D61" s="3">
        <v>44991.0</v>
      </c>
      <c r="E61" s="25" t="s">
        <v>600</v>
      </c>
      <c r="F61" s="27">
        <v>6632.69</v>
      </c>
      <c r="G61" s="31">
        <f t="shared" si="5"/>
        <v>1061.2304</v>
      </c>
      <c r="H61" s="110">
        <f t="shared" si="6"/>
        <v>7693.9204</v>
      </c>
      <c r="I61" s="25" t="s">
        <v>651</v>
      </c>
      <c r="J61" s="30" t="s">
        <v>649</v>
      </c>
      <c r="K61" s="30"/>
      <c r="L61" s="30"/>
      <c r="M61" s="30"/>
      <c r="N61" s="30"/>
      <c r="O61" s="30"/>
    </row>
    <row r="62" ht="14.25" customHeight="1">
      <c r="A62" s="25">
        <v>302.0</v>
      </c>
      <c r="B62" s="64" t="s">
        <v>17</v>
      </c>
      <c r="C62" s="26" t="s">
        <v>652</v>
      </c>
      <c r="D62" s="3">
        <v>45001.0</v>
      </c>
      <c r="E62" s="25" t="s">
        <v>600</v>
      </c>
      <c r="F62" s="27">
        <v>6632.69</v>
      </c>
      <c r="G62" s="31">
        <f t="shared" si="5"/>
        <v>1061.2304</v>
      </c>
      <c r="H62" s="110">
        <f t="shared" si="6"/>
        <v>7693.9204</v>
      </c>
      <c r="I62" s="25" t="s">
        <v>653</v>
      </c>
      <c r="J62" s="30" t="s">
        <v>649</v>
      </c>
      <c r="K62" s="30"/>
      <c r="L62" s="30"/>
      <c r="M62" s="30"/>
      <c r="N62" s="30"/>
      <c r="O62" s="30"/>
    </row>
    <row r="63" ht="14.25" customHeight="1">
      <c r="A63" s="25">
        <v>303.0</v>
      </c>
      <c r="B63" s="64" t="s">
        <v>17</v>
      </c>
      <c r="C63" s="26" t="s">
        <v>654</v>
      </c>
      <c r="D63" s="3">
        <v>45019.0</v>
      </c>
      <c r="E63" s="25" t="s">
        <v>600</v>
      </c>
      <c r="F63" s="27">
        <v>6632.69</v>
      </c>
      <c r="G63" s="31">
        <f t="shared" si="5"/>
        <v>1061.2304</v>
      </c>
      <c r="H63" s="110">
        <f t="shared" si="6"/>
        <v>7693.9204</v>
      </c>
      <c r="I63" s="25" t="s">
        <v>655</v>
      </c>
      <c r="J63" s="30"/>
      <c r="K63" s="30"/>
      <c r="L63" s="30"/>
      <c r="M63" s="30"/>
      <c r="N63" s="30"/>
      <c r="O63" s="30"/>
    </row>
    <row r="64" ht="14.25" customHeight="1">
      <c r="A64" s="25">
        <v>312.0</v>
      </c>
      <c r="B64" s="64" t="s">
        <v>177</v>
      </c>
      <c r="C64" s="26" t="s">
        <v>423</v>
      </c>
      <c r="D64" s="3">
        <v>45050.0</v>
      </c>
      <c r="E64" s="25" t="s">
        <v>600</v>
      </c>
      <c r="F64" s="27">
        <v>1.53</v>
      </c>
      <c r="G64" s="31">
        <f t="shared" si="5"/>
        <v>0.2448</v>
      </c>
      <c r="H64" s="110">
        <f t="shared" si="6"/>
        <v>1.7748</v>
      </c>
      <c r="I64" s="25" t="s">
        <v>656</v>
      </c>
      <c r="J64" s="30"/>
      <c r="K64" s="30"/>
      <c r="L64" s="30"/>
      <c r="M64" s="30"/>
    </row>
    <row r="65" ht="14.25" customHeight="1">
      <c r="A65" s="25">
        <v>314.0</v>
      </c>
      <c r="B65" s="64" t="s">
        <v>271</v>
      </c>
      <c r="C65" s="26" t="s">
        <v>423</v>
      </c>
      <c r="D65" s="3">
        <v>45050.0</v>
      </c>
      <c r="E65" s="25" t="s">
        <v>600</v>
      </c>
      <c r="F65" s="27">
        <v>6.58</v>
      </c>
      <c r="G65" s="31">
        <f t="shared" si="5"/>
        <v>1.0528</v>
      </c>
      <c r="H65" s="110">
        <f t="shared" si="6"/>
        <v>7.6328</v>
      </c>
      <c r="I65" s="25" t="s">
        <v>657</v>
      </c>
      <c r="J65" s="30"/>
      <c r="K65" s="30"/>
      <c r="L65" s="30"/>
      <c r="M65" s="30"/>
    </row>
    <row r="66" ht="14.25" customHeight="1">
      <c r="A66" s="25">
        <v>316.0</v>
      </c>
      <c r="B66" s="64" t="s">
        <v>218</v>
      </c>
      <c r="C66" s="26" t="s">
        <v>423</v>
      </c>
      <c r="D66" s="3">
        <v>45050.0</v>
      </c>
      <c r="E66" s="25" t="s">
        <v>600</v>
      </c>
      <c r="F66" s="27">
        <v>9.42</v>
      </c>
      <c r="G66" s="31">
        <f t="shared" si="5"/>
        <v>1.5072</v>
      </c>
      <c r="H66" s="110">
        <f t="shared" si="6"/>
        <v>10.9272</v>
      </c>
      <c r="I66" s="25" t="s">
        <v>658</v>
      </c>
      <c r="J66" s="30"/>
      <c r="K66" s="30"/>
      <c r="L66" s="30"/>
      <c r="M66" s="30"/>
    </row>
    <row r="67" ht="14.25" customHeight="1">
      <c r="A67" s="25">
        <v>320.0</v>
      </c>
      <c r="B67" s="64" t="s">
        <v>38</v>
      </c>
      <c r="C67" s="26" t="s">
        <v>423</v>
      </c>
      <c r="D67" s="3">
        <v>45050.0</v>
      </c>
      <c r="E67" s="25" t="s">
        <v>600</v>
      </c>
      <c r="F67" s="27">
        <v>17.17</v>
      </c>
      <c r="G67" s="31">
        <f t="shared" si="5"/>
        <v>2.7472</v>
      </c>
      <c r="H67" s="110">
        <f t="shared" si="6"/>
        <v>19.9172</v>
      </c>
      <c r="I67" s="25" t="s">
        <v>659</v>
      </c>
      <c r="J67" s="30" t="s">
        <v>660</v>
      </c>
      <c r="K67" s="30"/>
      <c r="L67" s="30"/>
      <c r="M67" s="30"/>
    </row>
    <row r="68" ht="14.25" customHeight="1">
      <c r="A68" s="25">
        <v>322.0</v>
      </c>
      <c r="B68" s="64" t="s">
        <v>38</v>
      </c>
      <c r="C68" s="26" t="s">
        <v>423</v>
      </c>
      <c r="D68" s="3">
        <v>45050.0</v>
      </c>
      <c r="E68" s="25" t="s">
        <v>600</v>
      </c>
      <c r="F68" s="27">
        <v>2.68</v>
      </c>
      <c r="G68" s="31">
        <f t="shared" si="5"/>
        <v>0.4288</v>
      </c>
      <c r="H68" s="110">
        <f t="shared" si="6"/>
        <v>3.1088</v>
      </c>
      <c r="I68" s="25" t="s">
        <v>661</v>
      </c>
      <c r="J68" s="30" t="s">
        <v>642</v>
      </c>
      <c r="K68" s="30"/>
      <c r="L68" s="30"/>
      <c r="M68" s="30"/>
    </row>
    <row r="69" ht="14.25" customHeight="1">
      <c r="A69" s="25">
        <v>324.0</v>
      </c>
      <c r="B69" s="26" t="s">
        <v>114</v>
      </c>
      <c r="C69" s="26" t="s">
        <v>423</v>
      </c>
      <c r="D69" s="3">
        <v>45054.0</v>
      </c>
      <c r="E69" s="25" t="s">
        <v>600</v>
      </c>
      <c r="F69" s="27">
        <v>99.84</v>
      </c>
      <c r="G69" s="31">
        <f t="shared" si="5"/>
        <v>15.9744</v>
      </c>
      <c r="H69" s="110">
        <f t="shared" si="6"/>
        <v>115.8144</v>
      </c>
      <c r="I69" s="25" t="s">
        <v>662</v>
      </c>
      <c r="J69" s="30"/>
      <c r="K69" s="30"/>
      <c r="L69" s="30"/>
      <c r="M69" s="30"/>
    </row>
    <row r="70" ht="14.25" customHeight="1">
      <c r="A70" s="25">
        <v>328.0</v>
      </c>
      <c r="B70" s="26" t="s">
        <v>443</v>
      </c>
      <c r="C70" s="26" t="s">
        <v>663</v>
      </c>
      <c r="D70" s="3">
        <v>45068.0</v>
      </c>
      <c r="E70" s="25" t="s">
        <v>600</v>
      </c>
      <c r="F70" s="27">
        <v>835.15</v>
      </c>
      <c r="G70" s="31">
        <f t="shared" si="5"/>
        <v>133.624</v>
      </c>
      <c r="H70" s="110">
        <f t="shared" si="6"/>
        <v>968.774</v>
      </c>
      <c r="I70" s="25" t="s">
        <v>664</v>
      </c>
      <c r="J70" s="30"/>
      <c r="K70" s="30"/>
      <c r="L70" s="30"/>
      <c r="M70" s="30"/>
    </row>
    <row r="71" ht="14.25" customHeight="1">
      <c r="A71" s="25">
        <v>331.0</v>
      </c>
      <c r="B71" s="26" t="s">
        <v>43</v>
      </c>
      <c r="C71" s="26" t="s">
        <v>663</v>
      </c>
      <c r="D71" s="3">
        <v>45086.0</v>
      </c>
      <c r="E71" s="25" t="s">
        <v>600</v>
      </c>
      <c r="F71" s="27">
        <v>827.45</v>
      </c>
      <c r="G71" s="31">
        <f t="shared" si="5"/>
        <v>132.392</v>
      </c>
      <c r="H71" s="110">
        <f t="shared" si="6"/>
        <v>959.842</v>
      </c>
      <c r="I71" s="25" t="s">
        <v>665</v>
      </c>
      <c r="J71" s="30"/>
      <c r="K71" s="30"/>
      <c r="L71" s="30"/>
      <c r="M71" s="30"/>
    </row>
    <row r="72" ht="14.25" customHeight="1">
      <c r="A72" s="25">
        <v>333.0</v>
      </c>
      <c r="B72" s="26" t="s">
        <v>177</v>
      </c>
      <c r="C72" s="26" t="s">
        <v>663</v>
      </c>
      <c r="D72" s="3">
        <v>45114.0</v>
      </c>
      <c r="E72" s="25" t="s">
        <v>600</v>
      </c>
      <c r="F72" s="27">
        <v>273.1</v>
      </c>
      <c r="G72" s="31">
        <f t="shared" si="5"/>
        <v>43.696</v>
      </c>
      <c r="H72" s="110">
        <f t="shared" si="6"/>
        <v>316.796</v>
      </c>
      <c r="I72" s="25" t="s">
        <v>666</v>
      </c>
      <c r="J72" s="30"/>
      <c r="K72" s="30"/>
      <c r="L72" s="30"/>
      <c r="M72" s="30"/>
    </row>
    <row r="73" ht="14.25" customHeight="1">
      <c r="A73" s="25">
        <v>335.0</v>
      </c>
      <c r="B73" s="26" t="s">
        <v>43</v>
      </c>
      <c r="C73" s="26" t="s">
        <v>667</v>
      </c>
      <c r="D73" s="3">
        <v>45147.0</v>
      </c>
      <c r="E73" s="25" t="s">
        <v>600</v>
      </c>
      <c r="F73" s="27">
        <v>41.52</v>
      </c>
      <c r="G73" s="31">
        <f t="shared" si="5"/>
        <v>6.6432</v>
      </c>
      <c r="H73" s="110">
        <f t="shared" si="6"/>
        <v>48.1632</v>
      </c>
      <c r="I73" s="25" t="s">
        <v>668</v>
      </c>
      <c r="J73" s="30"/>
      <c r="K73" s="30"/>
      <c r="L73" s="30"/>
      <c r="M73" s="30"/>
    </row>
    <row r="74" ht="14.25" customHeight="1">
      <c r="A74" s="65">
        <v>341.0</v>
      </c>
      <c r="B74" s="67" t="s">
        <v>17</v>
      </c>
      <c r="C74" s="67" t="s">
        <v>669</v>
      </c>
      <c r="D74" s="68">
        <v>45205.0</v>
      </c>
      <c r="E74" s="65" t="s">
        <v>600</v>
      </c>
      <c r="F74" s="69">
        <v>287.84</v>
      </c>
      <c r="G74" s="135">
        <f t="shared" si="5"/>
        <v>46.0544</v>
      </c>
      <c r="H74" s="69">
        <f t="shared" si="6"/>
        <v>333.8944</v>
      </c>
      <c r="I74" s="65" t="s">
        <v>670</v>
      </c>
      <c r="J74" s="30" t="s">
        <v>671</v>
      </c>
      <c r="K74" s="30"/>
      <c r="L74" s="30"/>
      <c r="M74" s="30"/>
    </row>
    <row r="75" ht="14.25" customHeight="1">
      <c r="A75" s="74">
        <v>343.0</v>
      </c>
      <c r="B75" s="76" t="s">
        <v>17</v>
      </c>
      <c r="C75" s="76" t="s">
        <v>669</v>
      </c>
      <c r="D75" s="77">
        <v>45216.0</v>
      </c>
      <c r="E75" s="74" t="s">
        <v>600</v>
      </c>
      <c r="F75" s="78">
        <v>287.84</v>
      </c>
      <c r="G75" s="126">
        <f t="shared" si="5"/>
        <v>46.0544</v>
      </c>
      <c r="H75" s="78">
        <f t="shared" si="6"/>
        <v>333.8944</v>
      </c>
      <c r="I75" s="74" t="s">
        <v>670</v>
      </c>
      <c r="J75" s="137" t="s">
        <v>671</v>
      </c>
      <c r="K75" s="137"/>
      <c r="L75" s="137"/>
      <c r="M75" s="137"/>
      <c r="N75" s="81"/>
      <c r="O75" s="81"/>
      <c r="P75" s="81"/>
      <c r="Q75" s="81"/>
      <c r="R75" s="81"/>
      <c r="S75" s="81"/>
      <c r="T75" s="81"/>
      <c r="U75" s="81"/>
      <c r="V75" s="81"/>
      <c r="W75" s="81"/>
      <c r="X75" s="81"/>
      <c r="Y75" s="81"/>
      <c r="Z75" s="81"/>
    </row>
    <row r="76" ht="14.25" customHeight="1">
      <c r="A76" s="65">
        <v>349.0</v>
      </c>
      <c r="B76" s="67" t="s">
        <v>146</v>
      </c>
      <c r="C76" s="67" t="s">
        <v>672</v>
      </c>
      <c r="D76" s="68">
        <v>45180.0</v>
      </c>
      <c r="E76" s="65" t="s">
        <v>600</v>
      </c>
      <c r="F76" s="69">
        <v>1224.74</v>
      </c>
      <c r="G76" s="135">
        <f t="shared" si="5"/>
        <v>195.9584</v>
      </c>
      <c r="H76" s="69">
        <f t="shared" si="6"/>
        <v>1420.6984</v>
      </c>
      <c r="I76" s="65" t="s">
        <v>673</v>
      </c>
      <c r="J76" s="30" t="s">
        <v>146</v>
      </c>
      <c r="K76" s="30"/>
      <c r="L76" s="30"/>
      <c r="M76" s="30"/>
    </row>
    <row r="77" ht="14.25" customHeight="1">
      <c r="A77" s="25">
        <v>351.0</v>
      </c>
      <c r="B77" s="26" t="s">
        <v>42</v>
      </c>
      <c r="C77" s="26" t="s">
        <v>672</v>
      </c>
      <c r="D77" s="3">
        <v>45243.0</v>
      </c>
      <c r="E77" s="25" t="s">
        <v>600</v>
      </c>
      <c r="F77" s="27">
        <v>55.58</v>
      </c>
      <c r="G77" s="31">
        <f t="shared" si="5"/>
        <v>8.8928</v>
      </c>
      <c r="H77" s="110">
        <f t="shared" si="6"/>
        <v>64.4728</v>
      </c>
      <c r="I77" s="25" t="s">
        <v>673</v>
      </c>
      <c r="J77" s="30"/>
      <c r="K77" s="30"/>
      <c r="L77" s="30"/>
      <c r="M77" s="30"/>
    </row>
    <row r="78" ht="14.25" customHeight="1">
      <c r="A78" s="65">
        <v>353.0</v>
      </c>
      <c r="B78" s="67" t="s">
        <v>31</v>
      </c>
      <c r="C78" s="67" t="s">
        <v>674</v>
      </c>
      <c r="D78" s="68">
        <v>45261.0</v>
      </c>
      <c r="E78" s="65" t="s">
        <v>547</v>
      </c>
      <c r="F78" s="69">
        <v>11105.23</v>
      </c>
      <c r="G78" s="135">
        <v>1776.8368</v>
      </c>
      <c r="H78" s="69">
        <v>12882.0668</v>
      </c>
      <c r="I78" s="138" t="s">
        <v>675</v>
      </c>
      <c r="J78" s="30" t="s">
        <v>146</v>
      </c>
      <c r="K78" s="30"/>
      <c r="L78" s="30"/>
      <c r="M78" s="30"/>
    </row>
    <row r="79" ht="14.25" customHeight="1">
      <c r="A79" s="65">
        <v>354.0</v>
      </c>
      <c r="B79" s="67" t="s">
        <v>17</v>
      </c>
      <c r="C79" s="67" t="s">
        <v>676</v>
      </c>
      <c r="D79" s="68">
        <v>45266.0</v>
      </c>
      <c r="E79" s="65" t="s">
        <v>600</v>
      </c>
      <c r="F79" s="69">
        <v>353.0</v>
      </c>
      <c r="G79" s="135">
        <f t="shared" ref="G79:G84" si="7">F79*0.16</f>
        <v>56.48</v>
      </c>
      <c r="H79" s="69">
        <f>F79+G79</f>
        <v>409.48</v>
      </c>
      <c r="I79" s="65" t="s">
        <v>677</v>
      </c>
      <c r="J79" s="30" t="s">
        <v>146</v>
      </c>
      <c r="K79" s="30"/>
      <c r="L79" s="30"/>
      <c r="M79" s="30"/>
    </row>
    <row r="80" ht="14.25" customHeight="1">
      <c r="A80" s="25">
        <v>365.0</v>
      </c>
      <c r="B80" s="64" t="s">
        <v>31</v>
      </c>
      <c r="C80" s="26" t="s">
        <v>678</v>
      </c>
      <c r="D80" s="3">
        <v>45302.0</v>
      </c>
      <c r="E80" s="25" t="s">
        <v>600</v>
      </c>
      <c r="F80" s="27">
        <v>16117.86</v>
      </c>
      <c r="G80" s="27">
        <f t="shared" si="7"/>
        <v>2578.8576</v>
      </c>
      <c r="H80" s="27">
        <f>+G80+F80</f>
        <v>18696.7176</v>
      </c>
      <c r="I80" s="28" t="s">
        <v>486</v>
      </c>
      <c r="J80" s="34" t="s">
        <v>679</v>
      </c>
      <c r="K80" s="34"/>
    </row>
    <row r="81" ht="14.25" customHeight="1">
      <c r="A81" s="25">
        <v>366.0</v>
      </c>
      <c r="B81" s="64" t="s">
        <v>31</v>
      </c>
      <c r="C81" s="26" t="s">
        <v>485</v>
      </c>
      <c r="D81" s="3">
        <v>45303.0</v>
      </c>
      <c r="E81" s="25" t="s">
        <v>600</v>
      </c>
      <c r="F81" s="27">
        <v>17241.37931034483</v>
      </c>
      <c r="G81" s="31">
        <f t="shared" si="7"/>
        <v>2758.62069</v>
      </c>
      <c r="H81" s="110">
        <f t="shared" ref="H81:H84" si="8">F81+G81</f>
        <v>20000</v>
      </c>
      <c r="I81" s="25" t="s">
        <v>680</v>
      </c>
      <c r="J81" s="30"/>
      <c r="K81" s="30"/>
      <c r="L81" s="30"/>
      <c r="M81" s="30"/>
    </row>
    <row r="82" ht="14.25" customHeight="1">
      <c r="A82" s="65">
        <v>368.0</v>
      </c>
      <c r="B82" s="66" t="s">
        <v>17</v>
      </c>
      <c r="C82" s="67" t="s">
        <v>681</v>
      </c>
      <c r="D82" s="68">
        <v>45306.0</v>
      </c>
      <c r="E82" s="65" t="s">
        <v>600</v>
      </c>
      <c r="F82" s="69">
        <v>507.43</v>
      </c>
      <c r="G82" s="135">
        <f t="shared" si="7"/>
        <v>81.1888</v>
      </c>
      <c r="H82" s="69">
        <f t="shared" si="8"/>
        <v>588.6188</v>
      </c>
      <c r="I82" s="65" t="s">
        <v>146</v>
      </c>
      <c r="J82" s="30"/>
      <c r="K82" s="30"/>
      <c r="L82" s="30"/>
      <c r="M82" s="30"/>
    </row>
    <row r="83" ht="14.25" customHeight="1">
      <c r="A83" s="65">
        <v>369.0</v>
      </c>
      <c r="B83" s="66" t="s">
        <v>17</v>
      </c>
      <c r="C83" s="67" t="s">
        <v>682</v>
      </c>
      <c r="D83" s="68">
        <v>45306.0</v>
      </c>
      <c r="E83" s="65" t="s">
        <v>600</v>
      </c>
      <c r="F83" s="69">
        <v>343.59</v>
      </c>
      <c r="G83" s="135">
        <f t="shared" si="7"/>
        <v>54.9744</v>
      </c>
      <c r="H83" s="69">
        <f t="shared" si="8"/>
        <v>398.5644</v>
      </c>
      <c r="I83" s="65" t="s">
        <v>146</v>
      </c>
      <c r="J83" s="30"/>
      <c r="K83" s="30"/>
      <c r="L83" s="30"/>
      <c r="M83" s="30"/>
    </row>
    <row r="84" ht="14.25" customHeight="1">
      <c r="A84" s="65">
        <v>370.0</v>
      </c>
      <c r="B84" s="66" t="s">
        <v>17</v>
      </c>
      <c r="C84" s="67" t="s">
        <v>683</v>
      </c>
      <c r="D84" s="68">
        <v>45306.0</v>
      </c>
      <c r="E84" s="65" t="s">
        <v>600</v>
      </c>
      <c r="F84" s="69">
        <v>3700.81</v>
      </c>
      <c r="G84" s="135">
        <f t="shared" si="7"/>
        <v>592.1296</v>
      </c>
      <c r="H84" s="69">
        <f t="shared" si="8"/>
        <v>4292.9396</v>
      </c>
      <c r="I84" s="65" t="s">
        <v>146</v>
      </c>
      <c r="J84" s="30"/>
      <c r="K84" s="30"/>
      <c r="L84" s="30"/>
      <c r="M84" s="30"/>
    </row>
    <row r="85" ht="14.25" customHeight="1">
      <c r="A85" s="25">
        <v>373.0</v>
      </c>
      <c r="B85" s="64" t="s">
        <v>17</v>
      </c>
      <c r="C85" s="26" t="s">
        <v>682</v>
      </c>
      <c r="D85" s="3">
        <v>45306.0</v>
      </c>
      <c r="E85" s="25" t="s">
        <v>600</v>
      </c>
      <c r="F85" s="27">
        <v>343.59</v>
      </c>
      <c r="G85" s="31">
        <v>54.974399999999996</v>
      </c>
      <c r="H85" s="110">
        <v>398.5644</v>
      </c>
      <c r="I85" s="25" t="s">
        <v>684</v>
      </c>
      <c r="J85" s="30"/>
      <c r="K85" s="30"/>
      <c r="L85" s="30"/>
      <c r="M85" s="30"/>
    </row>
    <row r="86" ht="14.25" customHeight="1">
      <c r="A86" s="25">
        <v>374.0</v>
      </c>
      <c r="B86" s="64" t="s">
        <v>17</v>
      </c>
      <c r="C86" s="26" t="s">
        <v>683</v>
      </c>
      <c r="D86" s="3">
        <v>45306.0</v>
      </c>
      <c r="E86" s="25" t="s">
        <v>600</v>
      </c>
      <c r="F86" s="27">
        <v>3700.81</v>
      </c>
      <c r="G86" s="31">
        <v>592.1296</v>
      </c>
      <c r="H86" s="110">
        <v>4292.9396</v>
      </c>
      <c r="I86" s="25" t="s">
        <v>685</v>
      </c>
      <c r="J86" s="30"/>
      <c r="K86" s="30"/>
      <c r="L86" s="30"/>
      <c r="M86" s="30"/>
    </row>
    <row r="87" ht="14.25" customHeight="1">
      <c r="A87" s="25">
        <v>375.0</v>
      </c>
      <c r="B87" s="64" t="s">
        <v>17</v>
      </c>
      <c r="C87" s="26" t="s">
        <v>681</v>
      </c>
      <c r="D87" s="3">
        <v>45306.0</v>
      </c>
      <c r="E87" s="25" t="s">
        <v>600</v>
      </c>
      <c r="F87" s="27">
        <v>507.43</v>
      </c>
      <c r="G87" s="31">
        <v>81.1888</v>
      </c>
      <c r="H87" s="139">
        <v>588.6188</v>
      </c>
      <c r="I87" s="25" t="s">
        <v>685</v>
      </c>
      <c r="J87" s="30"/>
      <c r="K87" s="30"/>
      <c r="L87" s="30"/>
      <c r="M87" s="30"/>
    </row>
    <row r="88" ht="14.25" customHeight="1">
      <c r="A88" s="103">
        <v>420.0</v>
      </c>
      <c r="B88" s="98" t="s">
        <v>42</v>
      </c>
      <c r="C88" s="26" t="s">
        <v>686</v>
      </c>
      <c r="D88" s="99">
        <v>45686.0</v>
      </c>
      <c r="E88" s="25" t="s">
        <v>600</v>
      </c>
      <c r="F88" s="140">
        <v>8765.59</v>
      </c>
      <c r="G88" s="140">
        <f t="shared" ref="G88:G93" si="9">F88*0.16</f>
        <v>1402.4944</v>
      </c>
      <c r="H88" s="27">
        <f t="shared" ref="H88:H94" si="10">F88+G88</f>
        <v>10168.0844</v>
      </c>
      <c r="I88" s="141" t="s">
        <v>687</v>
      </c>
      <c r="J88" s="30"/>
      <c r="K88" s="30"/>
      <c r="L88" s="30"/>
      <c r="M88" s="30"/>
    </row>
    <row r="89" ht="14.25" customHeight="1">
      <c r="A89" s="25">
        <v>421.0</v>
      </c>
      <c r="B89" s="64" t="s">
        <v>361</v>
      </c>
      <c r="C89" s="26" t="s">
        <v>688</v>
      </c>
      <c r="D89" s="3">
        <v>45706.0</v>
      </c>
      <c r="E89" s="25" t="s">
        <v>547</v>
      </c>
      <c r="F89" s="27">
        <v>76351.54310344828</v>
      </c>
      <c r="G89" s="142">
        <f t="shared" si="9"/>
        <v>12216.2469</v>
      </c>
      <c r="H89" s="27">
        <f t="shared" si="10"/>
        <v>88567.79</v>
      </c>
      <c r="I89" s="143" t="s">
        <v>689</v>
      </c>
      <c r="J89" s="30"/>
      <c r="K89" s="30"/>
      <c r="L89" s="30"/>
      <c r="M89" s="30"/>
    </row>
    <row r="90" ht="14.25" customHeight="1">
      <c r="A90" s="25">
        <v>425.0</v>
      </c>
      <c r="B90" s="64" t="s">
        <v>361</v>
      </c>
      <c r="C90" s="26" t="s">
        <v>690</v>
      </c>
      <c r="D90" s="3">
        <v>45750.0</v>
      </c>
      <c r="E90" s="25" t="s">
        <v>547</v>
      </c>
      <c r="F90" s="27">
        <v>3344.89</v>
      </c>
      <c r="G90" s="142">
        <f t="shared" si="9"/>
        <v>535.1824</v>
      </c>
      <c r="H90" s="27">
        <f t="shared" si="10"/>
        <v>3880.0724</v>
      </c>
      <c r="I90" s="143" t="s">
        <v>691</v>
      </c>
      <c r="J90" s="30"/>
      <c r="K90" s="30"/>
      <c r="L90" s="30"/>
      <c r="M90" s="30"/>
    </row>
    <row r="91" ht="14.25" customHeight="1">
      <c r="A91" s="25">
        <v>426.0</v>
      </c>
      <c r="B91" s="26" t="s">
        <v>361</v>
      </c>
      <c r="C91" s="26" t="s">
        <v>686</v>
      </c>
      <c r="D91" s="3">
        <v>45762.0</v>
      </c>
      <c r="E91" s="25" t="s">
        <v>600</v>
      </c>
      <c r="F91" s="27">
        <v>6574.2</v>
      </c>
      <c r="G91" s="142">
        <f t="shared" si="9"/>
        <v>1051.872</v>
      </c>
      <c r="H91" s="110">
        <f t="shared" si="10"/>
        <v>7626.072</v>
      </c>
      <c r="I91" s="143" t="s">
        <v>687</v>
      </c>
      <c r="J91" s="30"/>
      <c r="K91" s="30"/>
      <c r="L91" s="30"/>
      <c r="M91" s="30"/>
    </row>
    <row r="92" ht="14.25" customHeight="1">
      <c r="A92" s="25"/>
      <c r="B92" s="26"/>
      <c r="C92" s="26"/>
      <c r="D92" s="3"/>
      <c r="E92" s="25" t="s">
        <v>600</v>
      </c>
      <c r="F92" s="27"/>
      <c r="G92" s="31">
        <f t="shared" si="9"/>
        <v>0</v>
      </c>
      <c r="H92" s="144">
        <f t="shared" si="10"/>
        <v>0</v>
      </c>
      <c r="I92" s="25"/>
      <c r="J92" s="30"/>
      <c r="K92" s="30"/>
      <c r="L92" s="30"/>
      <c r="M92" s="30"/>
    </row>
    <row r="93" ht="14.25" customHeight="1">
      <c r="A93" s="25"/>
      <c r="B93" s="26"/>
      <c r="C93" s="26"/>
      <c r="D93" s="3"/>
      <c r="E93" s="25" t="s">
        <v>600</v>
      </c>
      <c r="F93" s="27"/>
      <c r="G93" s="31">
        <f t="shared" si="9"/>
        <v>0</v>
      </c>
      <c r="H93" s="110">
        <f t="shared" si="10"/>
        <v>0</v>
      </c>
      <c r="I93" s="25"/>
      <c r="J93" s="30"/>
      <c r="K93" s="30"/>
      <c r="L93" s="30"/>
      <c r="M93" s="30"/>
    </row>
    <row r="94" ht="14.25" customHeight="1">
      <c r="A94" s="25"/>
      <c r="B94" s="26" t="s">
        <v>543</v>
      </c>
      <c r="C94" s="26"/>
      <c r="D94" s="3"/>
      <c r="E94" s="25"/>
      <c r="F94" s="27">
        <f t="shared" ref="F94:G94" si="11">SUM(F2:F93)</f>
        <v>832146.2624</v>
      </c>
      <c r="G94" s="27">
        <f t="shared" si="11"/>
        <v>133143.4024</v>
      </c>
      <c r="H94" s="110">
        <f t="shared" si="10"/>
        <v>965289.6648</v>
      </c>
      <c r="I94" s="25"/>
      <c r="J94" s="30"/>
      <c r="K94" s="30"/>
      <c r="L94" s="30"/>
      <c r="M94" s="30"/>
    </row>
    <row r="95" ht="15.75" customHeight="1">
      <c r="F95" s="100"/>
      <c r="G95" s="100"/>
      <c r="H95" s="100"/>
    </row>
    <row r="96" ht="15.75" customHeight="1">
      <c r="F96" s="100"/>
      <c r="G96" s="100"/>
      <c r="H96" s="100"/>
    </row>
    <row r="97" ht="15.75" customHeight="1">
      <c r="F97" s="100"/>
      <c r="G97" s="100"/>
      <c r="H97" s="100"/>
    </row>
    <row r="98" ht="15.75" customHeight="1">
      <c r="F98" s="100"/>
      <c r="G98" s="100"/>
      <c r="H98" s="100"/>
    </row>
    <row r="99" ht="15.75" customHeight="1">
      <c r="F99" s="100"/>
      <c r="G99" s="100"/>
      <c r="H99" s="100"/>
    </row>
    <row r="100" ht="15.75" hidden="1" customHeight="1">
      <c r="A100" s="6">
        <v>113.0</v>
      </c>
      <c r="B100" s="7" t="s">
        <v>0</v>
      </c>
      <c r="C100" s="7" t="s">
        <v>155</v>
      </c>
      <c r="D100" s="145">
        <v>41974.0</v>
      </c>
      <c r="E100" s="6" t="s">
        <v>8</v>
      </c>
      <c r="F100" s="146">
        <v>258564.09</v>
      </c>
      <c r="G100" s="146">
        <v>41370.25</v>
      </c>
      <c r="H100" s="146">
        <f t="shared" ref="H100:H106" si="12">F100+G100</f>
        <v>299934.34</v>
      </c>
      <c r="I100" s="6"/>
      <c r="J100" s="10" t="s">
        <v>3</v>
      </c>
      <c r="K100" s="147"/>
      <c r="L100" s="147"/>
      <c r="M100" s="147">
        <f>1434*3</f>
        <v>4302</v>
      </c>
      <c r="N100" s="147"/>
      <c r="O100" s="147"/>
      <c r="P100" s="147"/>
      <c r="Q100" s="147"/>
      <c r="R100" s="147"/>
      <c r="S100" s="147"/>
      <c r="T100" s="147"/>
      <c r="U100" s="147"/>
      <c r="V100" s="147"/>
      <c r="W100" s="147"/>
      <c r="X100" s="147"/>
      <c r="Y100" s="147"/>
      <c r="Z100" s="147"/>
    </row>
    <row r="101" ht="15.75" hidden="1" customHeight="1">
      <c r="A101" s="6">
        <v>114.0</v>
      </c>
      <c r="B101" s="7" t="s">
        <v>0</v>
      </c>
      <c r="C101" s="7" t="s">
        <v>155</v>
      </c>
      <c r="D101" s="145">
        <v>41974.0</v>
      </c>
      <c r="E101" s="6" t="s">
        <v>8</v>
      </c>
      <c r="F101" s="146">
        <v>112872.78</v>
      </c>
      <c r="G101" s="146">
        <v>18059.64</v>
      </c>
      <c r="H101" s="146">
        <f t="shared" si="12"/>
        <v>130932.42</v>
      </c>
      <c r="I101" s="6"/>
      <c r="J101" s="10" t="s">
        <v>3</v>
      </c>
      <c r="K101" s="147"/>
      <c r="L101" s="147"/>
      <c r="M101" s="147"/>
      <c r="N101" s="147"/>
      <c r="O101" s="147"/>
      <c r="P101" s="147"/>
      <c r="Q101" s="147"/>
      <c r="R101" s="147"/>
      <c r="S101" s="147"/>
      <c r="T101" s="147"/>
      <c r="U101" s="147"/>
      <c r="V101" s="147"/>
      <c r="W101" s="147"/>
      <c r="X101" s="147"/>
      <c r="Y101" s="147"/>
      <c r="Z101" s="147"/>
    </row>
    <row r="102" ht="15.75" hidden="1" customHeight="1">
      <c r="A102" s="6">
        <v>116.0</v>
      </c>
      <c r="B102" s="7" t="s">
        <v>0</v>
      </c>
      <c r="C102" s="7" t="s">
        <v>7</v>
      </c>
      <c r="D102" s="145">
        <v>1679.0</v>
      </c>
      <c r="E102" s="6" t="s">
        <v>8</v>
      </c>
      <c r="F102" s="146">
        <v>9664.2</v>
      </c>
      <c r="G102" s="146">
        <v>1546.27</v>
      </c>
      <c r="H102" s="146">
        <f t="shared" si="12"/>
        <v>11210.47</v>
      </c>
      <c r="I102" s="6"/>
      <c r="J102" s="10" t="s">
        <v>3</v>
      </c>
      <c r="K102" s="147"/>
      <c r="L102" s="147"/>
      <c r="M102" s="147"/>
      <c r="N102" s="147"/>
      <c r="O102" s="147"/>
      <c r="P102" s="147"/>
      <c r="Q102" s="147"/>
      <c r="R102" s="147"/>
      <c r="S102" s="147"/>
      <c r="T102" s="147"/>
      <c r="U102" s="147"/>
      <c r="V102" s="147"/>
      <c r="W102" s="147"/>
      <c r="X102" s="147"/>
      <c r="Y102" s="147"/>
      <c r="Z102" s="147"/>
    </row>
    <row r="103" ht="14.25" hidden="1" customHeight="1">
      <c r="A103" s="1">
        <v>117.0</v>
      </c>
      <c r="B103" s="2" t="s">
        <v>0</v>
      </c>
      <c r="C103" s="2" t="s">
        <v>1</v>
      </c>
      <c r="D103" s="148">
        <v>41974.0</v>
      </c>
      <c r="E103" s="1" t="s">
        <v>2</v>
      </c>
      <c r="F103" s="31">
        <v>1128.96</v>
      </c>
      <c r="G103" s="31">
        <v>180.83</v>
      </c>
      <c r="H103" s="31">
        <f t="shared" si="12"/>
        <v>1309.79</v>
      </c>
      <c r="I103" s="1"/>
      <c r="J103" s="5" t="s">
        <v>3</v>
      </c>
    </row>
    <row r="104" ht="14.25" hidden="1" customHeight="1">
      <c r="A104" s="1">
        <v>119.0</v>
      </c>
      <c r="B104" s="2" t="s">
        <v>0</v>
      </c>
      <c r="C104" s="2" t="s">
        <v>4</v>
      </c>
      <c r="D104" s="148">
        <v>41974.0</v>
      </c>
      <c r="E104" s="1" t="s">
        <v>2</v>
      </c>
      <c r="F104" s="31">
        <v>24899.83</v>
      </c>
      <c r="G104" s="31">
        <v>3983.97</v>
      </c>
      <c r="H104" s="31">
        <f t="shared" si="12"/>
        <v>28883.8</v>
      </c>
      <c r="I104" s="1"/>
      <c r="J104" s="5" t="s">
        <v>5</v>
      </c>
    </row>
    <row r="105" ht="14.25" hidden="1" customHeight="1">
      <c r="A105" s="1">
        <v>120.0</v>
      </c>
      <c r="B105" s="2" t="s">
        <v>0</v>
      </c>
      <c r="C105" s="2" t="s">
        <v>6</v>
      </c>
      <c r="D105" s="148">
        <v>41974.0</v>
      </c>
      <c r="E105" s="1" t="s">
        <v>2</v>
      </c>
      <c r="F105" s="31">
        <v>10869.7</v>
      </c>
      <c r="G105" s="31">
        <v>1739.15</v>
      </c>
      <c r="H105" s="31">
        <f t="shared" si="12"/>
        <v>12608.85</v>
      </c>
      <c r="I105" s="1"/>
      <c r="J105" s="5" t="s">
        <v>3</v>
      </c>
    </row>
    <row r="106" ht="14.25" hidden="1" customHeight="1">
      <c r="A106" s="1">
        <v>121.0</v>
      </c>
      <c r="B106" s="2" t="s">
        <v>0</v>
      </c>
      <c r="C106" s="2" t="s">
        <v>1</v>
      </c>
      <c r="D106" s="148">
        <v>41974.0</v>
      </c>
      <c r="E106" s="1" t="s">
        <v>2</v>
      </c>
      <c r="F106" s="31">
        <v>412.55</v>
      </c>
      <c r="G106" s="31">
        <v>66.01</v>
      </c>
      <c r="H106" s="31">
        <f t="shared" si="12"/>
        <v>478.56</v>
      </c>
      <c r="I106" s="1"/>
      <c r="J106" s="5" t="s">
        <v>3</v>
      </c>
    </row>
    <row r="107" ht="14.25" hidden="1" customHeight="1">
      <c r="A107" s="25">
        <v>140.0</v>
      </c>
      <c r="B107" s="26" t="s">
        <v>692</v>
      </c>
      <c r="C107" s="26" t="s">
        <v>693</v>
      </c>
      <c r="D107" s="26"/>
      <c r="E107" s="25"/>
      <c r="F107" s="27"/>
      <c r="G107" s="27"/>
      <c r="H107" s="27"/>
      <c r="I107" s="25"/>
      <c r="J107" s="30"/>
      <c r="K107" s="30"/>
      <c r="L107" s="30"/>
      <c r="M107" s="30"/>
    </row>
    <row r="108" ht="14.25" hidden="1" customHeight="1">
      <c r="A108" s="112"/>
      <c r="B108" s="5"/>
      <c r="C108" s="5"/>
      <c r="D108" s="5"/>
      <c r="E108" s="112"/>
      <c r="F108" s="114"/>
      <c r="G108" s="114"/>
      <c r="H108" s="114"/>
      <c r="I108" s="112"/>
    </row>
    <row r="109" ht="14.25" hidden="1" customHeight="1">
      <c r="A109" s="1">
        <v>167.0</v>
      </c>
      <c r="B109" s="2" t="s">
        <v>589</v>
      </c>
      <c r="C109" s="2" t="s">
        <v>590</v>
      </c>
      <c r="D109" s="148">
        <v>44564.0</v>
      </c>
      <c r="E109" s="1" t="s">
        <v>547</v>
      </c>
      <c r="F109" s="31">
        <v>3764.14</v>
      </c>
      <c r="G109" s="31">
        <v>602.26</v>
      </c>
      <c r="H109" s="31">
        <f t="shared" ref="H109:H123" si="13">F109+G109</f>
        <v>4366.4</v>
      </c>
      <c r="I109" s="1"/>
      <c r="J109" s="5" t="s">
        <v>591</v>
      </c>
    </row>
    <row r="110" ht="14.25" hidden="1" customHeight="1">
      <c r="A110" s="1">
        <v>169.0</v>
      </c>
      <c r="B110" s="2" t="s">
        <v>218</v>
      </c>
      <c r="C110" s="2" t="s">
        <v>592</v>
      </c>
      <c r="D110" s="148">
        <v>44567.0</v>
      </c>
      <c r="E110" s="1" t="s">
        <v>547</v>
      </c>
      <c r="F110" s="31">
        <v>2587.7</v>
      </c>
      <c r="G110" s="31">
        <v>414.03</v>
      </c>
      <c r="H110" s="31">
        <f t="shared" si="13"/>
        <v>3001.73</v>
      </c>
      <c r="I110" s="1"/>
      <c r="J110" s="5" t="s">
        <v>694</v>
      </c>
    </row>
    <row r="111" ht="14.25" hidden="1" customHeight="1">
      <c r="A111" s="1"/>
      <c r="B111" s="2"/>
      <c r="C111" s="2"/>
      <c r="D111" s="148"/>
      <c r="E111" s="1"/>
      <c r="F111" s="31"/>
      <c r="G111" s="31"/>
      <c r="H111" s="31">
        <f t="shared" si="13"/>
        <v>0</v>
      </c>
      <c r="I111" s="1"/>
      <c r="J111" s="5"/>
    </row>
    <row r="112" ht="14.25" hidden="1" customHeight="1">
      <c r="A112" s="1"/>
      <c r="B112" s="2"/>
      <c r="C112" s="2"/>
      <c r="D112" s="148"/>
      <c r="E112" s="1"/>
      <c r="F112" s="31"/>
      <c r="G112" s="31"/>
      <c r="H112" s="31">
        <f t="shared" si="13"/>
        <v>0</v>
      </c>
    </row>
    <row r="113" ht="14.25" hidden="1" customHeight="1">
      <c r="A113" s="1"/>
      <c r="B113" s="2"/>
      <c r="C113" s="2"/>
      <c r="D113" s="148"/>
      <c r="E113" s="1"/>
      <c r="F113" s="31"/>
      <c r="G113" s="31"/>
      <c r="H113" s="31">
        <f t="shared" si="13"/>
        <v>0</v>
      </c>
    </row>
    <row r="114" ht="14.25" hidden="1" customHeight="1">
      <c r="A114" s="1"/>
      <c r="B114" s="2"/>
      <c r="C114" s="2"/>
      <c r="D114" s="148"/>
      <c r="E114" s="1"/>
      <c r="F114" s="31"/>
      <c r="G114" s="31"/>
      <c r="H114" s="31">
        <f t="shared" si="13"/>
        <v>0</v>
      </c>
    </row>
    <row r="115" ht="14.25" hidden="1" customHeight="1">
      <c r="A115" s="1"/>
      <c r="B115" s="2"/>
      <c r="C115" s="2"/>
      <c r="D115" s="148"/>
      <c r="E115" s="1"/>
      <c r="F115" s="31"/>
      <c r="G115" s="31"/>
      <c r="H115" s="31">
        <f t="shared" si="13"/>
        <v>0</v>
      </c>
    </row>
    <row r="116" ht="14.25" hidden="1" customHeight="1">
      <c r="A116" s="1"/>
      <c r="B116" s="2"/>
      <c r="C116" s="2"/>
      <c r="D116" s="148"/>
      <c r="E116" s="1"/>
      <c r="F116" s="31"/>
      <c r="G116" s="31"/>
      <c r="H116" s="31">
        <f t="shared" si="13"/>
        <v>0</v>
      </c>
    </row>
    <row r="117" ht="14.25" hidden="1" customHeight="1">
      <c r="A117" s="1"/>
      <c r="B117" s="2"/>
      <c r="C117" s="2"/>
      <c r="D117" s="148"/>
      <c r="E117" s="1"/>
      <c r="F117" s="31"/>
      <c r="G117" s="31"/>
      <c r="H117" s="31">
        <f t="shared" si="13"/>
        <v>0</v>
      </c>
    </row>
    <row r="118" ht="14.25" hidden="1" customHeight="1">
      <c r="A118" s="1"/>
      <c r="B118" s="2"/>
      <c r="C118" s="2"/>
      <c r="D118" s="148"/>
      <c r="E118" s="1"/>
      <c r="F118" s="31"/>
      <c r="G118" s="31"/>
      <c r="H118" s="31">
        <f t="shared" si="13"/>
        <v>0</v>
      </c>
    </row>
    <row r="119" ht="14.25" hidden="1" customHeight="1">
      <c r="A119" s="1"/>
      <c r="B119" s="2"/>
      <c r="C119" s="2"/>
      <c r="D119" s="148"/>
      <c r="E119" s="1"/>
      <c r="F119" s="31"/>
      <c r="G119" s="31"/>
      <c r="H119" s="31">
        <f t="shared" si="13"/>
        <v>0</v>
      </c>
    </row>
    <row r="120" ht="14.25" hidden="1" customHeight="1">
      <c r="A120" s="1"/>
      <c r="B120" s="2"/>
      <c r="C120" s="2"/>
      <c r="D120" s="148"/>
      <c r="E120" s="1"/>
      <c r="F120" s="31"/>
      <c r="G120" s="31"/>
      <c r="H120" s="31">
        <f t="shared" si="13"/>
        <v>0</v>
      </c>
    </row>
    <row r="121" ht="14.25" hidden="1" customHeight="1">
      <c r="A121" s="1"/>
      <c r="B121" s="2"/>
      <c r="C121" s="2"/>
      <c r="D121" s="148"/>
      <c r="E121" s="1"/>
      <c r="F121" s="31"/>
      <c r="G121" s="31"/>
      <c r="H121" s="31">
        <f t="shared" si="13"/>
        <v>0</v>
      </c>
    </row>
    <row r="122" ht="14.25" hidden="1" customHeight="1">
      <c r="A122" s="1"/>
      <c r="B122" s="2"/>
      <c r="C122" s="2"/>
      <c r="D122" s="148"/>
      <c r="E122" s="1"/>
      <c r="F122" s="31"/>
      <c r="G122" s="31"/>
      <c r="H122" s="31">
        <f t="shared" si="13"/>
        <v>0</v>
      </c>
    </row>
    <row r="123" ht="14.25" hidden="1" customHeight="1">
      <c r="A123" s="1"/>
      <c r="B123" s="2"/>
      <c r="C123" s="2"/>
      <c r="D123" s="148"/>
      <c r="E123" s="1"/>
      <c r="F123" s="31"/>
      <c r="G123" s="31"/>
      <c r="H123" s="31">
        <f t="shared" si="13"/>
        <v>0</v>
      </c>
    </row>
    <row r="124" ht="15.75" customHeight="1">
      <c r="F124" s="100"/>
      <c r="G124" s="100"/>
      <c r="H124" s="100"/>
    </row>
    <row r="125" ht="15.75" customHeight="1">
      <c r="F125" s="100"/>
      <c r="G125" s="100"/>
      <c r="H125" s="100"/>
    </row>
    <row r="126" ht="15.75" customHeight="1">
      <c r="F126" s="100"/>
      <c r="G126" s="100"/>
      <c r="H126" s="100"/>
    </row>
    <row r="127" ht="15.75" customHeight="1">
      <c r="F127" s="100"/>
      <c r="G127" s="100"/>
      <c r="H127" s="100"/>
    </row>
    <row r="128" ht="15.75" customHeight="1">
      <c r="F128" s="100"/>
      <c r="G128" s="100"/>
      <c r="H128" s="100"/>
    </row>
    <row r="129" ht="15.75" customHeight="1">
      <c r="F129" s="100"/>
      <c r="G129" s="100"/>
      <c r="H129" s="100"/>
    </row>
    <row r="130" ht="15.75" customHeight="1">
      <c r="F130" s="100"/>
      <c r="G130" s="100"/>
      <c r="H130" s="100"/>
    </row>
    <row r="131" ht="15.75" customHeight="1">
      <c r="F131" s="100"/>
      <c r="G131" s="100"/>
      <c r="H131" s="100"/>
    </row>
    <row r="132" ht="15.75" customHeight="1">
      <c r="F132" s="100"/>
      <c r="G132" s="100"/>
      <c r="H132" s="100"/>
    </row>
    <row r="133" ht="15.75" customHeight="1">
      <c r="F133" s="100"/>
      <c r="G133" s="100"/>
      <c r="H133" s="100"/>
    </row>
    <row r="134" ht="15.75" customHeight="1">
      <c r="F134" s="100"/>
      <c r="G134" s="100"/>
      <c r="H134" s="100"/>
    </row>
    <row r="135" ht="15.75" customHeight="1">
      <c r="F135" s="100"/>
      <c r="G135" s="100"/>
      <c r="H135" s="100"/>
    </row>
    <row r="136" ht="15.75" customHeight="1">
      <c r="F136" s="100"/>
      <c r="G136" s="100"/>
      <c r="H136" s="100"/>
    </row>
    <row r="137" ht="15.75" customHeight="1">
      <c r="F137" s="100"/>
      <c r="G137" s="100"/>
      <c r="H137" s="100"/>
    </row>
    <row r="138" ht="15.75" customHeight="1">
      <c r="F138" s="100"/>
      <c r="G138" s="100"/>
      <c r="H138" s="100"/>
    </row>
    <row r="139" ht="15.75" customHeight="1">
      <c r="F139" s="100"/>
      <c r="G139" s="100"/>
      <c r="H139" s="100"/>
    </row>
    <row r="140" ht="15.75" customHeight="1">
      <c r="F140" s="100"/>
      <c r="G140" s="100"/>
      <c r="H140" s="100"/>
    </row>
    <row r="141" ht="15.75" customHeight="1">
      <c r="F141" s="100"/>
      <c r="G141" s="100"/>
      <c r="H141" s="100"/>
    </row>
    <row r="142" ht="15.75" customHeight="1">
      <c r="F142" s="100"/>
      <c r="G142" s="100"/>
      <c r="H142" s="100"/>
    </row>
    <row r="143" ht="15.75" customHeight="1">
      <c r="F143" s="100"/>
      <c r="G143" s="100"/>
      <c r="H143" s="100"/>
    </row>
    <row r="144" ht="15.75" customHeight="1">
      <c r="F144" s="100"/>
      <c r="G144" s="100"/>
      <c r="H144" s="100"/>
    </row>
    <row r="145" ht="15.75" customHeight="1">
      <c r="F145" s="100"/>
      <c r="G145" s="100"/>
      <c r="H145" s="100"/>
    </row>
    <row r="146" ht="15.75" customHeight="1">
      <c r="F146" s="100"/>
      <c r="G146" s="100"/>
      <c r="H146" s="100"/>
    </row>
    <row r="147" ht="15.75" customHeight="1">
      <c r="F147" s="100"/>
      <c r="G147" s="100"/>
      <c r="H147" s="100"/>
    </row>
    <row r="148" ht="15.75" customHeight="1">
      <c r="F148" s="100"/>
      <c r="G148" s="100"/>
      <c r="H148" s="100"/>
    </row>
    <row r="149" ht="15.75" customHeight="1">
      <c r="F149" s="100"/>
      <c r="G149" s="100"/>
      <c r="H149" s="100"/>
    </row>
    <row r="150" ht="15.75" customHeight="1">
      <c r="F150" s="100"/>
      <c r="G150" s="100"/>
      <c r="H150" s="100"/>
    </row>
    <row r="151" ht="15.75" customHeight="1">
      <c r="F151" s="100"/>
      <c r="G151" s="100"/>
      <c r="H151" s="100"/>
    </row>
    <row r="152" ht="15.75" customHeight="1">
      <c r="F152" s="100"/>
      <c r="G152" s="100"/>
      <c r="H152" s="100"/>
    </row>
    <row r="153" ht="15.75" customHeight="1">
      <c r="F153" s="100"/>
      <c r="G153" s="100"/>
      <c r="H153" s="100"/>
    </row>
    <row r="154" ht="15.75" customHeight="1">
      <c r="F154" s="100"/>
      <c r="G154" s="100"/>
      <c r="H154" s="100"/>
    </row>
    <row r="155" ht="15.75" customHeight="1">
      <c r="F155" s="100"/>
      <c r="G155" s="100"/>
      <c r="H155" s="100"/>
    </row>
    <row r="156" ht="15.75" customHeight="1">
      <c r="F156" s="100"/>
      <c r="G156" s="100"/>
      <c r="H156" s="100"/>
    </row>
    <row r="157" ht="15.75" customHeight="1">
      <c r="F157" s="100"/>
      <c r="G157" s="100"/>
      <c r="H157" s="100"/>
    </row>
    <row r="158" ht="15.75" customHeight="1">
      <c r="F158" s="100"/>
      <c r="G158" s="100"/>
      <c r="H158" s="100"/>
    </row>
    <row r="159" ht="15.75" customHeight="1">
      <c r="F159" s="100"/>
      <c r="G159" s="100"/>
      <c r="H159" s="100"/>
    </row>
    <row r="160" ht="15.75" customHeight="1">
      <c r="F160" s="100"/>
      <c r="G160" s="100"/>
      <c r="H160" s="100"/>
    </row>
    <row r="161" ht="15.75" customHeight="1">
      <c r="F161" s="100"/>
      <c r="G161" s="100"/>
      <c r="H161" s="100"/>
    </row>
    <row r="162" ht="15.75" customHeight="1">
      <c r="F162" s="100"/>
      <c r="G162" s="100"/>
      <c r="H162" s="100"/>
    </row>
    <row r="163" ht="15.75" customHeight="1">
      <c r="F163" s="100"/>
      <c r="G163" s="100"/>
      <c r="H163" s="100"/>
    </row>
    <row r="164" ht="15.75" customHeight="1">
      <c r="F164" s="100"/>
      <c r="G164" s="100"/>
      <c r="H164" s="100"/>
    </row>
    <row r="165" ht="15.75" customHeight="1">
      <c r="F165" s="100"/>
      <c r="G165" s="100"/>
      <c r="H165" s="100"/>
    </row>
    <row r="166" ht="15.75" customHeight="1">
      <c r="F166" s="100"/>
      <c r="G166" s="100"/>
      <c r="H166" s="100"/>
    </row>
    <row r="167" ht="15.75" customHeight="1">
      <c r="F167" s="100"/>
      <c r="G167" s="100"/>
      <c r="H167" s="100"/>
    </row>
    <row r="168" ht="15.75" customHeight="1">
      <c r="F168" s="100"/>
      <c r="G168" s="100"/>
      <c r="H168" s="100"/>
    </row>
    <row r="169" ht="15.75" customHeight="1">
      <c r="F169" s="100"/>
      <c r="G169" s="100"/>
      <c r="H169" s="100"/>
    </row>
    <row r="170" ht="15.75" customHeight="1">
      <c r="F170" s="100"/>
      <c r="G170" s="100"/>
      <c r="H170" s="100"/>
    </row>
    <row r="171" ht="15.75" customHeight="1">
      <c r="F171" s="100"/>
      <c r="G171" s="100"/>
      <c r="H171" s="100"/>
    </row>
    <row r="172" ht="15.75" customHeight="1">
      <c r="F172" s="100"/>
      <c r="G172" s="100"/>
      <c r="H172" s="100"/>
    </row>
    <row r="173" ht="15.75" customHeight="1">
      <c r="F173" s="100"/>
      <c r="G173" s="100"/>
      <c r="H173" s="100"/>
    </row>
    <row r="174" ht="15.75" customHeight="1">
      <c r="F174" s="100"/>
      <c r="G174" s="100"/>
      <c r="H174" s="100"/>
    </row>
    <row r="175" ht="15.75" customHeight="1">
      <c r="F175" s="100"/>
      <c r="G175" s="100"/>
      <c r="H175" s="100"/>
    </row>
    <row r="176" ht="15.75" customHeight="1">
      <c r="F176" s="100"/>
      <c r="G176" s="100"/>
      <c r="H176" s="100"/>
    </row>
    <row r="177" ht="15.75" customHeight="1">
      <c r="F177" s="100"/>
      <c r="G177" s="100"/>
      <c r="H177" s="100"/>
    </row>
    <row r="178" ht="15.75" customHeight="1">
      <c r="F178" s="100"/>
      <c r="G178" s="100"/>
      <c r="H178" s="100"/>
    </row>
    <row r="179" ht="15.75" customHeight="1">
      <c r="F179" s="100"/>
      <c r="G179" s="100"/>
      <c r="H179" s="100"/>
    </row>
    <row r="180" ht="15.75" customHeight="1">
      <c r="F180" s="100"/>
      <c r="G180" s="100"/>
      <c r="H180" s="100"/>
    </row>
    <row r="181" ht="15.75" customHeight="1">
      <c r="F181" s="100"/>
      <c r="G181" s="100"/>
      <c r="H181" s="100"/>
    </row>
    <row r="182" ht="15.75" customHeight="1">
      <c r="F182" s="100"/>
      <c r="G182" s="100"/>
      <c r="H182" s="100"/>
    </row>
    <row r="183" ht="15.75" customHeight="1">
      <c r="F183" s="100"/>
      <c r="G183" s="100"/>
      <c r="H183" s="100"/>
    </row>
    <row r="184" ht="15.75" customHeight="1">
      <c r="F184" s="100"/>
      <c r="G184" s="100"/>
      <c r="H184" s="100"/>
    </row>
    <row r="185" ht="15.75" customHeight="1">
      <c r="F185" s="100"/>
      <c r="G185" s="100"/>
      <c r="H185" s="100"/>
    </row>
    <row r="186" ht="15.75" customHeight="1">
      <c r="F186" s="100"/>
      <c r="G186" s="100"/>
      <c r="H186" s="100"/>
    </row>
    <row r="187" ht="15.75" customHeight="1">
      <c r="F187" s="100"/>
      <c r="G187" s="100"/>
      <c r="H187" s="100"/>
    </row>
    <row r="188" ht="15.75" customHeight="1">
      <c r="F188" s="100"/>
      <c r="G188" s="100"/>
      <c r="H188" s="100"/>
    </row>
    <row r="189" ht="15.75" customHeight="1">
      <c r="F189" s="100"/>
      <c r="G189" s="100"/>
      <c r="H189" s="100"/>
    </row>
    <row r="190" ht="15.75" customHeight="1">
      <c r="F190" s="100"/>
      <c r="G190" s="100"/>
      <c r="H190" s="100"/>
    </row>
    <row r="191" ht="15.75" customHeight="1">
      <c r="F191" s="100"/>
      <c r="G191" s="100"/>
      <c r="H191" s="100"/>
    </row>
    <row r="192" ht="15.75" customHeight="1">
      <c r="F192" s="100"/>
      <c r="G192" s="100"/>
      <c r="H192" s="100"/>
    </row>
    <row r="193" ht="15.75" customHeight="1">
      <c r="F193" s="100"/>
      <c r="G193" s="100"/>
      <c r="H193" s="100"/>
    </row>
    <row r="194" ht="15.75" customHeight="1">
      <c r="F194" s="100"/>
      <c r="G194" s="100"/>
      <c r="H194" s="100"/>
    </row>
    <row r="195" ht="15.75" customHeight="1">
      <c r="F195" s="100"/>
      <c r="G195" s="100"/>
      <c r="H195" s="100"/>
    </row>
    <row r="196" ht="15.75" customHeight="1">
      <c r="F196" s="100"/>
      <c r="G196" s="100"/>
      <c r="H196" s="100"/>
    </row>
    <row r="197" ht="15.75" customHeight="1">
      <c r="F197" s="100"/>
      <c r="G197" s="100"/>
      <c r="H197" s="100"/>
    </row>
    <row r="198" ht="15.75" customHeight="1">
      <c r="F198" s="100"/>
      <c r="G198" s="100"/>
      <c r="H198" s="100"/>
    </row>
    <row r="199" ht="15.75" customHeight="1">
      <c r="F199" s="100"/>
      <c r="G199" s="100"/>
      <c r="H199" s="100"/>
    </row>
    <row r="200" ht="15.75" customHeight="1">
      <c r="F200" s="100"/>
      <c r="G200" s="100"/>
      <c r="H200" s="100"/>
    </row>
    <row r="201" ht="15.75" customHeight="1">
      <c r="F201" s="100"/>
      <c r="G201" s="100"/>
      <c r="H201" s="100"/>
    </row>
    <row r="202" ht="15.75" customHeight="1">
      <c r="F202" s="100"/>
      <c r="G202" s="100"/>
      <c r="H202" s="100"/>
    </row>
    <row r="203" ht="15.75" customHeight="1">
      <c r="F203" s="100"/>
      <c r="G203" s="100"/>
      <c r="H203" s="100"/>
    </row>
    <row r="204" ht="15.75" customHeight="1">
      <c r="F204" s="100"/>
      <c r="G204" s="100"/>
      <c r="H204" s="100"/>
    </row>
    <row r="205" ht="15.75" customHeight="1">
      <c r="F205" s="100"/>
      <c r="G205" s="100"/>
      <c r="H205" s="100"/>
    </row>
    <row r="206" ht="15.75" customHeight="1">
      <c r="F206" s="100"/>
      <c r="G206" s="100"/>
      <c r="H206" s="100"/>
    </row>
    <row r="207" ht="15.75" customHeight="1">
      <c r="F207" s="100"/>
      <c r="G207" s="100"/>
      <c r="H207" s="100"/>
    </row>
    <row r="208" ht="15.75" customHeight="1">
      <c r="F208" s="100"/>
      <c r="G208" s="100"/>
      <c r="H208" s="100"/>
    </row>
    <row r="209" ht="15.75" customHeight="1">
      <c r="F209" s="100"/>
      <c r="G209" s="100"/>
      <c r="H209" s="100"/>
    </row>
    <row r="210" ht="15.75" customHeight="1">
      <c r="F210" s="100"/>
      <c r="G210" s="100"/>
      <c r="H210" s="100"/>
    </row>
    <row r="211" ht="15.75" customHeight="1">
      <c r="F211" s="100"/>
      <c r="G211" s="100"/>
      <c r="H211" s="100"/>
    </row>
    <row r="212" ht="15.75" customHeight="1">
      <c r="F212" s="100"/>
      <c r="G212" s="100"/>
      <c r="H212" s="100"/>
    </row>
    <row r="213" ht="15.75" customHeight="1">
      <c r="F213" s="100"/>
      <c r="G213" s="100"/>
      <c r="H213" s="100"/>
    </row>
    <row r="214" ht="15.75" customHeight="1">
      <c r="F214" s="100"/>
      <c r="G214" s="100"/>
      <c r="H214" s="100"/>
    </row>
    <row r="215" ht="15.75" customHeight="1">
      <c r="F215" s="100"/>
      <c r="G215" s="100"/>
      <c r="H215" s="100"/>
    </row>
    <row r="216" ht="15.75" customHeight="1">
      <c r="F216" s="100"/>
      <c r="G216" s="100"/>
      <c r="H216" s="100"/>
    </row>
    <row r="217" ht="15.75" customHeight="1">
      <c r="F217" s="100"/>
      <c r="G217" s="100"/>
      <c r="H217" s="100"/>
    </row>
    <row r="218" ht="15.75" customHeight="1">
      <c r="F218" s="100"/>
      <c r="G218" s="100"/>
      <c r="H218" s="100"/>
    </row>
    <row r="219" ht="15.75" customHeight="1">
      <c r="F219" s="100"/>
      <c r="G219" s="100"/>
      <c r="H219" s="100"/>
    </row>
    <row r="220" ht="15.75" customHeight="1">
      <c r="F220" s="100"/>
      <c r="G220" s="100"/>
      <c r="H220" s="100"/>
    </row>
    <row r="221" ht="15.75" customHeight="1">
      <c r="F221" s="100"/>
      <c r="G221" s="100"/>
      <c r="H221" s="100"/>
    </row>
    <row r="222" ht="15.75" customHeight="1">
      <c r="F222" s="100"/>
      <c r="G222" s="100"/>
      <c r="H222" s="100"/>
    </row>
    <row r="223" ht="15.75" customHeight="1">
      <c r="F223" s="100"/>
      <c r="G223" s="100"/>
      <c r="H223" s="100"/>
    </row>
    <row r="224" ht="15.75" customHeight="1">
      <c r="F224" s="100"/>
      <c r="G224" s="100"/>
      <c r="H224" s="100"/>
    </row>
    <row r="225" ht="15.75" customHeight="1">
      <c r="F225" s="100"/>
      <c r="G225" s="100"/>
      <c r="H225" s="100"/>
    </row>
    <row r="226" ht="15.75" customHeight="1">
      <c r="F226" s="100"/>
      <c r="G226" s="100"/>
      <c r="H226" s="100"/>
    </row>
    <row r="227" ht="15.75" customHeight="1">
      <c r="F227" s="100"/>
      <c r="G227" s="100"/>
      <c r="H227" s="100"/>
    </row>
    <row r="228" ht="15.75" customHeight="1">
      <c r="F228" s="100"/>
      <c r="G228" s="100"/>
      <c r="H228" s="100"/>
    </row>
    <row r="229" ht="15.75" customHeight="1">
      <c r="F229" s="100"/>
      <c r="G229" s="100"/>
      <c r="H229" s="100"/>
    </row>
    <row r="230" ht="15.75" customHeight="1">
      <c r="F230" s="100"/>
      <c r="G230" s="100"/>
      <c r="H230" s="100"/>
    </row>
    <row r="231" ht="15.75" customHeight="1">
      <c r="F231" s="100"/>
      <c r="G231" s="100"/>
      <c r="H231" s="100"/>
    </row>
    <row r="232" ht="15.75" customHeight="1">
      <c r="F232" s="100"/>
      <c r="G232" s="100"/>
      <c r="H232" s="100"/>
    </row>
    <row r="233" ht="15.75" customHeight="1">
      <c r="F233" s="100"/>
      <c r="G233" s="100"/>
      <c r="H233" s="100"/>
    </row>
    <row r="234" ht="15.75" customHeight="1">
      <c r="F234" s="100"/>
      <c r="G234" s="100"/>
      <c r="H234" s="100"/>
    </row>
    <row r="235" ht="15.75" customHeight="1">
      <c r="F235" s="100"/>
      <c r="G235" s="100"/>
      <c r="H235" s="100"/>
    </row>
    <row r="236" ht="15.75" customHeight="1">
      <c r="F236" s="100"/>
      <c r="G236" s="100"/>
      <c r="H236" s="100"/>
    </row>
    <row r="237" ht="15.75" customHeight="1">
      <c r="F237" s="100"/>
      <c r="G237" s="100"/>
      <c r="H237" s="100"/>
    </row>
    <row r="238" ht="15.75" customHeight="1">
      <c r="F238" s="100"/>
      <c r="G238" s="100"/>
      <c r="H238" s="100"/>
    </row>
    <row r="239" ht="15.75" customHeight="1">
      <c r="F239" s="100"/>
      <c r="G239" s="100"/>
      <c r="H239" s="100"/>
    </row>
    <row r="240" ht="15.75" customHeight="1">
      <c r="F240" s="100"/>
      <c r="G240" s="100"/>
      <c r="H240" s="100"/>
    </row>
    <row r="241" ht="15.75" customHeight="1">
      <c r="F241" s="100"/>
      <c r="G241" s="100"/>
      <c r="H241" s="100"/>
    </row>
    <row r="242" ht="15.75" customHeight="1">
      <c r="F242" s="100"/>
      <c r="G242" s="100"/>
      <c r="H242" s="100"/>
    </row>
    <row r="243" ht="15.75" customHeight="1">
      <c r="F243" s="100"/>
      <c r="G243" s="100"/>
      <c r="H243" s="100"/>
    </row>
    <row r="244" ht="15.75" customHeight="1">
      <c r="F244" s="100"/>
      <c r="G244" s="100"/>
      <c r="H244" s="100"/>
    </row>
    <row r="245" ht="15.75" customHeight="1">
      <c r="F245" s="100"/>
      <c r="G245" s="100"/>
      <c r="H245" s="100"/>
    </row>
    <row r="246" ht="15.75" customHeight="1">
      <c r="F246" s="100"/>
      <c r="G246" s="100"/>
      <c r="H246" s="100"/>
    </row>
    <row r="247" ht="15.75" customHeight="1">
      <c r="F247" s="100"/>
      <c r="G247" s="100"/>
      <c r="H247" s="100"/>
    </row>
    <row r="248" ht="15.75" customHeight="1">
      <c r="F248" s="100"/>
      <c r="G248" s="100"/>
      <c r="H248" s="100"/>
    </row>
    <row r="249" ht="15.75" customHeight="1">
      <c r="F249" s="100"/>
      <c r="G249" s="100"/>
      <c r="H249" s="100"/>
    </row>
    <row r="250" ht="15.75" customHeight="1">
      <c r="F250" s="100"/>
      <c r="G250" s="100"/>
      <c r="H250" s="100"/>
    </row>
    <row r="251" ht="15.75" customHeight="1">
      <c r="F251" s="100"/>
      <c r="G251" s="100"/>
      <c r="H251" s="100"/>
    </row>
    <row r="252" ht="15.75" customHeight="1">
      <c r="F252" s="100"/>
      <c r="G252" s="100"/>
      <c r="H252" s="100"/>
    </row>
    <row r="253" ht="15.75" customHeight="1">
      <c r="F253" s="100"/>
      <c r="G253" s="100"/>
      <c r="H253" s="100"/>
    </row>
    <row r="254" ht="15.75" customHeight="1">
      <c r="F254" s="100"/>
      <c r="G254" s="100"/>
      <c r="H254" s="100"/>
    </row>
    <row r="255" ht="15.75" customHeight="1">
      <c r="F255" s="100"/>
      <c r="G255" s="100"/>
      <c r="H255" s="100"/>
    </row>
    <row r="256" ht="15.75" customHeight="1">
      <c r="F256" s="100"/>
      <c r="G256" s="100"/>
      <c r="H256" s="100"/>
    </row>
    <row r="257" ht="15.75" customHeight="1">
      <c r="F257" s="100"/>
      <c r="G257" s="100"/>
      <c r="H257" s="100"/>
    </row>
    <row r="258" ht="15.75" customHeight="1">
      <c r="F258" s="100"/>
      <c r="G258" s="100"/>
      <c r="H258" s="100"/>
    </row>
    <row r="259" ht="15.75" customHeight="1">
      <c r="F259" s="100"/>
      <c r="G259" s="100"/>
      <c r="H259" s="100"/>
    </row>
    <row r="260" ht="15.75" customHeight="1">
      <c r="F260" s="100"/>
      <c r="G260" s="100"/>
      <c r="H260" s="100"/>
    </row>
    <row r="261" ht="15.75" customHeight="1">
      <c r="F261" s="100"/>
      <c r="G261" s="100"/>
      <c r="H261" s="100"/>
    </row>
    <row r="262" ht="15.75" customHeight="1">
      <c r="F262" s="100"/>
      <c r="G262" s="100"/>
      <c r="H262" s="100"/>
    </row>
    <row r="263" ht="15.75" customHeight="1">
      <c r="F263" s="100"/>
      <c r="G263" s="100"/>
      <c r="H263" s="100"/>
    </row>
    <row r="264" ht="15.75" customHeight="1">
      <c r="F264" s="100"/>
      <c r="G264" s="100"/>
      <c r="H264" s="100"/>
    </row>
    <row r="265" ht="15.75" customHeight="1">
      <c r="F265" s="100"/>
      <c r="G265" s="100"/>
      <c r="H265" s="100"/>
    </row>
    <row r="266" ht="15.75" customHeight="1">
      <c r="F266" s="100"/>
      <c r="G266" s="100"/>
      <c r="H266" s="100"/>
    </row>
    <row r="267" ht="15.75" customHeight="1">
      <c r="F267" s="100"/>
      <c r="G267" s="100"/>
      <c r="H267" s="100"/>
    </row>
    <row r="268" ht="15.75" customHeight="1">
      <c r="F268" s="100"/>
      <c r="G268" s="100"/>
      <c r="H268" s="100"/>
    </row>
    <row r="269" ht="15.75" customHeight="1">
      <c r="F269" s="100"/>
      <c r="G269" s="100"/>
      <c r="H269" s="100"/>
    </row>
    <row r="270" ht="15.75" customHeight="1">
      <c r="F270" s="100"/>
      <c r="G270" s="100"/>
      <c r="H270" s="100"/>
    </row>
    <row r="271" ht="15.75" customHeight="1">
      <c r="F271" s="100"/>
      <c r="G271" s="100"/>
      <c r="H271" s="100"/>
    </row>
    <row r="272" ht="15.75" customHeight="1">
      <c r="F272" s="100"/>
      <c r="G272" s="100"/>
      <c r="H272" s="100"/>
    </row>
    <row r="273" ht="15.75" customHeight="1">
      <c r="F273" s="100"/>
      <c r="G273" s="100"/>
      <c r="H273" s="100"/>
    </row>
    <row r="274" ht="15.75" customHeight="1">
      <c r="F274" s="100"/>
      <c r="G274" s="100"/>
      <c r="H274" s="100"/>
    </row>
    <row r="275" ht="15.75" customHeight="1">
      <c r="F275" s="100"/>
      <c r="G275" s="100"/>
      <c r="H275" s="100"/>
    </row>
    <row r="276" ht="15.75" customHeight="1">
      <c r="F276" s="100"/>
      <c r="G276" s="100"/>
      <c r="H276" s="100"/>
    </row>
    <row r="277" ht="15.75" customHeight="1">
      <c r="F277" s="100"/>
      <c r="G277" s="100"/>
      <c r="H277" s="100"/>
    </row>
    <row r="278" ht="15.75" customHeight="1">
      <c r="F278" s="100"/>
      <c r="G278" s="100"/>
      <c r="H278" s="100"/>
    </row>
    <row r="279" ht="15.75" customHeight="1">
      <c r="F279" s="100"/>
      <c r="G279" s="100"/>
      <c r="H279" s="100"/>
    </row>
    <row r="280" ht="15.75" customHeight="1">
      <c r="F280" s="100"/>
      <c r="G280" s="100"/>
      <c r="H280" s="100"/>
    </row>
    <row r="281" ht="15.75" customHeight="1">
      <c r="F281" s="100"/>
      <c r="G281" s="100"/>
      <c r="H281" s="100"/>
    </row>
    <row r="282" ht="15.75" customHeight="1">
      <c r="F282" s="100"/>
      <c r="G282" s="100"/>
      <c r="H282" s="100"/>
    </row>
    <row r="283" ht="15.75" customHeight="1">
      <c r="F283" s="100"/>
      <c r="G283" s="100"/>
      <c r="H283" s="100"/>
    </row>
    <row r="284" ht="15.75" customHeight="1">
      <c r="F284" s="100"/>
      <c r="G284" s="100"/>
      <c r="H284" s="100"/>
    </row>
    <row r="285" ht="15.75" customHeight="1">
      <c r="F285" s="100"/>
      <c r="G285" s="100"/>
      <c r="H285" s="100"/>
    </row>
    <row r="286" ht="15.75" customHeight="1">
      <c r="F286" s="100"/>
      <c r="G286" s="100"/>
      <c r="H286" s="100"/>
    </row>
    <row r="287" ht="15.75" customHeight="1">
      <c r="F287" s="100"/>
      <c r="G287" s="100"/>
      <c r="H287" s="100"/>
    </row>
    <row r="288" ht="15.75" customHeight="1">
      <c r="F288" s="100"/>
      <c r="G288" s="100"/>
      <c r="H288" s="100"/>
    </row>
    <row r="289" ht="15.75" customHeight="1">
      <c r="F289" s="100"/>
      <c r="G289" s="100"/>
      <c r="H289" s="100"/>
    </row>
    <row r="290" ht="15.75" customHeight="1">
      <c r="F290" s="100"/>
      <c r="G290" s="100"/>
      <c r="H290" s="100"/>
    </row>
    <row r="291" ht="15.75" customHeight="1">
      <c r="F291" s="100"/>
      <c r="G291" s="100"/>
      <c r="H291" s="100"/>
    </row>
    <row r="292" ht="15.75" customHeight="1">
      <c r="F292" s="100"/>
      <c r="G292" s="100"/>
      <c r="H292" s="100"/>
    </row>
    <row r="293" ht="15.75" customHeight="1">
      <c r="F293" s="100"/>
      <c r="G293" s="100"/>
      <c r="H293" s="100"/>
    </row>
    <row r="294" ht="15.75" customHeight="1">
      <c r="F294" s="100"/>
      <c r="G294" s="100"/>
      <c r="H294" s="100"/>
    </row>
    <row r="295" ht="15.75" customHeight="1">
      <c r="F295" s="100"/>
      <c r="G295" s="100"/>
      <c r="H295" s="100"/>
    </row>
    <row r="296" ht="15.75" customHeight="1">
      <c r="F296" s="100"/>
      <c r="G296" s="100"/>
      <c r="H296" s="100"/>
    </row>
    <row r="297" ht="15.75" customHeight="1">
      <c r="F297" s="100"/>
      <c r="G297" s="100"/>
      <c r="H297" s="100"/>
    </row>
    <row r="298" ht="15.75" customHeight="1">
      <c r="F298" s="100"/>
      <c r="G298" s="100"/>
      <c r="H298" s="100"/>
    </row>
    <row r="299" ht="15.75" customHeight="1">
      <c r="F299" s="100"/>
      <c r="G299" s="100"/>
      <c r="H299" s="100"/>
    </row>
    <row r="300" ht="15.75" customHeight="1">
      <c r="F300" s="100"/>
      <c r="G300" s="100"/>
      <c r="H300" s="100"/>
    </row>
    <row r="301" ht="15.75" customHeight="1">
      <c r="F301" s="100"/>
      <c r="G301" s="100"/>
      <c r="H301" s="100"/>
    </row>
    <row r="302" ht="15.75" customHeight="1">
      <c r="F302" s="100"/>
      <c r="G302" s="100"/>
      <c r="H302" s="100"/>
    </row>
    <row r="303" ht="15.75" customHeight="1">
      <c r="F303" s="100"/>
      <c r="G303" s="100"/>
      <c r="H303" s="100"/>
    </row>
    <row r="304" ht="15.75" customHeight="1">
      <c r="F304" s="100"/>
      <c r="G304" s="100"/>
      <c r="H304" s="100"/>
    </row>
    <row r="305" ht="15.75" customHeight="1">
      <c r="F305" s="100"/>
      <c r="G305" s="100"/>
      <c r="H305" s="100"/>
    </row>
    <row r="306" ht="15.75" customHeight="1">
      <c r="F306" s="100"/>
      <c r="G306" s="100"/>
      <c r="H306" s="100"/>
    </row>
    <row r="307" ht="15.75" customHeight="1">
      <c r="F307" s="100"/>
      <c r="G307" s="100"/>
      <c r="H307" s="100"/>
    </row>
    <row r="308" ht="15.75" customHeight="1">
      <c r="F308" s="100"/>
      <c r="G308" s="100"/>
      <c r="H308" s="100"/>
    </row>
    <row r="309" ht="15.75" customHeight="1">
      <c r="F309" s="100"/>
      <c r="G309" s="100"/>
      <c r="H309" s="100"/>
    </row>
    <row r="310" ht="15.75" customHeight="1">
      <c r="F310" s="100"/>
      <c r="G310" s="100"/>
      <c r="H310" s="100"/>
    </row>
    <row r="311" ht="15.75" customHeight="1">
      <c r="F311" s="100"/>
      <c r="G311" s="100"/>
      <c r="H311" s="100"/>
    </row>
    <row r="312" ht="15.75" customHeight="1">
      <c r="F312" s="100"/>
      <c r="G312" s="100"/>
      <c r="H312" s="100"/>
    </row>
    <row r="313" ht="15.75" customHeight="1">
      <c r="F313" s="100"/>
      <c r="G313" s="100"/>
      <c r="H313" s="100"/>
    </row>
    <row r="314" ht="15.75" customHeight="1">
      <c r="F314" s="100"/>
      <c r="G314" s="100"/>
      <c r="H314" s="100"/>
    </row>
    <row r="315" ht="15.75" customHeight="1">
      <c r="F315" s="100"/>
      <c r="G315" s="100"/>
      <c r="H315" s="100"/>
    </row>
    <row r="316" ht="15.75" customHeight="1">
      <c r="F316" s="100"/>
      <c r="G316" s="100"/>
      <c r="H316" s="100"/>
    </row>
    <row r="317" ht="15.75" customHeight="1">
      <c r="F317" s="100"/>
      <c r="G317" s="100"/>
      <c r="H317" s="100"/>
    </row>
    <row r="318" ht="15.75" customHeight="1">
      <c r="F318" s="100"/>
      <c r="G318" s="100"/>
      <c r="H318" s="100"/>
    </row>
    <row r="319" ht="15.75" customHeight="1">
      <c r="F319" s="100"/>
      <c r="G319" s="100"/>
      <c r="H319" s="100"/>
    </row>
    <row r="320" ht="15.75" customHeight="1">
      <c r="F320" s="100"/>
      <c r="G320" s="100"/>
      <c r="H320" s="100"/>
    </row>
    <row r="321" ht="15.75" customHeight="1">
      <c r="F321" s="100"/>
      <c r="G321" s="100"/>
      <c r="H321" s="100"/>
    </row>
    <row r="322" ht="15.75" customHeight="1">
      <c r="F322" s="100"/>
      <c r="G322" s="100"/>
      <c r="H322" s="100"/>
    </row>
    <row r="323" ht="15.75" customHeight="1">
      <c r="F323" s="100"/>
      <c r="G323" s="100"/>
      <c r="H323" s="100"/>
    </row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I$87"/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 outlineLevelCol="1"/>
  <cols>
    <col customWidth="1" min="1" max="1" width="7.71"/>
    <col customWidth="1" min="2" max="2" width="17.0"/>
    <col customWidth="1" min="3" max="3" width="18.0"/>
    <col customWidth="1" min="4" max="4" width="10.57" outlineLevel="1"/>
    <col customWidth="1" min="5" max="5" width="12.43" outlineLevel="1"/>
    <col customWidth="1" min="6" max="6" width="17.14" outlineLevel="1"/>
    <col customWidth="1" min="7" max="7" width="15.57" outlineLevel="1"/>
    <col customWidth="1" min="8" max="8" width="17.14" outlineLevel="1"/>
    <col customWidth="1" min="9" max="9" width="12.29" outlineLevel="1"/>
    <col customWidth="1" min="10" max="10" width="7.29" outlineLevel="1"/>
    <col customWidth="1" min="11" max="11" width="13.29" outlineLevel="1"/>
    <col customWidth="1" min="12" max="12" width="17.14"/>
    <col customWidth="1" min="13" max="13" width="23.71"/>
    <col customWidth="1" min="14" max="14" width="14.29"/>
    <col customWidth="1" min="15" max="15" width="12.86"/>
    <col customWidth="1" min="16" max="16" width="16.0"/>
    <col customWidth="1" min="17" max="17" width="13.14"/>
    <col customWidth="1" min="18" max="18" width="14.14"/>
    <col customWidth="1" min="19" max="19" width="10.57"/>
    <col customWidth="1" min="20" max="20" width="17.86"/>
    <col customWidth="1" min="21" max="25" width="15.14"/>
    <col customWidth="1" min="26" max="26" width="17.86"/>
    <col customWidth="1" min="27" max="27" width="10.71"/>
    <col customWidth="1" min="28" max="29" width="17.29"/>
  </cols>
  <sheetData>
    <row r="1" ht="14.25" customHeight="1">
      <c r="A1" s="149" t="s">
        <v>695</v>
      </c>
      <c r="B1" s="150" t="s">
        <v>59</v>
      </c>
      <c r="C1" s="150" t="s">
        <v>60</v>
      </c>
      <c r="D1" s="151" t="s">
        <v>61</v>
      </c>
      <c r="E1" s="150" t="s">
        <v>62</v>
      </c>
      <c r="F1" s="152" t="s">
        <v>63</v>
      </c>
      <c r="G1" s="152" t="s">
        <v>64</v>
      </c>
      <c r="H1" s="152" t="s">
        <v>65</v>
      </c>
      <c r="I1" s="153" t="s">
        <v>696</v>
      </c>
      <c r="J1" s="154" t="s">
        <v>697</v>
      </c>
      <c r="K1" s="153" t="s">
        <v>698</v>
      </c>
      <c r="L1" s="152" t="s">
        <v>699</v>
      </c>
      <c r="M1" s="149" t="s">
        <v>66</v>
      </c>
      <c r="N1" s="149" t="s">
        <v>545</v>
      </c>
      <c r="O1" s="155" t="s">
        <v>700</v>
      </c>
      <c r="P1" s="149" t="s">
        <v>701</v>
      </c>
      <c r="Q1" s="149" t="s">
        <v>702</v>
      </c>
      <c r="R1" s="149" t="s">
        <v>703</v>
      </c>
      <c r="S1" s="156" t="s">
        <v>704</v>
      </c>
      <c r="T1" s="156" t="s">
        <v>705</v>
      </c>
      <c r="U1" s="156" t="s">
        <v>706</v>
      </c>
      <c r="V1" s="156" t="s">
        <v>707</v>
      </c>
      <c r="W1" s="156" t="s">
        <v>708</v>
      </c>
      <c r="X1" s="156" t="s">
        <v>709</v>
      </c>
      <c r="Y1" s="156" t="s">
        <v>710</v>
      </c>
      <c r="Z1" s="156" t="s">
        <v>711</v>
      </c>
    </row>
    <row r="2" ht="15.0" customHeight="1">
      <c r="A2" s="157">
        <v>1.0</v>
      </c>
      <c r="B2" s="158" t="s">
        <v>127</v>
      </c>
      <c r="C2" s="158"/>
      <c r="D2" s="159"/>
      <c r="E2" s="157"/>
      <c r="F2" s="160"/>
      <c r="G2" s="160"/>
      <c r="H2" s="160"/>
      <c r="I2" s="160"/>
      <c r="J2" s="161"/>
      <c r="K2" s="160"/>
      <c r="L2" s="160">
        <f>+'FACP$'!$H2-'FACP$'!$I2-'FACP$'!$K2</f>
        <v>0</v>
      </c>
      <c r="M2" s="157"/>
      <c r="N2" s="162" t="s">
        <v>127</v>
      </c>
      <c r="O2" s="163"/>
      <c r="P2" s="164">
        <f t="shared" ref="P2:P29" si="1">D2+10</f>
        <v>10</v>
      </c>
      <c r="Q2" s="165">
        <f t="shared" ref="Q2:Q4542" si="2">IF(N2="CANCELADO",0,IF(N2="PAGADO",0,IF(ISBLANK(N2),TODAY()-P2)))</f>
        <v>0</v>
      </c>
      <c r="R2" s="166"/>
      <c r="S2" s="167"/>
      <c r="T2" s="168">
        <f t="shared" ref="T2:T5805" si="3">IF(ISBLANK(Q2),0,IF(Q2&lt;=0,L2,0))</f>
        <v>0</v>
      </c>
      <c r="U2" s="168">
        <f t="shared" ref="U2:U5805" si="4">IF(ISBLANK(Q2),0,IF(AND(Q2&gt;=1,Q2&lt;=15),L2,0))</f>
        <v>0</v>
      </c>
      <c r="V2" s="168">
        <f t="shared" ref="V2:V5805" si="5">IF(ISBLANK(Q2),0,IF(AND(Q2&gt;=16,Q2&lt;=30),L2,0))</f>
        <v>0</v>
      </c>
      <c r="W2" s="168">
        <f t="shared" ref="W2:W5805" si="6">IF(ISBLANK(Q2),0,IF(AND(Q2&gt;=31,Q2&lt;=45),L2,0))</f>
        <v>0</v>
      </c>
      <c r="X2" s="168">
        <f t="shared" ref="X2:X5805" si="7">IF(ISBLANK(Q2),0,IF(AND(Q2&gt;=46,Q2&lt;=60),L2,0))</f>
        <v>0</v>
      </c>
      <c r="Y2" s="168">
        <f t="shared" ref="Y2:Y5805" si="8">IF(ISBLANK(Q2),0,IF(AND(Q2&gt;=61,Q2&lt;=90),L2,0))</f>
        <v>0</v>
      </c>
      <c r="Z2" s="168">
        <f t="shared" ref="Z2:Z5805" si="9">IF(ISBLANK(Q2),0,IF(Q2&gt;=91,L2,0))</f>
        <v>0</v>
      </c>
    </row>
    <row r="3" ht="15.0" customHeight="1">
      <c r="A3" s="157">
        <v>2.0</v>
      </c>
      <c r="B3" s="169" t="s">
        <v>79</v>
      </c>
      <c r="C3" s="158" t="s">
        <v>87</v>
      </c>
      <c r="D3" s="159">
        <v>43449.0</v>
      </c>
      <c r="E3" s="157" t="s">
        <v>8</v>
      </c>
      <c r="F3" s="160">
        <v>555705.55</v>
      </c>
      <c r="G3" s="160">
        <v>88912.89</v>
      </c>
      <c r="H3" s="160">
        <f t="shared" ref="H3:H22" si="10">F3+G3</f>
        <v>644618.44</v>
      </c>
      <c r="I3" s="160"/>
      <c r="J3" s="161"/>
      <c r="K3" s="160"/>
      <c r="L3" s="160">
        <f>+'FACP$'!$H3-'FACP$'!$I3-'FACP$'!$K3</f>
        <v>644618.44</v>
      </c>
      <c r="M3" s="157" t="s">
        <v>712</v>
      </c>
      <c r="N3" s="162" t="s">
        <v>127</v>
      </c>
      <c r="O3" s="163"/>
      <c r="P3" s="164">
        <f t="shared" si="1"/>
        <v>43459</v>
      </c>
      <c r="Q3" s="165">
        <f t="shared" si="2"/>
        <v>0</v>
      </c>
      <c r="R3" s="166"/>
      <c r="S3" s="167"/>
      <c r="T3" s="168">
        <f t="shared" si="3"/>
        <v>644618.44</v>
      </c>
      <c r="U3" s="168">
        <f t="shared" si="4"/>
        <v>0</v>
      </c>
      <c r="V3" s="168">
        <f t="shared" si="5"/>
        <v>0</v>
      </c>
      <c r="W3" s="168">
        <f t="shared" si="6"/>
        <v>0</v>
      </c>
      <c r="X3" s="168">
        <f t="shared" si="7"/>
        <v>0</v>
      </c>
      <c r="Y3" s="168">
        <f t="shared" si="8"/>
        <v>0</v>
      </c>
      <c r="Z3" s="168">
        <f t="shared" si="9"/>
        <v>0</v>
      </c>
    </row>
    <row r="4" ht="15.0" customHeight="1">
      <c r="A4" s="157">
        <v>3.0</v>
      </c>
      <c r="B4" s="158" t="s">
        <v>82</v>
      </c>
      <c r="C4" s="158" t="s">
        <v>713</v>
      </c>
      <c r="D4" s="159">
        <v>43102.0</v>
      </c>
      <c r="E4" s="157" t="s">
        <v>8</v>
      </c>
      <c r="F4" s="160">
        <v>442812.92</v>
      </c>
      <c r="G4" s="160">
        <v>70850.07</v>
      </c>
      <c r="H4" s="160">
        <f t="shared" si="10"/>
        <v>513662.99</v>
      </c>
      <c r="I4" s="160"/>
      <c r="J4" s="161"/>
      <c r="K4" s="160"/>
      <c r="L4" s="160">
        <f>+'FACP$'!$H4-'FACP$'!$I4-'FACP$'!$K4</f>
        <v>513662.99</v>
      </c>
      <c r="M4" s="157" t="s">
        <v>714</v>
      </c>
      <c r="N4" s="162" t="s">
        <v>127</v>
      </c>
      <c r="O4" s="163"/>
      <c r="P4" s="164">
        <f t="shared" si="1"/>
        <v>43112</v>
      </c>
      <c r="Q4" s="165">
        <f t="shared" si="2"/>
        <v>0</v>
      </c>
      <c r="R4" s="166"/>
      <c r="S4" s="167"/>
      <c r="T4" s="168">
        <f t="shared" si="3"/>
        <v>513662.99</v>
      </c>
      <c r="U4" s="168">
        <f t="shared" si="4"/>
        <v>0</v>
      </c>
      <c r="V4" s="168">
        <f t="shared" si="5"/>
        <v>0</v>
      </c>
      <c r="W4" s="168">
        <f t="shared" si="6"/>
        <v>0</v>
      </c>
      <c r="X4" s="168">
        <f t="shared" si="7"/>
        <v>0</v>
      </c>
      <c r="Y4" s="168">
        <f t="shared" si="8"/>
        <v>0</v>
      </c>
      <c r="Z4" s="168">
        <f t="shared" si="9"/>
        <v>0</v>
      </c>
    </row>
    <row r="5" ht="15.0" customHeight="1">
      <c r="A5" s="157">
        <v>4.0</v>
      </c>
      <c r="B5" s="158" t="s">
        <v>82</v>
      </c>
      <c r="C5" s="158" t="s">
        <v>713</v>
      </c>
      <c r="D5" s="159">
        <v>43452.0</v>
      </c>
      <c r="E5" s="157" t="s">
        <v>8</v>
      </c>
      <c r="F5" s="160">
        <v>442812.92</v>
      </c>
      <c r="G5" s="160">
        <v>70850.07</v>
      </c>
      <c r="H5" s="160">
        <f t="shared" si="10"/>
        <v>513662.99</v>
      </c>
      <c r="I5" s="160"/>
      <c r="J5" s="161"/>
      <c r="K5" s="160"/>
      <c r="L5" s="160">
        <f>+'FACP$'!$H5-'FACP$'!$I5-'FACP$'!$K5</f>
        <v>513662.99</v>
      </c>
      <c r="M5" s="157" t="s">
        <v>714</v>
      </c>
      <c r="N5" s="162" t="s">
        <v>554</v>
      </c>
      <c r="O5" s="163">
        <v>43110.0</v>
      </c>
      <c r="P5" s="164">
        <f t="shared" si="1"/>
        <v>43462</v>
      </c>
      <c r="Q5" s="165">
        <f t="shared" si="2"/>
        <v>0</v>
      </c>
      <c r="R5" s="166"/>
      <c r="S5" s="167"/>
      <c r="T5" s="168">
        <f t="shared" si="3"/>
        <v>513662.99</v>
      </c>
      <c r="U5" s="168">
        <f t="shared" si="4"/>
        <v>0</v>
      </c>
      <c r="V5" s="168">
        <f t="shared" si="5"/>
        <v>0</v>
      </c>
      <c r="W5" s="168">
        <f t="shared" si="6"/>
        <v>0</v>
      </c>
      <c r="X5" s="168">
        <f t="shared" si="7"/>
        <v>0</v>
      </c>
      <c r="Y5" s="168">
        <f t="shared" si="8"/>
        <v>0</v>
      </c>
      <c r="Z5" s="168">
        <f t="shared" si="9"/>
        <v>0</v>
      </c>
    </row>
    <row r="6" ht="15.0" customHeight="1">
      <c r="A6" s="157">
        <v>5.0</v>
      </c>
      <c r="B6" s="169" t="s">
        <v>79</v>
      </c>
      <c r="C6" s="158" t="s">
        <v>715</v>
      </c>
      <c r="D6" s="159">
        <v>43449.0</v>
      </c>
      <c r="E6" s="157" t="s">
        <v>8</v>
      </c>
      <c r="F6" s="160">
        <v>555705.55</v>
      </c>
      <c r="G6" s="160">
        <v>88912.89</v>
      </c>
      <c r="H6" s="160">
        <f t="shared" si="10"/>
        <v>644618.44</v>
      </c>
      <c r="I6" s="160"/>
      <c r="J6" s="161"/>
      <c r="K6" s="160"/>
      <c r="L6" s="160">
        <f>+'FACP$'!$H6-'FACP$'!$I6-'FACP$'!$K6</f>
        <v>644618.44</v>
      </c>
      <c r="M6" s="157" t="s">
        <v>712</v>
      </c>
      <c r="N6" s="162" t="s">
        <v>554</v>
      </c>
      <c r="O6" s="163">
        <v>43138.0</v>
      </c>
      <c r="P6" s="164">
        <f t="shared" si="1"/>
        <v>43459</v>
      </c>
      <c r="Q6" s="165">
        <f t="shared" si="2"/>
        <v>0</v>
      </c>
      <c r="R6" s="166"/>
      <c r="S6" s="167"/>
      <c r="T6" s="168">
        <f t="shared" si="3"/>
        <v>644618.44</v>
      </c>
      <c r="U6" s="168">
        <f t="shared" si="4"/>
        <v>0</v>
      </c>
      <c r="V6" s="168">
        <f t="shared" si="5"/>
        <v>0</v>
      </c>
      <c r="W6" s="168">
        <f t="shared" si="6"/>
        <v>0</v>
      </c>
      <c r="X6" s="168">
        <f t="shared" si="7"/>
        <v>0</v>
      </c>
      <c r="Y6" s="168">
        <f t="shared" si="8"/>
        <v>0</v>
      </c>
      <c r="Z6" s="168">
        <f t="shared" si="9"/>
        <v>0</v>
      </c>
    </row>
    <row r="7" ht="15.0" customHeight="1">
      <c r="A7" s="157">
        <v>6.0</v>
      </c>
      <c r="B7" s="158" t="s">
        <v>716</v>
      </c>
      <c r="C7" s="158" t="s">
        <v>87</v>
      </c>
      <c r="D7" s="159">
        <v>43449.0</v>
      </c>
      <c r="E7" s="157" t="s">
        <v>8</v>
      </c>
      <c r="F7" s="160">
        <v>566053.25</v>
      </c>
      <c r="G7" s="160">
        <v>90568.52</v>
      </c>
      <c r="H7" s="160">
        <f t="shared" si="10"/>
        <v>656621.77</v>
      </c>
      <c r="I7" s="160"/>
      <c r="J7" s="161"/>
      <c r="K7" s="160"/>
      <c r="L7" s="160">
        <f>+'FACP$'!$H7-'FACP$'!$I7-'FACP$'!$K7</f>
        <v>656621.77</v>
      </c>
      <c r="M7" s="157" t="s">
        <v>717</v>
      </c>
      <c r="N7" s="162" t="s">
        <v>127</v>
      </c>
      <c r="O7" s="163">
        <v>43129.0</v>
      </c>
      <c r="P7" s="164">
        <f t="shared" si="1"/>
        <v>43459</v>
      </c>
      <c r="Q7" s="165">
        <f t="shared" si="2"/>
        <v>0</v>
      </c>
      <c r="R7" s="166"/>
      <c r="S7" s="167"/>
      <c r="T7" s="168">
        <f t="shared" si="3"/>
        <v>656621.77</v>
      </c>
      <c r="U7" s="168">
        <f t="shared" si="4"/>
        <v>0</v>
      </c>
      <c r="V7" s="168">
        <f t="shared" si="5"/>
        <v>0</v>
      </c>
      <c r="W7" s="168">
        <f t="shared" si="6"/>
        <v>0</v>
      </c>
      <c r="X7" s="168">
        <f t="shared" si="7"/>
        <v>0</v>
      </c>
      <c r="Y7" s="168">
        <f t="shared" si="8"/>
        <v>0</v>
      </c>
      <c r="Z7" s="168">
        <f t="shared" si="9"/>
        <v>0</v>
      </c>
    </row>
    <row r="8" ht="15.0" customHeight="1">
      <c r="A8" s="157">
        <v>8.0</v>
      </c>
      <c r="B8" s="158" t="s">
        <v>37</v>
      </c>
      <c r="C8" s="158" t="s">
        <v>87</v>
      </c>
      <c r="D8" s="159">
        <v>43435.0</v>
      </c>
      <c r="E8" s="157" t="s">
        <v>8</v>
      </c>
      <c r="F8" s="160">
        <v>1833546.7</v>
      </c>
      <c r="G8" s="160">
        <v>293367.47</v>
      </c>
      <c r="H8" s="160">
        <f t="shared" si="10"/>
        <v>2126914.17</v>
      </c>
      <c r="I8" s="160"/>
      <c r="J8" s="161"/>
      <c r="K8" s="160"/>
      <c r="L8" s="160">
        <f>+'FACP$'!$H8-'FACP$'!$I8-'FACP$'!$K8</f>
        <v>2126914.17</v>
      </c>
      <c r="M8" s="157" t="s">
        <v>718</v>
      </c>
      <c r="N8" s="162" t="s">
        <v>127</v>
      </c>
      <c r="O8" s="163"/>
      <c r="P8" s="164">
        <f t="shared" si="1"/>
        <v>43445</v>
      </c>
      <c r="Q8" s="165">
        <f t="shared" si="2"/>
        <v>0</v>
      </c>
      <c r="R8" s="166"/>
      <c r="S8" s="167"/>
      <c r="T8" s="168">
        <f t="shared" si="3"/>
        <v>2126914.17</v>
      </c>
      <c r="U8" s="168">
        <f t="shared" si="4"/>
        <v>0</v>
      </c>
      <c r="V8" s="168">
        <f t="shared" si="5"/>
        <v>0</v>
      </c>
      <c r="W8" s="168">
        <f t="shared" si="6"/>
        <v>0</v>
      </c>
      <c r="X8" s="168">
        <f t="shared" si="7"/>
        <v>0</v>
      </c>
      <c r="Y8" s="168">
        <f t="shared" si="8"/>
        <v>0</v>
      </c>
      <c r="Z8" s="168">
        <f t="shared" si="9"/>
        <v>0</v>
      </c>
    </row>
    <row r="9" ht="15.0" customHeight="1">
      <c r="A9" s="157">
        <v>10.0</v>
      </c>
      <c r="B9" s="158" t="s">
        <v>103</v>
      </c>
      <c r="C9" s="158" t="s">
        <v>87</v>
      </c>
      <c r="D9" s="159">
        <v>43435.0</v>
      </c>
      <c r="E9" s="157" t="s">
        <v>8</v>
      </c>
      <c r="F9" s="160">
        <v>436017.06</v>
      </c>
      <c r="G9" s="160">
        <v>69762.73</v>
      </c>
      <c r="H9" s="160">
        <f t="shared" si="10"/>
        <v>505779.79</v>
      </c>
      <c r="I9" s="160"/>
      <c r="J9" s="161"/>
      <c r="K9" s="160"/>
      <c r="L9" s="160">
        <f>+'FACP$'!$H9-'FACP$'!$I9-'FACP$'!$K9</f>
        <v>505779.79</v>
      </c>
      <c r="M9" s="157" t="s">
        <v>103</v>
      </c>
      <c r="N9" s="162" t="s">
        <v>554</v>
      </c>
      <c r="O9" s="163">
        <v>43111.0</v>
      </c>
      <c r="P9" s="164">
        <f t="shared" si="1"/>
        <v>43445</v>
      </c>
      <c r="Q9" s="165">
        <f t="shared" si="2"/>
        <v>0</v>
      </c>
      <c r="R9" s="166"/>
      <c r="S9" s="167"/>
      <c r="T9" s="168">
        <f t="shared" si="3"/>
        <v>505779.79</v>
      </c>
      <c r="U9" s="168">
        <f t="shared" si="4"/>
        <v>0</v>
      </c>
      <c r="V9" s="168">
        <f t="shared" si="5"/>
        <v>0</v>
      </c>
      <c r="W9" s="168">
        <f t="shared" si="6"/>
        <v>0</v>
      </c>
      <c r="X9" s="168">
        <f t="shared" si="7"/>
        <v>0</v>
      </c>
      <c r="Y9" s="168">
        <f t="shared" si="8"/>
        <v>0</v>
      </c>
      <c r="Z9" s="168">
        <f t="shared" si="9"/>
        <v>0</v>
      </c>
    </row>
    <row r="10" ht="15.0" customHeight="1">
      <c r="A10" s="157">
        <v>12.0</v>
      </c>
      <c r="B10" s="158" t="s">
        <v>70</v>
      </c>
      <c r="C10" s="158" t="s">
        <v>87</v>
      </c>
      <c r="D10" s="159">
        <v>43449.0</v>
      </c>
      <c r="E10" s="157" t="s">
        <v>8</v>
      </c>
      <c r="F10" s="160">
        <v>505302.0</v>
      </c>
      <c r="G10" s="160">
        <v>80848.32</v>
      </c>
      <c r="H10" s="160">
        <f t="shared" si="10"/>
        <v>586150.32</v>
      </c>
      <c r="I10" s="160"/>
      <c r="J10" s="161"/>
      <c r="K10" s="160"/>
      <c r="L10" s="160">
        <f>+'FACP$'!$H10-'FACP$'!$I10-'FACP$'!$K10</f>
        <v>586150.32</v>
      </c>
      <c r="M10" s="157" t="s">
        <v>719</v>
      </c>
      <c r="N10" s="162" t="s">
        <v>554</v>
      </c>
      <c r="O10" s="163">
        <v>43112.0</v>
      </c>
      <c r="P10" s="164">
        <f t="shared" si="1"/>
        <v>43459</v>
      </c>
      <c r="Q10" s="165">
        <f t="shared" si="2"/>
        <v>0</v>
      </c>
      <c r="R10" s="166"/>
      <c r="S10" s="167"/>
      <c r="T10" s="168">
        <f t="shared" si="3"/>
        <v>586150.32</v>
      </c>
      <c r="U10" s="168">
        <f t="shared" si="4"/>
        <v>0</v>
      </c>
      <c r="V10" s="168">
        <f t="shared" si="5"/>
        <v>0</v>
      </c>
      <c r="W10" s="168">
        <f t="shared" si="6"/>
        <v>0</v>
      </c>
      <c r="X10" s="168">
        <f t="shared" si="7"/>
        <v>0</v>
      </c>
      <c r="Y10" s="168">
        <f t="shared" si="8"/>
        <v>0</v>
      </c>
      <c r="Z10" s="168">
        <f t="shared" si="9"/>
        <v>0</v>
      </c>
    </row>
    <row r="11" ht="15.0" customHeight="1">
      <c r="A11" s="157">
        <v>14.0</v>
      </c>
      <c r="B11" s="158" t="s">
        <v>720</v>
      </c>
      <c r="C11" s="158" t="s">
        <v>87</v>
      </c>
      <c r="D11" s="159">
        <v>43449.0</v>
      </c>
      <c r="E11" s="157" t="s">
        <v>8</v>
      </c>
      <c r="F11" s="160">
        <v>1558014.5</v>
      </c>
      <c r="G11" s="160">
        <v>249282.32</v>
      </c>
      <c r="H11" s="160">
        <f t="shared" si="10"/>
        <v>1807296.82</v>
      </c>
      <c r="I11" s="160"/>
      <c r="J11" s="161"/>
      <c r="K11" s="160"/>
      <c r="L11" s="160">
        <f>+'FACP$'!$H11-'FACP$'!$I11-'FACP$'!$K11</f>
        <v>1807296.82</v>
      </c>
      <c r="M11" s="157" t="s">
        <v>721</v>
      </c>
      <c r="N11" s="162" t="s">
        <v>127</v>
      </c>
      <c r="O11" s="163"/>
      <c r="P11" s="164">
        <f t="shared" si="1"/>
        <v>43459</v>
      </c>
      <c r="Q11" s="165">
        <f t="shared" si="2"/>
        <v>0</v>
      </c>
      <c r="R11" s="166"/>
      <c r="S11" s="167"/>
      <c r="T11" s="168">
        <f t="shared" si="3"/>
        <v>1807296.82</v>
      </c>
      <c r="U11" s="168">
        <f t="shared" si="4"/>
        <v>0</v>
      </c>
      <c r="V11" s="168">
        <f t="shared" si="5"/>
        <v>0</v>
      </c>
      <c r="W11" s="168">
        <f t="shared" si="6"/>
        <v>0</v>
      </c>
      <c r="X11" s="168">
        <f t="shared" si="7"/>
        <v>0</v>
      </c>
      <c r="Y11" s="168">
        <f t="shared" si="8"/>
        <v>0</v>
      </c>
      <c r="Z11" s="168">
        <f t="shared" si="9"/>
        <v>0</v>
      </c>
    </row>
    <row r="12" ht="15.0" customHeight="1">
      <c r="A12" s="157">
        <v>16.0</v>
      </c>
      <c r="B12" s="158" t="s">
        <v>103</v>
      </c>
      <c r="C12" s="158" t="s">
        <v>87</v>
      </c>
      <c r="D12" s="159">
        <v>43449.0</v>
      </c>
      <c r="E12" s="157" t="s">
        <v>8</v>
      </c>
      <c r="F12" s="160">
        <v>595414.43</v>
      </c>
      <c r="G12" s="160">
        <v>95266.31</v>
      </c>
      <c r="H12" s="160">
        <f t="shared" si="10"/>
        <v>690680.74</v>
      </c>
      <c r="I12" s="160"/>
      <c r="J12" s="161"/>
      <c r="K12" s="160"/>
      <c r="L12" s="160">
        <f>+'FACP$'!$H12-'FACP$'!$I12-'FACP$'!$K12</f>
        <v>690680.74</v>
      </c>
      <c r="M12" s="157" t="s">
        <v>103</v>
      </c>
      <c r="N12" s="162" t="s">
        <v>127</v>
      </c>
      <c r="O12" s="163"/>
      <c r="P12" s="164">
        <f t="shared" si="1"/>
        <v>43459</v>
      </c>
      <c r="Q12" s="165">
        <f t="shared" si="2"/>
        <v>0</v>
      </c>
      <c r="R12" s="166"/>
      <c r="S12" s="167"/>
      <c r="T12" s="168">
        <f t="shared" si="3"/>
        <v>690680.74</v>
      </c>
      <c r="U12" s="168">
        <f t="shared" si="4"/>
        <v>0</v>
      </c>
      <c r="V12" s="168">
        <f t="shared" si="5"/>
        <v>0</v>
      </c>
      <c r="W12" s="168">
        <f t="shared" si="6"/>
        <v>0</v>
      </c>
      <c r="X12" s="168">
        <f t="shared" si="7"/>
        <v>0</v>
      </c>
      <c r="Y12" s="168">
        <f t="shared" si="8"/>
        <v>0</v>
      </c>
      <c r="Z12" s="168">
        <f t="shared" si="9"/>
        <v>0</v>
      </c>
    </row>
    <row r="13" ht="15.0" customHeight="1">
      <c r="A13" s="157">
        <v>18.0</v>
      </c>
      <c r="B13" s="170" t="s">
        <v>722</v>
      </c>
      <c r="C13" s="158" t="s">
        <v>87</v>
      </c>
      <c r="D13" s="159">
        <v>43449.0</v>
      </c>
      <c r="E13" s="157" t="s">
        <v>8</v>
      </c>
      <c r="F13" s="160">
        <v>7.7945007375E8</v>
      </c>
      <c r="G13" s="160">
        <v>1.247120118E8</v>
      </c>
      <c r="H13" s="160">
        <f t="shared" si="10"/>
        <v>904162085.6</v>
      </c>
      <c r="I13" s="160"/>
      <c r="J13" s="161"/>
      <c r="K13" s="160"/>
      <c r="L13" s="160">
        <f>+'FACP$'!$H13-'FACP$'!$I13-'FACP$'!$K13</f>
        <v>904162085.6</v>
      </c>
      <c r="M13" s="157" t="s">
        <v>93</v>
      </c>
      <c r="N13" s="162" t="s">
        <v>127</v>
      </c>
      <c r="O13" s="163"/>
      <c r="P13" s="164">
        <f t="shared" si="1"/>
        <v>43459</v>
      </c>
      <c r="Q13" s="165">
        <f t="shared" si="2"/>
        <v>0</v>
      </c>
      <c r="R13" s="166"/>
      <c r="S13" s="171"/>
      <c r="T13" s="168">
        <f t="shared" si="3"/>
        <v>904162085.6</v>
      </c>
      <c r="U13" s="168">
        <f t="shared" si="4"/>
        <v>0</v>
      </c>
      <c r="V13" s="168">
        <f t="shared" si="5"/>
        <v>0</v>
      </c>
      <c r="W13" s="168">
        <f t="shared" si="6"/>
        <v>0</v>
      </c>
      <c r="X13" s="168">
        <f t="shared" si="7"/>
        <v>0</v>
      </c>
      <c r="Y13" s="168">
        <f t="shared" si="8"/>
        <v>0</v>
      </c>
      <c r="Z13" s="168">
        <f t="shared" si="9"/>
        <v>0</v>
      </c>
    </row>
    <row r="14" ht="15.0" customHeight="1">
      <c r="A14" s="157">
        <v>19.0</v>
      </c>
      <c r="B14" s="158" t="s">
        <v>37</v>
      </c>
      <c r="C14" s="158" t="s">
        <v>87</v>
      </c>
      <c r="D14" s="159">
        <v>43435.0</v>
      </c>
      <c r="E14" s="157" t="s">
        <v>8</v>
      </c>
      <c r="F14" s="160">
        <v>1833546.7</v>
      </c>
      <c r="G14" s="160">
        <v>293367.47</v>
      </c>
      <c r="H14" s="160">
        <f t="shared" si="10"/>
        <v>2126914.17</v>
      </c>
      <c r="I14" s="160"/>
      <c r="J14" s="161"/>
      <c r="K14" s="160"/>
      <c r="L14" s="160">
        <f>+'FACP$'!$H14-'FACP$'!$I14-'FACP$'!$K14</f>
        <v>2126914.17</v>
      </c>
      <c r="M14" s="157" t="s">
        <v>718</v>
      </c>
      <c r="N14" s="162" t="s">
        <v>554</v>
      </c>
      <c r="O14" s="163">
        <v>43144.0</v>
      </c>
      <c r="P14" s="164">
        <f t="shared" si="1"/>
        <v>43445</v>
      </c>
      <c r="Q14" s="165">
        <f t="shared" si="2"/>
        <v>0</v>
      </c>
      <c r="R14" s="166"/>
      <c r="S14" s="167"/>
      <c r="T14" s="168">
        <f t="shared" si="3"/>
        <v>2126914.17</v>
      </c>
      <c r="U14" s="168">
        <f t="shared" si="4"/>
        <v>0</v>
      </c>
      <c r="V14" s="168">
        <f t="shared" si="5"/>
        <v>0</v>
      </c>
      <c r="W14" s="168">
        <f t="shared" si="6"/>
        <v>0</v>
      </c>
      <c r="X14" s="168">
        <f t="shared" si="7"/>
        <v>0</v>
      </c>
      <c r="Y14" s="168">
        <f t="shared" si="8"/>
        <v>0</v>
      </c>
      <c r="Z14" s="168">
        <f t="shared" si="9"/>
        <v>0</v>
      </c>
    </row>
    <row r="15" ht="15.0" customHeight="1">
      <c r="A15" s="157">
        <v>21.0</v>
      </c>
      <c r="B15" s="170" t="s">
        <v>722</v>
      </c>
      <c r="C15" s="158" t="s">
        <v>87</v>
      </c>
      <c r="D15" s="159">
        <v>43449.0</v>
      </c>
      <c r="E15" s="157" t="s">
        <v>8</v>
      </c>
      <c r="F15" s="160">
        <v>8027783.47</v>
      </c>
      <c r="G15" s="160">
        <v>1284445.35</v>
      </c>
      <c r="H15" s="160">
        <f t="shared" si="10"/>
        <v>9312228.82</v>
      </c>
      <c r="I15" s="160"/>
      <c r="J15" s="161"/>
      <c r="K15" s="160"/>
      <c r="L15" s="160">
        <f>+'FACP$'!$H15-'FACP$'!$I15-'FACP$'!$K15</f>
        <v>9312228.82</v>
      </c>
      <c r="M15" s="157" t="s">
        <v>93</v>
      </c>
      <c r="N15" s="162" t="s">
        <v>554</v>
      </c>
      <c r="O15" s="163">
        <v>43119.0</v>
      </c>
      <c r="P15" s="164">
        <f t="shared" si="1"/>
        <v>43459</v>
      </c>
      <c r="Q15" s="165">
        <f t="shared" si="2"/>
        <v>0</v>
      </c>
      <c r="R15" s="166"/>
      <c r="S15" s="171"/>
      <c r="T15" s="168">
        <f t="shared" si="3"/>
        <v>9312228.82</v>
      </c>
      <c r="U15" s="168">
        <f t="shared" si="4"/>
        <v>0</v>
      </c>
      <c r="V15" s="168">
        <f t="shared" si="5"/>
        <v>0</v>
      </c>
      <c r="W15" s="168">
        <f t="shared" si="6"/>
        <v>0</v>
      </c>
      <c r="X15" s="168">
        <f t="shared" si="7"/>
        <v>0</v>
      </c>
      <c r="Y15" s="168">
        <f t="shared" si="8"/>
        <v>0</v>
      </c>
      <c r="Z15" s="168">
        <f t="shared" si="9"/>
        <v>0</v>
      </c>
    </row>
    <row r="16" ht="15.0" customHeight="1">
      <c r="A16" s="157">
        <v>21.0</v>
      </c>
      <c r="B16" s="170" t="s">
        <v>722</v>
      </c>
      <c r="C16" s="169" t="s">
        <v>87</v>
      </c>
      <c r="D16" s="159">
        <v>43449.0</v>
      </c>
      <c r="E16" s="162" t="s">
        <v>8</v>
      </c>
      <c r="F16" s="172">
        <v>8027783.47</v>
      </c>
      <c r="G16" s="172">
        <v>1284445.35</v>
      </c>
      <c r="H16" s="160">
        <f t="shared" si="10"/>
        <v>9312228.82</v>
      </c>
      <c r="I16" s="160"/>
      <c r="J16" s="161"/>
      <c r="K16" s="160"/>
      <c r="L16" s="160">
        <f>+'FACP$'!$H16-'FACP$'!$I16-'FACP$'!$K16</f>
        <v>9312228.82</v>
      </c>
      <c r="M16" s="162" t="s">
        <v>93</v>
      </c>
      <c r="N16" s="162" t="s">
        <v>554</v>
      </c>
      <c r="O16" s="163">
        <v>43119.0</v>
      </c>
      <c r="P16" s="164">
        <f t="shared" si="1"/>
        <v>43459</v>
      </c>
      <c r="Q16" s="165">
        <f t="shared" si="2"/>
        <v>0</v>
      </c>
      <c r="R16" s="166"/>
      <c r="S16" s="167"/>
      <c r="T16" s="168">
        <f t="shared" si="3"/>
        <v>9312228.82</v>
      </c>
      <c r="U16" s="168">
        <f t="shared" si="4"/>
        <v>0</v>
      </c>
      <c r="V16" s="168">
        <f t="shared" si="5"/>
        <v>0</v>
      </c>
      <c r="W16" s="168">
        <f t="shared" si="6"/>
        <v>0</v>
      </c>
      <c r="X16" s="168">
        <f t="shared" si="7"/>
        <v>0</v>
      </c>
      <c r="Y16" s="168">
        <f t="shared" si="8"/>
        <v>0</v>
      </c>
      <c r="Z16" s="168">
        <f t="shared" si="9"/>
        <v>0</v>
      </c>
    </row>
    <row r="17" ht="15.0" customHeight="1">
      <c r="A17" s="157">
        <v>22.0</v>
      </c>
      <c r="B17" s="158" t="s">
        <v>37</v>
      </c>
      <c r="C17" s="158" t="s">
        <v>87</v>
      </c>
      <c r="D17" s="159">
        <v>43110.0</v>
      </c>
      <c r="E17" s="162" t="s">
        <v>8</v>
      </c>
      <c r="F17" s="172">
        <v>2258517.1</v>
      </c>
      <c r="G17" s="172">
        <v>361362.74</v>
      </c>
      <c r="H17" s="160">
        <f t="shared" si="10"/>
        <v>2619879.84</v>
      </c>
      <c r="I17" s="160"/>
      <c r="J17" s="161"/>
      <c r="K17" s="160"/>
      <c r="L17" s="160">
        <f>+'FACP$'!$H17-'FACP$'!$I17-'FACP$'!$K17</f>
        <v>2619879.84</v>
      </c>
      <c r="M17" s="162" t="s">
        <v>718</v>
      </c>
      <c r="N17" s="162" t="s">
        <v>554</v>
      </c>
      <c r="O17" s="163">
        <v>43123.0</v>
      </c>
      <c r="P17" s="164">
        <f t="shared" si="1"/>
        <v>43120</v>
      </c>
      <c r="Q17" s="165">
        <f t="shared" si="2"/>
        <v>0</v>
      </c>
      <c r="R17" s="166"/>
      <c r="S17" s="167"/>
      <c r="T17" s="168">
        <f t="shared" si="3"/>
        <v>2619879.84</v>
      </c>
      <c r="U17" s="168">
        <f t="shared" si="4"/>
        <v>0</v>
      </c>
      <c r="V17" s="168">
        <f t="shared" si="5"/>
        <v>0</v>
      </c>
      <c r="W17" s="168">
        <f t="shared" si="6"/>
        <v>0</v>
      </c>
      <c r="X17" s="168">
        <f t="shared" si="7"/>
        <v>0</v>
      </c>
      <c r="Y17" s="168">
        <f t="shared" si="8"/>
        <v>0</v>
      </c>
      <c r="Z17" s="168">
        <f t="shared" si="9"/>
        <v>0</v>
      </c>
    </row>
    <row r="18" ht="15.0" customHeight="1">
      <c r="A18" s="157">
        <v>22.0</v>
      </c>
      <c r="B18" s="169" t="s">
        <v>37</v>
      </c>
      <c r="C18" s="169" t="s">
        <v>87</v>
      </c>
      <c r="D18" s="159">
        <v>43449.0</v>
      </c>
      <c r="E18" s="162" t="s">
        <v>8</v>
      </c>
      <c r="F18" s="172">
        <v>2258517.1</v>
      </c>
      <c r="G18" s="172">
        <v>361362.74</v>
      </c>
      <c r="H18" s="160">
        <f t="shared" si="10"/>
        <v>2619879.84</v>
      </c>
      <c r="I18" s="160"/>
      <c r="J18" s="161"/>
      <c r="K18" s="160"/>
      <c r="L18" s="160">
        <f>+'FACP$'!$H18-'FACP$'!$I18-'FACP$'!$K18</f>
        <v>2619879.84</v>
      </c>
      <c r="M18" s="162" t="s">
        <v>718</v>
      </c>
      <c r="N18" s="162" t="s">
        <v>554</v>
      </c>
      <c r="O18" s="163">
        <v>43123.0</v>
      </c>
      <c r="P18" s="164">
        <f t="shared" si="1"/>
        <v>43459</v>
      </c>
      <c r="Q18" s="165">
        <f t="shared" si="2"/>
        <v>0</v>
      </c>
      <c r="R18" s="166"/>
      <c r="S18" s="167"/>
      <c r="T18" s="168">
        <f t="shared" si="3"/>
        <v>2619879.84</v>
      </c>
      <c r="U18" s="168">
        <f t="shared" si="4"/>
        <v>0</v>
      </c>
      <c r="V18" s="168">
        <f t="shared" si="5"/>
        <v>0</v>
      </c>
      <c r="W18" s="168">
        <f t="shared" si="6"/>
        <v>0</v>
      </c>
      <c r="X18" s="168">
        <f t="shared" si="7"/>
        <v>0</v>
      </c>
      <c r="Y18" s="168">
        <f t="shared" si="8"/>
        <v>0</v>
      </c>
      <c r="Z18" s="168">
        <f t="shared" si="9"/>
        <v>0</v>
      </c>
    </row>
    <row r="19" ht="15.0" customHeight="1">
      <c r="A19" s="157">
        <v>24.0</v>
      </c>
      <c r="B19" s="169" t="s">
        <v>79</v>
      </c>
      <c r="C19" s="169" t="s">
        <v>87</v>
      </c>
      <c r="D19" s="159">
        <v>43465.0</v>
      </c>
      <c r="E19" s="162" t="s">
        <v>8</v>
      </c>
      <c r="F19" s="172">
        <v>688815.17</v>
      </c>
      <c r="G19" s="172">
        <v>110210.43</v>
      </c>
      <c r="H19" s="160">
        <f t="shared" si="10"/>
        <v>799025.6</v>
      </c>
      <c r="I19" s="160"/>
      <c r="J19" s="161"/>
      <c r="K19" s="160"/>
      <c r="L19" s="160">
        <f>+'FACP$'!$H19-'FACP$'!$I19-'FACP$'!$K19</f>
        <v>799025.6</v>
      </c>
      <c r="M19" s="162" t="s">
        <v>712</v>
      </c>
      <c r="N19" s="162" t="s">
        <v>554</v>
      </c>
      <c r="O19" s="163">
        <v>43151.0</v>
      </c>
      <c r="P19" s="164">
        <f t="shared" si="1"/>
        <v>43475</v>
      </c>
      <c r="Q19" s="165">
        <f t="shared" si="2"/>
        <v>0</v>
      </c>
      <c r="R19" s="166"/>
      <c r="S19" s="167"/>
      <c r="T19" s="168">
        <f t="shared" si="3"/>
        <v>799025.6</v>
      </c>
      <c r="U19" s="168">
        <f t="shared" si="4"/>
        <v>0</v>
      </c>
      <c r="V19" s="168">
        <f t="shared" si="5"/>
        <v>0</v>
      </c>
      <c r="W19" s="168">
        <f t="shared" si="6"/>
        <v>0</v>
      </c>
      <c r="X19" s="168">
        <f t="shared" si="7"/>
        <v>0</v>
      </c>
      <c r="Y19" s="168">
        <f t="shared" si="8"/>
        <v>0</v>
      </c>
      <c r="Z19" s="168">
        <f t="shared" si="9"/>
        <v>0</v>
      </c>
    </row>
    <row r="20" ht="15.0" customHeight="1">
      <c r="A20" s="157">
        <v>25.0</v>
      </c>
      <c r="B20" s="158" t="s">
        <v>82</v>
      </c>
      <c r="C20" s="169" t="s">
        <v>713</v>
      </c>
      <c r="D20" s="159">
        <v>43465.0</v>
      </c>
      <c r="E20" s="162" t="s">
        <v>8</v>
      </c>
      <c r="F20" s="172">
        <v>546645.42</v>
      </c>
      <c r="G20" s="172">
        <v>87463.27</v>
      </c>
      <c r="H20" s="160">
        <f t="shared" si="10"/>
        <v>634108.69</v>
      </c>
      <c r="I20" s="160"/>
      <c r="J20" s="161"/>
      <c r="K20" s="160"/>
      <c r="L20" s="160">
        <f>+'FACP$'!$H20-'FACP$'!$I20-'FACP$'!$K20</f>
        <v>634108.69</v>
      </c>
      <c r="M20" s="162" t="s">
        <v>714</v>
      </c>
      <c r="N20" s="162" t="s">
        <v>554</v>
      </c>
      <c r="O20" s="163">
        <v>43118.0</v>
      </c>
      <c r="P20" s="164">
        <f t="shared" si="1"/>
        <v>43475</v>
      </c>
      <c r="Q20" s="165">
        <f t="shared" si="2"/>
        <v>0</v>
      </c>
      <c r="R20" s="166"/>
      <c r="S20" s="167"/>
      <c r="T20" s="168">
        <f t="shared" si="3"/>
        <v>634108.69</v>
      </c>
      <c r="U20" s="168">
        <f t="shared" si="4"/>
        <v>0</v>
      </c>
      <c r="V20" s="168">
        <f t="shared" si="5"/>
        <v>0</v>
      </c>
      <c r="W20" s="168">
        <f t="shared" si="6"/>
        <v>0</v>
      </c>
      <c r="X20" s="168">
        <f t="shared" si="7"/>
        <v>0</v>
      </c>
      <c r="Y20" s="168">
        <f t="shared" si="8"/>
        <v>0</v>
      </c>
      <c r="Z20" s="168">
        <f t="shared" si="9"/>
        <v>0</v>
      </c>
    </row>
    <row r="21" ht="15.0" customHeight="1">
      <c r="A21" s="157">
        <v>26.0</v>
      </c>
      <c r="B21" s="169" t="s">
        <v>103</v>
      </c>
      <c r="C21" s="169" t="s">
        <v>723</v>
      </c>
      <c r="D21" s="159">
        <v>43101.0</v>
      </c>
      <c r="E21" s="157" t="s">
        <v>8</v>
      </c>
      <c r="F21" s="160">
        <v>572228.09</v>
      </c>
      <c r="G21" s="160">
        <v>91556.49</v>
      </c>
      <c r="H21" s="172">
        <f t="shared" si="10"/>
        <v>663784.58</v>
      </c>
      <c r="I21" s="173"/>
      <c r="J21" s="170"/>
      <c r="K21" s="173"/>
      <c r="L21" s="173">
        <f>+'FACP$'!$H21-'FACP$'!$I21-'FACP$'!$K21</f>
        <v>663784.58</v>
      </c>
      <c r="M21" s="157" t="s">
        <v>43</v>
      </c>
      <c r="N21" s="162" t="s">
        <v>554</v>
      </c>
      <c r="O21" s="163"/>
      <c r="P21" s="164">
        <f t="shared" si="1"/>
        <v>43111</v>
      </c>
      <c r="Q21" s="165">
        <f t="shared" si="2"/>
        <v>0</v>
      </c>
      <c r="R21" s="166"/>
      <c r="S21" s="167"/>
      <c r="T21" s="168">
        <f t="shared" si="3"/>
        <v>663784.58</v>
      </c>
      <c r="U21" s="168">
        <f t="shared" si="4"/>
        <v>0</v>
      </c>
      <c r="V21" s="168">
        <f t="shared" si="5"/>
        <v>0</v>
      </c>
      <c r="W21" s="168">
        <f t="shared" si="6"/>
        <v>0</v>
      </c>
      <c r="X21" s="168">
        <f t="shared" si="7"/>
        <v>0</v>
      </c>
      <c r="Y21" s="168">
        <f t="shared" si="8"/>
        <v>0</v>
      </c>
      <c r="Z21" s="168">
        <f t="shared" si="9"/>
        <v>0</v>
      </c>
    </row>
    <row r="22" ht="15.0" customHeight="1">
      <c r="A22" s="157">
        <v>27.0</v>
      </c>
      <c r="B22" s="169" t="s">
        <v>103</v>
      </c>
      <c r="C22" s="158" t="s">
        <v>724</v>
      </c>
      <c r="D22" s="159">
        <v>43101.0</v>
      </c>
      <c r="E22" s="157" t="s">
        <v>8</v>
      </c>
      <c r="F22" s="160"/>
      <c r="G22" s="160"/>
      <c r="H22" s="172">
        <f t="shared" si="10"/>
        <v>0</v>
      </c>
      <c r="I22" s="173"/>
      <c r="J22" s="170"/>
      <c r="K22" s="173"/>
      <c r="L22" s="173">
        <f>+'FACP$'!$H22-'FACP$'!$I22-'FACP$'!$K22</f>
        <v>0</v>
      </c>
      <c r="M22" s="157" t="s">
        <v>43</v>
      </c>
      <c r="N22" s="162" t="s">
        <v>127</v>
      </c>
      <c r="O22" s="163"/>
      <c r="P22" s="164">
        <f t="shared" si="1"/>
        <v>43111</v>
      </c>
      <c r="Q22" s="165">
        <f t="shared" si="2"/>
        <v>0</v>
      </c>
      <c r="R22" s="166"/>
      <c r="S22" s="167"/>
      <c r="T22" s="168">
        <f t="shared" si="3"/>
        <v>0</v>
      </c>
      <c r="U22" s="168">
        <f t="shared" si="4"/>
        <v>0</v>
      </c>
      <c r="V22" s="168">
        <f t="shared" si="5"/>
        <v>0</v>
      </c>
      <c r="W22" s="168">
        <f t="shared" si="6"/>
        <v>0</v>
      </c>
      <c r="X22" s="168">
        <f t="shared" si="7"/>
        <v>0</v>
      </c>
      <c r="Y22" s="168">
        <f t="shared" si="8"/>
        <v>0</v>
      </c>
      <c r="Z22" s="168">
        <f t="shared" si="9"/>
        <v>0</v>
      </c>
    </row>
    <row r="23" ht="15.0" customHeight="1">
      <c r="A23" s="157">
        <v>28.0</v>
      </c>
      <c r="B23" s="158" t="s">
        <v>29</v>
      </c>
      <c r="C23" s="158" t="s">
        <v>724</v>
      </c>
      <c r="D23" s="159">
        <v>43435.0</v>
      </c>
      <c r="E23" s="157" t="s">
        <v>8</v>
      </c>
      <c r="F23" s="160"/>
      <c r="G23" s="160"/>
      <c r="H23" s="160"/>
      <c r="I23" s="160"/>
      <c r="J23" s="161"/>
      <c r="K23" s="160"/>
      <c r="L23" s="160">
        <f>+'FACP$'!$H23-'FACP$'!$I23-'FACP$'!$K23</f>
        <v>0</v>
      </c>
      <c r="M23" s="157" t="s">
        <v>725</v>
      </c>
      <c r="N23" s="162" t="s">
        <v>127</v>
      </c>
      <c r="O23" s="163"/>
      <c r="P23" s="164">
        <f t="shared" si="1"/>
        <v>43445</v>
      </c>
      <c r="Q23" s="165">
        <f t="shared" si="2"/>
        <v>0</v>
      </c>
      <c r="R23" s="166"/>
      <c r="S23" s="167"/>
      <c r="T23" s="168">
        <f t="shared" si="3"/>
        <v>0</v>
      </c>
      <c r="U23" s="168">
        <f t="shared" si="4"/>
        <v>0</v>
      </c>
      <c r="V23" s="168">
        <f t="shared" si="5"/>
        <v>0</v>
      </c>
      <c r="W23" s="168">
        <f t="shared" si="6"/>
        <v>0</v>
      </c>
      <c r="X23" s="168">
        <f t="shared" si="7"/>
        <v>0</v>
      </c>
      <c r="Y23" s="168">
        <f t="shared" si="8"/>
        <v>0</v>
      </c>
      <c r="Z23" s="168">
        <f t="shared" si="9"/>
        <v>0</v>
      </c>
    </row>
    <row r="24" ht="15.0" customHeight="1">
      <c r="A24" s="157">
        <v>30.0</v>
      </c>
      <c r="B24" s="169" t="s">
        <v>726</v>
      </c>
      <c r="C24" s="169" t="s">
        <v>727</v>
      </c>
      <c r="D24" s="159">
        <v>43118.0</v>
      </c>
      <c r="E24" s="162" t="s">
        <v>8</v>
      </c>
      <c r="F24" s="172">
        <v>459000.0</v>
      </c>
      <c r="G24" s="172">
        <v>73440.0</v>
      </c>
      <c r="H24" s="160">
        <f t="shared" ref="H24:H30" si="11">F24+G24</f>
        <v>532440</v>
      </c>
      <c r="I24" s="160"/>
      <c r="J24" s="161"/>
      <c r="K24" s="160"/>
      <c r="L24" s="160">
        <f>+'FACP$'!$H24-'FACP$'!$I24-'FACP$'!$K24</f>
        <v>532440</v>
      </c>
      <c r="M24" s="162" t="s">
        <v>728</v>
      </c>
      <c r="N24" s="162" t="s">
        <v>554</v>
      </c>
      <c r="O24" s="163">
        <v>43139.0</v>
      </c>
      <c r="P24" s="164">
        <f t="shared" si="1"/>
        <v>43128</v>
      </c>
      <c r="Q24" s="165">
        <f t="shared" si="2"/>
        <v>0</v>
      </c>
      <c r="R24" s="166"/>
      <c r="S24" s="167"/>
      <c r="T24" s="168">
        <f t="shared" si="3"/>
        <v>532440</v>
      </c>
      <c r="U24" s="168">
        <f t="shared" si="4"/>
        <v>0</v>
      </c>
      <c r="V24" s="168">
        <f t="shared" si="5"/>
        <v>0</v>
      </c>
      <c r="W24" s="168">
        <f t="shared" si="6"/>
        <v>0</v>
      </c>
      <c r="X24" s="168">
        <f t="shared" si="7"/>
        <v>0</v>
      </c>
      <c r="Y24" s="168">
        <f t="shared" si="8"/>
        <v>0</v>
      </c>
      <c r="Z24" s="168">
        <f t="shared" si="9"/>
        <v>0</v>
      </c>
    </row>
    <row r="25" ht="15.0" customHeight="1">
      <c r="A25" s="157">
        <v>31.0</v>
      </c>
      <c r="B25" s="169" t="s">
        <v>103</v>
      </c>
      <c r="C25" s="169" t="s">
        <v>87</v>
      </c>
      <c r="D25" s="159">
        <v>43118.0</v>
      </c>
      <c r="E25" s="162" t="s">
        <v>8</v>
      </c>
      <c r="F25" s="172">
        <v>595414.43</v>
      </c>
      <c r="G25" s="172">
        <v>95266.31</v>
      </c>
      <c r="H25" s="160">
        <f t="shared" si="11"/>
        <v>690680.74</v>
      </c>
      <c r="I25" s="160"/>
      <c r="J25" s="161"/>
      <c r="K25" s="160"/>
      <c r="L25" s="160">
        <f>+'FACP$'!$H25-'FACP$'!$I25-'FACP$'!$K25</f>
        <v>690680.74</v>
      </c>
      <c r="M25" s="162" t="s">
        <v>103</v>
      </c>
      <c r="N25" s="162" t="s">
        <v>554</v>
      </c>
      <c r="O25" s="163">
        <v>43129.0</v>
      </c>
      <c r="P25" s="164">
        <f t="shared" si="1"/>
        <v>43128</v>
      </c>
      <c r="Q25" s="165">
        <f t="shared" si="2"/>
        <v>0</v>
      </c>
      <c r="R25" s="166"/>
      <c r="S25" s="167"/>
      <c r="T25" s="168">
        <f t="shared" si="3"/>
        <v>690680.74</v>
      </c>
      <c r="U25" s="168">
        <f t="shared" si="4"/>
        <v>0</v>
      </c>
      <c r="V25" s="168">
        <f t="shared" si="5"/>
        <v>0</v>
      </c>
      <c r="W25" s="168">
        <f t="shared" si="6"/>
        <v>0</v>
      </c>
      <c r="X25" s="168">
        <f t="shared" si="7"/>
        <v>0</v>
      </c>
      <c r="Y25" s="168">
        <f t="shared" si="8"/>
        <v>0</v>
      </c>
      <c r="Z25" s="168">
        <f t="shared" si="9"/>
        <v>0</v>
      </c>
    </row>
    <row r="26" ht="15.0" customHeight="1">
      <c r="A26" s="157">
        <v>33.0</v>
      </c>
      <c r="B26" s="170" t="s">
        <v>722</v>
      </c>
      <c r="C26" s="169" t="s">
        <v>87</v>
      </c>
      <c r="D26" s="159">
        <v>43101.0</v>
      </c>
      <c r="E26" s="162" t="s">
        <v>8</v>
      </c>
      <c r="F26" s="172">
        <v>7510825.92</v>
      </c>
      <c r="G26" s="172">
        <v>1201732.14</v>
      </c>
      <c r="H26" s="160">
        <f t="shared" si="11"/>
        <v>8712558.06</v>
      </c>
      <c r="I26" s="160"/>
      <c r="J26" s="161"/>
      <c r="K26" s="160"/>
      <c r="L26" s="160">
        <f>+'FACP$'!$H26-'FACP$'!$I26-'FACP$'!$K26</f>
        <v>8712558.06</v>
      </c>
      <c r="M26" s="162" t="s">
        <v>93</v>
      </c>
      <c r="N26" s="162" t="s">
        <v>554</v>
      </c>
      <c r="O26" s="163">
        <v>43130.0</v>
      </c>
      <c r="P26" s="164">
        <f t="shared" si="1"/>
        <v>43111</v>
      </c>
      <c r="Q26" s="165">
        <f t="shared" si="2"/>
        <v>0</v>
      </c>
      <c r="R26" s="166"/>
      <c r="S26" s="167"/>
      <c r="T26" s="168">
        <f t="shared" si="3"/>
        <v>8712558.06</v>
      </c>
      <c r="U26" s="168">
        <f t="shared" si="4"/>
        <v>0</v>
      </c>
      <c r="V26" s="168">
        <f t="shared" si="5"/>
        <v>0</v>
      </c>
      <c r="W26" s="168">
        <f t="shared" si="6"/>
        <v>0</v>
      </c>
      <c r="X26" s="168">
        <f t="shared" si="7"/>
        <v>0</v>
      </c>
      <c r="Y26" s="168">
        <f t="shared" si="8"/>
        <v>0</v>
      </c>
      <c r="Z26" s="168">
        <f t="shared" si="9"/>
        <v>0</v>
      </c>
    </row>
    <row r="27" ht="15.0" customHeight="1">
      <c r="A27" s="157">
        <v>34.0</v>
      </c>
      <c r="B27" s="169" t="s">
        <v>720</v>
      </c>
      <c r="C27" s="169" t="s">
        <v>87</v>
      </c>
      <c r="D27" s="159">
        <v>43101.0</v>
      </c>
      <c r="E27" s="162" t="s">
        <v>8</v>
      </c>
      <c r="F27" s="172">
        <v>1396286.76</v>
      </c>
      <c r="G27" s="172">
        <v>223405.88</v>
      </c>
      <c r="H27" s="160">
        <f t="shared" si="11"/>
        <v>1619692.64</v>
      </c>
      <c r="I27" s="160"/>
      <c r="J27" s="161"/>
      <c r="K27" s="160"/>
      <c r="L27" s="160">
        <f>+'FACP$'!$H27-'FACP$'!$I27-'FACP$'!$K27</f>
        <v>1619692.64</v>
      </c>
      <c r="M27" s="162" t="s">
        <v>721</v>
      </c>
      <c r="N27" s="162" t="s">
        <v>127</v>
      </c>
      <c r="O27" s="163"/>
      <c r="P27" s="164">
        <f t="shared" si="1"/>
        <v>43111</v>
      </c>
      <c r="Q27" s="165">
        <f t="shared" si="2"/>
        <v>0</v>
      </c>
      <c r="R27" s="166"/>
      <c r="S27" s="167"/>
      <c r="T27" s="168">
        <f t="shared" si="3"/>
        <v>1619692.64</v>
      </c>
      <c r="U27" s="168">
        <f t="shared" si="4"/>
        <v>0</v>
      </c>
      <c r="V27" s="168">
        <f t="shared" si="5"/>
        <v>0</v>
      </c>
      <c r="W27" s="168">
        <f t="shared" si="6"/>
        <v>0</v>
      </c>
      <c r="X27" s="168">
        <f t="shared" si="7"/>
        <v>0</v>
      </c>
      <c r="Y27" s="168">
        <f t="shared" si="8"/>
        <v>0</v>
      </c>
      <c r="Z27" s="168">
        <f t="shared" si="9"/>
        <v>0</v>
      </c>
    </row>
    <row r="28" ht="15.0" customHeight="1">
      <c r="A28" s="157">
        <v>36.0</v>
      </c>
      <c r="B28" s="169" t="s">
        <v>103</v>
      </c>
      <c r="C28" s="169" t="s">
        <v>87</v>
      </c>
      <c r="D28" s="159">
        <v>43118.0</v>
      </c>
      <c r="E28" s="162" t="s">
        <v>8</v>
      </c>
      <c r="F28" s="172">
        <v>576058.96</v>
      </c>
      <c r="G28" s="172">
        <v>92169.43</v>
      </c>
      <c r="H28" s="160">
        <f t="shared" si="11"/>
        <v>668228.39</v>
      </c>
      <c r="I28" s="160"/>
      <c r="J28" s="161"/>
      <c r="K28" s="160"/>
      <c r="L28" s="160">
        <f>+'FACP$'!$H28-'FACP$'!$I28-'FACP$'!$K28</f>
        <v>668228.39</v>
      </c>
      <c r="M28" s="162" t="s">
        <v>103</v>
      </c>
      <c r="N28" s="162" t="s">
        <v>554</v>
      </c>
      <c r="O28" s="163">
        <v>43129.0</v>
      </c>
      <c r="P28" s="164">
        <f t="shared" si="1"/>
        <v>43128</v>
      </c>
      <c r="Q28" s="165">
        <f t="shared" si="2"/>
        <v>0</v>
      </c>
      <c r="R28" s="166"/>
      <c r="S28" s="167"/>
      <c r="T28" s="168">
        <f t="shared" si="3"/>
        <v>668228.39</v>
      </c>
      <c r="U28" s="168">
        <f t="shared" si="4"/>
        <v>0</v>
      </c>
      <c r="V28" s="168">
        <f t="shared" si="5"/>
        <v>0</v>
      </c>
      <c r="W28" s="168">
        <f t="shared" si="6"/>
        <v>0</v>
      </c>
      <c r="X28" s="168">
        <f t="shared" si="7"/>
        <v>0</v>
      </c>
      <c r="Y28" s="168">
        <f t="shared" si="8"/>
        <v>0</v>
      </c>
      <c r="Z28" s="168">
        <f t="shared" si="9"/>
        <v>0</v>
      </c>
    </row>
    <row r="29" ht="15.0" customHeight="1">
      <c r="A29" s="157">
        <v>38.0</v>
      </c>
      <c r="B29" s="169" t="s">
        <v>716</v>
      </c>
      <c r="C29" s="169" t="s">
        <v>729</v>
      </c>
      <c r="D29" s="159">
        <v>43449.0</v>
      </c>
      <c r="E29" s="162" t="s">
        <v>8</v>
      </c>
      <c r="F29" s="172">
        <v>566053.25</v>
      </c>
      <c r="G29" s="172">
        <v>90568.52</v>
      </c>
      <c r="H29" s="160">
        <f t="shared" si="11"/>
        <v>656621.77</v>
      </c>
      <c r="I29" s="160"/>
      <c r="J29" s="161"/>
      <c r="K29" s="160"/>
      <c r="L29" s="160">
        <f>+'FACP$'!$H29-'FACP$'!$I29-'FACP$'!$K29</f>
        <v>656621.77</v>
      </c>
      <c r="M29" s="162" t="s">
        <v>717</v>
      </c>
      <c r="N29" s="162" t="s">
        <v>554</v>
      </c>
      <c r="O29" s="163">
        <v>43129.0</v>
      </c>
      <c r="P29" s="164">
        <f t="shared" si="1"/>
        <v>43459</v>
      </c>
      <c r="Q29" s="165">
        <f t="shared" si="2"/>
        <v>0</v>
      </c>
      <c r="R29" s="166"/>
      <c r="S29" s="167"/>
      <c r="T29" s="168">
        <f t="shared" si="3"/>
        <v>656621.77</v>
      </c>
      <c r="U29" s="168">
        <f t="shared" si="4"/>
        <v>0</v>
      </c>
      <c r="V29" s="168">
        <f t="shared" si="5"/>
        <v>0</v>
      </c>
      <c r="W29" s="168">
        <f t="shared" si="6"/>
        <v>0</v>
      </c>
      <c r="X29" s="168">
        <f t="shared" si="7"/>
        <v>0</v>
      </c>
      <c r="Y29" s="168">
        <f t="shared" si="8"/>
        <v>0</v>
      </c>
      <c r="Z29" s="168">
        <f t="shared" si="9"/>
        <v>0</v>
      </c>
    </row>
    <row r="30" ht="15.0" customHeight="1">
      <c r="A30" s="157">
        <v>100.0</v>
      </c>
      <c r="B30" s="158" t="s">
        <v>19</v>
      </c>
      <c r="C30" s="158" t="s">
        <v>730</v>
      </c>
      <c r="D30" s="159">
        <v>44614.0</v>
      </c>
      <c r="E30" s="157" t="s">
        <v>731</v>
      </c>
      <c r="F30" s="160">
        <v>177790.06</v>
      </c>
      <c r="G30" s="160">
        <v>28446.41</v>
      </c>
      <c r="H30" s="160">
        <f t="shared" si="11"/>
        <v>206236.47</v>
      </c>
      <c r="I30" s="160"/>
      <c r="J30" s="161"/>
      <c r="K30" s="160"/>
      <c r="L30" s="160">
        <f>+'FACP$'!$H30-'FACP$'!$I30-'FACP$'!$K30</f>
        <v>206236.47</v>
      </c>
      <c r="M30" s="162" t="s">
        <v>732</v>
      </c>
      <c r="N30" s="162" t="s">
        <v>554</v>
      </c>
      <c r="O30" s="164">
        <v>44635.0</v>
      </c>
      <c r="P30" s="164">
        <f t="array" ref="P30">XLOOKUP('FACP$'!$B30,'perfil de pagos'!A:A,'perfil de pagos'!B:B)+'FACP$'!$D30</f>
        <v>44624</v>
      </c>
      <c r="Q30" s="165">
        <f t="shared" si="2"/>
        <v>0</v>
      </c>
      <c r="R30" s="167"/>
      <c r="S30" s="167"/>
      <c r="T30" s="168">
        <f t="shared" si="3"/>
        <v>206236.47</v>
      </c>
      <c r="U30" s="168">
        <f t="shared" si="4"/>
        <v>0</v>
      </c>
      <c r="V30" s="168">
        <f t="shared" si="5"/>
        <v>0</v>
      </c>
      <c r="W30" s="168">
        <f t="shared" si="6"/>
        <v>0</v>
      </c>
      <c r="X30" s="168">
        <f t="shared" si="7"/>
        <v>0</v>
      </c>
      <c r="Y30" s="168">
        <f t="shared" si="8"/>
        <v>0</v>
      </c>
      <c r="Z30" s="168">
        <f t="shared" si="9"/>
        <v>0</v>
      </c>
    </row>
    <row r="31" ht="15.0" customHeight="1">
      <c r="A31" s="157">
        <v>103.0</v>
      </c>
      <c r="B31" s="158" t="s">
        <v>27</v>
      </c>
      <c r="C31" s="158" t="s">
        <v>733</v>
      </c>
      <c r="D31" s="159">
        <v>44624.0</v>
      </c>
      <c r="E31" s="157" t="s">
        <v>731</v>
      </c>
      <c r="F31" s="160">
        <v>22977.73</v>
      </c>
      <c r="G31" s="160">
        <v>3676.44</v>
      </c>
      <c r="H31" s="160">
        <f>F31+G31-3268.1</f>
        <v>23386.07</v>
      </c>
      <c r="I31" s="160"/>
      <c r="J31" s="161"/>
      <c r="K31" s="160"/>
      <c r="L31" s="160">
        <f>+'FACP$'!$H31-'FACP$'!$I31-'FACP$'!$K31</f>
        <v>23386.07</v>
      </c>
      <c r="M31" s="162" t="s">
        <v>151</v>
      </c>
      <c r="N31" s="162" t="s">
        <v>554</v>
      </c>
      <c r="O31" s="164">
        <v>44706.0</v>
      </c>
      <c r="P31" s="164">
        <f t="array" ref="P31">XLOOKUP('FACP$'!$B31,'perfil de pagos'!A:A,'perfil de pagos'!B:B)+'FACP$'!$D31</f>
        <v>44654</v>
      </c>
      <c r="Q31" s="165">
        <f t="shared" si="2"/>
        <v>0</v>
      </c>
      <c r="R31" s="167" t="s">
        <v>734</v>
      </c>
      <c r="S31" s="167"/>
      <c r="T31" s="168">
        <f t="shared" si="3"/>
        <v>23386.07</v>
      </c>
      <c r="U31" s="168">
        <f t="shared" si="4"/>
        <v>0</v>
      </c>
      <c r="V31" s="168">
        <f t="shared" si="5"/>
        <v>0</v>
      </c>
      <c r="W31" s="168">
        <f t="shared" si="6"/>
        <v>0</v>
      </c>
      <c r="X31" s="168">
        <f t="shared" si="7"/>
        <v>0</v>
      </c>
      <c r="Y31" s="168">
        <f t="shared" si="8"/>
        <v>0</v>
      </c>
      <c r="Z31" s="168">
        <f t="shared" si="9"/>
        <v>0</v>
      </c>
    </row>
    <row r="32" ht="15.0" customHeight="1">
      <c r="A32" s="157">
        <v>124.0</v>
      </c>
      <c r="B32" s="169" t="s">
        <v>70</v>
      </c>
      <c r="C32" s="169" t="s">
        <v>73</v>
      </c>
      <c r="D32" s="159">
        <v>42010.0</v>
      </c>
      <c r="E32" s="162" t="s">
        <v>8</v>
      </c>
      <c r="F32" s="172">
        <v>159455.5</v>
      </c>
      <c r="G32" s="172">
        <v>25512.88</v>
      </c>
      <c r="H32" s="160">
        <f t="shared" ref="H32:H36" si="12">F32+G32</f>
        <v>184968.38</v>
      </c>
      <c r="I32" s="160"/>
      <c r="J32" s="161"/>
      <c r="K32" s="160"/>
      <c r="L32" s="160">
        <f>+'FACP$'!$H32-'FACP$'!$I32-'FACP$'!$K32</f>
        <v>184968.38</v>
      </c>
      <c r="M32" s="162" t="s">
        <v>719</v>
      </c>
      <c r="N32" s="162" t="s">
        <v>554</v>
      </c>
      <c r="O32" s="163">
        <v>42751.0</v>
      </c>
      <c r="P32" s="164">
        <f t="shared" ref="P32:P2839" si="13">D32+10</f>
        <v>42020</v>
      </c>
      <c r="Q32" s="165">
        <f t="shared" si="2"/>
        <v>0</v>
      </c>
      <c r="R32" s="166"/>
      <c r="S32" s="171"/>
      <c r="T32" s="168">
        <f t="shared" si="3"/>
        <v>184968.38</v>
      </c>
      <c r="U32" s="168">
        <f t="shared" si="4"/>
        <v>0</v>
      </c>
      <c r="V32" s="168">
        <f t="shared" si="5"/>
        <v>0</v>
      </c>
      <c r="W32" s="168">
        <f t="shared" si="6"/>
        <v>0</v>
      </c>
      <c r="X32" s="168">
        <f t="shared" si="7"/>
        <v>0</v>
      </c>
      <c r="Y32" s="168">
        <f t="shared" si="8"/>
        <v>0</v>
      </c>
      <c r="Z32" s="168">
        <f t="shared" si="9"/>
        <v>0</v>
      </c>
    </row>
    <row r="33" ht="15.0" customHeight="1">
      <c r="A33" s="157">
        <v>125.0</v>
      </c>
      <c r="B33" s="169" t="s">
        <v>70</v>
      </c>
      <c r="C33" s="169" t="s">
        <v>735</v>
      </c>
      <c r="D33" s="159">
        <v>42005.0</v>
      </c>
      <c r="E33" s="162" t="s">
        <v>8</v>
      </c>
      <c r="F33" s="172">
        <v>1549168.4</v>
      </c>
      <c r="G33" s="172">
        <v>247866.94</v>
      </c>
      <c r="H33" s="172">
        <f t="shared" si="12"/>
        <v>1797035.34</v>
      </c>
      <c r="I33" s="172"/>
      <c r="J33" s="169"/>
      <c r="K33" s="172"/>
      <c r="L33" s="172">
        <f>+'FACP$'!$H33-'FACP$'!$I33-'FACP$'!$K33</f>
        <v>1797035.34</v>
      </c>
      <c r="M33" s="162" t="s">
        <v>719</v>
      </c>
      <c r="N33" s="162" t="s">
        <v>554</v>
      </c>
      <c r="O33" s="163">
        <v>42751.0</v>
      </c>
      <c r="P33" s="164">
        <f t="shared" si="13"/>
        <v>42015</v>
      </c>
      <c r="Q33" s="165">
        <f t="shared" si="2"/>
        <v>0</v>
      </c>
      <c r="R33" s="166"/>
      <c r="S33" s="167"/>
      <c r="T33" s="168">
        <f t="shared" si="3"/>
        <v>1797035.34</v>
      </c>
      <c r="U33" s="168">
        <f t="shared" si="4"/>
        <v>0</v>
      </c>
      <c r="V33" s="168">
        <f t="shared" si="5"/>
        <v>0</v>
      </c>
      <c r="W33" s="168">
        <f t="shared" si="6"/>
        <v>0</v>
      </c>
      <c r="X33" s="168">
        <f t="shared" si="7"/>
        <v>0</v>
      </c>
      <c r="Y33" s="168">
        <f t="shared" si="8"/>
        <v>0</v>
      </c>
      <c r="Z33" s="168">
        <f t="shared" si="9"/>
        <v>0</v>
      </c>
    </row>
    <row r="34" ht="15.0" customHeight="1">
      <c r="A34" s="157">
        <v>128.0</v>
      </c>
      <c r="B34" s="169" t="s">
        <v>70</v>
      </c>
      <c r="C34" s="169" t="s">
        <v>736</v>
      </c>
      <c r="D34" s="159">
        <v>42036.0</v>
      </c>
      <c r="E34" s="162" t="s">
        <v>8</v>
      </c>
      <c r="F34" s="172">
        <v>1263523.04</v>
      </c>
      <c r="G34" s="172">
        <v>202163.69</v>
      </c>
      <c r="H34" s="172">
        <f t="shared" si="12"/>
        <v>1465686.73</v>
      </c>
      <c r="I34" s="172"/>
      <c r="J34" s="169"/>
      <c r="K34" s="172"/>
      <c r="L34" s="172">
        <f>+'FACP$'!$H34-'FACP$'!$I34-'FACP$'!$K34</f>
        <v>1465686.73</v>
      </c>
      <c r="M34" s="162" t="s">
        <v>719</v>
      </c>
      <c r="N34" s="162" t="s">
        <v>554</v>
      </c>
      <c r="O34" s="163">
        <v>42797.0</v>
      </c>
      <c r="P34" s="164">
        <f t="shared" si="13"/>
        <v>42046</v>
      </c>
      <c r="Q34" s="165">
        <f t="shared" si="2"/>
        <v>0</v>
      </c>
      <c r="R34" s="166"/>
      <c r="S34" s="167"/>
      <c r="T34" s="168">
        <f t="shared" si="3"/>
        <v>1465686.73</v>
      </c>
      <c r="U34" s="168">
        <f t="shared" si="4"/>
        <v>0</v>
      </c>
      <c r="V34" s="168">
        <f t="shared" si="5"/>
        <v>0</v>
      </c>
      <c r="W34" s="168">
        <f t="shared" si="6"/>
        <v>0</v>
      </c>
      <c r="X34" s="168">
        <f t="shared" si="7"/>
        <v>0</v>
      </c>
      <c r="Y34" s="168">
        <f t="shared" si="8"/>
        <v>0</v>
      </c>
      <c r="Z34" s="168">
        <f t="shared" si="9"/>
        <v>0</v>
      </c>
    </row>
    <row r="35" ht="15.0" customHeight="1">
      <c r="A35" s="157">
        <v>134.0</v>
      </c>
      <c r="B35" s="169" t="s">
        <v>70</v>
      </c>
      <c r="C35" s="169" t="s">
        <v>76</v>
      </c>
      <c r="D35" s="174">
        <v>42064.0</v>
      </c>
      <c r="E35" s="162" t="s">
        <v>8</v>
      </c>
      <c r="F35" s="172">
        <v>1227641.29</v>
      </c>
      <c r="G35" s="172">
        <v>196422.61</v>
      </c>
      <c r="H35" s="172">
        <f t="shared" si="12"/>
        <v>1424063.9</v>
      </c>
      <c r="I35" s="172"/>
      <c r="J35" s="169"/>
      <c r="K35" s="172"/>
      <c r="L35" s="172">
        <f>+'FACP$'!$H35-'FACP$'!$I35-'FACP$'!$K35</f>
        <v>1424063.9</v>
      </c>
      <c r="M35" s="162" t="s">
        <v>719</v>
      </c>
      <c r="N35" s="162" t="s">
        <v>554</v>
      </c>
      <c r="O35" s="163">
        <v>42811.0</v>
      </c>
      <c r="P35" s="164">
        <f t="shared" si="13"/>
        <v>42074</v>
      </c>
      <c r="Q35" s="165">
        <f t="shared" si="2"/>
        <v>0</v>
      </c>
      <c r="R35" s="166"/>
      <c r="S35" s="167"/>
      <c r="T35" s="168">
        <f t="shared" si="3"/>
        <v>1424063.9</v>
      </c>
      <c r="U35" s="168">
        <f t="shared" si="4"/>
        <v>0</v>
      </c>
      <c r="V35" s="168">
        <f t="shared" si="5"/>
        <v>0</v>
      </c>
      <c r="W35" s="168">
        <f t="shared" si="6"/>
        <v>0</v>
      </c>
      <c r="X35" s="168">
        <f t="shared" si="7"/>
        <v>0</v>
      </c>
      <c r="Y35" s="168">
        <f t="shared" si="8"/>
        <v>0</v>
      </c>
      <c r="Z35" s="168">
        <f t="shared" si="9"/>
        <v>0</v>
      </c>
    </row>
    <row r="36" ht="15.0" customHeight="1">
      <c r="A36" s="157">
        <v>136.0</v>
      </c>
      <c r="B36" s="169" t="s">
        <v>692</v>
      </c>
      <c r="C36" s="169" t="s">
        <v>737</v>
      </c>
      <c r="D36" s="174">
        <v>42064.0</v>
      </c>
      <c r="E36" s="162" t="s">
        <v>8</v>
      </c>
      <c r="F36" s="172">
        <v>117486.94</v>
      </c>
      <c r="G36" s="172">
        <v>18797.91</v>
      </c>
      <c r="H36" s="172">
        <f t="shared" si="12"/>
        <v>136284.85</v>
      </c>
      <c r="I36" s="172"/>
      <c r="J36" s="169"/>
      <c r="K36" s="172"/>
      <c r="L36" s="172">
        <f>+'FACP$'!$H36-'FACP$'!$I36-'FACP$'!$K36</f>
        <v>136284.85</v>
      </c>
      <c r="M36" s="162" t="s">
        <v>738</v>
      </c>
      <c r="N36" s="162" t="s">
        <v>554</v>
      </c>
      <c r="O36" s="175"/>
      <c r="P36" s="164">
        <f t="shared" si="13"/>
        <v>42074</v>
      </c>
      <c r="Q36" s="165">
        <f t="shared" si="2"/>
        <v>0</v>
      </c>
      <c r="R36" s="166"/>
      <c r="S36" s="167"/>
      <c r="T36" s="168">
        <f t="shared" si="3"/>
        <v>136284.85</v>
      </c>
      <c r="U36" s="168">
        <f t="shared" si="4"/>
        <v>0</v>
      </c>
      <c r="V36" s="168">
        <f t="shared" si="5"/>
        <v>0</v>
      </c>
      <c r="W36" s="168">
        <f t="shared" si="6"/>
        <v>0</v>
      </c>
      <c r="X36" s="168">
        <f t="shared" si="7"/>
        <v>0</v>
      </c>
      <c r="Y36" s="168">
        <f t="shared" si="8"/>
        <v>0</v>
      </c>
      <c r="Z36" s="168">
        <f t="shared" si="9"/>
        <v>0</v>
      </c>
    </row>
    <row r="37" ht="15.0" customHeight="1">
      <c r="A37" s="157">
        <v>138.0</v>
      </c>
      <c r="B37" s="169" t="s">
        <v>692</v>
      </c>
      <c r="C37" s="161" t="s">
        <v>739</v>
      </c>
      <c r="D37" s="174">
        <v>42064.0</v>
      </c>
      <c r="E37" s="157" t="s">
        <v>8</v>
      </c>
      <c r="F37" s="160">
        <v>0.0</v>
      </c>
      <c r="G37" s="160">
        <v>0.0</v>
      </c>
      <c r="H37" s="160">
        <v>0.0</v>
      </c>
      <c r="I37" s="160"/>
      <c r="J37" s="161"/>
      <c r="K37" s="160"/>
      <c r="L37" s="160">
        <f>+'FACP$'!$H37-'FACP$'!$I37-'FACP$'!$K37</f>
        <v>0</v>
      </c>
      <c r="M37" s="157" t="s">
        <v>738</v>
      </c>
      <c r="N37" s="162" t="s">
        <v>127</v>
      </c>
      <c r="O37" s="175"/>
      <c r="P37" s="164">
        <f t="shared" si="13"/>
        <v>42074</v>
      </c>
      <c r="Q37" s="165">
        <f t="shared" si="2"/>
        <v>0</v>
      </c>
      <c r="R37" s="166"/>
      <c r="S37" s="167"/>
      <c r="T37" s="168">
        <f t="shared" si="3"/>
        <v>0</v>
      </c>
      <c r="U37" s="168">
        <f t="shared" si="4"/>
        <v>0</v>
      </c>
      <c r="V37" s="168">
        <f t="shared" si="5"/>
        <v>0</v>
      </c>
      <c r="W37" s="168">
        <f t="shared" si="6"/>
        <v>0</v>
      </c>
      <c r="X37" s="168">
        <f t="shared" si="7"/>
        <v>0</v>
      </c>
      <c r="Y37" s="168">
        <f t="shared" si="8"/>
        <v>0</v>
      </c>
      <c r="Z37" s="168">
        <f t="shared" si="9"/>
        <v>0</v>
      </c>
    </row>
    <row r="38" ht="15.0" customHeight="1">
      <c r="A38" s="157">
        <v>140.0</v>
      </c>
      <c r="B38" s="169" t="s">
        <v>70</v>
      </c>
      <c r="C38" s="169" t="s">
        <v>740</v>
      </c>
      <c r="D38" s="174">
        <v>42095.0</v>
      </c>
      <c r="E38" s="162" t="s">
        <v>8</v>
      </c>
      <c r="F38" s="172">
        <v>893051.23</v>
      </c>
      <c r="G38" s="172">
        <v>142888.2</v>
      </c>
      <c r="H38" s="172">
        <f>F38+G38</f>
        <v>1035939.43</v>
      </c>
      <c r="I38" s="172"/>
      <c r="J38" s="169"/>
      <c r="K38" s="172"/>
      <c r="L38" s="172">
        <f>+'FACP$'!$H38-'FACP$'!$I38-'FACP$'!$K38</f>
        <v>1035939.43</v>
      </c>
      <c r="M38" s="162" t="s">
        <v>719</v>
      </c>
      <c r="N38" s="162" t="s">
        <v>554</v>
      </c>
      <c r="O38" s="163">
        <v>42840.0</v>
      </c>
      <c r="P38" s="164">
        <f t="shared" si="13"/>
        <v>42105</v>
      </c>
      <c r="Q38" s="165">
        <f t="shared" si="2"/>
        <v>0</v>
      </c>
      <c r="R38" s="166"/>
      <c r="S38" s="167"/>
      <c r="T38" s="168">
        <f t="shared" si="3"/>
        <v>1035939.43</v>
      </c>
      <c r="U38" s="168">
        <f t="shared" si="4"/>
        <v>0</v>
      </c>
      <c r="V38" s="168">
        <f t="shared" si="5"/>
        <v>0</v>
      </c>
      <c r="W38" s="168">
        <f t="shared" si="6"/>
        <v>0</v>
      </c>
      <c r="X38" s="168">
        <f t="shared" si="7"/>
        <v>0</v>
      </c>
      <c r="Y38" s="168">
        <f t="shared" si="8"/>
        <v>0</v>
      </c>
      <c r="Z38" s="168">
        <f t="shared" si="9"/>
        <v>0</v>
      </c>
    </row>
    <row r="39" ht="15.0" customHeight="1">
      <c r="A39" s="157">
        <v>142.0</v>
      </c>
      <c r="B39" s="169" t="s">
        <v>692</v>
      </c>
      <c r="C39" s="161" t="s">
        <v>741</v>
      </c>
      <c r="D39" s="174">
        <v>42064.0</v>
      </c>
      <c r="E39" s="157" t="s">
        <v>8</v>
      </c>
      <c r="F39" s="160">
        <v>0.0</v>
      </c>
      <c r="G39" s="160">
        <v>0.0</v>
      </c>
      <c r="H39" s="160">
        <v>0.0</v>
      </c>
      <c r="I39" s="160"/>
      <c r="J39" s="161"/>
      <c r="K39" s="160"/>
      <c r="L39" s="160">
        <f>+'FACP$'!$H39-'FACP$'!$I39-'FACP$'!$K39</f>
        <v>0</v>
      </c>
      <c r="M39" s="157" t="s">
        <v>738</v>
      </c>
      <c r="N39" s="162" t="s">
        <v>127</v>
      </c>
      <c r="O39" s="176"/>
      <c r="P39" s="164">
        <f t="shared" si="13"/>
        <v>42074</v>
      </c>
      <c r="Q39" s="165">
        <f t="shared" si="2"/>
        <v>0</v>
      </c>
      <c r="R39" s="171"/>
      <c r="S39" s="167"/>
      <c r="T39" s="168">
        <f t="shared" si="3"/>
        <v>0</v>
      </c>
      <c r="U39" s="168">
        <f t="shared" si="4"/>
        <v>0</v>
      </c>
      <c r="V39" s="168">
        <f t="shared" si="5"/>
        <v>0</v>
      </c>
      <c r="W39" s="168">
        <f t="shared" si="6"/>
        <v>0</v>
      </c>
      <c r="X39" s="168">
        <f t="shared" si="7"/>
        <v>0</v>
      </c>
      <c r="Y39" s="168">
        <f t="shared" si="8"/>
        <v>0</v>
      </c>
      <c r="Z39" s="168">
        <f t="shared" si="9"/>
        <v>0</v>
      </c>
    </row>
    <row r="40" ht="15.0" customHeight="1">
      <c r="A40" s="157">
        <v>143.0</v>
      </c>
      <c r="B40" s="169" t="s">
        <v>692</v>
      </c>
      <c r="C40" s="169" t="s">
        <v>742</v>
      </c>
      <c r="D40" s="174">
        <v>42064.0</v>
      </c>
      <c r="E40" s="162" t="s">
        <v>8</v>
      </c>
      <c r="F40" s="172">
        <v>384510.83</v>
      </c>
      <c r="G40" s="172">
        <v>61521.73</v>
      </c>
      <c r="H40" s="172">
        <f>F40+G40</f>
        <v>446032.56</v>
      </c>
      <c r="I40" s="172"/>
      <c r="J40" s="169"/>
      <c r="K40" s="172"/>
      <c r="L40" s="172">
        <f>+'FACP$'!$H40-'FACP$'!$I40-'FACP$'!$K40</f>
        <v>446032.56</v>
      </c>
      <c r="M40" s="162" t="s">
        <v>738</v>
      </c>
      <c r="N40" s="162" t="s">
        <v>554</v>
      </c>
      <c r="O40" s="175"/>
      <c r="P40" s="164">
        <f t="shared" si="13"/>
        <v>42074</v>
      </c>
      <c r="Q40" s="165">
        <f t="shared" si="2"/>
        <v>0</v>
      </c>
      <c r="R40" s="166"/>
      <c r="S40" s="167"/>
      <c r="T40" s="168">
        <f t="shared" si="3"/>
        <v>446032.56</v>
      </c>
      <c r="U40" s="168">
        <f t="shared" si="4"/>
        <v>0</v>
      </c>
      <c r="V40" s="168">
        <f t="shared" si="5"/>
        <v>0</v>
      </c>
      <c r="W40" s="168">
        <f t="shared" si="6"/>
        <v>0</v>
      </c>
      <c r="X40" s="168">
        <f t="shared" si="7"/>
        <v>0</v>
      </c>
      <c r="Y40" s="168">
        <f t="shared" si="8"/>
        <v>0</v>
      </c>
      <c r="Z40" s="168">
        <f t="shared" si="9"/>
        <v>0</v>
      </c>
    </row>
    <row r="41" ht="15.0" customHeight="1">
      <c r="A41" s="157">
        <v>147.0</v>
      </c>
      <c r="B41" s="169" t="s">
        <v>692</v>
      </c>
      <c r="C41" s="161" t="s">
        <v>737</v>
      </c>
      <c r="D41" s="174">
        <v>42095.0</v>
      </c>
      <c r="E41" s="157" t="s">
        <v>8</v>
      </c>
      <c r="F41" s="160">
        <v>0.0</v>
      </c>
      <c r="G41" s="160">
        <v>0.0</v>
      </c>
      <c r="H41" s="160">
        <v>0.0</v>
      </c>
      <c r="I41" s="160"/>
      <c r="J41" s="161"/>
      <c r="K41" s="160"/>
      <c r="L41" s="160">
        <f>+'FACP$'!$H41-'FACP$'!$I41-'FACP$'!$K41</f>
        <v>0</v>
      </c>
      <c r="M41" s="157" t="s">
        <v>738</v>
      </c>
      <c r="N41" s="162" t="s">
        <v>127</v>
      </c>
      <c r="O41" s="176"/>
      <c r="P41" s="164">
        <f t="shared" si="13"/>
        <v>42105</v>
      </c>
      <c r="Q41" s="165">
        <f t="shared" si="2"/>
        <v>0</v>
      </c>
      <c r="R41" s="171"/>
      <c r="S41" s="167"/>
      <c r="T41" s="168">
        <f t="shared" si="3"/>
        <v>0</v>
      </c>
      <c r="U41" s="168">
        <f t="shared" si="4"/>
        <v>0</v>
      </c>
      <c r="V41" s="168">
        <f t="shared" si="5"/>
        <v>0</v>
      </c>
      <c r="W41" s="168">
        <f t="shared" si="6"/>
        <v>0</v>
      </c>
      <c r="X41" s="168">
        <f t="shared" si="7"/>
        <v>0</v>
      </c>
      <c r="Y41" s="168">
        <f t="shared" si="8"/>
        <v>0</v>
      </c>
      <c r="Z41" s="168">
        <f t="shared" si="9"/>
        <v>0</v>
      </c>
    </row>
    <row r="42" ht="15.0" customHeight="1">
      <c r="A42" s="157">
        <v>148.0</v>
      </c>
      <c r="B42" s="169" t="s">
        <v>692</v>
      </c>
      <c r="C42" s="169" t="s">
        <v>737</v>
      </c>
      <c r="D42" s="174">
        <v>42095.0</v>
      </c>
      <c r="E42" s="162" t="s">
        <v>8</v>
      </c>
      <c r="F42" s="172">
        <v>253370.81</v>
      </c>
      <c r="G42" s="172">
        <v>40539.33</v>
      </c>
      <c r="H42" s="172">
        <f t="shared" ref="H42:H44" si="14">F42+G42</f>
        <v>293910.14</v>
      </c>
      <c r="I42" s="172"/>
      <c r="J42" s="169"/>
      <c r="K42" s="172"/>
      <c r="L42" s="172">
        <f>+'FACP$'!$H42-'FACP$'!$I42-'FACP$'!$K42</f>
        <v>293910.14</v>
      </c>
      <c r="M42" s="162" t="s">
        <v>738</v>
      </c>
      <c r="N42" s="162" t="s">
        <v>554</v>
      </c>
      <c r="O42" s="175"/>
      <c r="P42" s="164">
        <f t="shared" si="13"/>
        <v>42105</v>
      </c>
      <c r="Q42" s="165">
        <f t="shared" si="2"/>
        <v>0</v>
      </c>
      <c r="R42" s="166"/>
      <c r="S42" s="167"/>
      <c r="T42" s="168">
        <f t="shared" si="3"/>
        <v>293910.14</v>
      </c>
      <c r="U42" s="168">
        <f t="shared" si="4"/>
        <v>0</v>
      </c>
      <c r="V42" s="168">
        <f t="shared" si="5"/>
        <v>0</v>
      </c>
      <c r="W42" s="168">
        <f t="shared" si="6"/>
        <v>0</v>
      </c>
      <c r="X42" s="168">
        <f t="shared" si="7"/>
        <v>0</v>
      </c>
      <c r="Y42" s="168">
        <f t="shared" si="8"/>
        <v>0</v>
      </c>
      <c r="Z42" s="168">
        <f t="shared" si="9"/>
        <v>0</v>
      </c>
    </row>
    <row r="43" ht="15.0" customHeight="1">
      <c r="A43" s="157">
        <v>150.0</v>
      </c>
      <c r="B43" s="169" t="s">
        <v>692</v>
      </c>
      <c r="C43" s="169" t="s">
        <v>737</v>
      </c>
      <c r="D43" s="174">
        <v>42095.0</v>
      </c>
      <c r="E43" s="162" t="s">
        <v>8</v>
      </c>
      <c r="F43" s="172">
        <v>283539.2</v>
      </c>
      <c r="G43" s="172">
        <v>45366.27</v>
      </c>
      <c r="H43" s="172">
        <f t="shared" si="14"/>
        <v>328905.47</v>
      </c>
      <c r="I43" s="172"/>
      <c r="J43" s="169"/>
      <c r="K43" s="172"/>
      <c r="L43" s="172">
        <f>+'FACP$'!$H43-'FACP$'!$I43-'FACP$'!$K43</f>
        <v>328905.47</v>
      </c>
      <c r="M43" s="162" t="s">
        <v>738</v>
      </c>
      <c r="N43" s="162" t="s">
        <v>554</v>
      </c>
      <c r="O43" s="175"/>
      <c r="P43" s="164">
        <f t="shared" si="13"/>
        <v>42105</v>
      </c>
      <c r="Q43" s="165">
        <f t="shared" si="2"/>
        <v>0</v>
      </c>
      <c r="R43" s="166"/>
      <c r="S43" s="167"/>
      <c r="T43" s="168">
        <f t="shared" si="3"/>
        <v>328905.47</v>
      </c>
      <c r="U43" s="168">
        <f t="shared" si="4"/>
        <v>0</v>
      </c>
      <c r="V43" s="168">
        <f t="shared" si="5"/>
        <v>0</v>
      </c>
      <c r="W43" s="168">
        <f t="shared" si="6"/>
        <v>0</v>
      </c>
      <c r="X43" s="168">
        <f t="shared" si="7"/>
        <v>0</v>
      </c>
      <c r="Y43" s="168">
        <f t="shared" si="8"/>
        <v>0</v>
      </c>
      <c r="Z43" s="168">
        <f t="shared" si="9"/>
        <v>0</v>
      </c>
    </row>
    <row r="44" ht="15.0" customHeight="1">
      <c r="A44" s="157">
        <v>151.0</v>
      </c>
      <c r="B44" s="169" t="s">
        <v>70</v>
      </c>
      <c r="C44" s="169" t="s">
        <v>743</v>
      </c>
      <c r="D44" s="159">
        <v>42125.0</v>
      </c>
      <c r="E44" s="162" t="s">
        <v>8</v>
      </c>
      <c r="F44" s="172">
        <v>553777.2</v>
      </c>
      <c r="G44" s="172">
        <v>88604.35</v>
      </c>
      <c r="H44" s="172">
        <f t="shared" si="14"/>
        <v>642381.55</v>
      </c>
      <c r="I44" s="172"/>
      <c r="J44" s="169"/>
      <c r="K44" s="172"/>
      <c r="L44" s="172">
        <f>+'FACP$'!$H44-'FACP$'!$I44-'FACP$'!$K44</f>
        <v>642381.55</v>
      </c>
      <c r="M44" s="162" t="s">
        <v>719</v>
      </c>
      <c r="N44" s="162" t="s">
        <v>554</v>
      </c>
      <c r="O44" s="163">
        <v>42874.0</v>
      </c>
      <c r="P44" s="164">
        <f t="shared" si="13"/>
        <v>42135</v>
      </c>
      <c r="Q44" s="165">
        <f t="shared" si="2"/>
        <v>0</v>
      </c>
      <c r="R44" s="166"/>
      <c r="S44" s="167"/>
      <c r="T44" s="168">
        <f t="shared" si="3"/>
        <v>642381.55</v>
      </c>
      <c r="U44" s="168">
        <f t="shared" si="4"/>
        <v>0</v>
      </c>
      <c r="V44" s="168">
        <f t="shared" si="5"/>
        <v>0</v>
      </c>
      <c r="W44" s="168">
        <f t="shared" si="6"/>
        <v>0</v>
      </c>
      <c r="X44" s="168">
        <f t="shared" si="7"/>
        <v>0</v>
      </c>
      <c r="Y44" s="168">
        <f t="shared" si="8"/>
        <v>0</v>
      </c>
      <c r="Z44" s="168">
        <f t="shared" si="9"/>
        <v>0</v>
      </c>
    </row>
    <row r="45" ht="15.0" customHeight="1">
      <c r="A45" s="157">
        <v>154.0</v>
      </c>
      <c r="B45" s="169" t="s">
        <v>692</v>
      </c>
      <c r="C45" s="177" t="s">
        <v>737</v>
      </c>
      <c r="D45" s="174">
        <v>42125.0</v>
      </c>
      <c r="E45" s="178" t="s">
        <v>8</v>
      </c>
      <c r="F45" s="179">
        <v>0.0</v>
      </c>
      <c r="G45" s="179">
        <v>0.0</v>
      </c>
      <c r="H45" s="160">
        <v>0.0</v>
      </c>
      <c r="I45" s="179"/>
      <c r="J45" s="177"/>
      <c r="K45" s="179"/>
      <c r="L45" s="179">
        <f>+'FACP$'!$H45-'FACP$'!$I45-'FACP$'!$K45</f>
        <v>0</v>
      </c>
      <c r="M45" s="178" t="s">
        <v>738</v>
      </c>
      <c r="N45" s="162" t="s">
        <v>127</v>
      </c>
      <c r="O45" s="176">
        <v>42144.0</v>
      </c>
      <c r="P45" s="164">
        <f t="shared" si="13"/>
        <v>42135</v>
      </c>
      <c r="Q45" s="165">
        <f t="shared" si="2"/>
        <v>0</v>
      </c>
      <c r="R45" s="180"/>
      <c r="S45" s="167"/>
      <c r="T45" s="168">
        <f t="shared" si="3"/>
        <v>0</v>
      </c>
      <c r="U45" s="168">
        <f t="shared" si="4"/>
        <v>0</v>
      </c>
      <c r="V45" s="168">
        <f t="shared" si="5"/>
        <v>0</v>
      </c>
      <c r="W45" s="168">
        <f t="shared" si="6"/>
        <v>0</v>
      </c>
      <c r="X45" s="168">
        <f t="shared" si="7"/>
        <v>0</v>
      </c>
      <c r="Y45" s="168">
        <f t="shared" si="8"/>
        <v>0</v>
      </c>
      <c r="Z45" s="168">
        <f t="shared" si="9"/>
        <v>0</v>
      </c>
    </row>
    <row r="46" ht="15.0" customHeight="1">
      <c r="A46" s="157">
        <v>156.0</v>
      </c>
      <c r="B46" s="169" t="s">
        <v>692</v>
      </c>
      <c r="C46" s="170" t="s">
        <v>737</v>
      </c>
      <c r="D46" s="174">
        <v>42125.0</v>
      </c>
      <c r="E46" s="181" t="s">
        <v>8</v>
      </c>
      <c r="F46" s="173">
        <v>318377.87</v>
      </c>
      <c r="G46" s="173">
        <f t="shared" ref="G46:G47" si="15">+F46*0.16</f>
        <v>50940.4592</v>
      </c>
      <c r="H46" s="172">
        <f t="shared" ref="H46:H47" si="16">F46+G46</f>
        <v>369318.3292</v>
      </c>
      <c r="I46" s="173"/>
      <c r="J46" s="170"/>
      <c r="K46" s="173"/>
      <c r="L46" s="173">
        <f>+'FACP$'!$H46-'FACP$'!$I46-'FACP$'!$K46</f>
        <v>369318.3292</v>
      </c>
      <c r="M46" s="181" t="s">
        <v>738</v>
      </c>
      <c r="N46" s="162" t="s">
        <v>554</v>
      </c>
      <c r="O46" s="182">
        <v>42144.0</v>
      </c>
      <c r="P46" s="164">
        <f t="shared" si="13"/>
        <v>42135</v>
      </c>
      <c r="Q46" s="165">
        <f t="shared" si="2"/>
        <v>0</v>
      </c>
      <c r="R46" s="183"/>
      <c r="S46" s="167"/>
      <c r="T46" s="168">
        <f t="shared" si="3"/>
        <v>369318.3292</v>
      </c>
      <c r="U46" s="168">
        <f t="shared" si="4"/>
        <v>0</v>
      </c>
      <c r="V46" s="168">
        <f t="shared" si="5"/>
        <v>0</v>
      </c>
      <c r="W46" s="168">
        <f t="shared" si="6"/>
        <v>0</v>
      </c>
      <c r="X46" s="168">
        <f t="shared" si="7"/>
        <v>0</v>
      </c>
      <c r="Y46" s="168">
        <f t="shared" si="8"/>
        <v>0</v>
      </c>
      <c r="Z46" s="168">
        <f t="shared" si="9"/>
        <v>0</v>
      </c>
    </row>
    <row r="47" ht="15.0" customHeight="1">
      <c r="A47" s="157">
        <v>157.0</v>
      </c>
      <c r="B47" s="170" t="s">
        <v>744</v>
      </c>
      <c r="C47" s="170" t="s">
        <v>745</v>
      </c>
      <c r="D47" s="174">
        <v>42125.0</v>
      </c>
      <c r="E47" s="181" t="s">
        <v>8</v>
      </c>
      <c r="F47" s="173">
        <v>5650000.0</v>
      </c>
      <c r="G47" s="173">
        <f t="shared" si="15"/>
        <v>904000</v>
      </c>
      <c r="H47" s="172">
        <f t="shared" si="16"/>
        <v>6554000</v>
      </c>
      <c r="I47" s="173"/>
      <c r="J47" s="170"/>
      <c r="K47" s="173"/>
      <c r="L47" s="173">
        <f>+'FACP$'!$H47-'FACP$'!$I47-'FACP$'!$K47</f>
        <v>6554000</v>
      </c>
      <c r="M47" s="181" t="s">
        <v>746</v>
      </c>
      <c r="N47" s="162" t="s">
        <v>554</v>
      </c>
      <c r="O47" s="184"/>
      <c r="P47" s="164">
        <f t="shared" si="13"/>
        <v>42135</v>
      </c>
      <c r="Q47" s="165">
        <f t="shared" si="2"/>
        <v>0</v>
      </c>
      <c r="R47" s="183"/>
      <c r="S47" s="167"/>
      <c r="T47" s="168">
        <f t="shared" si="3"/>
        <v>6554000</v>
      </c>
      <c r="U47" s="168">
        <f t="shared" si="4"/>
        <v>0</v>
      </c>
      <c r="V47" s="168">
        <f t="shared" si="5"/>
        <v>0</v>
      </c>
      <c r="W47" s="168">
        <f t="shared" si="6"/>
        <v>0</v>
      </c>
      <c r="X47" s="168">
        <f t="shared" si="7"/>
        <v>0</v>
      </c>
      <c r="Y47" s="168">
        <f t="shared" si="8"/>
        <v>0</v>
      </c>
      <c r="Z47" s="168">
        <f t="shared" si="9"/>
        <v>0</v>
      </c>
    </row>
    <row r="48" ht="15.0" customHeight="1">
      <c r="A48" s="157">
        <v>158.0</v>
      </c>
      <c r="B48" s="169" t="s">
        <v>70</v>
      </c>
      <c r="C48" s="177" t="s">
        <v>747</v>
      </c>
      <c r="D48" s="174">
        <v>42156.0</v>
      </c>
      <c r="E48" s="178" t="s">
        <v>8</v>
      </c>
      <c r="F48" s="179">
        <v>0.0</v>
      </c>
      <c r="G48" s="179">
        <v>0.0</v>
      </c>
      <c r="H48" s="160">
        <v>0.0</v>
      </c>
      <c r="I48" s="179"/>
      <c r="J48" s="177"/>
      <c r="K48" s="179"/>
      <c r="L48" s="179">
        <f>+'FACP$'!$H48-'FACP$'!$I48-'FACP$'!$K48</f>
        <v>0</v>
      </c>
      <c r="M48" s="157" t="s">
        <v>719</v>
      </c>
      <c r="N48" s="162" t="s">
        <v>127</v>
      </c>
      <c r="O48" s="184"/>
      <c r="P48" s="164">
        <f t="shared" si="13"/>
        <v>42166</v>
      </c>
      <c r="Q48" s="165">
        <f t="shared" si="2"/>
        <v>0</v>
      </c>
      <c r="R48" s="183"/>
      <c r="S48" s="167"/>
      <c r="T48" s="168">
        <f t="shared" si="3"/>
        <v>0</v>
      </c>
      <c r="U48" s="168">
        <f t="shared" si="4"/>
        <v>0</v>
      </c>
      <c r="V48" s="168">
        <f t="shared" si="5"/>
        <v>0</v>
      </c>
      <c r="W48" s="168">
        <f t="shared" si="6"/>
        <v>0</v>
      </c>
      <c r="X48" s="168">
        <f t="shared" si="7"/>
        <v>0</v>
      </c>
      <c r="Y48" s="168">
        <f t="shared" si="8"/>
        <v>0</v>
      </c>
      <c r="Z48" s="168">
        <f t="shared" si="9"/>
        <v>0</v>
      </c>
    </row>
    <row r="49" ht="15.0" customHeight="1">
      <c r="A49" s="157">
        <v>161.0</v>
      </c>
      <c r="B49" s="169" t="s">
        <v>692</v>
      </c>
      <c r="C49" s="170" t="s">
        <v>737</v>
      </c>
      <c r="D49" s="174">
        <v>42125.0</v>
      </c>
      <c r="E49" s="181" t="s">
        <v>8</v>
      </c>
      <c r="F49" s="173">
        <v>256808.19</v>
      </c>
      <c r="G49" s="173">
        <f t="shared" ref="G49:G52" si="17">+F49*0.16</f>
        <v>41089.3104</v>
      </c>
      <c r="H49" s="172">
        <f t="shared" ref="H49:H52" si="18">F49+G49</f>
        <v>297897.5004</v>
      </c>
      <c r="I49" s="173"/>
      <c r="J49" s="170"/>
      <c r="K49" s="173"/>
      <c r="L49" s="173">
        <f>+'FACP$'!$H49-'FACP$'!$I49-'FACP$'!$K49</f>
        <v>297897.5004</v>
      </c>
      <c r="M49" s="181" t="s">
        <v>738</v>
      </c>
      <c r="N49" s="162" t="s">
        <v>554</v>
      </c>
      <c r="O49" s="185"/>
      <c r="P49" s="164">
        <f t="shared" si="13"/>
        <v>42135</v>
      </c>
      <c r="Q49" s="165">
        <f t="shared" si="2"/>
        <v>0</v>
      </c>
      <c r="R49" s="183"/>
      <c r="S49" s="167"/>
      <c r="T49" s="168">
        <f t="shared" si="3"/>
        <v>297897.5004</v>
      </c>
      <c r="U49" s="168">
        <f t="shared" si="4"/>
        <v>0</v>
      </c>
      <c r="V49" s="168">
        <f t="shared" si="5"/>
        <v>0</v>
      </c>
      <c r="W49" s="168">
        <f t="shared" si="6"/>
        <v>0</v>
      </c>
      <c r="X49" s="168">
        <f t="shared" si="7"/>
        <v>0</v>
      </c>
      <c r="Y49" s="168">
        <f t="shared" si="8"/>
        <v>0</v>
      </c>
      <c r="Z49" s="168">
        <f t="shared" si="9"/>
        <v>0</v>
      </c>
    </row>
    <row r="50" ht="15.0" customHeight="1">
      <c r="A50" s="157">
        <v>162.0</v>
      </c>
      <c r="B50" s="169" t="s">
        <v>70</v>
      </c>
      <c r="C50" s="169" t="s">
        <v>748</v>
      </c>
      <c r="D50" s="159">
        <v>42156.0</v>
      </c>
      <c r="E50" s="162" t="s">
        <v>8</v>
      </c>
      <c r="F50" s="172">
        <v>425889.1</v>
      </c>
      <c r="G50" s="172">
        <f t="shared" si="17"/>
        <v>68142.256</v>
      </c>
      <c r="H50" s="172">
        <f t="shared" si="18"/>
        <v>494031.356</v>
      </c>
      <c r="I50" s="172"/>
      <c r="J50" s="169"/>
      <c r="K50" s="172"/>
      <c r="L50" s="172">
        <f>+'FACP$'!$H50-'FACP$'!$I50-'FACP$'!$K50</f>
        <v>494031.356</v>
      </c>
      <c r="M50" s="162" t="s">
        <v>719</v>
      </c>
      <c r="N50" s="162" t="s">
        <v>554</v>
      </c>
      <c r="O50" s="184">
        <v>42901.0</v>
      </c>
      <c r="P50" s="164">
        <f t="shared" si="13"/>
        <v>42166</v>
      </c>
      <c r="Q50" s="165">
        <f t="shared" si="2"/>
        <v>0</v>
      </c>
      <c r="R50" s="183"/>
      <c r="S50" s="167"/>
      <c r="T50" s="168">
        <f t="shared" si="3"/>
        <v>494031.356</v>
      </c>
      <c r="U50" s="168">
        <f t="shared" si="4"/>
        <v>0</v>
      </c>
      <c r="V50" s="168">
        <f t="shared" si="5"/>
        <v>0</v>
      </c>
      <c r="W50" s="168">
        <f t="shared" si="6"/>
        <v>0</v>
      </c>
      <c r="X50" s="168">
        <f t="shared" si="7"/>
        <v>0</v>
      </c>
      <c r="Y50" s="168">
        <f t="shared" si="8"/>
        <v>0</v>
      </c>
      <c r="Z50" s="168">
        <f t="shared" si="9"/>
        <v>0</v>
      </c>
    </row>
    <row r="51" ht="15.0" customHeight="1">
      <c r="A51" s="157">
        <v>165.0</v>
      </c>
      <c r="B51" s="169" t="s">
        <v>692</v>
      </c>
      <c r="C51" s="170" t="s">
        <v>737</v>
      </c>
      <c r="D51" s="159">
        <v>42156.0</v>
      </c>
      <c r="E51" s="181" t="s">
        <v>8</v>
      </c>
      <c r="F51" s="173">
        <v>421014.88</v>
      </c>
      <c r="G51" s="173">
        <f t="shared" si="17"/>
        <v>67362.3808</v>
      </c>
      <c r="H51" s="172">
        <f t="shared" si="18"/>
        <v>488377.2608</v>
      </c>
      <c r="I51" s="173"/>
      <c r="J51" s="170"/>
      <c r="K51" s="173"/>
      <c r="L51" s="173">
        <f>+'FACP$'!$H51-'FACP$'!$I51-'FACP$'!$K51</f>
        <v>488377.2608</v>
      </c>
      <c r="M51" s="181" t="s">
        <v>738</v>
      </c>
      <c r="N51" s="162" t="s">
        <v>554</v>
      </c>
      <c r="O51" s="175"/>
      <c r="P51" s="164">
        <f t="shared" si="13"/>
        <v>42166</v>
      </c>
      <c r="Q51" s="165">
        <f t="shared" si="2"/>
        <v>0</v>
      </c>
      <c r="R51" s="166"/>
      <c r="S51" s="167"/>
      <c r="T51" s="168">
        <f t="shared" si="3"/>
        <v>488377.2608</v>
      </c>
      <c r="U51" s="168">
        <f t="shared" si="4"/>
        <v>0</v>
      </c>
      <c r="V51" s="168">
        <f t="shared" si="5"/>
        <v>0</v>
      </c>
      <c r="W51" s="168">
        <f t="shared" si="6"/>
        <v>0</v>
      </c>
      <c r="X51" s="168">
        <f t="shared" si="7"/>
        <v>0</v>
      </c>
      <c r="Y51" s="168">
        <f t="shared" si="8"/>
        <v>0</v>
      </c>
      <c r="Z51" s="168">
        <f t="shared" si="9"/>
        <v>0</v>
      </c>
    </row>
    <row r="52" ht="15.0" customHeight="1">
      <c r="A52" s="157">
        <v>167.0</v>
      </c>
      <c r="B52" s="169" t="s">
        <v>692</v>
      </c>
      <c r="C52" s="170" t="s">
        <v>737</v>
      </c>
      <c r="D52" s="159">
        <v>42156.0</v>
      </c>
      <c r="E52" s="181" t="s">
        <v>8</v>
      </c>
      <c r="F52" s="173">
        <v>2578017.74</v>
      </c>
      <c r="G52" s="173">
        <f t="shared" si="17"/>
        <v>412482.8384</v>
      </c>
      <c r="H52" s="172">
        <f t="shared" si="18"/>
        <v>2990500.578</v>
      </c>
      <c r="I52" s="173"/>
      <c r="J52" s="170"/>
      <c r="K52" s="173"/>
      <c r="L52" s="173">
        <f>+'FACP$'!$H52-'FACP$'!$I52-'FACP$'!$K52</f>
        <v>2990500.578</v>
      </c>
      <c r="M52" s="181" t="s">
        <v>749</v>
      </c>
      <c r="N52" s="162" t="s">
        <v>554</v>
      </c>
      <c r="O52" s="175"/>
      <c r="P52" s="164">
        <f t="shared" si="13"/>
        <v>42166</v>
      </c>
      <c r="Q52" s="165">
        <f t="shared" si="2"/>
        <v>0</v>
      </c>
      <c r="R52" s="166"/>
      <c r="S52" s="167"/>
      <c r="T52" s="168">
        <f t="shared" si="3"/>
        <v>2990500.578</v>
      </c>
      <c r="U52" s="168">
        <f t="shared" si="4"/>
        <v>0</v>
      </c>
      <c r="V52" s="168">
        <f t="shared" si="5"/>
        <v>0</v>
      </c>
      <c r="W52" s="168">
        <f t="shared" si="6"/>
        <v>0</v>
      </c>
      <c r="X52" s="168">
        <f t="shared" si="7"/>
        <v>0</v>
      </c>
      <c r="Y52" s="168">
        <f t="shared" si="8"/>
        <v>0</v>
      </c>
      <c r="Z52" s="168">
        <f t="shared" si="9"/>
        <v>0</v>
      </c>
    </row>
    <row r="53" ht="15.0" customHeight="1">
      <c r="A53" s="157">
        <v>168.0</v>
      </c>
      <c r="B53" s="169" t="s">
        <v>692</v>
      </c>
      <c r="C53" s="177" t="s">
        <v>737</v>
      </c>
      <c r="D53" s="159">
        <v>42156.0</v>
      </c>
      <c r="E53" s="178" t="s">
        <v>8</v>
      </c>
      <c r="F53" s="179">
        <v>0.0</v>
      </c>
      <c r="G53" s="179">
        <v>0.0</v>
      </c>
      <c r="H53" s="160">
        <v>0.0</v>
      </c>
      <c r="I53" s="179"/>
      <c r="J53" s="177"/>
      <c r="K53" s="179"/>
      <c r="L53" s="179">
        <f>+'FACP$'!$H53-'FACP$'!$I53-'FACP$'!$K53</f>
        <v>0</v>
      </c>
      <c r="M53" s="178" t="s">
        <v>738</v>
      </c>
      <c r="N53" s="162" t="s">
        <v>127</v>
      </c>
      <c r="O53" s="175"/>
      <c r="P53" s="164">
        <f t="shared" si="13"/>
        <v>42166</v>
      </c>
      <c r="Q53" s="165">
        <f t="shared" si="2"/>
        <v>0</v>
      </c>
      <c r="R53" s="166"/>
      <c r="S53" s="167"/>
      <c r="T53" s="168">
        <f t="shared" si="3"/>
        <v>0</v>
      </c>
      <c r="U53" s="168">
        <f t="shared" si="4"/>
        <v>0</v>
      </c>
      <c r="V53" s="168">
        <f t="shared" si="5"/>
        <v>0</v>
      </c>
      <c r="W53" s="168">
        <f t="shared" si="6"/>
        <v>0</v>
      </c>
      <c r="X53" s="168">
        <f t="shared" si="7"/>
        <v>0</v>
      </c>
      <c r="Y53" s="168">
        <f t="shared" si="8"/>
        <v>0</v>
      </c>
      <c r="Z53" s="168">
        <f t="shared" si="9"/>
        <v>0</v>
      </c>
    </row>
    <row r="54" ht="15.0" customHeight="1">
      <c r="A54" s="157">
        <v>169.0</v>
      </c>
      <c r="B54" s="169" t="s">
        <v>692</v>
      </c>
      <c r="C54" s="177" t="s">
        <v>737</v>
      </c>
      <c r="D54" s="159">
        <v>42156.0</v>
      </c>
      <c r="E54" s="178" t="s">
        <v>8</v>
      </c>
      <c r="F54" s="179">
        <v>0.0</v>
      </c>
      <c r="G54" s="179">
        <v>0.0</v>
      </c>
      <c r="H54" s="160">
        <v>0.0</v>
      </c>
      <c r="I54" s="179"/>
      <c r="J54" s="177"/>
      <c r="K54" s="179"/>
      <c r="L54" s="179">
        <f>+'FACP$'!$H54-'FACP$'!$I54-'FACP$'!$K54</f>
        <v>0</v>
      </c>
      <c r="M54" s="178" t="s">
        <v>738</v>
      </c>
      <c r="N54" s="162" t="s">
        <v>127</v>
      </c>
      <c r="O54" s="175"/>
      <c r="P54" s="164">
        <f t="shared" si="13"/>
        <v>42166</v>
      </c>
      <c r="Q54" s="165">
        <f t="shared" si="2"/>
        <v>0</v>
      </c>
      <c r="R54" s="166"/>
      <c r="S54" s="167"/>
      <c r="T54" s="168">
        <f t="shared" si="3"/>
        <v>0</v>
      </c>
      <c r="U54" s="168">
        <f t="shared" si="4"/>
        <v>0</v>
      </c>
      <c r="V54" s="168">
        <f t="shared" si="5"/>
        <v>0</v>
      </c>
      <c r="W54" s="168">
        <f t="shared" si="6"/>
        <v>0</v>
      </c>
      <c r="X54" s="168">
        <f t="shared" si="7"/>
        <v>0</v>
      </c>
      <c r="Y54" s="168">
        <f t="shared" si="8"/>
        <v>0</v>
      </c>
      <c r="Z54" s="168">
        <f t="shared" si="9"/>
        <v>0</v>
      </c>
    </row>
    <row r="55" ht="15.0" customHeight="1">
      <c r="A55" s="157">
        <v>170.0</v>
      </c>
      <c r="B55" s="169" t="s">
        <v>692</v>
      </c>
      <c r="C55" s="177" t="s">
        <v>737</v>
      </c>
      <c r="D55" s="159">
        <v>42156.0</v>
      </c>
      <c r="E55" s="178" t="s">
        <v>8</v>
      </c>
      <c r="F55" s="179">
        <v>0.0</v>
      </c>
      <c r="G55" s="179">
        <v>0.0</v>
      </c>
      <c r="H55" s="160">
        <v>0.0</v>
      </c>
      <c r="I55" s="179"/>
      <c r="J55" s="177"/>
      <c r="K55" s="179"/>
      <c r="L55" s="179">
        <f>+'FACP$'!$H55-'FACP$'!$I55-'FACP$'!$K55</f>
        <v>0</v>
      </c>
      <c r="M55" s="178" t="s">
        <v>738</v>
      </c>
      <c r="N55" s="162" t="s">
        <v>127</v>
      </c>
      <c r="O55" s="175"/>
      <c r="P55" s="164">
        <f t="shared" si="13"/>
        <v>42166</v>
      </c>
      <c r="Q55" s="165">
        <f t="shared" si="2"/>
        <v>0</v>
      </c>
      <c r="R55" s="166"/>
      <c r="S55" s="167"/>
      <c r="T55" s="168">
        <f t="shared" si="3"/>
        <v>0</v>
      </c>
      <c r="U55" s="168">
        <f t="shared" si="4"/>
        <v>0</v>
      </c>
      <c r="V55" s="168">
        <f t="shared" si="5"/>
        <v>0</v>
      </c>
      <c r="W55" s="168">
        <f t="shared" si="6"/>
        <v>0</v>
      </c>
      <c r="X55" s="168">
        <f t="shared" si="7"/>
        <v>0</v>
      </c>
      <c r="Y55" s="168">
        <f t="shared" si="8"/>
        <v>0</v>
      </c>
      <c r="Z55" s="168">
        <f t="shared" si="9"/>
        <v>0</v>
      </c>
    </row>
    <row r="56" ht="15.0" customHeight="1">
      <c r="A56" s="157">
        <v>171.0</v>
      </c>
      <c r="B56" s="169" t="s">
        <v>692</v>
      </c>
      <c r="C56" s="177" t="s">
        <v>737</v>
      </c>
      <c r="D56" s="159">
        <v>42156.0</v>
      </c>
      <c r="E56" s="178" t="s">
        <v>8</v>
      </c>
      <c r="F56" s="179">
        <v>0.0</v>
      </c>
      <c r="G56" s="179">
        <v>0.0</v>
      </c>
      <c r="H56" s="160">
        <v>0.0</v>
      </c>
      <c r="I56" s="179"/>
      <c r="J56" s="177"/>
      <c r="K56" s="179"/>
      <c r="L56" s="179">
        <f>+'FACP$'!$H56-'FACP$'!$I56-'FACP$'!$K56</f>
        <v>0</v>
      </c>
      <c r="M56" s="178" t="s">
        <v>738</v>
      </c>
      <c r="N56" s="162" t="s">
        <v>127</v>
      </c>
      <c r="O56" s="175"/>
      <c r="P56" s="164">
        <f t="shared" si="13"/>
        <v>42166</v>
      </c>
      <c r="Q56" s="165">
        <f t="shared" si="2"/>
        <v>0</v>
      </c>
      <c r="R56" s="166"/>
      <c r="S56" s="167"/>
      <c r="T56" s="168">
        <f t="shared" si="3"/>
        <v>0</v>
      </c>
      <c r="U56" s="168">
        <f t="shared" si="4"/>
        <v>0</v>
      </c>
      <c r="V56" s="168">
        <f t="shared" si="5"/>
        <v>0</v>
      </c>
      <c r="W56" s="168">
        <f t="shared" si="6"/>
        <v>0</v>
      </c>
      <c r="X56" s="168">
        <f t="shared" si="7"/>
        <v>0</v>
      </c>
      <c r="Y56" s="168">
        <f t="shared" si="8"/>
        <v>0</v>
      </c>
      <c r="Z56" s="168">
        <f t="shared" si="9"/>
        <v>0</v>
      </c>
    </row>
    <row r="57" ht="15.0" customHeight="1">
      <c r="A57" s="157">
        <v>172.0</v>
      </c>
      <c r="B57" s="169" t="s">
        <v>692</v>
      </c>
      <c r="C57" s="170" t="s">
        <v>737</v>
      </c>
      <c r="D57" s="159">
        <v>42156.0</v>
      </c>
      <c r="E57" s="181" t="s">
        <v>8</v>
      </c>
      <c r="F57" s="173">
        <v>836828.02</v>
      </c>
      <c r="G57" s="173">
        <f t="shared" ref="G57:G95" si="19">+F57*0.16</f>
        <v>133892.4832</v>
      </c>
      <c r="H57" s="172">
        <f>F58+G58</f>
        <v>673875.3084</v>
      </c>
      <c r="I57" s="173"/>
      <c r="J57" s="170"/>
      <c r="K57" s="173"/>
      <c r="L57" s="173">
        <f>+'FACP$'!$H57-'FACP$'!$I57-'FACP$'!$K57</f>
        <v>673875.3084</v>
      </c>
      <c r="M57" s="181" t="s">
        <v>738</v>
      </c>
      <c r="N57" s="162" t="s">
        <v>554</v>
      </c>
      <c r="O57" s="175"/>
      <c r="P57" s="164">
        <f t="shared" si="13"/>
        <v>42166</v>
      </c>
      <c r="Q57" s="165">
        <f t="shared" si="2"/>
        <v>0</v>
      </c>
      <c r="R57" s="166"/>
      <c r="S57" s="167"/>
      <c r="T57" s="168">
        <f t="shared" si="3"/>
        <v>673875.3084</v>
      </c>
      <c r="U57" s="168">
        <f t="shared" si="4"/>
        <v>0</v>
      </c>
      <c r="V57" s="168">
        <f t="shared" si="5"/>
        <v>0</v>
      </c>
      <c r="W57" s="168">
        <f t="shared" si="6"/>
        <v>0</v>
      </c>
      <c r="X57" s="168">
        <f t="shared" si="7"/>
        <v>0</v>
      </c>
      <c r="Y57" s="168">
        <f t="shared" si="8"/>
        <v>0</v>
      </c>
      <c r="Z57" s="168">
        <f t="shared" si="9"/>
        <v>0</v>
      </c>
    </row>
    <row r="58" ht="15.0" customHeight="1">
      <c r="A58" s="157">
        <v>174.0</v>
      </c>
      <c r="B58" s="169" t="s">
        <v>692</v>
      </c>
      <c r="C58" s="170" t="s">
        <v>737</v>
      </c>
      <c r="D58" s="159">
        <v>42186.0</v>
      </c>
      <c r="E58" s="181" t="s">
        <v>8</v>
      </c>
      <c r="F58" s="173">
        <v>580926.99</v>
      </c>
      <c r="G58" s="173">
        <f t="shared" si="19"/>
        <v>92948.3184</v>
      </c>
      <c r="H58" s="172">
        <f t="shared" ref="H58:H59" si="20">F58+G58</f>
        <v>673875.3084</v>
      </c>
      <c r="I58" s="173"/>
      <c r="J58" s="170"/>
      <c r="K58" s="173"/>
      <c r="L58" s="173">
        <f>+'FACP$'!$H58-'FACP$'!$I58-'FACP$'!$K58</f>
        <v>673875.3084</v>
      </c>
      <c r="M58" s="181" t="s">
        <v>738</v>
      </c>
      <c r="N58" s="162" t="s">
        <v>554</v>
      </c>
      <c r="O58" s="175"/>
      <c r="P58" s="164">
        <f t="shared" si="13"/>
        <v>42196</v>
      </c>
      <c r="Q58" s="165">
        <f t="shared" si="2"/>
        <v>0</v>
      </c>
      <c r="R58" s="166"/>
      <c r="S58" s="167"/>
      <c r="T58" s="168">
        <f t="shared" si="3"/>
        <v>673875.3084</v>
      </c>
      <c r="U58" s="168">
        <f t="shared" si="4"/>
        <v>0</v>
      </c>
      <c r="V58" s="168">
        <f t="shared" si="5"/>
        <v>0</v>
      </c>
      <c r="W58" s="168">
        <f t="shared" si="6"/>
        <v>0</v>
      </c>
      <c r="X58" s="168">
        <f t="shared" si="7"/>
        <v>0</v>
      </c>
      <c r="Y58" s="168">
        <f t="shared" si="8"/>
        <v>0</v>
      </c>
      <c r="Z58" s="168">
        <f t="shared" si="9"/>
        <v>0</v>
      </c>
    </row>
    <row r="59" ht="15.0" customHeight="1">
      <c r="A59" s="157">
        <v>175.0</v>
      </c>
      <c r="B59" s="169" t="s">
        <v>692</v>
      </c>
      <c r="C59" s="170" t="s">
        <v>737</v>
      </c>
      <c r="D59" s="159">
        <v>42186.0</v>
      </c>
      <c r="E59" s="181" t="s">
        <v>8</v>
      </c>
      <c r="F59" s="173">
        <v>4383233.14</v>
      </c>
      <c r="G59" s="173">
        <f t="shared" si="19"/>
        <v>701317.3024</v>
      </c>
      <c r="H59" s="172">
        <f t="shared" si="20"/>
        <v>5084550.442</v>
      </c>
      <c r="I59" s="173"/>
      <c r="J59" s="170"/>
      <c r="K59" s="173"/>
      <c r="L59" s="173">
        <f>+'FACP$'!$H59-'FACP$'!$I59-'FACP$'!$K59</f>
        <v>5084550.442</v>
      </c>
      <c r="M59" s="181" t="s">
        <v>749</v>
      </c>
      <c r="N59" s="162" t="s">
        <v>554</v>
      </c>
      <c r="O59" s="175"/>
      <c r="P59" s="164">
        <f t="shared" si="13"/>
        <v>42196</v>
      </c>
      <c r="Q59" s="165">
        <f t="shared" si="2"/>
        <v>0</v>
      </c>
      <c r="R59" s="166"/>
      <c r="S59" s="167"/>
      <c r="T59" s="168">
        <f t="shared" si="3"/>
        <v>5084550.442</v>
      </c>
      <c r="U59" s="168">
        <f t="shared" si="4"/>
        <v>0</v>
      </c>
      <c r="V59" s="168">
        <f t="shared" si="5"/>
        <v>0</v>
      </c>
      <c r="W59" s="168">
        <f t="shared" si="6"/>
        <v>0</v>
      </c>
      <c r="X59" s="168">
        <f t="shared" si="7"/>
        <v>0</v>
      </c>
      <c r="Y59" s="168">
        <f t="shared" si="8"/>
        <v>0</v>
      </c>
      <c r="Z59" s="168">
        <f t="shared" si="9"/>
        <v>0</v>
      </c>
    </row>
    <row r="60" ht="15.0" customHeight="1">
      <c r="A60" s="157">
        <v>176.0</v>
      </c>
      <c r="B60" s="169" t="s">
        <v>70</v>
      </c>
      <c r="C60" s="169" t="s">
        <v>750</v>
      </c>
      <c r="D60" s="186">
        <v>42171.0</v>
      </c>
      <c r="E60" s="162" t="s">
        <v>8</v>
      </c>
      <c r="F60" s="173">
        <v>83925.21</v>
      </c>
      <c r="G60" s="173">
        <f t="shared" si="19"/>
        <v>13428.0336</v>
      </c>
      <c r="H60" s="187"/>
      <c r="I60" s="187"/>
      <c r="J60" s="166"/>
      <c r="K60" s="187"/>
      <c r="L60" s="187">
        <f>+'FACP$'!$H60-'FACP$'!$I60-'FACP$'!$K60</f>
        <v>0</v>
      </c>
      <c r="M60" s="162" t="s">
        <v>719</v>
      </c>
      <c r="N60" s="162" t="s">
        <v>554</v>
      </c>
      <c r="O60" s="163">
        <v>42987.0</v>
      </c>
      <c r="P60" s="164">
        <f t="shared" si="13"/>
        <v>42181</v>
      </c>
      <c r="Q60" s="165">
        <f t="shared" si="2"/>
        <v>0</v>
      </c>
      <c r="R60" s="166"/>
      <c r="S60" s="167"/>
      <c r="T60" s="168">
        <f t="shared" si="3"/>
        <v>0</v>
      </c>
      <c r="U60" s="168">
        <f t="shared" si="4"/>
        <v>0</v>
      </c>
      <c r="V60" s="168">
        <f t="shared" si="5"/>
        <v>0</v>
      </c>
      <c r="W60" s="168">
        <f t="shared" si="6"/>
        <v>0</v>
      </c>
      <c r="X60" s="168">
        <f t="shared" si="7"/>
        <v>0</v>
      </c>
      <c r="Y60" s="168">
        <f t="shared" si="8"/>
        <v>0</v>
      </c>
      <c r="Z60" s="168">
        <f t="shared" si="9"/>
        <v>0</v>
      </c>
    </row>
    <row r="61" ht="15.0" customHeight="1">
      <c r="A61" s="157">
        <v>178.0</v>
      </c>
      <c r="B61" s="169" t="s">
        <v>70</v>
      </c>
      <c r="C61" s="169" t="s">
        <v>750</v>
      </c>
      <c r="D61" s="159">
        <v>42186.0</v>
      </c>
      <c r="E61" s="162" t="s">
        <v>8</v>
      </c>
      <c r="F61" s="173">
        <v>80960.07</v>
      </c>
      <c r="G61" s="173">
        <f t="shared" si="19"/>
        <v>12953.6112</v>
      </c>
      <c r="H61" s="172">
        <f t="shared" ref="H61:H131" si="21">F61+G61</f>
        <v>93913.6812</v>
      </c>
      <c r="I61" s="173"/>
      <c r="J61" s="170"/>
      <c r="K61" s="173"/>
      <c r="L61" s="173">
        <f>+'FACP$'!$H61-'FACP$'!$I61-'FACP$'!$K61</f>
        <v>93913.6812</v>
      </c>
      <c r="M61" s="162" t="s">
        <v>719</v>
      </c>
      <c r="N61" s="162" t="s">
        <v>554</v>
      </c>
      <c r="O61" s="163">
        <v>42961.0</v>
      </c>
      <c r="P61" s="164">
        <f t="shared" si="13"/>
        <v>42196</v>
      </c>
      <c r="Q61" s="165">
        <f t="shared" si="2"/>
        <v>0</v>
      </c>
      <c r="R61" s="166"/>
      <c r="S61" s="167"/>
      <c r="T61" s="168">
        <f t="shared" si="3"/>
        <v>93913.6812</v>
      </c>
      <c r="U61" s="168">
        <f t="shared" si="4"/>
        <v>0</v>
      </c>
      <c r="V61" s="168">
        <f t="shared" si="5"/>
        <v>0</v>
      </c>
      <c r="W61" s="168">
        <f t="shared" si="6"/>
        <v>0</v>
      </c>
      <c r="X61" s="168">
        <f t="shared" si="7"/>
        <v>0</v>
      </c>
      <c r="Y61" s="168">
        <f t="shared" si="8"/>
        <v>0</v>
      </c>
      <c r="Z61" s="168">
        <f t="shared" si="9"/>
        <v>0</v>
      </c>
    </row>
    <row r="62" ht="15.0" customHeight="1">
      <c r="A62" s="157">
        <v>181.0</v>
      </c>
      <c r="B62" s="169" t="s">
        <v>692</v>
      </c>
      <c r="C62" s="170" t="s">
        <v>737</v>
      </c>
      <c r="D62" s="159">
        <v>42200.0</v>
      </c>
      <c r="E62" s="162" t="s">
        <v>8</v>
      </c>
      <c r="F62" s="173">
        <v>285421.66</v>
      </c>
      <c r="G62" s="173">
        <f t="shared" si="19"/>
        <v>45667.4656</v>
      </c>
      <c r="H62" s="172">
        <f t="shared" si="21"/>
        <v>331089.1256</v>
      </c>
      <c r="I62" s="173"/>
      <c r="J62" s="170"/>
      <c r="K62" s="173"/>
      <c r="L62" s="173">
        <f>+'FACP$'!$H62-'FACP$'!$I62-'FACP$'!$K62</f>
        <v>331089.1256</v>
      </c>
      <c r="M62" s="162" t="s">
        <v>738</v>
      </c>
      <c r="N62" s="162" t="s">
        <v>554</v>
      </c>
      <c r="O62" s="175"/>
      <c r="P62" s="164">
        <f t="shared" si="13"/>
        <v>42210</v>
      </c>
      <c r="Q62" s="165">
        <f t="shared" si="2"/>
        <v>0</v>
      </c>
      <c r="R62" s="166"/>
      <c r="S62" s="167"/>
      <c r="T62" s="168">
        <f t="shared" si="3"/>
        <v>331089.1256</v>
      </c>
      <c r="U62" s="168">
        <f t="shared" si="4"/>
        <v>0</v>
      </c>
      <c r="V62" s="168">
        <f t="shared" si="5"/>
        <v>0</v>
      </c>
      <c r="W62" s="168">
        <f t="shared" si="6"/>
        <v>0</v>
      </c>
      <c r="X62" s="168">
        <f t="shared" si="7"/>
        <v>0</v>
      </c>
      <c r="Y62" s="168">
        <f t="shared" si="8"/>
        <v>0</v>
      </c>
      <c r="Z62" s="168">
        <f t="shared" si="9"/>
        <v>0</v>
      </c>
    </row>
    <row r="63" ht="15.0" customHeight="1">
      <c r="A63" s="157">
        <v>182.0</v>
      </c>
      <c r="B63" s="169" t="s">
        <v>692</v>
      </c>
      <c r="C63" s="170" t="s">
        <v>737</v>
      </c>
      <c r="D63" s="159">
        <v>42200.0</v>
      </c>
      <c r="E63" s="162" t="s">
        <v>8</v>
      </c>
      <c r="F63" s="173">
        <v>4611007.59</v>
      </c>
      <c r="G63" s="173">
        <f t="shared" si="19"/>
        <v>737761.2144</v>
      </c>
      <c r="H63" s="172">
        <f t="shared" si="21"/>
        <v>5348768.804</v>
      </c>
      <c r="I63" s="173"/>
      <c r="J63" s="170"/>
      <c r="K63" s="173"/>
      <c r="L63" s="173">
        <f>+'FACP$'!$H63-'FACP$'!$I63-'FACP$'!$K63</f>
        <v>5348768.804</v>
      </c>
      <c r="M63" s="162" t="s">
        <v>749</v>
      </c>
      <c r="N63" s="162" t="s">
        <v>554</v>
      </c>
      <c r="O63" s="175"/>
      <c r="P63" s="164">
        <f t="shared" si="13"/>
        <v>42210</v>
      </c>
      <c r="Q63" s="165">
        <f t="shared" si="2"/>
        <v>0</v>
      </c>
      <c r="R63" s="166"/>
      <c r="S63" s="167"/>
      <c r="T63" s="168">
        <f t="shared" si="3"/>
        <v>5348768.804</v>
      </c>
      <c r="U63" s="168">
        <f t="shared" si="4"/>
        <v>0</v>
      </c>
      <c r="V63" s="168">
        <f t="shared" si="5"/>
        <v>0</v>
      </c>
      <c r="W63" s="168">
        <f t="shared" si="6"/>
        <v>0</v>
      </c>
      <c r="X63" s="168">
        <f t="shared" si="7"/>
        <v>0</v>
      </c>
      <c r="Y63" s="168">
        <f t="shared" si="8"/>
        <v>0</v>
      </c>
      <c r="Z63" s="168">
        <f t="shared" si="9"/>
        <v>0</v>
      </c>
    </row>
    <row r="64" ht="15.0" customHeight="1">
      <c r="A64" s="157">
        <v>184.0</v>
      </c>
      <c r="B64" s="169" t="s">
        <v>70</v>
      </c>
      <c r="C64" s="169" t="s">
        <v>750</v>
      </c>
      <c r="D64" s="186">
        <v>42186.0</v>
      </c>
      <c r="E64" s="162" t="s">
        <v>8</v>
      </c>
      <c r="F64" s="173">
        <v>11291.97</v>
      </c>
      <c r="G64" s="173">
        <f t="shared" si="19"/>
        <v>1806.7152</v>
      </c>
      <c r="H64" s="172">
        <f t="shared" si="21"/>
        <v>13098.6852</v>
      </c>
      <c r="I64" s="188"/>
      <c r="J64" s="189"/>
      <c r="K64" s="188"/>
      <c r="L64" s="188">
        <f>+'FACP$'!$H64-'FACP$'!$I64-'FACP$'!$K64</f>
        <v>13098.6852</v>
      </c>
      <c r="M64" s="162" t="s">
        <v>719</v>
      </c>
      <c r="N64" s="162" t="s">
        <v>554</v>
      </c>
      <c r="O64" s="163"/>
      <c r="P64" s="164">
        <f t="shared" si="13"/>
        <v>42196</v>
      </c>
      <c r="Q64" s="165">
        <f t="shared" si="2"/>
        <v>0</v>
      </c>
      <c r="R64" s="166"/>
      <c r="S64" s="167"/>
      <c r="T64" s="168">
        <f t="shared" si="3"/>
        <v>13098.6852</v>
      </c>
      <c r="U64" s="168">
        <f t="shared" si="4"/>
        <v>0</v>
      </c>
      <c r="V64" s="168">
        <f t="shared" si="5"/>
        <v>0</v>
      </c>
      <c r="W64" s="168">
        <f t="shared" si="6"/>
        <v>0</v>
      </c>
      <c r="X64" s="168">
        <f t="shared" si="7"/>
        <v>0</v>
      </c>
      <c r="Y64" s="168">
        <f t="shared" si="8"/>
        <v>0</v>
      </c>
      <c r="Z64" s="168">
        <f t="shared" si="9"/>
        <v>0</v>
      </c>
    </row>
    <row r="65" ht="15.0" customHeight="1">
      <c r="A65" s="157">
        <v>186.0</v>
      </c>
      <c r="B65" s="169" t="s">
        <v>70</v>
      </c>
      <c r="C65" s="169" t="s">
        <v>750</v>
      </c>
      <c r="D65" s="159">
        <v>42171.0</v>
      </c>
      <c r="E65" s="162" t="s">
        <v>8</v>
      </c>
      <c r="F65" s="173">
        <v>83925.21</v>
      </c>
      <c r="G65" s="173">
        <f t="shared" si="19"/>
        <v>13428.0336</v>
      </c>
      <c r="H65" s="172">
        <f t="shared" si="21"/>
        <v>97353.2436</v>
      </c>
      <c r="I65" s="173"/>
      <c r="J65" s="170"/>
      <c r="K65" s="173"/>
      <c r="L65" s="173">
        <f>+'FACP$'!$H65-'FACP$'!$I65-'FACP$'!$K65</f>
        <v>97353.2436</v>
      </c>
      <c r="M65" s="162" t="s">
        <v>719</v>
      </c>
      <c r="N65" s="162" t="s">
        <v>554</v>
      </c>
      <c r="O65" s="163">
        <v>42411.0</v>
      </c>
      <c r="P65" s="164">
        <f t="shared" si="13"/>
        <v>42181</v>
      </c>
      <c r="Q65" s="165">
        <f t="shared" si="2"/>
        <v>0</v>
      </c>
      <c r="R65" s="166"/>
      <c r="S65" s="167"/>
      <c r="T65" s="168">
        <f t="shared" si="3"/>
        <v>97353.2436</v>
      </c>
      <c r="U65" s="168">
        <f t="shared" si="4"/>
        <v>0</v>
      </c>
      <c r="V65" s="168">
        <f t="shared" si="5"/>
        <v>0</v>
      </c>
      <c r="W65" s="168">
        <f t="shared" si="6"/>
        <v>0</v>
      </c>
      <c r="X65" s="168">
        <f t="shared" si="7"/>
        <v>0</v>
      </c>
      <c r="Y65" s="168">
        <f t="shared" si="8"/>
        <v>0</v>
      </c>
      <c r="Z65" s="168">
        <f t="shared" si="9"/>
        <v>0</v>
      </c>
    </row>
    <row r="66" ht="15.0" customHeight="1">
      <c r="A66" s="157">
        <v>188.0</v>
      </c>
      <c r="B66" s="169" t="s">
        <v>70</v>
      </c>
      <c r="C66" s="169" t="s">
        <v>750</v>
      </c>
      <c r="D66" s="159">
        <v>42217.0</v>
      </c>
      <c r="E66" s="162" t="s">
        <v>8</v>
      </c>
      <c r="F66" s="173">
        <v>105403.71</v>
      </c>
      <c r="G66" s="173">
        <f t="shared" si="19"/>
        <v>16864.5936</v>
      </c>
      <c r="H66" s="172">
        <f t="shared" si="21"/>
        <v>122268.3036</v>
      </c>
      <c r="I66" s="173"/>
      <c r="J66" s="170"/>
      <c r="K66" s="173"/>
      <c r="L66" s="173">
        <f>+'FACP$'!$H66-'FACP$'!$I66-'FACP$'!$K66</f>
        <v>122268.3036</v>
      </c>
      <c r="M66" s="162" t="s">
        <v>719</v>
      </c>
      <c r="N66" s="162" t="s">
        <v>554</v>
      </c>
      <c r="O66" s="163">
        <v>42987.0</v>
      </c>
      <c r="P66" s="164">
        <f t="shared" si="13"/>
        <v>42227</v>
      </c>
      <c r="Q66" s="165">
        <f t="shared" si="2"/>
        <v>0</v>
      </c>
      <c r="R66" s="166"/>
      <c r="S66" s="167"/>
      <c r="T66" s="168">
        <f t="shared" si="3"/>
        <v>122268.3036</v>
      </c>
      <c r="U66" s="168">
        <f t="shared" si="4"/>
        <v>0</v>
      </c>
      <c r="V66" s="168">
        <f t="shared" si="5"/>
        <v>0</v>
      </c>
      <c r="W66" s="168">
        <f t="shared" si="6"/>
        <v>0</v>
      </c>
      <c r="X66" s="168">
        <f t="shared" si="7"/>
        <v>0</v>
      </c>
      <c r="Y66" s="168">
        <f t="shared" si="8"/>
        <v>0</v>
      </c>
      <c r="Z66" s="168">
        <f t="shared" si="9"/>
        <v>0</v>
      </c>
    </row>
    <row r="67" ht="15.0" customHeight="1">
      <c r="A67" s="157">
        <v>191.0</v>
      </c>
      <c r="B67" s="169" t="s">
        <v>692</v>
      </c>
      <c r="C67" s="170" t="s">
        <v>737</v>
      </c>
      <c r="D67" s="159">
        <v>42217.0</v>
      </c>
      <c r="E67" s="162" t="s">
        <v>8</v>
      </c>
      <c r="F67" s="173">
        <v>4675789.89</v>
      </c>
      <c r="G67" s="173">
        <f t="shared" si="19"/>
        <v>748126.3824</v>
      </c>
      <c r="H67" s="172">
        <f t="shared" si="21"/>
        <v>5423916.272</v>
      </c>
      <c r="I67" s="173"/>
      <c r="J67" s="170"/>
      <c r="K67" s="173"/>
      <c r="L67" s="173">
        <f>+'FACP$'!$H67-'FACP$'!$I67-'FACP$'!$K67</f>
        <v>5423916.272</v>
      </c>
      <c r="M67" s="162" t="s">
        <v>749</v>
      </c>
      <c r="N67" s="162" t="s">
        <v>554</v>
      </c>
      <c r="O67" s="175"/>
      <c r="P67" s="164">
        <f t="shared" si="13"/>
        <v>42227</v>
      </c>
      <c r="Q67" s="165">
        <f t="shared" si="2"/>
        <v>0</v>
      </c>
      <c r="R67" s="166"/>
      <c r="S67" s="167"/>
      <c r="T67" s="168">
        <f t="shared" si="3"/>
        <v>5423916.272</v>
      </c>
      <c r="U67" s="168">
        <f t="shared" si="4"/>
        <v>0</v>
      </c>
      <c r="V67" s="168">
        <f t="shared" si="5"/>
        <v>0</v>
      </c>
      <c r="W67" s="168">
        <f t="shared" si="6"/>
        <v>0</v>
      </c>
      <c r="X67" s="168">
        <f t="shared" si="7"/>
        <v>0</v>
      </c>
      <c r="Y67" s="168">
        <f t="shared" si="8"/>
        <v>0</v>
      </c>
      <c r="Z67" s="168">
        <f t="shared" si="9"/>
        <v>0</v>
      </c>
    </row>
    <row r="68" ht="15.0" customHeight="1">
      <c r="A68" s="157">
        <v>192.0</v>
      </c>
      <c r="B68" s="169" t="s">
        <v>692</v>
      </c>
      <c r="C68" s="170" t="s">
        <v>737</v>
      </c>
      <c r="D68" s="159">
        <v>42217.0</v>
      </c>
      <c r="E68" s="162" t="s">
        <v>8</v>
      </c>
      <c r="F68" s="173">
        <v>198535.73</v>
      </c>
      <c r="G68" s="173">
        <f t="shared" si="19"/>
        <v>31765.7168</v>
      </c>
      <c r="H68" s="172">
        <f t="shared" si="21"/>
        <v>230301.4468</v>
      </c>
      <c r="I68" s="173"/>
      <c r="J68" s="170"/>
      <c r="K68" s="173"/>
      <c r="L68" s="173">
        <f>+'FACP$'!$H68-'FACP$'!$I68-'FACP$'!$K68</f>
        <v>230301.4468</v>
      </c>
      <c r="M68" s="162" t="s">
        <v>738</v>
      </c>
      <c r="N68" s="162" t="s">
        <v>554</v>
      </c>
      <c r="O68" s="175"/>
      <c r="P68" s="164">
        <f t="shared" si="13"/>
        <v>42227</v>
      </c>
      <c r="Q68" s="165">
        <f t="shared" si="2"/>
        <v>0</v>
      </c>
      <c r="R68" s="166"/>
      <c r="S68" s="167"/>
      <c r="T68" s="168">
        <f t="shared" si="3"/>
        <v>230301.4468</v>
      </c>
      <c r="U68" s="168">
        <f t="shared" si="4"/>
        <v>0</v>
      </c>
      <c r="V68" s="168">
        <f t="shared" si="5"/>
        <v>0</v>
      </c>
      <c r="W68" s="168">
        <f t="shared" si="6"/>
        <v>0</v>
      </c>
      <c r="X68" s="168">
        <f t="shared" si="7"/>
        <v>0</v>
      </c>
      <c r="Y68" s="168">
        <f t="shared" si="8"/>
        <v>0</v>
      </c>
      <c r="Z68" s="168">
        <f t="shared" si="9"/>
        <v>0</v>
      </c>
    </row>
    <row r="69" ht="15.0" customHeight="1">
      <c r="A69" s="157">
        <v>193.0</v>
      </c>
      <c r="B69" s="169" t="s">
        <v>692</v>
      </c>
      <c r="C69" s="170" t="s">
        <v>737</v>
      </c>
      <c r="D69" s="159">
        <v>42231.0</v>
      </c>
      <c r="E69" s="157" t="s">
        <v>8</v>
      </c>
      <c r="F69" s="173">
        <v>5037297.73</v>
      </c>
      <c r="G69" s="173">
        <f t="shared" si="19"/>
        <v>805967.6368</v>
      </c>
      <c r="H69" s="172">
        <f t="shared" si="21"/>
        <v>5843265.367</v>
      </c>
      <c r="I69" s="173"/>
      <c r="J69" s="170"/>
      <c r="K69" s="173"/>
      <c r="L69" s="173">
        <f>+'FACP$'!$H69-'FACP$'!$I69-'FACP$'!$K69</f>
        <v>5843265.367</v>
      </c>
      <c r="M69" s="157" t="s">
        <v>749</v>
      </c>
      <c r="N69" s="162" t="s">
        <v>554</v>
      </c>
      <c r="O69" s="175"/>
      <c r="P69" s="164">
        <f t="shared" si="13"/>
        <v>42241</v>
      </c>
      <c r="Q69" s="165">
        <f t="shared" si="2"/>
        <v>0</v>
      </c>
      <c r="R69" s="166"/>
      <c r="S69" s="167"/>
      <c r="T69" s="168">
        <f t="shared" si="3"/>
        <v>5843265.367</v>
      </c>
      <c r="U69" s="168">
        <f t="shared" si="4"/>
        <v>0</v>
      </c>
      <c r="V69" s="168">
        <f t="shared" si="5"/>
        <v>0</v>
      </c>
      <c r="W69" s="168">
        <f t="shared" si="6"/>
        <v>0</v>
      </c>
      <c r="X69" s="168">
        <f t="shared" si="7"/>
        <v>0</v>
      </c>
      <c r="Y69" s="168">
        <f t="shared" si="8"/>
        <v>0</v>
      </c>
      <c r="Z69" s="168">
        <f t="shared" si="9"/>
        <v>0</v>
      </c>
    </row>
    <row r="70" ht="15.0" customHeight="1">
      <c r="A70" s="157">
        <v>194.0</v>
      </c>
      <c r="B70" s="169" t="s">
        <v>692</v>
      </c>
      <c r="C70" s="170" t="s">
        <v>737</v>
      </c>
      <c r="D70" s="159">
        <v>42217.0</v>
      </c>
      <c r="E70" s="157" t="s">
        <v>8</v>
      </c>
      <c r="F70" s="173">
        <v>294267.36</v>
      </c>
      <c r="G70" s="173">
        <f t="shared" si="19"/>
        <v>47082.7776</v>
      </c>
      <c r="H70" s="172">
        <f t="shared" si="21"/>
        <v>341350.1376</v>
      </c>
      <c r="I70" s="173"/>
      <c r="J70" s="170"/>
      <c r="K70" s="173"/>
      <c r="L70" s="173">
        <f>+'FACP$'!$H70-'FACP$'!$I70-'FACP$'!$K70</f>
        <v>341350.1376</v>
      </c>
      <c r="M70" s="157" t="s">
        <v>738</v>
      </c>
      <c r="N70" s="162" t="s">
        <v>554</v>
      </c>
      <c r="O70" s="175"/>
      <c r="P70" s="164">
        <f t="shared" si="13"/>
        <v>42227</v>
      </c>
      <c r="Q70" s="165">
        <f t="shared" si="2"/>
        <v>0</v>
      </c>
      <c r="R70" s="166"/>
      <c r="S70" s="167"/>
      <c r="T70" s="168">
        <f t="shared" si="3"/>
        <v>341350.1376</v>
      </c>
      <c r="U70" s="168">
        <f t="shared" si="4"/>
        <v>0</v>
      </c>
      <c r="V70" s="168">
        <f t="shared" si="5"/>
        <v>0</v>
      </c>
      <c r="W70" s="168">
        <f t="shared" si="6"/>
        <v>0</v>
      </c>
      <c r="X70" s="168">
        <f t="shared" si="7"/>
        <v>0</v>
      </c>
      <c r="Y70" s="168">
        <f t="shared" si="8"/>
        <v>0</v>
      </c>
      <c r="Z70" s="168">
        <f t="shared" si="9"/>
        <v>0</v>
      </c>
    </row>
    <row r="71" ht="15.0" customHeight="1">
      <c r="A71" s="157">
        <v>196.0</v>
      </c>
      <c r="B71" s="169" t="s">
        <v>70</v>
      </c>
      <c r="C71" s="169" t="s">
        <v>750</v>
      </c>
      <c r="D71" s="159">
        <v>42231.0</v>
      </c>
      <c r="E71" s="157" t="s">
        <v>8</v>
      </c>
      <c r="F71" s="173">
        <v>102757.81</v>
      </c>
      <c r="G71" s="173">
        <f t="shared" si="19"/>
        <v>16441.2496</v>
      </c>
      <c r="H71" s="172">
        <f t="shared" si="21"/>
        <v>119199.0596</v>
      </c>
      <c r="I71" s="173"/>
      <c r="J71" s="170"/>
      <c r="K71" s="173"/>
      <c r="L71" s="173">
        <f>+'FACP$'!$H71-'FACP$'!$I71-'FACP$'!$K71</f>
        <v>119199.0596</v>
      </c>
      <c r="M71" s="157" t="s">
        <v>719</v>
      </c>
      <c r="N71" s="162" t="s">
        <v>554</v>
      </c>
      <c r="O71" s="163">
        <v>42988.0</v>
      </c>
      <c r="P71" s="164">
        <f t="shared" si="13"/>
        <v>42241</v>
      </c>
      <c r="Q71" s="165">
        <f t="shared" si="2"/>
        <v>0</v>
      </c>
      <c r="R71" s="166"/>
      <c r="S71" s="167"/>
      <c r="T71" s="168">
        <f t="shared" si="3"/>
        <v>119199.0596</v>
      </c>
      <c r="U71" s="168">
        <f t="shared" si="4"/>
        <v>0</v>
      </c>
      <c r="V71" s="168">
        <f t="shared" si="5"/>
        <v>0</v>
      </c>
      <c r="W71" s="168">
        <f t="shared" si="6"/>
        <v>0</v>
      </c>
      <c r="X71" s="168">
        <f t="shared" si="7"/>
        <v>0</v>
      </c>
      <c r="Y71" s="168">
        <f t="shared" si="8"/>
        <v>0</v>
      </c>
      <c r="Z71" s="168">
        <f t="shared" si="9"/>
        <v>0</v>
      </c>
    </row>
    <row r="72" ht="15.0" customHeight="1">
      <c r="A72" s="157">
        <v>199.0</v>
      </c>
      <c r="B72" s="169" t="s">
        <v>692</v>
      </c>
      <c r="C72" s="170" t="s">
        <v>737</v>
      </c>
      <c r="D72" s="159">
        <v>42248.0</v>
      </c>
      <c r="E72" s="157" t="s">
        <v>8</v>
      </c>
      <c r="F72" s="173">
        <v>4598948.89</v>
      </c>
      <c r="G72" s="173">
        <f t="shared" si="19"/>
        <v>735831.8224</v>
      </c>
      <c r="H72" s="172">
        <f t="shared" si="21"/>
        <v>5334780.712</v>
      </c>
      <c r="I72" s="173"/>
      <c r="J72" s="170"/>
      <c r="K72" s="173"/>
      <c r="L72" s="173">
        <f>+'FACP$'!$H72-'FACP$'!$I72-'FACP$'!$K72</f>
        <v>5334780.712</v>
      </c>
      <c r="M72" s="157" t="s">
        <v>749</v>
      </c>
      <c r="N72" s="162" t="s">
        <v>554</v>
      </c>
      <c r="O72" s="175"/>
      <c r="P72" s="164">
        <f t="shared" si="13"/>
        <v>42258</v>
      </c>
      <c r="Q72" s="165">
        <f t="shared" si="2"/>
        <v>0</v>
      </c>
      <c r="R72" s="166"/>
      <c r="S72" s="167"/>
      <c r="T72" s="168">
        <f t="shared" si="3"/>
        <v>5334780.712</v>
      </c>
      <c r="U72" s="168">
        <f t="shared" si="4"/>
        <v>0</v>
      </c>
      <c r="V72" s="168">
        <f t="shared" si="5"/>
        <v>0</v>
      </c>
      <c r="W72" s="168">
        <f t="shared" si="6"/>
        <v>0</v>
      </c>
      <c r="X72" s="168">
        <f t="shared" si="7"/>
        <v>0</v>
      </c>
      <c r="Y72" s="168">
        <f t="shared" si="8"/>
        <v>0</v>
      </c>
      <c r="Z72" s="168">
        <f t="shared" si="9"/>
        <v>0</v>
      </c>
    </row>
    <row r="73" ht="15.0" customHeight="1">
      <c r="A73" s="157">
        <v>200.0</v>
      </c>
      <c r="B73" s="169" t="s">
        <v>692</v>
      </c>
      <c r="C73" s="170" t="s">
        <v>737</v>
      </c>
      <c r="D73" s="159">
        <v>42248.0</v>
      </c>
      <c r="E73" s="157" t="s">
        <v>8</v>
      </c>
      <c r="F73" s="173">
        <v>184541.61</v>
      </c>
      <c r="G73" s="173">
        <f t="shared" si="19"/>
        <v>29526.6576</v>
      </c>
      <c r="H73" s="172">
        <f t="shared" si="21"/>
        <v>214068.2676</v>
      </c>
      <c r="I73" s="173"/>
      <c r="J73" s="170"/>
      <c r="K73" s="173"/>
      <c r="L73" s="173">
        <f>+'FACP$'!$H73-'FACP$'!$I73-'FACP$'!$K73</f>
        <v>214068.2676</v>
      </c>
      <c r="M73" s="157" t="s">
        <v>738</v>
      </c>
      <c r="N73" s="162" t="s">
        <v>554</v>
      </c>
      <c r="O73" s="175"/>
      <c r="P73" s="164">
        <f t="shared" si="13"/>
        <v>42258</v>
      </c>
      <c r="Q73" s="165">
        <f t="shared" si="2"/>
        <v>0</v>
      </c>
      <c r="R73" s="166"/>
      <c r="S73" s="167"/>
      <c r="T73" s="168">
        <f t="shared" si="3"/>
        <v>214068.2676</v>
      </c>
      <c r="U73" s="168">
        <f t="shared" si="4"/>
        <v>0</v>
      </c>
      <c r="V73" s="168">
        <f t="shared" si="5"/>
        <v>0</v>
      </c>
      <c r="W73" s="168">
        <f t="shared" si="6"/>
        <v>0</v>
      </c>
      <c r="X73" s="168">
        <f t="shared" si="7"/>
        <v>0</v>
      </c>
      <c r="Y73" s="168">
        <f t="shared" si="8"/>
        <v>0</v>
      </c>
      <c r="Z73" s="168">
        <f t="shared" si="9"/>
        <v>0</v>
      </c>
    </row>
    <row r="74" ht="15.0" customHeight="1">
      <c r="A74" s="157">
        <v>201.0</v>
      </c>
      <c r="B74" s="169" t="s">
        <v>70</v>
      </c>
      <c r="C74" s="169" t="s">
        <v>750</v>
      </c>
      <c r="D74" s="159">
        <v>42248.0</v>
      </c>
      <c r="E74" s="157" t="s">
        <v>8</v>
      </c>
      <c r="F74" s="173">
        <v>143184.25</v>
      </c>
      <c r="G74" s="173">
        <f t="shared" si="19"/>
        <v>22909.48</v>
      </c>
      <c r="H74" s="172">
        <f t="shared" si="21"/>
        <v>166093.73</v>
      </c>
      <c r="I74" s="173"/>
      <c r="J74" s="170"/>
      <c r="K74" s="173"/>
      <c r="L74" s="173">
        <f>+'FACP$'!$H74-'FACP$'!$I74-'FACP$'!$K74</f>
        <v>166093.73</v>
      </c>
      <c r="M74" s="157" t="s">
        <v>719</v>
      </c>
      <c r="N74" s="162" t="s">
        <v>554</v>
      </c>
      <c r="O74" s="163">
        <v>43009.0</v>
      </c>
      <c r="P74" s="164">
        <f t="shared" si="13"/>
        <v>42258</v>
      </c>
      <c r="Q74" s="165">
        <f t="shared" si="2"/>
        <v>0</v>
      </c>
      <c r="R74" s="166"/>
      <c r="S74" s="167"/>
      <c r="T74" s="168">
        <f t="shared" si="3"/>
        <v>166093.73</v>
      </c>
      <c r="U74" s="168">
        <f t="shared" si="4"/>
        <v>0</v>
      </c>
      <c r="V74" s="168">
        <f t="shared" si="5"/>
        <v>0</v>
      </c>
      <c r="W74" s="168">
        <f t="shared" si="6"/>
        <v>0</v>
      </c>
      <c r="X74" s="168">
        <f t="shared" si="7"/>
        <v>0</v>
      </c>
      <c r="Y74" s="168">
        <f t="shared" si="8"/>
        <v>0</v>
      </c>
      <c r="Z74" s="168">
        <f t="shared" si="9"/>
        <v>0</v>
      </c>
    </row>
    <row r="75" ht="15.0" customHeight="1">
      <c r="A75" s="157">
        <v>203.0</v>
      </c>
      <c r="B75" s="169" t="s">
        <v>692</v>
      </c>
      <c r="C75" s="170" t="s">
        <v>737</v>
      </c>
      <c r="D75" s="159">
        <v>42262.0</v>
      </c>
      <c r="E75" s="157" t="s">
        <v>8</v>
      </c>
      <c r="F75" s="173">
        <v>943852.65</v>
      </c>
      <c r="G75" s="173">
        <f t="shared" si="19"/>
        <v>151016.424</v>
      </c>
      <c r="H75" s="172">
        <f t="shared" si="21"/>
        <v>1094869.074</v>
      </c>
      <c r="I75" s="173"/>
      <c r="J75" s="170"/>
      <c r="K75" s="173"/>
      <c r="L75" s="173">
        <f>+'FACP$'!$H75-'FACP$'!$I75-'FACP$'!$K75</f>
        <v>1094869.074</v>
      </c>
      <c r="M75" s="157"/>
      <c r="N75" s="157" t="s">
        <v>751</v>
      </c>
      <c r="O75" s="175"/>
      <c r="P75" s="164">
        <f t="shared" si="13"/>
        <v>42272</v>
      </c>
      <c r="Q75" s="165" t="b">
        <f t="shared" si="2"/>
        <v>0</v>
      </c>
      <c r="R75" s="166"/>
      <c r="S75" s="167"/>
      <c r="T75" s="168">
        <f t="shared" si="3"/>
        <v>0</v>
      </c>
      <c r="U75" s="168">
        <f t="shared" si="4"/>
        <v>0</v>
      </c>
      <c r="V75" s="168">
        <f t="shared" si="5"/>
        <v>0</v>
      </c>
      <c r="W75" s="168">
        <f t="shared" si="6"/>
        <v>0</v>
      </c>
      <c r="X75" s="168">
        <f t="shared" si="7"/>
        <v>0</v>
      </c>
      <c r="Y75" s="168">
        <f t="shared" si="8"/>
        <v>0</v>
      </c>
      <c r="Z75" s="168">
        <f t="shared" si="9"/>
        <v>1094869.074</v>
      </c>
    </row>
    <row r="76" ht="15.0" customHeight="1">
      <c r="A76" s="157">
        <v>206.0</v>
      </c>
      <c r="B76" s="169" t="s">
        <v>692</v>
      </c>
      <c r="C76" s="170" t="s">
        <v>737</v>
      </c>
      <c r="D76" s="159">
        <v>42262.0</v>
      </c>
      <c r="E76" s="157" t="s">
        <v>8</v>
      </c>
      <c r="F76" s="173">
        <v>4023493.08</v>
      </c>
      <c r="G76" s="173">
        <f t="shared" si="19"/>
        <v>643758.8928</v>
      </c>
      <c r="H76" s="172">
        <f t="shared" si="21"/>
        <v>4667251.973</v>
      </c>
      <c r="I76" s="173"/>
      <c r="J76" s="170"/>
      <c r="K76" s="173"/>
      <c r="L76" s="173">
        <f>+'FACP$'!$H76-'FACP$'!$I76-'FACP$'!$K76</f>
        <v>4667251.973</v>
      </c>
      <c r="M76" s="157" t="s">
        <v>752</v>
      </c>
      <c r="N76" s="157" t="s">
        <v>751</v>
      </c>
      <c r="O76" s="175"/>
      <c r="P76" s="164">
        <f t="shared" si="13"/>
        <v>42272</v>
      </c>
      <c r="Q76" s="165" t="b">
        <f t="shared" si="2"/>
        <v>0</v>
      </c>
      <c r="R76" s="166"/>
      <c r="S76" s="167"/>
      <c r="T76" s="168">
        <f t="shared" si="3"/>
        <v>0</v>
      </c>
      <c r="U76" s="168">
        <f t="shared" si="4"/>
        <v>0</v>
      </c>
      <c r="V76" s="168">
        <f t="shared" si="5"/>
        <v>0</v>
      </c>
      <c r="W76" s="168">
        <f t="shared" si="6"/>
        <v>0</v>
      </c>
      <c r="X76" s="168">
        <f t="shared" si="7"/>
        <v>0</v>
      </c>
      <c r="Y76" s="168">
        <f t="shared" si="8"/>
        <v>0</v>
      </c>
      <c r="Z76" s="168">
        <f t="shared" si="9"/>
        <v>4667251.973</v>
      </c>
    </row>
    <row r="77" ht="15.0" customHeight="1">
      <c r="A77" s="157">
        <v>207.0</v>
      </c>
      <c r="B77" s="169" t="s">
        <v>692</v>
      </c>
      <c r="C77" s="170" t="s">
        <v>737</v>
      </c>
      <c r="D77" s="159">
        <v>42262.0</v>
      </c>
      <c r="E77" s="157" t="s">
        <v>8</v>
      </c>
      <c r="F77" s="173">
        <v>241371.21</v>
      </c>
      <c r="G77" s="173">
        <f t="shared" si="19"/>
        <v>38619.3936</v>
      </c>
      <c r="H77" s="172">
        <f t="shared" si="21"/>
        <v>279990.6036</v>
      </c>
      <c r="I77" s="173"/>
      <c r="J77" s="170"/>
      <c r="K77" s="173"/>
      <c r="L77" s="173">
        <f>+'FACP$'!$H77-'FACP$'!$I77-'FACP$'!$K77</f>
        <v>279990.6036</v>
      </c>
      <c r="M77" s="157" t="s">
        <v>738</v>
      </c>
      <c r="N77" s="157" t="s">
        <v>751</v>
      </c>
      <c r="O77" s="175"/>
      <c r="P77" s="164">
        <f t="shared" si="13"/>
        <v>42272</v>
      </c>
      <c r="Q77" s="165" t="b">
        <f t="shared" si="2"/>
        <v>0</v>
      </c>
      <c r="R77" s="166"/>
      <c r="S77" s="167"/>
      <c r="T77" s="168">
        <f t="shared" si="3"/>
        <v>0</v>
      </c>
      <c r="U77" s="168">
        <f t="shared" si="4"/>
        <v>0</v>
      </c>
      <c r="V77" s="168">
        <f t="shared" si="5"/>
        <v>0</v>
      </c>
      <c r="W77" s="168">
        <f t="shared" si="6"/>
        <v>0</v>
      </c>
      <c r="X77" s="168">
        <f t="shared" si="7"/>
        <v>0</v>
      </c>
      <c r="Y77" s="168">
        <f t="shared" si="8"/>
        <v>0</v>
      </c>
      <c r="Z77" s="168">
        <f t="shared" si="9"/>
        <v>279990.6036</v>
      </c>
    </row>
    <row r="78" ht="15.0" customHeight="1">
      <c r="A78" s="157">
        <v>208.0</v>
      </c>
      <c r="B78" s="169" t="s">
        <v>70</v>
      </c>
      <c r="C78" s="169" t="s">
        <v>750</v>
      </c>
      <c r="D78" s="159">
        <v>42262.0</v>
      </c>
      <c r="E78" s="157" t="s">
        <v>8</v>
      </c>
      <c r="F78" s="173">
        <v>118140.02</v>
      </c>
      <c r="G78" s="173">
        <f t="shared" si="19"/>
        <v>18902.4032</v>
      </c>
      <c r="H78" s="172">
        <f t="shared" si="21"/>
        <v>137042.4232</v>
      </c>
      <c r="I78" s="173"/>
      <c r="J78" s="170"/>
      <c r="K78" s="173"/>
      <c r="L78" s="173">
        <f>+'FACP$'!$H78-'FACP$'!$I78-'FACP$'!$K78</f>
        <v>137042.4232</v>
      </c>
      <c r="M78" s="157" t="s">
        <v>719</v>
      </c>
      <c r="N78" s="162" t="s">
        <v>127</v>
      </c>
      <c r="O78" s="163"/>
      <c r="P78" s="164">
        <f t="shared" si="13"/>
        <v>42272</v>
      </c>
      <c r="Q78" s="165">
        <f t="shared" si="2"/>
        <v>0</v>
      </c>
      <c r="R78" s="166"/>
      <c r="S78" s="167"/>
      <c r="T78" s="168">
        <f t="shared" si="3"/>
        <v>137042.4232</v>
      </c>
      <c r="U78" s="168">
        <f t="shared" si="4"/>
        <v>0</v>
      </c>
      <c r="V78" s="168">
        <f t="shared" si="5"/>
        <v>0</v>
      </c>
      <c r="W78" s="168">
        <f t="shared" si="6"/>
        <v>0</v>
      </c>
      <c r="X78" s="168">
        <f t="shared" si="7"/>
        <v>0</v>
      </c>
      <c r="Y78" s="168">
        <f t="shared" si="8"/>
        <v>0</v>
      </c>
      <c r="Z78" s="168">
        <f t="shared" si="9"/>
        <v>0</v>
      </c>
    </row>
    <row r="79" ht="15.0" customHeight="1">
      <c r="A79" s="157">
        <v>210.0</v>
      </c>
      <c r="B79" s="169" t="s">
        <v>70</v>
      </c>
      <c r="C79" s="169" t="s">
        <v>750</v>
      </c>
      <c r="D79" s="159">
        <v>42262.0</v>
      </c>
      <c r="E79" s="157" t="s">
        <v>8</v>
      </c>
      <c r="F79" s="173">
        <v>26970.71</v>
      </c>
      <c r="G79" s="173">
        <f t="shared" si="19"/>
        <v>4315.3136</v>
      </c>
      <c r="H79" s="172">
        <f t="shared" si="21"/>
        <v>31286.0236</v>
      </c>
      <c r="I79" s="173"/>
      <c r="J79" s="170"/>
      <c r="K79" s="173"/>
      <c r="L79" s="173">
        <f>+'FACP$'!$H79-'FACP$'!$I79-'FACP$'!$K79</f>
        <v>31286.0236</v>
      </c>
      <c r="M79" s="157" t="s">
        <v>753</v>
      </c>
      <c r="N79" s="162" t="s">
        <v>554</v>
      </c>
      <c r="O79" s="163">
        <v>43022.0</v>
      </c>
      <c r="P79" s="164">
        <f t="shared" si="13"/>
        <v>42272</v>
      </c>
      <c r="Q79" s="165">
        <f t="shared" si="2"/>
        <v>0</v>
      </c>
      <c r="R79" s="166"/>
      <c r="S79" s="167"/>
      <c r="T79" s="168">
        <f t="shared" si="3"/>
        <v>31286.0236</v>
      </c>
      <c r="U79" s="168">
        <f t="shared" si="4"/>
        <v>0</v>
      </c>
      <c r="V79" s="168">
        <f t="shared" si="5"/>
        <v>0</v>
      </c>
      <c r="W79" s="168">
        <f t="shared" si="6"/>
        <v>0</v>
      </c>
      <c r="X79" s="168">
        <f t="shared" si="7"/>
        <v>0</v>
      </c>
      <c r="Y79" s="168">
        <f t="shared" si="8"/>
        <v>0</v>
      </c>
      <c r="Z79" s="168">
        <f t="shared" si="9"/>
        <v>0</v>
      </c>
    </row>
    <row r="80" ht="15.0" customHeight="1">
      <c r="A80" s="157">
        <v>212.0</v>
      </c>
      <c r="B80" s="169" t="s">
        <v>70</v>
      </c>
      <c r="C80" s="169" t="s">
        <v>750</v>
      </c>
      <c r="D80" s="159">
        <v>42262.0</v>
      </c>
      <c r="E80" s="157" t="s">
        <v>8</v>
      </c>
      <c r="F80" s="173">
        <v>91117.25</v>
      </c>
      <c r="G80" s="173">
        <f t="shared" si="19"/>
        <v>14578.76</v>
      </c>
      <c r="H80" s="172">
        <f t="shared" si="21"/>
        <v>105696.01</v>
      </c>
      <c r="I80" s="173"/>
      <c r="J80" s="170"/>
      <c r="K80" s="173"/>
      <c r="L80" s="173">
        <f>+'FACP$'!$H80-'FACP$'!$I80-'FACP$'!$K80</f>
        <v>105696.01</v>
      </c>
      <c r="M80" s="157" t="s">
        <v>719</v>
      </c>
      <c r="N80" s="162" t="s">
        <v>554</v>
      </c>
      <c r="O80" s="163">
        <v>43022.0</v>
      </c>
      <c r="P80" s="164">
        <f t="shared" si="13"/>
        <v>42272</v>
      </c>
      <c r="Q80" s="165">
        <f t="shared" si="2"/>
        <v>0</v>
      </c>
      <c r="R80" s="166"/>
      <c r="S80" s="167"/>
      <c r="T80" s="168">
        <f t="shared" si="3"/>
        <v>105696.01</v>
      </c>
      <c r="U80" s="168">
        <f t="shared" si="4"/>
        <v>0</v>
      </c>
      <c r="V80" s="168">
        <f t="shared" si="5"/>
        <v>0</v>
      </c>
      <c r="W80" s="168">
        <f t="shared" si="6"/>
        <v>0</v>
      </c>
      <c r="X80" s="168">
        <f t="shared" si="7"/>
        <v>0</v>
      </c>
      <c r="Y80" s="168">
        <f t="shared" si="8"/>
        <v>0</v>
      </c>
      <c r="Z80" s="168">
        <f t="shared" si="9"/>
        <v>0</v>
      </c>
    </row>
    <row r="81" ht="15.0" customHeight="1">
      <c r="A81" s="157">
        <v>214.0</v>
      </c>
      <c r="B81" s="169" t="s">
        <v>692</v>
      </c>
      <c r="C81" s="169" t="s">
        <v>737</v>
      </c>
      <c r="D81" s="159">
        <v>42278.0</v>
      </c>
      <c r="E81" s="157" t="s">
        <v>8</v>
      </c>
      <c r="F81" s="173">
        <v>4412185.14</v>
      </c>
      <c r="G81" s="173">
        <f t="shared" si="19"/>
        <v>705949.6224</v>
      </c>
      <c r="H81" s="172">
        <f t="shared" si="21"/>
        <v>5118134.762</v>
      </c>
      <c r="I81" s="173"/>
      <c r="J81" s="170"/>
      <c r="K81" s="173"/>
      <c r="L81" s="173">
        <f>+'FACP$'!$H81-'FACP$'!$I81-'FACP$'!$K81</f>
        <v>5118134.762</v>
      </c>
      <c r="M81" s="157" t="s">
        <v>749</v>
      </c>
      <c r="N81" s="162" t="s">
        <v>554</v>
      </c>
      <c r="O81" s="175"/>
      <c r="P81" s="164">
        <f t="shared" si="13"/>
        <v>42288</v>
      </c>
      <c r="Q81" s="165">
        <f t="shared" si="2"/>
        <v>0</v>
      </c>
      <c r="R81" s="166"/>
      <c r="S81" s="167"/>
      <c r="T81" s="168">
        <f t="shared" si="3"/>
        <v>5118134.762</v>
      </c>
      <c r="U81" s="168">
        <f t="shared" si="4"/>
        <v>0</v>
      </c>
      <c r="V81" s="168">
        <f t="shared" si="5"/>
        <v>0</v>
      </c>
      <c r="W81" s="168">
        <f t="shared" si="6"/>
        <v>0</v>
      </c>
      <c r="X81" s="168">
        <f t="shared" si="7"/>
        <v>0</v>
      </c>
      <c r="Y81" s="168">
        <f t="shared" si="8"/>
        <v>0</v>
      </c>
      <c r="Z81" s="168">
        <f t="shared" si="9"/>
        <v>0</v>
      </c>
    </row>
    <row r="82" ht="15.0" customHeight="1">
      <c r="A82" s="157">
        <v>215.0</v>
      </c>
      <c r="B82" s="169" t="s">
        <v>692</v>
      </c>
      <c r="C82" s="170" t="s">
        <v>737</v>
      </c>
      <c r="D82" s="159">
        <v>42278.0</v>
      </c>
      <c r="E82" s="157" t="s">
        <v>8</v>
      </c>
      <c r="F82" s="173">
        <v>468201.83</v>
      </c>
      <c r="G82" s="173">
        <f t="shared" si="19"/>
        <v>74912.2928</v>
      </c>
      <c r="H82" s="172">
        <f t="shared" si="21"/>
        <v>543114.1228</v>
      </c>
      <c r="I82" s="173"/>
      <c r="J82" s="170"/>
      <c r="K82" s="173"/>
      <c r="L82" s="173">
        <f>+'FACP$'!$H82-'FACP$'!$I82-'FACP$'!$K82</f>
        <v>543114.1228</v>
      </c>
      <c r="M82" s="157" t="s">
        <v>738</v>
      </c>
      <c r="N82" s="162" t="s">
        <v>554</v>
      </c>
      <c r="O82" s="175"/>
      <c r="P82" s="164">
        <f t="shared" si="13"/>
        <v>42288</v>
      </c>
      <c r="Q82" s="165">
        <f t="shared" si="2"/>
        <v>0</v>
      </c>
      <c r="R82" s="166"/>
      <c r="S82" s="167"/>
      <c r="T82" s="168">
        <f t="shared" si="3"/>
        <v>543114.1228</v>
      </c>
      <c r="U82" s="168">
        <f t="shared" si="4"/>
        <v>0</v>
      </c>
      <c r="V82" s="168">
        <f t="shared" si="5"/>
        <v>0</v>
      </c>
      <c r="W82" s="168">
        <f t="shared" si="6"/>
        <v>0</v>
      </c>
      <c r="X82" s="168">
        <f t="shared" si="7"/>
        <v>0</v>
      </c>
      <c r="Y82" s="168">
        <f t="shared" si="8"/>
        <v>0</v>
      </c>
      <c r="Z82" s="168">
        <f t="shared" si="9"/>
        <v>0</v>
      </c>
    </row>
    <row r="83" ht="15.0" customHeight="1">
      <c r="A83" s="157">
        <v>217.0</v>
      </c>
      <c r="B83" s="169" t="s">
        <v>692</v>
      </c>
      <c r="C83" s="170" t="s">
        <v>737</v>
      </c>
      <c r="D83" s="159">
        <v>42278.0</v>
      </c>
      <c r="E83" s="157" t="s">
        <v>8</v>
      </c>
      <c r="F83" s="173">
        <v>1106652.33</v>
      </c>
      <c r="G83" s="173">
        <f t="shared" si="19"/>
        <v>177064.3728</v>
      </c>
      <c r="H83" s="172">
        <f t="shared" si="21"/>
        <v>1283716.703</v>
      </c>
      <c r="I83" s="173"/>
      <c r="J83" s="170"/>
      <c r="K83" s="173"/>
      <c r="L83" s="173">
        <f>+'FACP$'!$H83-'FACP$'!$I83-'FACP$'!$K83</f>
        <v>1283716.703</v>
      </c>
      <c r="M83" s="157" t="s">
        <v>754</v>
      </c>
      <c r="N83" s="162" t="s">
        <v>554</v>
      </c>
      <c r="O83" s="175"/>
      <c r="P83" s="164">
        <f t="shared" si="13"/>
        <v>42288</v>
      </c>
      <c r="Q83" s="165">
        <f t="shared" si="2"/>
        <v>0</v>
      </c>
      <c r="R83" s="166"/>
      <c r="S83" s="167"/>
      <c r="T83" s="168">
        <f t="shared" si="3"/>
        <v>1283716.703</v>
      </c>
      <c r="U83" s="168">
        <f t="shared" si="4"/>
        <v>0</v>
      </c>
      <c r="V83" s="168">
        <f t="shared" si="5"/>
        <v>0</v>
      </c>
      <c r="W83" s="168">
        <f t="shared" si="6"/>
        <v>0</v>
      </c>
      <c r="X83" s="168">
        <f t="shared" si="7"/>
        <v>0</v>
      </c>
      <c r="Y83" s="168">
        <f t="shared" si="8"/>
        <v>0</v>
      </c>
      <c r="Z83" s="168">
        <f t="shared" si="9"/>
        <v>0</v>
      </c>
    </row>
    <row r="84" ht="15.0" customHeight="1">
      <c r="A84" s="157">
        <v>218.0</v>
      </c>
      <c r="B84" s="169" t="s">
        <v>70</v>
      </c>
      <c r="C84" s="169" t="s">
        <v>750</v>
      </c>
      <c r="D84" s="159">
        <v>42292.0</v>
      </c>
      <c r="E84" s="157" t="s">
        <v>8</v>
      </c>
      <c r="F84" s="173">
        <v>879751.54</v>
      </c>
      <c r="G84" s="173">
        <f t="shared" si="19"/>
        <v>140760.2464</v>
      </c>
      <c r="H84" s="172">
        <f t="shared" si="21"/>
        <v>1020511.786</v>
      </c>
      <c r="I84" s="173"/>
      <c r="J84" s="170"/>
      <c r="K84" s="173"/>
      <c r="L84" s="173">
        <f>+'FACP$'!$H84-'FACP$'!$I84-'FACP$'!$K84</f>
        <v>1020511.786</v>
      </c>
      <c r="M84" s="157" t="s">
        <v>719</v>
      </c>
      <c r="N84" s="162" t="s">
        <v>554</v>
      </c>
      <c r="O84" s="163">
        <v>43031.0</v>
      </c>
      <c r="P84" s="164">
        <f t="shared" si="13"/>
        <v>42302</v>
      </c>
      <c r="Q84" s="165">
        <f t="shared" si="2"/>
        <v>0</v>
      </c>
      <c r="R84" s="166"/>
      <c r="S84" s="167"/>
      <c r="T84" s="168">
        <f t="shared" si="3"/>
        <v>1020511.786</v>
      </c>
      <c r="U84" s="168">
        <f t="shared" si="4"/>
        <v>0</v>
      </c>
      <c r="V84" s="168">
        <f t="shared" si="5"/>
        <v>0</v>
      </c>
      <c r="W84" s="168">
        <f t="shared" si="6"/>
        <v>0</v>
      </c>
      <c r="X84" s="168">
        <f t="shared" si="7"/>
        <v>0</v>
      </c>
      <c r="Y84" s="168">
        <f t="shared" si="8"/>
        <v>0</v>
      </c>
      <c r="Z84" s="168">
        <f t="shared" si="9"/>
        <v>0</v>
      </c>
    </row>
    <row r="85" ht="15.0" customHeight="1">
      <c r="A85" s="157">
        <v>221.0</v>
      </c>
      <c r="B85" s="169" t="s">
        <v>692</v>
      </c>
      <c r="C85" s="169" t="s">
        <v>737</v>
      </c>
      <c r="D85" s="159">
        <v>42292.0</v>
      </c>
      <c r="E85" s="157" t="s">
        <v>8</v>
      </c>
      <c r="F85" s="173">
        <v>1396235.34</v>
      </c>
      <c r="G85" s="173">
        <f t="shared" si="19"/>
        <v>223397.6544</v>
      </c>
      <c r="H85" s="172">
        <f t="shared" si="21"/>
        <v>1619632.994</v>
      </c>
      <c r="I85" s="173"/>
      <c r="J85" s="170"/>
      <c r="K85" s="173"/>
      <c r="L85" s="173">
        <f>+'FACP$'!$H85-'FACP$'!$I85-'FACP$'!$K85</f>
        <v>1619632.994</v>
      </c>
      <c r="M85" s="157" t="s">
        <v>754</v>
      </c>
      <c r="N85" s="162" t="s">
        <v>554</v>
      </c>
      <c r="O85" s="175"/>
      <c r="P85" s="164">
        <f t="shared" si="13"/>
        <v>42302</v>
      </c>
      <c r="Q85" s="165">
        <f t="shared" si="2"/>
        <v>0</v>
      </c>
      <c r="R85" s="166"/>
      <c r="S85" s="167"/>
      <c r="T85" s="168">
        <f t="shared" si="3"/>
        <v>1619632.994</v>
      </c>
      <c r="U85" s="168">
        <f t="shared" si="4"/>
        <v>0</v>
      </c>
      <c r="V85" s="168">
        <f t="shared" si="5"/>
        <v>0</v>
      </c>
      <c r="W85" s="168">
        <f t="shared" si="6"/>
        <v>0</v>
      </c>
      <c r="X85" s="168">
        <f t="shared" si="7"/>
        <v>0</v>
      </c>
      <c r="Y85" s="168">
        <f t="shared" si="8"/>
        <v>0</v>
      </c>
      <c r="Z85" s="168">
        <f t="shared" si="9"/>
        <v>0</v>
      </c>
    </row>
    <row r="86" ht="15.0" customHeight="1">
      <c r="A86" s="157">
        <v>222.0</v>
      </c>
      <c r="B86" s="169" t="s">
        <v>692</v>
      </c>
      <c r="C86" s="169" t="s">
        <v>737</v>
      </c>
      <c r="D86" s="159">
        <v>42292.0</v>
      </c>
      <c r="E86" s="157" t="s">
        <v>8</v>
      </c>
      <c r="F86" s="173">
        <v>4746176.54</v>
      </c>
      <c r="G86" s="173">
        <f t="shared" si="19"/>
        <v>759388.2464</v>
      </c>
      <c r="H86" s="172">
        <f t="shared" si="21"/>
        <v>5505564.786</v>
      </c>
      <c r="I86" s="173"/>
      <c r="J86" s="170"/>
      <c r="K86" s="173"/>
      <c r="L86" s="173">
        <f>+'FACP$'!$H86-'FACP$'!$I86-'FACP$'!$K86</f>
        <v>5505564.786</v>
      </c>
      <c r="M86" s="157" t="s">
        <v>752</v>
      </c>
      <c r="N86" s="162" t="s">
        <v>554</v>
      </c>
      <c r="O86" s="175"/>
      <c r="P86" s="164">
        <f t="shared" si="13"/>
        <v>42302</v>
      </c>
      <c r="Q86" s="165">
        <f t="shared" si="2"/>
        <v>0</v>
      </c>
      <c r="R86" s="166"/>
      <c r="S86" s="167"/>
      <c r="T86" s="168">
        <f t="shared" si="3"/>
        <v>5505564.786</v>
      </c>
      <c r="U86" s="168">
        <f t="shared" si="4"/>
        <v>0</v>
      </c>
      <c r="V86" s="168">
        <f t="shared" si="5"/>
        <v>0</v>
      </c>
      <c r="W86" s="168">
        <f t="shared" si="6"/>
        <v>0</v>
      </c>
      <c r="X86" s="168">
        <f t="shared" si="7"/>
        <v>0</v>
      </c>
      <c r="Y86" s="168">
        <f t="shared" si="8"/>
        <v>0</v>
      </c>
      <c r="Z86" s="168">
        <f t="shared" si="9"/>
        <v>0</v>
      </c>
    </row>
    <row r="87" ht="15.0" customHeight="1">
      <c r="A87" s="157">
        <v>223.0</v>
      </c>
      <c r="B87" s="169" t="s">
        <v>692</v>
      </c>
      <c r="C87" s="169" t="s">
        <v>737</v>
      </c>
      <c r="D87" s="159">
        <v>42292.0</v>
      </c>
      <c r="E87" s="157" t="s">
        <v>8</v>
      </c>
      <c r="F87" s="173">
        <v>301570.19</v>
      </c>
      <c r="G87" s="173">
        <f t="shared" si="19"/>
        <v>48251.2304</v>
      </c>
      <c r="H87" s="172">
        <f t="shared" si="21"/>
        <v>349821.4204</v>
      </c>
      <c r="I87" s="173"/>
      <c r="J87" s="170"/>
      <c r="K87" s="173"/>
      <c r="L87" s="173">
        <f>+'FACP$'!$H87-'FACP$'!$I87-'FACP$'!$K87</f>
        <v>349821.4204</v>
      </c>
      <c r="M87" s="157" t="s">
        <v>738</v>
      </c>
      <c r="N87" s="162" t="s">
        <v>554</v>
      </c>
      <c r="O87" s="175"/>
      <c r="P87" s="164">
        <f t="shared" si="13"/>
        <v>42302</v>
      </c>
      <c r="Q87" s="165">
        <f t="shared" si="2"/>
        <v>0</v>
      </c>
      <c r="R87" s="166"/>
      <c r="S87" s="167"/>
      <c r="T87" s="168">
        <f t="shared" si="3"/>
        <v>349821.4204</v>
      </c>
      <c r="U87" s="168">
        <f t="shared" si="4"/>
        <v>0</v>
      </c>
      <c r="V87" s="168">
        <f t="shared" si="5"/>
        <v>0</v>
      </c>
      <c r="W87" s="168">
        <f t="shared" si="6"/>
        <v>0</v>
      </c>
      <c r="X87" s="168">
        <f t="shared" si="7"/>
        <v>0</v>
      </c>
      <c r="Y87" s="168">
        <f t="shared" si="8"/>
        <v>0</v>
      </c>
      <c r="Z87" s="168">
        <f t="shared" si="9"/>
        <v>0</v>
      </c>
    </row>
    <row r="88" ht="15.0" customHeight="1">
      <c r="A88" s="157">
        <v>224.0</v>
      </c>
      <c r="B88" s="169" t="s">
        <v>70</v>
      </c>
      <c r="C88" s="169" t="s">
        <v>750</v>
      </c>
      <c r="D88" s="159">
        <v>42309.0</v>
      </c>
      <c r="E88" s="157" t="s">
        <v>8</v>
      </c>
      <c r="F88" s="173">
        <v>695603.83</v>
      </c>
      <c r="G88" s="173">
        <f t="shared" si="19"/>
        <v>111296.6128</v>
      </c>
      <c r="H88" s="172">
        <f t="shared" si="21"/>
        <v>806900.4428</v>
      </c>
      <c r="I88" s="173"/>
      <c r="J88" s="170"/>
      <c r="K88" s="173"/>
      <c r="L88" s="173">
        <f>+'FACP$'!$H88-'FACP$'!$I88-'FACP$'!$K88</f>
        <v>806900.4428</v>
      </c>
      <c r="M88" s="157" t="s">
        <v>719</v>
      </c>
      <c r="N88" s="162" t="s">
        <v>554</v>
      </c>
      <c r="O88" s="163">
        <v>43051.0</v>
      </c>
      <c r="P88" s="164">
        <f t="shared" si="13"/>
        <v>42319</v>
      </c>
      <c r="Q88" s="165">
        <f t="shared" si="2"/>
        <v>0</v>
      </c>
      <c r="R88" s="166"/>
      <c r="S88" s="167"/>
      <c r="T88" s="168">
        <f t="shared" si="3"/>
        <v>806900.4428</v>
      </c>
      <c r="U88" s="168">
        <f t="shared" si="4"/>
        <v>0</v>
      </c>
      <c r="V88" s="168">
        <f t="shared" si="5"/>
        <v>0</v>
      </c>
      <c r="W88" s="168">
        <f t="shared" si="6"/>
        <v>0</v>
      </c>
      <c r="X88" s="168">
        <f t="shared" si="7"/>
        <v>0</v>
      </c>
      <c r="Y88" s="168">
        <f t="shared" si="8"/>
        <v>0</v>
      </c>
      <c r="Z88" s="168">
        <f t="shared" si="9"/>
        <v>0</v>
      </c>
    </row>
    <row r="89" ht="15.0" customHeight="1">
      <c r="A89" s="157">
        <v>227.0</v>
      </c>
      <c r="B89" s="169" t="s">
        <v>692</v>
      </c>
      <c r="C89" s="169" t="s">
        <v>737</v>
      </c>
      <c r="D89" s="159">
        <v>42309.0</v>
      </c>
      <c r="E89" s="157" t="s">
        <v>8</v>
      </c>
      <c r="F89" s="173">
        <v>1092097.58</v>
      </c>
      <c r="G89" s="173">
        <f t="shared" si="19"/>
        <v>174735.6128</v>
      </c>
      <c r="H89" s="172">
        <f t="shared" si="21"/>
        <v>1266833.193</v>
      </c>
      <c r="I89" s="173"/>
      <c r="J89" s="170"/>
      <c r="K89" s="173"/>
      <c r="L89" s="173">
        <f>+'FACP$'!$H89-'FACP$'!$I89-'FACP$'!$K89</f>
        <v>1266833.193</v>
      </c>
      <c r="M89" s="157" t="s">
        <v>754</v>
      </c>
      <c r="N89" s="162" t="s">
        <v>554</v>
      </c>
      <c r="O89" s="175"/>
      <c r="P89" s="164">
        <f t="shared" si="13"/>
        <v>42319</v>
      </c>
      <c r="Q89" s="165">
        <f t="shared" si="2"/>
        <v>0</v>
      </c>
      <c r="R89" s="166"/>
      <c r="S89" s="167"/>
      <c r="T89" s="168">
        <f t="shared" si="3"/>
        <v>1266833.193</v>
      </c>
      <c r="U89" s="168">
        <f t="shared" si="4"/>
        <v>0</v>
      </c>
      <c r="V89" s="168">
        <f t="shared" si="5"/>
        <v>0</v>
      </c>
      <c r="W89" s="168">
        <f t="shared" si="6"/>
        <v>0</v>
      </c>
      <c r="X89" s="168">
        <f t="shared" si="7"/>
        <v>0</v>
      </c>
      <c r="Y89" s="168">
        <f t="shared" si="8"/>
        <v>0</v>
      </c>
      <c r="Z89" s="168">
        <f t="shared" si="9"/>
        <v>0</v>
      </c>
    </row>
    <row r="90" ht="15.0" customHeight="1">
      <c r="A90" s="157">
        <v>228.0</v>
      </c>
      <c r="B90" s="169" t="s">
        <v>692</v>
      </c>
      <c r="C90" s="169" t="s">
        <v>737</v>
      </c>
      <c r="D90" s="159">
        <v>42309.0</v>
      </c>
      <c r="E90" s="157" t="s">
        <v>8</v>
      </c>
      <c r="F90" s="173">
        <v>4295971.35</v>
      </c>
      <c r="G90" s="173">
        <f t="shared" si="19"/>
        <v>687355.416</v>
      </c>
      <c r="H90" s="172">
        <f t="shared" si="21"/>
        <v>4983326.766</v>
      </c>
      <c r="I90" s="173"/>
      <c r="J90" s="170"/>
      <c r="K90" s="173"/>
      <c r="L90" s="173">
        <f>+'FACP$'!$H90-'FACP$'!$I90-'FACP$'!$K90</f>
        <v>4983326.766</v>
      </c>
      <c r="M90" s="157" t="s">
        <v>749</v>
      </c>
      <c r="N90" s="162" t="s">
        <v>554</v>
      </c>
      <c r="O90" s="175"/>
      <c r="P90" s="164">
        <f t="shared" si="13"/>
        <v>42319</v>
      </c>
      <c r="Q90" s="165">
        <f t="shared" si="2"/>
        <v>0</v>
      </c>
      <c r="R90" s="166"/>
      <c r="S90" s="167"/>
      <c r="T90" s="168">
        <f t="shared" si="3"/>
        <v>4983326.766</v>
      </c>
      <c r="U90" s="168">
        <f t="shared" si="4"/>
        <v>0</v>
      </c>
      <c r="V90" s="168">
        <f t="shared" si="5"/>
        <v>0</v>
      </c>
      <c r="W90" s="168">
        <f t="shared" si="6"/>
        <v>0</v>
      </c>
      <c r="X90" s="168">
        <f t="shared" si="7"/>
        <v>0</v>
      </c>
      <c r="Y90" s="168">
        <f t="shared" si="8"/>
        <v>0</v>
      </c>
      <c r="Z90" s="168">
        <f t="shared" si="9"/>
        <v>0</v>
      </c>
    </row>
    <row r="91" ht="15.0" customHeight="1">
      <c r="A91" s="157">
        <v>229.0</v>
      </c>
      <c r="B91" s="169" t="s">
        <v>692</v>
      </c>
      <c r="C91" s="169" t="s">
        <v>737</v>
      </c>
      <c r="D91" s="159">
        <v>42309.0</v>
      </c>
      <c r="E91" s="157" t="s">
        <v>8</v>
      </c>
      <c r="F91" s="173">
        <v>236964.26</v>
      </c>
      <c r="G91" s="173">
        <f t="shared" si="19"/>
        <v>37914.2816</v>
      </c>
      <c r="H91" s="172">
        <f t="shared" si="21"/>
        <v>274878.5416</v>
      </c>
      <c r="I91" s="173"/>
      <c r="J91" s="170"/>
      <c r="K91" s="173"/>
      <c r="L91" s="173">
        <f>+'FACP$'!$H91-'FACP$'!$I91-'FACP$'!$K91</f>
        <v>274878.5416</v>
      </c>
      <c r="M91" s="157" t="s">
        <v>738</v>
      </c>
      <c r="N91" s="162" t="s">
        <v>554</v>
      </c>
      <c r="O91" s="175"/>
      <c r="P91" s="164">
        <f t="shared" si="13"/>
        <v>42319</v>
      </c>
      <c r="Q91" s="165">
        <f t="shared" si="2"/>
        <v>0</v>
      </c>
      <c r="R91" s="166"/>
      <c r="S91" s="167"/>
      <c r="T91" s="168">
        <f t="shared" si="3"/>
        <v>274878.5416</v>
      </c>
      <c r="U91" s="168">
        <f t="shared" si="4"/>
        <v>0</v>
      </c>
      <c r="V91" s="168">
        <f t="shared" si="5"/>
        <v>0</v>
      </c>
      <c r="W91" s="168">
        <f t="shared" si="6"/>
        <v>0</v>
      </c>
      <c r="X91" s="168">
        <f t="shared" si="7"/>
        <v>0</v>
      </c>
      <c r="Y91" s="168">
        <f t="shared" si="8"/>
        <v>0</v>
      </c>
      <c r="Z91" s="168">
        <f t="shared" si="9"/>
        <v>0</v>
      </c>
    </row>
    <row r="92" ht="15.0" customHeight="1">
      <c r="A92" s="157">
        <v>232.0</v>
      </c>
      <c r="B92" s="169" t="s">
        <v>692</v>
      </c>
      <c r="C92" s="169" t="s">
        <v>737</v>
      </c>
      <c r="D92" s="159">
        <v>42323.0</v>
      </c>
      <c r="E92" s="157" t="s">
        <v>8</v>
      </c>
      <c r="F92" s="173">
        <v>1236349.3</v>
      </c>
      <c r="G92" s="173">
        <f t="shared" si="19"/>
        <v>197815.888</v>
      </c>
      <c r="H92" s="172">
        <f t="shared" si="21"/>
        <v>1434165.188</v>
      </c>
      <c r="I92" s="173"/>
      <c r="J92" s="170"/>
      <c r="K92" s="173"/>
      <c r="L92" s="173">
        <f>+'FACP$'!$H92-'FACP$'!$I92-'FACP$'!$K92</f>
        <v>1434165.188</v>
      </c>
      <c r="M92" s="157" t="s">
        <v>754</v>
      </c>
      <c r="N92" s="162" t="s">
        <v>554</v>
      </c>
      <c r="O92" s="175"/>
      <c r="P92" s="164">
        <f t="shared" si="13"/>
        <v>42333</v>
      </c>
      <c r="Q92" s="165">
        <f t="shared" si="2"/>
        <v>0</v>
      </c>
      <c r="R92" s="166"/>
      <c r="S92" s="167"/>
      <c r="T92" s="168">
        <f t="shared" si="3"/>
        <v>1434165.188</v>
      </c>
      <c r="U92" s="168">
        <f t="shared" si="4"/>
        <v>0</v>
      </c>
      <c r="V92" s="168">
        <f t="shared" si="5"/>
        <v>0</v>
      </c>
      <c r="W92" s="168">
        <f t="shared" si="6"/>
        <v>0</v>
      </c>
      <c r="X92" s="168">
        <f t="shared" si="7"/>
        <v>0</v>
      </c>
      <c r="Y92" s="168">
        <f t="shared" si="8"/>
        <v>0</v>
      </c>
      <c r="Z92" s="168">
        <f t="shared" si="9"/>
        <v>0</v>
      </c>
    </row>
    <row r="93" ht="15.0" customHeight="1">
      <c r="A93" s="157">
        <v>233.0</v>
      </c>
      <c r="B93" s="169" t="s">
        <v>692</v>
      </c>
      <c r="C93" s="169" t="s">
        <v>737</v>
      </c>
      <c r="D93" s="159">
        <v>42323.0</v>
      </c>
      <c r="E93" s="157" t="s">
        <v>8</v>
      </c>
      <c r="F93" s="173">
        <v>4786568.79</v>
      </c>
      <c r="G93" s="173">
        <f t="shared" si="19"/>
        <v>765851.0064</v>
      </c>
      <c r="H93" s="172">
        <f t="shared" si="21"/>
        <v>5552419.796</v>
      </c>
      <c r="I93" s="173"/>
      <c r="J93" s="170"/>
      <c r="K93" s="173"/>
      <c r="L93" s="173">
        <f>+'FACP$'!$H93-'FACP$'!$I93-'FACP$'!$K93</f>
        <v>5552419.796</v>
      </c>
      <c r="M93" s="157" t="s">
        <v>749</v>
      </c>
      <c r="N93" s="162" t="s">
        <v>554</v>
      </c>
      <c r="O93" s="175"/>
      <c r="P93" s="164">
        <f t="shared" si="13"/>
        <v>42333</v>
      </c>
      <c r="Q93" s="165">
        <f t="shared" si="2"/>
        <v>0</v>
      </c>
      <c r="R93" s="166"/>
      <c r="S93" s="167"/>
      <c r="T93" s="168">
        <f t="shared" si="3"/>
        <v>5552419.796</v>
      </c>
      <c r="U93" s="168">
        <f t="shared" si="4"/>
        <v>0</v>
      </c>
      <c r="V93" s="168">
        <f t="shared" si="5"/>
        <v>0</v>
      </c>
      <c r="W93" s="168">
        <f t="shared" si="6"/>
        <v>0</v>
      </c>
      <c r="X93" s="168">
        <f t="shared" si="7"/>
        <v>0</v>
      </c>
      <c r="Y93" s="168">
        <f t="shared" si="8"/>
        <v>0</v>
      </c>
      <c r="Z93" s="168">
        <f t="shared" si="9"/>
        <v>0</v>
      </c>
    </row>
    <row r="94" ht="15.0" customHeight="1">
      <c r="A94" s="157">
        <v>234.0</v>
      </c>
      <c r="B94" s="169" t="s">
        <v>692</v>
      </c>
      <c r="C94" s="169" t="s">
        <v>737</v>
      </c>
      <c r="D94" s="159">
        <v>42323.0</v>
      </c>
      <c r="E94" s="157" t="s">
        <v>8</v>
      </c>
      <c r="F94" s="173">
        <v>252959.9</v>
      </c>
      <c r="G94" s="173">
        <f t="shared" si="19"/>
        <v>40473.584</v>
      </c>
      <c r="H94" s="172">
        <f t="shared" si="21"/>
        <v>293433.484</v>
      </c>
      <c r="I94" s="173"/>
      <c r="J94" s="170"/>
      <c r="K94" s="173"/>
      <c r="L94" s="173">
        <f>+'FACP$'!$H94-'FACP$'!$I94-'FACP$'!$K94</f>
        <v>293433.484</v>
      </c>
      <c r="M94" s="157" t="s">
        <v>738</v>
      </c>
      <c r="N94" s="162" t="s">
        <v>554</v>
      </c>
      <c r="O94" s="175"/>
      <c r="P94" s="164">
        <f t="shared" si="13"/>
        <v>42333</v>
      </c>
      <c r="Q94" s="165">
        <f t="shared" si="2"/>
        <v>0</v>
      </c>
      <c r="R94" s="166"/>
      <c r="S94" s="167"/>
      <c r="T94" s="168">
        <f t="shared" si="3"/>
        <v>293433.484</v>
      </c>
      <c r="U94" s="168">
        <f t="shared" si="4"/>
        <v>0</v>
      </c>
      <c r="V94" s="168">
        <f t="shared" si="5"/>
        <v>0</v>
      </c>
      <c r="W94" s="168">
        <f t="shared" si="6"/>
        <v>0</v>
      </c>
      <c r="X94" s="168">
        <f t="shared" si="7"/>
        <v>0</v>
      </c>
      <c r="Y94" s="168">
        <f t="shared" si="8"/>
        <v>0</v>
      </c>
      <c r="Z94" s="168">
        <f t="shared" si="9"/>
        <v>0</v>
      </c>
    </row>
    <row r="95" ht="15.0" customHeight="1">
      <c r="A95" s="157">
        <v>235.0</v>
      </c>
      <c r="B95" s="169" t="s">
        <v>70</v>
      </c>
      <c r="C95" s="169" t="s">
        <v>750</v>
      </c>
      <c r="D95" s="159">
        <v>42309.0</v>
      </c>
      <c r="E95" s="157" t="s">
        <v>8</v>
      </c>
      <c r="F95" s="173">
        <v>163963.76</v>
      </c>
      <c r="G95" s="173">
        <f t="shared" si="19"/>
        <v>26234.2016</v>
      </c>
      <c r="H95" s="172">
        <f t="shared" si="21"/>
        <v>190197.9616</v>
      </c>
      <c r="I95" s="173"/>
      <c r="J95" s="170"/>
      <c r="K95" s="173"/>
      <c r="L95" s="173">
        <f>+'FACP$'!$H95-'FACP$'!$I95-'FACP$'!$K95</f>
        <v>190197.9616</v>
      </c>
      <c r="M95" s="157" t="s">
        <v>719</v>
      </c>
      <c r="N95" s="162" t="s">
        <v>127</v>
      </c>
      <c r="O95" s="163"/>
      <c r="P95" s="164">
        <f t="shared" si="13"/>
        <v>42319</v>
      </c>
      <c r="Q95" s="165">
        <f t="shared" si="2"/>
        <v>0</v>
      </c>
      <c r="R95" s="166"/>
      <c r="S95" s="167"/>
      <c r="T95" s="168">
        <f t="shared" si="3"/>
        <v>190197.9616</v>
      </c>
      <c r="U95" s="168">
        <f t="shared" si="4"/>
        <v>0</v>
      </c>
      <c r="V95" s="168">
        <f t="shared" si="5"/>
        <v>0</v>
      </c>
      <c r="W95" s="168">
        <f t="shared" si="6"/>
        <v>0</v>
      </c>
      <c r="X95" s="168">
        <f t="shared" si="7"/>
        <v>0</v>
      </c>
      <c r="Y95" s="168">
        <f t="shared" si="8"/>
        <v>0</v>
      </c>
      <c r="Z95" s="168">
        <f t="shared" si="9"/>
        <v>0</v>
      </c>
    </row>
    <row r="96" ht="15.0" customHeight="1">
      <c r="A96" s="157">
        <v>240.0</v>
      </c>
      <c r="B96" s="169" t="s">
        <v>692</v>
      </c>
      <c r="C96" s="169" t="s">
        <v>737</v>
      </c>
      <c r="D96" s="159">
        <v>42339.0</v>
      </c>
      <c r="E96" s="157" t="s">
        <v>8</v>
      </c>
      <c r="F96" s="160">
        <v>4343195.26</v>
      </c>
      <c r="G96" s="160">
        <v>694911.24</v>
      </c>
      <c r="H96" s="172">
        <f t="shared" si="21"/>
        <v>5038106.5</v>
      </c>
      <c r="I96" s="173"/>
      <c r="J96" s="170"/>
      <c r="K96" s="173"/>
      <c r="L96" s="173">
        <f>+'FACP$'!$H96-'FACP$'!$I96-'FACP$'!$K96</f>
        <v>5038106.5</v>
      </c>
      <c r="M96" s="157" t="s">
        <v>749</v>
      </c>
      <c r="N96" s="162" t="s">
        <v>554</v>
      </c>
      <c r="O96" s="175"/>
      <c r="P96" s="164">
        <f t="shared" si="13"/>
        <v>42349</v>
      </c>
      <c r="Q96" s="165">
        <f t="shared" si="2"/>
        <v>0</v>
      </c>
      <c r="R96" s="166"/>
      <c r="S96" s="167"/>
      <c r="T96" s="168">
        <f t="shared" si="3"/>
        <v>5038106.5</v>
      </c>
      <c r="U96" s="168">
        <f t="shared" si="4"/>
        <v>0</v>
      </c>
      <c r="V96" s="168">
        <f t="shared" si="5"/>
        <v>0</v>
      </c>
      <c r="W96" s="168">
        <f t="shared" si="6"/>
        <v>0</v>
      </c>
      <c r="X96" s="168">
        <f t="shared" si="7"/>
        <v>0</v>
      </c>
      <c r="Y96" s="168">
        <f t="shared" si="8"/>
        <v>0</v>
      </c>
      <c r="Z96" s="168">
        <f t="shared" si="9"/>
        <v>0</v>
      </c>
    </row>
    <row r="97" ht="15.0" customHeight="1">
      <c r="A97" s="157">
        <v>241.0</v>
      </c>
      <c r="B97" s="169" t="s">
        <v>692</v>
      </c>
      <c r="C97" s="169" t="s">
        <v>737</v>
      </c>
      <c r="D97" s="159">
        <v>42339.0</v>
      </c>
      <c r="E97" s="157" t="s">
        <v>8</v>
      </c>
      <c r="F97" s="160">
        <v>213366.15</v>
      </c>
      <c r="G97" s="160">
        <v>34138.59</v>
      </c>
      <c r="H97" s="172">
        <f t="shared" si="21"/>
        <v>247504.74</v>
      </c>
      <c r="I97" s="173"/>
      <c r="J97" s="170"/>
      <c r="K97" s="173"/>
      <c r="L97" s="173">
        <f>+'FACP$'!$H97-'FACP$'!$I97-'FACP$'!$K97</f>
        <v>247504.74</v>
      </c>
      <c r="M97" s="157" t="s">
        <v>738</v>
      </c>
      <c r="N97" s="162" t="s">
        <v>554</v>
      </c>
      <c r="O97" s="175"/>
      <c r="P97" s="164">
        <f t="shared" si="13"/>
        <v>42349</v>
      </c>
      <c r="Q97" s="165">
        <f t="shared" si="2"/>
        <v>0</v>
      </c>
      <c r="R97" s="166"/>
      <c r="S97" s="167"/>
      <c r="T97" s="168">
        <f t="shared" si="3"/>
        <v>247504.74</v>
      </c>
      <c r="U97" s="168">
        <f t="shared" si="4"/>
        <v>0</v>
      </c>
      <c r="V97" s="168">
        <f t="shared" si="5"/>
        <v>0</v>
      </c>
      <c r="W97" s="168">
        <f t="shared" si="6"/>
        <v>0</v>
      </c>
      <c r="X97" s="168">
        <f t="shared" si="7"/>
        <v>0</v>
      </c>
      <c r="Y97" s="168">
        <f t="shared" si="8"/>
        <v>0</v>
      </c>
      <c r="Z97" s="168">
        <f t="shared" si="9"/>
        <v>0</v>
      </c>
    </row>
    <row r="98" ht="15.0" customHeight="1">
      <c r="A98" s="157">
        <v>243.0</v>
      </c>
      <c r="B98" s="169" t="s">
        <v>692</v>
      </c>
      <c r="C98" s="169" t="s">
        <v>737</v>
      </c>
      <c r="D98" s="159">
        <v>42339.0</v>
      </c>
      <c r="E98" s="157" t="s">
        <v>8</v>
      </c>
      <c r="F98" s="160">
        <v>1407365.58</v>
      </c>
      <c r="G98" s="160">
        <v>225178.49</v>
      </c>
      <c r="H98" s="172">
        <f t="shared" si="21"/>
        <v>1632544.07</v>
      </c>
      <c r="I98" s="173"/>
      <c r="J98" s="170"/>
      <c r="K98" s="173"/>
      <c r="L98" s="173">
        <f>+'FACP$'!$H98-'FACP$'!$I98-'FACP$'!$K98</f>
        <v>1632544.07</v>
      </c>
      <c r="M98" s="157" t="s">
        <v>754</v>
      </c>
      <c r="N98" s="162" t="s">
        <v>127</v>
      </c>
      <c r="O98" s="175"/>
      <c r="P98" s="164">
        <f t="shared" si="13"/>
        <v>42349</v>
      </c>
      <c r="Q98" s="165">
        <f t="shared" si="2"/>
        <v>0</v>
      </c>
      <c r="R98" s="166"/>
      <c r="S98" s="167"/>
      <c r="T98" s="168">
        <f t="shared" si="3"/>
        <v>1632544.07</v>
      </c>
      <c r="U98" s="168">
        <f t="shared" si="4"/>
        <v>0</v>
      </c>
      <c r="V98" s="168">
        <f t="shared" si="5"/>
        <v>0</v>
      </c>
      <c r="W98" s="168">
        <f t="shared" si="6"/>
        <v>0</v>
      </c>
      <c r="X98" s="168">
        <f t="shared" si="7"/>
        <v>0</v>
      </c>
      <c r="Y98" s="168">
        <f t="shared" si="8"/>
        <v>0</v>
      </c>
      <c r="Z98" s="168">
        <f t="shared" si="9"/>
        <v>0</v>
      </c>
    </row>
    <row r="99" ht="15.0" customHeight="1">
      <c r="A99" s="157">
        <v>244.0</v>
      </c>
      <c r="B99" s="169" t="s">
        <v>70</v>
      </c>
      <c r="C99" s="169" t="s">
        <v>750</v>
      </c>
      <c r="D99" s="159">
        <v>42353.0</v>
      </c>
      <c r="E99" s="157" t="s">
        <v>8</v>
      </c>
      <c r="F99" s="160">
        <v>772459.9</v>
      </c>
      <c r="G99" s="160">
        <v>123593.58</v>
      </c>
      <c r="H99" s="172">
        <f t="shared" si="21"/>
        <v>896053.48</v>
      </c>
      <c r="I99" s="173"/>
      <c r="J99" s="170"/>
      <c r="K99" s="173"/>
      <c r="L99" s="173">
        <f>+'FACP$'!$H99-'FACP$'!$I99-'FACP$'!$K99</f>
        <v>896053.48</v>
      </c>
      <c r="M99" s="157" t="s">
        <v>753</v>
      </c>
      <c r="N99" s="162" t="s">
        <v>554</v>
      </c>
      <c r="O99" s="163">
        <v>43097.0</v>
      </c>
      <c r="P99" s="164">
        <f t="shared" si="13"/>
        <v>42363</v>
      </c>
      <c r="Q99" s="165">
        <f t="shared" si="2"/>
        <v>0</v>
      </c>
      <c r="R99" s="166"/>
      <c r="S99" s="167"/>
      <c r="T99" s="168">
        <f t="shared" si="3"/>
        <v>896053.48</v>
      </c>
      <c r="U99" s="168">
        <f t="shared" si="4"/>
        <v>0</v>
      </c>
      <c r="V99" s="168">
        <f t="shared" si="5"/>
        <v>0</v>
      </c>
      <c r="W99" s="168">
        <f t="shared" si="6"/>
        <v>0</v>
      </c>
      <c r="X99" s="168">
        <f t="shared" si="7"/>
        <v>0</v>
      </c>
      <c r="Y99" s="168">
        <f t="shared" si="8"/>
        <v>0</v>
      </c>
      <c r="Z99" s="168">
        <f t="shared" si="9"/>
        <v>0</v>
      </c>
    </row>
    <row r="100" ht="15.0" customHeight="1">
      <c r="A100" s="157">
        <v>246.0</v>
      </c>
      <c r="B100" s="169" t="s">
        <v>692</v>
      </c>
      <c r="C100" s="169" t="s">
        <v>737</v>
      </c>
      <c r="D100" s="159">
        <v>42339.0</v>
      </c>
      <c r="E100" s="157" t="s">
        <v>8</v>
      </c>
      <c r="F100" s="160">
        <v>1153367.83</v>
      </c>
      <c r="G100" s="160">
        <v>184538.85</v>
      </c>
      <c r="H100" s="172">
        <f t="shared" si="21"/>
        <v>1337906.68</v>
      </c>
      <c r="I100" s="173"/>
      <c r="J100" s="170"/>
      <c r="K100" s="173"/>
      <c r="L100" s="173">
        <f>+'FACP$'!$H100-'FACP$'!$I100-'FACP$'!$K100</f>
        <v>1337906.68</v>
      </c>
      <c r="M100" s="157" t="s">
        <v>754</v>
      </c>
      <c r="N100" s="162" t="s">
        <v>554</v>
      </c>
      <c r="O100" s="175"/>
      <c r="P100" s="164">
        <f t="shared" si="13"/>
        <v>42349</v>
      </c>
      <c r="Q100" s="165">
        <f t="shared" si="2"/>
        <v>0</v>
      </c>
      <c r="R100" s="166"/>
      <c r="S100" s="167"/>
      <c r="T100" s="168">
        <f t="shared" si="3"/>
        <v>1337906.68</v>
      </c>
      <c r="U100" s="168">
        <f t="shared" si="4"/>
        <v>0</v>
      </c>
      <c r="V100" s="168">
        <f t="shared" si="5"/>
        <v>0</v>
      </c>
      <c r="W100" s="168">
        <f t="shared" si="6"/>
        <v>0</v>
      </c>
      <c r="X100" s="168">
        <f t="shared" si="7"/>
        <v>0</v>
      </c>
      <c r="Y100" s="168">
        <f t="shared" si="8"/>
        <v>0</v>
      </c>
      <c r="Z100" s="168">
        <f t="shared" si="9"/>
        <v>0</v>
      </c>
    </row>
    <row r="101" ht="15.0" customHeight="1">
      <c r="A101" s="157">
        <v>248.0</v>
      </c>
      <c r="B101" s="169" t="s">
        <v>692</v>
      </c>
      <c r="C101" s="169" t="s">
        <v>737</v>
      </c>
      <c r="D101" s="159">
        <v>42719.0</v>
      </c>
      <c r="E101" s="157" t="s">
        <v>8</v>
      </c>
      <c r="F101" s="160">
        <v>206204.17</v>
      </c>
      <c r="G101" s="160">
        <v>32992.67</v>
      </c>
      <c r="H101" s="172">
        <f t="shared" si="21"/>
        <v>239196.84</v>
      </c>
      <c r="I101" s="173"/>
      <c r="J101" s="170"/>
      <c r="K101" s="173"/>
      <c r="L101" s="173">
        <f>+'FACP$'!$H101-'FACP$'!$I101-'FACP$'!$K101</f>
        <v>239196.84</v>
      </c>
      <c r="M101" s="157" t="s">
        <v>738</v>
      </c>
      <c r="N101" s="162" t="s">
        <v>554</v>
      </c>
      <c r="O101" s="175">
        <v>42753.0</v>
      </c>
      <c r="P101" s="164">
        <f t="shared" si="13"/>
        <v>42729</v>
      </c>
      <c r="Q101" s="165">
        <f t="shared" si="2"/>
        <v>0</v>
      </c>
      <c r="R101" s="166"/>
      <c r="S101" s="167"/>
      <c r="T101" s="168">
        <f t="shared" si="3"/>
        <v>239196.84</v>
      </c>
      <c r="U101" s="168">
        <f t="shared" si="4"/>
        <v>0</v>
      </c>
      <c r="V101" s="168">
        <f t="shared" si="5"/>
        <v>0</v>
      </c>
      <c r="W101" s="168">
        <f t="shared" si="6"/>
        <v>0</v>
      </c>
      <c r="X101" s="168">
        <f t="shared" si="7"/>
        <v>0</v>
      </c>
      <c r="Y101" s="168">
        <f t="shared" si="8"/>
        <v>0</v>
      </c>
      <c r="Z101" s="168">
        <f t="shared" si="9"/>
        <v>0</v>
      </c>
    </row>
    <row r="102" ht="15.0" customHeight="1">
      <c r="A102" s="157">
        <v>249.0</v>
      </c>
      <c r="B102" s="169" t="s">
        <v>692</v>
      </c>
      <c r="C102" s="169" t="s">
        <v>737</v>
      </c>
      <c r="D102" s="159">
        <v>42719.0</v>
      </c>
      <c r="E102" s="157" t="s">
        <v>8</v>
      </c>
      <c r="F102" s="160">
        <v>1310285.06</v>
      </c>
      <c r="G102" s="160">
        <v>209645.61</v>
      </c>
      <c r="H102" s="172">
        <f t="shared" si="21"/>
        <v>1519930.67</v>
      </c>
      <c r="I102" s="173"/>
      <c r="J102" s="170"/>
      <c r="K102" s="173"/>
      <c r="L102" s="173">
        <f>+'FACP$'!$H102-'FACP$'!$I102-'FACP$'!$K102</f>
        <v>1519930.67</v>
      </c>
      <c r="M102" s="157" t="s">
        <v>754</v>
      </c>
      <c r="N102" s="162" t="s">
        <v>554</v>
      </c>
      <c r="O102" s="175">
        <v>42753.0</v>
      </c>
      <c r="P102" s="164">
        <f t="shared" si="13"/>
        <v>42729</v>
      </c>
      <c r="Q102" s="165">
        <f t="shared" si="2"/>
        <v>0</v>
      </c>
      <c r="R102" s="166"/>
      <c r="S102" s="167"/>
      <c r="T102" s="168">
        <f t="shared" si="3"/>
        <v>1519930.67</v>
      </c>
      <c r="U102" s="168">
        <f t="shared" si="4"/>
        <v>0</v>
      </c>
      <c r="V102" s="168">
        <f t="shared" si="5"/>
        <v>0</v>
      </c>
      <c r="W102" s="168">
        <f t="shared" si="6"/>
        <v>0</v>
      </c>
      <c r="X102" s="168">
        <f t="shared" si="7"/>
        <v>0</v>
      </c>
      <c r="Y102" s="168">
        <f t="shared" si="8"/>
        <v>0</v>
      </c>
      <c r="Z102" s="168">
        <f t="shared" si="9"/>
        <v>0</v>
      </c>
    </row>
    <row r="103" ht="15.0" customHeight="1">
      <c r="A103" s="157">
        <v>250.0</v>
      </c>
      <c r="B103" s="169" t="s">
        <v>692</v>
      </c>
      <c r="C103" s="169" t="s">
        <v>737</v>
      </c>
      <c r="D103" s="159">
        <v>42719.0</v>
      </c>
      <c r="E103" s="157" t="s">
        <v>8</v>
      </c>
      <c r="F103" s="160">
        <v>3013990.71</v>
      </c>
      <c r="G103" s="160">
        <v>482238.51</v>
      </c>
      <c r="H103" s="172">
        <f t="shared" si="21"/>
        <v>3496229.22</v>
      </c>
      <c r="I103" s="173"/>
      <c r="J103" s="170"/>
      <c r="K103" s="173"/>
      <c r="L103" s="173">
        <f>+'FACP$'!$H103-'FACP$'!$I103-'FACP$'!$K103</f>
        <v>3496229.22</v>
      </c>
      <c r="M103" s="157" t="s">
        <v>752</v>
      </c>
      <c r="N103" s="162" t="s">
        <v>127</v>
      </c>
      <c r="O103" s="175"/>
      <c r="P103" s="164">
        <f t="shared" si="13"/>
        <v>42729</v>
      </c>
      <c r="Q103" s="165">
        <f t="shared" si="2"/>
        <v>0</v>
      </c>
      <c r="R103" s="166"/>
      <c r="S103" s="167"/>
      <c r="T103" s="168">
        <f t="shared" si="3"/>
        <v>3496229.22</v>
      </c>
      <c r="U103" s="168">
        <f t="shared" si="4"/>
        <v>0</v>
      </c>
      <c r="V103" s="168">
        <f t="shared" si="5"/>
        <v>0</v>
      </c>
      <c r="W103" s="168">
        <f t="shared" si="6"/>
        <v>0</v>
      </c>
      <c r="X103" s="168">
        <f t="shared" si="7"/>
        <v>0</v>
      </c>
      <c r="Y103" s="168">
        <f t="shared" si="8"/>
        <v>0</v>
      </c>
      <c r="Z103" s="168">
        <f t="shared" si="9"/>
        <v>0</v>
      </c>
    </row>
    <row r="104" ht="14.25" customHeight="1">
      <c r="A104" s="157">
        <v>251.0</v>
      </c>
      <c r="B104" s="169" t="s">
        <v>692</v>
      </c>
      <c r="C104" s="169" t="s">
        <v>737</v>
      </c>
      <c r="D104" s="159">
        <v>42719.0</v>
      </c>
      <c r="E104" s="157" t="s">
        <v>8</v>
      </c>
      <c r="F104" s="160">
        <v>206204.17</v>
      </c>
      <c r="G104" s="160">
        <v>32992.67</v>
      </c>
      <c r="H104" s="172">
        <f t="shared" si="21"/>
        <v>239196.84</v>
      </c>
      <c r="I104" s="173"/>
      <c r="J104" s="170"/>
      <c r="K104" s="173"/>
      <c r="L104" s="173">
        <f>+'FACP$'!$H104-'FACP$'!$I104-'FACP$'!$K104</f>
        <v>239196.84</v>
      </c>
      <c r="M104" s="157" t="s">
        <v>738</v>
      </c>
      <c r="N104" s="162" t="s">
        <v>127</v>
      </c>
      <c r="O104" s="175"/>
      <c r="P104" s="164">
        <f t="shared" si="13"/>
        <v>42729</v>
      </c>
      <c r="Q104" s="165">
        <f t="shared" si="2"/>
        <v>0</v>
      </c>
      <c r="R104" s="166"/>
      <c r="S104" s="167"/>
      <c r="T104" s="168">
        <f t="shared" si="3"/>
        <v>239196.84</v>
      </c>
      <c r="U104" s="168">
        <f t="shared" si="4"/>
        <v>0</v>
      </c>
      <c r="V104" s="168">
        <f t="shared" si="5"/>
        <v>0</v>
      </c>
      <c r="W104" s="168">
        <f t="shared" si="6"/>
        <v>0</v>
      </c>
      <c r="X104" s="168">
        <f t="shared" si="7"/>
        <v>0</v>
      </c>
      <c r="Y104" s="168">
        <f t="shared" si="8"/>
        <v>0</v>
      </c>
      <c r="Z104" s="168">
        <f t="shared" si="9"/>
        <v>0</v>
      </c>
    </row>
    <row r="105" ht="14.25" customHeight="1">
      <c r="A105" s="157">
        <v>253.0</v>
      </c>
      <c r="B105" s="169" t="s">
        <v>692</v>
      </c>
      <c r="C105" s="169" t="s">
        <v>737</v>
      </c>
      <c r="D105" s="159">
        <v>42719.0</v>
      </c>
      <c r="E105" s="157" t="s">
        <v>8</v>
      </c>
      <c r="F105" s="160">
        <v>3008848.16</v>
      </c>
      <c r="G105" s="160">
        <v>481415.71</v>
      </c>
      <c r="H105" s="172">
        <f t="shared" si="21"/>
        <v>3490263.87</v>
      </c>
      <c r="I105" s="173"/>
      <c r="J105" s="170"/>
      <c r="K105" s="173"/>
      <c r="L105" s="173">
        <f>+'FACP$'!$H105-'FACP$'!$I105-'FACP$'!$K105</f>
        <v>3490263.87</v>
      </c>
      <c r="M105" s="157" t="s">
        <v>749</v>
      </c>
      <c r="N105" s="162" t="s">
        <v>554</v>
      </c>
      <c r="O105" s="175">
        <v>42753.0</v>
      </c>
      <c r="P105" s="164">
        <f t="shared" si="13"/>
        <v>42729</v>
      </c>
      <c r="Q105" s="165">
        <f t="shared" si="2"/>
        <v>0</v>
      </c>
      <c r="R105" s="166"/>
      <c r="S105" s="167"/>
      <c r="T105" s="168">
        <f t="shared" si="3"/>
        <v>3490263.87</v>
      </c>
      <c r="U105" s="168">
        <f t="shared" si="4"/>
        <v>0</v>
      </c>
      <c r="V105" s="168">
        <f t="shared" si="5"/>
        <v>0</v>
      </c>
      <c r="W105" s="168">
        <f t="shared" si="6"/>
        <v>0</v>
      </c>
      <c r="X105" s="168">
        <f t="shared" si="7"/>
        <v>0</v>
      </c>
      <c r="Y105" s="168">
        <f t="shared" si="8"/>
        <v>0</v>
      </c>
      <c r="Z105" s="168">
        <f t="shared" si="9"/>
        <v>0</v>
      </c>
    </row>
    <row r="106" ht="14.25" customHeight="1">
      <c r="A106" s="157">
        <v>255.0</v>
      </c>
      <c r="B106" s="169" t="s">
        <v>692</v>
      </c>
      <c r="C106" s="169" t="s">
        <v>737</v>
      </c>
      <c r="D106" s="159">
        <v>42370.0</v>
      </c>
      <c r="E106" s="157" t="s">
        <v>8</v>
      </c>
      <c r="F106" s="160">
        <v>1240220.39</v>
      </c>
      <c r="G106" s="160">
        <v>198435.26</v>
      </c>
      <c r="H106" s="172">
        <f t="shared" si="21"/>
        <v>1438655.65</v>
      </c>
      <c r="I106" s="173"/>
      <c r="J106" s="170"/>
      <c r="K106" s="173"/>
      <c r="L106" s="173">
        <f>+'FACP$'!$H106-'FACP$'!$I106-'FACP$'!$K106</f>
        <v>1438655.65</v>
      </c>
      <c r="M106" s="157" t="s">
        <v>754</v>
      </c>
      <c r="N106" s="162" t="s">
        <v>554</v>
      </c>
      <c r="O106" s="175">
        <v>42768.0</v>
      </c>
      <c r="P106" s="164">
        <f t="shared" si="13"/>
        <v>42380</v>
      </c>
      <c r="Q106" s="165">
        <f t="shared" si="2"/>
        <v>0</v>
      </c>
      <c r="R106" s="166"/>
      <c r="S106" s="167"/>
      <c r="T106" s="168">
        <f t="shared" si="3"/>
        <v>1438655.65</v>
      </c>
      <c r="U106" s="168">
        <f t="shared" si="4"/>
        <v>0</v>
      </c>
      <c r="V106" s="168">
        <f t="shared" si="5"/>
        <v>0</v>
      </c>
      <c r="W106" s="168">
        <f t="shared" si="6"/>
        <v>0</v>
      </c>
      <c r="X106" s="168">
        <f t="shared" si="7"/>
        <v>0</v>
      </c>
      <c r="Y106" s="168">
        <f t="shared" si="8"/>
        <v>0</v>
      </c>
      <c r="Z106" s="168">
        <f t="shared" si="9"/>
        <v>0</v>
      </c>
    </row>
    <row r="107" ht="14.25" customHeight="1">
      <c r="A107" s="157">
        <v>256.0</v>
      </c>
      <c r="B107" s="169" t="s">
        <v>692</v>
      </c>
      <c r="C107" s="169" t="s">
        <v>737</v>
      </c>
      <c r="D107" s="159">
        <v>42370.0</v>
      </c>
      <c r="E107" s="157" t="s">
        <v>8</v>
      </c>
      <c r="F107" s="160">
        <v>4565257.88</v>
      </c>
      <c r="G107" s="160">
        <v>730441.26</v>
      </c>
      <c r="H107" s="172">
        <f t="shared" si="21"/>
        <v>5295699.14</v>
      </c>
      <c r="I107" s="173"/>
      <c r="J107" s="170"/>
      <c r="K107" s="173"/>
      <c r="L107" s="173">
        <f>+'FACP$'!$H107-'FACP$'!$I107-'FACP$'!$K107</f>
        <v>5295699.14</v>
      </c>
      <c r="M107" s="157" t="s">
        <v>749</v>
      </c>
      <c r="N107" s="162" t="s">
        <v>554</v>
      </c>
      <c r="O107" s="175">
        <v>42768.0</v>
      </c>
      <c r="P107" s="164">
        <f t="shared" si="13"/>
        <v>42380</v>
      </c>
      <c r="Q107" s="165">
        <f t="shared" si="2"/>
        <v>0</v>
      </c>
      <c r="R107" s="166"/>
      <c r="S107" s="167"/>
      <c r="T107" s="168">
        <f t="shared" si="3"/>
        <v>5295699.14</v>
      </c>
      <c r="U107" s="168">
        <f t="shared" si="4"/>
        <v>0</v>
      </c>
      <c r="V107" s="168">
        <f t="shared" si="5"/>
        <v>0</v>
      </c>
      <c r="W107" s="168">
        <f t="shared" si="6"/>
        <v>0</v>
      </c>
      <c r="X107" s="168">
        <f t="shared" si="7"/>
        <v>0</v>
      </c>
      <c r="Y107" s="168">
        <f t="shared" si="8"/>
        <v>0</v>
      </c>
      <c r="Z107" s="168">
        <f t="shared" si="9"/>
        <v>0</v>
      </c>
    </row>
    <row r="108" ht="14.25" customHeight="1">
      <c r="A108" s="157">
        <v>257.0</v>
      </c>
      <c r="B108" s="169" t="s">
        <v>692</v>
      </c>
      <c r="C108" s="169" t="s">
        <v>737</v>
      </c>
      <c r="D108" s="159">
        <v>42370.0</v>
      </c>
      <c r="E108" s="157" t="s">
        <v>8</v>
      </c>
      <c r="F108" s="160">
        <v>206531.25</v>
      </c>
      <c r="G108" s="160">
        <v>33045.0</v>
      </c>
      <c r="H108" s="172">
        <f t="shared" si="21"/>
        <v>239576.25</v>
      </c>
      <c r="I108" s="173"/>
      <c r="J108" s="170"/>
      <c r="K108" s="173"/>
      <c r="L108" s="173">
        <f>+'FACP$'!$H108-'FACP$'!$I108-'FACP$'!$K108</f>
        <v>239576.25</v>
      </c>
      <c r="M108" s="157" t="s">
        <v>738</v>
      </c>
      <c r="N108" s="162" t="s">
        <v>554</v>
      </c>
      <c r="O108" s="175">
        <v>42768.0</v>
      </c>
      <c r="P108" s="164">
        <f t="shared" si="13"/>
        <v>42380</v>
      </c>
      <c r="Q108" s="165">
        <f t="shared" si="2"/>
        <v>0</v>
      </c>
      <c r="R108" s="166"/>
      <c r="S108" s="167"/>
      <c r="T108" s="168">
        <f t="shared" si="3"/>
        <v>239576.25</v>
      </c>
      <c r="U108" s="168">
        <f t="shared" si="4"/>
        <v>0</v>
      </c>
      <c r="V108" s="168">
        <f t="shared" si="5"/>
        <v>0</v>
      </c>
      <c r="W108" s="168">
        <f t="shared" si="6"/>
        <v>0</v>
      </c>
      <c r="X108" s="168">
        <f t="shared" si="7"/>
        <v>0</v>
      </c>
      <c r="Y108" s="168">
        <f t="shared" si="8"/>
        <v>0</v>
      </c>
      <c r="Z108" s="168">
        <f t="shared" si="9"/>
        <v>0</v>
      </c>
    </row>
    <row r="109" ht="14.25" customHeight="1">
      <c r="A109" s="157">
        <v>258.0</v>
      </c>
      <c r="B109" s="169" t="s">
        <v>70</v>
      </c>
      <c r="C109" s="169" t="s">
        <v>737</v>
      </c>
      <c r="D109" s="159">
        <v>42370.0</v>
      </c>
      <c r="E109" s="157" t="s">
        <v>8</v>
      </c>
      <c r="F109" s="160">
        <v>918009.11</v>
      </c>
      <c r="G109" s="160">
        <v>146881.46</v>
      </c>
      <c r="H109" s="172">
        <f t="shared" si="21"/>
        <v>1064890.57</v>
      </c>
      <c r="I109" s="173"/>
      <c r="J109" s="170"/>
      <c r="K109" s="173"/>
      <c r="L109" s="173">
        <f>+'FACP$'!$H109-'FACP$'!$I109-'FACP$'!$K109</f>
        <v>1064890.57</v>
      </c>
      <c r="M109" s="157" t="s">
        <v>719</v>
      </c>
      <c r="N109" s="162" t="s">
        <v>554</v>
      </c>
      <c r="O109" s="163"/>
      <c r="P109" s="164">
        <f t="shared" si="13"/>
        <v>42380</v>
      </c>
      <c r="Q109" s="165">
        <f t="shared" si="2"/>
        <v>0</v>
      </c>
      <c r="R109" s="166"/>
      <c r="S109" s="167"/>
      <c r="T109" s="168">
        <f t="shared" si="3"/>
        <v>1064890.57</v>
      </c>
      <c r="U109" s="168">
        <f t="shared" si="4"/>
        <v>0</v>
      </c>
      <c r="V109" s="168">
        <f t="shared" si="5"/>
        <v>0</v>
      </c>
      <c r="W109" s="168">
        <f t="shared" si="6"/>
        <v>0</v>
      </c>
      <c r="X109" s="168">
        <f t="shared" si="7"/>
        <v>0</v>
      </c>
      <c r="Y109" s="168">
        <f t="shared" si="8"/>
        <v>0</v>
      </c>
      <c r="Z109" s="168">
        <f t="shared" si="9"/>
        <v>0</v>
      </c>
    </row>
    <row r="110" ht="14.25" customHeight="1">
      <c r="A110" s="157">
        <v>258.0</v>
      </c>
      <c r="B110" s="169" t="s">
        <v>70</v>
      </c>
      <c r="C110" s="169" t="s">
        <v>750</v>
      </c>
      <c r="D110" s="159">
        <v>42370.0</v>
      </c>
      <c r="E110" s="157" t="s">
        <v>8</v>
      </c>
      <c r="F110" s="160">
        <v>918009.11</v>
      </c>
      <c r="G110" s="160">
        <v>146881.46</v>
      </c>
      <c r="H110" s="172">
        <f t="shared" si="21"/>
        <v>1064890.57</v>
      </c>
      <c r="I110" s="173"/>
      <c r="J110" s="170"/>
      <c r="K110" s="173"/>
      <c r="L110" s="173">
        <f>+'FACP$'!$H110-'FACP$'!$I110-'FACP$'!$K110</f>
        <v>1064890.57</v>
      </c>
      <c r="M110" s="157" t="s">
        <v>719</v>
      </c>
      <c r="N110" s="162" t="s">
        <v>554</v>
      </c>
      <c r="O110" s="190">
        <v>42395.0</v>
      </c>
      <c r="P110" s="164">
        <f t="shared" si="13"/>
        <v>42380</v>
      </c>
      <c r="Q110" s="165">
        <f t="shared" si="2"/>
        <v>0</v>
      </c>
      <c r="R110" s="166"/>
      <c r="S110" s="167"/>
      <c r="T110" s="168">
        <f t="shared" si="3"/>
        <v>1064890.57</v>
      </c>
      <c r="U110" s="168">
        <f t="shared" si="4"/>
        <v>0</v>
      </c>
      <c r="V110" s="168">
        <f t="shared" si="5"/>
        <v>0</v>
      </c>
      <c r="W110" s="168">
        <f t="shared" si="6"/>
        <v>0</v>
      </c>
      <c r="X110" s="168">
        <f t="shared" si="7"/>
        <v>0</v>
      </c>
      <c r="Y110" s="168">
        <f t="shared" si="8"/>
        <v>0</v>
      </c>
      <c r="Z110" s="168">
        <f t="shared" si="9"/>
        <v>0</v>
      </c>
    </row>
    <row r="111" ht="14.25" customHeight="1">
      <c r="A111" s="157">
        <v>261.0</v>
      </c>
      <c r="B111" s="169" t="s">
        <v>692</v>
      </c>
      <c r="C111" s="169" t="s">
        <v>737</v>
      </c>
      <c r="D111" s="159">
        <v>42384.0</v>
      </c>
      <c r="E111" s="157" t="s">
        <v>8</v>
      </c>
      <c r="F111" s="160">
        <v>1497121.04</v>
      </c>
      <c r="G111" s="160">
        <v>239539.37</v>
      </c>
      <c r="H111" s="172">
        <f t="shared" si="21"/>
        <v>1736660.41</v>
      </c>
      <c r="I111" s="173"/>
      <c r="J111" s="170"/>
      <c r="K111" s="173"/>
      <c r="L111" s="173">
        <f>+'FACP$'!$H111-'FACP$'!$I111-'FACP$'!$K111</f>
        <v>1736660.41</v>
      </c>
      <c r="M111" s="157" t="s">
        <v>754</v>
      </c>
      <c r="N111" s="162" t="s">
        <v>554</v>
      </c>
      <c r="O111" s="175">
        <v>42781.0</v>
      </c>
      <c r="P111" s="164">
        <f t="shared" si="13"/>
        <v>42394</v>
      </c>
      <c r="Q111" s="165">
        <f t="shared" si="2"/>
        <v>0</v>
      </c>
      <c r="R111" s="166"/>
      <c r="S111" s="167"/>
      <c r="T111" s="168">
        <f t="shared" si="3"/>
        <v>1736660.41</v>
      </c>
      <c r="U111" s="168">
        <f t="shared" si="4"/>
        <v>0</v>
      </c>
      <c r="V111" s="168">
        <f t="shared" si="5"/>
        <v>0</v>
      </c>
      <c r="W111" s="168">
        <f t="shared" si="6"/>
        <v>0</v>
      </c>
      <c r="X111" s="168">
        <f t="shared" si="7"/>
        <v>0</v>
      </c>
      <c r="Y111" s="168">
        <f t="shared" si="8"/>
        <v>0</v>
      </c>
      <c r="Z111" s="168">
        <f t="shared" si="9"/>
        <v>0</v>
      </c>
    </row>
    <row r="112" ht="14.25" customHeight="1">
      <c r="A112" s="157">
        <v>262.0</v>
      </c>
      <c r="B112" s="169" t="s">
        <v>692</v>
      </c>
      <c r="C112" s="169" t="s">
        <v>737</v>
      </c>
      <c r="D112" s="159">
        <v>42384.0</v>
      </c>
      <c r="E112" s="157" t="s">
        <v>8</v>
      </c>
      <c r="F112" s="160">
        <v>4482688.08</v>
      </c>
      <c r="G112" s="160">
        <v>717230.09</v>
      </c>
      <c r="H112" s="172">
        <f t="shared" si="21"/>
        <v>5199918.17</v>
      </c>
      <c r="I112" s="173"/>
      <c r="J112" s="170"/>
      <c r="K112" s="173"/>
      <c r="L112" s="173">
        <f>+'FACP$'!$H112-'FACP$'!$I112-'FACP$'!$K112</f>
        <v>5199918.17</v>
      </c>
      <c r="M112" s="157" t="s">
        <v>749</v>
      </c>
      <c r="N112" s="162" t="s">
        <v>554</v>
      </c>
      <c r="O112" s="175">
        <v>42781.0</v>
      </c>
      <c r="P112" s="164">
        <f t="shared" si="13"/>
        <v>42394</v>
      </c>
      <c r="Q112" s="165">
        <f t="shared" si="2"/>
        <v>0</v>
      </c>
      <c r="R112" s="166"/>
      <c r="S112" s="167"/>
      <c r="T112" s="168">
        <f t="shared" si="3"/>
        <v>5199918.17</v>
      </c>
      <c r="U112" s="168">
        <f t="shared" si="4"/>
        <v>0</v>
      </c>
      <c r="V112" s="168">
        <f t="shared" si="5"/>
        <v>0</v>
      </c>
      <c r="W112" s="168">
        <f t="shared" si="6"/>
        <v>0</v>
      </c>
      <c r="X112" s="168">
        <f t="shared" si="7"/>
        <v>0</v>
      </c>
      <c r="Y112" s="168">
        <f t="shared" si="8"/>
        <v>0</v>
      </c>
      <c r="Z112" s="168">
        <f t="shared" si="9"/>
        <v>0</v>
      </c>
    </row>
    <row r="113" ht="14.25" customHeight="1">
      <c r="A113" s="157">
        <v>263.0</v>
      </c>
      <c r="B113" s="169" t="s">
        <v>692</v>
      </c>
      <c r="C113" s="169" t="s">
        <v>737</v>
      </c>
      <c r="D113" s="159">
        <v>42384.0</v>
      </c>
      <c r="E113" s="157" t="s">
        <v>8</v>
      </c>
      <c r="F113" s="160">
        <v>267321.91</v>
      </c>
      <c r="G113" s="160">
        <v>42771.51</v>
      </c>
      <c r="H113" s="172">
        <f t="shared" si="21"/>
        <v>310093.42</v>
      </c>
      <c r="I113" s="173"/>
      <c r="J113" s="170"/>
      <c r="K113" s="173"/>
      <c r="L113" s="173">
        <f>+'FACP$'!$H113-'FACP$'!$I113-'FACP$'!$K113</f>
        <v>310093.42</v>
      </c>
      <c r="M113" s="157" t="s">
        <v>738</v>
      </c>
      <c r="N113" s="162" t="s">
        <v>554</v>
      </c>
      <c r="O113" s="175">
        <v>42781.0</v>
      </c>
      <c r="P113" s="164">
        <f t="shared" si="13"/>
        <v>42394</v>
      </c>
      <c r="Q113" s="165">
        <f t="shared" si="2"/>
        <v>0</v>
      </c>
      <c r="R113" s="166"/>
      <c r="S113" s="167"/>
      <c r="T113" s="168">
        <f t="shared" si="3"/>
        <v>310093.42</v>
      </c>
      <c r="U113" s="168">
        <f t="shared" si="4"/>
        <v>0</v>
      </c>
      <c r="V113" s="168">
        <f t="shared" si="5"/>
        <v>0</v>
      </c>
      <c r="W113" s="168">
        <f t="shared" si="6"/>
        <v>0</v>
      </c>
      <c r="X113" s="168">
        <f t="shared" si="7"/>
        <v>0</v>
      </c>
      <c r="Y113" s="168">
        <f t="shared" si="8"/>
        <v>0</v>
      </c>
      <c r="Z113" s="168">
        <f t="shared" si="9"/>
        <v>0</v>
      </c>
    </row>
    <row r="114" ht="14.25" customHeight="1">
      <c r="A114" s="157">
        <v>264.0</v>
      </c>
      <c r="B114" s="169" t="s">
        <v>70</v>
      </c>
      <c r="C114" s="169" t="s">
        <v>750</v>
      </c>
      <c r="D114" s="159">
        <v>42384.0</v>
      </c>
      <c r="E114" s="157" t="s">
        <v>8</v>
      </c>
      <c r="F114" s="160">
        <v>93544.77</v>
      </c>
      <c r="G114" s="160">
        <v>14967.16</v>
      </c>
      <c r="H114" s="172">
        <f t="shared" si="21"/>
        <v>108511.93</v>
      </c>
      <c r="I114" s="173"/>
      <c r="J114" s="170"/>
      <c r="K114" s="173"/>
      <c r="L114" s="173">
        <f>+'FACP$'!$H114-'FACP$'!$I114-'FACP$'!$K114</f>
        <v>108511.93</v>
      </c>
      <c r="M114" s="157" t="s">
        <v>719</v>
      </c>
      <c r="N114" s="162" t="s">
        <v>127</v>
      </c>
      <c r="O114" s="163"/>
      <c r="P114" s="164">
        <f t="shared" si="13"/>
        <v>42394</v>
      </c>
      <c r="Q114" s="165">
        <f t="shared" si="2"/>
        <v>0</v>
      </c>
      <c r="R114" s="166"/>
      <c r="S114" s="167"/>
      <c r="T114" s="168">
        <f t="shared" si="3"/>
        <v>108511.93</v>
      </c>
      <c r="U114" s="168">
        <f t="shared" si="4"/>
        <v>0</v>
      </c>
      <c r="V114" s="168">
        <f t="shared" si="5"/>
        <v>0</v>
      </c>
      <c r="W114" s="168">
        <f t="shared" si="6"/>
        <v>0</v>
      </c>
      <c r="X114" s="168">
        <f t="shared" si="7"/>
        <v>0</v>
      </c>
      <c r="Y114" s="168">
        <f t="shared" si="8"/>
        <v>0</v>
      </c>
      <c r="Z114" s="168">
        <f t="shared" si="9"/>
        <v>0</v>
      </c>
    </row>
    <row r="115" ht="14.25" customHeight="1">
      <c r="A115" s="157">
        <v>266.0</v>
      </c>
      <c r="B115" s="169" t="s">
        <v>70</v>
      </c>
      <c r="C115" s="169" t="s">
        <v>750</v>
      </c>
      <c r="D115" s="159">
        <v>42384.0</v>
      </c>
      <c r="E115" s="157" t="s">
        <v>8</v>
      </c>
      <c r="F115" s="160">
        <v>98698.2</v>
      </c>
      <c r="G115" s="160">
        <v>15791.71</v>
      </c>
      <c r="H115" s="172">
        <f t="shared" si="21"/>
        <v>114489.91</v>
      </c>
      <c r="I115" s="173"/>
      <c r="J115" s="170"/>
      <c r="K115" s="173"/>
      <c r="L115" s="173">
        <f>+'FACP$'!$H115-'FACP$'!$I115-'FACP$'!$K115</f>
        <v>114489.91</v>
      </c>
      <c r="M115" s="157" t="s">
        <v>719</v>
      </c>
      <c r="N115" s="162" t="s">
        <v>554</v>
      </c>
      <c r="O115" s="163">
        <v>42777.0</v>
      </c>
      <c r="P115" s="164">
        <f t="shared" si="13"/>
        <v>42394</v>
      </c>
      <c r="Q115" s="165">
        <f t="shared" si="2"/>
        <v>0</v>
      </c>
      <c r="R115" s="166"/>
      <c r="S115" s="167"/>
      <c r="T115" s="168">
        <f t="shared" si="3"/>
        <v>114489.91</v>
      </c>
      <c r="U115" s="168">
        <f t="shared" si="4"/>
        <v>0</v>
      </c>
      <c r="V115" s="168">
        <f t="shared" si="5"/>
        <v>0</v>
      </c>
      <c r="W115" s="168">
        <f t="shared" si="6"/>
        <v>0</v>
      </c>
      <c r="X115" s="168">
        <f t="shared" si="7"/>
        <v>0</v>
      </c>
      <c r="Y115" s="168">
        <f t="shared" si="8"/>
        <v>0</v>
      </c>
      <c r="Z115" s="168">
        <f t="shared" si="9"/>
        <v>0</v>
      </c>
    </row>
    <row r="116" ht="14.25" customHeight="1">
      <c r="A116" s="157">
        <v>267.0</v>
      </c>
      <c r="B116" s="170" t="s">
        <v>722</v>
      </c>
      <c r="C116" s="169" t="s">
        <v>755</v>
      </c>
      <c r="D116" s="159">
        <v>42401.0</v>
      </c>
      <c r="E116" s="157" t="s">
        <v>8</v>
      </c>
      <c r="F116" s="160">
        <v>2520860.81</v>
      </c>
      <c r="G116" s="160">
        <v>403337.73</v>
      </c>
      <c r="H116" s="172">
        <f t="shared" si="21"/>
        <v>2924198.54</v>
      </c>
      <c r="I116" s="173"/>
      <c r="J116" s="170"/>
      <c r="K116" s="173"/>
      <c r="L116" s="173">
        <f>+'FACP$'!$H116-'FACP$'!$I116-'FACP$'!$K116</f>
        <v>2924198.54</v>
      </c>
      <c r="M116" s="157" t="s">
        <v>93</v>
      </c>
      <c r="N116" s="162" t="s">
        <v>127</v>
      </c>
      <c r="O116" s="163"/>
      <c r="P116" s="164">
        <f t="shared" si="13"/>
        <v>42411</v>
      </c>
      <c r="Q116" s="165">
        <f t="shared" si="2"/>
        <v>0</v>
      </c>
      <c r="R116" s="166"/>
      <c r="S116" s="167"/>
      <c r="T116" s="168">
        <f t="shared" si="3"/>
        <v>2924198.54</v>
      </c>
      <c r="U116" s="168">
        <f t="shared" si="4"/>
        <v>0</v>
      </c>
      <c r="V116" s="168">
        <f t="shared" si="5"/>
        <v>0</v>
      </c>
      <c r="W116" s="168">
        <f t="shared" si="6"/>
        <v>0</v>
      </c>
      <c r="X116" s="168">
        <f t="shared" si="7"/>
        <v>0</v>
      </c>
      <c r="Y116" s="168">
        <f t="shared" si="8"/>
        <v>0</v>
      </c>
      <c r="Z116" s="168">
        <f t="shared" si="9"/>
        <v>0</v>
      </c>
    </row>
    <row r="117" ht="14.25" customHeight="1">
      <c r="A117" s="157">
        <v>269.0</v>
      </c>
      <c r="B117" s="170" t="s">
        <v>722</v>
      </c>
      <c r="C117" s="169" t="s">
        <v>756</v>
      </c>
      <c r="D117" s="159">
        <v>42401.0</v>
      </c>
      <c r="E117" s="157" t="s">
        <v>8</v>
      </c>
      <c r="F117" s="160">
        <v>2520860.81</v>
      </c>
      <c r="G117" s="160">
        <v>403337.73</v>
      </c>
      <c r="H117" s="172">
        <f t="shared" si="21"/>
        <v>2924198.54</v>
      </c>
      <c r="I117" s="173"/>
      <c r="J117" s="170"/>
      <c r="K117" s="173"/>
      <c r="L117" s="173">
        <f>+'FACP$'!$H117-'FACP$'!$I117-'FACP$'!$K117</f>
        <v>2924198.54</v>
      </c>
      <c r="M117" s="157" t="s">
        <v>93</v>
      </c>
      <c r="N117" s="162" t="s">
        <v>127</v>
      </c>
      <c r="O117" s="163"/>
      <c r="P117" s="164">
        <f t="shared" si="13"/>
        <v>42411</v>
      </c>
      <c r="Q117" s="165">
        <f t="shared" si="2"/>
        <v>0</v>
      </c>
      <c r="R117" s="166"/>
      <c r="S117" s="167"/>
      <c r="T117" s="168">
        <f t="shared" si="3"/>
        <v>2924198.54</v>
      </c>
      <c r="U117" s="168">
        <f t="shared" si="4"/>
        <v>0</v>
      </c>
      <c r="V117" s="168">
        <f t="shared" si="5"/>
        <v>0</v>
      </c>
      <c r="W117" s="168">
        <f t="shared" si="6"/>
        <v>0</v>
      </c>
      <c r="X117" s="168">
        <f t="shared" si="7"/>
        <v>0</v>
      </c>
      <c r="Y117" s="168">
        <f t="shared" si="8"/>
        <v>0</v>
      </c>
      <c r="Z117" s="168">
        <f t="shared" si="9"/>
        <v>0</v>
      </c>
    </row>
    <row r="118" ht="14.25" customHeight="1">
      <c r="A118" s="157">
        <v>273.0</v>
      </c>
      <c r="B118" s="169" t="s">
        <v>692</v>
      </c>
      <c r="C118" s="169" t="s">
        <v>737</v>
      </c>
      <c r="D118" s="159">
        <v>42401.0</v>
      </c>
      <c r="E118" s="157" t="s">
        <v>8</v>
      </c>
      <c r="F118" s="160">
        <v>1316805.47</v>
      </c>
      <c r="G118" s="160">
        <v>210688.87</v>
      </c>
      <c r="H118" s="172">
        <f t="shared" si="21"/>
        <v>1527494.34</v>
      </c>
      <c r="I118" s="173"/>
      <c r="J118" s="170"/>
      <c r="K118" s="173"/>
      <c r="L118" s="173">
        <f>+'FACP$'!$H118-'FACP$'!$I118-'FACP$'!$K118</f>
        <v>1527494.34</v>
      </c>
      <c r="M118" s="157" t="s">
        <v>754</v>
      </c>
      <c r="N118" s="162" t="s">
        <v>554</v>
      </c>
      <c r="O118" s="175" t="s">
        <v>757</v>
      </c>
      <c r="P118" s="164">
        <f t="shared" si="13"/>
        <v>42411</v>
      </c>
      <c r="Q118" s="165">
        <f t="shared" si="2"/>
        <v>0</v>
      </c>
      <c r="R118" s="166"/>
      <c r="S118" s="167"/>
      <c r="T118" s="168">
        <f t="shared" si="3"/>
        <v>1527494.34</v>
      </c>
      <c r="U118" s="168">
        <f t="shared" si="4"/>
        <v>0</v>
      </c>
      <c r="V118" s="168">
        <f t="shared" si="5"/>
        <v>0</v>
      </c>
      <c r="W118" s="168">
        <f t="shared" si="6"/>
        <v>0</v>
      </c>
      <c r="X118" s="168">
        <f t="shared" si="7"/>
        <v>0</v>
      </c>
      <c r="Y118" s="168">
        <f t="shared" si="8"/>
        <v>0</v>
      </c>
      <c r="Z118" s="168">
        <f t="shared" si="9"/>
        <v>0</v>
      </c>
    </row>
    <row r="119" ht="14.25" customHeight="1">
      <c r="A119" s="157">
        <v>274.0</v>
      </c>
      <c r="B119" s="169" t="s">
        <v>692</v>
      </c>
      <c r="C119" s="169" t="s">
        <v>737</v>
      </c>
      <c r="D119" s="159">
        <v>42401.0</v>
      </c>
      <c r="E119" s="157" t="s">
        <v>8</v>
      </c>
      <c r="F119" s="160">
        <v>4195902.13</v>
      </c>
      <c r="G119" s="160">
        <v>671344.34</v>
      </c>
      <c r="H119" s="172">
        <f t="shared" si="21"/>
        <v>4867246.47</v>
      </c>
      <c r="I119" s="173"/>
      <c r="J119" s="170"/>
      <c r="K119" s="173"/>
      <c r="L119" s="173">
        <f>+'FACP$'!$H119-'FACP$'!$I119-'FACP$'!$K119</f>
        <v>4867246.47</v>
      </c>
      <c r="M119" s="157" t="s">
        <v>752</v>
      </c>
      <c r="N119" s="162" t="s">
        <v>554</v>
      </c>
      <c r="O119" s="175" t="s">
        <v>757</v>
      </c>
      <c r="P119" s="164">
        <f t="shared" si="13"/>
        <v>42411</v>
      </c>
      <c r="Q119" s="165">
        <f t="shared" si="2"/>
        <v>0</v>
      </c>
      <c r="R119" s="166"/>
      <c r="S119" s="167"/>
      <c r="T119" s="168">
        <f t="shared" si="3"/>
        <v>4867246.47</v>
      </c>
      <c r="U119" s="168">
        <f t="shared" si="4"/>
        <v>0</v>
      </c>
      <c r="V119" s="168">
        <f t="shared" si="5"/>
        <v>0</v>
      </c>
      <c r="W119" s="168">
        <f t="shared" si="6"/>
        <v>0</v>
      </c>
      <c r="X119" s="168">
        <f t="shared" si="7"/>
        <v>0</v>
      </c>
      <c r="Y119" s="168">
        <f t="shared" si="8"/>
        <v>0</v>
      </c>
      <c r="Z119" s="168">
        <f t="shared" si="9"/>
        <v>0</v>
      </c>
    </row>
    <row r="120" ht="14.25" customHeight="1">
      <c r="A120" s="157">
        <v>275.0</v>
      </c>
      <c r="B120" s="169" t="s">
        <v>692</v>
      </c>
      <c r="C120" s="169" t="s">
        <v>737</v>
      </c>
      <c r="D120" s="159">
        <v>42401.0</v>
      </c>
      <c r="E120" s="157" t="s">
        <v>8</v>
      </c>
      <c r="F120" s="160">
        <v>183947.26</v>
      </c>
      <c r="G120" s="160">
        <v>29431.56</v>
      </c>
      <c r="H120" s="172">
        <f t="shared" si="21"/>
        <v>213378.82</v>
      </c>
      <c r="I120" s="173"/>
      <c r="J120" s="170"/>
      <c r="K120" s="173"/>
      <c r="L120" s="173">
        <f>+'FACP$'!$H120-'FACP$'!$I120-'FACP$'!$K120</f>
        <v>213378.82</v>
      </c>
      <c r="M120" s="157" t="s">
        <v>758</v>
      </c>
      <c r="N120" s="162" t="s">
        <v>554</v>
      </c>
      <c r="O120" s="175" t="s">
        <v>757</v>
      </c>
      <c r="P120" s="164">
        <f t="shared" si="13"/>
        <v>42411</v>
      </c>
      <c r="Q120" s="165">
        <f t="shared" si="2"/>
        <v>0</v>
      </c>
      <c r="R120" s="166"/>
      <c r="S120" s="167"/>
      <c r="T120" s="168">
        <f t="shared" si="3"/>
        <v>213378.82</v>
      </c>
      <c r="U120" s="168">
        <f t="shared" si="4"/>
        <v>0</v>
      </c>
      <c r="V120" s="168">
        <f t="shared" si="5"/>
        <v>0</v>
      </c>
      <c r="W120" s="168">
        <f t="shared" si="6"/>
        <v>0</v>
      </c>
      <c r="X120" s="168">
        <f t="shared" si="7"/>
        <v>0</v>
      </c>
      <c r="Y120" s="168">
        <f t="shared" si="8"/>
        <v>0</v>
      </c>
      <c r="Z120" s="168">
        <f t="shared" si="9"/>
        <v>0</v>
      </c>
    </row>
    <row r="121" ht="14.25" customHeight="1">
      <c r="A121" s="157">
        <v>276.0</v>
      </c>
      <c r="B121" s="170" t="s">
        <v>722</v>
      </c>
      <c r="C121" s="169" t="s">
        <v>756</v>
      </c>
      <c r="D121" s="159">
        <v>42401.0</v>
      </c>
      <c r="E121" s="157" t="s">
        <v>8</v>
      </c>
      <c r="F121" s="160">
        <v>928581.1</v>
      </c>
      <c r="G121" s="160">
        <v>148572.98</v>
      </c>
      <c r="H121" s="172">
        <f t="shared" si="21"/>
        <v>1077154.08</v>
      </c>
      <c r="I121" s="173"/>
      <c r="J121" s="170"/>
      <c r="K121" s="173"/>
      <c r="L121" s="173">
        <f>+'FACP$'!$H121-'FACP$'!$I121-'FACP$'!$K121</f>
        <v>1077154.08</v>
      </c>
      <c r="M121" s="157" t="s">
        <v>93</v>
      </c>
      <c r="N121" s="162" t="s">
        <v>127</v>
      </c>
      <c r="O121" s="163"/>
      <c r="P121" s="164">
        <f t="shared" si="13"/>
        <v>42411</v>
      </c>
      <c r="Q121" s="165">
        <f t="shared" si="2"/>
        <v>0</v>
      </c>
      <c r="R121" s="166"/>
      <c r="S121" s="167"/>
      <c r="T121" s="168">
        <f t="shared" si="3"/>
        <v>1077154.08</v>
      </c>
      <c r="U121" s="168">
        <f t="shared" si="4"/>
        <v>0</v>
      </c>
      <c r="V121" s="168">
        <f t="shared" si="5"/>
        <v>0</v>
      </c>
      <c r="W121" s="168">
        <f t="shared" si="6"/>
        <v>0</v>
      </c>
      <c r="X121" s="168">
        <f t="shared" si="7"/>
        <v>0</v>
      </c>
      <c r="Y121" s="168">
        <f t="shared" si="8"/>
        <v>0</v>
      </c>
      <c r="Z121" s="168">
        <f t="shared" si="9"/>
        <v>0</v>
      </c>
    </row>
    <row r="122" ht="14.25" customHeight="1">
      <c r="A122" s="157">
        <v>279.0</v>
      </c>
      <c r="B122" s="170" t="s">
        <v>722</v>
      </c>
      <c r="C122" s="169" t="s">
        <v>756</v>
      </c>
      <c r="D122" s="159">
        <v>42401.0</v>
      </c>
      <c r="E122" s="157" t="s">
        <v>8</v>
      </c>
      <c r="F122" s="160">
        <v>2520860.81</v>
      </c>
      <c r="G122" s="160">
        <v>403337.73</v>
      </c>
      <c r="H122" s="172">
        <f t="shared" si="21"/>
        <v>2924198.54</v>
      </c>
      <c r="I122" s="173"/>
      <c r="J122" s="170"/>
      <c r="K122" s="173"/>
      <c r="L122" s="173">
        <f>+'FACP$'!$H122-'FACP$'!$I122-'FACP$'!$K122</f>
        <v>2924198.54</v>
      </c>
      <c r="M122" s="157" t="s">
        <v>93</v>
      </c>
      <c r="N122" s="162" t="s">
        <v>127</v>
      </c>
      <c r="O122" s="163"/>
      <c r="P122" s="164">
        <f t="shared" si="13"/>
        <v>42411</v>
      </c>
      <c r="Q122" s="165">
        <f t="shared" si="2"/>
        <v>0</v>
      </c>
      <c r="R122" s="166"/>
      <c r="S122" s="167"/>
      <c r="T122" s="168">
        <f t="shared" si="3"/>
        <v>2924198.54</v>
      </c>
      <c r="U122" s="168">
        <f t="shared" si="4"/>
        <v>0</v>
      </c>
      <c r="V122" s="168">
        <f t="shared" si="5"/>
        <v>0</v>
      </c>
      <c r="W122" s="168">
        <f t="shared" si="6"/>
        <v>0</v>
      </c>
      <c r="X122" s="168">
        <f t="shared" si="7"/>
        <v>0</v>
      </c>
      <c r="Y122" s="168">
        <f t="shared" si="8"/>
        <v>0</v>
      </c>
      <c r="Z122" s="168">
        <f t="shared" si="9"/>
        <v>0</v>
      </c>
    </row>
    <row r="123" ht="14.25" customHeight="1">
      <c r="A123" s="157">
        <v>280.0</v>
      </c>
      <c r="B123" s="170" t="s">
        <v>722</v>
      </c>
      <c r="C123" s="169" t="s">
        <v>756</v>
      </c>
      <c r="D123" s="159">
        <v>42401.0</v>
      </c>
      <c r="E123" s="157" t="s">
        <v>8</v>
      </c>
      <c r="F123" s="160">
        <v>928581.1</v>
      </c>
      <c r="G123" s="160">
        <v>148572.98</v>
      </c>
      <c r="H123" s="172">
        <f t="shared" si="21"/>
        <v>1077154.08</v>
      </c>
      <c r="I123" s="173"/>
      <c r="J123" s="170"/>
      <c r="K123" s="173"/>
      <c r="L123" s="173">
        <f>+'FACP$'!$H123-'FACP$'!$I123-'FACP$'!$K123</f>
        <v>1077154.08</v>
      </c>
      <c r="M123" s="157" t="s">
        <v>93</v>
      </c>
      <c r="N123" s="162" t="s">
        <v>127</v>
      </c>
      <c r="O123" s="163"/>
      <c r="P123" s="164">
        <f t="shared" si="13"/>
        <v>42411</v>
      </c>
      <c r="Q123" s="165">
        <f t="shared" si="2"/>
        <v>0</v>
      </c>
      <c r="R123" s="166"/>
      <c r="S123" s="167"/>
      <c r="T123" s="168">
        <f t="shared" si="3"/>
        <v>1077154.08</v>
      </c>
      <c r="U123" s="168">
        <f t="shared" si="4"/>
        <v>0</v>
      </c>
      <c r="V123" s="168">
        <f t="shared" si="5"/>
        <v>0</v>
      </c>
      <c r="W123" s="168">
        <f t="shared" si="6"/>
        <v>0</v>
      </c>
      <c r="X123" s="168">
        <f t="shared" si="7"/>
        <v>0</v>
      </c>
      <c r="Y123" s="168">
        <f t="shared" si="8"/>
        <v>0</v>
      </c>
      <c r="Z123" s="168">
        <f t="shared" si="9"/>
        <v>0</v>
      </c>
    </row>
    <row r="124" ht="14.25" customHeight="1">
      <c r="A124" s="157">
        <v>283.0</v>
      </c>
      <c r="B124" s="170" t="s">
        <v>722</v>
      </c>
      <c r="C124" s="169" t="s">
        <v>756</v>
      </c>
      <c r="D124" s="159">
        <v>42401.0</v>
      </c>
      <c r="E124" s="157" t="s">
        <v>8</v>
      </c>
      <c r="F124" s="160">
        <v>2520860.81</v>
      </c>
      <c r="G124" s="160">
        <v>403337.73</v>
      </c>
      <c r="H124" s="172">
        <f t="shared" si="21"/>
        <v>2924198.54</v>
      </c>
      <c r="I124" s="173"/>
      <c r="J124" s="170"/>
      <c r="K124" s="173"/>
      <c r="L124" s="173">
        <f>+'FACP$'!$H124-'FACP$'!$I124-'FACP$'!$K124</f>
        <v>2924198.54</v>
      </c>
      <c r="M124" s="157" t="s">
        <v>93</v>
      </c>
      <c r="N124" s="162" t="s">
        <v>554</v>
      </c>
      <c r="O124" s="163"/>
      <c r="P124" s="164">
        <f t="shared" si="13"/>
        <v>42411</v>
      </c>
      <c r="Q124" s="165">
        <f t="shared" si="2"/>
        <v>0</v>
      </c>
      <c r="R124" s="166"/>
      <c r="S124" s="167"/>
      <c r="T124" s="168">
        <f t="shared" si="3"/>
        <v>2924198.54</v>
      </c>
      <c r="U124" s="168">
        <f t="shared" si="4"/>
        <v>0</v>
      </c>
      <c r="V124" s="168">
        <f t="shared" si="5"/>
        <v>0</v>
      </c>
      <c r="W124" s="168">
        <f t="shared" si="6"/>
        <v>0</v>
      </c>
      <c r="X124" s="168">
        <f t="shared" si="7"/>
        <v>0</v>
      </c>
      <c r="Y124" s="168">
        <f t="shared" si="8"/>
        <v>0</v>
      </c>
      <c r="Z124" s="168">
        <f t="shared" si="9"/>
        <v>0</v>
      </c>
    </row>
    <row r="125" ht="14.25" customHeight="1">
      <c r="A125" s="157">
        <v>284.0</v>
      </c>
      <c r="B125" s="170" t="s">
        <v>722</v>
      </c>
      <c r="C125" s="169" t="s">
        <v>756</v>
      </c>
      <c r="D125" s="159">
        <v>42401.0</v>
      </c>
      <c r="E125" s="157" t="s">
        <v>8</v>
      </c>
      <c r="F125" s="160">
        <v>928581.1</v>
      </c>
      <c r="G125" s="160">
        <v>148572.98</v>
      </c>
      <c r="H125" s="172">
        <f t="shared" si="21"/>
        <v>1077154.08</v>
      </c>
      <c r="I125" s="173"/>
      <c r="J125" s="170"/>
      <c r="K125" s="173"/>
      <c r="L125" s="173">
        <f>+'FACP$'!$H125-'FACP$'!$I125-'FACP$'!$K125</f>
        <v>1077154.08</v>
      </c>
      <c r="M125" s="157" t="s">
        <v>93</v>
      </c>
      <c r="N125" s="162" t="s">
        <v>554</v>
      </c>
      <c r="O125" s="163"/>
      <c r="P125" s="164">
        <f t="shared" si="13"/>
        <v>42411</v>
      </c>
      <c r="Q125" s="165">
        <f t="shared" si="2"/>
        <v>0</v>
      </c>
      <c r="R125" s="166"/>
      <c r="S125" s="167"/>
      <c r="T125" s="168">
        <f t="shared" si="3"/>
        <v>1077154.08</v>
      </c>
      <c r="U125" s="168">
        <f t="shared" si="4"/>
        <v>0</v>
      </c>
      <c r="V125" s="168">
        <f t="shared" si="5"/>
        <v>0</v>
      </c>
      <c r="W125" s="168">
        <f t="shared" si="6"/>
        <v>0</v>
      </c>
      <c r="X125" s="168">
        <f t="shared" si="7"/>
        <v>0</v>
      </c>
      <c r="Y125" s="168">
        <f t="shared" si="8"/>
        <v>0</v>
      </c>
      <c r="Z125" s="168">
        <f t="shared" si="9"/>
        <v>0</v>
      </c>
    </row>
    <row r="126" ht="14.25" customHeight="1">
      <c r="A126" s="157">
        <v>286.0</v>
      </c>
      <c r="B126" s="169" t="s">
        <v>70</v>
      </c>
      <c r="C126" s="170" t="s">
        <v>759</v>
      </c>
      <c r="D126" s="159">
        <v>42401.0</v>
      </c>
      <c r="E126" s="157" t="s">
        <v>8</v>
      </c>
      <c r="F126" s="160">
        <v>940136.89</v>
      </c>
      <c r="G126" s="160">
        <v>150421.9</v>
      </c>
      <c r="H126" s="172">
        <f t="shared" si="21"/>
        <v>1090558.79</v>
      </c>
      <c r="I126" s="173"/>
      <c r="J126" s="170"/>
      <c r="K126" s="173"/>
      <c r="L126" s="173">
        <f>+'FACP$'!$H126-'FACP$'!$I126-'FACP$'!$K126</f>
        <v>1090558.79</v>
      </c>
      <c r="M126" s="157" t="s">
        <v>753</v>
      </c>
      <c r="N126" s="162" t="s">
        <v>554</v>
      </c>
      <c r="O126" s="163">
        <v>42795.0</v>
      </c>
      <c r="P126" s="164">
        <f t="shared" si="13"/>
        <v>42411</v>
      </c>
      <c r="Q126" s="165">
        <f t="shared" si="2"/>
        <v>0</v>
      </c>
      <c r="R126" s="166"/>
      <c r="S126" s="167"/>
      <c r="T126" s="168">
        <f t="shared" si="3"/>
        <v>1090558.79</v>
      </c>
      <c r="U126" s="168">
        <f t="shared" si="4"/>
        <v>0</v>
      </c>
      <c r="V126" s="168">
        <f t="shared" si="5"/>
        <v>0</v>
      </c>
      <c r="W126" s="168">
        <f t="shared" si="6"/>
        <v>0</v>
      </c>
      <c r="X126" s="168">
        <f t="shared" si="7"/>
        <v>0</v>
      </c>
      <c r="Y126" s="168">
        <f t="shared" si="8"/>
        <v>0</v>
      </c>
      <c r="Z126" s="168">
        <f t="shared" si="9"/>
        <v>0</v>
      </c>
    </row>
    <row r="127" ht="14.25" customHeight="1">
      <c r="A127" s="157">
        <v>288.0</v>
      </c>
      <c r="B127" s="169" t="s">
        <v>70</v>
      </c>
      <c r="C127" s="170" t="s">
        <v>759</v>
      </c>
      <c r="D127" s="159">
        <v>42401.0</v>
      </c>
      <c r="E127" s="157" t="s">
        <v>8</v>
      </c>
      <c r="F127" s="160">
        <v>270927.87</v>
      </c>
      <c r="G127" s="160">
        <v>43348.46</v>
      </c>
      <c r="H127" s="172">
        <f t="shared" si="21"/>
        <v>314276.33</v>
      </c>
      <c r="I127" s="173"/>
      <c r="J127" s="170"/>
      <c r="K127" s="173"/>
      <c r="L127" s="173">
        <f>+'FACP$'!$H127-'FACP$'!$I127-'FACP$'!$K127</f>
        <v>314276.33</v>
      </c>
      <c r="M127" s="157" t="s">
        <v>753</v>
      </c>
      <c r="N127" s="162" t="s">
        <v>554</v>
      </c>
      <c r="O127" s="163">
        <v>42805.0</v>
      </c>
      <c r="P127" s="164">
        <f t="shared" si="13"/>
        <v>42411</v>
      </c>
      <c r="Q127" s="165">
        <f t="shared" si="2"/>
        <v>0</v>
      </c>
      <c r="R127" s="166"/>
      <c r="S127" s="167"/>
      <c r="T127" s="168">
        <f t="shared" si="3"/>
        <v>314276.33</v>
      </c>
      <c r="U127" s="168">
        <f t="shared" si="4"/>
        <v>0</v>
      </c>
      <c r="V127" s="168">
        <f t="shared" si="5"/>
        <v>0</v>
      </c>
      <c r="W127" s="168">
        <f t="shared" si="6"/>
        <v>0</v>
      </c>
      <c r="X127" s="168">
        <f t="shared" si="7"/>
        <v>0</v>
      </c>
      <c r="Y127" s="168">
        <f t="shared" si="8"/>
        <v>0</v>
      </c>
      <c r="Z127" s="168">
        <f t="shared" si="9"/>
        <v>0</v>
      </c>
    </row>
    <row r="128" ht="14.25" customHeight="1">
      <c r="A128" s="157">
        <v>290.0</v>
      </c>
      <c r="B128" s="169" t="s">
        <v>692</v>
      </c>
      <c r="C128" s="169" t="s">
        <v>737</v>
      </c>
      <c r="D128" s="159">
        <v>42415.0</v>
      </c>
      <c r="E128" s="157" t="s">
        <v>8</v>
      </c>
      <c r="F128" s="160">
        <v>1127466.7</v>
      </c>
      <c r="G128" s="160">
        <v>180394.67</v>
      </c>
      <c r="H128" s="172">
        <f t="shared" si="21"/>
        <v>1307861.37</v>
      </c>
      <c r="I128" s="173"/>
      <c r="J128" s="170"/>
      <c r="K128" s="173"/>
      <c r="L128" s="173">
        <f>+'FACP$'!$H128-'FACP$'!$I128-'FACP$'!$K128</f>
        <v>1307861.37</v>
      </c>
      <c r="M128" s="157" t="s">
        <v>754</v>
      </c>
      <c r="N128" s="162" t="s">
        <v>554</v>
      </c>
      <c r="O128" s="175">
        <v>42808.0</v>
      </c>
      <c r="P128" s="164">
        <f t="shared" si="13"/>
        <v>42425</v>
      </c>
      <c r="Q128" s="165">
        <f t="shared" si="2"/>
        <v>0</v>
      </c>
      <c r="R128" s="166"/>
      <c r="S128" s="167"/>
      <c r="T128" s="168">
        <f t="shared" si="3"/>
        <v>1307861.37</v>
      </c>
      <c r="U128" s="168">
        <f t="shared" si="4"/>
        <v>0</v>
      </c>
      <c r="V128" s="168">
        <f t="shared" si="5"/>
        <v>0</v>
      </c>
      <c r="W128" s="168">
        <f t="shared" si="6"/>
        <v>0</v>
      </c>
      <c r="X128" s="168">
        <f t="shared" si="7"/>
        <v>0</v>
      </c>
      <c r="Y128" s="168">
        <f t="shared" si="8"/>
        <v>0</v>
      </c>
      <c r="Z128" s="168">
        <f t="shared" si="9"/>
        <v>0</v>
      </c>
    </row>
    <row r="129" ht="14.25" customHeight="1">
      <c r="A129" s="157">
        <v>291.0</v>
      </c>
      <c r="B129" s="169" t="s">
        <v>692</v>
      </c>
      <c r="C129" s="169" t="s">
        <v>737</v>
      </c>
      <c r="D129" s="159">
        <v>42415.0</v>
      </c>
      <c r="E129" s="157" t="s">
        <v>8</v>
      </c>
      <c r="F129" s="160">
        <v>3862997.24</v>
      </c>
      <c r="G129" s="160">
        <v>618079.56</v>
      </c>
      <c r="H129" s="172">
        <f t="shared" si="21"/>
        <v>4481076.8</v>
      </c>
      <c r="I129" s="173"/>
      <c r="J129" s="170"/>
      <c r="K129" s="173"/>
      <c r="L129" s="173">
        <f>+'FACP$'!$H129-'FACP$'!$I129-'FACP$'!$K129</f>
        <v>4481076.8</v>
      </c>
      <c r="M129" s="157" t="s">
        <v>752</v>
      </c>
      <c r="N129" s="162" t="s">
        <v>554</v>
      </c>
      <c r="O129" s="175">
        <v>42808.0</v>
      </c>
      <c r="P129" s="164">
        <f t="shared" si="13"/>
        <v>42425</v>
      </c>
      <c r="Q129" s="165">
        <f t="shared" si="2"/>
        <v>0</v>
      </c>
      <c r="R129" s="166"/>
      <c r="S129" s="167"/>
      <c r="T129" s="168">
        <f t="shared" si="3"/>
        <v>4481076.8</v>
      </c>
      <c r="U129" s="168">
        <f t="shared" si="4"/>
        <v>0</v>
      </c>
      <c r="V129" s="168">
        <f t="shared" si="5"/>
        <v>0</v>
      </c>
      <c r="W129" s="168">
        <f t="shared" si="6"/>
        <v>0</v>
      </c>
      <c r="X129" s="168">
        <f t="shared" si="7"/>
        <v>0</v>
      </c>
      <c r="Y129" s="168">
        <f t="shared" si="8"/>
        <v>0</v>
      </c>
      <c r="Z129" s="168">
        <f t="shared" si="9"/>
        <v>0</v>
      </c>
    </row>
    <row r="130" ht="14.25" customHeight="1">
      <c r="A130" s="157">
        <v>292.0</v>
      </c>
      <c r="B130" s="169" t="s">
        <v>692</v>
      </c>
      <c r="C130" s="169" t="s">
        <v>737</v>
      </c>
      <c r="D130" s="159">
        <v>42415.0</v>
      </c>
      <c r="E130" s="157" t="s">
        <v>8</v>
      </c>
      <c r="F130" s="160">
        <v>264596.31</v>
      </c>
      <c r="G130" s="160">
        <v>42335.41</v>
      </c>
      <c r="H130" s="172">
        <f t="shared" si="21"/>
        <v>306931.72</v>
      </c>
      <c r="I130" s="173"/>
      <c r="J130" s="170"/>
      <c r="K130" s="173"/>
      <c r="L130" s="173">
        <f>+'FACP$'!$H130-'FACP$'!$I130-'FACP$'!$K130</f>
        <v>306931.72</v>
      </c>
      <c r="M130" s="157" t="s">
        <v>758</v>
      </c>
      <c r="N130" s="162" t="s">
        <v>554</v>
      </c>
      <c r="O130" s="175">
        <v>42808.0</v>
      </c>
      <c r="P130" s="164">
        <f t="shared" si="13"/>
        <v>42425</v>
      </c>
      <c r="Q130" s="165">
        <f t="shared" si="2"/>
        <v>0</v>
      </c>
      <c r="R130" s="166"/>
      <c r="S130" s="167"/>
      <c r="T130" s="168">
        <f t="shared" si="3"/>
        <v>306931.72</v>
      </c>
      <c r="U130" s="168">
        <f t="shared" si="4"/>
        <v>0</v>
      </c>
      <c r="V130" s="168">
        <f t="shared" si="5"/>
        <v>0</v>
      </c>
      <c r="W130" s="168">
        <f t="shared" si="6"/>
        <v>0</v>
      </c>
      <c r="X130" s="168">
        <f t="shared" si="7"/>
        <v>0</v>
      </c>
      <c r="Y130" s="168">
        <f t="shared" si="8"/>
        <v>0</v>
      </c>
      <c r="Z130" s="168">
        <f t="shared" si="9"/>
        <v>0</v>
      </c>
    </row>
    <row r="131" ht="14.25" customHeight="1">
      <c r="A131" s="157">
        <v>294.0</v>
      </c>
      <c r="B131" s="170" t="s">
        <v>722</v>
      </c>
      <c r="C131" s="169" t="s">
        <v>756</v>
      </c>
      <c r="D131" s="159">
        <v>42415.0</v>
      </c>
      <c r="E131" s="157" t="s">
        <v>8</v>
      </c>
      <c r="F131" s="160">
        <v>1479378.42</v>
      </c>
      <c r="G131" s="160">
        <v>236700.55</v>
      </c>
      <c r="H131" s="172">
        <f t="shared" si="21"/>
        <v>1716078.97</v>
      </c>
      <c r="I131" s="173"/>
      <c r="J131" s="170"/>
      <c r="K131" s="173"/>
      <c r="L131" s="173">
        <f>+'FACP$'!$H131-'FACP$'!$I131-'FACP$'!$K131</f>
        <v>1716078.97</v>
      </c>
      <c r="M131" s="157" t="s">
        <v>93</v>
      </c>
      <c r="N131" s="162" t="s">
        <v>554</v>
      </c>
      <c r="O131" s="163"/>
      <c r="P131" s="164">
        <f t="shared" si="13"/>
        <v>42425</v>
      </c>
      <c r="Q131" s="165">
        <f t="shared" si="2"/>
        <v>0</v>
      </c>
      <c r="R131" s="191"/>
      <c r="S131" s="167"/>
      <c r="T131" s="168">
        <f t="shared" si="3"/>
        <v>1716078.97</v>
      </c>
      <c r="U131" s="168">
        <f t="shared" si="4"/>
        <v>0</v>
      </c>
      <c r="V131" s="168">
        <f t="shared" si="5"/>
        <v>0</v>
      </c>
      <c r="W131" s="168">
        <f t="shared" si="6"/>
        <v>0</v>
      </c>
      <c r="X131" s="168">
        <f t="shared" si="7"/>
        <v>0</v>
      </c>
      <c r="Y131" s="168">
        <f t="shared" si="8"/>
        <v>0</v>
      </c>
      <c r="Z131" s="168">
        <f t="shared" si="9"/>
        <v>0</v>
      </c>
    </row>
    <row r="132" ht="14.25" customHeight="1">
      <c r="A132" s="157">
        <v>297.0</v>
      </c>
      <c r="B132" s="192" t="s">
        <v>82</v>
      </c>
      <c r="C132" s="192"/>
      <c r="D132" s="193"/>
      <c r="E132" s="194"/>
      <c r="F132" s="195"/>
      <c r="G132" s="195"/>
      <c r="H132" s="160"/>
      <c r="I132" s="195"/>
      <c r="J132" s="196"/>
      <c r="K132" s="195"/>
      <c r="L132" s="195">
        <f>+'FACP$'!$H132-'FACP$'!$I132-'FACP$'!$K132</f>
        <v>0</v>
      </c>
      <c r="M132" s="194" t="s">
        <v>714</v>
      </c>
      <c r="N132" s="162" t="s">
        <v>127</v>
      </c>
      <c r="O132" s="197"/>
      <c r="P132" s="164">
        <f t="shared" si="13"/>
        <v>10</v>
      </c>
      <c r="Q132" s="165">
        <f t="shared" si="2"/>
        <v>0</v>
      </c>
      <c r="R132" s="198"/>
      <c r="S132" s="198"/>
      <c r="T132" s="168">
        <f t="shared" si="3"/>
        <v>0</v>
      </c>
      <c r="U132" s="168">
        <f t="shared" si="4"/>
        <v>0</v>
      </c>
      <c r="V132" s="168">
        <f t="shared" si="5"/>
        <v>0</v>
      </c>
      <c r="W132" s="168">
        <f t="shared" si="6"/>
        <v>0</v>
      </c>
      <c r="X132" s="168">
        <f t="shared" si="7"/>
        <v>0</v>
      </c>
      <c r="Y132" s="168">
        <f t="shared" si="8"/>
        <v>0</v>
      </c>
      <c r="Z132" s="168">
        <f t="shared" si="9"/>
        <v>0</v>
      </c>
    </row>
    <row r="133" ht="14.25" customHeight="1">
      <c r="A133" s="157">
        <v>302.0</v>
      </c>
      <c r="B133" s="169" t="s">
        <v>692</v>
      </c>
      <c r="C133" s="169" t="s">
        <v>737</v>
      </c>
      <c r="D133" s="159">
        <v>42430.0</v>
      </c>
      <c r="E133" s="157" t="s">
        <v>8</v>
      </c>
      <c r="F133" s="160">
        <v>1187043.91</v>
      </c>
      <c r="G133" s="160">
        <v>189927.03</v>
      </c>
      <c r="H133" s="172">
        <f t="shared" ref="H133:H186" si="22">F133+G133</f>
        <v>1376970.94</v>
      </c>
      <c r="I133" s="173"/>
      <c r="J133" s="170"/>
      <c r="K133" s="173"/>
      <c r="L133" s="173">
        <f>+'FACP$'!$H133-'FACP$'!$I133-'FACP$'!$K133</f>
        <v>1376970.94</v>
      </c>
      <c r="M133" s="157" t="s">
        <v>754</v>
      </c>
      <c r="N133" s="162" t="s">
        <v>127</v>
      </c>
      <c r="O133" s="175"/>
      <c r="P133" s="164">
        <f t="shared" si="13"/>
        <v>42440</v>
      </c>
      <c r="Q133" s="165">
        <f t="shared" si="2"/>
        <v>0</v>
      </c>
      <c r="R133" s="166"/>
      <c r="S133" s="167"/>
      <c r="T133" s="168">
        <f t="shared" si="3"/>
        <v>1376970.94</v>
      </c>
      <c r="U133" s="168">
        <f t="shared" si="4"/>
        <v>0</v>
      </c>
      <c r="V133" s="168">
        <f t="shared" si="5"/>
        <v>0</v>
      </c>
      <c r="W133" s="168">
        <f t="shared" si="6"/>
        <v>0</v>
      </c>
      <c r="X133" s="168">
        <f t="shared" si="7"/>
        <v>0</v>
      </c>
      <c r="Y133" s="168">
        <f t="shared" si="8"/>
        <v>0</v>
      </c>
      <c r="Z133" s="168">
        <f t="shared" si="9"/>
        <v>0</v>
      </c>
    </row>
    <row r="134" ht="14.25" customHeight="1">
      <c r="A134" s="157">
        <v>303.0</v>
      </c>
      <c r="B134" s="169" t="s">
        <v>692</v>
      </c>
      <c r="C134" s="169" t="s">
        <v>737</v>
      </c>
      <c r="D134" s="159">
        <v>42430.0</v>
      </c>
      <c r="E134" s="157" t="s">
        <v>8</v>
      </c>
      <c r="F134" s="160">
        <v>3732975.78</v>
      </c>
      <c r="G134" s="160">
        <v>597276.13</v>
      </c>
      <c r="H134" s="172">
        <f t="shared" si="22"/>
        <v>4330251.91</v>
      </c>
      <c r="I134" s="173"/>
      <c r="J134" s="170"/>
      <c r="K134" s="173"/>
      <c r="L134" s="173">
        <f>+'FACP$'!$H134-'FACP$'!$I134-'FACP$'!$K134</f>
        <v>4330251.91</v>
      </c>
      <c r="M134" s="157" t="s">
        <v>752</v>
      </c>
      <c r="N134" s="162" t="s">
        <v>127</v>
      </c>
      <c r="O134" s="175"/>
      <c r="P134" s="164">
        <f t="shared" si="13"/>
        <v>42440</v>
      </c>
      <c r="Q134" s="165">
        <f t="shared" si="2"/>
        <v>0</v>
      </c>
      <c r="R134" s="166"/>
      <c r="S134" s="167"/>
      <c r="T134" s="168">
        <f t="shared" si="3"/>
        <v>4330251.91</v>
      </c>
      <c r="U134" s="168">
        <f t="shared" si="4"/>
        <v>0</v>
      </c>
      <c r="V134" s="168">
        <f t="shared" si="5"/>
        <v>0</v>
      </c>
      <c r="W134" s="168">
        <f t="shared" si="6"/>
        <v>0</v>
      </c>
      <c r="X134" s="168">
        <f t="shared" si="7"/>
        <v>0</v>
      </c>
      <c r="Y134" s="168">
        <f t="shared" si="8"/>
        <v>0</v>
      </c>
      <c r="Z134" s="168">
        <f t="shared" si="9"/>
        <v>0</v>
      </c>
    </row>
    <row r="135" ht="14.25" customHeight="1">
      <c r="A135" s="157">
        <v>304.0</v>
      </c>
      <c r="B135" s="169" t="s">
        <v>692</v>
      </c>
      <c r="C135" s="169" t="s">
        <v>737</v>
      </c>
      <c r="D135" s="159">
        <v>42430.0</v>
      </c>
      <c r="E135" s="157" t="s">
        <v>8</v>
      </c>
      <c r="F135" s="160">
        <v>184671.75</v>
      </c>
      <c r="G135" s="160">
        <v>29547.48</v>
      </c>
      <c r="H135" s="172">
        <f t="shared" si="22"/>
        <v>214219.23</v>
      </c>
      <c r="I135" s="173"/>
      <c r="J135" s="170"/>
      <c r="K135" s="173"/>
      <c r="L135" s="173">
        <f>+'FACP$'!$H135-'FACP$'!$I135-'FACP$'!$K135</f>
        <v>214219.23</v>
      </c>
      <c r="M135" s="157" t="s">
        <v>758</v>
      </c>
      <c r="N135" s="162" t="s">
        <v>127</v>
      </c>
      <c r="O135" s="175"/>
      <c r="P135" s="164">
        <f t="shared" si="13"/>
        <v>42440</v>
      </c>
      <c r="Q135" s="165">
        <f t="shared" si="2"/>
        <v>0</v>
      </c>
      <c r="R135" s="166"/>
      <c r="S135" s="167"/>
      <c r="T135" s="168">
        <f t="shared" si="3"/>
        <v>214219.23</v>
      </c>
      <c r="U135" s="168">
        <f t="shared" si="4"/>
        <v>0</v>
      </c>
      <c r="V135" s="168">
        <f t="shared" si="5"/>
        <v>0</v>
      </c>
      <c r="W135" s="168">
        <f t="shared" si="6"/>
        <v>0</v>
      </c>
      <c r="X135" s="168">
        <f t="shared" si="7"/>
        <v>0</v>
      </c>
      <c r="Y135" s="168">
        <f t="shared" si="8"/>
        <v>0</v>
      </c>
      <c r="Z135" s="168">
        <f t="shared" si="9"/>
        <v>0</v>
      </c>
    </row>
    <row r="136" ht="14.25" customHeight="1">
      <c r="A136" s="157">
        <v>305.0</v>
      </c>
      <c r="B136" s="170" t="s">
        <v>722</v>
      </c>
      <c r="C136" s="169" t="s">
        <v>756</v>
      </c>
      <c r="D136" s="159">
        <v>42430.0</v>
      </c>
      <c r="E136" s="157" t="s">
        <v>8</v>
      </c>
      <c r="F136" s="160">
        <v>1244826.0</v>
      </c>
      <c r="G136" s="160">
        <v>199172.16</v>
      </c>
      <c r="H136" s="172">
        <f t="shared" si="22"/>
        <v>1443998.16</v>
      </c>
      <c r="I136" s="173"/>
      <c r="J136" s="170"/>
      <c r="K136" s="173"/>
      <c r="L136" s="173">
        <f>+'FACP$'!$H136-'FACP$'!$I136-'FACP$'!$K136</f>
        <v>1443998.16</v>
      </c>
      <c r="M136" s="157" t="s">
        <v>93</v>
      </c>
      <c r="N136" s="162" t="s">
        <v>127</v>
      </c>
      <c r="O136" s="163"/>
      <c r="P136" s="164">
        <f t="shared" si="13"/>
        <v>42440</v>
      </c>
      <c r="Q136" s="165">
        <f t="shared" si="2"/>
        <v>0</v>
      </c>
      <c r="R136" s="166"/>
      <c r="S136" s="167"/>
      <c r="T136" s="168">
        <f t="shared" si="3"/>
        <v>1443998.16</v>
      </c>
      <c r="U136" s="168">
        <f t="shared" si="4"/>
        <v>0</v>
      </c>
      <c r="V136" s="168">
        <f t="shared" si="5"/>
        <v>0</v>
      </c>
      <c r="W136" s="168">
        <f t="shared" si="6"/>
        <v>0</v>
      </c>
      <c r="X136" s="168">
        <f t="shared" si="7"/>
        <v>0</v>
      </c>
      <c r="Y136" s="168">
        <f t="shared" si="8"/>
        <v>0</v>
      </c>
      <c r="Z136" s="168">
        <f t="shared" si="9"/>
        <v>0</v>
      </c>
    </row>
    <row r="137" ht="14.25" customHeight="1">
      <c r="A137" s="157">
        <v>307.0</v>
      </c>
      <c r="B137" s="169" t="s">
        <v>70</v>
      </c>
      <c r="C137" s="170" t="s">
        <v>759</v>
      </c>
      <c r="D137" s="159">
        <v>42430.0</v>
      </c>
      <c r="E137" s="157" t="s">
        <v>8</v>
      </c>
      <c r="F137" s="160">
        <v>615012.71</v>
      </c>
      <c r="G137" s="160">
        <v>98402.03</v>
      </c>
      <c r="H137" s="172">
        <f t="shared" si="22"/>
        <v>713414.74</v>
      </c>
      <c r="I137" s="173"/>
      <c r="J137" s="170"/>
      <c r="K137" s="173"/>
      <c r="L137" s="173">
        <f>+'FACP$'!$H137-'FACP$'!$I137-'FACP$'!$K137</f>
        <v>713414.74</v>
      </c>
      <c r="M137" s="157" t="s">
        <v>753</v>
      </c>
      <c r="N137" s="162" t="s">
        <v>127</v>
      </c>
      <c r="O137" s="163"/>
      <c r="P137" s="164">
        <f t="shared" si="13"/>
        <v>42440</v>
      </c>
      <c r="Q137" s="165">
        <f t="shared" si="2"/>
        <v>0</v>
      </c>
      <c r="R137" s="166"/>
      <c r="S137" s="167"/>
      <c r="T137" s="168">
        <f t="shared" si="3"/>
        <v>713414.74</v>
      </c>
      <c r="U137" s="168">
        <f t="shared" si="4"/>
        <v>0</v>
      </c>
      <c r="V137" s="168">
        <f t="shared" si="5"/>
        <v>0</v>
      </c>
      <c r="W137" s="168">
        <f t="shared" si="6"/>
        <v>0</v>
      </c>
      <c r="X137" s="168">
        <f t="shared" si="7"/>
        <v>0</v>
      </c>
      <c r="Y137" s="168">
        <f t="shared" si="8"/>
        <v>0</v>
      </c>
      <c r="Z137" s="168">
        <f t="shared" si="9"/>
        <v>0</v>
      </c>
    </row>
    <row r="138" ht="14.25" customHeight="1">
      <c r="A138" s="157">
        <v>309.0</v>
      </c>
      <c r="B138" s="169" t="s">
        <v>692</v>
      </c>
      <c r="C138" s="169" t="s">
        <v>737</v>
      </c>
      <c r="D138" s="159">
        <v>42430.0</v>
      </c>
      <c r="E138" s="157" t="s">
        <v>8</v>
      </c>
      <c r="F138" s="160">
        <v>1262495.85</v>
      </c>
      <c r="G138" s="160">
        <v>201999.34</v>
      </c>
      <c r="H138" s="172">
        <f t="shared" si="22"/>
        <v>1464495.19</v>
      </c>
      <c r="I138" s="173"/>
      <c r="J138" s="170"/>
      <c r="K138" s="173"/>
      <c r="L138" s="173">
        <f>+'FACP$'!$H138-'FACP$'!$I138-'FACP$'!$K138</f>
        <v>1464495.19</v>
      </c>
      <c r="M138" s="157" t="s">
        <v>754</v>
      </c>
      <c r="N138" s="162" t="s">
        <v>554</v>
      </c>
      <c r="O138" s="175">
        <v>42830.0</v>
      </c>
      <c r="P138" s="164">
        <f t="shared" si="13"/>
        <v>42440</v>
      </c>
      <c r="Q138" s="165">
        <f t="shared" si="2"/>
        <v>0</v>
      </c>
      <c r="R138" s="166"/>
      <c r="S138" s="167"/>
      <c r="T138" s="168">
        <f t="shared" si="3"/>
        <v>1464495.19</v>
      </c>
      <c r="U138" s="168">
        <f t="shared" si="4"/>
        <v>0</v>
      </c>
      <c r="V138" s="168">
        <f t="shared" si="5"/>
        <v>0</v>
      </c>
      <c r="W138" s="168">
        <f t="shared" si="6"/>
        <v>0</v>
      </c>
      <c r="X138" s="168">
        <f t="shared" si="7"/>
        <v>0</v>
      </c>
      <c r="Y138" s="168">
        <f t="shared" si="8"/>
        <v>0</v>
      </c>
      <c r="Z138" s="168">
        <f t="shared" si="9"/>
        <v>0</v>
      </c>
    </row>
    <row r="139" ht="14.25" customHeight="1">
      <c r="A139" s="157">
        <v>310.0</v>
      </c>
      <c r="B139" s="169" t="s">
        <v>692</v>
      </c>
      <c r="C139" s="169" t="s">
        <v>737</v>
      </c>
      <c r="D139" s="159">
        <v>42430.0</v>
      </c>
      <c r="E139" s="157" t="s">
        <v>8</v>
      </c>
      <c r="F139" s="160">
        <v>3926292.38</v>
      </c>
      <c r="G139" s="160">
        <v>628306.78</v>
      </c>
      <c r="H139" s="172">
        <f t="shared" si="22"/>
        <v>4554599.16</v>
      </c>
      <c r="I139" s="173"/>
      <c r="J139" s="170"/>
      <c r="K139" s="173"/>
      <c r="L139" s="173">
        <f>+'FACP$'!$H139-'FACP$'!$I139-'FACP$'!$K139</f>
        <v>4554599.16</v>
      </c>
      <c r="M139" s="157" t="s">
        <v>752</v>
      </c>
      <c r="N139" s="162" t="s">
        <v>554</v>
      </c>
      <c r="O139" s="175">
        <v>42830.0</v>
      </c>
      <c r="P139" s="164">
        <f t="shared" si="13"/>
        <v>42440</v>
      </c>
      <c r="Q139" s="165">
        <f t="shared" si="2"/>
        <v>0</v>
      </c>
      <c r="R139" s="166"/>
      <c r="S139" s="167"/>
      <c r="T139" s="168">
        <f t="shared" si="3"/>
        <v>4554599.16</v>
      </c>
      <c r="U139" s="168">
        <f t="shared" si="4"/>
        <v>0</v>
      </c>
      <c r="V139" s="168">
        <f t="shared" si="5"/>
        <v>0</v>
      </c>
      <c r="W139" s="168">
        <f t="shared" si="6"/>
        <v>0</v>
      </c>
      <c r="X139" s="168">
        <f t="shared" si="7"/>
        <v>0</v>
      </c>
      <c r="Y139" s="168">
        <f t="shared" si="8"/>
        <v>0</v>
      </c>
      <c r="Z139" s="168">
        <f t="shared" si="9"/>
        <v>0</v>
      </c>
    </row>
    <row r="140" ht="14.25" customHeight="1">
      <c r="A140" s="157">
        <v>311.0</v>
      </c>
      <c r="B140" s="169" t="s">
        <v>692</v>
      </c>
      <c r="C140" s="169" t="s">
        <v>737</v>
      </c>
      <c r="D140" s="159">
        <v>42430.0</v>
      </c>
      <c r="E140" s="157" t="s">
        <v>8</v>
      </c>
      <c r="F140" s="160">
        <v>195858.78</v>
      </c>
      <c r="G140" s="160">
        <v>31337.41</v>
      </c>
      <c r="H140" s="172">
        <f t="shared" si="22"/>
        <v>227196.19</v>
      </c>
      <c r="I140" s="173"/>
      <c r="J140" s="170"/>
      <c r="K140" s="173"/>
      <c r="L140" s="173">
        <f>+'FACP$'!$H140-'FACP$'!$I140-'FACP$'!$K140</f>
        <v>227196.19</v>
      </c>
      <c r="M140" s="157" t="s">
        <v>738</v>
      </c>
      <c r="N140" s="162" t="s">
        <v>554</v>
      </c>
      <c r="O140" s="175">
        <v>42830.0</v>
      </c>
      <c r="P140" s="164">
        <f t="shared" si="13"/>
        <v>42440</v>
      </c>
      <c r="Q140" s="165">
        <f t="shared" si="2"/>
        <v>0</v>
      </c>
      <c r="R140" s="166"/>
      <c r="S140" s="167"/>
      <c r="T140" s="168">
        <f t="shared" si="3"/>
        <v>227196.19</v>
      </c>
      <c r="U140" s="168">
        <f t="shared" si="4"/>
        <v>0</v>
      </c>
      <c r="V140" s="168">
        <f t="shared" si="5"/>
        <v>0</v>
      </c>
      <c r="W140" s="168">
        <f t="shared" si="6"/>
        <v>0</v>
      </c>
      <c r="X140" s="168">
        <f t="shared" si="7"/>
        <v>0</v>
      </c>
      <c r="Y140" s="168">
        <f t="shared" si="8"/>
        <v>0</v>
      </c>
      <c r="Z140" s="168">
        <f t="shared" si="9"/>
        <v>0</v>
      </c>
    </row>
    <row r="141" ht="14.25" customHeight="1">
      <c r="A141" s="157">
        <v>313.0</v>
      </c>
      <c r="B141" s="170" t="s">
        <v>722</v>
      </c>
      <c r="C141" s="169" t="s">
        <v>756</v>
      </c>
      <c r="D141" s="159">
        <v>42430.0</v>
      </c>
      <c r="E141" s="157" t="s">
        <v>8</v>
      </c>
      <c r="F141" s="160">
        <v>1486405.62</v>
      </c>
      <c r="G141" s="160">
        <v>237824.9</v>
      </c>
      <c r="H141" s="172">
        <f t="shared" si="22"/>
        <v>1724230.52</v>
      </c>
      <c r="I141" s="173"/>
      <c r="J141" s="170"/>
      <c r="K141" s="173"/>
      <c r="L141" s="173">
        <f>+'FACP$'!$H141-'FACP$'!$I141-'FACP$'!$K141</f>
        <v>1724230.52</v>
      </c>
      <c r="M141" s="157" t="s">
        <v>93</v>
      </c>
      <c r="N141" s="162" t="s">
        <v>554</v>
      </c>
      <c r="O141" s="163">
        <v>42825.0</v>
      </c>
      <c r="P141" s="164">
        <f t="shared" si="13"/>
        <v>42440</v>
      </c>
      <c r="Q141" s="165">
        <f t="shared" si="2"/>
        <v>0</v>
      </c>
      <c r="R141" s="166"/>
      <c r="S141" s="167"/>
      <c r="T141" s="168">
        <f t="shared" si="3"/>
        <v>1724230.52</v>
      </c>
      <c r="U141" s="168">
        <f t="shared" si="4"/>
        <v>0</v>
      </c>
      <c r="V141" s="168">
        <f t="shared" si="5"/>
        <v>0</v>
      </c>
      <c r="W141" s="168">
        <f t="shared" si="6"/>
        <v>0</v>
      </c>
      <c r="X141" s="168">
        <f t="shared" si="7"/>
        <v>0</v>
      </c>
      <c r="Y141" s="168">
        <f t="shared" si="8"/>
        <v>0</v>
      </c>
      <c r="Z141" s="168">
        <f t="shared" si="9"/>
        <v>0</v>
      </c>
    </row>
    <row r="142" ht="14.25" customHeight="1">
      <c r="A142" s="157">
        <v>315.0</v>
      </c>
      <c r="B142" s="169" t="s">
        <v>70</v>
      </c>
      <c r="C142" s="170" t="s">
        <v>759</v>
      </c>
      <c r="D142" s="159">
        <v>42430.0</v>
      </c>
      <c r="E142" s="157" t="s">
        <v>8</v>
      </c>
      <c r="F142" s="160">
        <v>734366.36</v>
      </c>
      <c r="G142" s="160">
        <v>117498.62</v>
      </c>
      <c r="H142" s="172">
        <f t="shared" si="22"/>
        <v>851864.98</v>
      </c>
      <c r="I142" s="173"/>
      <c r="J142" s="170"/>
      <c r="K142" s="173"/>
      <c r="L142" s="173">
        <f>+'FACP$'!$H142-'FACP$'!$I142-'FACP$'!$K142</f>
        <v>851864.98</v>
      </c>
      <c r="M142" s="157" t="s">
        <v>753</v>
      </c>
      <c r="N142" s="162" t="s">
        <v>127</v>
      </c>
      <c r="O142" s="163"/>
      <c r="P142" s="164">
        <f t="shared" si="13"/>
        <v>42440</v>
      </c>
      <c r="Q142" s="165">
        <f t="shared" si="2"/>
        <v>0</v>
      </c>
      <c r="R142" s="166"/>
      <c r="S142" s="167"/>
      <c r="T142" s="168">
        <f t="shared" si="3"/>
        <v>851864.98</v>
      </c>
      <c r="U142" s="168">
        <f t="shared" si="4"/>
        <v>0</v>
      </c>
      <c r="V142" s="168">
        <f t="shared" si="5"/>
        <v>0</v>
      </c>
      <c r="W142" s="168">
        <f t="shared" si="6"/>
        <v>0</v>
      </c>
      <c r="X142" s="168">
        <f t="shared" si="7"/>
        <v>0</v>
      </c>
      <c r="Y142" s="168">
        <f t="shared" si="8"/>
        <v>0</v>
      </c>
      <c r="Z142" s="168">
        <f t="shared" si="9"/>
        <v>0</v>
      </c>
    </row>
    <row r="143" ht="14.25" customHeight="1">
      <c r="A143" s="157">
        <v>316.0</v>
      </c>
      <c r="B143" s="169" t="s">
        <v>70</v>
      </c>
      <c r="C143" s="170" t="s">
        <v>759</v>
      </c>
      <c r="D143" s="159">
        <v>42430.0</v>
      </c>
      <c r="E143" s="157" t="s">
        <v>8</v>
      </c>
      <c r="F143" s="160">
        <v>734366.36</v>
      </c>
      <c r="G143" s="160">
        <v>117498.98</v>
      </c>
      <c r="H143" s="172">
        <f t="shared" si="22"/>
        <v>851865.34</v>
      </c>
      <c r="I143" s="173"/>
      <c r="J143" s="170"/>
      <c r="K143" s="173"/>
      <c r="L143" s="173">
        <f>+'FACP$'!$H143-'FACP$'!$I143-'FACP$'!$K143</f>
        <v>851865.34</v>
      </c>
      <c r="M143" s="157" t="s">
        <v>753</v>
      </c>
      <c r="N143" s="162" t="s">
        <v>554</v>
      </c>
      <c r="O143" s="163">
        <v>42850.0</v>
      </c>
      <c r="P143" s="164">
        <f t="shared" si="13"/>
        <v>42440</v>
      </c>
      <c r="Q143" s="165">
        <f t="shared" si="2"/>
        <v>0</v>
      </c>
      <c r="R143" s="166"/>
      <c r="S143" s="167"/>
      <c r="T143" s="168">
        <f t="shared" si="3"/>
        <v>851865.34</v>
      </c>
      <c r="U143" s="168">
        <f t="shared" si="4"/>
        <v>0</v>
      </c>
      <c r="V143" s="168">
        <f t="shared" si="5"/>
        <v>0</v>
      </c>
      <c r="W143" s="168">
        <f t="shared" si="6"/>
        <v>0</v>
      </c>
      <c r="X143" s="168">
        <f t="shared" si="7"/>
        <v>0</v>
      </c>
      <c r="Y143" s="168">
        <f t="shared" si="8"/>
        <v>0</v>
      </c>
      <c r="Z143" s="168">
        <f t="shared" si="9"/>
        <v>0</v>
      </c>
    </row>
    <row r="144" ht="14.25" customHeight="1">
      <c r="A144" s="157">
        <v>318.0</v>
      </c>
      <c r="B144" s="169" t="s">
        <v>70</v>
      </c>
      <c r="C144" s="170" t="s">
        <v>759</v>
      </c>
      <c r="D144" s="159">
        <v>42444.0</v>
      </c>
      <c r="E144" s="157" t="s">
        <v>8</v>
      </c>
      <c r="F144" s="160">
        <v>568252.05</v>
      </c>
      <c r="G144" s="160">
        <v>90920.33</v>
      </c>
      <c r="H144" s="172">
        <f t="shared" si="22"/>
        <v>659172.38</v>
      </c>
      <c r="I144" s="173"/>
      <c r="J144" s="170"/>
      <c r="K144" s="173"/>
      <c r="L144" s="173">
        <f>+'FACP$'!$H144-'FACP$'!$I144-'FACP$'!$K144</f>
        <v>659172.38</v>
      </c>
      <c r="M144" s="157" t="s">
        <v>753</v>
      </c>
      <c r="N144" s="162" t="s">
        <v>554</v>
      </c>
      <c r="O144" s="163">
        <v>42847.0</v>
      </c>
      <c r="P144" s="164">
        <f t="shared" si="13"/>
        <v>42454</v>
      </c>
      <c r="Q144" s="165">
        <f t="shared" si="2"/>
        <v>0</v>
      </c>
      <c r="R144" s="166"/>
      <c r="S144" s="167"/>
      <c r="T144" s="168">
        <f t="shared" si="3"/>
        <v>659172.38</v>
      </c>
      <c r="U144" s="168">
        <f t="shared" si="4"/>
        <v>0</v>
      </c>
      <c r="V144" s="168">
        <f t="shared" si="5"/>
        <v>0</v>
      </c>
      <c r="W144" s="168">
        <f t="shared" si="6"/>
        <v>0</v>
      </c>
      <c r="X144" s="168">
        <f t="shared" si="7"/>
        <v>0</v>
      </c>
      <c r="Y144" s="168">
        <f t="shared" si="8"/>
        <v>0</v>
      </c>
      <c r="Z144" s="168">
        <f t="shared" si="9"/>
        <v>0</v>
      </c>
    </row>
    <row r="145" ht="14.25" customHeight="1">
      <c r="A145" s="157">
        <v>321.0</v>
      </c>
      <c r="B145" s="170" t="s">
        <v>722</v>
      </c>
      <c r="C145" s="169" t="s">
        <v>756</v>
      </c>
      <c r="D145" s="159">
        <v>42444.0</v>
      </c>
      <c r="E145" s="157" t="s">
        <v>8</v>
      </c>
      <c r="F145" s="160">
        <v>1272973.1</v>
      </c>
      <c r="G145" s="160">
        <v>203675.7</v>
      </c>
      <c r="H145" s="172">
        <f t="shared" si="22"/>
        <v>1476648.8</v>
      </c>
      <c r="I145" s="173"/>
      <c r="J145" s="170"/>
      <c r="K145" s="173"/>
      <c r="L145" s="173">
        <f>+'FACP$'!$H145-'FACP$'!$I145-'FACP$'!$K145</f>
        <v>1476648.8</v>
      </c>
      <c r="M145" s="157" t="s">
        <v>93</v>
      </c>
      <c r="N145" s="162" t="s">
        <v>554</v>
      </c>
      <c r="O145" s="163">
        <v>42839.0</v>
      </c>
      <c r="P145" s="164">
        <f t="shared" si="13"/>
        <v>42454</v>
      </c>
      <c r="Q145" s="165">
        <f t="shared" si="2"/>
        <v>0</v>
      </c>
      <c r="R145" s="166"/>
      <c r="S145" s="167"/>
      <c r="T145" s="168">
        <f t="shared" si="3"/>
        <v>1476648.8</v>
      </c>
      <c r="U145" s="168">
        <f t="shared" si="4"/>
        <v>0</v>
      </c>
      <c r="V145" s="168">
        <f t="shared" si="5"/>
        <v>0</v>
      </c>
      <c r="W145" s="168">
        <f t="shared" si="6"/>
        <v>0</v>
      </c>
      <c r="X145" s="168">
        <f t="shared" si="7"/>
        <v>0</v>
      </c>
      <c r="Y145" s="168">
        <f t="shared" si="8"/>
        <v>0</v>
      </c>
      <c r="Z145" s="168">
        <f t="shared" si="9"/>
        <v>0</v>
      </c>
    </row>
    <row r="146" ht="14.25" customHeight="1">
      <c r="A146" s="157">
        <v>324.0</v>
      </c>
      <c r="B146" s="169" t="s">
        <v>692</v>
      </c>
      <c r="C146" s="169" t="s">
        <v>737</v>
      </c>
      <c r="D146" s="159">
        <v>42444.0</v>
      </c>
      <c r="E146" s="157" t="s">
        <v>8</v>
      </c>
      <c r="F146" s="160">
        <v>1070169.69</v>
      </c>
      <c r="G146" s="160">
        <v>171227.15</v>
      </c>
      <c r="H146" s="172">
        <f t="shared" si="22"/>
        <v>1241396.84</v>
      </c>
      <c r="I146" s="173"/>
      <c r="J146" s="170"/>
      <c r="K146" s="173"/>
      <c r="L146" s="173">
        <f>+'FACP$'!$H146-'FACP$'!$I146-'FACP$'!$K146</f>
        <v>1241396.84</v>
      </c>
      <c r="M146" s="199" t="s">
        <v>754</v>
      </c>
      <c r="N146" s="162" t="s">
        <v>554</v>
      </c>
      <c r="O146" s="175">
        <v>42836.0</v>
      </c>
      <c r="P146" s="164">
        <f t="shared" si="13"/>
        <v>42454</v>
      </c>
      <c r="Q146" s="165">
        <f t="shared" si="2"/>
        <v>0</v>
      </c>
      <c r="R146" s="166"/>
      <c r="S146" s="167"/>
      <c r="T146" s="168">
        <f t="shared" si="3"/>
        <v>1241396.84</v>
      </c>
      <c r="U146" s="168">
        <f t="shared" si="4"/>
        <v>0</v>
      </c>
      <c r="V146" s="168">
        <f t="shared" si="5"/>
        <v>0</v>
      </c>
      <c r="W146" s="168">
        <f t="shared" si="6"/>
        <v>0</v>
      </c>
      <c r="X146" s="168">
        <f t="shared" si="7"/>
        <v>0</v>
      </c>
      <c r="Y146" s="168">
        <f t="shared" si="8"/>
        <v>0</v>
      </c>
      <c r="Z146" s="168">
        <f t="shared" si="9"/>
        <v>0</v>
      </c>
    </row>
    <row r="147" ht="14.25" customHeight="1">
      <c r="A147" s="157">
        <v>325.0</v>
      </c>
      <c r="B147" s="169" t="s">
        <v>692</v>
      </c>
      <c r="C147" s="169" t="s">
        <v>737</v>
      </c>
      <c r="D147" s="159">
        <v>42444.0</v>
      </c>
      <c r="E147" s="157" t="s">
        <v>8</v>
      </c>
      <c r="F147" s="160">
        <v>4315150.68</v>
      </c>
      <c r="G147" s="160">
        <v>690424.11</v>
      </c>
      <c r="H147" s="172">
        <f t="shared" si="22"/>
        <v>5005574.79</v>
      </c>
      <c r="I147" s="173"/>
      <c r="J147" s="170"/>
      <c r="K147" s="173"/>
      <c r="L147" s="173">
        <f>+'FACP$'!$H147-'FACP$'!$I147-'FACP$'!$K147</f>
        <v>5005574.79</v>
      </c>
      <c r="M147" s="199" t="s">
        <v>749</v>
      </c>
      <c r="N147" s="162" t="s">
        <v>554</v>
      </c>
      <c r="O147" s="175">
        <v>42836.0</v>
      </c>
      <c r="P147" s="164">
        <f t="shared" si="13"/>
        <v>42454</v>
      </c>
      <c r="Q147" s="165">
        <f t="shared" si="2"/>
        <v>0</v>
      </c>
      <c r="R147" s="166"/>
      <c r="S147" s="167"/>
      <c r="T147" s="168">
        <f t="shared" si="3"/>
        <v>5005574.79</v>
      </c>
      <c r="U147" s="168">
        <f t="shared" si="4"/>
        <v>0</v>
      </c>
      <c r="V147" s="168">
        <f t="shared" si="5"/>
        <v>0</v>
      </c>
      <c r="W147" s="168">
        <f t="shared" si="6"/>
        <v>0</v>
      </c>
      <c r="X147" s="168">
        <f t="shared" si="7"/>
        <v>0</v>
      </c>
      <c r="Y147" s="168">
        <f t="shared" si="8"/>
        <v>0</v>
      </c>
      <c r="Z147" s="168">
        <f t="shared" si="9"/>
        <v>0</v>
      </c>
    </row>
    <row r="148" ht="14.25" customHeight="1">
      <c r="A148" s="157">
        <v>326.0</v>
      </c>
      <c r="B148" s="169" t="s">
        <v>692</v>
      </c>
      <c r="C148" s="169" t="s">
        <v>737</v>
      </c>
      <c r="D148" s="159">
        <v>42444.0</v>
      </c>
      <c r="E148" s="157" t="s">
        <v>8</v>
      </c>
      <c r="F148" s="160">
        <v>293895.85</v>
      </c>
      <c r="G148" s="160">
        <v>47023.34</v>
      </c>
      <c r="H148" s="172">
        <f t="shared" si="22"/>
        <v>340919.19</v>
      </c>
      <c r="I148" s="173"/>
      <c r="J148" s="170"/>
      <c r="K148" s="173"/>
      <c r="L148" s="173">
        <f>+'FACP$'!$H148-'FACP$'!$I148-'FACP$'!$K148</f>
        <v>340919.19</v>
      </c>
      <c r="M148" s="199" t="s">
        <v>738</v>
      </c>
      <c r="N148" s="162" t="s">
        <v>554</v>
      </c>
      <c r="O148" s="175">
        <v>42836.0</v>
      </c>
      <c r="P148" s="164">
        <f t="shared" si="13"/>
        <v>42454</v>
      </c>
      <c r="Q148" s="165">
        <f t="shared" si="2"/>
        <v>0</v>
      </c>
      <c r="R148" s="166"/>
      <c r="S148" s="167"/>
      <c r="T148" s="168">
        <f t="shared" si="3"/>
        <v>340919.19</v>
      </c>
      <c r="U148" s="168">
        <f t="shared" si="4"/>
        <v>0</v>
      </c>
      <c r="V148" s="168">
        <f t="shared" si="5"/>
        <v>0</v>
      </c>
      <c r="W148" s="168">
        <f t="shared" si="6"/>
        <v>0</v>
      </c>
      <c r="X148" s="168">
        <f t="shared" si="7"/>
        <v>0</v>
      </c>
      <c r="Y148" s="168">
        <f t="shared" si="8"/>
        <v>0</v>
      </c>
      <c r="Z148" s="168">
        <f t="shared" si="9"/>
        <v>0</v>
      </c>
    </row>
    <row r="149" ht="14.25" customHeight="1">
      <c r="A149" s="157">
        <v>329.0</v>
      </c>
      <c r="B149" s="170" t="s">
        <v>722</v>
      </c>
      <c r="C149" s="169" t="s">
        <v>756</v>
      </c>
      <c r="D149" s="159">
        <v>42461.0</v>
      </c>
      <c r="E149" s="157" t="s">
        <v>8</v>
      </c>
      <c r="F149" s="160">
        <v>785186.47</v>
      </c>
      <c r="G149" s="160">
        <v>125629.84</v>
      </c>
      <c r="H149" s="172">
        <f t="shared" si="22"/>
        <v>910816.31</v>
      </c>
      <c r="I149" s="173"/>
      <c r="J149" s="170"/>
      <c r="K149" s="173"/>
      <c r="L149" s="173">
        <f>+'FACP$'!$H149-'FACP$'!$I149-'FACP$'!$K149</f>
        <v>910816.31</v>
      </c>
      <c r="M149" s="157" t="s">
        <v>93</v>
      </c>
      <c r="N149" s="162" t="s">
        <v>554</v>
      </c>
      <c r="O149" s="163">
        <v>42860.0</v>
      </c>
      <c r="P149" s="164">
        <f t="shared" si="13"/>
        <v>42471</v>
      </c>
      <c r="Q149" s="165">
        <f t="shared" si="2"/>
        <v>0</v>
      </c>
      <c r="R149" s="166"/>
      <c r="S149" s="167"/>
      <c r="T149" s="168">
        <f t="shared" si="3"/>
        <v>910816.31</v>
      </c>
      <c r="U149" s="168">
        <f t="shared" si="4"/>
        <v>0</v>
      </c>
      <c r="V149" s="168">
        <f t="shared" si="5"/>
        <v>0</v>
      </c>
      <c r="W149" s="168">
        <f t="shared" si="6"/>
        <v>0</v>
      </c>
      <c r="X149" s="168">
        <f t="shared" si="7"/>
        <v>0</v>
      </c>
      <c r="Y149" s="168">
        <f t="shared" si="8"/>
        <v>0</v>
      </c>
      <c r="Z149" s="168">
        <f t="shared" si="9"/>
        <v>0</v>
      </c>
    </row>
    <row r="150" ht="14.25" customHeight="1">
      <c r="A150" s="157">
        <v>331.0</v>
      </c>
      <c r="B150" s="169" t="s">
        <v>70</v>
      </c>
      <c r="C150" s="170" t="s">
        <v>759</v>
      </c>
      <c r="D150" s="159">
        <v>42461.0</v>
      </c>
      <c r="E150" s="157" t="s">
        <v>8</v>
      </c>
      <c r="F150" s="160">
        <v>551001.73</v>
      </c>
      <c r="G150" s="160">
        <v>88160.28</v>
      </c>
      <c r="H150" s="172">
        <f t="shared" si="22"/>
        <v>639162.01</v>
      </c>
      <c r="I150" s="173"/>
      <c r="J150" s="170"/>
      <c r="K150" s="173"/>
      <c r="L150" s="173">
        <f>+'FACP$'!$H150-'FACP$'!$I150-'FACP$'!$K150</f>
        <v>639162.01</v>
      </c>
      <c r="M150" s="157" t="s">
        <v>753</v>
      </c>
      <c r="N150" s="162" t="s">
        <v>554</v>
      </c>
      <c r="O150" s="163">
        <v>42857.0</v>
      </c>
      <c r="P150" s="164">
        <f t="shared" si="13"/>
        <v>42471</v>
      </c>
      <c r="Q150" s="165">
        <f t="shared" si="2"/>
        <v>0</v>
      </c>
      <c r="R150" s="166"/>
      <c r="S150" s="167"/>
      <c r="T150" s="168">
        <f t="shared" si="3"/>
        <v>639162.01</v>
      </c>
      <c r="U150" s="168">
        <f t="shared" si="4"/>
        <v>0</v>
      </c>
      <c r="V150" s="168">
        <f t="shared" si="5"/>
        <v>0</v>
      </c>
      <c r="W150" s="168">
        <f t="shared" si="6"/>
        <v>0</v>
      </c>
      <c r="X150" s="168">
        <f t="shared" si="7"/>
        <v>0</v>
      </c>
      <c r="Y150" s="168">
        <f t="shared" si="8"/>
        <v>0</v>
      </c>
      <c r="Z150" s="168">
        <f t="shared" si="9"/>
        <v>0</v>
      </c>
    </row>
    <row r="151" ht="14.25" customHeight="1">
      <c r="A151" s="157">
        <v>333.0</v>
      </c>
      <c r="B151" s="169" t="s">
        <v>692</v>
      </c>
      <c r="C151" s="169" t="s">
        <v>737</v>
      </c>
      <c r="D151" s="159">
        <v>42826.0</v>
      </c>
      <c r="E151" s="157" t="s">
        <v>8</v>
      </c>
      <c r="F151" s="160">
        <v>3412610.33</v>
      </c>
      <c r="G151" s="160">
        <v>546017.65</v>
      </c>
      <c r="H151" s="172">
        <f t="shared" si="22"/>
        <v>3958627.98</v>
      </c>
      <c r="I151" s="173"/>
      <c r="J151" s="170"/>
      <c r="K151" s="173"/>
      <c r="L151" s="173">
        <f>+'FACP$'!$H151-'FACP$'!$I151-'FACP$'!$K151</f>
        <v>3958627.98</v>
      </c>
      <c r="M151" s="157" t="s">
        <v>752</v>
      </c>
      <c r="N151" s="162" t="s">
        <v>127</v>
      </c>
      <c r="O151" s="175"/>
      <c r="P151" s="164">
        <f t="shared" si="13"/>
        <v>42836</v>
      </c>
      <c r="Q151" s="165">
        <f t="shared" si="2"/>
        <v>0</v>
      </c>
      <c r="R151" s="166"/>
      <c r="S151" s="167"/>
      <c r="T151" s="168">
        <f t="shared" si="3"/>
        <v>3958627.98</v>
      </c>
      <c r="U151" s="168">
        <f t="shared" si="4"/>
        <v>0</v>
      </c>
      <c r="V151" s="168">
        <f t="shared" si="5"/>
        <v>0</v>
      </c>
      <c r="W151" s="168">
        <f t="shared" si="6"/>
        <v>0</v>
      </c>
      <c r="X151" s="168">
        <f t="shared" si="7"/>
        <v>0</v>
      </c>
      <c r="Y151" s="168">
        <f t="shared" si="8"/>
        <v>0</v>
      </c>
      <c r="Z151" s="168">
        <f t="shared" si="9"/>
        <v>0</v>
      </c>
    </row>
    <row r="152" ht="14.25" customHeight="1">
      <c r="A152" s="157">
        <v>334.0</v>
      </c>
      <c r="B152" s="169" t="s">
        <v>692</v>
      </c>
      <c r="C152" s="169" t="s">
        <v>737</v>
      </c>
      <c r="D152" s="159">
        <v>42461.0</v>
      </c>
      <c r="E152" s="157" t="s">
        <v>8</v>
      </c>
      <c r="F152" s="160">
        <v>1137195.21</v>
      </c>
      <c r="G152" s="160">
        <v>181951.23</v>
      </c>
      <c r="H152" s="172">
        <f t="shared" si="22"/>
        <v>1319146.44</v>
      </c>
      <c r="I152" s="173"/>
      <c r="J152" s="170"/>
      <c r="K152" s="173"/>
      <c r="L152" s="173">
        <f>+'FACP$'!$H152-'FACP$'!$I152-'FACP$'!$K152</f>
        <v>1319146.44</v>
      </c>
      <c r="M152" s="157" t="s">
        <v>754</v>
      </c>
      <c r="N152" s="162" t="s">
        <v>554</v>
      </c>
      <c r="O152" s="175">
        <v>42857.0</v>
      </c>
      <c r="P152" s="164">
        <f t="shared" si="13"/>
        <v>42471</v>
      </c>
      <c r="Q152" s="165">
        <f t="shared" si="2"/>
        <v>0</v>
      </c>
      <c r="R152" s="166"/>
      <c r="S152" s="167"/>
      <c r="T152" s="168">
        <f t="shared" si="3"/>
        <v>1319146.44</v>
      </c>
      <c r="U152" s="168">
        <f t="shared" si="4"/>
        <v>0</v>
      </c>
      <c r="V152" s="168">
        <f t="shared" si="5"/>
        <v>0</v>
      </c>
      <c r="W152" s="168">
        <f t="shared" si="6"/>
        <v>0</v>
      </c>
      <c r="X152" s="168">
        <f t="shared" si="7"/>
        <v>0</v>
      </c>
      <c r="Y152" s="168">
        <f t="shared" si="8"/>
        <v>0</v>
      </c>
      <c r="Z152" s="168">
        <f t="shared" si="9"/>
        <v>0</v>
      </c>
    </row>
    <row r="153" ht="14.25" customHeight="1">
      <c r="A153" s="157">
        <v>335.0</v>
      </c>
      <c r="B153" s="169" t="s">
        <v>692</v>
      </c>
      <c r="C153" s="169" t="s">
        <v>737</v>
      </c>
      <c r="D153" s="159">
        <v>42461.0</v>
      </c>
      <c r="E153" s="157" t="s">
        <v>8</v>
      </c>
      <c r="F153" s="160">
        <v>3412610.33</v>
      </c>
      <c r="G153" s="160">
        <v>546017.65</v>
      </c>
      <c r="H153" s="172">
        <f t="shared" si="22"/>
        <v>3958627.98</v>
      </c>
      <c r="I153" s="173"/>
      <c r="J153" s="170"/>
      <c r="K153" s="173"/>
      <c r="L153" s="173">
        <f>+'FACP$'!$H153-'FACP$'!$I153-'FACP$'!$K153</f>
        <v>3958627.98</v>
      </c>
      <c r="M153" s="157" t="s">
        <v>752</v>
      </c>
      <c r="N153" s="162" t="s">
        <v>554</v>
      </c>
      <c r="O153" s="175">
        <v>42857.0</v>
      </c>
      <c r="P153" s="164">
        <f t="shared" si="13"/>
        <v>42471</v>
      </c>
      <c r="Q153" s="165">
        <f t="shared" si="2"/>
        <v>0</v>
      </c>
      <c r="R153" s="166"/>
      <c r="S153" s="167"/>
      <c r="T153" s="168">
        <f t="shared" si="3"/>
        <v>3958627.98</v>
      </c>
      <c r="U153" s="168">
        <f t="shared" si="4"/>
        <v>0</v>
      </c>
      <c r="V153" s="168">
        <f t="shared" si="5"/>
        <v>0</v>
      </c>
      <c r="W153" s="168">
        <f t="shared" si="6"/>
        <v>0</v>
      </c>
      <c r="X153" s="168">
        <f t="shared" si="7"/>
        <v>0</v>
      </c>
      <c r="Y153" s="168">
        <f t="shared" si="8"/>
        <v>0</v>
      </c>
      <c r="Z153" s="168">
        <f t="shared" si="9"/>
        <v>0</v>
      </c>
    </row>
    <row r="154" ht="14.25" customHeight="1">
      <c r="A154" s="157">
        <v>336.0</v>
      </c>
      <c r="B154" s="169" t="s">
        <v>692</v>
      </c>
      <c r="C154" s="169" t="s">
        <v>737</v>
      </c>
      <c r="D154" s="159">
        <v>42461.0</v>
      </c>
      <c r="E154" s="157" t="s">
        <v>8</v>
      </c>
      <c r="F154" s="160">
        <v>376667.18</v>
      </c>
      <c r="G154" s="160">
        <v>60266.75</v>
      </c>
      <c r="H154" s="172">
        <f t="shared" si="22"/>
        <v>436933.93</v>
      </c>
      <c r="I154" s="173"/>
      <c r="J154" s="170"/>
      <c r="K154" s="173"/>
      <c r="L154" s="173">
        <f>+'FACP$'!$H154-'FACP$'!$I154-'FACP$'!$K154</f>
        <v>436933.93</v>
      </c>
      <c r="M154" s="157" t="s">
        <v>738</v>
      </c>
      <c r="N154" s="162" t="s">
        <v>554</v>
      </c>
      <c r="O154" s="175">
        <v>42857.0</v>
      </c>
      <c r="P154" s="164">
        <f t="shared" si="13"/>
        <v>42471</v>
      </c>
      <c r="Q154" s="165">
        <f t="shared" si="2"/>
        <v>0</v>
      </c>
      <c r="R154" s="166"/>
      <c r="S154" s="167"/>
      <c r="T154" s="168">
        <f t="shared" si="3"/>
        <v>436933.93</v>
      </c>
      <c r="U154" s="168">
        <f t="shared" si="4"/>
        <v>0</v>
      </c>
      <c r="V154" s="168">
        <f t="shared" si="5"/>
        <v>0</v>
      </c>
      <c r="W154" s="168">
        <f t="shared" si="6"/>
        <v>0</v>
      </c>
      <c r="X154" s="168">
        <f t="shared" si="7"/>
        <v>0</v>
      </c>
      <c r="Y154" s="168">
        <f t="shared" si="8"/>
        <v>0</v>
      </c>
      <c r="Z154" s="168">
        <f t="shared" si="9"/>
        <v>0</v>
      </c>
    </row>
    <row r="155" ht="14.25" customHeight="1">
      <c r="A155" s="157">
        <v>338.0</v>
      </c>
      <c r="B155" s="169" t="s">
        <v>692</v>
      </c>
      <c r="C155" s="169" t="s">
        <v>737</v>
      </c>
      <c r="D155" s="159">
        <v>42444.0</v>
      </c>
      <c r="E155" s="157" t="s">
        <v>8</v>
      </c>
      <c r="F155" s="160">
        <v>78631.94</v>
      </c>
      <c r="G155" s="160">
        <v>12581.11</v>
      </c>
      <c r="H155" s="172">
        <f t="shared" si="22"/>
        <v>91213.05</v>
      </c>
      <c r="I155" s="173"/>
      <c r="J155" s="170"/>
      <c r="K155" s="173"/>
      <c r="L155" s="173">
        <f>+'FACP$'!$H155-'FACP$'!$I155-'FACP$'!$K155</f>
        <v>91213.05</v>
      </c>
      <c r="M155" s="157" t="s">
        <v>758</v>
      </c>
      <c r="N155" s="157" t="s">
        <v>751</v>
      </c>
      <c r="O155" s="175"/>
      <c r="P155" s="164">
        <f t="shared" si="13"/>
        <v>42454</v>
      </c>
      <c r="Q155" s="165" t="b">
        <f t="shared" si="2"/>
        <v>0</v>
      </c>
      <c r="R155" s="200" t="s">
        <v>760</v>
      </c>
      <c r="S155" s="167"/>
      <c r="T155" s="168">
        <f t="shared" si="3"/>
        <v>0</v>
      </c>
      <c r="U155" s="168">
        <f t="shared" si="4"/>
        <v>0</v>
      </c>
      <c r="V155" s="168">
        <f t="shared" si="5"/>
        <v>0</v>
      </c>
      <c r="W155" s="168">
        <f t="shared" si="6"/>
        <v>0</v>
      </c>
      <c r="X155" s="168">
        <f t="shared" si="7"/>
        <v>0</v>
      </c>
      <c r="Y155" s="168">
        <f t="shared" si="8"/>
        <v>0</v>
      </c>
      <c r="Z155" s="168">
        <f t="shared" si="9"/>
        <v>91213.05</v>
      </c>
    </row>
    <row r="156" ht="14.25" customHeight="1">
      <c r="A156" s="157">
        <v>339.0</v>
      </c>
      <c r="B156" s="169" t="s">
        <v>70</v>
      </c>
      <c r="C156" s="170" t="s">
        <v>759</v>
      </c>
      <c r="D156" s="159">
        <v>42475.0</v>
      </c>
      <c r="E156" s="157" t="s">
        <v>8</v>
      </c>
      <c r="F156" s="160">
        <v>332606.55</v>
      </c>
      <c r="G156" s="160">
        <v>53217.05</v>
      </c>
      <c r="H156" s="172">
        <f t="shared" si="22"/>
        <v>385823.6</v>
      </c>
      <c r="I156" s="173"/>
      <c r="J156" s="170"/>
      <c r="K156" s="173"/>
      <c r="L156" s="173">
        <f>+'FACP$'!$H156-'FACP$'!$I156-'FACP$'!$K156</f>
        <v>385823.6</v>
      </c>
      <c r="M156" s="157" t="s">
        <v>719</v>
      </c>
      <c r="N156" s="162" t="s">
        <v>554</v>
      </c>
      <c r="O156" s="163">
        <v>42861.0</v>
      </c>
      <c r="P156" s="164">
        <f t="shared" si="13"/>
        <v>42485</v>
      </c>
      <c r="Q156" s="165">
        <f t="shared" si="2"/>
        <v>0</v>
      </c>
      <c r="R156" s="166"/>
      <c r="S156" s="167"/>
      <c r="T156" s="168">
        <f t="shared" si="3"/>
        <v>385823.6</v>
      </c>
      <c r="U156" s="168">
        <f t="shared" si="4"/>
        <v>0</v>
      </c>
      <c r="V156" s="168">
        <f t="shared" si="5"/>
        <v>0</v>
      </c>
      <c r="W156" s="168">
        <f t="shared" si="6"/>
        <v>0</v>
      </c>
      <c r="X156" s="168">
        <f t="shared" si="7"/>
        <v>0</v>
      </c>
      <c r="Y156" s="168">
        <f t="shared" si="8"/>
        <v>0</v>
      </c>
      <c r="Z156" s="168">
        <f t="shared" si="9"/>
        <v>0</v>
      </c>
    </row>
    <row r="157" ht="14.25" customHeight="1">
      <c r="A157" s="157">
        <v>341.0</v>
      </c>
      <c r="B157" s="170" t="s">
        <v>722</v>
      </c>
      <c r="C157" s="169" t="s">
        <v>756</v>
      </c>
      <c r="D157" s="159">
        <v>42475.0</v>
      </c>
      <c r="E157" s="157" t="s">
        <v>8</v>
      </c>
      <c r="F157" s="160">
        <v>1120307.11</v>
      </c>
      <c r="G157" s="160">
        <v>179249.14</v>
      </c>
      <c r="H157" s="172">
        <f t="shared" si="22"/>
        <v>1299556.25</v>
      </c>
      <c r="I157" s="173"/>
      <c r="J157" s="170"/>
      <c r="K157" s="173"/>
      <c r="L157" s="173">
        <f>+'FACP$'!$H157-'FACP$'!$I157-'FACP$'!$K157</f>
        <v>1299556.25</v>
      </c>
      <c r="M157" s="157" t="s">
        <v>93</v>
      </c>
      <c r="N157" s="162" t="s">
        <v>554</v>
      </c>
      <c r="O157" s="163">
        <v>42867.0</v>
      </c>
      <c r="P157" s="164">
        <f t="shared" si="13"/>
        <v>42485</v>
      </c>
      <c r="Q157" s="165">
        <f t="shared" si="2"/>
        <v>0</v>
      </c>
      <c r="R157" s="166"/>
      <c r="S157" s="167"/>
      <c r="T157" s="168">
        <f t="shared" si="3"/>
        <v>1299556.25</v>
      </c>
      <c r="U157" s="168">
        <f t="shared" si="4"/>
        <v>0</v>
      </c>
      <c r="V157" s="168">
        <f t="shared" si="5"/>
        <v>0</v>
      </c>
      <c r="W157" s="168">
        <f t="shared" si="6"/>
        <v>0</v>
      </c>
      <c r="X157" s="168">
        <f t="shared" si="7"/>
        <v>0</v>
      </c>
      <c r="Y157" s="168">
        <f t="shared" si="8"/>
        <v>0</v>
      </c>
      <c r="Z157" s="168">
        <f t="shared" si="9"/>
        <v>0</v>
      </c>
    </row>
    <row r="158" ht="14.25" customHeight="1">
      <c r="A158" s="157">
        <v>344.0</v>
      </c>
      <c r="B158" s="169" t="s">
        <v>692</v>
      </c>
      <c r="C158" s="169" t="s">
        <v>737</v>
      </c>
      <c r="D158" s="159">
        <v>42475.0</v>
      </c>
      <c r="E158" s="157" t="s">
        <v>8</v>
      </c>
      <c r="F158" s="160">
        <v>1246001.46</v>
      </c>
      <c r="G158" s="160">
        <v>199360.23</v>
      </c>
      <c r="H158" s="172">
        <f t="shared" si="22"/>
        <v>1445361.69</v>
      </c>
      <c r="I158" s="173"/>
      <c r="J158" s="170"/>
      <c r="K158" s="173"/>
      <c r="L158" s="173">
        <f>+'FACP$'!$H158-'FACP$'!$I158-'FACP$'!$K158</f>
        <v>1445361.69</v>
      </c>
      <c r="M158" s="157" t="s">
        <v>754</v>
      </c>
      <c r="N158" s="162" t="s">
        <v>554</v>
      </c>
      <c r="O158" s="175">
        <v>42871.0</v>
      </c>
      <c r="P158" s="164">
        <f t="shared" si="13"/>
        <v>42485</v>
      </c>
      <c r="Q158" s="165">
        <f t="shared" si="2"/>
        <v>0</v>
      </c>
      <c r="R158" s="166"/>
      <c r="S158" s="167"/>
      <c r="T158" s="168">
        <f t="shared" si="3"/>
        <v>1445361.69</v>
      </c>
      <c r="U158" s="168">
        <f t="shared" si="4"/>
        <v>0</v>
      </c>
      <c r="V158" s="168">
        <f t="shared" si="5"/>
        <v>0</v>
      </c>
      <c r="W158" s="168">
        <f t="shared" si="6"/>
        <v>0</v>
      </c>
      <c r="X158" s="168">
        <f t="shared" si="7"/>
        <v>0</v>
      </c>
      <c r="Y158" s="168">
        <f t="shared" si="8"/>
        <v>0</v>
      </c>
      <c r="Z158" s="168">
        <f t="shared" si="9"/>
        <v>0</v>
      </c>
    </row>
    <row r="159" ht="14.25" customHeight="1">
      <c r="A159" s="157">
        <v>345.0</v>
      </c>
      <c r="B159" s="169" t="s">
        <v>692</v>
      </c>
      <c r="C159" s="169" t="s">
        <v>737</v>
      </c>
      <c r="D159" s="159">
        <v>42475.0</v>
      </c>
      <c r="E159" s="157" t="s">
        <v>8</v>
      </c>
      <c r="F159" s="160">
        <v>3198687.27</v>
      </c>
      <c r="G159" s="160">
        <v>511789.96</v>
      </c>
      <c r="H159" s="172">
        <f t="shared" si="22"/>
        <v>3710477.23</v>
      </c>
      <c r="I159" s="173"/>
      <c r="J159" s="170"/>
      <c r="K159" s="173"/>
      <c r="L159" s="173">
        <f>+'FACP$'!$H159-'FACP$'!$I159-'FACP$'!$K159</f>
        <v>3710477.23</v>
      </c>
      <c r="M159" s="199" t="s">
        <v>752</v>
      </c>
      <c r="N159" s="162" t="s">
        <v>554</v>
      </c>
      <c r="O159" s="175">
        <v>42871.0</v>
      </c>
      <c r="P159" s="164">
        <f t="shared" si="13"/>
        <v>42485</v>
      </c>
      <c r="Q159" s="165">
        <f t="shared" si="2"/>
        <v>0</v>
      </c>
      <c r="R159" s="166"/>
      <c r="S159" s="167"/>
      <c r="T159" s="168">
        <f t="shared" si="3"/>
        <v>3710477.23</v>
      </c>
      <c r="U159" s="168">
        <f t="shared" si="4"/>
        <v>0</v>
      </c>
      <c r="V159" s="168">
        <f t="shared" si="5"/>
        <v>0</v>
      </c>
      <c r="W159" s="168">
        <f t="shared" si="6"/>
        <v>0</v>
      </c>
      <c r="X159" s="168">
        <f t="shared" si="7"/>
        <v>0</v>
      </c>
      <c r="Y159" s="168">
        <f t="shared" si="8"/>
        <v>0</v>
      </c>
      <c r="Z159" s="168">
        <f t="shared" si="9"/>
        <v>0</v>
      </c>
    </row>
    <row r="160" ht="14.25" customHeight="1">
      <c r="A160" s="157">
        <v>346.0</v>
      </c>
      <c r="B160" s="169" t="s">
        <v>692</v>
      </c>
      <c r="C160" s="169" t="s">
        <v>737</v>
      </c>
      <c r="D160" s="159">
        <v>42475.0</v>
      </c>
      <c r="E160" s="157" t="s">
        <v>8</v>
      </c>
      <c r="F160" s="160">
        <v>395941.77</v>
      </c>
      <c r="G160" s="160">
        <v>63350.68</v>
      </c>
      <c r="H160" s="172">
        <f t="shared" si="22"/>
        <v>459292.45</v>
      </c>
      <c r="I160" s="173"/>
      <c r="J160" s="170"/>
      <c r="K160" s="173"/>
      <c r="L160" s="173">
        <f>+'FACP$'!$H160-'FACP$'!$I160-'FACP$'!$K160</f>
        <v>459292.45</v>
      </c>
      <c r="M160" s="199" t="s">
        <v>738</v>
      </c>
      <c r="N160" s="162" t="s">
        <v>554</v>
      </c>
      <c r="O160" s="175">
        <v>42871.0</v>
      </c>
      <c r="P160" s="164">
        <f t="shared" si="13"/>
        <v>42485</v>
      </c>
      <c r="Q160" s="165">
        <f t="shared" si="2"/>
        <v>0</v>
      </c>
      <c r="R160" s="166"/>
      <c r="S160" s="167"/>
      <c r="T160" s="168">
        <f t="shared" si="3"/>
        <v>459292.45</v>
      </c>
      <c r="U160" s="168">
        <f t="shared" si="4"/>
        <v>0</v>
      </c>
      <c r="V160" s="168">
        <f t="shared" si="5"/>
        <v>0</v>
      </c>
      <c r="W160" s="168">
        <f t="shared" si="6"/>
        <v>0</v>
      </c>
      <c r="X160" s="168">
        <f t="shared" si="7"/>
        <v>0</v>
      </c>
      <c r="Y160" s="168">
        <f t="shared" si="8"/>
        <v>0</v>
      </c>
      <c r="Z160" s="168">
        <f t="shared" si="9"/>
        <v>0</v>
      </c>
    </row>
    <row r="161" ht="14.25" customHeight="1">
      <c r="A161" s="157">
        <v>347.0</v>
      </c>
      <c r="B161" s="169" t="s">
        <v>70</v>
      </c>
      <c r="C161" s="170" t="s">
        <v>759</v>
      </c>
      <c r="D161" s="159">
        <v>42491.0</v>
      </c>
      <c r="E161" s="157" t="s">
        <v>8</v>
      </c>
      <c r="F161" s="160">
        <v>429652.34</v>
      </c>
      <c r="G161" s="160">
        <v>68744.37</v>
      </c>
      <c r="H161" s="172">
        <f t="shared" si="22"/>
        <v>498396.71</v>
      </c>
      <c r="I161" s="173"/>
      <c r="J161" s="170"/>
      <c r="K161" s="173"/>
      <c r="L161" s="173">
        <f>+'FACP$'!$H161-'FACP$'!$I161-'FACP$'!$K161</f>
        <v>498396.71</v>
      </c>
      <c r="M161" s="199" t="s">
        <v>753</v>
      </c>
      <c r="N161" s="162" t="s">
        <v>554</v>
      </c>
      <c r="O161" s="163">
        <v>42879.0</v>
      </c>
      <c r="P161" s="164">
        <f t="shared" si="13"/>
        <v>42501</v>
      </c>
      <c r="Q161" s="165">
        <f t="shared" si="2"/>
        <v>0</v>
      </c>
      <c r="R161" s="166"/>
      <c r="S161" s="167"/>
      <c r="T161" s="168">
        <f t="shared" si="3"/>
        <v>498396.71</v>
      </c>
      <c r="U161" s="168">
        <f t="shared" si="4"/>
        <v>0</v>
      </c>
      <c r="V161" s="168">
        <f t="shared" si="5"/>
        <v>0</v>
      </c>
      <c r="W161" s="168">
        <f t="shared" si="6"/>
        <v>0</v>
      </c>
      <c r="X161" s="168">
        <f t="shared" si="7"/>
        <v>0</v>
      </c>
      <c r="Y161" s="168">
        <f t="shared" si="8"/>
        <v>0</v>
      </c>
      <c r="Z161" s="168">
        <f t="shared" si="9"/>
        <v>0</v>
      </c>
    </row>
    <row r="162" ht="14.25" customHeight="1">
      <c r="A162" s="157">
        <v>349.0</v>
      </c>
      <c r="B162" s="170" t="s">
        <v>722</v>
      </c>
      <c r="C162" s="169" t="s">
        <v>756</v>
      </c>
      <c r="D162" s="159">
        <v>42491.0</v>
      </c>
      <c r="E162" s="157" t="s">
        <v>8</v>
      </c>
      <c r="F162" s="160">
        <v>1217788.92</v>
      </c>
      <c r="G162" s="160">
        <v>194846.23</v>
      </c>
      <c r="H162" s="172">
        <f t="shared" si="22"/>
        <v>1412635.15</v>
      </c>
      <c r="I162" s="173"/>
      <c r="J162" s="170"/>
      <c r="K162" s="173"/>
      <c r="L162" s="173">
        <f>+'FACP$'!$H162-'FACP$'!$I162-'FACP$'!$K162</f>
        <v>1412635.15</v>
      </c>
      <c r="M162" s="199" t="s">
        <v>93</v>
      </c>
      <c r="N162" s="162" t="s">
        <v>554</v>
      </c>
      <c r="O162" s="163">
        <v>42881.0</v>
      </c>
      <c r="P162" s="164">
        <f t="shared" si="13"/>
        <v>42501</v>
      </c>
      <c r="Q162" s="165">
        <f t="shared" si="2"/>
        <v>0</v>
      </c>
      <c r="R162" s="166"/>
      <c r="S162" s="167"/>
      <c r="T162" s="168">
        <f t="shared" si="3"/>
        <v>1412635.15</v>
      </c>
      <c r="U162" s="168">
        <f t="shared" si="4"/>
        <v>0</v>
      </c>
      <c r="V162" s="168">
        <f t="shared" si="5"/>
        <v>0</v>
      </c>
      <c r="W162" s="168">
        <f t="shared" si="6"/>
        <v>0</v>
      </c>
      <c r="X162" s="168">
        <f t="shared" si="7"/>
        <v>0</v>
      </c>
      <c r="Y162" s="168">
        <f t="shared" si="8"/>
        <v>0</v>
      </c>
      <c r="Z162" s="168">
        <f t="shared" si="9"/>
        <v>0</v>
      </c>
    </row>
    <row r="163" ht="14.25" customHeight="1">
      <c r="A163" s="157">
        <v>352.0</v>
      </c>
      <c r="B163" s="169" t="s">
        <v>692</v>
      </c>
      <c r="C163" s="169" t="s">
        <v>737</v>
      </c>
      <c r="D163" s="159">
        <v>42491.0</v>
      </c>
      <c r="E163" s="157" t="s">
        <v>8</v>
      </c>
      <c r="F163" s="160">
        <v>1048905.94</v>
      </c>
      <c r="G163" s="160">
        <v>167824.95</v>
      </c>
      <c r="H163" s="172">
        <f t="shared" si="22"/>
        <v>1216730.89</v>
      </c>
      <c r="I163" s="173"/>
      <c r="J163" s="170"/>
      <c r="K163" s="173"/>
      <c r="L163" s="173">
        <f>+'FACP$'!$H163-'FACP$'!$I163-'FACP$'!$K163</f>
        <v>1216730.89</v>
      </c>
      <c r="M163" s="199" t="s">
        <v>754</v>
      </c>
      <c r="N163" s="162" t="s">
        <v>127</v>
      </c>
      <c r="O163" s="175"/>
      <c r="P163" s="164">
        <f t="shared" si="13"/>
        <v>42501</v>
      </c>
      <c r="Q163" s="165">
        <f t="shared" si="2"/>
        <v>0</v>
      </c>
      <c r="R163" s="166"/>
      <c r="S163" s="167"/>
      <c r="T163" s="168">
        <f t="shared" si="3"/>
        <v>1216730.89</v>
      </c>
      <c r="U163" s="168">
        <f t="shared" si="4"/>
        <v>0</v>
      </c>
      <c r="V163" s="168">
        <f t="shared" si="5"/>
        <v>0</v>
      </c>
      <c r="W163" s="168">
        <f t="shared" si="6"/>
        <v>0</v>
      </c>
      <c r="X163" s="168">
        <f t="shared" si="7"/>
        <v>0</v>
      </c>
      <c r="Y163" s="168">
        <f t="shared" si="8"/>
        <v>0</v>
      </c>
      <c r="Z163" s="168">
        <f t="shared" si="9"/>
        <v>0</v>
      </c>
      <c r="AB163" s="12" t="s">
        <v>761</v>
      </c>
    </row>
    <row r="164" ht="14.25" customHeight="1">
      <c r="A164" s="157">
        <v>353.0</v>
      </c>
      <c r="B164" s="169" t="s">
        <v>692</v>
      </c>
      <c r="C164" s="169" t="s">
        <v>737</v>
      </c>
      <c r="D164" s="159">
        <v>42491.0</v>
      </c>
      <c r="E164" s="157" t="s">
        <v>8</v>
      </c>
      <c r="F164" s="160">
        <v>2863159.92</v>
      </c>
      <c r="G164" s="160">
        <v>458105.59</v>
      </c>
      <c r="H164" s="172">
        <f t="shared" si="22"/>
        <v>3321265.51</v>
      </c>
      <c r="I164" s="173"/>
      <c r="J164" s="170"/>
      <c r="K164" s="173"/>
      <c r="L164" s="173">
        <f>+'FACP$'!$H164-'FACP$'!$I164-'FACP$'!$K164</f>
        <v>3321265.51</v>
      </c>
      <c r="M164" s="199" t="s">
        <v>752</v>
      </c>
      <c r="N164" s="162" t="s">
        <v>554</v>
      </c>
      <c r="O164" s="175">
        <v>42885.0</v>
      </c>
      <c r="P164" s="164">
        <f t="shared" si="13"/>
        <v>42501</v>
      </c>
      <c r="Q164" s="165">
        <f t="shared" si="2"/>
        <v>0</v>
      </c>
      <c r="R164" s="166"/>
      <c r="S164" s="167"/>
      <c r="T164" s="168">
        <f t="shared" si="3"/>
        <v>3321265.51</v>
      </c>
      <c r="U164" s="168">
        <f t="shared" si="4"/>
        <v>0</v>
      </c>
      <c r="V164" s="168">
        <f t="shared" si="5"/>
        <v>0</v>
      </c>
      <c r="W164" s="168">
        <f t="shared" si="6"/>
        <v>0</v>
      </c>
      <c r="X164" s="168">
        <f t="shared" si="7"/>
        <v>0</v>
      </c>
      <c r="Y164" s="168">
        <f t="shared" si="8"/>
        <v>0</v>
      </c>
      <c r="Z164" s="168">
        <f t="shared" si="9"/>
        <v>0</v>
      </c>
    </row>
    <row r="165" ht="14.25" customHeight="1">
      <c r="A165" s="157">
        <v>354.0</v>
      </c>
      <c r="B165" s="169" t="s">
        <v>692</v>
      </c>
      <c r="C165" s="169" t="s">
        <v>737</v>
      </c>
      <c r="D165" s="159">
        <v>42491.0</v>
      </c>
      <c r="E165" s="157" t="s">
        <v>8</v>
      </c>
      <c r="F165" s="160">
        <v>336303.12</v>
      </c>
      <c r="G165" s="160">
        <v>53808.5</v>
      </c>
      <c r="H165" s="172">
        <f t="shared" si="22"/>
        <v>390111.62</v>
      </c>
      <c r="I165" s="173"/>
      <c r="J165" s="170"/>
      <c r="K165" s="173"/>
      <c r="L165" s="173">
        <f>+'FACP$'!$H165-'FACP$'!$I165-'FACP$'!$K165</f>
        <v>390111.62</v>
      </c>
      <c r="M165" s="199" t="s">
        <v>738</v>
      </c>
      <c r="N165" s="162" t="s">
        <v>554</v>
      </c>
      <c r="O165" s="175">
        <v>42885.0</v>
      </c>
      <c r="P165" s="164">
        <f t="shared" si="13"/>
        <v>42501</v>
      </c>
      <c r="Q165" s="165">
        <f t="shared" si="2"/>
        <v>0</v>
      </c>
      <c r="R165" s="201"/>
      <c r="S165" s="167"/>
      <c r="T165" s="168">
        <f t="shared" si="3"/>
        <v>390111.62</v>
      </c>
      <c r="U165" s="168">
        <f t="shared" si="4"/>
        <v>0</v>
      </c>
      <c r="V165" s="168">
        <f t="shared" si="5"/>
        <v>0</v>
      </c>
      <c r="W165" s="168">
        <f t="shared" si="6"/>
        <v>0</v>
      </c>
      <c r="X165" s="168">
        <f t="shared" si="7"/>
        <v>0</v>
      </c>
      <c r="Y165" s="168">
        <f t="shared" si="8"/>
        <v>0</v>
      </c>
      <c r="Z165" s="168">
        <f t="shared" si="9"/>
        <v>0</v>
      </c>
    </row>
    <row r="166" ht="14.25" customHeight="1">
      <c r="A166" s="157">
        <v>355.0</v>
      </c>
      <c r="B166" s="169" t="s">
        <v>692</v>
      </c>
      <c r="C166" s="169" t="s">
        <v>737</v>
      </c>
      <c r="D166" s="159">
        <v>42491.0</v>
      </c>
      <c r="E166" s="157" t="s">
        <v>8</v>
      </c>
      <c r="F166" s="160">
        <v>1057388.91</v>
      </c>
      <c r="G166" s="160">
        <v>169182.23</v>
      </c>
      <c r="H166" s="172">
        <f t="shared" si="22"/>
        <v>1226571.14</v>
      </c>
      <c r="I166" s="173"/>
      <c r="J166" s="170"/>
      <c r="K166" s="173"/>
      <c r="L166" s="173">
        <f>+'FACP$'!$H166-'FACP$'!$I166-'FACP$'!$K166</f>
        <v>1226571.14</v>
      </c>
      <c r="M166" s="199" t="s">
        <v>754</v>
      </c>
      <c r="N166" s="162" t="s">
        <v>554</v>
      </c>
      <c r="O166" s="175">
        <v>42885.0</v>
      </c>
      <c r="P166" s="164">
        <f t="shared" si="13"/>
        <v>42501</v>
      </c>
      <c r="Q166" s="165">
        <f t="shared" si="2"/>
        <v>0</v>
      </c>
      <c r="R166" s="166"/>
      <c r="S166" s="167"/>
      <c r="T166" s="168">
        <f t="shared" si="3"/>
        <v>1226571.14</v>
      </c>
      <c r="U166" s="168">
        <f t="shared" si="4"/>
        <v>0</v>
      </c>
      <c r="V166" s="168">
        <f t="shared" si="5"/>
        <v>0</v>
      </c>
      <c r="W166" s="168">
        <f t="shared" si="6"/>
        <v>0</v>
      </c>
      <c r="X166" s="168">
        <f t="shared" si="7"/>
        <v>0</v>
      </c>
      <c r="Y166" s="168">
        <f t="shared" si="8"/>
        <v>0</v>
      </c>
      <c r="Z166" s="168">
        <f t="shared" si="9"/>
        <v>0</v>
      </c>
    </row>
    <row r="167" ht="14.25" customHeight="1">
      <c r="A167" s="157">
        <v>356.0</v>
      </c>
      <c r="B167" s="170" t="s">
        <v>722</v>
      </c>
      <c r="C167" s="169" t="s">
        <v>756</v>
      </c>
      <c r="D167" s="159">
        <v>42505.0</v>
      </c>
      <c r="E167" s="157" t="s">
        <v>8</v>
      </c>
      <c r="F167" s="160">
        <v>877275.06</v>
      </c>
      <c r="G167" s="160">
        <v>140364.07</v>
      </c>
      <c r="H167" s="172">
        <f t="shared" si="22"/>
        <v>1017639.13</v>
      </c>
      <c r="I167" s="173"/>
      <c r="J167" s="170"/>
      <c r="K167" s="173"/>
      <c r="L167" s="173">
        <f>+'FACP$'!$H167-'FACP$'!$I167-'FACP$'!$K167</f>
        <v>1017639.13</v>
      </c>
      <c r="M167" s="199" t="s">
        <v>93</v>
      </c>
      <c r="N167" s="162" t="s">
        <v>554</v>
      </c>
      <c r="O167" s="163">
        <v>42895.0</v>
      </c>
      <c r="P167" s="164">
        <f t="shared" si="13"/>
        <v>42515</v>
      </c>
      <c r="Q167" s="165">
        <f t="shared" si="2"/>
        <v>0</v>
      </c>
      <c r="R167" s="167"/>
      <c r="S167" s="167"/>
      <c r="T167" s="168">
        <f t="shared" si="3"/>
        <v>1017639.13</v>
      </c>
      <c r="U167" s="168">
        <f t="shared" si="4"/>
        <v>0</v>
      </c>
      <c r="V167" s="168">
        <f t="shared" si="5"/>
        <v>0</v>
      </c>
      <c r="W167" s="168">
        <f t="shared" si="6"/>
        <v>0</v>
      </c>
      <c r="X167" s="168">
        <f t="shared" si="7"/>
        <v>0</v>
      </c>
      <c r="Y167" s="168">
        <f t="shared" si="8"/>
        <v>0</v>
      </c>
      <c r="Z167" s="168">
        <f t="shared" si="9"/>
        <v>0</v>
      </c>
    </row>
    <row r="168" ht="14.25" customHeight="1">
      <c r="A168" s="157">
        <v>358.0</v>
      </c>
      <c r="B168" s="169" t="s">
        <v>70</v>
      </c>
      <c r="C168" s="170" t="s">
        <v>759</v>
      </c>
      <c r="D168" s="159">
        <v>42505.0</v>
      </c>
      <c r="E168" s="157" t="s">
        <v>8</v>
      </c>
      <c r="F168" s="160">
        <v>233406.75</v>
      </c>
      <c r="G168" s="160">
        <v>37345.08</v>
      </c>
      <c r="H168" s="172">
        <f t="shared" si="22"/>
        <v>270751.83</v>
      </c>
      <c r="I168" s="173"/>
      <c r="J168" s="170"/>
      <c r="K168" s="173"/>
      <c r="L168" s="173">
        <f>+'FACP$'!$H168-'FACP$'!$I168-'FACP$'!$K168</f>
        <v>270751.83</v>
      </c>
      <c r="M168" s="199" t="s">
        <v>719</v>
      </c>
      <c r="N168" s="162" t="s">
        <v>554</v>
      </c>
      <c r="O168" s="163">
        <v>42899.0</v>
      </c>
      <c r="P168" s="164">
        <f t="shared" si="13"/>
        <v>42515</v>
      </c>
      <c r="Q168" s="165">
        <f t="shared" si="2"/>
        <v>0</v>
      </c>
      <c r="R168" s="166"/>
      <c r="S168" s="167"/>
      <c r="T168" s="168">
        <f t="shared" si="3"/>
        <v>270751.83</v>
      </c>
      <c r="U168" s="168">
        <f t="shared" si="4"/>
        <v>0</v>
      </c>
      <c r="V168" s="168">
        <f t="shared" si="5"/>
        <v>0</v>
      </c>
      <c r="W168" s="168">
        <f t="shared" si="6"/>
        <v>0</v>
      </c>
      <c r="X168" s="168">
        <f t="shared" si="7"/>
        <v>0</v>
      </c>
      <c r="Y168" s="168">
        <f t="shared" si="8"/>
        <v>0</v>
      </c>
      <c r="Z168" s="168">
        <f t="shared" si="9"/>
        <v>0</v>
      </c>
    </row>
    <row r="169" ht="14.25" customHeight="1">
      <c r="A169" s="157">
        <v>360.0</v>
      </c>
      <c r="B169" s="169" t="s">
        <v>692</v>
      </c>
      <c r="C169" s="169" t="s">
        <v>737</v>
      </c>
      <c r="D169" s="159">
        <v>42505.0</v>
      </c>
      <c r="E169" s="157" t="s">
        <v>8</v>
      </c>
      <c r="F169" s="160">
        <v>1408780.85</v>
      </c>
      <c r="G169" s="160">
        <v>225404.94</v>
      </c>
      <c r="H169" s="172">
        <f t="shared" si="22"/>
        <v>1634185.79</v>
      </c>
      <c r="I169" s="173"/>
      <c r="J169" s="170"/>
      <c r="K169" s="173"/>
      <c r="L169" s="173">
        <f>+'FACP$'!$H169-'FACP$'!$I169-'FACP$'!$K169</f>
        <v>1634185.79</v>
      </c>
      <c r="M169" s="199" t="s">
        <v>754</v>
      </c>
      <c r="N169" s="162" t="s">
        <v>127</v>
      </c>
      <c r="O169" s="175"/>
      <c r="P169" s="164">
        <f t="shared" si="13"/>
        <v>42515</v>
      </c>
      <c r="Q169" s="165">
        <f t="shared" si="2"/>
        <v>0</v>
      </c>
      <c r="R169" s="166"/>
      <c r="S169" s="167"/>
      <c r="T169" s="168">
        <f t="shared" si="3"/>
        <v>1634185.79</v>
      </c>
      <c r="U169" s="168">
        <f t="shared" si="4"/>
        <v>0</v>
      </c>
      <c r="V169" s="168">
        <f t="shared" si="5"/>
        <v>0</v>
      </c>
      <c r="W169" s="168">
        <f t="shared" si="6"/>
        <v>0</v>
      </c>
      <c r="X169" s="168">
        <f t="shared" si="7"/>
        <v>0</v>
      </c>
      <c r="Y169" s="168">
        <f t="shared" si="8"/>
        <v>0</v>
      </c>
      <c r="Z169" s="168">
        <f t="shared" si="9"/>
        <v>0</v>
      </c>
    </row>
    <row r="170" ht="14.25" customHeight="1">
      <c r="A170" s="157">
        <v>361.0</v>
      </c>
      <c r="B170" s="169" t="s">
        <v>692</v>
      </c>
      <c r="C170" s="169" t="s">
        <v>737</v>
      </c>
      <c r="D170" s="159">
        <v>42505.0</v>
      </c>
      <c r="E170" s="157" t="s">
        <v>8</v>
      </c>
      <c r="F170" s="160">
        <v>4298312.64</v>
      </c>
      <c r="G170" s="160">
        <v>687730.02</v>
      </c>
      <c r="H170" s="172">
        <f t="shared" si="22"/>
        <v>4986042.66</v>
      </c>
      <c r="I170" s="173"/>
      <c r="J170" s="170"/>
      <c r="K170" s="173"/>
      <c r="L170" s="173">
        <f>+'FACP$'!$H170-'FACP$'!$I170-'FACP$'!$K170</f>
        <v>4986042.66</v>
      </c>
      <c r="M170" s="199" t="s">
        <v>752</v>
      </c>
      <c r="N170" s="162" t="s">
        <v>127</v>
      </c>
      <c r="O170" s="175"/>
      <c r="P170" s="164">
        <f t="shared" si="13"/>
        <v>42515</v>
      </c>
      <c r="Q170" s="165">
        <f t="shared" si="2"/>
        <v>0</v>
      </c>
      <c r="R170" s="166"/>
      <c r="S170" s="167"/>
      <c r="T170" s="168">
        <f t="shared" si="3"/>
        <v>4986042.66</v>
      </c>
      <c r="U170" s="168">
        <f t="shared" si="4"/>
        <v>0</v>
      </c>
      <c r="V170" s="168">
        <f t="shared" si="5"/>
        <v>0</v>
      </c>
      <c r="W170" s="168">
        <f t="shared" si="6"/>
        <v>0</v>
      </c>
      <c r="X170" s="168">
        <f t="shared" si="7"/>
        <v>0</v>
      </c>
      <c r="Y170" s="168">
        <f t="shared" si="8"/>
        <v>0</v>
      </c>
      <c r="Z170" s="168">
        <f t="shared" si="9"/>
        <v>0</v>
      </c>
    </row>
    <row r="171" ht="14.25" customHeight="1">
      <c r="A171" s="157">
        <v>362.0</v>
      </c>
      <c r="B171" s="169" t="s">
        <v>692</v>
      </c>
      <c r="C171" s="169" t="s">
        <v>737</v>
      </c>
      <c r="D171" s="159">
        <v>42505.0</v>
      </c>
      <c r="E171" s="157" t="s">
        <v>8</v>
      </c>
      <c r="F171" s="160">
        <v>396378.37</v>
      </c>
      <c r="G171" s="160">
        <v>63420.54</v>
      </c>
      <c r="H171" s="172">
        <f t="shared" si="22"/>
        <v>459798.91</v>
      </c>
      <c r="I171" s="173"/>
      <c r="J171" s="170"/>
      <c r="K171" s="173"/>
      <c r="L171" s="173">
        <f>+'FACP$'!$H171-'FACP$'!$I171-'FACP$'!$K171</f>
        <v>459798.91</v>
      </c>
      <c r="M171" s="199" t="s">
        <v>758</v>
      </c>
      <c r="N171" s="162" t="s">
        <v>127</v>
      </c>
      <c r="O171" s="175"/>
      <c r="P171" s="164">
        <f t="shared" si="13"/>
        <v>42515</v>
      </c>
      <c r="Q171" s="165">
        <f t="shared" si="2"/>
        <v>0</v>
      </c>
      <c r="R171" s="166"/>
      <c r="S171" s="167"/>
      <c r="T171" s="168">
        <f t="shared" si="3"/>
        <v>459798.91</v>
      </c>
      <c r="U171" s="168">
        <f t="shared" si="4"/>
        <v>0</v>
      </c>
      <c r="V171" s="168">
        <f t="shared" si="5"/>
        <v>0</v>
      </c>
      <c r="W171" s="168">
        <f t="shared" si="6"/>
        <v>0</v>
      </c>
      <c r="X171" s="168">
        <f t="shared" si="7"/>
        <v>0</v>
      </c>
      <c r="Y171" s="168">
        <f t="shared" si="8"/>
        <v>0</v>
      </c>
      <c r="Z171" s="168">
        <f t="shared" si="9"/>
        <v>0</v>
      </c>
    </row>
    <row r="172" ht="14.25" customHeight="1">
      <c r="A172" s="157">
        <v>364.0</v>
      </c>
      <c r="B172" s="169" t="s">
        <v>692</v>
      </c>
      <c r="C172" s="169" t="s">
        <v>737</v>
      </c>
      <c r="D172" s="159">
        <v>42505.0</v>
      </c>
      <c r="E172" s="157" t="s">
        <v>8</v>
      </c>
      <c r="F172" s="160">
        <v>1413776.21</v>
      </c>
      <c r="G172" s="160">
        <v>226204.2</v>
      </c>
      <c r="H172" s="172">
        <f t="shared" si="22"/>
        <v>1639980.41</v>
      </c>
      <c r="I172" s="173"/>
      <c r="J172" s="170"/>
      <c r="K172" s="173"/>
      <c r="L172" s="173">
        <f>+'FACP$'!$H172-'FACP$'!$I172-'FACP$'!$K172</f>
        <v>1639980.41</v>
      </c>
      <c r="M172" s="199" t="s">
        <v>754</v>
      </c>
      <c r="N172" s="162" t="s">
        <v>554</v>
      </c>
      <c r="O172" s="175">
        <v>42899.0</v>
      </c>
      <c r="P172" s="164">
        <f t="shared" si="13"/>
        <v>42515</v>
      </c>
      <c r="Q172" s="165">
        <f t="shared" si="2"/>
        <v>0</v>
      </c>
      <c r="R172" s="166"/>
      <c r="S172" s="167"/>
      <c r="T172" s="168">
        <f t="shared" si="3"/>
        <v>1639980.41</v>
      </c>
      <c r="U172" s="168">
        <f t="shared" si="4"/>
        <v>0</v>
      </c>
      <c r="V172" s="168">
        <f t="shared" si="5"/>
        <v>0</v>
      </c>
      <c r="W172" s="168">
        <f t="shared" si="6"/>
        <v>0</v>
      </c>
      <c r="X172" s="168">
        <f t="shared" si="7"/>
        <v>0</v>
      </c>
      <c r="Y172" s="168">
        <f t="shared" si="8"/>
        <v>0</v>
      </c>
      <c r="Z172" s="168">
        <f t="shared" si="9"/>
        <v>0</v>
      </c>
    </row>
    <row r="173" ht="14.25" customHeight="1">
      <c r="A173" s="157">
        <v>365.0</v>
      </c>
      <c r="B173" s="169" t="s">
        <v>692</v>
      </c>
      <c r="C173" s="169" t="s">
        <v>737</v>
      </c>
      <c r="D173" s="159">
        <v>42505.0</v>
      </c>
      <c r="E173" s="157" t="s">
        <v>8</v>
      </c>
      <c r="F173" s="160">
        <v>4314905.03</v>
      </c>
      <c r="G173" s="160">
        <v>690384.8</v>
      </c>
      <c r="H173" s="172">
        <f t="shared" si="22"/>
        <v>5005289.83</v>
      </c>
      <c r="I173" s="173"/>
      <c r="J173" s="170"/>
      <c r="K173" s="173"/>
      <c r="L173" s="173">
        <f>+'FACP$'!$H173-'FACP$'!$I173-'FACP$'!$K173</f>
        <v>5005289.83</v>
      </c>
      <c r="M173" s="199" t="s">
        <v>752</v>
      </c>
      <c r="N173" s="162" t="s">
        <v>554</v>
      </c>
      <c r="O173" s="175">
        <v>42899.0</v>
      </c>
      <c r="P173" s="164">
        <f t="shared" si="13"/>
        <v>42515</v>
      </c>
      <c r="Q173" s="165">
        <f t="shared" si="2"/>
        <v>0</v>
      </c>
      <c r="R173" s="166"/>
      <c r="S173" s="167"/>
      <c r="T173" s="168">
        <f t="shared" si="3"/>
        <v>5005289.83</v>
      </c>
      <c r="U173" s="168">
        <f t="shared" si="4"/>
        <v>0</v>
      </c>
      <c r="V173" s="168">
        <f t="shared" si="5"/>
        <v>0</v>
      </c>
      <c r="W173" s="168">
        <f t="shared" si="6"/>
        <v>0</v>
      </c>
      <c r="X173" s="168">
        <f t="shared" si="7"/>
        <v>0</v>
      </c>
      <c r="Y173" s="168">
        <f t="shared" si="8"/>
        <v>0</v>
      </c>
      <c r="Z173" s="168">
        <f t="shared" si="9"/>
        <v>0</v>
      </c>
    </row>
    <row r="174" ht="14.25" customHeight="1">
      <c r="A174" s="157">
        <v>366.0</v>
      </c>
      <c r="B174" s="169" t="s">
        <v>692</v>
      </c>
      <c r="C174" s="169" t="s">
        <v>737</v>
      </c>
      <c r="D174" s="159">
        <v>42505.0</v>
      </c>
      <c r="E174" s="157" t="s">
        <v>8</v>
      </c>
      <c r="F174" s="160">
        <v>397816.15</v>
      </c>
      <c r="G174" s="160">
        <v>63650.58</v>
      </c>
      <c r="H174" s="172">
        <f t="shared" si="22"/>
        <v>461466.73</v>
      </c>
      <c r="I174" s="173"/>
      <c r="J174" s="170"/>
      <c r="K174" s="173"/>
      <c r="L174" s="173">
        <f>+'FACP$'!$H174-'FACP$'!$I174-'FACP$'!$K174</f>
        <v>461466.73</v>
      </c>
      <c r="M174" s="199" t="s">
        <v>758</v>
      </c>
      <c r="N174" s="162" t="s">
        <v>554</v>
      </c>
      <c r="O174" s="175">
        <v>42899.0</v>
      </c>
      <c r="P174" s="164">
        <f t="shared" si="13"/>
        <v>42515</v>
      </c>
      <c r="Q174" s="165">
        <f t="shared" si="2"/>
        <v>0</v>
      </c>
      <c r="R174" s="166"/>
      <c r="S174" s="167"/>
      <c r="T174" s="168">
        <f t="shared" si="3"/>
        <v>461466.73</v>
      </c>
      <c r="U174" s="168">
        <f t="shared" si="4"/>
        <v>0</v>
      </c>
      <c r="V174" s="168">
        <f t="shared" si="5"/>
        <v>0</v>
      </c>
      <c r="W174" s="168">
        <f t="shared" si="6"/>
        <v>0</v>
      </c>
      <c r="X174" s="168">
        <f t="shared" si="7"/>
        <v>0</v>
      </c>
      <c r="Y174" s="168">
        <f t="shared" si="8"/>
        <v>0</v>
      </c>
      <c r="Z174" s="168">
        <f t="shared" si="9"/>
        <v>0</v>
      </c>
    </row>
    <row r="175" ht="14.25" customHeight="1">
      <c r="A175" s="157">
        <v>367.0</v>
      </c>
      <c r="B175" s="170" t="s">
        <v>722</v>
      </c>
      <c r="C175" s="169" t="s">
        <v>756</v>
      </c>
      <c r="D175" s="159">
        <v>42522.0</v>
      </c>
      <c r="E175" s="157" t="s">
        <v>8</v>
      </c>
      <c r="F175" s="160">
        <v>1211363.07</v>
      </c>
      <c r="G175" s="160">
        <v>193818.09</v>
      </c>
      <c r="H175" s="172">
        <f t="shared" si="22"/>
        <v>1405181.16</v>
      </c>
      <c r="I175" s="173"/>
      <c r="J175" s="170"/>
      <c r="K175" s="173"/>
      <c r="L175" s="173">
        <f>+'FACP$'!$H175-'FACP$'!$I175-'FACP$'!$K175</f>
        <v>1405181.16</v>
      </c>
      <c r="M175" s="199" t="s">
        <v>93</v>
      </c>
      <c r="N175" s="162" t="s">
        <v>127</v>
      </c>
      <c r="O175" s="163"/>
      <c r="P175" s="164">
        <f t="shared" si="13"/>
        <v>42532</v>
      </c>
      <c r="Q175" s="165">
        <f t="shared" si="2"/>
        <v>0</v>
      </c>
      <c r="R175" s="166"/>
      <c r="S175" s="167"/>
      <c r="T175" s="168">
        <f t="shared" si="3"/>
        <v>1405181.16</v>
      </c>
      <c r="U175" s="168">
        <f t="shared" si="4"/>
        <v>0</v>
      </c>
      <c r="V175" s="168">
        <f t="shared" si="5"/>
        <v>0</v>
      </c>
      <c r="W175" s="168">
        <f t="shared" si="6"/>
        <v>0</v>
      </c>
      <c r="X175" s="168">
        <f t="shared" si="7"/>
        <v>0</v>
      </c>
      <c r="Y175" s="168">
        <f t="shared" si="8"/>
        <v>0</v>
      </c>
      <c r="Z175" s="168">
        <f t="shared" si="9"/>
        <v>0</v>
      </c>
    </row>
    <row r="176" ht="14.25" customHeight="1">
      <c r="A176" s="157">
        <v>369.0</v>
      </c>
      <c r="B176" s="170" t="s">
        <v>722</v>
      </c>
      <c r="C176" s="169" t="s">
        <v>756</v>
      </c>
      <c r="D176" s="159">
        <v>42522.0</v>
      </c>
      <c r="E176" s="157" t="s">
        <v>8</v>
      </c>
      <c r="F176" s="160">
        <v>1591934.35</v>
      </c>
      <c r="G176" s="160">
        <v>254709.5</v>
      </c>
      <c r="H176" s="172">
        <f t="shared" si="22"/>
        <v>1846643.85</v>
      </c>
      <c r="I176" s="173"/>
      <c r="J176" s="170"/>
      <c r="K176" s="173"/>
      <c r="L176" s="173">
        <f>+'FACP$'!$H176-'FACP$'!$I176-'FACP$'!$K176</f>
        <v>1846643.85</v>
      </c>
      <c r="M176" s="199" t="s">
        <v>93</v>
      </c>
      <c r="N176" s="162" t="s">
        <v>127</v>
      </c>
      <c r="O176" s="163"/>
      <c r="P176" s="164">
        <f t="shared" si="13"/>
        <v>42532</v>
      </c>
      <c r="Q176" s="165">
        <f t="shared" si="2"/>
        <v>0</v>
      </c>
      <c r="R176" s="166"/>
      <c r="S176" s="167"/>
      <c r="T176" s="168">
        <f t="shared" si="3"/>
        <v>1846643.85</v>
      </c>
      <c r="U176" s="168">
        <f t="shared" si="4"/>
        <v>0</v>
      </c>
      <c r="V176" s="168">
        <f t="shared" si="5"/>
        <v>0</v>
      </c>
      <c r="W176" s="168">
        <f t="shared" si="6"/>
        <v>0</v>
      </c>
      <c r="X176" s="168">
        <f t="shared" si="7"/>
        <v>0</v>
      </c>
      <c r="Y176" s="168">
        <f t="shared" si="8"/>
        <v>0</v>
      </c>
      <c r="Z176" s="168">
        <f t="shared" si="9"/>
        <v>0</v>
      </c>
    </row>
    <row r="177" ht="14.25" customHeight="1">
      <c r="A177" s="157">
        <v>371.0</v>
      </c>
      <c r="B177" s="170" t="s">
        <v>722</v>
      </c>
      <c r="C177" s="169" t="s">
        <v>756</v>
      </c>
      <c r="D177" s="159">
        <v>42522.0</v>
      </c>
      <c r="E177" s="157" t="s">
        <v>8</v>
      </c>
      <c r="F177" s="160">
        <v>2803372.77</v>
      </c>
      <c r="G177" s="160">
        <v>448539.64</v>
      </c>
      <c r="H177" s="172">
        <f t="shared" si="22"/>
        <v>3251912.41</v>
      </c>
      <c r="I177" s="173"/>
      <c r="J177" s="170"/>
      <c r="K177" s="173"/>
      <c r="L177" s="173">
        <f>+'FACP$'!$H177-'FACP$'!$I177-'FACP$'!$K177</f>
        <v>3251912.41</v>
      </c>
      <c r="M177" s="199" t="s">
        <v>93</v>
      </c>
      <c r="N177" s="162" t="s">
        <v>127</v>
      </c>
      <c r="O177" s="163"/>
      <c r="P177" s="164">
        <f t="shared" si="13"/>
        <v>42532</v>
      </c>
      <c r="Q177" s="165">
        <f t="shared" si="2"/>
        <v>0</v>
      </c>
      <c r="R177" s="166"/>
      <c r="S177" s="167"/>
      <c r="T177" s="168">
        <f t="shared" si="3"/>
        <v>3251912.41</v>
      </c>
      <c r="U177" s="168">
        <f t="shared" si="4"/>
        <v>0</v>
      </c>
      <c r="V177" s="168">
        <f t="shared" si="5"/>
        <v>0</v>
      </c>
      <c r="W177" s="168">
        <f t="shared" si="6"/>
        <v>0</v>
      </c>
      <c r="X177" s="168">
        <f t="shared" si="7"/>
        <v>0</v>
      </c>
      <c r="Y177" s="168">
        <f t="shared" si="8"/>
        <v>0</v>
      </c>
      <c r="Z177" s="168">
        <f t="shared" si="9"/>
        <v>0</v>
      </c>
    </row>
    <row r="178" ht="14.25" customHeight="1">
      <c r="A178" s="157">
        <v>373.0</v>
      </c>
      <c r="B178" s="170" t="s">
        <v>722</v>
      </c>
      <c r="C178" s="169" t="s">
        <v>756</v>
      </c>
      <c r="D178" s="159">
        <v>42522.0</v>
      </c>
      <c r="E178" s="157" t="s">
        <v>8</v>
      </c>
      <c r="F178" s="160">
        <v>2796765.41</v>
      </c>
      <c r="G178" s="160">
        <v>447482.47</v>
      </c>
      <c r="H178" s="172">
        <f t="shared" si="22"/>
        <v>3244247.88</v>
      </c>
      <c r="I178" s="173"/>
      <c r="J178" s="170"/>
      <c r="K178" s="173"/>
      <c r="L178" s="173">
        <f>+'FACP$'!$H178-'FACP$'!$I178-'FACP$'!$K178</f>
        <v>3244247.88</v>
      </c>
      <c r="M178" s="199" t="s">
        <v>93</v>
      </c>
      <c r="N178" s="162" t="s">
        <v>127</v>
      </c>
      <c r="O178" s="163"/>
      <c r="P178" s="164">
        <f t="shared" si="13"/>
        <v>42532</v>
      </c>
      <c r="Q178" s="165">
        <f t="shared" si="2"/>
        <v>0</v>
      </c>
      <c r="R178" s="166"/>
      <c r="S178" s="167"/>
      <c r="T178" s="168">
        <f t="shared" si="3"/>
        <v>3244247.88</v>
      </c>
      <c r="U178" s="168">
        <f t="shared" si="4"/>
        <v>0</v>
      </c>
      <c r="V178" s="168">
        <f t="shared" si="5"/>
        <v>0</v>
      </c>
      <c r="W178" s="168">
        <f t="shared" si="6"/>
        <v>0</v>
      </c>
      <c r="X178" s="168">
        <f t="shared" si="7"/>
        <v>0</v>
      </c>
      <c r="Y178" s="168">
        <f t="shared" si="8"/>
        <v>0</v>
      </c>
      <c r="Z178" s="168">
        <f t="shared" si="9"/>
        <v>0</v>
      </c>
    </row>
    <row r="179" ht="14.25" customHeight="1">
      <c r="A179" s="157">
        <v>374.0</v>
      </c>
      <c r="B179" s="170" t="s">
        <v>722</v>
      </c>
      <c r="C179" s="169" t="s">
        <v>756</v>
      </c>
      <c r="D179" s="159">
        <v>42522.0</v>
      </c>
      <c r="E179" s="157" t="s">
        <v>8</v>
      </c>
      <c r="F179" s="160">
        <v>6607.36</v>
      </c>
      <c r="G179" s="160">
        <v>1057.18</v>
      </c>
      <c r="H179" s="172">
        <f t="shared" si="22"/>
        <v>7664.54</v>
      </c>
      <c r="I179" s="173"/>
      <c r="J179" s="170"/>
      <c r="K179" s="173"/>
      <c r="L179" s="173">
        <f>+'FACP$'!$H179-'FACP$'!$I179-'FACP$'!$K179</f>
        <v>7664.54</v>
      </c>
      <c r="M179" s="199" t="s">
        <v>93</v>
      </c>
      <c r="N179" s="162" t="s">
        <v>127</v>
      </c>
      <c r="O179" s="163"/>
      <c r="P179" s="164">
        <f t="shared" si="13"/>
        <v>42532</v>
      </c>
      <c r="Q179" s="165">
        <f t="shared" si="2"/>
        <v>0</v>
      </c>
      <c r="R179" s="166"/>
      <c r="S179" s="167"/>
      <c r="T179" s="168">
        <f t="shared" si="3"/>
        <v>7664.54</v>
      </c>
      <c r="U179" s="168">
        <f t="shared" si="4"/>
        <v>0</v>
      </c>
      <c r="V179" s="168">
        <f t="shared" si="5"/>
        <v>0</v>
      </c>
      <c r="W179" s="168">
        <f t="shared" si="6"/>
        <v>0</v>
      </c>
      <c r="X179" s="168">
        <f t="shared" si="7"/>
        <v>0</v>
      </c>
      <c r="Y179" s="168">
        <f t="shared" si="8"/>
        <v>0</v>
      </c>
      <c r="Z179" s="168">
        <f t="shared" si="9"/>
        <v>0</v>
      </c>
    </row>
    <row r="180" ht="14.25" customHeight="1">
      <c r="A180" s="157">
        <v>378.0</v>
      </c>
      <c r="B180" s="169" t="s">
        <v>692</v>
      </c>
      <c r="C180" s="169" t="s">
        <v>737</v>
      </c>
      <c r="D180" s="159">
        <v>42522.0</v>
      </c>
      <c r="E180" s="157" t="s">
        <v>8</v>
      </c>
      <c r="F180" s="160">
        <v>1206186.94</v>
      </c>
      <c r="G180" s="160">
        <v>192989.91</v>
      </c>
      <c r="H180" s="172">
        <f t="shared" si="22"/>
        <v>1399176.85</v>
      </c>
      <c r="I180" s="173"/>
      <c r="J180" s="170"/>
      <c r="K180" s="173"/>
      <c r="L180" s="173">
        <f>+'FACP$'!$H180-'FACP$'!$I180-'FACP$'!$K180</f>
        <v>1399176.85</v>
      </c>
      <c r="M180" s="199" t="s">
        <v>754</v>
      </c>
      <c r="N180" s="162" t="s">
        <v>127</v>
      </c>
      <c r="O180" s="175"/>
      <c r="P180" s="164">
        <f t="shared" si="13"/>
        <v>42532</v>
      </c>
      <c r="Q180" s="165">
        <f t="shared" si="2"/>
        <v>0</v>
      </c>
      <c r="R180" s="166" t="s">
        <v>762</v>
      </c>
      <c r="S180" s="167"/>
      <c r="T180" s="168">
        <f t="shared" si="3"/>
        <v>1399176.85</v>
      </c>
      <c r="U180" s="168">
        <f t="shared" si="4"/>
        <v>0</v>
      </c>
      <c r="V180" s="168">
        <f t="shared" si="5"/>
        <v>0</v>
      </c>
      <c r="W180" s="168">
        <f t="shared" si="6"/>
        <v>0</v>
      </c>
      <c r="X180" s="168">
        <f t="shared" si="7"/>
        <v>0</v>
      </c>
      <c r="Y180" s="168">
        <f t="shared" si="8"/>
        <v>0</v>
      </c>
      <c r="Z180" s="168">
        <f t="shared" si="9"/>
        <v>0</v>
      </c>
    </row>
    <row r="181" ht="14.25" customHeight="1">
      <c r="A181" s="157">
        <v>379.0</v>
      </c>
      <c r="B181" s="169" t="s">
        <v>692</v>
      </c>
      <c r="C181" s="169" t="s">
        <v>737</v>
      </c>
      <c r="D181" s="159">
        <v>42522.0</v>
      </c>
      <c r="E181" s="157" t="s">
        <v>8</v>
      </c>
      <c r="F181" s="160">
        <v>314851.1</v>
      </c>
      <c r="G181" s="160">
        <v>50376.11</v>
      </c>
      <c r="H181" s="172">
        <f t="shared" si="22"/>
        <v>365227.21</v>
      </c>
      <c r="I181" s="173"/>
      <c r="J181" s="170"/>
      <c r="K181" s="173"/>
      <c r="L181" s="173">
        <f>+'FACP$'!$H181-'FACP$'!$I181-'FACP$'!$K181</f>
        <v>365227.21</v>
      </c>
      <c r="M181" s="199" t="s">
        <v>758</v>
      </c>
      <c r="N181" s="162" t="s">
        <v>127</v>
      </c>
      <c r="O181" s="175"/>
      <c r="P181" s="164">
        <f t="shared" si="13"/>
        <v>42532</v>
      </c>
      <c r="Q181" s="165">
        <f t="shared" si="2"/>
        <v>0</v>
      </c>
      <c r="R181" s="166" t="s">
        <v>763</v>
      </c>
      <c r="S181" s="167"/>
      <c r="T181" s="168">
        <f t="shared" si="3"/>
        <v>365227.21</v>
      </c>
      <c r="U181" s="168">
        <f t="shared" si="4"/>
        <v>0</v>
      </c>
      <c r="V181" s="168">
        <f t="shared" si="5"/>
        <v>0</v>
      </c>
      <c r="W181" s="168">
        <f t="shared" si="6"/>
        <v>0</v>
      </c>
      <c r="X181" s="168">
        <f t="shared" si="7"/>
        <v>0</v>
      </c>
      <c r="Y181" s="168">
        <f t="shared" si="8"/>
        <v>0</v>
      </c>
      <c r="Z181" s="168">
        <f t="shared" si="9"/>
        <v>0</v>
      </c>
    </row>
    <row r="182" ht="14.25" customHeight="1">
      <c r="A182" s="157">
        <v>380.0</v>
      </c>
      <c r="B182" s="169" t="s">
        <v>692</v>
      </c>
      <c r="C182" s="169" t="s">
        <v>737</v>
      </c>
      <c r="D182" s="159">
        <v>42522.0</v>
      </c>
      <c r="E182" s="157" t="s">
        <v>8</v>
      </c>
      <c r="F182" s="160">
        <v>3748352.28</v>
      </c>
      <c r="G182" s="160">
        <v>599736.36</v>
      </c>
      <c r="H182" s="172">
        <f t="shared" si="22"/>
        <v>4348088.64</v>
      </c>
      <c r="I182" s="173"/>
      <c r="J182" s="170"/>
      <c r="K182" s="173"/>
      <c r="L182" s="173">
        <f>+'FACP$'!$H182-'FACP$'!$I182-'FACP$'!$K182</f>
        <v>4348088.64</v>
      </c>
      <c r="M182" s="199" t="s">
        <v>752</v>
      </c>
      <c r="N182" s="162" t="s">
        <v>127</v>
      </c>
      <c r="O182" s="175" t="s">
        <v>764</v>
      </c>
      <c r="P182" s="164">
        <f t="shared" si="13"/>
        <v>42532</v>
      </c>
      <c r="Q182" s="165">
        <f t="shared" si="2"/>
        <v>0</v>
      </c>
      <c r="R182" s="166" t="s">
        <v>765</v>
      </c>
      <c r="S182" s="167"/>
      <c r="T182" s="168">
        <f t="shared" si="3"/>
        <v>4348088.64</v>
      </c>
      <c r="U182" s="168">
        <f t="shared" si="4"/>
        <v>0</v>
      </c>
      <c r="V182" s="168">
        <f t="shared" si="5"/>
        <v>0</v>
      </c>
      <c r="W182" s="168">
        <f t="shared" si="6"/>
        <v>0</v>
      </c>
      <c r="X182" s="168">
        <f t="shared" si="7"/>
        <v>0</v>
      </c>
      <c r="Y182" s="168">
        <f t="shared" si="8"/>
        <v>0</v>
      </c>
      <c r="Z182" s="168">
        <f t="shared" si="9"/>
        <v>0</v>
      </c>
    </row>
    <row r="183" ht="14.25" customHeight="1">
      <c r="A183" s="157">
        <v>381.0</v>
      </c>
      <c r="B183" s="169" t="s">
        <v>692</v>
      </c>
      <c r="C183" s="169" t="s">
        <v>737</v>
      </c>
      <c r="D183" s="159">
        <v>42522.0</v>
      </c>
      <c r="E183" s="157" t="s">
        <v>8</v>
      </c>
      <c r="F183" s="160">
        <v>1224117.32</v>
      </c>
      <c r="G183" s="160">
        <v>195858.77</v>
      </c>
      <c r="H183" s="172">
        <f t="shared" si="22"/>
        <v>1419976.09</v>
      </c>
      <c r="I183" s="173"/>
      <c r="J183" s="170"/>
      <c r="K183" s="173"/>
      <c r="L183" s="173">
        <f>+'FACP$'!$H183-'FACP$'!$I183-'FACP$'!$K183</f>
        <v>1419976.09</v>
      </c>
      <c r="M183" s="199" t="s">
        <v>754</v>
      </c>
      <c r="N183" s="162" t="s">
        <v>554</v>
      </c>
      <c r="O183" s="175">
        <v>42913.0</v>
      </c>
      <c r="P183" s="164">
        <f t="shared" si="13"/>
        <v>42532</v>
      </c>
      <c r="Q183" s="165">
        <f t="shared" si="2"/>
        <v>0</v>
      </c>
      <c r="R183" s="166"/>
      <c r="S183" s="167"/>
      <c r="T183" s="168">
        <f t="shared" si="3"/>
        <v>1419976.09</v>
      </c>
      <c r="U183" s="168">
        <f t="shared" si="4"/>
        <v>0</v>
      </c>
      <c r="V183" s="168">
        <f t="shared" si="5"/>
        <v>0</v>
      </c>
      <c r="W183" s="168">
        <f t="shared" si="6"/>
        <v>0</v>
      </c>
      <c r="X183" s="168">
        <f t="shared" si="7"/>
        <v>0</v>
      </c>
      <c r="Y183" s="168">
        <f t="shared" si="8"/>
        <v>0</v>
      </c>
      <c r="Z183" s="168">
        <f t="shared" si="9"/>
        <v>0</v>
      </c>
    </row>
    <row r="184" ht="14.25" customHeight="1">
      <c r="A184" s="157">
        <v>382.0</v>
      </c>
      <c r="B184" s="169" t="s">
        <v>692</v>
      </c>
      <c r="C184" s="169" t="s">
        <v>737</v>
      </c>
      <c r="D184" s="159">
        <v>42522.0</v>
      </c>
      <c r="E184" s="157" t="s">
        <v>8</v>
      </c>
      <c r="F184" s="160">
        <v>3789852.99</v>
      </c>
      <c r="G184" s="160">
        <v>606376.48</v>
      </c>
      <c r="H184" s="172">
        <f t="shared" si="22"/>
        <v>4396229.47</v>
      </c>
      <c r="I184" s="173"/>
      <c r="J184" s="170"/>
      <c r="K184" s="173"/>
      <c r="L184" s="173">
        <f>+'FACP$'!$H184-'FACP$'!$I184-'FACP$'!$K184</f>
        <v>4396229.47</v>
      </c>
      <c r="M184" s="199" t="s">
        <v>752</v>
      </c>
      <c r="N184" s="162" t="s">
        <v>554</v>
      </c>
      <c r="O184" s="175">
        <v>42913.0</v>
      </c>
      <c r="P184" s="164">
        <f t="shared" si="13"/>
        <v>42532</v>
      </c>
      <c r="Q184" s="165">
        <f t="shared" si="2"/>
        <v>0</v>
      </c>
      <c r="R184" s="166"/>
      <c r="S184" s="167"/>
      <c r="T184" s="168">
        <f t="shared" si="3"/>
        <v>4396229.47</v>
      </c>
      <c r="U184" s="168">
        <f t="shared" si="4"/>
        <v>0</v>
      </c>
      <c r="V184" s="168">
        <f t="shared" si="5"/>
        <v>0</v>
      </c>
      <c r="W184" s="168">
        <f t="shared" si="6"/>
        <v>0</v>
      </c>
      <c r="X184" s="168">
        <f t="shared" si="7"/>
        <v>0</v>
      </c>
      <c r="Y184" s="168">
        <f t="shared" si="8"/>
        <v>0</v>
      </c>
      <c r="Z184" s="168">
        <f t="shared" si="9"/>
        <v>0</v>
      </c>
    </row>
    <row r="185" ht="14.25" customHeight="1">
      <c r="A185" s="157">
        <v>383.0</v>
      </c>
      <c r="B185" s="169" t="s">
        <v>692</v>
      </c>
      <c r="C185" s="169" t="s">
        <v>737</v>
      </c>
      <c r="D185" s="159">
        <v>42522.0</v>
      </c>
      <c r="E185" s="157" t="s">
        <v>8</v>
      </c>
      <c r="F185" s="160">
        <v>319227.44</v>
      </c>
      <c r="G185" s="160">
        <v>51076.39</v>
      </c>
      <c r="H185" s="172">
        <f t="shared" si="22"/>
        <v>370303.83</v>
      </c>
      <c r="I185" s="173"/>
      <c r="J185" s="170"/>
      <c r="K185" s="173"/>
      <c r="L185" s="173">
        <f>+'FACP$'!$H185-'FACP$'!$I185-'FACP$'!$K185</f>
        <v>370303.83</v>
      </c>
      <c r="M185" s="199" t="s">
        <v>738</v>
      </c>
      <c r="N185" s="162" t="s">
        <v>554</v>
      </c>
      <c r="O185" s="175">
        <v>42913.0</v>
      </c>
      <c r="P185" s="164">
        <f t="shared" si="13"/>
        <v>42532</v>
      </c>
      <c r="Q185" s="165">
        <f t="shared" si="2"/>
        <v>0</v>
      </c>
      <c r="R185" s="166"/>
      <c r="S185" s="167"/>
      <c r="T185" s="168">
        <f t="shared" si="3"/>
        <v>370303.83</v>
      </c>
      <c r="U185" s="168">
        <f t="shared" si="4"/>
        <v>0</v>
      </c>
      <c r="V185" s="168">
        <f t="shared" si="5"/>
        <v>0</v>
      </c>
      <c r="W185" s="168">
        <f t="shared" si="6"/>
        <v>0</v>
      </c>
      <c r="X185" s="168">
        <f t="shared" si="7"/>
        <v>0</v>
      </c>
      <c r="Y185" s="168">
        <f t="shared" si="8"/>
        <v>0</v>
      </c>
      <c r="Z185" s="168">
        <f t="shared" si="9"/>
        <v>0</v>
      </c>
    </row>
    <row r="186" ht="14.25" customHeight="1">
      <c r="A186" s="157">
        <v>384.0</v>
      </c>
      <c r="B186" s="169" t="s">
        <v>692</v>
      </c>
      <c r="C186" s="169" t="s">
        <v>737</v>
      </c>
      <c r="D186" s="159">
        <v>42522.0</v>
      </c>
      <c r="E186" s="157" t="s">
        <v>8</v>
      </c>
      <c r="F186" s="160">
        <v>319227.44</v>
      </c>
      <c r="G186" s="160">
        <v>51076.39</v>
      </c>
      <c r="H186" s="172">
        <f t="shared" si="22"/>
        <v>370303.83</v>
      </c>
      <c r="I186" s="173"/>
      <c r="J186" s="170"/>
      <c r="K186" s="173"/>
      <c r="L186" s="173">
        <f>+'FACP$'!$H186-'FACP$'!$I186-'FACP$'!$K186</f>
        <v>370303.83</v>
      </c>
      <c r="M186" s="199" t="s">
        <v>738</v>
      </c>
      <c r="N186" s="162" t="s">
        <v>127</v>
      </c>
      <c r="O186" s="175"/>
      <c r="P186" s="164">
        <f t="shared" si="13"/>
        <v>42532</v>
      </c>
      <c r="Q186" s="165">
        <f t="shared" si="2"/>
        <v>0</v>
      </c>
      <c r="R186" s="166"/>
      <c r="S186" s="167"/>
      <c r="T186" s="168">
        <f t="shared" si="3"/>
        <v>370303.83</v>
      </c>
      <c r="U186" s="168">
        <f t="shared" si="4"/>
        <v>0</v>
      </c>
      <c r="V186" s="168">
        <f t="shared" si="5"/>
        <v>0</v>
      </c>
      <c r="W186" s="168">
        <f t="shared" si="6"/>
        <v>0</v>
      </c>
      <c r="X186" s="168">
        <f t="shared" si="7"/>
        <v>0</v>
      </c>
      <c r="Y186" s="168">
        <f t="shared" si="8"/>
        <v>0</v>
      </c>
      <c r="Z186" s="168">
        <f t="shared" si="9"/>
        <v>0</v>
      </c>
    </row>
    <row r="187" ht="14.25" customHeight="1">
      <c r="A187" s="157">
        <v>384.0</v>
      </c>
      <c r="B187" s="170" t="s">
        <v>722</v>
      </c>
      <c r="C187" s="169" t="s">
        <v>756</v>
      </c>
      <c r="D187" s="159">
        <v>42887.0</v>
      </c>
      <c r="E187" s="157" t="s">
        <v>8</v>
      </c>
      <c r="F187" s="160">
        <v>2803375.36</v>
      </c>
      <c r="G187" s="160">
        <v>448540.06</v>
      </c>
      <c r="H187" s="172">
        <v>3251915.42</v>
      </c>
      <c r="I187" s="173"/>
      <c r="J187" s="170"/>
      <c r="K187" s="173"/>
      <c r="L187" s="173">
        <f>+'FACP$'!$H187-'FACP$'!$I187-'FACP$'!$K187</f>
        <v>3251915.42</v>
      </c>
      <c r="M187" s="199" t="s">
        <v>93</v>
      </c>
      <c r="N187" s="162" t="s">
        <v>554</v>
      </c>
      <c r="O187" s="163">
        <v>42916.0</v>
      </c>
      <c r="P187" s="164">
        <f t="shared" si="13"/>
        <v>42897</v>
      </c>
      <c r="Q187" s="165">
        <f t="shared" si="2"/>
        <v>0</v>
      </c>
      <c r="R187" s="166"/>
      <c r="S187" s="167"/>
      <c r="T187" s="168">
        <f t="shared" si="3"/>
        <v>3251915.42</v>
      </c>
      <c r="U187" s="168">
        <f t="shared" si="4"/>
        <v>0</v>
      </c>
      <c r="V187" s="168">
        <f t="shared" si="5"/>
        <v>0</v>
      </c>
      <c r="W187" s="168">
        <f t="shared" si="6"/>
        <v>0</v>
      </c>
      <c r="X187" s="168">
        <f t="shared" si="7"/>
        <v>0</v>
      </c>
      <c r="Y187" s="168">
        <f t="shared" si="8"/>
        <v>0</v>
      </c>
      <c r="Z187" s="168">
        <f t="shared" si="9"/>
        <v>0</v>
      </c>
    </row>
    <row r="188" ht="14.25" customHeight="1">
      <c r="A188" s="157">
        <v>387.0</v>
      </c>
      <c r="B188" s="169" t="s">
        <v>692</v>
      </c>
      <c r="C188" s="169" t="s">
        <v>737</v>
      </c>
      <c r="D188" s="159">
        <v>42536.0</v>
      </c>
      <c r="E188" s="157" t="s">
        <v>8</v>
      </c>
      <c r="F188" s="160">
        <v>1426451.74</v>
      </c>
      <c r="G188" s="160">
        <v>228232.28</v>
      </c>
      <c r="H188" s="172">
        <f t="shared" ref="H188:H266" si="23">F188+G188</f>
        <v>1654684.02</v>
      </c>
      <c r="I188" s="173"/>
      <c r="J188" s="170"/>
      <c r="K188" s="173"/>
      <c r="L188" s="173">
        <f>+'FACP$'!$H188-'FACP$'!$I188-'FACP$'!$K188</f>
        <v>1654684.02</v>
      </c>
      <c r="M188" s="199" t="s">
        <v>754</v>
      </c>
      <c r="N188" s="162" t="s">
        <v>554</v>
      </c>
      <c r="O188" s="175">
        <v>42934.0</v>
      </c>
      <c r="P188" s="164">
        <f t="shared" si="13"/>
        <v>42546</v>
      </c>
      <c r="Q188" s="165">
        <f t="shared" si="2"/>
        <v>0</v>
      </c>
      <c r="R188" s="166"/>
      <c r="S188" s="167"/>
      <c r="T188" s="168">
        <f t="shared" si="3"/>
        <v>1654684.02</v>
      </c>
      <c r="U188" s="168">
        <f t="shared" si="4"/>
        <v>0</v>
      </c>
      <c r="V188" s="168">
        <f t="shared" si="5"/>
        <v>0</v>
      </c>
      <c r="W188" s="168">
        <f t="shared" si="6"/>
        <v>0</v>
      </c>
      <c r="X188" s="168">
        <f t="shared" si="7"/>
        <v>0</v>
      </c>
      <c r="Y188" s="168">
        <f t="shared" si="8"/>
        <v>0</v>
      </c>
      <c r="Z188" s="168">
        <f t="shared" si="9"/>
        <v>0</v>
      </c>
    </row>
    <row r="189" ht="14.25" customHeight="1">
      <c r="A189" s="157">
        <v>388.0</v>
      </c>
      <c r="B189" s="169" t="s">
        <v>692</v>
      </c>
      <c r="C189" s="169" t="s">
        <v>737</v>
      </c>
      <c r="D189" s="159">
        <v>42536.0</v>
      </c>
      <c r="E189" s="157" t="s">
        <v>8</v>
      </c>
      <c r="F189" s="160">
        <v>4563039.08</v>
      </c>
      <c r="G189" s="160">
        <v>730086.25</v>
      </c>
      <c r="H189" s="172">
        <f t="shared" si="23"/>
        <v>5293125.33</v>
      </c>
      <c r="I189" s="173"/>
      <c r="J189" s="170"/>
      <c r="K189" s="173"/>
      <c r="L189" s="173">
        <f>+'FACP$'!$H189-'FACP$'!$I189-'FACP$'!$K189</f>
        <v>5293125.33</v>
      </c>
      <c r="M189" s="199" t="s">
        <v>752</v>
      </c>
      <c r="N189" s="162" t="s">
        <v>554</v>
      </c>
      <c r="O189" s="175">
        <v>42934.0</v>
      </c>
      <c r="P189" s="164">
        <f t="shared" si="13"/>
        <v>42546</v>
      </c>
      <c r="Q189" s="165">
        <f t="shared" si="2"/>
        <v>0</v>
      </c>
      <c r="R189" s="166"/>
      <c r="S189" s="167"/>
      <c r="T189" s="168">
        <f t="shared" si="3"/>
        <v>5293125.33</v>
      </c>
      <c r="U189" s="168">
        <f t="shared" si="4"/>
        <v>0</v>
      </c>
      <c r="V189" s="168">
        <f t="shared" si="5"/>
        <v>0</v>
      </c>
      <c r="W189" s="168">
        <f t="shared" si="6"/>
        <v>0</v>
      </c>
      <c r="X189" s="168">
        <f t="shared" si="7"/>
        <v>0</v>
      </c>
      <c r="Y189" s="168">
        <f t="shared" si="8"/>
        <v>0</v>
      </c>
      <c r="Z189" s="168">
        <f t="shared" si="9"/>
        <v>0</v>
      </c>
    </row>
    <row r="190" ht="14.25" customHeight="1">
      <c r="A190" s="157">
        <v>389.0</v>
      </c>
      <c r="B190" s="169" t="s">
        <v>692</v>
      </c>
      <c r="C190" s="169" t="s">
        <v>737</v>
      </c>
      <c r="D190" s="159">
        <v>42536.0</v>
      </c>
      <c r="E190" s="157" t="s">
        <v>8</v>
      </c>
      <c r="F190" s="160">
        <v>470359.91</v>
      </c>
      <c r="G190" s="160">
        <v>75257.59</v>
      </c>
      <c r="H190" s="172">
        <f t="shared" si="23"/>
        <v>545617.5</v>
      </c>
      <c r="I190" s="173"/>
      <c r="J190" s="170"/>
      <c r="K190" s="173"/>
      <c r="L190" s="173">
        <f>+'FACP$'!$H190-'FACP$'!$I190-'FACP$'!$K190</f>
        <v>545617.5</v>
      </c>
      <c r="M190" s="199" t="s">
        <v>738</v>
      </c>
      <c r="N190" s="162" t="s">
        <v>127</v>
      </c>
      <c r="O190" s="175"/>
      <c r="P190" s="164">
        <f t="shared" si="13"/>
        <v>42546</v>
      </c>
      <c r="Q190" s="165">
        <f t="shared" si="2"/>
        <v>0</v>
      </c>
      <c r="R190" s="166"/>
      <c r="S190" s="167"/>
      <c r="T190" s="168">
        <f t="shared" si="3"/>
        <v>545617.5</v>
      </c>
      <c r="U190" s="168">
        <f t="shared" si="4"/>
        <v>0</v>
      </c>
      <c r="V190" s="168">
        <f t="shared" si="5"/>
        <v>0</v>
      </c>
      <c r="W190" s="168">
        <f t="shared" si="6"/>
        <v>0</v>
      </c>
      <c r="X190" s="168">
        <f t="shared" si="7"/>
        <v>0</v>
      </c>
      <c r="Y190" s="168">
        <f t="shared" si="8"/>
        <v>0</v>
      </c>
      <c r="Z190" s="168">
        <f t="shared" si="9"/>
        <v>0</v>
      </c>
    </row>
    <row r="191" ht="14.25" customHeight="1">
      <c r="A191" s="157">
        <v>392.0</v>
      </c>
      <c r="B191" s="169" t="s">
        <v>70</v>
      </c>
      <c r="C191" s="170" t="s">
        <v>759</v>
      </c>
      <c r="D191" s="159">
        <v>42541.0</v>
      </c>
      <c r="E191" s="157" t="s">
        <v>8</v>
      </c>
      <c r="F191" s="160">
        <v>129476.4</v>
      </c>
      <c r="G191" s="160">
        <v>20716.22</v>
      </c>
      <c r="H191" s="172">
        <f t="shared" si="23"/>
        <v>150192.62</v>
      </c>
      <c r="I191" s="173"/>
      <c r="J191" s="170"/>
      <c r="K191" s="173"/>
      <c r="L191" s="173">
        <f>+'FACP$'!$H191-'FACP$'!$I191-'FACP$'!$K191</f>
        <v>150192.62</v>
      </c>
      <c r="M191" s="199" t="s">
        <v>719</v>
      </c>
      <c r="N191" s="162" t="s">
        <v>554</v>
      </c>
      <c r="O191" s="163">
        <v>42898.0</v>
      </c>
      <c r="P191" s="164">
        <f t="shared" si="13"/>
        <v>42551</v>
      </c>
      <c r="Q191" s="165">
        <f t="shared" si="2"/>
        <v>0</v>
      </c>
      <c r="R191" s="166"/>
      <c r="S191" s="167"/>
      <c r="T191" s="168">
        <f t="shared" si="3"/>
        <v>150192.62</v>
      </c>
      <c r="U191" s="168">
        <f t="shared" si="4"/>
        <v>0</v>
      </c>
      <c r="V191" s="168">
        <f t="shared" si="5"/>
        <v>0</v>
      </c>
      <c r="W191" s="168">
        <f t="shared" si="6"/>
        <v>0</v>
      </c>
      <c r="X191" s="168">
        <f t="shared" si="7"/>
        <v>0</v>
      </c>
      <c r="Y191" s="168">
        <f t="shared" si="8"/>
        <v>0</v>
      </c>
      <c r="Z191" s="168">
        <f t="shared" si="9"/>
        <v>0</v>
      </c>
    </row>
    <row r="192" ht="14.25" customHeight="1">
      <c r="A192" s="157">
        <v>393.0</v>
      </c>
      <c r="B192" s="169" t="s">
        <v>70</v>
      </c>
      <c r="C192" s="170" t="s">
        <v>759</v>
      </c>
      <c r="D192" s="159">
        <v>42541.0</v>
      </c>
      <c r="E192" s="157" t="s">
        <v>8</v>
      </c>
      <c r="F192" s="160">
        <v>97107.3</v>
      </c>
      <c r="G192" s="160">
        <v>15537.17</v>
      </c>
      <c r="H192" s="172">
        <f t="shared" si="23"/>
        <v>112644.47</v>
      </c>
      <c r="I192" s="173"/>
      <c r="J192" s="170"/>
      <c r="K192" s="173"/>
      <c r="L192" s="173">
        <f>+'FACP$'!$H192-'FACP$'!$I192-'FACP$'!$K192</f>
        <v>112644.47</v>
      </c>
      <c r="M192" s="199" t="s">
        <v>719</v>
      </c>
      <c r="N192" s="162" t="s">
        <v>554</v>
      </c>
      <c r="O192" s="163">
        <v>42898.0</v>
      </c>
      <c r="P192" s="164">
        <f t="shared" si="13"/>
        <v>42551</v>
      </c>
      <c r="Q192" s="165">
        <f t="shared" si="2"/>
        <v>0</v>
      </c>
      <c r="R192" s="166"/>
      <c r="S192" s="167"/>
      <c r="T192" s="168">
        <f t="shared" si="3"/>
        <v>112644.47</v>
      </c>
      <c r="U192" s="168">
        <f t="shared" si="4"/>
        <v>0</v>
      </c>
      <c r="V192" s="168">
        <f t="shared" si="5"/>
        <v>0</v>
      </c>
      <c r="W192" s="168">
        <f t="shared" si="6"/>
        <v>0</v>
      </c>
      <c r="X192" s="168">
        <f t="shared" si="7"/>
        <v>0</v>
      </c>
      <c r="Y192" s="168">
        <f t="shared" si="8"/>
        <v>0</v>
      </c>
      <c r="Z192" s="168">
        <f t="shared" si="9"/>
        <v>0</v>
      </c>
    </row>
    <row r="193" ht="14.25" customHeight="1">
      <c r="A193" s="157">
        <v>394.0</v>
      </c>
      <c r="B193" s="170" t="s">
        <v>722</v>
      </c>
      <c r="C193" s="169" t="s">
        <v>756</v>
      </c>
      <c r="D193" s="159">
        <v>42536.0</v>
      </c>
      <c r="E193" s="157" t="s">
        <v>8</v>
      </c>
      <c r="F193" s="160">
        <v>1781579.73</v>
      </c>
      <c r="G193" s="160">
        <v>285052.76</v>
      </c>
      <c r="H193" s="172">
        <f t="shared" si="23"/>
        <v>2066632.49</v>
      </c>
      <c r="I193" s="173"/>
      <c r="J193" s="170"/>
      <c r="K193" s="173"/>
      <c r="L193" s="173">
        <f>+'FACP$'!$H193-'FACP$'!$I193-'FACP$'!$K193</f>
        <v>2066632.49</v>
      </c>
      <c r="M193" s="199" t="s">
        <v>93</v>
      </c>
      <c r="N193" s="162" t="s">
        <v>554</v>
      </c>
      <c r="O193" s="163">
        <v>42930.0</v>
      </c>
      <c r="P193" s="164">
        <f t="shared" si="13"/>
        <v>42546</v>
      </c>
      <c r="Q193" s="165">
        <f t="shared" si="2"/>
        <v>0</v>
      </c>
      <c r="R193" s="166"/>
      <c r="S193" s="167"/>
      <c r="T193" s="168">
        <f t="shared" si="3"/>
        <v>2066632.49</v>
      </c>
      <c r="U193" s="168">
        <f t="shared" si="4"/>
        <v>0</v>
      </c>
      <c r="V193" s="168">
        <f t="shared" si="5"/>
        <v>0</v>
      </c>
      <c r="W193" s="168">
        <f t="shared" si="6"/>
        <v>0</v>
      </c>
      <c r="X193" s="168">
        <f t="shared" si="7"/>
        <v>0</v>
      </c>
      <c r="Y193" s="168">
        <f t="shared" si="8"/>
        <v>0</v>
      </c>
      <c r="Z193" s="168">
        <f t="shared" si="9"/>
        <v>0</v>
      </c>
    </row>
    <row r="194" ht="14.25" customHeight="1">
      <c r="A194" s="157">
        <v>396.0</v>
      </c>
      <c r="B194" s="169" t="s">
        <v>692</v>
      </c>
      <c r="C194" s="169" t="s">
        <v>737</v>
      </c>
      <c r="D194" s="159">
        <v>42536.0</v>
      </c>
      <c r="E194" s="157" t="s">
        <v>8</v>
      </c>
      <c r="F194" s="160">
        <v>284606.79</v>
      </c>
      <c r="G194" s="160">
        <v>45537.09</v>
      </c>
      <c r="H194" s="172">
        <f t="shared" si="23"/>
        <v>330143.88</v>
      </c>
      <c r="I194" s="173"/>
      <c r="J194" s="170"/>
      <c r="K194" s="173"/>
      <c r="L194" s="173">
        <f>+'FACP$'!$H194-'FACP$'!$I194-'FACP$'!$K194</f>
        <v>330143.88</v>
      </c>
      <c r="M194" s="199" t="s">
        <v>758</v>
      </c>
      <c r="N194" s="162" t="s">
        <v>554</v>
      </c>
      <c r="O194" s="175">
        <v>42948.0</v>
      </c>
      <c r="P194" s="164">
        <f t="shared" si="13"/>
        <v>42546</v>
      </c>
      <c r="Q194" s="165">
        <f t="shared" si="2"/>
        <v>0</v>
      </c>
      <c r="R194" s="166"/>
      <c r="S194" s="167"/>
      <c r="T194" s="168">
        <f t="shared" si="3"/>
        <v>330143.88</v>
      </c>
      <c r="U194" s="168">
        <f t="shared" si="4"/>
        <v>0</v>
      </c>
      <c r="V194" s="168">
        <f t="shared" si="5"/>
        <v>0</v>
      </c>
      <c r="W194" s="168">
        <f t="shared" si="6"/>
        <v>0</v>
      </c>
      <c r="X194" s="168">
        <f t="shared" si="7"/>
        <v>0</v>
      </c>
      <c r="Y194" s="168">
        <f t="shared" si="8"/>
        <v>0</v>
      </c>
      <c r="Z194" s="168">
        <f t="shared" si="9"/>
        <v>0</v>
      </c>
    </row>
    <row r="195" ht="14.25" customHeight="1">
      <c r="A195" s="157">
        <v>397.0</v>
      </c>
      <c r="B195" s="170" t="s">
        <v>722</v>
      </c>
      <c r="C195" s="169" t="s">
        <v>756</v>
      </c>
      <c r="D195" s="159">
        <v>42552.0</v>
      </c>
      <c r="E195" s="157" t="s">
        <v>8</v>
      </c>
      <c r="F195" s="160">
        <v>1907208.21</v>
      </c>
      <c r="G195" s="160">
        <v>305153.31</v>
      </c>
      <c r="H195" s="172">
        <f t="shared" si="23"/>
        <v>2212361.52</v>
      </c>
      <c r="I195" s="173"/>
      <c r="J195" s="170"/>
      <c r="K195" s="173"/>
      <c r="L195" s="173">
        <f>+'FACP$'!$H195-'FACP$'!$I195-'FACP$'!$K195</f>
        <v>2212361.52</v>
      </c>
      <c r="M195" s="199" t="s">
        <v>93</v>
      </c>
      <c r="N195" s="162" t="s">
        <v>127</v>
      </c>
      <c r="O195" s="163"/>
      <c r="P195" s="164">
        <f t="shared" si="13"/>
        <v>42562</v>
      </c>
      <c r="Q195" s="165">
        <f t="shared" si="2"/>
        <v>0</v>
      </c>
      <c r="R195" s="166"/>
      <c r="S195" s="167"/>
      <c r="T195" s="168">
        <f t="shared" si="3"/>
        <v>2212361.52</v>
      </c>
      <c r="U195" s="168">
        <f t="shared" si="4"/>
        <v>0</v>
      </c>
      <c r="V195" s="168">
        <f t="shared" si="5"/>
        <v>0</v>
      </c>
      <c r="W195" s="168">
        <f t="shared" si="6"/>
        <v>0</v>
      </c>
      <c r="X195" s="168">
        <f t="shared" si="7"/>
        <v>0</v>
      </c>
      <c r="Y195" s="168">
        <f t="shared" si="8"/>
        <v>0</v>
      </c>
      <c r="Z195" s="168">
        <f t="shared" si="9"/>
        <v>0</v>
      </c>
    </row>
    <row r="196" ht="14.25" customHeight="1">
      <c r="A196" s="157">
        <v>399.0</v>
      </c>
      <c r="B196" s="170" t="s">
        <v>722</v>
      </c>
      <c r="C196" s="169" t="s">
        <v>756</v>
      </c>
      <c r="D196" s="159">
        <v>42522.0</v>
      </c>
      <c r="E196" s="157" t="s">
        <v>8</v>
      </c>
      <c r="F196" s="160">
        <v>1907208.21</v>
      </c>
      <c r="G196" s="160">
        <v>305153.31</v>
      </c>
      <c r="H196" s="172">
        <f t="shared" si="23"/>
        <v>2212361.52</v>
      </c>
      <c r="I196" s="173"/>
      <c r="J196" s="170"/>
      <c r="K196" s="173"/>
      <c r="L196" s="173">
        <f>+'FACP$'!$H196-'FACP$'!$I196-'FACP$'!$K196</f>
        <v>2212361.52</v>
      </c>
      <c r="M196" s="199" t="s">
        <v>93</v>
      </c>
      <c r="N196" s="162" t="s">
        <v>554</v>
      </c>
      <c r="O196" s="163">
        <v>42944.0</v>
      </c>
      <c r="P196" s="164">
        <f t="shared" si="13"/>
        <v>42532</v>
      </c>
      <c r="Q196" s="165">
        <f t="shared" si="2"/>
        <v>0</v>
      </c>
      <c r="R196" s="166"/>
      <c r="S196" s="167"/>
      <c r="T196" s="168">
        <f t="shared" si="3"/>
        <v>2212361.52</v>
      </c>
      <c r="U196" s="168">
        <f t="shared" si="4"/>
        <v>0</v>
      </c>
      <c r="V196" s="168">
        <f t="shared" si="5"/>
        <v>0</v>
      </c>
      <c r="W196" s="168">
        <f t="shared" si="6"/>
        <v>0</v>
      </c>
      <c r="X196" s="168">
        <f t="shared" si="7"/>
        <v>0</v>
      </c>
      <c r="Y196" s="168">
        <f t="shared" si="8"/>
        <v>0</v>
      </c>
      <c r="Z196" s="168">
        <f t="shared" si="9"/>
        <v>0</v>
      </c>
    </row>
    <row r="197" ht="14.25" customHeight="1">
      <c r="A197" s="157">
        <v>402.0</v>
      </c>
      <c r="B197" s="169" t="s">
        <v>692</v>
      </c>
      <c r="C197" s="169" t="s">
        <v>737</v>
      </c>
      <c r="D197" s="159">
        <v>42552.0</v>
      </c>
      <c r="E197" s="157" t="s">
        <v>8</v>
      </c>
      <c r="F197" s="160">
        <v>1218628.26</v>
      </c>
      <c r="G197" s="160">
        <v>194980.52</v>
      </c>
      <c r="H197" s="172">
        <f t="shared" si="23"/>
        <v>1413608.78</v>
      </c>
      <c r="I197" s="173"/>
      <c r="J197" s="170"/>
      <c r="K197" s="173"/>
      <c r="L197" s="173">
        <f>+'FACP$'!$H197-'FACP$'!$I197-'FACP$'!$K197</f>
        <v>1413608.78</v>
      </c>
      <c r="M197" s="199" t="s">
        <v>754</v>
      </c>
      <c r="N197" s="162" t="s">
        <v>127</v>
      </c>
      <c r="O197" s="175"/>
      <c r="P197" s="164">
        <f t="shared" si="13"/>
        <v>42562</v>
      </c>
      <c r="Q197" s="165">
        <f t="shared" si="2"/>
        <v>0</v>
      </c>
      <c r="R197" s="166"/>
      <c r="S197" s="167"/>
      <c r="T197" s="168">
        <f t="shared" si="3"/>
        <v>1413608.78</v>
      </c>
      <c r="U197" s="168">
        <f t="shared" si="4"/>
        <v>0</v>
      </c>
      <c r="V197" s="168">
        <f t="shared" si="5"/>
        <v>0</v>
      </c>
      <c r="W197" s="168">
        <f t="shared" si="6"/>
        <v>0</v>
      </c>
      <c r="X197" s="168">
        <f t="shared" si="7"/>
        <v>0</v>
      </c>
      <c r="Y197" s="168">
        <f t="shared" si="8"/>
        <v>0</v>
      </c>
      <c r="Z197" s="168">
        <f t="shared" si="9"/>
        <v>0</v>
      </c>
    </row>
    <row r="198" ht="14.25" customHeight="1">
      <c r="A198" s="157">
        <v>403.0</v>
      </c>
      <c r="B198" s="169" t="s">
        <v>692</v>
      </c>
      <c r="C198" s="169" t="s">
        <v>737</v>
      </c>
      <c r="D198" s="159">
        <v>42552.0</v>
      </c>
      <c r="E198" s="157" t="s">
        <v>8</v>
      </c>
      <c r="F198" s="160">
        <v>4479300.46</v>
      </c>
      <c r="G198" s="160">
        <v>716688.07</v>
      </c>
      <c r="H198" s="172">
        <f t="shared" si="23"/>
        <v>5195988.53</v>
      </c>
      <c r="I198" s="173"/>
      <c r="J198" s="170"/>
      <c r="K198" s="173"/>
      <c r="L198" s="173">
        <f>+'FACP$'!$H198-'FACP$'!$I198-'FACP$'!$K198</f>
        <v>5195988.53</v>
      </c>
      <c r="M198" s="199" t="s">
        <v>752</v>
      </c>
      <c r="N198" s="162" t="s">
        <v>127</v>
      </c>
      <c r="O198" s="175"/>
      <c r="P198" s="164">
        <f t="shared" si="13"/>
        <v>42562</v>
      </c>
      <c r="Q198" s="165">
        <f t="shared" si="2"/>
        <v>0</v>
      </c>
      <c r="R198" s="166"/>
      <c r="S198" s="167"/>
      <c r="T198" s="168">
        <f t="shared" si="3"/>
        <v>5195988.53</v>
      </c>
      <c r="U198" s="168">
        <f t="shared" si="4"/>
        <v>0</v>
      </c>
      <c r="V198" s="168">
        <f t="shared" si="5"/>
        <v>0</v>
      </c>
      <c r="W198" s="168">
        <f t="shared" si="6"/>
        <v>0</v>
      </c>
      <c r="X198" s="168">
        <f t="shared" si="7"/>
        <v>0</v>
      </c>
      <c r="Y198" s="168">
        <f t="shared" si="8"/>
        <v>0</v>
      </c>
      <c r="Z198" s="168">
        <f t="shared" si="9"/>
        <v>0</v>
      </c>
    </row>
    <row r="199" ht="14.25" customHeight="1">
      <c r="A199" s="157">
        <v>404.0</v>
      </c>
      <c r="B199" s="169" t="s">
        <v>692</v>
      </c>
      <c r="C199" s="169" t="s">
        <v>737</v>
      </c>
      <c r="D199" s="159">
        <v>42552.0</v>
      </c>
      <c r="E199" s="157" t="s">
        <v>8</v>
      </c>
      <c r="F199" s="160">
        <v>192294.48</v>
      </c>
      <c r="G199" s="160">
        <v>30767.12</v>
      </c>
      <c r="H199" s="172">
        <f t="shared" si="23"/>
        <v>223061.6</v>
      </c>
      <c r="I199" s="173"/>
      <c r="J199" s="170"/>
      <c r="K199" s="173"/>
      <c r="L199" s="173">
        <f>+'FACP$'!$H199-'FACP$'!$I199-'FACP$'!$K199</f>
        <v>223061.6</v>
      </c>
      <c r="M199" s="199" t="s">
        <v>758</v>
      </c>
      <c r="N199" s="162" t="s">
        <v>127</v>
      </c>
      <c r="O199" s="175"/>
      <c r="P199" s="164">
        <f t="shared" si="13"/>
        <v>42562</v>
      </c>
      <c r="Q199" s="165">
        <f t="shared" si="2"/>
        <v>0</v>
      </c>
      <c r="R199" s="166"/>
      <c r="S199" s="167"/>
      <c r="T199" s="168">
        <f t="shared" si="3"/>
        <v>223061.6</v>
      </c>
      <c r="U199" s="168">
        <f t="shared" si="4"/>
        <v>0</v>
      </c>
      <c r="V199" s="168">
        <f t="shared" si="5"/>
        <v>0</v>
      </c>
      <c r="W199" s="168">
        <f t="shared" si="6"/>
        <v>0</v>
      </c>
      <c r="X199" s="168">
        <f t="shared" si="7"/>
        <v>0</v>
      </c>
      <c r="Y199" s="168">
        <f t="shared" si="8"/>
        <v>0</v>
      </c>
      <c r="Z199" s="168">
        <f t="shared" si="9"/>
        <v>0</v>
      </c>
    </row>
    <row r="200" ht="14.25" customHeight="1">
      <c r="A200" s="157">
        <v>405.0</v>
      </c>
      <c r="B200" s="169" t="s">
        <v>692</v>
      </c>
      <c r="C200" s="169" t="s">
        <v>737</v>
      </c>
      <c r="D200" s="159">
        <v>42552.0</v>
      </c>
      <c r="E200" s="157" t="s">
        <v>8</v>
      </c>
      <c r="F200" s="160">
        <v>1220608.04</v>
      </c>
      <c r="G200" s="160">
        <v>195297.29</v>
      </c>
      <c r="H200" s="172">
        <f t="shared" si="23"/>
        <v>1415905.33</v>
      </c>
      <c r="I200" s="173"/>
      <c r="J200" s="170"/>
      <c r="K200" s="173"/>
      <c r="L200" s="173">
        <f>+'FACP$'!$H200-'FACP$'!$I200-'FACP$'!$K200</f>
        <v>1415905.33</v>
      </c>
      <c r="M200" s="199" t="s">
        <v>754</v>
      </c>
      <c r="N200" s="162" t="s">
        <v>127</v>
      </c>
      <c r="O200" s="175"/>
      <c r="P200" s="164">
        <f t="shared" si="13"/>
        <v>42562</v>
      </c>
      <c r="Q200" s="165">
        <f t="shared" si="2"/>
        <v>0</v>
      </c>
      <c r="R200" s="166"/>
      <c r="S200" s="167"/>
      <c r="T200" s="168">
        <f t="shared" si="3"/>
        <v>1415905.33</v>
      </c>
      <c r="U200" s="168">
        <f t="shared" si="4"/>
        <v>0</v>
      </c>
      <c r="V200" s="168">
        <f t="shared" si="5"/>
        <v>0</v>
      </c>
      <c r="W200" s="168">
        <f t="shared" si="6"/>
        <v>0</v>
      </c>
      <c r="X200" s="168">
        <f t="shared" si="7"/>
        <v>0</v>
      </c>
      <c r="Y200" s="168">
        <f t="shared" si="8"/>
        <v>0</v>
      </c>
      <c r="Z200" s="168">
        <f t="shared" si="9"/>
        <v>0</v>
      </c>
    </row>
    <row r="201" ht="14.25" customHeight="1">
      <c r="A201" s="157">
        <v>406.0</v>
      </c>
      <c r="B201" s="169" t="s">
        <v>692</v>
      </c>
      <c r="C201" s="169" t="s">
        <v>737</v>
      </c>
      <c r="D201" s="159">
        <v>42552.0</v>
      </c>
      <c r="E201" s="157" t="s">
        <v>8</v>
      </c>
      <c r="F201" s="160">
        <v>4485390.01</v>
      </c>
      <c r="G201" s="160">
        <v>717662.4</v>
      </c>
      <c r="H201" s="172">
        <f t="shared" si="23"/>
        <v>5203052.41</v>
      </c>
      <c r="I201" s="173"/>
      <c r="J201" s="170"/>
      <c r="K201" s="173"/>
      <c r="L201" s="173">
        <f>+'FACP$'!$H201-'FACP$'!$I201-'FACP$'!$K201</f>
        <v>5203052.41</v>
      </c>
      <c r="M201" s="199" t="s">
        <v>752</v>
      </c>
      <c r="N201" s="162" t="s">
        <v>127</v>
      </c>
      <c r="O201" s="175"/>
      <c r="P201" s="164">
        <f t="shared" si="13"/>
        <v>42562</v>
      </c>
      <c r="Q201" s="165">
        <f t="shared" si="2"/>
        <v>0</v>
      </c>
      <c r="R201" s="166"/>
      <c r="S201" s="167"/>
      <c r="T201" s="168">
        <f t="shared" si="3"/>
        <v>5203052.41</v>
      </c>
      <c r="U201" s="168">
        <f t="shared" si="4"/>
        <v>0</v>
      </c>
      <c r="V201" s="168">
        <f t="shared" si="5"/>
        <v>0</v>
      </c>
      <c r="W201" s="168">
        <f t="shared" si="6"/>
        <v>0</v>
      </c>
      <c r="X201" s="168">
        <f t="shared" si="7"/>
        <v>0</v>
      </c>
      <c r="Y201" s="168">
        <f t="shared" si="8"/>
        <v>0</v>
      </c>
      <c r="Z201" s="168">
        <f t="shared" si="9"/>
        <v>0</v>
      </c>
    </row>
    <row r="202" ht="14.25" customHeight="1">
      <c r="A202" s="157">
        <v>407.0</v>
      </c>
      <c r="B202" s="169" t="s">
        <v>692</v>
      </c>
      <c r="C202" s="169" t="s">
        <v>737</v>
      </c>
      <c r="D202" s="159">
        <v>42552.0</v>
      </c>
      <c r="E202" s="157" t="s">
        <v>8</v>
      </c>
      <c r="F202" s="160">
        <v>192593.98</v>
      </c>
      <c r="G202" s="160">
        <v>30815.04</v>
      </c>
      <c r="H202" s="172">
        <f t="shared" si="23"/>
        <v>223409.02</v>
      </c>
      <c r="I202" s="173"/>
      <c r="J202" s="170"/>
      <c r="K202" s="173"/>
      <c r="L202" s="173">
        <f>+'FACP$'!$H202-'FACP$'!$I202-'FACP$'!$K202</f>
        <v>223409.02</v>
      </c>
      <c r="M202" s="199" t="s">
        <v>758</v>
      </c>
      <c r="N202" s="162" t="s">
        <v>127</v>
      </c>
      <c r="O202" s="175"/>
      <c r="P202" s="164">
        <f t="shared" si="13"/>
        <v>42562</v>
      </c>
      <c r="Q202" s="165">
        <f t="shared" si="2"/>
        <v>0</v>
      </c>
      <c r="R202" s="166"/>
      <c r="S202" s="167"/>
      <c r="T202" s="168">
        <f t="shared" si="3"/>
        <v>223409.02</v>
      </c>
      <c r="U202" s="168">
        <f t="shared" si="4"/>
        <v>0</v>
      </c>
      <c r="V202" s="168">
        <f t="shared" si="5"/>
        <v>0</v>
      </c>
      <c r="W202" s="168">
        <f t="shared" si="6"/>
        <v>0</v>
      </c>
      <c r="X202" s="168">
        <f t="shared" si="7"/>
        <v>0</v>
      </c>
      <c r="Y202" s="168">
        <f t="shared" si="8"/>
        <v>0</v>
      </c>
      <c r="Z202" s="168">
        <f t="shared" si="9"/>
        <v>0</v>
      </c>
    </row>
    <row r="203" ht="14.25" customHeight="1">
      <c r="A203" s="157">
        <v>409.0</v>
      </c>
      <c r="B203" s="169" t="s">
        <v>692</v>
      </c>
      <c r="C203" s="169" t="s">
        <v>737</v>
      </c>
      <c r="D203" s="159">
        <v>42552.0</v>
      </c>
      <c r="E203" s="157" t="s">
        <v>8</v>
      </c>
      <c r="F203" s="160">
        <v>192839.99</v>
      </c>
      <c r="G203" s="160">
        <v>30815.04</v>
      </c>
      <c r="H203" s="172">
        <f t="shared" si="23"/>
        <v>223655.03</v>
      </c>
      <c r="I203" s="173"/>
      <c r="J203" s="170"/>
      <c r="K203" s="173"/>
      <c r="L203" s="173">
        <f>+'FACP$'!$H203-'FACP$'!$I203-'FACP$'!$K203</f>
        <v>223655.03</v>
      </c>
      <c r="M203" s="199" t="s">
        <v>758</v>
      </c>
      <c r="N203" s="162" t="s">
        <v>127</v>
      </c>
      <c r="O203" s="175"/>
      <c r="P203" s="164">
        <f t="shared" si="13"/>
        <v>42562</v>
      </c>
      <c r="Q203" s="165">
        <f t="shared" si="2"/>
        <v>0</v>
      </c>
      <c r="R203" s="166"/>
      <c r="S203" s="167"/>
      <c r="T203" s="168">
        <f t="shared" si="3"/>
        <v>223655.03</v>
      </c>
      <c r="U203" s="168">
        <f t="shared" si="4"/>
        <v>0</v>
      </c>
      <c r="V203" s="168">
        <f t="shared" si="5"/>
        <v>0</v>
      </c>
      <c r="W203" s="168">
        <f t="shared" si="6"/>
        <v>0</v>
      </c>
      <c r="X203" s="168">
        <f t="shared" si="7"/>
        <v>0</v>
      </c>
      <c r="Y203" s="168">
        <f t="shared" si="8"/>
        <v>0</v>
      </c>
      <c r="Z203" s="168">
        <f t="shared" si="9"/>
        <v>0</v>
      </c>
    </row>
    <row r="204" ht="14.25" customHeight="1">
      <c r="A204" s="157">
        <v>410.0</v>
      </c>
      <c r="B204" s="169" t="s">
        <v>692</v>
      </c>
      <c r="C204" s="169" t="s">
        <v>737</v>
      </c>
      <c r="D204" s="159">
        <v>42552.0</v>
      </c>
      <c r="E204" s="157" t="s">
        <v>8</v>
      </c>
      <c r="F204" s="160">
        <v>4491479.56</v>
      </c>
      <c r="G204" s="160">
        <v>718636.73</v>
      </c>
      <c r="H204" s="172">
        <f t="shared" si="23"/>
        <v>5210116.29</v>
      </c>
      <c r="I204" s="173"/>
      <c r="J204" s="170"/>
      <c r="K204" s="173"/>
      <c r="L204" s="173">
        <f>+'FACP$'!$H204-'FACP$'!$I204-'FACP$'!$K204</f>
        <v>5210116.29</v>
      </c>
      <c r="M204" s="199" t="s">
        <v>749</v>
      </c>
      <c r="N204" s="162" t="s">
        <v>127</v>
      </c>
      <c r="O204" s="175"/>
      <c r="P204" s="164">
        <f t="shared" si="13"/>
        <v>42562</v>
      </c>
      <c r="Q204" s="165">
        <f t="shared" si="2"/>
        <v>0</v>
      </c>
      <c r="R204" s="166"/>
      <c r="S204" s="167"/>
      <c r="T204" s="168">
        <f t="shared" si="3"/>
        <v>5210116.29</v>
      </c>
      <c r="U204" s="168">
        <f t="shared" si="4"/>
        <v>0</v>
      </c>
      <c r="V204" s="168">
        <f t="shared" si="5"/>
        <v>0</v>
      </c>
      <c r="W204" s="168">
        <f t="shared" si="6"/>
        <v>0</v>
      </c>
      <c r="X204" s="168">
        <f t="shared" si="7"/>
        <v>0</v>
      </c>
      <c r="Y204" s="168">
        <f t="shared" si="8"/>
        <v>0</v>
      </c>
      <c r="Z204" s="168">
        <f t="shared" si="9"/>
        <v>0</v>
      </c>
    </row>
    <row r="205" ht="14.25" customHeight="1">
      <c r="A205" s="157">
        <v>411.0</v>
      </c>
      <c r="B205" s="169" t="s">
        <v>692</v>
      </c>
      <c r="C205" s="169" t="s">
        <v>737</v>
      </c>
      <c r="D205" s="159">
        <v>42552.0</v>
      </c>
      <c r="E205" s="157" t="s">
        <v>8</v>
      </c>
      <c r="F205" s="160">
        <v>1222092.87</v>
      </c>
      <c r="G205" s="160">
        <v>195534.86</v>
      </c>
      <c r="H205" s="172">
        <f t="shared" si="23"/>
        <v>1417627.73</v>
      </c>
      <c r="I205" s="173"/>
      <c r="J205" s="170"/>
      <c r="K205" s="173"/>
      <c r="L205" s="173">
        <f>+'FACP$'!$H205-'FACP$'!$I205-'FACP$'!$K205</f>
        <v>1417627.73</v>
      </c>
      <c r="M205" s="199" t="s">
        <v>754</v>
      </c>
      <c r="N205" s="162" t="s">
        <v>127</v>
      </c>
      <c r="O205" s="175"/>
      <c r="P205" s="164">
        <f t="shared" si="13"/>
        <v>42562</v>
      </c>
      <c r="Q205" s="165">
        <f t="shared" si="2"/>
        <v>0</v>
      </c>
      <c r="R205" s="166"/>
      <c r="S205" s="167"/>
      <c r="T205" s="168">
        <f t="shared" si="3"/>
        <v>1417627.73</v>
      </c>
      <c r="U205" s="168">
        <f t="shared" si="4"/>
        <v>0</v>
      </c>
      <c r="V205" s="168">
        <f t="shared" si="5"/>
        <v>0</v>
      </c>
      <c r="W205" s="168">
        <f t="shared" si="6"/>
        <v>0</v>
      </c>
      <c r="X205" s="168">
        <f t="shared" si="7"/>
        <v>0</v>
      </c>
      <c r="Y205" s="168">
        <f t="shared" si="8"/>
        <v>0</v>
      </c>
      <c r="Z205" s="168">
        <f t="shared" si="9"/>
        <v>0</v>
      </c>
    </row>
    <row r="206" ht="14.25" customHeight="1">
      <c r="A206" s="157">
        <v>412.0</v>
      </c>
      <c r="B206" s="169" t="s">
        <v>692</v>
      </c>
      <c r="C206" s="169" t="s">
        <v>737</v>
      </c>
      <c r="D206" s="159">
        <v>42552.0</v>
      </c>
      <c r="E206" s="157" t="s">
        <v>8</v>
      </c>
      <c r="F206" s="160">
        <v>1226193.86</v>
      </c>
      <c r="G206" s="160">
        <v>196191.02</v>
      </c>
      <c r="H206" s="172">
        <f t="shared" si="23"/>
        <v>1422384.88</v>
      </c>
      <c r="I206" s="173"/>
      <c r="J206" s="170"/>
      <c r="K206" s="173"/>
      <c r="L206" s="173">
        <f>+'FACP$'!$H206-'FACP$'!$I206-'FACP$'!$K206</f>
        <v>1422384.88</v>
      </c>
      <c r="M206" s="199" t="s">
        <v>754</v>
      </c>
      <c r="N206" s="162" t="s">
        <v>554</v>
      </c>
      <c r="O206" s="175">
        <v>42955.0</v>
      </c>
      <c r="P206" s="164">
        <f t="shared" si="13"/>
        <v>42562</v>
      </c>
      <c r="Q206" s="165">
        <f t="shared" si="2"/>
        <v>0</v>
      </c>
      <c r="R206" s="166"/>
      <c r="S206" s="167"/>
      <c r="T206" s="168">
        <f t="shared" si="3"/>
        <v>1422384.88</v>
      </c>
      <c r="U206" s="168">
        <f t="shared" si="4"/>
        <v>0</v>
      </c>
      <c r="V206" s="168">
        <f t="shared" si="5"/>
        <v>0</v>
      </c>
      <c r="W206" s="168">
        <f t="shared" si="6"/>
        <v>0</v>
      </c>
      <c r="X206" s="168">
        <f t="shared" si="7"/>
        <v>0</v>
      </c>
      <c r="Y206" s="168">
        <f t="shared" si="8"/>
        <v>0</v>
      </c>
      <c r="Z206" s="168">
        <f t="shared" si="9"/>
        <v>0</v>
      </c>
    </row>
    <row r="207" ht="14.25" customHeight="1">
      <c r="A207" s="157">
        <v>413.0</v>
      </c>
      <c r="B207" s="169" t="s">
        <v>692</v>
      </c>
      <c r="C207" s="169" t="s">
        <v>737</v>
      </c>
      <c r="D207" s="159">
        <v>42552.0</v>
      </c>
      <c r="E207" s="157" t="s">
        <v>8</v>
      </c>
      <c r="F207" s="160">
        <v>4509965.71</v>
      </c>
      <c r="G207" s="160">
        <v>721594.51</v>
      </c>
      <c r="H207" s="172">
        <f t="shared" si="23"/>
        <v>5231560.22</v>
      </c>
      <c r="I207" s="173"/>
      <c r="J207" s="170"/>
      <c r="K207" s="173"/>
      <c r="L207" s="173">
        <f>+'FACP$'!$H207-'FACP$'!$I207-'FACP$'!$K207</f>
        <v>5231560.22</v>
      </c>
      <c r="M207" s="199" t="s">
        <v>752</v>
      </c>
      <c r="N207" s="162" t="s">
        <v>554</v>
      </c>
      <c r="O207" s="175">
        <v>42955.0</v>
      </c>
      <c r="P207" s="164">
        <f t="shared" si="13"/>
        <v>42562</v>
      </c>
      <c r="Q207" s="165">
        <f t="shared" si="2"/>
        <v>0</v>
      </c>
      <c r="R207" s="166"/>
      <c r="S207" s="167"/>
      <c r="T207" s="168">
        <f t="shared" si="3"/>
        <v>5231560.22</v>
      </c>
      <c r="U207" s="168">
        <f t="shared" si="4"/>
        <v>0</v>
      </c>
      <c r="V207" s="168">
        <f t="shared" si="5"/>
        <v>0</v>
      </c>
      <c r="W207" s="168">
        <f t="shared" si="6"/>
        <v>0</v>
      </c>
      <c r="X207" s="168">
        <f t="shared" si="7"/>
        <v>0</v>
      </c>
      <c r="Y207" s="168">
        <f t="shared" si="8"/>
        <v>0</v>
      </c>
      <c r="Z207" s="168">
        <f t="shared" si="9"/>
        <v>0</v>
      </c>
    </row>
    <row r="208" ht="14.25" customHeight="1">
      <c r="A208" s="157">
        <v>414.0</v>
      </c>
      <c r="B208" s="169" t="s">
        <v>692</v>
      </c>
      <c r="C208" s="169" t="s">
        <v>737</v>
      </c>
      <c r="D208" s="159">
        <v>42552.0</v>
      </c>
      <c r="E208" s="157" t="s">
        <v>8</v>
      </c>
      <c r="F208" s="160">
        <v>193513.84</v>
      </c>
      <c r="G208" s="160">
        <v>30962.22</v>
      </c>
      <c r="H208" s="172">
        <f t="shared" si="23"/>
        <v>224476.06</v>
      </c>
      <c r="I208" s="173"/>
      <c r="J208" s="170"/>
      <c r="K208" s="173"/>
      <c r="L208" s="173">
        <f>+'FACP$'!$H208-'FACP$'!$I208-'FACP$'!$K208</f>
        <v>224476.06</v>
      </c>
      <c r="M208" s="199" t="s">
        <v>758</v>
      </c>
      <c r="N208" s="162" t="s">
        <v>554</v>
      </c>
      <c r="O208" s="175">
        <v>42955.0</v>
      </c>
      <c r="P208" s="164">
        <f t="shared" si="13"/>
        <v>42562</v>
      </c>
      <c r="Q208" s="165">
        <f t="shared" si="2"/>
        <v>0</v>
      </c>
      <c r="R208" s="166"/>
      <c r="S208" s="167"/>
      <c r="T208" s="168">
        <f t="shared" si="3"/>
        <v>224476.06</v>
      </c>
      <c r="U208" s="168">
        <f t="shared" si="4"/>
        <v>0</v>
      </c>
      <c r="V208" s="168">
        <f t="shared" si="5"/>
        <v>0</v>
      </c>
      <c r="W208" s="168">
        <f t="shared" si="6"/>
        <v>0</v>
      </c>
      <c r="X208" s="168">
        <f t="shared" si="7"/>
        <v>0</v>
      </c>
      <c r="Y208" s="168">
        <f t="shared" si="8"/>
        <v>0</v>
      </c>
      <c r="Z208" s="168">
        <f t="shared" si="9"/>
        <v>0</v>
      </c>
    </row>
    <row r="209" ht="14.25" customHeight="1">
      <c r="A209" s="157">
        <v>415.0</v>
      </c>
      <c r="B209" s="169" t="s">
        <v>70</v>
      </c>
      <c r="C209" s="170" t="s">
        <v>759</v>
      </c>
      <c r="D209" s="159">
        <v>42552.0</v>
      </c>
      <c r="E209" s="157" t="s">
        <v>8</v>
      </c>
      <c r="F209" s="160">
        <v>212253.79</v>
      </c>
      <c r="G209" s="160">
        <v>33960.61</v>
      </c>
      <c r="H209" s="172">
        <f t="shared" si="23"/>
        <v>246214.4</v>
      </c>
      <c r="I209" s="173"/>
      <c r="J209" s="170"/>
      <c r="K209" s="173"/>
      <c r="L209" s="173">
        <f>+'FACP$'!$H209-'FACP$'!$I209-'FACP$'!$K209</f>
        <v>246214.4</v>
      </c>
      <c r="M209" s="199" t="s">
        <v>719</v>
      </c>
      <c r="N209" s="162" t="s">
        <v>127</v>
      </c>
      <c r="O209" s="163"/>
      <c r="P209" s="164">
        <f t="shared" si="13"/>
        <v>42562</v>
      </c>
      <c r="Q209" s="165">
        <f t="shared" si="2"/>
        <v>0</v>
      </c>
      <c r="R209" s="166"/>
      <c r="S209" s="167"/>
      <c r="T209" s="168">
        <f t="shared" si="3"/>
        <v>246214.4</v>
      </c>
      <c r="U209" s="168">
        <f t="shared" si="4"/>
        <v>0</v>
      </c>
      <c r="V209" s="168">
        <f t="shared" si="5"/>
        <v>0</v>
      </c>
      <c r="W209" s="168">
        <f t="shared" si="6"/>
        <v>0</v>
      </c>
      <c r="X209" s="168">
        <f t="shared" si="7"/>
        <v>0</v>
      </c>
      <c r="Y209" s="168">
        <f t="shared" si="8"/>
        <v>0</v>
      </c>
      <c r="Z209" s="168">
        <f t="shared" si="9"/>
        <v>0</v>
      </c>
    </row>
    <row r="210" ht="14.25" customHeight="1">
      <c r="A210" s="157">
        <v>418.0</v>
      </c>
      <c r="B210" s="169" t="s">
        <v>70</v>
      </c>
      <c r="C210" s="170" t="s">
        <v>759</v>
      </c>
      <c r="D210" s="159">
        <v>42556.0</v>
      </c>
      <c r="E210" s="157" t="s">
        <v>8</v>
      </c>
      <c r="F210" s="160">
        <v>159578.14</v>
      </c>
      <c r="G210" s="160">
        <v>25532.5</v>
      </c>
      <c r="H210" s="172">
        <f t="shared" si="23"/>
        <v>185110.64</v>
      </c>
      <c r="I210" s="173"/>
      <c r="J210" s="170"/>
      <c r="K210" s="173"/>
      <c r="L210" s="173">
        <f>+'FACP$'!$H210-'FACP$'!$I210-'FACP$'!$K210</f>
        <v>185110.64</v>
      </c>
      <c r="M210" s="199" t="s">
        <v>719</v>
      </c>
      <c r="N210" s="162" t="s">
        <v>554</v>
      </c>
      <c r="O210" s="163">
        <v>42952.0</v>
      </c>
      <c r="P210" s="164">
        <f t="shared" si="13"/>
        <v>42566</v>
      </c>
      <c r="Q210" s="165">
        <f t="shared" si="2"/>
        <v>0</v>
      </c>
      <c r="R210" s="166" t="s">
        <v>766</v>
      </c>
      <c r="S210" s="167"/>
      <c r="T210" s="168">
        <f t="shared" si="3"/>
        <v>185110.64</v>
      </c>
      <c r="U210" s="168">
        <f t="shared" si="4"/>
        <v>0</v>
      </c>
      <c r="V210" s="168">
        <f t="shared" si="5"/>
        <v>0</v>
      </c>
      <c r="W210" s="168">
        <f t="shared" si="6"/>
        <v>0</v>
      </c>
      <c r="X210" s="168">
        <f t="shared" si="7"/>
        <v>0</v>
      </c>
      <c r="Y210" s="168">
        <f t="shared" si="8"/>
        <v>0</v>
      </c>
      <c r="Z210" s="168">
        <f t="shared" si="9"/>
        <v>0</v>
      </c>
    </row>
    <row r="211" ht="14.25" customHeight="1">
      <c r="A211" s="157">
        <v>421.0</v>
      </c>
      <c r="B211" s="169" t="s">
        <v>692</v>
      </c>
      <c r="C211" s="169" t="s">
        <v>737</v>
      </c>
      <c r="D211" s="159">
        <v>42566.0</v>
      </c>
      <c r="E211" s="157" t="s">
        <v>8</v>
      </c>
      <c r="F211" s="160">
        <v>1168031.42</v>
      </c>
      <c r="G211" s="160">
        <v>186885.03</v>
      </c>
      <c r="H211" s="172">
        <f t="shared" si="23"/>
        <v>1354916.45</v>
      </c>
      <c r="I211" s="173"/>
      <c r="J211" s="170"/>
      <c r="K211" s="173"/>
      <c r="L211" s="173">
        <f>+'FACP$'!$H211-'FACP$'!$I211-'FACP$'!$K211</f>
        <v>1354916.45</v>
      </c>
      <c r="M211" s="199" t="s">
        <v>754</v>
      </c>
      <c r="N211" s="162" t="s">
        <v>127</v>
      </c>
      <c r="O211" s="175"/>
      <c r="P211" s="164">
        <f t="shared" si="13"/>
        <v>42576</v>
      </c>
      <c r="Q211" s="165">
        <f t="shared" si="2"/>
        <v>0</v>
      </c>
      <c r="R211" s="166" t="s">
        <v>767</v>
      </c>
      <c r="S211" s="167"/>
      <c r="T211" s="168">
        <f t="shared" si="3"/>
        <v>1354916.45</v>
      </c>
      <c r="U211" s="168">
        <f t="shared" si="4"/>
        <v>0</v>
      </c>
      <c r="V211" s="168">
        <f t="shared" si="5"/>
        <v>0</v>
      </c>
      <c r="W211" s="168">
        <f t="shared" si="6"/>
        <v>0</v>
      </c>
      <c r="X211" s="168">
        <f t="shared" si="7"/>
        <v>0</v>
      </c>
      <c r="Y211" s="168">
        <f t="shared" si="8"/>
        <v>0</v>
      </c>
      <c r="Z211" s="168">
        <f t="shared" si="9"/>
        <v>0</v>
      </c>
    </row>
    <row r="212" ht="14.25" customHeight="1">
      <c r="A212" s="157">
        <v>422.0</v>
      </c>
      <c r="B212" s="169" t="s">
        <v>692</v>
      </c>
      <c r="C212" s="169" t="s">
        <v>737</v>
      </c>
      <c r="D212" s="159">
        <v>42566.0</v>
      </c>
      <c r="E212" s="157" t="s">
        <v>8</v>
      </c>
      <c r="F212" s="160">
        <v>4734076.68</v>
      </c>
      <c r="G212" s="160">
        <v>757452.27</v>
      </c>
      <c r="H212" s="172">
        <f t="shared" si="23"/>
        <v>5491528.95</v>
      </c>
      <c r="I212" s="173"/>
      <c r="J212" s="170"/>
      <c r="K212" s="173"/>
      <c r="L212" s="173">
        <f>+'FACP$'!$H212-'FACP$'!$I212-'FACP$'!$K212</f>
        <v>5491528.95</v>
      </c>
      <c r="M212" s="199" t="s">
        <v>752</v>
      </c>
      <c r="N212" s="162" t="s">
        <v>127</v>
      </c>
      <c r="O212" s="175"/>
      <c r="P212" s="164">
        <f t="shared" si="13"/>
        <v>42576</v>
      </c>
      <c r="Q212" s="165">
        <f t="shared" si="2"/>
        <v>0</v>
      </c>
      <c r="R212" s="166" t="s">
        <v>768</v>
      </c>
      <c r="S212" s="167"/>
      <c r="T212" s="168">
        <f t="shared" si="3"/>
        <v>5491528.95</v>
      </c>
      <c r="U212" s="168">
        <f t="shared" si="4"/>
        <v>0</v>
      </c>
      <c r="V212" s="168">
        <f t="shared" si="5"/>
        <v>0</v>
      </c>
      <c r="W212" s="168">
        <f t="shared" si="6"/>
        <v>0</v>
      </c>
      <c r="X212" s="168">
        <f t="shared" si="7"/>
        <v>0</v>
      </c>
      <c r="Y212" s="168">
        <f t="shared" si="8"/>
        <v>0</v>
      </c>
      <c r="Z212" s="168">
        <f t="shared" si="9"/>
        <v>0</v>
      </c>
    </row>
    <row r="213" ht="14.25" customHeight="1">
      <c r="A213" s="157">
        <v>423.0</v>
      </c>
      <c r="B213" s="169" t="s">
        <v>692</v>
      </c>
      <c r="C213" s="169" t="s">
        <v>737</v>
      </c>
      <c r="D213" s="159">
        <v>42566.0</v>
      </c>
      <c r="E213" s="157" t="s">
        <v>8</v>
      </c>
      <c r="F213" s="160">
        <v>585601.2</v>
      </c>
      <c r="G213" s="160">
        <v>93696.19</v>
      </c>
      <c r="H213" s="172">
        <f t="shared" si="23"/>
        <v>679297.39</v>
      </c>
      <c r="I213" s="173"/>
      <c r="J213" s="170"/>
      <c r="K213" s="173"/>
      <c r="L213" s="173">
        <f>+'FACP$'!$H213-'FACP$'!$I213-'FACP$'!$K213</f>
        <v>679297.39</v>
      </c>
      <c r="M213" s="199" t="s">
        <v>758</v>
      </c>
      <c r="N213" s="162" t="s">
        <v>127</v>
      </c>
      <c r="O213" s="175"/>
      <c r="P213" s="164">
        <f t="shared" si="13"/>
        <v>42576</v>
      </c>
      <c r="Q213" s="165">
        <f t="shared" si="2"/>
        <v>0</v>
      </c>
      <c r="R213" s="166" t="s">
        <v>769</v>
      </c>
      <c r="S213" s="167"/>
      <c r="T213" s="168">
        <f t="shared" si="3"/>
        <v>679297.39</v>
      </c>
      <c r="U213" s="168">
        <f t="shared" si="4"/>
        <v>0</v>
      </c>
      <c r="V213" s="168">
        <f t="shared" si="5"/>
        <v>0</v>
      </c>
      <c r="W213" s="168">
        <f t="shared" si="6"/>
        <v>0</v>
      </c>
      <c r="X213" s="168">
        <f t="shared" si="7"/>
        <v>0</v>
      </c>
      <c r="Y213" s="168">
        <f t="shared" si="8"/>
        <v>0</v>
      </c>
      <c r="Z213" s="168">
        <f t="shared" si="9"/>
        <v>0</v>
      </c>
    </row>
    <row r="214" ht="14.25" customHeight="1">
      <c r="A214" s="157">
        <v>424.0</v>
      </c>
      <c r="B214" s="169" t="s">
        <v>692</v>
      </c>
      <c r="C214" s="169" t="s">
        <v>737</v>
      </c>
      <c r="D214" s="159">
        <v>42566.0</v>
      </c>
      <c r="E214" s="157" t="s">
        <v>8</v>
      </c>
      <c r="F214" s="160">
        <v>18509.29</v>
      </c>
      <c r="G214" s="160">
        <v>2961.49</v>
      </c>
      <c r="H214" s="172">
        <f t="shared" si="23"/>
        <v>21470.78</v>
      </c>
      <c r="I214" s="173"/>
      <c r="J214" s="170"/>
      <c r="K214" s="173"/>
      <c r="L214" s="173">
        <f>+'FACP$'!$H214-'FACP$'!$I214-'FACP$'!$K214</f>
        <v>21470.78</v>
      </c>
      <c r="M214" s="199" t="s">
        <v>758</v>
      </c>
      <c r="N214" s="162" t="s">
        <v>127</v>
      </c>
      <c r="O214" s="175"/>
      <c r="P214" s="164">
        <f t="shared" si="13"/>
        <v>42576</v>
      </c>
      <c r="Q214" s="165">
        <f t="shared" si="2"/>
        <v>0</v>
      </c>
      <c r="R214" s="166"/>
      <c r="S214" s="167"/>
      <c r="T214" s="168">
        <f t="shared" si="3"/>
        <v>21470.78</v>
      </c>
      <c r="U214" s="168">
        <f t="shared" si="4"/>
        <v>0</v>
      </c>
      <c r="V214" s="168">
        <f t="shared" si="5"/>
        <v>0</v>
      </c>
      <c r="W214" s="168">
        <f t="shared" si="6"/>
        <v>0</v>
      </c>
      <c r="X214" s="168">
        <f t="shared" si="7"/>
        <v>0</v>
      </c>
      <c r="Y214" s="168">
        <f t="shared" si="8"/>
        <v>0</v>
      </c>
      <c r="Z214" s="168">
        <f t="shared" si="9"/>
        <v>0</v>
      </c>
    </row>
    <row r="215" ht="14.25" customHeight="1">
      <c r="A215" s="157">
        <v>425.0</v>
      </c>
      <c r="B215" s="169" t="s">
        <v>692</v>
      </c>
      <c r="C215" s="169" t="s">
        <v>737</v>
      </c>
      <c r="D215" s="159">
        <v>42566.0</v>
      </c>
      <c r="E215" s="157" t="s">
        <v>8</v>
      </c>
      <c r="F215" s="160">
        <v>548580.84</v>
      </c>
      <c r="G215" s="160">
        <v>87772.93</v>
      </c>
      <c r="H215" s="172">
        <f t="shared" si="23"/>
        <v>636353.77</v>
      </c>
      <c r="I215" s="173"/>
      <c r="J215" s="170"/>
      <c r="K215" s="173"/>
      <c r="L215" s="173">
        <f>+'FACP$'!$H215-'FACP$'!$I215-'FACP$'!$K215</f>
        <v>636353.77</v>
      </c>
      <c r="M215" s="199" t="s">
        <v>758</v>
      </c>
      <c r="N215" s="162" t="s">
        <v>127</v>
      </c>
      <c r="O215" s="175" t="s">
        <v>81</v>
      </c>
      <c r="P215" s="164">
        <f t="shared" si="13"/>
        <v>42576</v>
      </c>
      <c r="Q215" s="165">
        <f t="shared" si="2"/>
        <v>0</v>
      </c>
      <c r="R215" s="166"/>
      <c r="S215" s="167"/>
      <c r="T215" s="168">
        <f t="shared" si="3"/>
        <v>636353.77</v>
      </c>
      <c r="U215" s="168">
        <f t="shared" si="4"/>
        <v>0</v>
      </c>
      <c r="V215" s="168">
        <f t="shared" si="5"/>
        <v>0</v>
      </c>
      <c r="W215" s="168">
        <f t="shared" si="6"/>
        <v>0</v>
      </c>
      <c r="X215" s="168">
        <f t="shared" si="7"/>
        <v>0</v>
      </c>
      <c r="Y215" s="168">
        <f t="shared" si="8"/>
        <v>0</v>
      </c>
      <c r="Z215" s="168">
        <f t="shared" si="9"/>
        <v>0</v>
      </c>
    </row>
    <row r="216" ht="14.25" customHeight="1">
      <c r="A216" s="157">
        <v>426.0</v>
      </c>
      <c r="B216" s="169" t="s">
        <v>692</v>
      </c>
      <c r="C216" s="169" t="s">
        <v>737</v>
      </c>
      <c r="D216" s="159">
        <v>42566.0</v>
      </c>
      <c r="E216" s="157" t="s">
        <v>8</v>
      </c>
      <c r="F216" s="160">
        <v>12158.87</v>
      </c>
      <c r="G216" s="160">
        <v>1945.42</v>
      </c>
      <c r="H216" s="172">
        <f t="shared" si="23"/>
        <v>14104.29</v>
      </c>
      <c r="I216" s="173"/>
      <c r="J216" s="170"/>
      <c r="K216" s="173"/>
      <c r="L216" s="173">
        <f>+'FACP$'!$H216-'FACP$'!$I216-'FACP$'!$K216</f>
        <v>14104.29</v>
      </c>
      <c r="M216" s="199" t="s">
        <v>758</v>
      </c>
      <c r="N216" s="162" t="s">
        <v>127</v>
      </c>
      <c r="O216" s="175" t="s">
        <v>81</v>
      </c>
      <c r="P216" s="164">
        <f t="shared" si="13"/>
        <v>42576</v>
      </c>
      <c r="Q216" s="165">
        <f t="shared" si="2"/>
        <v>0</v>
      </c>
      <c r="R216" s="166"/>
      <c r="S216" s="167"/>
      <c r="T216" s="168">
        <f t="shared" si="3"/>
        <v>14104.29</v>
      </c>
      <c r="U216" s="168">
        <f t="shared" si="4"/>
        <v>0</v>
      </c>
      <c r="V216" s="168">
        <f t="shared" si="5"/>
        <v>0</v>
      </c>
      <c r="W216" s="168">
        <f t="shared" si="6"/>
        <v>0</v>
      </c>
      <c r="X216" s="168">
        <f t="shared" si="7"/>
        <v>0</v>
      </c>
      <c r="Y216" s="168">
        <f t="shared" si="8"/>
        <v>0</v>
      </c>
      <c r="Z216" s="168">
        <f t="shared" si="9"/>
        <v>0</v>
      </c>
    </row>
    <row r="217" ht="14.25" customHeight="1">
      <c r="A217" s="157">
        <v>427.0</v>
      </c>
      <c r="B217" s="169" t="s">
        <v>692</v>
      </c>
      <c r="C217" s="169" t="s">
        <v>737</v>
      </c>
      <c r="D217" s="159">
        <v>42566.0</v>
      </c>
      <c r="E217" s="157" t="s">
        <v>8</v>
      </c>
      <c r="F217" s="160">
        <v>1191684.64</v>
      </c>
      <c r="G217" s="160">
        <v>190669.54</v>
      </c>
      <c r="H217" s="172">
        <f t="shared" si="23"/>
        <v>1382354.18</v>
      </c>
      <c r="I217" s="173"/>
      <c r="J217" s="170"/>
      <c r="K217" s="173"/>
      <c r="L217" s="173">
        <f>+'FACP$'!$H217-'FACP$'!$I217-'FACP$'!$K217</f>
        <v>1382354.18</v>
      </c>
      <c r="M217" s="199" t="s">
        <v>754</v>
      </c>
      <c r="N217" s="162" t="s">
        <v>554</v>
      </c>
      <c r="O217" s="175">
        <v>42962.0</v>
      </c>
      <c r="P217" s="164">
        <f t="shared" si="13"/>
        <v>42576</v>
      </c>
      <c r="Q217" s="165">
        <f t="shared" si="2"/>
        <v>0</v>
      </c>
      <c r="R217" s="166"/>
      <c r="S217" s="167"/>
      <c r="T217" s="168">
        <f t="shared" si="3"/>
        <v>1382354.18</v>
      </c>
      <c r="U217" s="168">
        <f t="shared" si="4"/>
        <v>0</v>
      </c>
      <c r="V217" s="168">
        <f t="shared" si="5"/>
        <v>0</v>
      </c>
      <c r="W217" s="168">
        <f t="shared" si="6"/>
        <v>0</v>
      </c>
      <c r="X217" s="168">
        <f t="shared" si="7"/>
        <v>0</v>
      </c>
      <c r="Y217" s="168">
        <f t="shared" si="8"/>
        <v>0</v>
      </c>
      <c r="Z217" s="168">
        <f t="shared" si="9"/>
        <v>0</v>
      </c>
    </row>
    <row r="218" ht="14.25" customHeight="1">
      <c r="A218" s="157">
        <v>428.0</v>
      </c>
      <c r="B218" s="169" t="s">
        <v>692</v>
      </c>
      <c r="C218" s="169" t="s">
        <v>737</v>
      </c>
      <c r="D218" s="159">
        <v>42566.0</v>
      </c>
      <c r="E218" s="157" t="s">
        <v>8</v>
      </c>
      <c r="F218" s="160">
        <v>4814647.87</v>
      </c>
      <c r="G218" s="160">
        <v>770343.66</v>
      </c>
      <c r="H218" s="172">
        <f t="shared" si="23"/>
        <v>5584991.53</v>
      </c>
      <c r="I218" s="173"/>
      <c r="J218" s="170"/>
      <c r="K218" s="173"/>
      <c r="L218" s="173">
        <f>+'FACP$'!$H218-'FACP$'!$I218-'FACP$'!$K218</f>
        <v>5584991.53</v>
      </c>
      <c r="M218" s="199" t="s">
        <v>752</v>
      </c>
      <c r="N218" s="162" t="s">
        <v>554</v>
      </c>
      <c r="O218" s="175">
        <v>42962.0</v>
      </c>
      <c r="P218" s="164">
        <f t="shared" si="13"/>
        <v>42576</v>
      </c>
      <c r="Q218" s="165">
        <f t="shared" si="2"/>
        <v>0</v>
      </c>
      <c r="R218" s="166"/>
      <c r="S218" s="167"/>
      <c r="T218" s="168">
        <f t="shared" si="3"/>
        <v>5584991.53</v>
      </c>
      <c r="U218" s="168">
        <f t="shared" si="4"/>
        <v>0</v>
      </c>
      <c r="V218" s="168">
        <f t="shared" si="5"/>
        <v>0</v>
      </c>
      <c r="W218" s="168">
        <f t="shared" si="6"/>
        <v>0</v>
      </c>
      <c r="X218" s="168">
        <f t="shared" si="7"/>
        <v>0</v>
      </c>
      <c r="Y218" s="168">
        <f t="shared" si="8"/>
        <v>0</v>
      </c>
      <c r="Z218" s="168">
        <f t="shared" si="9"/>
        <v>0</v>
      </c>
    </row>
    <row r="219" ht="14.25" customHeight="1">
      <c r="A219" s="157">
        <v>429.0</v>
      </c>
      <c r="B219" s="169" t="s">
        <v>692</v>
      </c>
      <c r="C219" s="169" t="s">
        <v>737</v>
      </c>
      <c r="D219" s="159">
        <v>42566.0</v>
      </c>
      <c r="E219" s="157" t="s">
        <v>8</v>
      </c>
      <c r="F219" s="160">
        <v>578087.39</v>
      </c>
      <c r="G219" s="160">
        <v>92493.98</v>
      </c>
      <c r="H219" s="172">
        <f t="shared" si="23"/>
        <v>670581.37</v>
      </c>
      <c r="I219" s="173"/>
      <c r="J219" s="170"/>
      <c r="K219" s="173"/>
      <c r="L219" s="173">
        <f>+'FACP$'!$H219-'FACP$'!$I219-'FACP$'!$K219</f>
        <v>670581.37</v>
      </c>
      <c r="M219" s="199" t="s">
        <v>758</v>
      </c>
      <c r="N219" s="162" t="s">
        <v>554</v>
      </c>
      <c r="O219" s="175">
        <v>42597.0</v>
      </c>
      <c r="P219" s="164">
        <f t="shared" si="13"/>
        <v>42576</v>
      </c>
      <c r="Q219" s="165">
        <f t="shared" si="2"/>
        <v>0</v>
      </c>
      <c r="R219" s="166"/>
      <c r="S219" s="167"/>
      <c r="T219" s="168">
        <f t="shared" si="3"/>
        <v>670581.37</v>
      </c>
      <c r="U219" s="168">
        <f t="shared" si="4"/>
        <v>0</v>
      </c>
      <c r="V219" s="168">
        <f t="shared" si="5"/>
        <v>0</v>
      </c>
      <c r="W219" s="168">
        <f t="shared" si="6"/>
        <v>0</v>
      </c>
      <c r="X219" s="168">
        <f t="shared" si="7"/>
        <v>0</v>
      </c>
      <c r="Y219" s="168">
        <f t="shared" si="8"/>
        <v>0</v>
      </c>
      <c r="Z219" s="168">
        <f t="shared" si="9"/>
        <v>0</v>
      </c>
    </row>
    <row r="220" ht="14.25" customHeight="1">
      <c r="A220" s="157">
        <v>433.0</v>
      </c>
      <c r="B220" s="170" t="s">
        <v>722</v>
      </c>
      <c r="C220" s="169" t="s">
        <v>756</v>
      </c>
      <c r="D220" s="159">
        <v>42566.0</v>
      </c>
      <c r="E220" s="157" t="s">
        <v>8</v>
      </c>
      <c r="F220" s="160">
        <v>2772444.1</v>
      </c>
      <c r="G220" s="160">
        <v>443591.06</v>
      </c>
      <c r="H220" s="172">
        <f t="shared" si="23"/>
        <v>3216035.16</v>
      </c>
      <c r="I220" s="173"/>
      <c r="J220" s="170"/>
      <c r="K220" s="173"/>
      <c r="L220" s="173">
        <f>+'FACP$'!$H220-'FACP$'!$I220-'FACP$'!$K220</f>
        <v>3216035.16</v>
      </c>
      <c r="M220" s="199" t="s">
        <v>93</v>
      </c>
      <c r="N220" s="162" t="s">
        <v>554</v>
      </c>
      <c r="O220" s="163">
        <v>42965.0</v>
      </c>
      <c r="P220" s="164">
        <f t="shared" si="13"/>
        <v>42576</v>
      </c>
      <c r="Q220" s="165">
        <f t="shared" si="2"/>
        <v>0</v>
      </c>
      <c r="R220" s="166"/>
      <c r="S220" s="167"/>
      <c r="T220" s="168">
        <f t="shared" si="3"/>
        <v>3216035.16</v>
      </c>
      <c r="U220" s="168">
        <f t="shared" si="4"/>
        <v>0</v>
      </c>
      <c r="V220" s="168">
        <f t="shared" si="5"/>
        <v>0</v>
      </c>
      <c r="W220" s="168">
        <f t="shared" si="6"/>
        <v>0</v>
      </c>
      <c r="X220" s="168">
        <f t="shared" si="7"/>
        <v>0</v>
      </c>
      <c r="Y220" s="168">
        <f t="shared" si="8"/>
        <v>0</v>
      </c>
      <c r="Z220" s="168">
        <f t="shared" si="9"/>
        <v>0</v>
      </c>
    </row>
    <row r="221" ht="14.25" customHeight="1">
      <c r="A221" s="157">
        <v>434.0</v>
      </c>
      <c r="B221" s="170" t="s">
        <v>722</v>
      </c>
      <c r="C221" s="169" t="s">
        <v>756</v>
      </c>
      <c r="D221" s="159">
        <v>42583.0</v>
      </c>
      <c r="E221" s="157" t="s">
        <v>8</v>
      </c>
      <c r="F221" s="160">
        <v>2400597.09</v>
      </c>
      <c r="G221" s="160">
        <v>384095.54</v>
      </c>
      <c r="H221" s="172">
        <f t="shared" si="23"/>
        <v>2784692.63</v>
      </c>
      <c r="I221" s="173"/>
      <c r="J221" s="170"/>
      <c r="K221" s="173"/>
      <c r="L221" s="173">
        <f>+'FACP$'!$H221-'FACP$'!$I221-'FACP$'!$K221</f>
        <v>2784692.63</v>
      </c>
      <c r="M221" s="199" t="s">
        <v>93</v>
      </c>
      <c r="N221" s="162" t="s">
        <v>554</v>
      </c>
      <c r="O221" s="163">
        <v>42972.0</v>
      </c>
      <c r="P221" s="164">
        <f t="shared" si="13"/>
        <v>42593</v>
      </c>
      <c r="Q221" s="165">
        <f t="shared" si="2"/>
        <v>0</v>
      </c>
      <c r="R221" s="166"/>
      <c r="S221" s="167"/>
      <c r="T221" s="168">
        <f t="shared" si="3"/>
        <v>2784692.63</v>
      </c>
      <c r="U221" s="168">
        <f t="shared" si="4"/>
        <v>0</v>
      </c>
      <c r="V221" s="168">
        <f t="shared" si="5"/>
        <v>0</v>
      </c>
      <c r="W221" s="168">
        <f t="shared" si="6"/>
        <v>0</v>
      </c>
      <c r="X221" s="168">
        <f t="shared" si="7"/>
        <v>0</v>
      </c>
      <c r="Y221" s="168">
        <f t="shared" si="8"/>
        <v>0</v>
      </c>
      <c r="Z221" s="168">
        <f t="shared" si="9"/>
        <v>0</v>
      </c>
    </row>
    <row r="222" ht="14.25" customHeight="1">
      <c r="A222" s="157">
        <v>436.0</v>
      </c>
      <c r="B222" s="169" t="s">
        <v>70</v>
      </c>
      <c r="C222" s="170" t="s">
        <v>759</v>
      </c>
      <c r="D222" s="159">
        <v>42583.0</v>
      </c>
      <c r="E222" s="157" t="s">
        <v>8</v>
      </c>
      <c r="F222" s="160">
        <v>21039.41</v>
      </c>
      <c r="G222" s="160">
        <v>3366.31</v>
      </c>
      <c r="H222" s="172">
        <f t="shared" si="23"/>
        <v>24405.72</v>
      </c>
      <c r="I222" s="173"/>
      <c r="J222" s="170"/>
      <c r="K222" s="173"/>
      <c r="L222" s="173">
        <f>+'FACP$'!$H222-'FACP$'!$I222-'FACP$'!$K222</f>
        <v>24405.72</v>
      </c>
      <c r="M222" s="199" t="s">
        <v>719</v>
      </c>
      <c r="N222" s="162" t="s">
        <v>554</v>
      </c>
      <c r="O222" s="190">
        <v>42976.0</v>
      </c>
      <c r="P222" s="164">
        <f t="shared" si="13"/>
        <v>42593</v>
      </c>
      <c r="Q222" s="165">
        <f t="shared" si="2"/>
        <v>0</v>
      </c>
      <c r="R222" s="166"/>
      <c r="S222" s="167"/>
      <c r="T222" s="168">
        <f t="shared" si="3"/>
        <v>24405.72</v>
      </c>
      <c r="U222" s="168">
        <f t="shared" si="4"/>
        <v>0</v>
      </c>
      <c r="V222" s="168">
        <f t="shared" si="5"/>
        <v>0</v>
      </c>
      <c r="W222" s="168">
        <f t="shared" si="6"/>
        <v>0</v>
      </c>
      <c r="X222" s="168">
        <f t="shared" si="7"/>
        <v>0</v>
      </c>
      <c r="Y222" s="168">
        <f t="shared" si="8"/>
        <v>0</v>
      </c>
      <c r="Z222" s="168">
        <f t="shared" si="9"/>
        <v>0</v>
      </c>
    </row>
    <row r="223" ht="14.25" customHeight="1">
      <c r="A223" s="157">
        <v>438.0</v>
      </c>
      <c r="B223" s="158" t="s">
        <v>82</v>
      </c>
      <c r="C223" s="161"/>
      <c r="D223" s="159"/>
      <c r="E223" s="157"/>
      <c r="F223" s="160">
        <v>12158.87</v>
      </c>
      <c r="G223" s="160">
        <v>1945.42</v>
      </c>
      <c r="H223" s="172">
        <f t="shared" si="23"/>
        <v>14104.29</v>
      </c>
      <c r="I223" s="173"/>
      <c r="J223" s="170"/>
      <c r="K223" s="173"/>
      <c r="L223" s="173">
        <f>+'FACP$'!$H223-'FACP$'!$I223-'FACP$'!$K223</f>
        <v>14104.29</v>
      </c>
      <c r="M223" s="199" t="s">
        <v>96</v>
      </c>
      <c r="N223" s="162" t="s">
        <v>554</v>
      </c>
      <c r="O223" s="163">
        <v>42613.0</v>
      </c>
      <c r="P223" s="164">
        <f t="shared" si="13"/>
        <v>10</v>
      </c>
      <c r="Q223" s="165">
        <f t="shared" si="2"/>
        <v>0</v>
      </c>
      <c r="R223" s="166"/>
      <c r="S223" s="167"/>
      <c r="T223" s="168">
        <f t="shared" si="3"/>
        <v>14104.29</v>
      </c>
      <c r="U223" s="168">
        <f t="shared" si="4"/>
        <v>0</v>
      </c>
      <c r="V223" s="168">
        <f t="shared" si="5"/>
        <v>0</v>
      </c>
      <c r="W223" s="168">
        <f t="shared" si="6"/>
        <v>0</v>
      </c>
      <c r="X223" s="168">
        <f t="shared" si="7"/>
        <v>0</v>
      </c>
      <c r="Y223" s="168">
        <f t="shared" si="8"/>
        <v>0</v>
      </c>
      <c r="Z223" s="168">
        <f t="shared" si="9"/>
        <v>0</v>
      </c>
    </row>
    <row r="224" ht="14.25" customHeight="1">
      <c r="A224" s="157">
        <v>440.0</v>
      </c>
      <c r="B224" s="169" t="s">
        <v>692</v>
      </c>
      <c r="C224" s="169" t="s">
        <v>737</v>
      </c>
      <c r="D224" s="159">
        <v>42583.0</v>
      </c>
      <c r="E224" s="157" t="s">
        <v>8</v>
      </c>
      <c r="F224" s="160">
        <v>318830.56</v>
      </c>
      <c r="G224" s="160">
        <v>51012.89</v>
      </c>
      <c r="H224" s="172">
        <f t="shared" si="23"/>
        <v>369843.45</v>
      </c>
      <c r="I224" s="173"/>
      <c r="J224" s="170"/>
      <c r="K224" s="173"/>
      <c r="L224" s="173">
        <f>+'FACP$'!$H224-'FACP$'!$I224-'FACP$'!$K224</f>
        <v>369843.45</v>
      </c>
      <c r="M224" s="199" t="s">
        <v>738</v>
      </c>
      <c r="N224" s="162" t="s">
        <v>554</v>
      </c>
      <c r="O224" s="175">
        <v>42611.0</v>
      </c>
      <c r="P224" s="164">
        <f t="shared" si="13"/>
        <v>42593</v>
      </c>
      <c r="Q224" s="165">
        <f t="shared" si="2"/>
        <v>0</v>
      </c>
      <c r="R224" s="166"/>
      <c r="S224" s="167"/>
      <c r="T224" s="168">
        <f t="shared" si="3"/>
        <v>369843.45</v>
      </c>
      <c r="U224" s="168">
        <f t="shared" si="4"/>
        <v>0</v>
      </c>
      <c r="V224" s="168">
        <f t="shared" si="5"/>
        <v>0</v>
      </c>
      <c r="W224" s="168">
        <f t="shared" si="6"/>
        <v>0</v>
      </c>
      <c r="X224" s="168">
        <f t="shared" si="7"/>
        <v>0</v>
      </c>
      <c r="Y224" s="168">
        <f t="shared" si="8"/>
        <v>0</v>
      </c>
      <c r="Z224" s="168">
        <f t="shared" si="9"/>
        <v>0</v>
      </c>
    </row>
    <row r="225" ht="14.25" customHeight="1">
      <c r="A225" s="157">
        <v>441.0</v>
      </c>
      <c r="B225" s="169" t="s">
        <v>692</v>
      </c>
      <c r="C225" s="169" t="s">
        <v>737</v>
      </c>
      <c r="D225" s="159">
        <v>42583.0</v>
      </c>
      <c r="E225" s="157" t="s">
        <v>8</v>
      </c>
      <c r="F225" s="160">
        <v>771703.87</v>
      </c>
      <c r="G225" s="160">
        <v>123472.62</v>
      </c>
      <c r="H225" s="172">
        <f t="shared" si="23"/>
        <v>895176.49</v>
      </c>
      <c r="I225" s="173"/>
      <c r="J225" s="170"/>
      <c r="K225" s="173"/>
      <c r="L225" s="173">
        <f>+'FACP$'!$H225-'FACP$'!$I225-'FACP$'!$K225</f>
        <v>895176.49</v>
      </c>
      <c r="M225" s="199" t="s">
        <v>754</v>
      </c>
      <c r="N225" s="162" t="s">
        <v>554</v>
      </c>
      <c r="O225" s="175">
        <v>42611.0</v>
      </c>
      <c r="P225" s="164">
        <f t="shared" si="13"/>
        <v>42593</v>
      </c>
      <c r="Q225" s="165">
        <f t="shared" si="2"/>
        <v>0</v>
      </c>
      <c r="R225" s="166"/>
      <c r="S225" s="167"/>
      <c r="T225" s="168">
        <f t="shared" si="3"/>
        <v>895176.49</v>
      </c>
      <c r="U225" s="168">
        <f t="shared" si="4"/>
        <v>0</v>
      </c>
      <c r="V225" s="168">
        <f t="shared" si="5"/>
        <v>0</v>
      </c>
      <c r="W225" s="168">
        <f t="shared" si="6"/>
        <v>0</v>
      </c>
      <c r="X225" s="168">
        <f t="shared" si="7"/>
        <v>0</v>
      </c>
      <c r="Y225" s="168">
        <f t="shared" si="8"/>
        <v>0</v>
      </c>
      <c r="Z225" s="168">
        <f t="shared" si="9"/>
        <v>0</v>
      </c>
    </row>
    <row r="226" ht="14.25" customHeight="1">
      <c r="A226" s="157">
        <v>442.0</v>
      </c>
      <c r="B226" s="169" t="s">
        <v>692</v>
      </c>
      <c r="C226" s="169" t="s">
        <v>737</v>
      </c>
      <c r="D226" s="159">
        <v>42583.0</v>
      </c>
      <c r="E226" s="157" t="s">
        <v>8</v>
      </c>
      <c r="F226" s="160">
        <v>4470023.25</v>
      </c>
      <c r="G226" s="160">
        <v>715203.72</v>
      </c>
      <c r="H226" s="172">
        <f t="shared" si="23"/>
        <v>5185226.97</v>
      </c>
      <c r="I226" s="173"/>
      <c r="J226" s="170"/>
      <c r="K226" s="173"/>
      <c r="L226" s="173">
        <f>+'FACP$'!$H226-'FACP$'!$I226-'FACP$'!$K226</f>
        <v>5185226.97</v>
      </c>
      <c r="M226" s="199" t="s">
        <v>749</v>
      </c>
      <c r="N226" s="162" t="s">
        <v>554</v>
      </c>
      <c r="O226" s="175">
        <v>42611.0</v>
      </c>
      <c r="P226" s="164">
        <f t="shared" si="13"/>
        <v>42593</v>
      </c>
      <c r="Q226" s="165">
        <f t="shared" si="2"/>
        <v>0</v>
      </c>
      <c r="R226" s="166"/>
      <c r="S226" s="167"/>
      <c r="T226" s="168">
        <f t="shared" si="3"/>
        <v>5185226.97</v>
      </c>
      <c r="U226" s="168">
        <f t="shared" si="4"/>
        <v>0</v>
      </c>
      <c r="V226" s="168">
        <f t="shared" si="5"/>
        <v>0</v>
      </c>
      <c r="W226" s="168">
        <f t="shared" si="6"/>
        <v>0</v>
      </c>
      <c r="X226" s="168">
        <f t="shared" si="7"/>
        <v>0</v>
      </c>
      <c r="Y226" s="168">
        <f t="shared" si="8"/>
        <v>0</v>
      </c>
      <c r="Z226" s="168">
        <f t="shared" si="9"/>
        <v>0</v>
      </c>
    </row>
    <row r="227" ht="14.25" customHeight="1">
      <c r="A227" s="157">
        <v>446.0</v>
      </c>
      <c r="B227" s="169" t="s">
        <v>692</v>
      </c>
      <c r="C227" s="169" t="s">
        <v>737</v>
      </c>
      <c r="D227" s="159">
        <v>42597.0</v>
      </c>
      <c r="E227" s="157" t="s">
        <v>8</v>
      </c>
      <c r="F227" s="160">
        <v>318496.34</v>
      </c>
      <c r="G227" s="160">
        <v>50959.42</v>
      </c>
      <c r="H227" s="172">
        <f t="shared" si="23"/>
        <v>369455.76</v>
      </c>
      <c r="I227" s="173"/>
      <c r="J227" s="170"/>
      <c r="K227" s="173"/>
      <c r="L227" s="173">
        <f>+'FACP$'!$H227-'FACP$'!$I227-'FACP$'!$K227</f>
        <v>369455.76</v>
      </c>
      <c r="M227" s="199" t="s">
        <v>758</v>
      </c>
      <c r="N227" s="162" t="s">
        <v>127</v>
      </c>
      <c r="O227" s="175" t="s">
        <v>81</v>
      </c>
      <c r="P227" s="164">
        <f t="shared" si="13"/>
        <v>42607</v>
      </c>
      <c r="Q227" s="165">
        <f t="shared" si="2"/>
        <v>0</v>
      </c>
      <c r="R227" s="166" t="s">
        <v>770</v>
      </c>
      <c r="S227" s="167"/>
      <c r="T227" s="168">
        <f t="shared" si="3"/>
        <v>369455.76</v>
      </c>
      <c r="U227" s="168">
        <f t="shared" si="4"/>
        <v>0</v>
      </c>
      <c r="V227" s="168">
        <f t="shared" si="5"/>
        <v>0</v>
      </c>
      <c r="W227" s="168">
        <f t="shared" si="6"/>
        <v>0</v>
      </c>
      <c r="X227" s="168">
        <f t="shared" si="7"/>
        <v>0</v>
      </c>
      <c r="Y227" s="168">
        <f t="shared" si="8"/>
        <v>0</v>
      </c>
      <c r="Z227" s="168">
        <f t="shared" si="9"/>
        <v>0</v>
      </c>
    </row>
    <row r="228" ht="14.25" customHeight="1">
      <c r="A228" s="157">
        <v>447.0</v>
      </c>
      <c r="B228" s="169" t="s">
        <v>692</v>
      </c>
      <c r="C228" s="169" t="s">
        <v>737</v>
      </c>
      <c r="D228" s="159">
        <v>42597.0</v>
      </c>
      <c r="E228" s="157" t="s">
        <v>8</v>
      </c>
      <c r="F228" s="160">
        <v>110687.7</v>
      </c>
      <c r="G228" s="160">
        <v>17710.03</v>
      </c>
      <c r="H228" s="172">
        <f t="shared" si="23"/>
        <v>128397.73</v>
      </c>
      <c r="I228" s="173"/>
      <c r="J228" s="170"/>
      <c r="K228" s="173"/>
      <c r="L228" s="173">
        <f>+'FACP$'!$H228-'FACP$'!$I228-'FACP$'!$K228</f>
        <v>128397.73</v>
      </c>
      <c r="M228" s="199" t="s">
        <v>758</v>
      </c>
      <c r="N228" s="162" t="s">
        <v>127</v>
      </c>
      <c r="O228" s="175"/>
      <c r="P228" s="164">
        <f t="shared" si="13"/>
        <v>42607</v>
      </c>
      <c r="Q228" s="165">
        <f t="shared" si="2"/>
        <v>0</v>
      </c>
      <c r="R228" s="166" t="s">
        <v>771</v>
      </c>
      <c r="S228" s="167"/>
      <c r="T228" s="168">
        <f t="shared" si="3"/>
        <v>128397.73</v>
      </c>
      <c r="U228" s="168">
        <f t="shared" si="4"/>
        <v>0</v>
      </c>
      <c r="V228" s="168">
        <f t="shared" si="5"/>
        <v>0</v>
      </c>
      <c r="W228" s="168">
        <f t="shared" si="6"/>
        <v>0</v>
      </c>
      <c r="X228" s="168">
        <f t="shared" si="7"/>
        <v>0</v>
      </c>
      <c r="Y228" s="168">
        <f t="shared" si="8"/>
        <v>0</v>
      </c>
      <c r="Z228" s="168">
        <f t="shared" si="9"/>
        <v>0</v>
      </c>
    </row>
    <row r="229" ht="14.25" customHeight="1">
      <c r="A229" s="157">
        <v>448.0</v>
      </c>
      <c r="B229" s="169" t="s">
        <v>692</v>
      </c>
      <c r="C229" s="169" t="s">
        <v>737</v>
      </c>
      <c r="D229" s="159">
        <v>42597.0</v>
      </c>
      <c r="E229" s="157" t="s">
        <v>8</v>
      </c>
      <c r="F229" s="160">
        <v>1577518.51</v>
      </c>
      <c r="G229" s="160">
        <v>252402.96</v>
      </c>
      <c r="H229" s="172">
        <f t="shared" si="23"/>
        <v>1829921.47</v>
      </c>
      <c r="I229" s="173"/>
      <c r="J229" s="170"/>
      <c r="K229" s="173"/>
      <c r="L229" s="173">
        <f>+'FACP$'!$H229-'FACP$'!$I229-'FACP$'!$K229</f>
        <v>1829921.47</v>
      </c>
      <c r="M229" s="199" t="s">
        <v>754</v>
      </c>
      <c r="N229" s="162" t="s">
        <v>554</v>
      </c>
      <c r="O229" s="175">
        <v>42632.0</v>
      </c>
      <c r="P229" s="164">
        <f t="shared" si="13"/>
        <v>42607</v>
      </c>
      <c r="Q229" s="165">
        <f t="shared" si="2"/>
        <v>0</v>
      </c>
      <c r="R229" s="166"/>
      <c r="S229" s="167"/>
      <c r="T229" s="168">
        <f t="shared" si="3"/>
        <v>1829921.47</v>
      </c>
      <c r="U229" s="168">
        <f t="shared" si="4"/>
        <v>0</v>
      </c>
      <c r="V229" s="168">
        <f t="shared" si="5"/>
        <v>0</v>
      </c>
      <c r="W229" s="168">
        <f t="shared" si="6"/>
        <v>0</v>
      </c>
      <c r="X229" s="168">
        <f t="shared" si="7"/>
        <v>0</v>
      </c>
      <c r="Y229" s="168">
        <f t="shared" si="8"/>
        <v>0</v>
      </c>
      <c r="Z229" s="168">
        <f t="shared" si="9"/>
        <v>0</v>
      </c>
    </row>
    <row r="230" ht="14.25" customHeight="1">
      <c r="A230" s="157">
        <v>449.0</v>
      </c>
      <c r="B230" s="169" t="s">
        <v>692</v>
      </c>
      <c r="C230" s="169" t="s">
        <v>737</v>
      </c>
      <c r="D230" s="159">
        <v>42597.0</v>
      </c>
      <c r="E230" s="157" t="s">
        <v>8</v>
      </c>
      <c r="F230" s="160">
        <v>5195158.76</v>
      </c>
      <c r="G230" s="160">
        <v>831225.4</v>
      </c>
      <c r="H230" s="172">
        <f t="shared" si="23"/>
        <v>6026384.16</v>
      </c>
      <c r="I230" s="173"/>
      <c r="J230" s="170"/>
      <c r="K230" s="173"/>
      <c r="L230" s="173">
        <f>+'FACP$'!$H230-'FACP$'!$I230-'FACP$'!$K230</f>
        <v>6026384.16</v>
      </c>
      <c r="M230" s="199" t="s">
        <v>752</v>
      </c>
      <c r="N230" s="162" t="s">
        <v>554</v>
      </c>
      <c r="O230" s="175">
        <v>42632.0</v>
      </c>
      <c r="P230" s="164">
        <f t="shared" si="13"/>
        <v>42607</v>
      </c>
      <c r="Q230" s="165">
        <f t="shared" si="2"/>
        <v>0</v>
      </c>
      <c r="R230" s="166"/>
      <c r="S230" s="167"/>
      <c r="T230" s="168">
        <f t="shared" si="3"/>
        <v>6026384.16</v>
      </c>
      <c r="U230" s="168">
        <f t="shared" si="4"/>
        <v>0</v>
      </c>
      <c r="V230" s="168">
        <f t="shared" si="5"/>
        <v>0</v>
      </c>
      <c r="W230" s="168">
        <f t="shared" si="6"/>
        <v>0</v>
      </c>
      <c r="X230" s="168">
        <f t="shared" si="7"/>
        <v>0</v>
      </c>
      <c r="Y230" s="168">
        <f t="shared" si="8"/>
        <v>0</v>
      </c>
      <c r="Z230" s="168">
        <f t="shared" si="9"/>
        <v>0</v>
      </c>
    </row>
    <row r="231" ht="14.25" customHeight="1">
      <c r="A231" s="157">
        <v>450.0</v>
      </c>
      <c r="B231" s="169" t="s">
        <v>692</v>
      </c>
      <c r="C231" s="169" t="s">
        <v>737</v>
      </c>
      <c r="D231" s="159">
        <v>42597.0</v>
      </c>
      <c r="E231" s="157" t="s">
        <v>8</v>
      </c>
      <c r="F231" s="160">
        <v>64722.77</v>
      </c>
      <c r="G231" s="160">
        <v>10355.64</v>
      </c>
      <c r="H231" s="172">
        <f t="shared" si="23"/>
        <v>75078.41</v>
      </c>
      <c r="I231" s="173"/>
      <c r="J231" s="170"/>
      <c r="K231" s="173"/>
      <c r="L231" s="173">
        <f>+'FACP$'!$H231-'FACP$'!$I231-'FACP$'!$K231</f>
        <v>75078.41</v>
      </c>
      <c r="M231" s="199" t="s">
        <v>758</v>
      </c>
      <c r="N231" s="157" t="s">
        <v>751</v>
      </c>
      <c r="O231" s="163"/>
      <c r="P231" s="164">
        <f t="shared" si="13"/>
        <v>42607</v>
      </c>
      <c r="Q231" s="165" t="b">
        <f t="shared" si="2"/>
        <v>0</v>
      </c>
      <c r="R231" s="200" t="s">
        <v>772</v>
      </c>
      <c r="S231" s="167"/>
      <c r="T231" s="168">
        <f t="shared" si="3"/>
        <v>0</v>
      </c>
      <c r="U231" s="168">
        <f t="shared" si="4"/>
        <v>0</v>
      </c>
      <c r="V231" s="168">
        <f t="shared" si="5"/>
        <v>0</v>
      </c>
      <c r="W231" s="168">
        <f t="shared" si="6"/>
        <v>0</v>
      </c>
      <c r="X231" s="168">
        <f t="shared" si="7"/>
        <v>0</v>
      </c>
      <c r="Y231" s="168">
        <f t="shared" si="8"/>
        <v>0</v>
      </c>
      <c r="Z231" s="168">
        <f t="shared" si="9"/>
        <v>75078.41</v>
      </c>
    </row>
    <row r="232" ht="14.25" customHeight="1">
      <c r="A232" s="157">
        <v>452.0</v>
      </c>
      <c r="B232" s="169" t="s">
        <v>70</v>
      </c>
      <c r="C232" s="170" t="s">
        <v>759</v>
      </c>
      <c r="D232" s="159">
        <v>42597.0</v>
      </c>
      <c r="E232" s="157" t="s">
        <v>8</v>
      </c>
      <c r="F232" s="160">
        <v>80390.46</v>
      </c>
      <c r="G232" s="160">
        <v>12852.47</v>
      </c>
      <c r="H232" s="172">
        <f t="shared" si="23"/>
        <v>93242.93</v>
      </c>
      <c r="I232" s="173"/>
      <c r="J232" s="170"/>
      <c r="K232" s="173"/>
      <c r="L232" s="173">
        <f>+'FACP$'!$H232-'FACP$'!$I232-'FACP$'!$K232</f>
        <v>93242.93</v>
      </c>
      <c r="M232" s="199" t="s">
        <v>719</v>
      </c>
      <c r="N232" s="162" t="s">
        <v>554</v>
      </c>
      <c r="O232" s="163">
        <v>42997.0</v>
      </c>
      <c r="P232" s="164">
        <f t="shared" si="13"/>
        <v>42607</v>
      </c>
      <c r="Q232" s="165">
        <f t="shared" si="2"/>
        <v>0</v>
      </c>
      <c r="R232" s="166"/>
      <c r="S232" s="167"/>
      <c r="T232" s="168">
        <f t="shared" si="3"/>
        <v>93242.93</v>
      </c>
      <c r="U232" s="168">
        <f t="shared" si="4"/>
        <v>0</v>
      </c>
      <c r="V232" s="168">
        <f t="shared" si="5"/>
        <v>0</v>
      </c>
      <c r="W232" s="168">
        <f t="shared" si="6"/>
        <v>0</v>
      </c>
      <c r="X232" s="168">
        <f t="shared" si="7"/>
        <v>0</v>
      </c>
      <c r="Y232" s="168">
        <f t="shared" si="8"/>
        <v>0</v>
      </c>
      <c r="Z232" s="168">
        <f t="shared" si="9"/>
        <v>0</v>
      </c>
    </row>
    <row r="233" ht="14.25" customHeight="1">
      <c r="A233" s="157">
        <v>455.0</v>
      </c>
      <c r="B233" s="170" t="s">
        <v>722</v>
      </c>
      <c r="C233" s="169" t="s">
        <v>756</v>
      </c>
      <c r="D233" s="159">
        <v>42597.0</v>
      </c>
      <c r="E233" s="157" t="s">
        <v>8</v>
      </c>
      <c r="F233" s="160">
        <v>2629429.15</v>
      </c>
      <c r="G233" s="160">
        <v>420708.66</v>
      </c>
      <c r="H233" s="172">
        <f t="shared" si="23"/>
        <v>3050137.81</v>
      </c>
      <c r="I233" s="173"/>
      <c r="J233" s="170"/>
      <c r="K233" s="173"/>
      <c r="L233" s="173">
        <f>+'FACP$'!$H233-'FACP$'!$I233-'FACP$'!$K233</f>
        <v>3050137.81</v>
      </c>
      <c r="M233" s="199" t="s">
        <v>93</v>
      </c>
      <c r="N233" s="162" t="s">
        <v>554</v>
      </c>
      <c r="O233" s="163">
        <v>42627.0</v>
      </c>
      <c r="P233" s="164">
        <f t="shared" si="13"/>
        <v>42607</v>
      </c>
      <c r="Q233" s="165">
        <f t="shared" si="2"/>
        <v>0</v>
      </c>
      <c r="R233" s="166"/>
      <c r="S233" s="167"/>
      <c r="T233" s="168">
        <f t="shared" si="3"/>
        <v>3050137.81</v>
      </c>
      <c r="U233" s="168">
        <f t="shared" si="4"/>
        <v>0</v>
      </c>
      <c r="V233" s="168">
        <f t="shared" si="5"/>
        <v>0</v>
      </c>
      <c r="W233" s="168">
        <f t="shared" si="6"/>
        <v>0</v>
      </c>
      <c r="X233" s="168">
        <f t="shared" si="7"/>
        <v>0</v>
      </c>
      <c r="Y233" s="168">
        <f t="shared" si="8"/>
        <v>0</v>
      </c>
      <c r="Z233" s="168">
        <f t="shared" si="9"/>
        <v>0</v>
      </c>
    </row>
    <row r="234" ht="14.25" customHeight="1">
      <c r="A234" s="157">
        <v>456.0</v>
      </c>
      <c r="B234" s="170" t="s">
        <v>722</v>
      </c>
      <c r="C234" s="169" t="s">
        <v>756</v>
      </c>
      <c r="D234" s="159">
        <v>42597.0</v>
      </c>
      <c r="E234" s="157" t="s">
        <v>8</v>
      </c>
      <c r="F234" s="160">
        <v>528720.1</v>
      </c>
      <c r="G234" s="160">
        <v>84595.22</v>
      </c>
      <c r="H234" s="172">
        <f t="shared" si="23"/>
        <v>613315.32</v>
      </c>
      <c r="I234" s="173"/>
      <c r="J234" s="170"/>
      <c r="K234" s="173"/>
      <c r="L234" s="173">
        <f>+'FACP$'!$H234-'FACP$'!$I234-'FACP$'!$K234</f>
        <v>613315.32</v>
      </c>
      <c r="M234" s="199" t="s">
        <v>93</v>
      </c>
      <c r="N234" s="162" t="s">
        <v>554</v>
      </c>
      <c r="O234" s="163">
        <v>42627.0</v>
      </c>
      <c r="P234" s="164">
        <f t="shared" si="13"/>
        <v>42607</v>
      </c>
      <c r="Q234" s="165">
        <f t="shared" si="2"/>
        <v>0</v>
      </c>
      <c r="R234" s="166"/>
      <c r="S234" s="167"/>
      <c r="T234" s="168">
        <f t="shared" si="3"/>
        <v>613315.32</v>
      </c>
      <c r="U234" s="168">
        <f t="shared" si="4"/>
        <v>0</v>
      </c>
      <c r="V234" s="168">
        <f t="shared" si="5"/>
        <v>0</v>
      </c>
      <c r="W234" s="168">
        <f t="shared" si="6"/>
        <v>0</v>
      </c>
      <c r="X234" s="168">
        <f t="shared" si="7"/>
        <v>0</v>
      </c>
      <c r="Y234" s="168">
        <f t="shared" si="8"/>
        <v>0</v>
      </c>
      <c r="Z234" s="168">
        <f t="shared" si="9"/>
        <v>0</v>
      </c>
    </row>
    <row r="235" ht="14.25" customHeight="1">
      <c r="A235" s="157">
        <v>458.0</v>
      </c>
      <c r="B235" s="169" t="s">
        <v>692</v>
      </c>
      <c r="C235" s="169" t="s">
        <v>737</v>
      </c>
      <c r="D235" s="159">
        <v>42614.0</v>
      </c>
      <c r="E235" s="157" t="s">
        <v>8</v>
      </c>
      <c r="F235" s="160">
        <v>5612766.88</v>
      </c>
      <c r="G235" s="160">
        <v>898042.7</v>
      </c>
      <c r="H235" s="172">
        <f t="shared" si="23"/>
        <v>6510809.58</v>
      </c>
      <c r="I235" s="173"/>
      <c r="J235" s="170"/>
      <c r="K235" s="173"/>
      <c r="L235" s="173">
        <f>+'FACP$'!$H235-'FACP$'!$I235-'FACP$'!$K235</f>
        <v>6510809.58</v>
      </c>
      <c r="M235" s="199" t="s">
        <v>752</v>
      </c>
      <c r="N235" s="162" t="s">
        <v>554</v>
      </c>
      <c r="O235" s="175">
        <v>42646.0</v>
      </c>
      <c r="P235" s="164">
        <f t="shared" si="13"/>
        <v>42624</v>
      </c>
      <c r="Q235" s="165">
        <f t="shared" si="2"/>
        <v>0</v>
      </c>
      <c r="R235" s="166"/>
      <c r="S235" s="167"/>
      <c r="T235" s="168">
        <f t="shared" si="3"/>
        <v>6510809.58</v>
      </c>
      <c r="U235" s="168">
        <f t="shared" si="4"/>
        <v>0</v>
      </c>
      <c r="V235" s="168">
        <f t="shared" si="5"/>
        <v>0</v>
      </c>
      <c r="W235" s="168">
        <f t="shared" si="6"/>
        <v>0</v>
      </c>
      <c r="X235" s="168">
        <f t="shared" si="7"/>
        <v>0</v>
      </c>
      <c r="Y235" s="168">
        <f t="shared" si="8"/>
        <v>0</v>
      </c>
      <c r="Z235" s="168">
        <f t="shared" si="9"/>
        <v>0</v>
      </c>
    </row>
    <row r="236" ht="14.25" customHeight="1">
      <c r="A236" s="157">
        <v>459.0</v>
      </c>
      <c r="B236" s="169" t="s">
        <v>692</v>
      </c>
      <c r="C236" s="169" t="s">
        <v>737</v>
      </c>
      <c r="D236" s="159">
        <v>42614.0</v>
      </c>
      <c r="E236" s="157" t="s">
        <v>8</v>
      </c>
      <c r="F236" s="160">
        <v>416826.77</v>
      </c>
      <c r="G236" s="160">
        <v>66692.28</v>
      </c>
      <c r="H236" s="172">
        <f t="shared" si="23"/>
        <v>483519.05</v>
      </c>
      <c r="I236" s="173"/>
      <c r="J236" s="170"/>
      <c r="K236" s="173"/>
      <c r="L236" s="173">
        <f>+'FACP$'!$H236-'FACP$'!$I236-'FACP$'!$K236</f>
        <v>483519.05</v>
      </c>
      <c r="M236" s="199" t="s">
        <v>758</v>
      </c>
      <c r="N236" s="162" t="s">
        <v>127</v>
      </c>
      <c r="O236" s="175"/>
      <c r="P236" s="164">
        <f t="shared" si="13"/>
        <v>42624</v>
      </c>
      <c r="Q236" s="165">
        <f t="shared" si="2"/>
        <v>0</v>
      </c>
      <c r="R236" s="166"/>
      <c r="S236" s="167"/>
      <c r="T236" s="168">
        <f t="shared" si="3"/>
        <v>483519.05</v>
      </c>
      <c r="U236" s="168">
        <f t="shared" si="4"/>
        <v>0</v>
      </c>
      <c r="V236" s="168">
        <f t="shared" si="5"/>
        <v>0</v>
      </c>
      <c r="W236" s="168">
        <f t="shared" si="6"/>
        <v>0</v>
      </c>
      <c r="X236" s="168">
        <f t="shared" si="7"/>
        <v>0</v>
      </c>
      <c r="Y236" s="168">
        <f t="shared" si="8"/>
        <v>0</v>
      </c>
      <c r="Z236" s="168">
        <f t="shared" si="9"/>
        <v>0</v>
      </c>
    </row>
    <row r="237" ht="14.25" customHeight="1">
      <c r="A237" s="157">
        <v>460.0</v>
      </c>
      <c r="B237" s="169" t="s">
        <v>692</v>
      </c>
      <c r="C237" s="169" t="s">
        <v>737</v>
      </c>
      <c r="D237" s="159">
        <v>42614.0</v>
      </c>
      <c r="E237" s="157" t="s">
        <v>8</v>
      </c>
      <c r="F237" s="160">
        <v>1284870.77</v>
      </c>
      <c r="G237" s="160">
        <v>205579.32</v>
      </c>
      <c r="H237" s="172">
        <f t="shared" si="23"/>
        <v>1490450.09</v>
      </c>
      <c r="I237" s="173"/>
      <c r="J237" s="170"/>
      <c r="K237" s="173"/>
      <c r="L237" s="173">
        <f>+'FACP$'!$H237-'FACP$'!$I237-'FACP$'!$K237</f>
        <v>1490450.09</v>
      </c>
      <c r="M237" s="199" t="s">
        <v>754</v>
      </c>
      <c r="N237" s="162" t="s">
        <v>554</v>
      </c>
      <c r="O237" s="175">
        <v>42646.0</v>
      </c>
      <c r="P237" s="164">
        <f t="shared" si="13"/>
        <v>42624</v>
      </c>
      <c r="Q237" s="165">
        <f t="shared" si="2"/>
        <v>0</v>
      </c>
      <c r="R237" s="166"/>
      <c r="S237" s="167"/>
      <c r="T237" s="168">
        <f t="shared" si="3"/>
        <v>1490450.09</v>
      </c>
      <c r="U237" s="168">
        <f t="shared" si="4"/>
        <v>0</v>
      </c>
      <c r="V237" s="168">
        <f t="shared" si="5"/>
        <v>0</v>
      </c>
      <c r="W237" s="168">
        <f t="shared" si="6"/>
        <v>0</v>
      </c>
      <c r="X237" s="168">
        <f t="shared" si="7"/>
        <v>0</v>
      </c>
      <c r="Y237" s="168">
        <f t="shared" si="8"/>
        <v>0</v>
      </c>
      <c r="Z237" s="168">
        <f t="shared" si="9"/>
        <v>0</v>
      </c>
    </row>
    <row r="238" ht="14.25" customHeight="1">
      <c r="A238" s="157">
        <v>461.0</v>
      </c>
      <c r="B238" s="169" t="s">
        <v>70</v>
      </c>
      <c r="C238" s="170" t="s">
        <v>759</v>
      </c>
      <c r="D238" s="159">
        <v>42614.0</v>
      </c>
      <c r="E238" s="157" t="s">
        <v>8</v>
      </c>
      <c r="F238" s="160">
        <v>77702.05</v>
      </c>
      <c r="G238" s="160">
        <v>12432.33</v>
      </c>
      <c r="H238" s="172">
        <f t="shared" si="23"/>
        <v>90134.38</v>
      </c>
      <c r="I238" s="173"/>
      <c r="J238" s="170"/>
      <c r="K238" s="173"/>
      <c r="L238" s="173">
        <f>+'FACP$'!$H238-'FACP$'!$I238-'FACP$'!$K238</f>
        <v>90134.38</v>
      </c>
      <c r="M238" s="199" t="s">
        <v>719</v>
      </c>
      <c r="N238" s="162" t="s">
        <v>554</v>
      </c>
      <c r="O238" s="163">
        <v>42642.0</v>
      </c>
      <c r="P238" s="164">
        <f t="shared" si="13"/>
        <v>42624</v>
      </c>
      <c r="Q238" s="165">
        <f t="shared" si="2"/>
        <v>0</v>
      </c>
      <c r="R238" s="166"/>
      <c r="S238" s="167"/>
      <c r="T238" s="168">
        <f t="shared" si="3"/>
        <v>90134.38</v>
      </c>
      <c r="U238" s="168">
        <f t="shared" si="4"/>
        <v>0</v>
      </c>
      <c r="V238" s="168">
        <f t="shared" si="5"/>
        <v>0</v>
      </c>
      <c r="W238" s="168">
        <f t="shared" si="6"/>
        <v>0</v>
      </c>
      <c r="X238" s="168">
        <f t="shared" si="7"/>
        <v>0</v>
      </c>
      <c r="Y238" s="168">
        <f t="shared" si="8"/>
        <v>0</v>
      </c>
      <c r="Z238" s="168">
        <f t="shared" si="9"/>
        <v>0</v>
      </c>
    </row>
    <row r="239" ht="14.25" customHeight="1">
      <c r="A239" s="157">
        <v>464.0</v>
      </c>
      <c r="B239" s="170" t="s">
        <v>722</v>
      </c>
      <c r="C239" s="169" t="s">
        <v>756</v>
      </c>
      <c r="D239" s="159">
        <v>42614.0</v>
      </c>
      <c r="E239" s="157" t="s">
        <v>8</v>
      </c>
      <c r="F239" s="160">
        <v>2105736.74</v>
      </c>
      <c r="G239" s="160">
        <v>336917.88</v>
      </c>
      <c r="H239" s="172">
        <f t="shared" si="23"/>
        <v>2442654.62</v>
      </c>
      <c r="I239" s="173"/>
      <c r="J239" s="170"/>
      <c r="K239" s="173"/>
      <c r="L239" s="173">
        <f>+'FACP$'!$H239-'FACP$'!$I239-'FACP$'!$K239</f>
        <v>2442654.62</v>
      </c>
      <c r="M239" s="199" t="s">
        <v>93</v>
      </c>
      <c r="N239" s="162" t="s">
        <v>554</v>
      </c>
      <c r="O239" s="163">
        <v>43007.0</v>
      </c>
      <c r="P239" s="164">
        <f t="shared" si="13"/>
        <v>42624</v>
      </c>
      <c r="Q239" s="165">
        <f t="shared" si="2"/>
        <v>0</v>
      </c>
      <c r="R239" s="166"/>
      <c r="S239" s="167"/>
      <c r="T239" s="168">
        <f t="shared" si="3"/>
        <v>2442654.62</v>
      </c>
      <c r="U239" s="168">
        <f t="shared" si="4"/>
        <v>0</v>
      </c>
      <c r="V239" s="168">
        <f t="shared" si="5"/>
        <v>0</v>
      </c>
      <c r="W239" s="168">
        <f t="shared" si="6"/>
        <v>0</v>
      </c>
      <c r="X239" s="168">
        <f t="shared" si="7"/>
        <v>0</v>
      </c>
      <c r="Y239" s="168">
        <f t="shared" si="8"/>
        <v>0</v>
      </c>
      <c r="Z239" s="168">
        <f t="shared" si="9"/>
        <v>0</v>
      </c>
    </row>
    <row r="240" ht="14.25" customHeight="1">
      <c r="A240" s="157">
        <v>465.0</v>
      </c>
      <c r="B240" s="169" t="s">
        <v>692</v>
      </c>
      <c r="C240" s="169" t="s">
        <v>737</v>
      </c>
      <c r="D240" s="159">
        <v>42614.0</v>
      </c>
      <c r="E240" s="157" t="s">
        <v>8</v>
      </c>
      <c r="F240" s="160">
        <v>284339.98</v>
      </c>
      <c r="G240" s="160">
        <v>45494.4</v>
      </c>
      <c r="H240" s="172">
        <f t="shared" si="23"/>
        <v>329834.38</v>
      </c>
      <c r="I240" s="173"/>
      <c r="J240" s="170"/>
      <c r="K240" s="173"/>
      <c r="L240" s="173">
        <f>+'FACP$'!$H240-'FACP$'!$I240-'FACP$'!$K240</f>
        <v>329834.38</v>
      </c>
      <c r="M240" s="199" t="s">
        <v>738</v>
      </c>
      <c r="N240" s="162" t="s">
        <v>554</v>
      </c>
      <c r="O240" s="175">
        <v>42646.0</v>
      </c>
      <c r="P240" s="164">
        <f t="shared" si="13"/>
        <v>42624</v>
      </c>
      <c r="Q240" s="165">
        <f t="shared" si="2"/>
        <v>0</v>
      </c>
      <c r="R240" s="166"/>
      <c r="S240" s="167"/>
      <c r="T240" s="168">
        <f t="shared" si="3"/>
        <v>329834.38</v>
      </c>
      <c r="U240" s="168">
        <f t="shared" si="4"/>
        <v>0</v>
      </c>
      <c r="V240" s="168">
        <f t="shared" si="5"/>
        <v>0</v>
      </c>
      <c r="W240" s="168">
        <f t="shared" si="6"/>
        <v>0</v>
      </c>
      <c r="X240" s="168">
        <f t="shared" si="7"/>
        <v>0</v>
      </c>
      <c r="Y240" s="168">
        <f t="shared" si="8"/>
        <v>0</v>
      </c>
      <c r="Z240" s="168">
        <f t="shared" si="9"/>
        <v>0</v>
      </c>
    </row>
    <row r="241" ht="14.25" customHeight="1">
      <c r="A241" s="157">
        <v>468.0</v>
      </c>
      <c r="B241" s="169" t="s">
        <v>692</v>
      </c>
      <c r="C241" s="169" t="s">
        <v>737</v>
      </c>
      <c r="D241" s="159">
        <v>42628.0</v>
      </c>
      <c r="E241" s="157" t="s">
        <v>8</v>
      </c>
      <c r="F241" s="160">
        <v>1386207.25</v>
      </c>
      <c r="G241" s="160">
        <v>221793.16</v>
      </c>
      <c r="H241" s="172">
        <f t="shared" si="23"/>
        <v>1608000.41</v>
      </c>
      <c r="I241" s="173"/>
      <c r="J241" s="170"/>
      <c r="K241" s="173"/>
      <c r="L241" s="173">
        <f>+'FACP$'!$H241-'FACP$'!$I241-'FACP$'!$K241</f>
        <v>1608000.41</v>
      </c>
      <c r="M241" s="202"/>
      <c r="N241" s="162" t="s">
        <v>127</v>
      </c>
      <c r="O241" s="175"/>
      <c r="P241" s="164">
        <f t="shared" si="13"/>
        <v>42638</v>
      </c>
      <c r="Q241" s="165">
        <f t="shared" si="2"/>
        <v>0</v>
      </c>
      <c r="R241" s="166"/>
      <c r="S241" s="167"/>
      <c r="T241" s="168">
        <f t="shared" si="3"/>
        <v>1608000.41</v>
      </c>
      <c r="U241" s="168">
        <f t="shared" si="4"/>
        <v>0</v>
      </c>
      <c r="V241" s="168">
        <f t="shared" si="5"/>
        <v>0</v>
      </c>
      <c r="W241" s="168">
        <f t="shared" si="6"/>
        <v>0</v>
      </c>
      <c r="X241" s="168">
        <f t="shared" si="7"/>
        <v>0</v>
      </c>
      <c r="Y241" s="168">
        <f t="shared" si="8"/>
        <v>0</v>
      </c>
      <c r="Z241" s="168">
        <f t="shared" si="9"/>
        <v>0</v>
      </c>
    </row>
    <row r="242" ht="14.25" customHeight="1">
      <c r="A242" s="157">
        <v>469.0</v>
      </c>
      <c r="B242" s="169" t="s">
        <v>692</v>
      </c>
      <c r="C242" s="169" t="s">
        <v>737</v>
      </c>
      <c r="D242" s="159">
        <v>42628.0</v>
      </c>
      <c r="E242" s="157" t="s">
        <v>8</v>
      </c>
      <c r="F242" s="160">
        <v>6101173.05</v>
      </c>
      <c r="G242" s="160">
        <v>976187.69</v>
      </c>
      <c r="H242" s="172">
        <f t="shared" si="23"/>
        <v>7077360.74</v>
      </c>
      <c r="I242" s="173"/>
      <c r="J242" s="170"/>
      <c r="K242" s="173"/>
      <c r="L242" s="173">
        <f>+'FACP$'!$H242-'FACP$'!$I242-'FACP$'!$K242</f>
        <v>7077360.74</v>
      </c>
      <c r="M242" s="202"/>
      <c r="N242" s="162" t="s">
        <v>127</v>
      </c>
      <c r="O242" s="175"/>
      <c r="P242" s="164">
        <f t="shared" si="13"/>
        <v>42638</v>
      </c>
      <c r="Q242" s="165">
        <f t="shared" si="2"/>
        <v>0</v>
      </c>
      <c r="R242" s="166"/>
      <c r="S242" s="167"/>
      <c r="T242" s="168">
        <f t="shared" si="3"/>
        <v>7077360.74</v>
      </c>
      <c r="U242" s="168">
        <f t="shared" si="4"/>
        <v>0</v>
      </c>
      <c r="V242" s="168">
        <f t="shared" si="5"/>
        <v>0</v>
      </c>
      <c r="W242" s="168">
        <f t="shared" si="6"/>
        <v>0</v>
      </c>
      <c r="X242" s="168">
        <f t="shared" si="7"/>
        <v>0</v>
      </c>
      <c r="Y242" s="168">
        <f t="shared" si="8"/>
        <v>0</v>
      </c>
      <c r="Z242" s="168">
        <f t="shared" si="9"/>
        <v>0</v>
      </c>
    </row>
    <row r="243" ht="14.25" customHeight="1">
      <c r="A243" s="157">
        <v>471.0</v>
      </c>
      <c r="B243" s="169" t="s">
        <v>692</v>
      </c>
      <c r="C243" s="169" t="s">
        <v>737</v>
      </c>
      <c r="D243" s="159">
        <v>42628.0</v>
      </c>
      <c r="E243" s="157" t="s">
        <v>8</v>
      </c>
      <c r="F243" s="160">
        <v>480772.63</v>
      </c>
      <c r="G243" s="160">
        <v>76923.62</v>
      </c>
      <c r="H243" s="172">
        <f t="shared" si="23"/>
        <v>557696.25</v>
      </c>
      <c r="I243" s="173"/>
      <c r="J243" s="170"/>
      <c r="K243" s="173"/>
      <c r="L243" s="173">
        <f>+'FACP$'!$H243-'FACP$'!$I243-'FACP$'!$K243</f>
        <v>557696.25</v>
      </c>
      <c r="M243" s="199" t="s">
        <v>738</v>
      </c>
      <c r="N243" s="162" t="s">
        <v>127</v>
      </c>
      <c r="O243" s="175"/>
      <c r="P243" s="164">
        <f t="shared" si="13"/>
        <v>42638</v>
      </c>
      <c r="Q243" s="165">
        <f t="shared" si="2"/>
        <v>0</v>
      </c>
      <c r="R243" s="166"/>
      <c r="S243" s="167"/>
      <c r="T243" s="168">
        <f t="shared" si="3"/>
        <v>557696.25</v>
      </c>
      <c r="U243" s="168">
        <f t="shared" si="4"/>
        <v>0</v>
      </c>
      <c r="V243" s="168">
        <f t="shared" si="5"/>
        <v>0</v>
      </c>
      <c r="W243" s="168">
        <f t="shared" si="6"/>
        <v>0</v>
      </c>
      <c r="X243" s="168">
        <f t="shared" si="7"/>
        <v>0</v>
      </c>
      <c r="Y243" s="168">
        <f t="shared" si="8"/>
        <v>0</v>
      </c>
      <c r="Z243" s="168">
        <f t="shared" si="9"/>
        <v>0</v>
      </c>
    </row>
    <row r="244" ht="14.25" customHeight="1">
      <c r="A244" s="157">
        <v>472.0</v>
      </c>
      <c r="B244" s="169" t="s">
        <v>692</v>
      </c>
      <c r="C244" s="169" t="s">
        <v>737</v>
      </c>
      <c r="D244" s="159">
        <v>42628.0</v>
      </c>
      <c r="E244" s="157" t="s">
        <v>8</v>
      </c>
      <c r="F244" s="160">
        <v>169844.25</v>
      </c>
      <c r="G244" s="160">
        <v>27175.08</v>
      </c>
      <c r="H244" s="172">
        <f t="shared" si="23"/>
        <v>197019.33</v>
      </c>
      <c r="I244" s="173"/>
      <c r="J244" s="170"/>
      <c r="K244" s="173"/>
      <c r="L244" s="173">
        <f>+'FACP$'!$H244-'FACP$'!$I244-'FACP$'!$K244</f>
        <v>197019.33</v>
      </c>
      <c r="M244" s="199" t="s">
        <v>758</v>
      </c>
      <c r="N244" s="162" t="s">
        <v>127</v>
      </c>
      <c r="O244" s="175"/>
      <c r="P244" s="164">
        <f t="shared" si="13"/>
        <v>42638</v>
      </c>
      <c r="Q244" s="165">
        <f t="shared" si="2"/>
        <v>0</v>
      </c>
      <c r="R244" s="166"/>
      <c r="S244" s="167"/>
      <c r="T244" s="168">
        <f t="shared" si="3"/>
        <v>197019.33</v>
      </c>
      <c r="U244" s="168">
        <f t="shared" si="4"/>
        <v>0</v>
      </c>
      <c r="V244" s="168">
        <f t="shared" si="5"/>
        <v>0</v>
      </c>
      <c r="W244" s="168">
        <f t="shared" si="6"/>
        <v>0</v>
      </c>
      <c r="X244" s="168">
        <f t="shared" si="7"/>
        <v>0</v>
      </c>
      <c r="Y244" s="168">
        <f t="shared" si="8"/>
        <v>0</v>
      </c>
      <c r="Z244" s="168">
        <f t="shared" si="9"/>
        <v>0</v>
      </c>
    </row>
    <row r="245" ht="14.25" customHeight="1">
      <c r="A245" s="157">
        <v>473.0</v>
      </c>
      <c r="B245" s="169" t="s">
        <v>70</v>
      </c>
      <c r="C245" s="170" t="s">
        <v>759</v>
      </c>
      <c r="D245" s="159">
        <v>42628.0</v>
      </c>
      <c r="E245" s="157" t="s">
        <v>8</v>
      </c>
      <c r="F245" s="160">
        <v>102927.45</v>
      </c>
      <c r="G245" s="160">
        <v>16468.39</v>
      </c>
      <c r="H245" s="172">
        <f t="shared" si="23"/>
        <v>119395.84</v>
      </c>
      <c r="I245" s="173"/>
      <c r="J245" s="170"/>
      <c r="K245" s="173"/>
      <c r="L245" s="173">
        <f>+'FACP$'!$H245-'FACP$'!$I245-'FACP$'!$K245</f>
        <v>119395.84</v>
      </c>
      <c r="M245" s="199" t="s">
        <v>719</v>
      </c>
      <c r="N245" s="162" t="s">
        <v>554</v>
      </c>
      <c r="O245" s="163">
        <v>43019.0</v>
      </c>
      <c r="P245" s="164">
        <f t="shared" si="13"/>
        <v>42638</v>
      </c>
      <c r="Q245" s="165">
        <f t="shared" si="2"/>
        <v>0</v>
      </c>
      <c r="R245" s="166"/>
      <c r="S245" s="167"/>
      <c r="T245" s="168">
        <f t="shared" si="3"/>
        <v>119395.84</v>
      </c>
      <c r="U245" s="168">
        <f t="shared" si="4"/>
        <v>0</v>
      </c>
      <c r="V245" s="168">
        <f t="shared" si="5"/>
        <v>0</v>
      </c>
      <c r="W245" s="168">
        <f t="shared" si="6"/>
        <v>0</v>
      </c>
      <c r="X245" s="168">
        <f t="shared" si="7"/>
        <v>0</v>
      </c>
      <c r="Y245" s="168">
        <f t="shared" si="8"/>
        <v>0</v>
      </c>
      <c r="Z245" s="168">
        <f t="shared" si="9"/>
        <v>0</v>
      </c>
    </row>
    <row r="246" ht="14.25" customHeight="1">
      <c r="A246" s="157">
        <v>476.0</v>
      </c>
      <c r="B246" s="169" t="s">
        <v>692</v>
      </c>
      <c r="C246" s="169" t="s">
        <v>737</v>
      </c>
      <c r="D246" s="159">
        <v>42628.0</v>
      </c>
      <c r="E246" s="157" t="s">
        <v>8</v>
      </c>
      <c r="F246" s="160">
        <v>1381498.21</v>
      </c>
      <c r="G246" s="160">
        <v>221039.71</v>
      </c>
      <c r="H246" s="172">
        <f t="shared" si="23"/>
        <v>1602537.92</v>
      </c>
      <c r="I246" s="173"/>
      <c r="J246" s="170"/>
      <c r="K246" s="173"/>
      <c r="L246" s="173">
        <f>+'FACP$'!$H246-'FACP$'!$I246-'FACP$'!$K246</f>
        <v>1602537.92</v>
      </c>
      <c r="M246" s="199" t="s">
        <v>754</v>
      </c>
      <c r="N246" s="162" t="s">
        <v>554</v>
      </c>
      <c r="O246" s="175">
        <v>42660.0</v>
      </c>
      <c r="P246" s="164">
        <f t="shared" si="13"/>
        <v>42638</v>
      </c>
      <c r="Q246" s="165">
        <f t="shared" si="2"/>
        <v>0</v>
      </c>
      <c r="R246" s="166"/>
      <c r="S246" s="167"/>
      <c r="T246" s="168">
        <f t="shared" si="3"/>
        <v>1602537.92</v>
      </c>
      <c r="U246" s="168">
        <f t="shared" si="4"/>
        <v>0</v>
      </c>
      <c r="V246" s="168">
        <f t="shared" si="5"/>
        <v>0</v>
      </c>
      <c r="W246" s="168">
        <f t="shared" si="6"/>
        <v>0</v>
      </c>
      <c r="X246" s="168">
        <f t="shared" si="7"/>
        <v>0</v>
      </c>
      <c r="Y246" s="168">
        <f t="shared" si="8"/>
        <v>0</v>
      </c>
      <c r="Z246" s="168">
        <f t="shared" si="9"/>
        <v>0</v>
      </c>
    </row>
    <row r="247" ht="14.25" customHeight="1">
      <c r="A247" s="157">
        <v>477.0</v>
      </c>
      <c r="B247" s="169" t="s">
        <v>692</v>
      </c>
      <c r="C247" s="169" t="s">
        <v>737</v>
      </c>
      <c r="D247" s="159">
        <v>42628.0</v>
      </c>
      <c r="E247" s="157" t="s">
        <v>8</v>
      </c>
      <c r="F247" s="160">
        <v>6078449.35</v>
      </c>
      <c r="G247" s="160">
        <v>972551.9</v>
      </c>
      <c r="H247" s="172">
        <f t="shared" si="23"/>
        <v>7051001.25</v>
      </c>
      <c r="I247" s="173"/>
      <c r="J247" s="170"/>
      <c r="K247" s="173"/>
      <c r="L247" s="173">
        <f>+'FACP$'!$H247-'FACP$'!$I247-'FACP$'!$K247</f>
        <v>7051001.25</v>
      </c>
      <c r="M247" s="199" t="s">
        <v>749</v>
      </c>
      <c r="N247" s="162" t="s">
        <v>554</v>
      </c>
      <c r="O247" s="175">
        <v>42660.0</v>
      </c>
      <c r="P247" s="164">
        <f t="shared" si="13"/>
        <v>42638</v>
      </c>
      <c r="Q247" s="165">
        <f t="shared" si="2"/>
        <v>0</v>
      </c>
      <c r="R247" s="166"/>
      <c r="S247" s="167"/>
      <c r="T247" s="168">
        <f t="shared" si="3"/>
        <v>7051001.25</v>
      </c>
      <c r="U247" s="168">
        <f t="shared" si="4"/>
        <v>0</v>
      </c>
      <c r="V247" s="168">
        <f t="shared" si="5"/>
        <v>0</v>
      </c>
      <c r="W247" s="168">
        <f t="shared" si="6"/>
        <v>0</v>
      </c>
      <c r="X247" s="168">
        <f t="shared" si="7"/>
        <v>0</v>
      </c>
      <c r="Y247" s="168">
        <f t="shared" si="8"/>
        <v>0</v>
      </c>
      <c r="Z247" s="168">
        <f t="shared" si="9"/>
        <v>0</v>
      </c>
    </row>
    <row r="248" ht="14.25" customHeight="1">
      <c r="A248" s="157">
        <v>478.0</v>
      </c>
      <c r="B248" s="169" t="s">
        <v>692</v>
      </c>
      <c r="C248" s="169" t="s">
        <v>737</v>
      </c>
      <c r="D248" s="159">
        <v>42628.0</v>
      </c>
      <c r="E248" s="157" t="s">
        <v>8</v>
      </c>
      <c r="F248" s="160">
        <v>168908.47</v>
      </c>
      <c r="G248" s="160">
        <v>27025.36</v>
      </c>
      <c r="H248" s="172">
        <f t="shared" si="23"/>
        <v>195933.83</v>
      </c>
      <c r="I248" s="173"/>
      <c r="J248" s="170"/>
      <c r="K248" s="173"/>
      <c r="L248" s="173">
        <f>+'FACP$'!$H248-'FACP$'!$I248-'FACP$'!$K248</f>
        <v>195933.83</v>
      </c>
      <c r="M248" s="199" t="s">
        <v>758</v>
      </c>
      <c r="N248" s="157" t="s">
        <v>751</v>
      </c>
      <c r="O248" s="175"/>
      <c r="P248" s="164">
        <f t="shared" si="13"/>
        <v>42638</v>
      </c>
      <c r="Q248" s="165" t="b">
        <f t="shared" si="2"/>
        <v>0</v>
      </c>
      <c r="R248" s="166"/>
      <c r="S248" s="167"/>
      <c r="T248" s="168">
        <f t="shared" si="3"/>
        <v>0</v>
      </c>
      <c r="U248" s="168">
        <f t="shared" si="4"/>
        <v>0</v>
      </c>
      <c r="V248" s="168">
        <f t="shared" si="5"/>
        <v>0</v>
      </c>
      <c r="W248" s="168">
        <f t="shared" si="6"/>
        <v>0</v>
      </c>
      <c r="X248" s="168">
        <f t="shared" si="7"/>
        <v>0</v>
      </c>
      <c r="Y248" s="168">
        <f t="shared" si="8"/>
        <v>0</v>
      </c>
      <c r="Z248" s="168">
        <f t="shared" si="9"/>
        <v>195933.83</v>
      </c>
    </row>
    <row r="249" ht="14.25" customHeight="1">
      <c r="A249" s="157">
        <v>479.0</v>
      </c>
      <c r="B249" s="170" t="s">
        <v>722</v>
      </c>
      <c r="C249" s="169" t="s">
        <v>756</v>
      </c>
      <c r="D249" s="159">
        <v>42628.0</v>
      </c>
      <c r="E249" s="157" t="s">
        <v>8</v>
      </c>
      <c r="F249" s="160">
        <v>2762355.07</v>
      </c>
      <c r="G249" s="160">
        <v>441976.81</v>
      </c>
      <c r="H249" s="172">
        <f t="shared" si="23"/>
        <v>3204331.88</v>
      </c>
      <c r="I249" s="173"/>
      <c r="J249" s="170"/>
      <c r="K249" s="173"/>
      <c r="L249" s="173">
        <f>+'FACP$'!$H249-'FACP$'!$I249-'FACP$'!$K249</f>
        <v>3204331.88</v>
      </c>
      <c r="M249" s="199" t="s">
        <v>93</v>
      </c>
      <c r="N249" s="162" t="s">
        <v>554</v>
      </c>
      <c r="O249" s="163">
        <v>43021.0</v>
      </c>
      <c r="P249" s="164">
        <f t="shared" si="13"/>
        <v>42638</v>
      </c>
      <c r="Q249" s="165">
        <f t="shared" si="2"/>
        <v>0</v>
      </c>
      <c r="R249" s="166"/>
      <c r="S249" s="167"/>
      <c r="T249" s="168">
        <f t="shared" si="3"/>
        <v>3204331.88</v>
      </c>
      <c r="U249" s="168">
        <f t="shared" si="4"/>
        <v>0</v>
      </c>
      <c r="V249" s="168">
        <f t="shared" si="5"/>
        <v>0</v>
      </c>
      <c r="W249" s="168">
        <f t="shared" si="6"/>
        <v>0</v>
      </c>
      <c r="X249" s="168">
        <f t="shared" si="7"/>
        <v>0</v>
      </c>
      <c r="Y249" s="168">
        <f t="shared" si="8"/>
        <v>0</v>
      </c>
      <c r="Z249" s="168">
        <f t="shared" si="9"/>
        <v>0</v>
      </c>
    </row>
    <row r="250" ht="14.25" customHeight="1">
      <c r="A250" s="157">
        <v>481.0</v>
      </c>
      <c r="B250" s="170" t="s">
        <v>722</v>
      </c>
      <c r="C250" s="169" t="s">
        <v>756</v>
      </c>
      <c r="D250" s="159">
        <v>42628.0</v>
      </c>
      <c r="E250" s="157" t="s">
        <v>8</v>
      </c>
      <c r="F250" s="160">
        <v>718908.45</v>
      </c>
      <c r="G250" s="160">
        <v>115025.35</v>
      </c>
      <c r="H250" s="172">
        <f t="shared" si="23"/>
        <v>833933.8</v>
      </c>
      <c r="I250" s="173"/>
      <c r="J250" s="170"/>
      <c r="K250" s="173"/>
      <c r="L250" s="173">
        <f>+'FACP$'!$H250-'FACP$'!$I250-'FACP$'!$K250</f>
        <v>833933.8</v>
      </c>
      <c r="M250" s="199" t="s">
        <v>93</v>
      </c>
      <c r="N250" s="162" t="s">
        <v>554</v>
      </c>
      <c r="O250" s="163">
        <v>43021.0</v>
      </c>
      <c r="P250" s="164">
        <f t="shared" si="13"/>
        <v>42638</v>
      </c>
      <c r="Q250" s="165">
        <f t="shared" si="2"/>
        <v>0</v>
      </c>
      <c r="R250" s="166"/>
      <c r="S250" s="167"/>
      <c r="T250" s="168">
        <f t="shared" si="3"/>
        <v>833933.8</v>
      </c>
      <c r="U250" s="168">
        <f t="shared" si="4"/>
        <v>0</v>
      </c>
      <c r="V250" s="168">
        <f t="shared" si="5"/>
        <v>0</v>
      </c>
      <c r="W250" s="168">
        <f t="shared" si="6"/>
        <v>0</v>
      </c>
      <c r="X250" s="168">
        <f t="shared" si="7"/>
        <v>0</v>
      </c>
      <c r="Y250" s="168">
        <f t="shared" si="8"/>
        <v>0</v>
      </c>
      <c r="Z250" s="168">
        <f t="shared" si="9"/>
        <v>0</v>
      </c>
    </row>
    <row r="251" ht="14.25" customHeight="1">
      <c r="A251" s="157">
        <v>482.0</v>
      </c>
      <c r="B251" s="169" t="s">
        <v>692</v>
      </c>
      <c r="C251" s="169" t="s">
        <v>737</v>
      </c>
      <c r="D251" s="159">
        <v>42628.0</v>
      </c>
      <c r="E251" s="157" t="s">
        <v>8</v>
      </c>
      <c r="F251" s="160">
        <v>479104.69</v>
      </c>
      <c r="G251" s="160">
        <v>76656.75</v>
      </c>
      <c r="H251" s="172">
        <f t="shared" si="23"/>
        <v>555761.44</v>
      </c>
      <c r="I251" s="173"/>
      <c r="J251" s="170"/>
      <c r="K251" s="173"/>
      <c r="L251" s="173">
        <f>+'FACP$'!$H251-'FACP$'!$I251-'FACP$'!$K251</f>
        <v>555761.44</v>
      </c>
      <c r="M251" s="199" t="s">
        <v>758</v>
      </c>
      <c r="N251" s="157" t="s">
        <v>751</v>
      </c>
      <c r="O251" s="175"/>
      <c r="P251" s="164">
        <f t="shared" si="13"/>
        <v>42638</v>
      </c>
      <c r="Q251" s="165" t="b">
        <f t="shared" si="2"/>
        <v>0</v>
      </c>
      <c r="R251" s="166"/>
      <c r="S251" s="167"/>
      <c r="T251" s="168">
        <f t="shared" si="3"/>
        <v>0</v>
      </c>
      <c r="U251" s="168">
        <f t="shared" si="4"/>
        <v>0</v>
      </c>
      <c r="V251" s="168">
        <f t="shared" si="5"/>
        <v>0</v>
      </c>
      <c r="W251" s="168">
        <f t="shared" si="6"/>
        <v>0</v>
      </c>
      <c r="X251" s="168">
        <f t="shared" si="7"/>
        <v>0</v>
      </c>
      <c r="Y251" s="168">
        <f t="shared" si="8"/>
        <v>0</v>
      </c>
      <c r="Z251" s="168">
        <f t="shared" si="9"/>
        <v>555761.44</v>
      </c>
    </row>
    <row r="252" ht="14.25" customHeight="1">
      <c r="A252" s="157">
        <v>484.0</v>
      </c>
      <c r="B252" s="169" t="s">
        <v>70</v>
      </c>
      <c r="C252" s="170" t="s">
        <v>759</v>
      </c>
      <c r="D252" s="159">
        <v>42644.0</v>
      </c>
      <c r="E252" s="157" t="s">
        <v>8</v>
      </c>
      <c r="F252" s="160">
        <v>235094.34</v>
      </c>
      <c r="G252" s="160">
        <v>37615.09</v>
      </c>
      <c r="H252" s="172">
        <f t="shared" si="23"/>
        <v>272709.43</v>
      </c>
      <c r="I252" s="173"/>
      <c r="J252" s="170"/>
      <c r="K252" s="173"/>
      <c r="L252" s="173">
        <f>+'FACP$'!$H252-'FACP$'!$I252-'FACP$'!$K252</f>
        <v>272709.43</v>
      </c>
      <c r="M252" s="199" t="s">
        <v>719</v>
      </c>
      <c r="N252" s="162" t="s">
        <v>554</v>
      </c>
      <c r="O252" s="163">
        <v>43028.0</v>
      </c>
      <c r="P252" s="164">
        <f t="shared" si="13"/>
        <v>42654</v>
      </c>
      <c r="Q252" s="165">
        <f t="shared" si="2"/>
        <v>0</v>
      </c>
      <c r="R252" s="166"/>
      <c r="S252" s="167"/>
      <c r="T252" s="168">
        <f t="shared" si="3"/>
        <v>272709.43</v>
      </c>
      <c r="U252" s="168">
        <f t="shared" si="4"/>
        <v>0</v>
      </c>
      <c r="V252" s="168">
        <f t="shared" si="5"/>
        <v>0</v>
      </c>
      <c r="W252" s="168">
        <f t="shared" si="6"/>
        <v>0</v>
      </c>
      <c r="X252" s="168">
        <f t="shared" si="7"/>
        <v>0</v>
      </c>
      <c r="Y252" s="168">
        <f t="shared" si="8"/>
        <v>0</v>
      </c>
      <c r="Z252" s="168">
        <f t="shared" si="9"/>
        <v>0</v>
      </c>
    </row>
    <row r="253" ht="14.25" customHeight="1">
      <c r="A253" s="157">
        <v>486.0</v>
      </c>
      <c r="B253" s="169" t="s">
        <v>692</v>
      </c>
      <c r="C253" s="169" t="s">
        <v>737</v>
      </c>
      <c r="D253" s="159">
        <v>42628.0</v>
      </c>
      <c r="E253" s="157" t="s">
        <v>8</v>
      </c>
      <c r="F253" s="160">
        <v>130722.96</v>
      </c>
      <c r="G253" s="160">
        <v>20915.67</v>
      </c>
      <c r="H253" s="172">
        <f t="shared" si="23"/>
        <v>151638.63</v>
      </c>
      <c r="I253" s="173"/>
      <c r="J253" s="170"/>
      <c r="K253" s="173"/>
      <c r="L253" s="173">
        <f>+'FACP$'!$H253-'FACP$'!$I253-'FACP$'!$K253</f>
        <v>151638.63</v>
      </c>
      <c r="M253" s="199" t="s">
        <v>758</v>
      </c>
      <c r="N253" s="162" t="s">
        <v>127</v>
      </c>
      <c r="O253" s="175"/>
      <c r="P253" s="164">
        <f t="shared" si="13"/>
        <v>42638</v>
      </c>
      <c r="Q253" s="165">
        <f t="shared" si="2"/>
        <v>0</v>
      </c>
      <c r="R253" s="166"/>
      <c r="S253" s="167"/>
      <c r="T253" s="168">
        <f t="shared" si="3"/>
        <v>151638.63</v>
      </c>
      <c r="U253" s="168">
        <f t="shared" si="4"/>
        <v>0</v>
      </c>
      <c r="V253" s="168">
        <f t="shared" si="5"/>
        <v>0</v>
      </c>
      <c r="W253" s="168">
        <f t="shared" si="6"/>
        <v>0</v>
      </c>
      <c r="X253" s="168">
        <f t="shared" si="7"/>
        <v>0</v>
      </c>
      <c r="Y253" s="168">
        <f t="shared" si="8"/>
        <v>0</v>
      </c>
      <c r="Z253" s="168">
        <f t="shared" si="9"/>
        <v>0</v>
      </c>
    </row>
    <row r="254" ht="14.25" customHeight="1">
      <c r="A254" s="157">
        <v>487.0</v>
      </c>
      <c r="B254" s="170" t="s">
        <v>722</v>
      </c>
      <c r="C254" s="169" t="s">
        <v>756</v>
      </c>
      <c r="D254" s="159">
        <v>42644.0</v>
      </c>
      <c r="E254" s="157" t="s">
        <v>8</v>
      </c>
      <c r="F254" s="160">
        <v>2691074.52</v>
      </c>
      <c r="G254" s="160">
        <v>430571.92</v>
      </c>
      <c r="H254" s="172">
        <f t="shared" si="23"/>
        <v>3121646.44</v>
      </c>
      <c r="I254" s="173"/>
      <c r="J254" s="170"/>
      <c r="K254" s="173"/>
      <c r="L254" s="173">
        <f>+'FACP$'!$H254-'FACP$'!$I254-'FACP$'!$K254</f>
        <v>3121646.44</v>
      </c>
      <c r="M254" s="199" t="s">
        <v>93</v>
      </c>
      <c r="N254" s="162" t="s">
        <v>127</v>
      </c>
      <c r="O254" s="163"/>
      <c r="P254" s="164">
        <f t="shared" si="13"/>
        <v>42654</v>
      </c>
      <c r="Q254" s="165">
        <f t="shared" si="2"/>
        <v>0</v>
      </c>
      <c r="R254" s="166"/>
      <c r="S254" s="167"/>
      <c r="T254" s="168">
        <f t="shared" si="3"/>
        <v>3121646.44</v>
      </c>
      <c r="U254" s="168">
        <f t="shared" si="4"/>
        <v>0</v>
      </c>
      <c r="V254" s="168">
        <f t="shared" si="5"/>
        <v>0</v>
      </c>
      <c r="W254" s="168">
        <f t="shared" si="6"/>
        <v>0</v>
      </c>
      <c r="X254" s="168">
        <f t="shared" si="7"/>
        <v>0</v>
      </c>
      <c r="Y254" s="168">
        <f t="shared" si="8"/>
        <v>0</v>
      </c>
      <c r="Z254" s="168">
        <f t="shared" si="9"/>
        <v>0</v>
      </c>
    </row>
    <row r="255" ht="14.25" customHeight="1">
      <c r="A255" s="157">
        <v>491.0</v>
      </c>
      <c r="B255" s="170" t="s">
        <v>722</v>
      </c>
      <c r="C255" s="169" t="s">
        <v>756</v>
      </c>
      <c r="D255" s="159">
        <v>42614.0</v>
      </c>
      <c r="E255" s="157" t="s">
        <v>8</v>
      </c>
      <c r="F255" s="160">
        <v>232914.5</v>
      </c>
      <c r="G255" s="160">
        <v>37266.32</v>
      </c>
      <c r="H255" s="172">
        <f t="shared" si="23"/>
        <v>270180.82</v>
      </c>
      <c r="I255" s="173"/>
      <c r="J255" s="170"/>
      <c r="K255" s="173"/>
      <c r="L255" s="173">
        <f>+'FACP$'!$H255-'FACP$'!$I255-'FACP$'!$K255</f>
        <v>270180.82</v>
      </c>
      <c r="M255" s="199" t="s">
        <v>93</v>
      </c>
      <c r="N255" s="162" t="s">
        <v>554</v>
      </c>
      <c r="O255" s="163"/>
      <c r="P255" s="164">
        <f t="shared" si="13"/>
        <v>42624</v>
      </c>
      <c r="Q255" s="165">
        <f t="shared" si="2"/>
        <v>0</v>
      </c>
      <c r="R255" s="166"/>
      <c r="S255" s="167"/>
      <c r="T255" s="168">
        <f t="shared" si="3"/>
        <v>270180.82</v>
      </c>
      <c r="U255" s="168">
        <f t="shared" si="4"/>
        <v>0</v>
      </c>
      <c r="V255" s="168">
        <f t="shared" si="5"/>
        <v>0</v>
      </c>
      <c r="W255" s="168">
        <f t="shared" si="6"/>
        <v>0</v>
      </c>
      <c r="X255" s="168">
        <f t="shared" si="7"/>
        <v>0</v>
      </c>
      <c r="Y255" s="168">
        <f t="shared" si="8"/>
        <v>0</v>
      </c>
      <c r="Z255" s="168">
        <f t="shared" si="9"/>
        <v>0</v>
      </c>
    </row>
    <row r="256" ht="14.25" customHeight="1">
      <c r="A256" s="157">
        <v>492.0</v>
      </c>
      <c r="B256" s="169" t="s">
        <v>692</v>
      </c>
      <c r="C256" s="169" t="s">
        <v>737</v>
      </c>
      <c r="D256" s="159">
        <v>42628.0</v>
      </c>
      <c r="E256" s="157" t="s">
        <v>8</v>
      </c>
      <c r="F256" s="160">
        <v>207917.87</v>
      </c>
      <c r="G256" s="160">
        <v>33275.5</v>
      </c>
      <c r="H256" s="172">
        <f t="shared" si="23"/>
        <v>241193.37</v>
      </c>
      <c r="I256" s="173"/>
      <c r="J256" s="170"/>
      <c r="K256" s="173"/>
      <c r="L256" s="173">
        <f>+'FACP$'!$H256-'FACP$'!$I256-'FACP$'!$K256</f>
        <v>241193.37</v>
      </c>
      <c r="M256" s="199" t="s">
        <v>738</v>
      </c>
      <c r="N256" s="162" t="s">
        <v>127</v>
      </c>
      <c r="O256" s="175"/>
      <c r="P256" s="164">
        <f t="shared" si="13"/>
        <v>42638</v>
      </c>
      <c r="Q256" s="165">
        <f t="shared" si="2"/>
        <v>0</v>
      </c>
      <c r="R256" s="166"/>
      <c r="S256" s="167"/>
      <c r="T256" s="168">
        <f t="shared" si="3"/>
        <v>241193.37</v>
      </c>
      <c r="U256" s="168">
        <f t="shared" si="4"/>
        <v>0</v>
      </c>
      <c r="V256" s="168">
        <f t="shared" si="5"/>
        <v>0</v>
      </c>
      <c r="W256" s="168">
        <f t="shared" si="6"/>
        <v>0</v>
      </c>
      <c r="X256" s="168">
        <f t="shared" si="7"/>
        <v>0</v>
      </c>
      <c r="Y256" s="168">
        <f t="shared" si="8"/>
        <v>0</v>
      </c>
      <c r="Z256" s="168">
        <f t="shared" si="9"/>
        <v>0</v>
      </c>
    </row>
    <row r="257" ht="14.25" customHeight="1">
      <c r="A257" s="157">
        <v>493.0</v>
      </c>
      <c r="B257" s="169" t="s">
        <v>692</v>
      </c>
      <c r="C257" s="169" t="s">
        <v>737</v>
      </c>
      <c r="D257" s="159">
        <v>42644.0</v>
      </c>
      <c r="E257" s="157" t="s">
        <v>8</v>
      </c>
      <c r="F257" s="160">
        <v>1343578.4</v>
      </c>
      <c r="G257" s="160">
        <v>214972.54</v>
      </c>
      <c r="H257" s="172">
        <f t="shared" si="23"/>
        <v>1558550.94</v>
      </c>
      <c r="I257" s="173"/>
      <c r="J257" s="170"/>
      <c r="K257" s="173"/>
      <c r="L257" s="173">
        <f>+'FACP$'!$H257-'FACP$'!$I257-'FACP$'!$K257</f>
        <v>1558550.94</v>
      </c>
      <c r="M257" s="199" t="s">
        <v>754</v>
      </c>
      <c r="N257" s="162" t="s">
        <v>554</v>
      </c>
      <c r="O257" s="175">
        <v>42674.0</v>
      </c>
      <c r="P257" s="164">
        <f t="shared" si="13"/>
        <v>42654</v>
      </c>
      <c r="Q257" s="165">
        <f t="shared" si="2"/>
        <v>0</v>
      </c>
      <c r="R257" s="166"/>
      <c r="S257" s="167"/>
      <c r="T257" s="168">
        <f t="shared" si="3"/>
        <v>1558550.94</v>
      </c>
      <c r="U257" s="168">
        <f t="shared" si="4"/>
        <v>0</v>
      </c>
      <c r="V257" s="168">
        <f t="shared" si="5"/>
        <v>0</v>
      </c>
      <c r="W257" s="168">
        <f t="shared" si="6"/>
        <v>0</v>
      </c>
      <c r="X257" s="168">
        <f t="shared" si="7"/>
        <v>0</v>
      </c>
      <c r="Y257" s="168">
        <f t="shared" si="8"/>
        <v>0</v>
      </c>
      <c r="Z257" s="168">
        <f t="shared" si="9"/>
        <v>0</v>
      </c>
    </row>
    <row r="258" ht="14.25" customHeight="1">
      <c r="A258" s="157">
        <v>494.0</v>
      </c>
      <c r="B258" s="169" t="s">
        <v>692</v>
      </c>
      <c r="C258" s="169" t="s">
        <v>737</v>
      </c>
      <c r="D258" s="159">
        <v>42644.0</v>
      </c>
      <c r="E258" s="157" t="s">
        <v>8</v>
      </c>
      <c r="F258" s="160">
        <v>5706518.7</v>
      </c>
      <c r="G258" s="160">
        <v>913042.99</v>
      </c>
      <c r="H258" s="172">
        <f t="shared" si="23"/>
        <v>6619561.69</v>
      </c>
      <c r="I258" s="173"/>
      <c r="J258" s="170"/>
      <c r="K258" s="173"/>
      <c r="L258" s="173">
        <f>+'FACP$'!$H258-'FACP$'!$I258-'FACP$'!$K258</f>
        <v>6619561.69</v>
      </c>
      <c r="M258" s="199" t="s">
        <v>752</v>
      </c>
      <c r="N258" s="162" t="s">
        <v>554</v>
      </c>
      <c r="O258" s="175">
        <v>42674.0</v>
      </c>
      <c r="P258" s="164">
        <f t="shared" si="13"/>
        <v>42654</v>
      </c>
      <c r="Q258" s="165">
        <f t="shared" si="2"/>
        <v>0</v>
      </c>
      <c r="R258" s="166"/>
      <c r="S258" s="167"/>
      <c r="T258" s="168">
        <f t="shared" si="3"/>
        <v>6619561.69</v>
      </c>
      <c r="U258" s="168">
        <f t="shared" si="4"/>
        <v>0</v>
      </c>
      <c r="V258" s="168">
        <f t="shared" si="5"/>
        <v>0</v>
      </c>
      <c r="W258" s="168">
        <f t="shared" si="6"/>
        <v>0</v>
      </c>
      <c r="X258" s="168">
        <f t="shared" si="7"/>
        <v>0</v>
      </c>
      <c r="Y258" s="168">
        <f t="shared" si="8"/>
        <v>0</v>
      </c>
      <c r="Z258" s="168">
        <f t="shared" si="9"/>
        <v>0</v>
      </c>
    </row>
    <row r="259" ht="14.25" customHeight="1">
      <c r="A259" s="157">
        <v>495.0</v>
      </c>
      <c r="B259" s="170" t="s">
        <v>722</v>
      </c>
      <c r="C259" s="169" t="s">
        <v>756</v>
      </c>
      <c r="D259" s="159">
        <v>42644.0</v>
      </c>
      <c r="E259" s="157" t="s">
        <v>8</v>
      </c>
      <c r="F259" s="160">
        <v>2691074.52</v>
      </c>
      <c r="G259" s="160">
        <v>430571.92</v>
      </c>
      <c r="H259" s="172">
        <f t="shared" si="23"/>
        <v>3121646.44</v>
      </c>
      <c r="I259" s="173"/>
      <c r="J259" s="170"/>
      <c r="K259" s="173"/>
      <c r="L259" s="173">
        <f>+'FACP$'!$H259-'FACP$'!$I259-'FACP$'!$K259</f>
        <v>3121646.44</v>
      </c>
      <c r="M259" s="199" t="s">
        <v>93</v>
      </c>
      <c r="N259" s="162" t="s">
        <v>554</v>
      </c>
      <c r="O259" s="163">
        <v>43035.0</v>
      </c>
      <c r="P259" s="164">
        <f t="shared" si="13"/>
        <v>42654</v>
      </c>
      <c r="Q259" s="165">
        <f t="shared" si="2"/>
        <v>0</v>
      </c>
      <c r="R259" s="166"/>
      <c r="S259" s="167"/>
      <c r="T259" s="168">
        <f t="shared" si="3"/>
        <v>3121646.44</v>
      </c>
      <c r="U259" s="168">
        <f t="shared" si="4"/>
        <v>0</v>
      </c>
      <c r="V259" s="168">
        <f t="shared" si="5"/>
        <v>0</v>
      </c>
      <c r="W259" s="168">
        <f t="shared" si="6"/>
        <v>0</v>
      </c>
      <c r="X259" s="168">
        <f t="shared" si="7"/>
        <v>0</v>
      </c>
      <c r="Y259" s="168">
        <f t="shared" si="8"/>
        <v>0</v>
      </c>
      <c r="Z259" s="168">
        <f t="shared" si="9"/>
        <v>0</v>
      </c>
    </row>
    <row r="260" ht="14.25" customHeight="1">
      <c r="A260" s="157">
        <v>497.0</v>
      </c>
      <c r="B260" s="169" t="s">
        <v>692</v>
      </c>
      <c r="C260" s="169" t="s">
        <v>737</v>
      </c>
      <c r="D260" s="159">
        <v>42628.0</v>
      </c>
      <c r="E260" s="157" t="s">
        <v>8</v>
      </c>
      <c r="F260" s="160">
        <v>206596.19</v>
      </c>
      <c r="G260" s="160">
        <v>33055.39</v>
      </c>
      <c r="H260" s="172">
        <f t="shared" si="23"/>
        <v>239651.58</v>
      </c>
      <c r="I260" s="173"/>
      <c r="J260" s="170"/>
      <c r="K260" s="173"/>
      <c r="L260" s="173">
        <f>+'FACP$'!$H260-'FACP$'!$I260-'FACP$'!$K260</f>
        <v>239651.58</v>
      </c>
      <c r="M260" s="199" t="s">
        <v>758</v>
      </c>
      <c r="N260" s="162" t="s">
        <v>554</v>
      </c>
      <c r="O260" s="175">
        <v>42681.0</v>
      </c>
      <c r="P260" s="164">
        <f t="shared" si="13"/>
        <v>42638</v>
      </c>
      <c r="Q260" s="165">
        <f t="shared" si="2"/>
        <v>0</v>
      </c>
      <c r="R260" s="166"/>
      <c r="S260" s="167"/>
      <c r="T260" s="168">
        <f t="shared" si="3"/>
        <v>239651.58</v>
      </c>
      <c r="U260" s="168">
        <f t="shared" si="4"/>
        <v>0</v>
      </c>
      <c r="V260" s="168">
        <f t="shared" si="5"/>
        <v>0</v>
      </c>
      <c r="W260" s="168">
        <f t="shared" si="6"/>
        <v>0</v>
      </c>
      <c r="X260" s="168">
        <f t="shared" si="7"/>
        <v>0</v>
      </c>
      <c r="Y260" s="168">
        <f t="shared" si="8"/>
        <v>0</v>
      </c>
      <c r="Z260" s="168">
        <f t="shared" si="9"/>
        <v>0</v>
      </c>
    </row>
    <row r="261" ht="14.25" customHeight="1">
      <c r="A261" s="157">
        <v>498.0</v>
      </c>
      <c r="B261" s="169" t="s">
        <v>692</v>
      </c>
      <c r="C261" s="169" t="s">
        <v>737</v>
      </c>
      <c r="D261" s="159">
        <v>42628.0</v>
      </c>
      <c r="E261" s="157" t="s">
        <v>8</v>
      </c>
      <c r="F261" s="160">
        <v>164144.5</v>
      </c>
      <c r="G261" s="160">
        <v>26263.12</v>
      </c>
      <c r="H261" s="172">
        <f t="shared" si="23"/>
        <v>190407.62</v>
      </c>
      <c r="I261" s="173"/>
      <c r="J261" s="170"/>
      <c r="K261" s="173"/>
      <c r="L261" s="173">
        <f>+'FACP$'!$H261-'FACP$'!$I261-'FACP$'!$K261</f>
        <v>190407.62</v>
      </c>
      <c r="M261" s="199" t="s">
        <v>758</v>
      </c>
      <c r="N261" s="162" t="s">
        <v>554</v>
      </c>
      <c r="O261" s="175">
        <v>42681.0</v>
      </c>
      <c r="P261" s="164">
        <f t="shared" si="13"/>
        <v>42638</v>
      </c>
      <c r="Q261" s="165">
        <f t="shared" si="2"/>
        <v>0</v>
      </c>
      <c r="R261" s="166"/>
      <c r="S261" s="167"/>
      <c r="T261" s="168">
        <f t="shared" si="3"/>
        <v>190407.62</v>
      </c>
      <c r="U261" s="168">
        <f t="shared" si="4"/>
        <v>0</v>
      </c>
      <c r="V261" s="168">
        <f t="shared" si="5"/>
        <v>0</v>
      </c>
      <c r="W261" s="168">
        <f t="shared" si="6"/>
        <v>0</v>
      </c>
      <c r="X261" s="168">
        <f t="shared" si="7"/>
        <v>0</v>
      </c>
      <c r="Y261" s="168">
        <f t="shared" si="8"/>
        <v>0</v>
      </c>
      <c r="Z261" s="168">
        <f t="shared" si="9"/>
        <v>0</v>
      </c>
    </row>
    <row r="262" ht="14.25" customHeight="1">
      <c r="A262" s="157">
        <v>499.0</v>
      </c>
      <c r="B262" s="170" t="s">
        <v>37</v>
      </c>
      <c r="C262" s="161" t="s">
        <v>773</v>
      </c>
      <c r="D262" s="159">
        <v>42644.0</v>
      </c>
      <c r="E262" s="157" t="s">
        <v>8</v>
      </c>
      <c r="F262" s="160">
        <v>291266.9</v>
      </c>
      <c r="G262" s="160">
        <v>46602.7</v>
      </c>
      <c r="H262" s="172">
        <f t="shared" si="23"/>
        <v>337869.6</v>
      </c>
      <c r="I262" s="173"/>
      <c r="J262" s="170"/>
      <c r="K262" s="173"/>
      <c r="L262" s="173">
        <f>+'FACP$'!$H262-'FACP$'!$I262-'FACP$'!$K262</f>
        <v>337869.6</v>
      </c>
      <c r="M262" s="199" t="s">
        <v>116</v>
      </c>
      <c r="N262" s="162" t="s">
        <v>127</v>
      </c>
      <c r="O262" s="163"/>
      <c r="P262" s="164">
        <f t="shared" si="13"/>
        <v>42654</v>
      </c>
      <c r="Q262" s="165">
        <f t="shared" si="2"/>
        <v>0</v>
      </c>
      <c r="R262" s="166"/>
      <c r="S262" s="167"/>
      <c r="T262" s="168">
        <f t="shared" si="3"/>
        <v>337869.6</v>
      </c>
      <c r="U262" s="168">
        <f t="shared" si="4"/>
        <v>0</v>
      </c>
      <c r="V262" s="168">
        <f t="shared" si="5"/>
        <v>0</v>
      </c>
      <c r="W262" s="168">
        <f t="shared" si="6"/>
        <v>0</v>
      </c>
      <c r="X262" s="168">
        <f t="shared" si="7"/>
        <v>0</v>
      </c>
      <c r="Y262" s="168">
        <f t="shared" si="8"/>
        <v>0</v>
      </c>
      <c r="Z262" s="168">
        <f t="shared" si="9"/>
        <v>0</v>
      </c>
    </row>
    <row r="263" ht="14.25" customHeight="1">
      <c r="A263" s="157">
        <v>502.0</v>
      </c>
      <c r="B263" s="169" t="s">
        <v>692</v>
      </c>
      <c r="C263" s="169" t="s">
        <v>737</v>
      </c>
      <c r="D263" s="159">
        <v>42658.0</v>
      </c>
      <c r="E263" s="157" t="s">
        <v>8</v>
      </c>
      <c r="F263" s="160">
        <v>1689883.47</v>
      </c>
      <c r="G263" s="160">
        <v>270381.36</v>
      </c>
      <c r="H263" s="172">
        <f t="shared" si="23"/>
        <v>1960264.83</v>
      </c>
      <c r="I263" s="173"/>
      <c r="J263" s="170"/>
      <c r="K263" s="173"/>
      <c r="L263" s="173">
        <f>+'FACP$'!$H263-'FACP$'!$I263-'FACP$'!$K263</f>
        <v>1960264.83</v>
      </c>
      <c r="M263" s="199" t="s">
        <v>754</v>
      </c>
      <c r="N263" s="162" t="s">
        <v>554</v>
      </c>
      <c r="O263" s="175">
        <v>42696.0</v>
      </c>
      <c r="P263" s="164">
        <f t="shared" si="13"/>
        <v>42668</v>
      </c>
      <c r="Q263" s="165">
        <f t="shared" si="2"/>
        <v>0</v>
      </c>
      <c r="R263" s="166"/>
      <c r="S263" s="167"/>
      <c r="T263" s="168">
        <f t="shared" si="3"/>
        <v>1960264.83</v>
      </c>
      <c r="U263" s="168">
        <f t="shared" si="4"/>
        <v>0</v>
      </c>
      <c r="V263" s="168">
        <f t="shared" si="5"/>
        <v>0</v>
      </c>
      <c r="W263" s="168">
        <f t="shared" si="6"/>
        <v>0</v>
      </c>
      <c r="X263" s="168">
        <f t="shared" si="7"/>
        <v>0</v>
      </c>
      <c r="Y263" s="168">
        <f t="shared" si="8"/>
        <v>0</v>
      </c>
      <c r="Z263" s="168">
        <f t="shared" si="9"/>
        <v>0</v>
      </c>
    </row>
    <row r="264" ht="14.25" customHeight="1">
      <c r="A264" s="157">
        <v>503.0</v>
      </c>
      <c r="B264" s="169" t="s">
        <v>692</v>
      </c>
      <c r="C264" s="169" t="s">
        <v>737</v>
      </c>
      <c r="D264" s="159">
        <v>42658.0</v>
      </c>
      <c r="E264" s="157" t="s">
        <v>8</v>
      </c>
      <c r="F264" s="160">
        <v>6896135.02</v>
      </c>
      <c r="G264" s="160">
        <v>1103381.6</v>
      </c>
      <c r="H264" s="172">
        <f t="shared" si="23"/>
        <v>7999516.62</v>
      </c>
      <c r="I264" s="173"/>
      <c r="J264" s="170"/>
      <c r="K264" s="173"/>
      <c r="L264" s="173">
        <f>+'FACP$'!$H264-'FACP$'!$I264-'FACP$'!$K264</f>
        <v>7999516.62</v>
      </c>
      <c r="M264" s="199" t="s">
        <v>752</v>
      </c>
      <c r="N264" s="162" t="s">
        <v>554</v>
      </c>
      <c r="O264" s="175">
        <v>42696.0</v>
      </c>
      <c r="P264" s="164">
        <f t="shared" si="13"/>
        <v>42668</v>
      </c>
      <c r="Q264" s="165">
        <f t="shared" si="2"/>
        <v>0</v>
      </c>
      <c r="R264" s="166"/>
      <c r="S264" s="167"/>
      <c r="T264" s="168">
        <f t="shared" si="3"/>
        <v>7999516.62</v>
      </c>
      <c r="U264" s="168">
        <f t="shared" si="4"/>
        <v>0</v>
      </c>
      <c r="V264" s="168">
        <f t="shared" si="5"/>
        <v>0</v>
      </c>
      <c r="W264" s="168">
        <f t="shared" si="6"/>
        <v>0</v>
      </c>
      <c r="X264" s="168">
        <f t="shared" si="7"/>
        <v>0</v>
      </c>
      <c r="Y264" s="168">
        <f t="shared" si="8"/>
        <v>0</v>
      </c>
      <c r="Z264" s="168">
        <f t="shared" si="9"/>
        <v>0</v>
      </c>
    </row>
    <row r="265" ht="14.25" customHeight="1">
      <c r="A265" s="157">
        <v>504.0</v>
      </c>
      <c r="B265" s="169" t="s">
        <v>692</v>
      </c>
      <c r="C265" s="169" t="s">
        <v>737</v>
      </c>
      <c r="D265" s="159">
        <v>42658.0</v>
      </c>
      <c r="E265" s="157" t="s">
        <v>8</v>
      </c>
      <c r="F265" s="160">
        <v>782560.0</v>
      </c>
      <c r="G265" s="160">
        <v>125209.6</v>
      </c>
      <c r="H265" s="172">
        <f t="shared" si="23"/>
        <v>907769.6</v>
      </c>
      <c r="I265" s="173"/>
      <c r="J265" s="170"/>
      <c r="K265" s="173"/>
      <c r="L265" s="173">
        <f>+'FACP$'!$H265-'FACP$'!$I265-'FACP$'!$K265</f>
        <v>907769.6</v>
      </c>
      <c r="M265" s="199" t="s">
        <v>758</v>
      </c>
      <c r="N265" s="162" t="s">
        <v>127</v>
      </c>
      <c r="O265" s="175"/>
      <c r="P265" s="164">
        <f t="shared" si="13"/>
        <v>42668</v>
      </c>
      <c r="Q265" s="165">
        <f t="shared" si="2"/>
        <v>0</v>
      </c>
      <c r="R265" s="166"/>
      <c r="S265" s="167"/>
      <c r="T265" s="168">
        <f t="shared" si="3"/>
        <v>907769.6</v>
      </c>
      <c r="U265" s="168">
        <f t="shared" si="4"/>
        <v>0</v>
      </c>
      <c r="V265" s="168">
        <f t="shared" si="5"/>
        <v>0</v>
      </c>
      <c r="W265" s="168">
        <f t="shared" si="6"/>
        <v>0</v>
      </c>
      <c r="X265" s="168">
        <f t="shared" si="7"/>
        <v>0</v>
      </c>
      <c r="Y265" s="168">
        <f t="shared" si="8"/>
        <v>0</v>
      </c>
      <c r="Z265" s="168">
        <f t="shared" si="9"/>
        <v>0</v>
      </c>
    </row>
    <row r="266" ht="14.25" customHeight="1">
      <c r="A266" s="157">
        <v>505.0</v>
      </c>
      <c r="B266" s="169" t="s">
        <v>70</v>
      </c>
      <c r="C266" s="170" t="s">
        <v>759</v>
      </c>
      <c r="D266" s="159">
        <v>42658.0</v>
      </c>
      <c r="E266" s="157" t="s">
        <v>8</v>
      </c>
      <c r="F266" s="160">
        <v>274843.04</v>
      </c>
      <c r="G266" s="160">
        <v>43974.89</v>
      </c>
      <c r="H266" s="172">
        <f t="shared" si="23"/>
        <v>318817.93</v>
      </c>
      <c r="I266" s="172"/>
      <c r="J266" s="169"/>
      <c r="K266" s="172"/>
      <c r="L266" s="172">
        <f>+'FACP$'!$H266-'FACP$'!$I266-'FACP$'!$K266</f>
        <v>318817.93</v>
      </c>
      <c r="M266" s="199" t="s">
        <v>719</v>
      </c>
      <c r="N266" s="162" t="s">
        <v>554</v>
      </c>
      <c r="O266" s="190">
        <v>43055.0</v>
      </c>
      <c r="P266" s="164">
        <f t="shared" si="13"/>
        <v>42668</v>
      </c>
      <c r="Q266" s="165">
        <f t="shared" si="2"/>
        <v>0</v>
      </c>
      <c r="R266" s="166"/>
      <c r="S266" s="167"/>
      <c r="T266" s="168">
        <f t="shared" si="3"/>
        <v>318817.93</v>
      </c>
      <c r="U266" s="168">
        <f t="shared" si="4"/>
        <v>0</v>
      </c>
      <c r="V266" s="168">
        <f t="shared" si="5"/>
        <v>0</v>
      </c>
      <c r="W266" s="168">
        <f t="shared" si="6"/>
        <v>0</v>
      </c>
      <c r="X266" s="168">
        <f t="shared" si="7"/>
        <v>0</v>
      </c>
      <c r="Y266" s="168">
        <f t="shared" si="8"/>
        <v>0</v>
      </c>
      <c r="Z266" s="168">
        <f t="shared" si="9"/>
        <v>0</v>
      </c>
    </row>
    <row r="267" ht="14.25" customHeight="1">
      <c r="A267" s="157">
        <v>507.0</v>
      </c>
      <c r="B267" s="169" t="s">
        <v>70</v>
      </c>
      <c r="C267" s="170" t="s">
        <v>759</v>
      </c>
      <c r="D267" s="159">
        <v>42667.0</v>
      </c>
      <c r="E267" s="157" t="s">
        <v>8</v>
      </c>
      <c r="F267" s="160">
        <v>110692.11</v>
      </c>
      <c r="G267" s="160">
        <v>17710.74</v>
      </c>
      <c r="H267" s="172">
        <v>128402.85</v>
      </c>
      <c r="I267" s="172"/>
      <c r="J267" s="169"/>
      <c r="K267" s="172"/>
      <c r="L267" s="172">
        <f>+'FACP$'!$H267-'FACP$'!$I267-'FACP$'!$K267</f>
        <v>128402.85</v>
      </c>
      <c r="M267" s="199" t="s">
        <v>719</v>
      </c>
      <c r="N267" s="162" t="s">
        <v>554</v>
      </c>
      <c r="O267" s="163">
        <v>42690.0</v>
      </c>
      <c r="P267" s="164">
        <f t="shared" si="13"/>
        <v>42677</v>
      </c>
      <c r="Q267" s="165">
        <f t="shared" si="2"/>
        <v>0</v>
      </c>
      <c r="R267" s="166"/>
      <c r="S267" s="167"/>
      <c r="T267" s="168">
        <f t="shared" si="3"/>
        <v>128402.85</v>
      </c>
      <c r="U267" s="168">
        <f t="shared" si="4"/>
        <v>0</v>
      </c>
      <c r="V267" s="168">
        <f t="shared" si="5"/>
        <v>0</v>
      </c>
      <c r="W267" s="168">
        <f t="shared" si="6"/>
        <v>0</v>
      </c>
      <c r="X267" s="168">
        <f t="shared" si="7"/>
        <v>0</v>
      </c>
      <c r="Y267" s="168">
        <f t="shared" si="8"/>
        <v>0</v>
      </c>
      <c r="Z267" s="168">
        <f t="shared" si="9"/>
        <v>0</v>
      </c>
    </row>
    <row r="268" ht="14.25" customHeight="1">
      <c r="A268" s="157">
        <v>509.0</v>
      </c>
      <c r="B268" s="169" t="s">
        <v>70</v>
      </c>
      <c r="C268" s="170" t="s">
        <v>759</v>
      </c>
      <c r="D268" s="159">
        <v>42672.0</v>
      </c>
      <c r="E268" s="157" t="s">
        <v>8</v>
      </c>
      <c r="F268" s="160">
        <v>74873.16</v>
      </c>
      <c r="G268" s="160">
        <v>11979.71</v>
      </c>
      <c r="H268" s="172">
        <v>86852.87</v>
      </c>
      <c r="I268" s="172"/>
      <c r="J268" s="169"/>
      <c r="K268" s="172"/>
      <c r="L268" s="172">
        <f>+'FACP$'!$H268-'FACP$'!$I268-'FACP$'!$K268</f>
        <v>86852.87</v>
      </c>
      <c r="M268" s="199" t="s">
        <v>719</v>
      </c>
      <c r="N268" s="162" t="s">
        <v>554</v>
      </c>
      <c r="O268" s="163">
        <v>42690.0</v>
      </c>
      <c r="P268" s="164">
        <f t="shared" si="13"/>
        <v>42682</v>
      </c>
      <c r="Q268" s="165">
        <f t="shared" si="2"/>
        <v>0</v>
      </c>
      <c r="R268" s="166"/>
      <c r="S268" s="167"/>
      <c r="T268" s="168">
        <f t="shared" si="3"/>
        <v>86852.87</v>
      </c>
      <c r="U268" s="168">
        <f t="shared" si="4"/>
        <v>0</v>
      </c>
      <c r="V268" s="168">
        <f t="shared" si="5"/>
        <v>0</v>
      </c>
      <c r="W268" s="168">
        <f t="shared" si="6"/>
        <v>0</v>
      </c>
      <c r="X268" s="168">
        <f t="shared" si="7"/>
        <v>0</v>
      </c>
      <c r="Y268" s="168">
        <f t="shared" si="8"/>
        <v>0</v>
      </c>
      <c r="Z268" s="168">
        <f t="shared" si="9"/>
        <v>0</v>
      </c>
    </row>
    <row r="269" ht="14.25" customHeight="1">
      <c r="A269" s="157">
        <v>512.0</v>
      </c>
      <c r="B269" s="170" t="s">
        <v>722</v>
      </c>
      <c r="C269" s="169" t="s">
        <v>756</v>
      </c>
      <c r="D269" s="159">
        <v>42689.0</v>
      </c>
      <c r="E269" s="157" t="s">
        <v>8</v>
      </c>
      <c r="F269" s="160">
        <v>3034240.62</v>
      </c>
      <c r="G269" s="160">
        <v>485478.5</v>
      </c>
      <c r="H269" s="172">
        <v>3519719.12</v>
      </c>
      <c r="I269" s="172"/>
      <c r="J269" s="169"/>
      <c r="K269" s="172"/>
      <c r="L269" s="172">
        <f>+'FACP$'!$H269-'FACP$'!$I269-'FACP$'!$K269</f>
        <v>3519719.12</v>
      </c>
      <c r="M269" s="199" t="s">
        <v>93</v>
      </c>
      <c r="N269" s="162" t="s">
        <v>127</v>
      </c>
      <c r="O269" s="163"/>
      <c r="P269" s="164">
        <f t="shared" si="13"/>
        <v>42699</v>
      </c>
      <c r="Q269" s="165">
        <f t="shared" si="2"/>
        <v>0</v>
      </c>
      <c r="R269" s="166"/>
      <c r="S269" s="167"/>
      <c r="T269" s="168">
        <f t="shared" si="3"/>
        <v>3519719.12</v>
      </c>
      <c r="U269" s="168">
        <f t="shared" si="4"/>
        <v>0</v>
      </c>
      <c r="V269" s="168">
        <f t="shared" si="5"/>
        <v>0</v>
      </c>
      <c r="W269" s="168">
        <f t="shared" si="6"/>
        <v>0</v>
      </c>
      <c r="X269" s="168">
        <f t="shared" si="7"/>
        <v>0</v>
      </c>
      <c r="Y269" s="168">
        <f t="shared" si="8"/>
        <v>0</v>
      </c>
      <c r="Z269" s="168">
        <f t="shared" si="9"/>
        <v>0</v>
      </c>
    </row>
    <row r="270" ht="14.25" customHeight="1">
      <c r="A270" s="157">
        <v>514.0</v>
      </c>
      <c r="B270" s="170" t="s">
        <v>722</v>
      </c>
      <c r="C270" s="169" t="s">
        <v>756</v>
      </c>
      <c r="D270" s="159">
        <v>42689.0</v>
      </c>
      <c r="E270" s="157" t="s">
        <v>8</v>
      </c>
      <c r="F270" s="160">
        <v>800560.46</v>
      </c>
      <c r="G270" s="160">
        <v>128089.67</v>
      </c>
      <c r="H270" s="160">
        <v>928650.13</v>
      </c>
      <c r="I270" s="160"/>
      <c r="J270" s="161"/>
      <c r="K270" s="160"/>
      <c r="L270" s="160">
        <f>+'FACP$'!$H270-'FACP$'!$I270-'FACP$'!$K270</f>
        <v>928650.13</v>
      </c>
      <c r="M270" s="199" t="s">
        <v>93</v>
      </c>
      <c r="N270" s="162" t="s">
        <v>127</v>
      </c>
      <c r="O270" s="163"/>
      <c r="P270" s="164">
        <f t="shared" si="13"/>
        <v>42699</v>
      </c>
      <c r="Q270" s="165">
        <f t="shared" si="2"/>
        <v>0</v>
      </c>
      <c r="R270" s="166"/>
      <c r="S270" s="167"/>
      <c r="T270" s="168">
        <f t="shared" si="3"/>
        <v>928650.13</v>
      </c>
      <c r="U270" s="168">
        <f t="shared" si="4"/>
        <v>0</v>
      </c>
      <c r="V270" s="168">
        <f t="shared" si="5"/>
        <v>0</v>
      </c>
      <c r="W270" s="168">
        <f t="shared" si="6"/>
        <v>0</v>
      </c>
      <c r="X270" s="168">
        <f t="shared" si="7"/>
        <v>0</v>
      </c>
      <c r="Y270" s="168">
        <f t="shared" si="8"/>
        <v>0</v>
      </c>
      <c r="Z270" s="168">
        <f t="shared" si="9"/>
        <v>0</v>
      </c>
    </row>
    <row r="271" ht="14.25" customHeight="1">
      <c r="A271" s="157">
        <v>515.0</v>
      </c>
      <c r="B271" s="170" t="s">
        <v>722</v>
      </c>
      <c r="C271" s="169" t="s">
        <v>756</v>
      </c>
      <c r="D271" s="159">
        <v>42658.0</v>
      </c>
      <c r="E271" s="157" t="s">
        <v>8</v>
      </c>
      <c r="F271" s="160">
        <v>3034240.62</v>
      </c>
      <c r="G271" s="160">
        <v>485478.5</v>
      </c>
      <c r="H271" s="160">
        <v>3519719.12</v>
      </c>
      <c r="I271" s="160"/>
      <c r="J271" s="161"/>
      <c r="K271" s="160"/>
      <c r="L271" s="160">
        <f>+'FACP$'!$H271-'FACP$'!$I271-'FACP$'!$K271</f>
        <v>3519719.12</v>
      </c>
      <c r="M271" s="199" t="s">
        <v>93</v>
      </c>
      <c r="N271" s="162" t="s">
        <v>554</v>
      </c>
      <c r="O271" s="163">
        <v>42684.0</v>
      </c>
      <c r="P271" s="164">
        <f t="shared" si="13"/>
        <v>42668</v>
      </c>
      <c r="Q271" s="165">
        <f t="shared" si="2"/>
        <v>0</v>
      </c>
      <c r="R271" s="166"/>
      <c r="S271" s="167"/>
      <c r="T271" s="168">
        <f t="shared" si="3"/>
        <v>3519719.12</v>
      </c>
      <c r="U271" s="168">
        <f t="shared" si="4"/>
        <v>0</v>
      </c>
      <c r="V271" s="168">
        <f t="shared" si="5"/>
        <v>0</v>
      </c>
      <c r="W271" s="168">
        <f t="shared" si="6"/>
        <v>0</v>
      </c>
      <c r="X271" s="168">
        <f t="shared" si="7"/>
        <v>0</v>
      </c>
      <c r="Y271" s="168">
        <f t="shared" si="8"/>
        <v>0</v>
      </c>
      <c r="Z271" s="168">
        <f t="shared" si="9"/>
        <v>0</v>
      </c>
    </row>
    <row r="272" ht="14.25" customHeight="1">
      <c r="A272" s="157">
        <v>517.0</v>
      </c>
      <c r="B272" s="170" t="s">
        <v>722</v>
      </c>
      <c r="C272" s="169" t="s">
        <v>756</v>
      </c>
      <c r="D272" s="159">
        <v>42658.0</v>
      </c>
      <c r="E272" s="157" t="s">
        <v>8</v>
      </c>
      <c r="F272" s="160">
        <v>800560.46</v>
      </c>
      <c r="G272" s="160">
        <v>128089.67</v>
      </c>
      <c r="H272" s="160">
        <v>928650.13</v>
      </c>
      <c r="I272" s="160"/>
      <c r="J272" s="161"/>
      <c r="K272" s="160"/>
      <c r="L272" s="160">
        <f>+'FACP$'!$H272-'FACP$'!$I272-'FACP$'!$K272</f>
        <v>928650.13</v>
      </c>
      <c r="M272" s="199" t="s">
        <v>93</v>
      </c>
      <c r="N272" s="162" t="s">
        <v>554</v>
      </c>
      <c r="O272" s="163">
        <v>42684.0</v>
      </c>
      <c r="P272" s="164">
        <f t="shared" si="13"/>
        <v>42668</v>
      </c>
      <c r="Q272" s="165">
        <f t="shared" si="2"/>
        <v>0</v>
      </c>
      <c r="R272" s="166"/>
      <c r="S272" s="167"/>
      <c r="T272" s="168">
        <f t="shared" si="3"/>
        <v>928650.13</v>
      </c>
      <c r="U272" s="168">
        <f t="shared" si="4"/>
        <v>0</v>
      </c>
      <c r="V272" s="168">
        <f t="shared" si="5"/>
        <v>0</v>
      </c>
      <c r="W272" s="168">
        <f t="shared" si="6"/>
        <v>0</v>
      </c>
      <c r="X272" s="168">
        <f t="shared" si="7"/>
        <v>0</v>
      </c>
      <c r="Y272" s="168">
        <f t="shared" si="8"/>
        <v>0</v>
      </c>
      <c r="Z272" s="168">
        <f t="shared" si="9"/>
        <v>0</v>
      </c>
    </row>
    <row r="273" ht="14.25" customHeight="1">
      <c r="A273" s="157">
        <v>518.0</v>
      </c>
      <c r="B273" s="169" t="s">
        <v>692</v>
      </c>
      <c r="C273" s="169" t="s">
        <v>737</v>
      </c>
      <c r="D273" s="159">
        <v>42658.0</v>
      </c>
      <c r="E273" s="157" t="s">
        <v>8</v>
      </c>
      <c r="F273" s="160">
        <v>476200.0</v>
      </c>
      <c r="G273" s="160">
        <v>76192.0</v>
      </c>
      <c r="H273" s="160">
        <v>552392.0</v>
      </c>
      <c r="I273" s="160"/>
      <c r="J273" s="161"/>
      <c r="K273" s="160"/>
      <c r="L273" s="160">
        <f>+'FACP$'!$H273-'FACP$'!$I273-'FACP$'!$K273</f>
        <v>552392</v>
      </c>
      <c r="M273" s="199" t="s">
        <v>738</v>
      </c>
      <c r="N273" s="162" t="s">
        <v>554</v>
      </c>
      <c r="O273" s="175">
        <v>43062.0</v>
      </c>
      <c r="P273" s="164">
        <f t="shared" si="13"/>
        <v>42668</v>
      </c>
      <c r="Q273" s="165">
        <f t="shared" si="2"/>
        <v>0</v>
      </c>
      <c r="R273" s="166"/>
      <c r="S273" s="167"/>
      <c r="T273" s="168">
        <f t="shared" si="3"/>
        <v>552392</v>
      </c>
      <c r="U273" s="168">
        <f t="shared" si="4"/>
        <v>0</v>
      </c>
      <c r="V273" s="168">
        <f t="shared" si="5"/>
        <v>0</v>
      </c>
      <c r="W273" s="168">
        <f t="shared" si="6"/>
        <v>0</v>
      </c>
      <c r="X273" s="168">
        <f t="shared" si="7"/>
        <v>0</v>
      </c>
      <c r="Y273" s="168">
        <f t="shared" si="8"/>
        <v>0</v>
      </c>
      <c r="Z273" s="168">
        <f t="shared" si="9"/>
        <v>0</v>
      </c>
    </row>
    <row r="274" ht="14.25" customHeight="1">
      <c r="A274" s="157">
        <v>521.0</v>
      </c>
      <c r="B274" s="170" t="s">
        <v>37</v>
      </c>
      <c r="C274" s="169" t="s">
        <v>756</v>
      </c>
      <c r="D274" s="159">
        <v>42658.0</v>
      </c>
      <c r="E274" s="157" t="s">
        <v>8</v>
      </c>
      <c r="F274" s="160">
        <f>911827.99</f>
        <v>911827.99</v>
      </c>
      <c r="G274" s="160">
        <v>145892.48</v>
      </c>
      <c r="H274" s="160">
        <v>1057720.47</v>
      </c>
      <c r="I274" s="160"/>
      <c r="J274" s="161"/>
      <c r="K274" s="160"/>
      <c r="L274" s="160">
        <f>+'FACP$'!$H274-'FACP$'!$I274-'FACP$'!$K274</f>
        <v>1057720.47</v>
      </c>
      <c r="M274" s="199" t="s">
        <v>116</v>
      </c>
      <c r="N274" s="162" t="s">
        <v>127</v>
      </c>
      <c r="O274" s="163"/>
      <c r="P274" s="164">
        <f t="shared" si="13"/>
        <v>42668</v>
      </c>
      <c r="Q274" s="165">
        <f t="shared" si="2"/>
        <v>0</v>
      </c>
      <c r="R274" s="166"/>
      <c r="S274" s="167"/>
      <c r="T274" s="168">
        <f t="shared" si="3"/>
        <v>1057720.47</v>
      </c>
      <c r="U274" s="168">
        <f t="shared" si="4"/>
        <v>0</v>
      </c>
      <c r="V274" s="168">
        <f t="shared" si="5"/>
        <v>0</v>
      </c>
      <c r="W274" s="168">
        <f t="shared" si="6"/>
        <v>0</v>
      </c>
      <c r="X274" s="168">
        <f t="shared" si="7"/>
        <v>0</v>
      </c>
      <c r="Y274" s="168">
        <f t="shared" si="8"/>
        <v>0</v>
      </c>
      <c r="Z274" s="168">
        <f t="shared" si="9"/>
        <v>0</v>
      </c>
    </row>
    <row r="275" ht="14.25" customHeight="1">
      <c r="A275" s="157">
        <v>523.0</v>
      </c>
      <c r="B275" s="170" t="s">
        <v>722</v>
      </c>
      <c r="C275" s="169" t="s">
        <v>756</v>
      </c>
      <c r="D275" s="159">
        <v>42675.0</v>
      </c>
      <c r="E275" s="157" t="s">
        <v>8</v>
      </c>
      <c r="F275" s="160">
        <v>2490804.77</v>
      </c>
      <c r="G275" s="160">
        <v>398528.76</v>
      </c>
      <c r="H275" s="160">
        <v>2889333.53</v>
      </c>
      <c r="I275" s="160"/>
      <c r="J275" s="161"/>
      <c r="K275" s="160"/>
      <c r="L275" s="160">
        <f>+'FACP$'!$H275-'FACP$'!$I275-'FACP$'!$K275</f>
        <v>2889333.53</v>
      </c>
      <c r="M275" s="199" t="s">
        <v>93</v>
      </c>
      <c r="N275" s="162" t="s">
        <v>554</v>
      </c>
      <c r="O275" s="163">
        <v>42698.0</v>
      </c>
      <c r="P275" s="164">
        <f t="shared" si="13"/>
        <v>42685</v>
      </c>
      <c r="Q275" s="165">
        <f t="shared" si="2"/>
        <v>0</v>
      </c>
      <c r="R275" s="166"/>
      <c r="S275" s="167"/>
      <c r="T275" s="168">
        <f t="shared" si="3"/>
        <v>2889333.53</v>
      </c>
      <c r="U275" s="168">
        <f t="shared" si="4"/>
        <v>0</v>
      </c>
      <c r="V275" s="168">
        <f t="shared" si="5"/>
        <v>0</v>
      </c>
      <c r="W275" s="168">
        <f t="shared" si="6"/>
        <v>0</v>
      </c>
      <c r="X275" s="168">
        <f t="shared" si="7"/>
        <v>0</v>
      </c>
      <c r="Y275" s="168">
        <f t="shared" si="8"/>
        <v>0</v>
      </c>
      <c r="Z275" s="168">
        <f t="shared" si="9"/>
        <v>0</v>
      </c>
    </row>
    <row r="276" ht="14.25" customHeight="1">
      <c r="A276" s="157">
        <v>525.0</v>
      </c>
      <c r="B276" s="169" t="s">
        <v>70</v>
      </c>
      <c r="C276" s="170" t="s">
        <v>759</v>
      </c>
      <c r="D276" s="159">
        <v>42675.0</v>
      </c>
      <c r="E276" s="157" t="s">
        <v>8</v>
      </c>
      <c r="F276" s="160">
        <v>267835.16</v>
      </c>
      <c r="G276" s="160">
        <v>42853.63</v>
      </c>
      <c r="H276" s="160">
        <v>310688.79</v>
      </c>
      <c r="I276" s="160"/>
      <c r="J276" s="161"/>
      <c r="K276" s="160"/>
      <c r="L276" s="160">
        <f>+'FACP$'!$H276-'FACP$'!$I276-'FACP$'!$K276</f>
        <v>310688.79</v>
      </c>
      <c r="M276" s="199" t="s">
        <v>719</v>
      </c>
      <c r="N276" s="162" t="s">
        <v>554</v>
      </c>
      <c r="O276" s="163">
        <v>43089.0</v>
      </c>
      <c r="P276" s="164">
        <f t="shared" si="13"/>
        <v>42685</v>
      </c>
      <c r="Q276" s="165">
        <f t="shared" si="2"/>
        <v>0</v>
      </c>
      <c r="R276" s="203"/>
      <c r="S276" s="167"/>
      <c r="T276" s="168">
        <f t="shared" si="3"/>
        <v>310688.79</v>
      </c>
      <c r="U276" s="168">
        <f t="shared" si="4"/>
        <v>0</v>
      </c>
      <c r="V276" s="168">
        <f t="shared" si="5"/>
        <v>0</v>
      </c>
      <c r="W276" s="168">
        <f t="shared" si="6"/>
        <v>0</v>
      </c>
      <c r="X276" s="168">
        <f t="shared" si="7"/>
        <v>0</v>
      </c>
      <c r="Y276" s="168">
        <f t="shared" si="8"/>
        <v>0</v>
      </c>
      <c r="Z276" s="168">
        <f t="shared" si="9"/>
        <v>0</v>
      </c>
    </row>
    <row r="277" ht="14.25" customHeight="1">
      <c r="A277" s="157">
        <v>527.0</v>
      </c>
      <c r="B277" s="169" t="s">
        <v>692</v>
      </c>
      <c r="C277" s="169" t="s">
        <v>737</v>
      </c>
      <c r="D277" s="159">
        <v>42675.0</v>
      </c>
      <c r="E277" s="157" t="s">
        <v>8</v>
      </c>
      <c r="F277" s="160">
        <v>1361306.72</v>
      </c>
      <c r="G277" s="160">
        <v>217809.08</v>
      </c>
      <c r="H277" s="160">
        <v>1579115.8</v>
      </c>
      <c r="I277" s="160"/>
      <c r="J277" s="161"/>
      <c r="K277" s="160"/>
      <c r="L277" s="160">
        <f>+'FACP$'!$H277-'FACP$'!$I277-'FACP$'!$K277</f>
        <v>1579115.8</v>
      </c>
      <c r="M277" s="199" t="s">
        <v>754</v>
      </c>
      <c r="N277" s="162" t="s">
        <v>554</v>
      </c>
      <c r="O277" s="175">
        <v>43074.0</v>
      </c>
      <c r="P277" s="164">
        <f t="shared" si="13"/>
        <v>42685</v>
      </c>
      <c r="Q277" s="165">
        <f t="shared" si="2"/>
        <v>0</v>
      </c>
      <c r="R277" s="166"/>
      <c r="S277" s="167"/>
      <c r="T277" s="168">
        <f t="shared" si="3"/>
        <v>1579115.8</v>
      </c>
      <c r="U277" s="168">
        <f t="shared" si="4"/>
        <v>0</v>
      </c>
      <c r="V277" s="168">
        <f t="shared" si="5"/>
        <v>0</v>
      </c>
      <c r="W277" s="168">
        <f t="shared" si="6"/>
        <v>0</v>
      </c>
      <c r="X277" s="168">
        <f t="shared" si="7"/>
        <v>0</v>
      </c>
      <c r="Y277" s="168">
        <f t="shared" si="8"/>
        <v>0</v>
      </c>
      <c r="Z277" s="168">
        <f t="shared" si="9"/>
        <v>0</v>
      </c>
    </row>
    <row r="278" ht="14.25" customHeight="1">
      <c r="A278" s="157">
        <v>528.0</v>
      </c>
      <c r="B278" s="169" t="s">
        <v>692</v>
      </c>
      <c r="C278" s="169" t="s">
        <v>737</v>
      </c>
      <c r="D278" s="159">
        <v>42675.0</v>
      </c>
      <c r="E278" s="157" t="s">
        <v>8</v>
      </c>
      <c r="F278" s="160">
        <v>6109231.14</v>
      </c>
      <c r="G278" s="160">
        <v>977476.98</v>
      </c>
      <c r="H278" s="160">
        <v>7086708.12</v>
      </c>
      <c r="I278" s="160"/>
      <c r="J278" s="161"/>
      <c r="K278" s="160"/>
      <c r="L278" s="160">
        <f>+'FACP$'!$H278-'FACP$'!$I278-'FACP$'!$K278</f>
        <v>7086708.12</v>
      </c>
      <c r="M278" s="199" t="s">
        <v>752</v>
      </c>
      <c r="N278" s="162" t="s">
        <v>554</v>
      </c>
      <c r="O278" s="175">
        <v>43074.0</v>
      </c>
      <c r="P278" s="164">
        <f t="shared" si="13"/>
        <v>42685</v>
      </c>
      <c r="Q278" s="165">
        <f t="shared" si="2"/>
        <v>0</v>
      </c>
      <c r="R278" s="166"/>
      <c r="S278" s="167"/>
      <c r="T278" s="168">
        <f t="shared" si="3"/>
        <v>7086708.12</v>
      </c>
      <c r="U278" s="168">
        <f t="shared" si="4"/>
        <v>0</v>
      </c>
      <c r="V278" s="168">
        <f t="shared" si="5"/>
        <v>0</v>
      </c>
      <c r="W278" s="168">
        <f t="shared" si="6"/>
        <v>0</v>
      </c>
      <c r="X278" s="168">
        <f t="shared" si="7"/>
        <v>0</v>
      </c>
      <c r="Y278" s="168">
        <f t="shared" si="8"/>
        <v>0</v>
      </c>
      <c r="Z278" s="168">
        <f t="shared" si="9"/>
        <v>0</v>
      </c>
    </row>
    <row r="279" ht="14.25" customHeight="1">
      <c r="A279" s="157">
        <v>529.0</v>
      </c>
      <c r="B279" s="170" t="s">
        <v>37</v>
      </c>
      <c r="C279" s="169" t="s">
        <v>756</v>
      </c>
      <c r="D279" s="159">
        <v>42644.0</v>
      </c>
      <c r="E279" s="157" t="s">
        <v>8</v>
      </c>
      <c r="F279" s="160">
        <v>291266.9</v>
      </c>
      <c r="G279" s="160">
        <v>46602.7</v>
      </c>
      <c r="H279" s="160">
        <v>337869.6</v>
      </c>
      <c r="I279" s="160"/>
      <c r="J279" s="161"/>
      <c r="K279" s="160"/>
      <c r="L279" s="160">
        <f>+'FACP$'!$H279-'FACP$'!$I279-'FACP$'!$K279</f>
        <v>337869.6</v>
      </c>
      <c r="M279" s="199" t="s">
        <v>116</v>
      </c>
      <c r="N279" s="162" t="s">
        <v>127</v>
      </c>
      <c r="O279" s="163"/>
      <c r="P279" s="164">
        <f t="shared" si="13"/>
        <v>42654</v>
      </c>
      <c r="Q279" s="165">
        <f t="shared" si="2"/>
        <v>0</v>
      </c>
      <c r="R279" s="166"/>
      <c r="S279" s="167"/>
      <c r="T279" s="168">
        <f t="shared" si="3"/>
        <v>337869.6</v>
      </c>
      <c r="U279" s="168">
        <f t="shared" si="4"/>
        <v>0</v>
      </c>
      <c r="V279" s="168">
        <f t="shared" si="5"/>
        <v>0</v>
      </c>
      <c r="W279" s="168">
        <f t="shared" si="6"/>
        <v>0</v>
      </c>
      <c r="X279" s="168">
        <f t="shared" si="7"/>
        <v>0</v>
      </c>
      <c r="Y279" s="168">
        <f t="shared" si="8"/>
        <v>0</v>
      </c>
      <c r="Z279" s="168">
        <f t="shared" si="9"/>
        <v>0</v>
      </c>
    </row>
    <row r="280" ht="14.25" customHeight="1">
      <c r="A280" s="157">
        <v>531.0</v>
      </c>
      <c r="B280" s="170" t="s">
        <v>37</v>
      </c>
      <c r="C280" s="169" t="s">
        <v>756</v>
      </c>
      <c r="D280" s="159">
        <v>42658.0</v>
      </c>
      <c r="E280" s="157" t="s">
        <v>8</v>
      </c>
      <c r="F280" s="160">
        <v>911827.99</v>
      </c>
      <c r="G280" s="160">
        <v>145892.48</v>
      </c>
      <c r="H280" s="160">
        <v>1057720.47</v>
      </c>
      <c r="I280" s="160"/>
      <c r="J280" s="161"/>
      <c r="K280" s="160"/>
      <c r="L280" s="160">
        <f>+'FACP$'!$H280-'FACP$'!$I280-'FACP$'!$K280</f>
        <v>1057720.47</v>
      </c>
      <c r="M280" s="199" t="s">
        <v>116</v>
      </c>
      <c r="N280" s="162" t="s">
        <v>127</v>
      </c>
      <c r="O280" s="163"/>
      <c r="P280" s="164">
        <f t="shared" si="13"/>
        <v>42668</v>
      </c>
      <c r="Q280" s="165">
        <f t="shared" si="2"/>
        <v>0</v>
      </c>
      <c r="R280" s="166"/>
      <c r="S280" s="167"/>
      <c r="T280" s="168">
        <f t="shared" si="3"/>
        <v>1057720.47</v>
      </c>
      <c r="U280" s="168">
        <f t="shared" si="4"/>
        <v>0</v>
      </c>
      <c r="V280" s="168">
        <f t="shared" si="5"/>
        <v>0</v>
      </c>
      <c r="W280" s="168">
        <f t="shared" si="6"/>
        <v>0</v>
      </c>
      <c r="X280" s="168">
        <f t="shared" si="7"/>
        <v>0</v>
      </c>
      <c r="Y280" s="168">
        <f t="shared" si="8"/>
        <v>0</v>
      </c>
      <c r="Z280" s="168">
        <f t="shared" si="9"/>
        <v>0</v>
      </c>
    </row>
    <row r="281" ht="14.25" customHeight="1">
      <c r="A281" s="157">
        <v>535.0</v>
      </c>
      <c r="B281" s="170" t="s">
        <v>37</v>
      </c>
      <c r="C281" s="169" t="s">
        <v>756</v>
      </c>
      <c r="D281" s="159">
        <v>42658.0</v>
      </c>
      <c r="E281" s="157" t="s">
        <v>8</v>
      </c>
      <c r="F281" s="160">
        <v>911827.99</v>
      </c>
      <c r="G281" s="160">
        <v>145892.48</v>
      </c>
      <c r="H281" s="160">
        <v>1057720.47</v>
      </c>
      <c r="I281" s="160"/>
      <c r="J281" s="161"/>
      <c r="K281" s="160"/>
      <c r="L281" s="160">
        <f>+'FACP$'!$H281-'FACP$'!$I281-'FACP$'!$K281</f>
        <v>1057720.47</v>
      </c>
      <c r="M281" s="199" t="s">
        <v>116</v>
      </c>
      <c r="N281" s="162" t="s">
        <v>127</v>
      </c>
      <c r="O281" s="163"/>
      <c r="P281" s="164">
        <f t="shared" si="13"/>
        <v>42668</v>
      </c>
      <c r="Q281" s="165">
        <f t="shared" si="2"/>
        <v>0</v>
      </c>
      <c r="R281" s="166"/>
      <c r="S281" s="167"/>
      <c r="T281" s="168">
        <f t="shared" si="3"/>
        <v>1057720.47</v>
      </c>
      <c r="U281" s="168">
        <f t="shared" si="4"/>
        <v>0</v>
      </c>
      <c r="V281" s="168">
        <f t="shared" si="5"/>
        <v>0</v>
      </c>
      <c r="W281" s="168">
        <f t="shared" si="6"/>
        <v>0</v>
      </c>
      <c r="X281" s="168">
        <f t="shared" si="7"/>
        <v>0</v>
      </c>
      <c r="Y281" s="168">
        <f t="shared" si="8"/>
        <v>0</v>
      </c>
      <c r="Z281" s="168">
        <f t="shared" si="9"/>
        <v>0</v>
      </c>
    </row>
    <row r="282" ht="14.25" customHeight="1">
      <c r="A282" s="157">
        <v>537.0</v>
      </c>
      <c r="B282" s="170" t="s">
        <v>37</v>
      </c>
      <c r="C282" s="169" t="s">
        <v>756</v>
      </c>
      <c r="D282" s="159">
        <v>42644.0</v>
      </c>
      <c r="E282" s="157" t="s">
        <v>8</v>
      </c>
      <c r="F282" s="160">
        <v>291266.9</v>
      </c>
      <c r="G282" s="160">
        <v>46602.7</v>
      </c>
      <c r="H282" s="160">
        <v>337869.6</v>
      </c>
      <c r="I282" s="160"/>
      <c r="J282" s="161"/>
      <c r="K282" s="160"/>
      <c r="L282" s="160">
        <f>+'FACP$'!$H282-'FACP$'!$I282-'FACP$'!$K282</f>
        <v>337869.6</v>
      </c>
      <c r="M282" s="199" t="s">
        <v>116</v>
      </c>
      <c r="N282" s="162" t="s">
        <v>127</v>
      </c>
      <c r="O282" s="163"/>
      <c r="P282" s="164">
        <f t="shared" si="13"/>
        <v>42654</v>
      </c>
      <c r="Q282" s="165">
        <f t="shared" si="2"/>
        <v>0</v>
      </c>
      <c r="R282" s="166"/>
      <c r="S282" s="167"/>
      <c r="T282" s="168">
        <f t="shared" si="3"/>
        <v>337869.6</v>
      </c>
      <c r="U282" s="168">
        <f t="shared" si="4"/>
        <v>0</v>
      </c>
      <c r="V282" s="168">
        <f t="shared" si="5"/>
        <v>0</v>
      </c>
      <c r="W282" s="168">
        <f t="shared" si="6"/>
        <v>0</v>
      </c>
      <c r="X282" s="168">
        <f t="shared" si="7"/>
        <v>0</v>
      </c>
      <c r="Y282" s="168">
        <f t="shared" si="8"/>
        <v>0</v>
      </c>
      <c r="Z282" s="168">
        <f t="shared" si="9"/>
        <v>0</v>
      </c>
    </row>
    <row r="283" ht="14.25" customHeight="1">
      <c r="A283" s="157">
        <v>539.0</v>
      </c>
      <c r="B283" s="170" t="s">
        <v>37</v>
      </c>
      <c r="C283" s="169" t="s">
        <v>756</v>
      </c>
      <c r="D283" s="159">
        <v>42675.0</v>
      </c>
      <c r="E283" s="157" t="s">
        <v>8</v>
      </c>
      <c r="F283" s="160">
        <v>982414.5</v>
      </c>
      <c r="G283" s="160">
        <v>157186.32</v>
      </c>
      <c r="H283" s="160">
        <v>1139600.82</v>
      </c>
      <c r="I283" s="160"/>
      <c r="J283" s="161"/>
      <c r="K283" s="160"/>
      <c r="L283" s="160">
        <f>+'FACP$'!$H283-'FACP$'!$I283-'FACP$'!$K283</f>
        <v>1139600.82</v>
      </c>
      <c r="M283" s="199" t="s">
        <v>116</v>
      </c>
      <c r="N283" s="162" t="s">
        <v>127</v>
      </c>
      <c r="O283" s="163"/>
      <c r="P283" s="164">
        <f t="shared" si="13"/>
        <v>42685</v>
      </c>
      <c r="Q283" s="165">
        <f t="shared" si="2"/>
        <v>0</v>
      </c>
      <c r="R283" s="166"/>
      <c r="S283" s="167"/>
      <c r="T283" s="168">
        <f t="shared" si="3"/>
        <v>1139600.82</v>
      </c>
      <c r="U283" s="168">
        <f t="shared" si="4"/>
        <v>0</v>
      </c>
      <c r="V283" s="168">
        <f t="shared" si="5"/>
        <v>0</v>
      </c>
      <c r="W283" s="168">
        <f t="shared" si="6"/>
        <v>0</v>
      </c>
      <c r="X283" s="168">
        <f t="shared" si="7"/>
        <v>0</v>
      </c>
      <c r="Y283" s="168">
        <f t="shared" si="8"/>
        <v>0</v>
      </c>
      <c r="Z283" s="168">
        <f t="shared" si="9"/>
        <v>0</v>
      </c>
    </row>
    <row r="284" ht="14.25" customHeight="1">
      <c r="A284" s="157">
        <v>541.0</v>
      </c>
      <c r="B284" s="170" t="s">
        <v>37</v>
      </c>
      <c r="C284" s="169" t="s">
        <v>756</v>
      </c>
      <c r="D284" s="159">
        <v>42658.0</v>
      </c>
      <c r="E284" s="157" t="s">
        <v>8</v>
      </c>
      <c r="F284" s="160">
        <v>911827.99</v>
      </c>
      <c r="G284" s="160">
        <v>145892.48</v>
      </c>
      <c r="H284" s="160">
        <v>1057720.47</v>
      </c>
      <c r="I284" s="160"/>
      <c r="J284" s="161"/>
      <c r="K284" s="160"/>
      <c r="L284" s="160">
        <f>+'FACP$'!$H284-'FACP$'!$I284-'FACP$'!$K284</f>
        <v>1057720.47</v>
      </c>
      <c r="M284" s="199" t="s">
        <v>718</v>
      </c>
      <c r="N284" s="162" t="s">
        <v>127</v>
      </c>
      <c r="O284" s="163"/>
      <c r="P284" s="164">
        <f t="shared" si="13"/>
        <v>42668</v>
      </c>
      <c r="Q284" s="165">
        <f t="shared" si="2"/>
        <v>0</v>
      </c>
      <c r="R284" s="166"/>
      <c r="S284" s="167"/>
      <c r="T284" s="168">
        <f t="shared" si="3"/>
        <v>1057720.47</v>
      </c>
      <c r="U284" s="168">
        <f t="shared" si="4"/>
        <v>0</v>
      </c>
      <c r="V284" s="168">
        <f t="shared" si="5"/>
        <v>0</v>
      </c>
      <c r="W284" s="168">
        <f t="shared" si="6"/>
        <v>0</v>
      </c>
      <c r="X284" s="168">
        <f t="shared" si="7"/>
        <v>0</v>
      </c>
      <c r="Y284" s="168">
        <f t="shared" si="8"/>
        <v>0</v>
      </c>
      <c r="Z284" s="168">
        <f t="shared" si="9"/>
        <v>0</v>
      </c>
    </row>
    <row r="285" ht="14.25" customHeight="1">
      <c r="A285" s="157">
        <v>543.0</v>
      </c>
      <c r="B285" s="170" t="s">
        <v>37</v>
      </c>
      <c r="C285" s="169" t="s">
        <v>756</v>
      </c>
      <c r="D285" s="159">
        <v>42644.0</v>
      </c>
      <c r="E285" s="157" t="s">
        <v>8</v>
      </c>
      <c r="F285" s="160">
        <v>291266.9</v>
      </c>
      <c r="G285" s="160">
        <v>46602.7</v>
      </c>
      <c r="H285" s="160">
        <v>337869.6</v>
      </c>
      <c r="I285" s="160"/>
      <c r="J285" s="161"/>
      <c r="K285" s="160"/>
      <c r="L285" s="160">
        <f>+'FACP$'!$H285-'FACP$'!$I285-'FACP$'!$K285</f>
        <v>337869.6</v>
      </c>
      <c r="M285" s="199" t="s">
        <v>116</v>
      </c>
      <c r="N285" s="162" t="s">
        <v>127</v>
      </c>
      <c r="O285" s="163"/>
      <c r="P285" s="164">
        <f t="shared" si="13"/>
        <v>42654</v>
      </c>
      <c r="Q285" s="165">
        <f t="shared" si="2"/>
        <v>0</v>
      </c>
      <c r="R285" s="166"/>
      <c r="S285" s="167"/>
      <c r="T285" s="168">
        <f t="shared" si="3"/>
        <v>337869.6</v>
      </c>
      <c r="U285" s="168">
        <f t="shared" si="4"/>
        <v>0</v>
      </c>
      <c r="V285" s="168">
        <f t="shared" si="5"/>
        <v>0</v>
      </c>
      <c r="W285" s="168">
        <f t="shared" si="6"/>
        <v>0</v>
      </c>
      <c r="X285" s="168">
        <f t="shared" si="7"/>
        <v>0</v>
      </c>
      <c r="Y285" s="168">
        <f t="shared" si="8"/>
        <v>0</v>
      </c>
      <c r="Z285" s="168">
        <f t="shared" si="9"/>
        <v>0</v>
      </c>
    </row>
    <row r="286" ht="14.25" customHeight="1">
      <c r="A286" s="157">
        <v>545.0</v>
      </c>
      <c r="B286" s="170" t="s">
        <v>37</v>
      </c>
      <c r="C286" s="169" t="s">
        <v>756</v>
      </c>
      <c r="D286" s="159">
        <v>42675.0</v>
      </c>
      <c r="E286" s="157" t="s">
        <v>8</v>
      </c>
      <c r="F286" s="160">
        <v>982414.5</v>
      </c>
      <c r="G286" s="160">
        <v>157186.32</v>
      </c>
      <c r="H286" s="160">
        <v>1139600.82</v>
      </c>
      <c r="I286" s="160"/>
      <c r="J286" s="161"/>
      <c r="K286" s="160"/>
      <c r="L286" s="160">
        <f>+'FACP$'!$H286-'FACP$'!$I286-'FACP$'!$K286</f>
        <v>1139600.82</v>
      </c>
      <c r="M286" s="199" t="s">
        <v>116</v>
      </c>
      <c r="N286" s="162" t="s">
        <v>127</v>
      </c>
      <c r="O286" s="163"/>
      <c r="P286" s="164">
        <f t="shared" si="13"/>
        <v>42685</v>
      </c>
      <c r="Q286" s="165">
        <f t="shared" si="2"/>
        <v>0</v>
      </c>
      <c r="R286" s="166"/>
      <c r="S286" s="167"/>
      <c r="T286" s="168">
        <f t="shared" si="3"/>
        <v>1139600.82</v>
      </c>
      <c r="U286" s="168">
        <f t="shared" si="4"/>
        <v>0</v>
      </c>
      <c r="V286" s="168">
        <f t="shared" si="5"/>
        <v>0</v>
      </c>
      <c r="W286" s="168">
        <f t="shared" si="6"/>
        <v>0</v>
      </c>
      <c r="X286" s="168">
        <f t="shared" si="7"/>
        <v>0</v>
      </c>
      <c r="Y286" s="168">
        <f t="shared" si="8"/>
        <v>0</v>
      </c>
      <c r="Z286" s="168">
        <f t="shared" si="9"/>
        <v>0</v>
      </c>
    </row>
    <row r="287" ht="14.25" customHeight="1">
      <c r="A287" s="157">
        <v>547.0</v>
      </c>
      <c r="B287" s="170" t="s">
        <v>37</v>
      </c>
      <c r="C287" s="169" t="s">
        <v>756</v>
      </c>
      <c r="D287" s="159">
        <v>42675.0</v>
      </c>
      <c r="E287" s="157" t="s">
        <v>8</v>
      </c>
      <c r="F287" s="160">
        <v>982414.5</v>
      </c>
      <c r="G287" s="160">
        <v>157186.32</v>
      </c>
      <c r="H287" s="160">
        <v>1139600.82</v>
      </c>
      <c r="I287" s="160"/>
      <c r="J287" s="161"/>
      <c r="K287" s="160"/>
      <c r="L287" s="160">
        <f>+'FACP$'!$H287-'FACP$'!$I287-'FACP$'!$K287</f>
        <v>1139600.82</v>
      </c>
      <c r="M287" s="199" t="s">
        <v>116</v>
      </c>
      <c r="N287" s="162" t="s">
        <v>554</v>
      </c>
      <c r="O287" s="163">
        <v>43088.0</v>
      </c>
      <c r="P287" s="164">
        <f t="shared" si="13"/>
        <v>42685</v>
      </c>
      <c r="Q287" s="165">
        <f t="shared" si="2"/>
        <v>0</v>
      </c>
      <c r="R287" s="166"/>
      <c r="S287" s="167"/>
      <c r="T287" s="168">
        <f t="shared" si="3"/>
        <v>1139600.82</v>
      </c>
      <c r="U287" s="168">
        <f t="shared" si="4"/>
        <v>0</v>
      </c>
      <c r="V287" s="168">
        <f t="shared" si="5"/>
        <v>0</v>
      </c>
      <c r="W287" s="168">
        <f t="shared" si="6"/>
        <v>0</v>
      </c>
      <c r="X287" s="168">
        <f t="shared" si="7"/>
        <v>0</v>
      </c>
      <c r="Y287" s="168">
        <f t="shared" si="8"/>
        <v>0</v>
      </c>
      <c r="Z287" s="168">
        <f t="shared" si="9"/>
        <v>0</v>
      </c>
    </row>
    <row r="288" ht="14.25" customHeight="1">
      <c r="A288" s="157">
        <v>549.0</v>
      </c>
      <c r="B288" s="170" t="s">
        <v>37</v>
      </c>
      <c r="C288" s="169" t="s">
        <v>756</v>
      </c>
      <c r="D288" s="159">
        <v>42658.0</v>
      </c>
      <c r="E288" s="157" t="s">
        <v>8</v>
      </c>
      <c r="F288" s="160">
        <v>911827.99</v>
      </c>
      <c r="G288" s="160">
        <v>145892.48</v>
      </c>
      <c r="H288" s="160">
        <v>1057720.47</v>
      </c>
      <c r="I288" s="160"/>
      <c r="J288" s="161"/>
      <c r="K288" s="160"/>
      <c r="L288" s="160">
        <f>+'FACP$'!$H288-'FACP$'!$I288-'FACP$'!$K288</f>
        <v>1057720.47</v>
      </c>
      <c r="M288" s="199" t="s">
        <v>116</v>
      </c>
      <c r="N288" s="162" t="s">
        <v>554</v>
      </c>
      <c r="O288" s="163">
        <v>43070.0</v>
      </c>
      <c r="P288" s="164">
        <f t="shared" si="13"/>
        <v>42668</v>
      </c>
      <c r="Q288" s="165">
        <f t="shared" si="2"/>
        <v>0</v>
      </c>
      <c r="R288" s="166"/>
      <c r="S288" s="167"/>
      <c r="T288" s="168">
        <f t="shared" si="3"/>
        <v>1057720.47</v>
      </c>
      <c r="U288" s="168">
        <f t="shared" si="4"/>
        <v>0</v>
      </c>
      <c r="V288" s="168">
        <f t="shared" si="5"/>
        <v>0</v>
      </c>
      <c r="W288" s="168">
        <f t="shared" si="6"/>
        <v>0</v>
      </c>
      <c r="X288" s="168">
        <f t="shared" si="7"/>
        <v>0</v>
      </c>
      <c r="Y288" s="168">
        <f t="shared" si="8"/>
        <v>0</v>
      </c>
      <c r="Z288" s="168">
        <f t="shared" si="9"/>
        <v>0</v>
      </c>
    </row>
    <row r="289" ht="14.25" customHeight="1">
      <c r="A289" s="157">
        <v>551.0</v>
      </c>
      <c r="B289" s="170" t="s">
        <v>37</v>
      </c>
      <c r="C289" s="169" t="s">
        <v>756</v>
      </c>
      <c r="D289" s="159">
        <v>42644.0</v>
      </c>
      <c r="E289" s="157" t="s">
        <v>8</v>
      </c>
      <c r="F289" s="160">
        <v>291266.9</v>
      </c>
      <c r="G289" s="160">
        <v>46602.7</v>
      </c>
      <c r="H289" s="160">
        <v>337869.6</v>
      </c>
      <c r="I289" s="160"/>
      <c r="J289" s="161"/>
      <c r="K289" s="160"/>
      <c r="L289" s="160">
        <f>+'FACP$'!$H289-'FACP$'!$I289-'FACP$'!$K289</f>
        <v>337869.6</v>
      </c>
      <c r="M289" s="199" t="s">
        <v>116</v>
      </c>
      <c r="N289" s="162" t="s">
        <v>554</v>
      </c>
      <c r="O289" s="163">
        <v>43070.0</v>
      </c>
      <c r="P289" s="164">
        <f t="shared" si="13"/>
        <v>42654</v>
      </c>
      <c r="Q289" s="165">
        <f t="shared" si="2"/>
        <v>0</v>
      </c>
      <c r="R289" s="166"/>
      <c r="S289" s="167"/>
      <c r="T289" s="168">
        <f t="shared" si="3"/>
        <v>337869.6</v>
      </c>
      <c r="U289" s="168">
        <f t="shared" si="4"/>
        <v>0</v>
      </c>
      <c r="V289" s="168">
        <f t="shared" si="5"/>
        <v>0</v>
      </c>
      <c r="W289" s="168">
        <f t="shared" si="6"/>
        <v>0</v>
      </c>
      <c r="X289" s="168">
        <f t="shared" si="7"/>
        <v>0</v>
      </c>
      <c r="Y289" s="168">
        <f t="shared" si="8"/>
        <v>0</v>
      </c>
      <c r="Z289" s="168">
        <f t="shared" si="9"/>
        <v>0</v>
      </c>
    </row>
    <row r="290" ht="14.25" customHeight="1">
      <c r="A290" s="157">
        <v>554.0</v>
      </c>
      <c r="B290" s="169" t="s">
        <v>70</v>
      </c>
      <c r="C290" s="170" t="s">
        <v>759</v>
      </c>
      <c r="D290" s="159">
        <v>43054.0</v>
      </c>
      <c r="E290" s="157" t="s">
        <v>8</v>
      </c>
      <c r="F290" s="160">
        <v>429423.26</v>
      </c>
      <c r="G290" s="160">
        <f t="shared" ref="G290:G319" si="24">+F290*0.16</f>
        <v>68707.7216</v>
      </c>
      <c r="H290" s="160">
        <f t="shared" ref="H290:H348" si="25">F290+G290</f>
        <v>498130.9816</v>
      </c>
      <c r="I290" s="160"/>
      <c r="J290" s="161"/>
      <c r="K290" s="160"/>
      <c r="L290" s="160">
        <f>+'FACP$'!$H290-'FACP$'!$I290-'FACP$'!$K290</f>
        <v>498130.9816</v>
      </c>
      <c r="M290" s="199" t="s">
        <v>719</v>
      </c>
      <c r="N290" s="162" t="s">
        <v>127</v>
      </c>
      <c r="O290" s="163"/>
      <c r="P290" s="164">
        <f t="shared" si="13"/>
        <v>43064</v>
      </c>
      <c r="Q290" s="165">
        <f t="shared" si="2"/>
        <v>0</v>
      </c>
      <c r="R290" s="166">
        <v>560.0</v>
      </c>
      <c r="S290" s="167"/>
      <c r="T290" s="168">
        <f t="shared" si="3"/>
        <v>498130.9816</v>
      </c>
      <c r="U290" s="168">
        <f t="shared" si="4"/>
        <v>0</v>
      </c>
      <c r="V290" s="168">
        <f t="shared" si="5"/>
        <v>0</v>
      </c>
      <c r="W290" s="168">
        <f t="shared" si="6"/>
        <v>0</v>
      </c>
      <c r="X290" s="168">
        <f t="shared" si="7"/>
        <v>0</v>
      </c>
      <c r="Y290" s="168">
        <f t="shared" si="8"/>
        <v>0</v>
      </c>
      <c r="Z290" s="168">
        <f t="shared" si="9"/>
        <v>0</v>
      </c>
    </row>
    <row r="291" ht="14.25" customHeight="1">
      <c r="A291" s="157">
        <v>557.0</v>
      </c>
      <c r="B291" s="170" t="s">
        <v>722</v>
      </c>
      <c r="C291" s="169" t="s">
        <v>756</v>
      </c>
      <c r="D291" s="159">
        <v>43054.0</v>
      </c>
      <c r="E291" s="157" t="s">
        <v>8</v>
      </c>
      <c r="F291" s="160">
        <v>2967158.77</v>
      </c>
      <c r="G291" s="160">
        <f t="shared" si="24"/>
        <v>474745.4032</v>
      </c>
      <c r="H291" s="160">
        <f t="shared" si="25"/>
        <v>3441904.173</v>
      </c>
      <c r="I291" s="160"/>
      <c r="J291" s="161"/>
      <c r="K291" s="160"/>
      <c r="L291" s="160">
        <f>+'FACP$'!$H291-'FACP$'!$I291-'FACP$'!$K291</f>
        <v>3441904.173</v>
      </c>
      <c r="M291" s="199" t="s">
        <v>93</v>
      </c>
      <c r="N291" s="162" t="s">
        <v>554</v>
      </c>
      <c r="O291" s="163">
        <v>43077.0</v>
      </c>
      <c r="P291" s="164">
        <f t="shared" si="13"/>
        <v>43064</v>
      </c>
      <c r="Q291" s="165">
        <f t="shared" si="2"/>
        <v>0</v>
      </c>
      <c r="R291" s="166"/>
      <c r="S291" s="167"/>
      <c r="T291" s="168">
        <f t="shared" si="3"/>
        <v>3441904.173</v>
      </c>
      <c r="U291" s="168">
        <f t="shared" si="4"/>
        <v>0</v>
      </c>
      <c r="V291" s="168">
        <f t="shared" si="5"/>
        <v>0</v>
      </c>
      <c r="W291" s="168">
        <f t="shared" si="6"/>
        <v>0</v>
      </c>
      <c r="X291" s="168">
        <f t="shared" si="7"/>
        <v>0</v>
      </c>
      <c r="Y291" s="168">
        <f t="shared" si="8"/>
        <v>0</v>
      </c>
      <c r="Z291" s="168">
        <f t="shared" si="9"/>
        <v>0</v>
      </c>
    </row>
    <row r="292" ht="14.25" customHeight="1">
      <c r="A292" s="157">
        <v>559.0</v>
      </c>
      <c r="B292" s="170" t="s">
        <v>722</v>
      </c>
      <c r="C292" s="169" t="s">
        <v>756</v>
      </c>
      <c r="D292" s="159">
        <v>43054.0</v>
      </c>
      <c r="E292" s="157" t="s">
        <v>8</v>
      </c>
      <c r="F292" s="160">
        <v>778594.98</v>
      </c>
      <c r="G292" s="160">
        <f t="shared" si="24"/>
        <v>124575.1968</v>
      </c>
      <c r="H292" s="160">
        <f t="shared" si="25"/>
        <v>903170.1768</v>
      </c>
      <c r="I292" s="160"/>
      <c r="J292" s="161"/>
      <c r="K292" s="160"/>
      <c r="L292" s="160">
        <f>+'FACP$'!$H292-'FACP$'!$I292-'FACP$'!$K292</f>
        <v>903170.1768</v>
      </c>
      <c r="M292" s="199" t="s">
        <v>93</v>
      </c>
      <c r="N292" s="162" t="s">
        <v>554</v>
      </c>
      <c r="O292" s="163">
        <v>43077.0</v>
      </c>
      <c r="P292" s="164">
        <f t="shared" si="13"/>
        <v>43064</v>
      </c>
      <c r="Q292" s="165">
        <f t="shared" si="2"/>
        <v>0</v>
      </c>
      <c r="R292" s="166"/>
      <c r="S292" s="167"/>
      <c r="T292" s="168">
        <f t="shared" si="3"/>
        <v>903170.1768</v>
      </c>
      <c r="U292" s="168">
        <f t="shared" si="4"/>
        <v>0</v>
      </c>
      <c r="V292" s="168">
        <f t="shared" si="5"/>
        <v>0</v>
      </c>
      <c r="W292" s="168">
        <f t="shared" si="6"/>
        <v>0</v>
      </c>
      <c r="X292" s="168">
        <f t="shared" si="7"/>
        <v>0</v>
      </c>
      <c r="Y292" s="168">
        <f t="shared" si="8"/>
        <v>0</v>
      </c>
      <c r="Z292" s="168">
        <f t="shared" si="9"/>
        <v>0</v>
      </c>
    </row>
    <row r="293" ht="14.25" customHeight="1">
      <c r="A293" s="157">
        <v>560.0</v>
      </c>
      <c r="B293" s="169" t="s">
        <v>70</v>
      </c>
      <c r="C293" s="170" t="s">
        <v>759</v>
      </c>
      <c r="D293" s="159">
        <v>43054.0</v>
      </c>
      <c r="E293" s="157" t="s">
        <v>8</v>
      </c>
      <c r="F293" s="160">
        <v>429423.26</v>
      </c>
      <c r="G293" s="160">
        <f t="shared" si="24"/>
        <v>68707.7216</v>
      </c>
      <c r="H293" s="160">
        <f t="shared" si="25"/>
        <v>498130.9816</v>
      </c>
      <c r="I293" s="160"/>
      <c r="J293" s="161"/>
      <c r="K293" s="160"/>
      <c r="L293" s="160">
        <f>+'FACP$'!$H293-'FACP$'!$I293-'FACP$'!$K293</f>
        <v>498130.9816</v>
      </c>
      <c r="M293" s="199" t="s">
        <v>719</v>
      </c>
      <c r="N293" s="162" t="s">
        <v>554</v>
      </c>
      <c r="O293" s="204">
        <v>43090.0</v>
      </c>
      <c r="P293" s="164">
        <f t="shared" si="13"/>
        <v>43064</v>
      </c>
      <c r="Q293" s="165">
        <f t="shared" si="2"/>
        <v>0</v>
      </c>
      <c r="R293" s="166"/>
      <c r="S293" s="167"/>
      <c r="T293" s="168">
        <f t="shared" si="3"/>
        <v>498130.9816</v>
      </c>
      <c r="U293" s="168">
        <f t="shared" si="4"/>
        <v>0</v>
      </c>
      <c r="V293" s="168">
        <f t="shared" si="5"/>
        <v>0</v>
      </c>
      <c r="W293" s="168">
        <f t="shared" si="6"/>
        <v>0</v>
      </c>
      <c r="X293" s="168">
        <f t="shared" si="7"/>
        <v>0</v>
      </c>
      <c r="Y293" s="168">
        <f t="shared" si="8"/>
        <v>0</v>
      </c>
      <c r="Z293" s="168">
        <f t="shared" si="9"/>
        <v>0</v>
      </c>
    </row>
    <row r="294" ht="14.25" customHeight="1">
      <c r="A294" s="157">
        <v>563.0</v>
      </c>
      <c r="B294" s="170" t="s">
        <v>774</v>
      </c>
      <c r="C294" s="161" t="s">
        <v>775</v>
      </c>
      <c r="D294" s="159">
        <v>43075.0</v>
      </c>
      <c r="E294" s="157" t="s">
        <v>8</v>
      </c>
      <c r="F294" s="160">
        <v>0.86</v>
      </c>
      <c r="G294" s="160">
        <f t="shared" si="24"/>
        <v>0.1376</v>
      </c>
      <c r="H294" s="160">
        <f t="shared" si="25"/>
        <v>0.9976</v>
      </c>
      <c r="I294" s="160"/>
      <c r="J294" s="161"/>
      <c r="K294" s="160"/>
      <c r="L294" s="160">
        <f>+'FACP$'!$H294-'FACP$'!$I294-'FACP$'!$K294</f>
        <v>0.9976</v>
      </c>
      <c r="M294" s="199" t="s">
        <v>776</v>
      </c>
      <c r="N294" s="162" t="s">
        <v>554</v>
      </c>
      <c r="O294" s="163"/>
      <c r="P294" s="164">
        <f t="shared" si="13"/>
        <v>43085</v>
      </c>
      <c r="Q294" s="165">
        <f t="shared" si="2"/>
        <v>0</v>
      </c>
      <c r="R294" s="166"/>
      <c r="S294" s="167"/>
      <c r="T294" s="168">
        <f t="shared" si="3"/>
        <v>0.9976</v>
      </c>
      <c r="U294" s="168">
        <f t="shared" si="4"/>
        <v>0</v>
      </c>
      <c r="V294" s="168">
        <f t="shared" si="5"/>
        <v>0</v>
      </c>
      <c r="W294" s="168">
        <f t="shared" si="6"/>
        <v>0</v>
      </c>
      <c r="X294" s="168">
        <f t="shared" si="7"/>
        <v>0</v>
      </c>
      <c r="Y294" s="168">
        <f t="shared" si="8"/>
        <v>0</v>
      </c>
      <c r="Z294" s="168">
        <f t="shared" si="9"/>
        <v>0</v>
      </c>
    </row>
    <row r="295" ht="14.25" customHeight="1">
      <c r="A295" s="157">
        <v>564.0</v>
      </c>
      <c r="B295" s="170" t="s">
        <v>774</v>
      </c>
      <c r="C295" s="161" t="s">
        <v>775</v>
      </c>
      <c r="D295" s="159">
        <v>43075.0</v>
      </c>
      <c r="E295" s="157" t="s">
        <v>8</v>
      </c>
      <c r="F295" s="160">
        <v>0.86</v>
      </c>
      <c r="G295" s="160">
        <f t="shared" si="24"/>
        <v>0.1376</v>
      </c>
      <c r="H295" s="160">
        <f t="shared" si="25"/>
        <v>0.9976</v>
      </c>
      <c r="I295" s="160"/>
      <c r="J295" s="161"/>
      <c r="K295" s="160"/>
      <c r="L295" s="160">
        <f>+'FACP$'!$H295-'FACP$'!$I295-'FACP$'!$K295</f>
        <v>0.9976</v>
      </c>
      <c r="M295" s="199" t="s">
        <v>776</v>
      </c>
      <c r="N295" s="162" t="s">
        <v>554</v>
      </c>
      <c r="O295" s="163"/>
      <c r="P295" s="164">
        <f t="shared" si="13"/>
        <v>43085</v>
      </c>
      <c r="Q295" s="165">
        <f t="shared" si="2"/>
        <v>0</v>
      </c>
      <c r="R295" s="166"/>
      <c r="S295" s="167"/>
      <c r="T295" s="168">
        <f t="shared" si="3"/>
        <v>0.9976</v>
      </c>
      <c r="U295" s="168">
        <f t="shared" si="4"/>
        <v>0</v>
      </c>
      <c r="V295" s="168">
        <f t="shared" si="5"/>
        <v>0</v>
      </c>
      <c r="W295" s="168">
        <f t="shared" si="6"/>
        <v>0</v>
      </c>
      <c r="X295" s="168">
        <f t="shared" si="7"/>
        <v>0</v>
      </c>
      <c r="Y295" s="168">
        <f t="shared" si="8"/>
        <v>0</v>
      </c>
      <c r="Z295" s="168">
        <f t="shared" si="9"/>
        <v>0</v>
      </c>
    </row>
    <row r="296" ht="14.25" customHeight="1">
      <c r="A296" s="157">
        <v>565.0</v>
      </c>
      <c r="B296" s="170" t="s">
        <v>774</v>
      </c>
      <c r="C296" s="161" t="s">
        <v>775</v>
      </c>
      <c r="D296" s="159">
        <v>43075.0</v>
      </c>
      <c r="E296" s="157" t="s">
        <v>8</v>
      </c>
      <c r="F296" s="160">
        <v>0.86</v>
      </c>
      <c r="G296" s="160">
        <f t="shared" si="24"/>
        <v>0.1376</v>
      </c>
      <c r="H296" s="160">
        <f t="shared" si="25"/>
        <v>0.9976</v>
      </c>
      <c r="I296" s="160"/>
      <c r="J296" s="161"/>
      <c r="K296" s="160"/>
      <c r="L296" s="160">
        <f>+'FACP$'!$H296-'FACP$'!$I296-'FACP$'!$K296</f>
        <v>0.9976</v>
      </c>
      <c r="M296" s="199" t="s">
        <v>776</v>
      </c>
      <c r="N296" s="162" t="s">
        <v>554</v>
      </c>
      <c r="O296" s="163"/>
      <c r="P296" s="164">
        <f t="shared" si="13"/>
        <v>43085</v>
      </c>
      <c r="Q296" s="165">
        <f t="shared" si="2"/>
        <v>0</v>
      </c>
      <c r="R296" s="166"/>
      <c r="S296" s="167"/>
      <c r="T296" s="168">
        <f t="shared" si="3"/>
        <v>0.9976</v>
      </c>
      <c r="U296" s="168">
        <f t="shared" si="4"/>
        <v>0</v>
      </c>
      <c r="V296" s="168">
        <f t="shared" si="5"/>
        <v>0</v>
      </c>
      <c r="W296" s="168">
        <f t="shared" si="6"/>
        <v>0</v>
      </c>
      <c r="X296" s="168">
        <f t="shared" si="7"/>
        <v>0</v>
      </c>
      <c r="Y296" s="168">
        <f t="shared" si="8"/>
        <v>0</v>
      </c>
      <c r="Z296" s="168">
        <f t="shared" si="9"/>
        <v>0</v>
      </c>
    </row>
    <row r="297" ht="15.75" customHeight="1">
      <c r="A297" s="157">
        <v>566.0</v>
      </c>
      <c r="B297" s="170" t="s">
        <v>774</v>
      </c>
      <c r="C297" s="161" t="s">
        <v>775</v>
      </c>
      <c r="D297" s="159">
        <v>43075.0</v>
      </c>
      <c r="E297" s="157" t="s">
        <v>8</v>
      </c>
      <c r="F297" s="160">
        <v>0.86</v>
      </c>
      <c r="G297" s="160">
        <f t="shared" si="24"/>
        <v>0.1376</v>
      </c>
      <c r="H297" s="160">
        <f t="shared" si="25"/>
        <v>0.9976</v>
      </c>
      <c r="I297" s="160"/>
      <c r="J297" s="161"/>
      <c r="K297" s="160"/>
      <c r="L297" s="160">
        <f>+'FACP$'!$H297-'FACP$'!$I297-'FACP$'!$K297</f>
        <v>0.9976</v>
      </c>
      <c r="M297" s="199" t="s">
        <v>776</v>
      </c>
      <c r="N297" s="162" t="s">
        <v>554</v>
      </c>
      <c r="O297" s="163"/>
      <c r="P297" s="164">
        <f t="shared" si="13"/>
        <v>43085</v>
      </c>
      <c r="Q297" s="165">
        <f t="shared" si="2"/>
        <v>0</v>
      </c>
      <c r="R297" s="166"/>
      <c r="S297" s="167"/>
      <c r="T297" s="168">
        <f t="shared" si="3"/>
        <v>0.9976</v>
      </c>
      <c r="U297" s="168">
        <f t="shared" si="4"/>
        <v>0</v>
      </c>
      <c r="V297" s="168">
        <f t="shared" si="5"/>
        <v>0</v>
      </c>
      <c r="W297" s="168">
        <f t="shared" si="6"/>
        <v>0</v>
      </c>
      <c r="X297" s="168">
        <f t="shared" si="7"/>
        <v>0</v>
      </c>
      <c r="Y297" s="168">
        <f t="shared" si="8"/>
        <v>0</v>
      </c>
      <c r="Z297" s="168">
        <f t="shared" si="9"/>
        <v>0</v>
      </c>
    </row>
    <row r="298" ht="14.25" customHeight="1">
      <c r="A298" s="157">
        <v>567.0</v>
      </c>
      <c r="B298" s="169" t="s">
        <v>692</v>
      </c>
      <c r="C298" s="169" t="s">
        <v>737</v>
      </c>
      <c r="D298" s="159">
        <v>43054.0</v>
      </c>
      <c r="E298" s="157" t="s">
        <v>8</v>
      </c>
      <c r="F298" s="160">
        <v>1573347.86</v>
      </c>
      <c r="G298" s="160">
        <f t="shared" si="24"/>
        <v>251735.6576</v>
      </c>
      <c r="H298" s="160">
        <f t="shared" si="25"/>
        <v>1825083.518</v>
      </c>
      <c r="I298" s="160"/>
      <c r="J298" s="161"/>
      <c r="K298" s="160"/>
      <c r="L298" s="160">
        <f>+'FACP$'!$H298-'FACP$'!$I298-'FACP$'!$K298</f>
        <v>1825083.518</v>
      </c>
      <c r="M298" s="199" t="s">
        <v>725</v>
      </c>
      <c r="N298" s="162" t="s">
        <v>554</v>
      </c>
      <c r="O298" s="175">
        <v>43091.0</v>
      </c>
      <c r="P298" s="164">
        <f t="shared" si="13"/>
        <v>43064</v>
      </c>
      <c r="Q298" s="165">
        <f t="shared" si="2"/>
        <v>0</v>
      </c>
      <c r="R298" s="166"/>
      <c r="S298" s="167"/>
      <c r="T298" s="168">
        <f t="shared" si="3"/>
        <v>1825083.518</v>
      </c>
      <c r="U298" s="168">
        <f t="shared" si="4"/>
        <v>0</v>
      </c>
      <c r="V298" s="168">
        <f t="shared" si="5"/>
        <v>0</v>
      </c>
      <c r="W298" s="168">
        <f t="shared" si="6"/>
        <v>0</v>
      </c>
      <c r="X298" s="168">
        <f t="shared" si="7"/>
        <v>0</v>
      </c>
      <c r="Y298" s="168">
        <f t="shared" si="8"/>
        <v>0</v>
      </c>
      <c r="Z298" s="168">
        <f t="shared" si="9"/>
        <v>0</v>
      </c>
    </row>
    <row r="299" ht="14.25" customHeight="1">
      <c r="A299" s="157">
        <v>568.0</v>
      </c>
      <c r="B299" s="169" t="s">
        <v>692</v>
      </c>
      <c r="C299" s="169" t="s">
        <v>737</v>
      </c>
      <c r="D299" s="159">
        <v>43054.0</v>
      </c>
      <c r="E299" s="157" t="s">
        <v>8</v>
      </c>
      <c r="F299" s="160">
        <v>6189539.48</v>
      </c>
      <c r="G299" s="160">
        <f t="shared" si="24"/>
        <v>990326.3168</v>
      </c>
      <c r="H299" s="160">
        <f t="shared" si="25"/>
        <v>7179865.797</v>
      </c>
      <c r="I299" s="160"/>
      <c r="J299" s="161"/>
      <c r="K299" s="160"/>
      <c r="L299" s="160">
        <f>+'FACP$'!$H299-'FACP$'!$I299-'FACP$'!$K299</f>
        <v>7179865.797</v>
      </c>
      <c r="M299" s="199" t="s">
        <v>725</v>
      </c>
      <c r="N299" s="162" t="s">
        <v>554</v>
      </c>
      <c r="O299" s="175">
        <v>43091.0</v>
      </c>
      <c r="P299" s="164">
        <f t="shared" si="13"/>
        <v>43064</v>
      </c>
      <c r="Q299" s="165">
        <f t="shared" si="2"/>
        <v>0</v>
      </c>
      <c r="R299" s="166"/>
      <c r="S299" s="167"/>
      <c r="T299" s="168">
        <f t="shared" si="3"/>
        <v>7179865.797</v>
      </c>
      <c r="U299" s="168">
        <f t="shared" si="4"/>
        <v>0</v>
      </c>
      <c r="V299" s="168">
        <f t="shared" si="5"/>
        <v>0</v>
      </c>
      <c r="W299" s="168">
        <f t="shared" si="6"/>
        <v>0</v>
      </c>
      <c r="X299" s="168">
        <f t="shared" si="7"/>
        <v>0</v>
      </c>
      <c r="Y299" s="168">
        <f t="shared" si="8"/>
        <v>0</v>
      </c>
      <c r="Z299" s="168">
        <f t="shared" si="9"/>
        <v>0</v>
      </c>
    </row>
    <row r="300" ht="14.25" customHeight="1">
      <c r="A300" s="157">
        <v>569.0</v>
      </c>
      <c r="B300" s="170" t="s">
        <v>37</v>
      </c>
      <c r="C300" s="169" t="s">
        <v>756</v>
      </c>
      <c r="D300" s="159">
        <v>43054.0</v>
      </c>
      <c r="E300" s="157" t="s">
        <v>8</v>
      </c>
      <c r="F300" s="160">
        <v>1092101.66</v>
      </c>
      <c r="G300" s="160">
        <f t="shared" si="24"/>
        <v>174736.2656</v>
      </c>
      <c r="H300" s="160">
        <f t="shared" si="25"/>
        <v>1266837.926</v>
      </c>
      <c r="I300" s="160"/>
      <c r="J300" s="161"/>
      <c r="K300" s="160"/>
      <c r="L300" s="160">
        <f>+'FACP$'!$H300-'FACP$'!$I300-'FACP$'!$K300</f>
        <v>1266837.926</v>
      </c>
      <c r="M300" s="199" t="s">
        <v>116</v>
      </c>
      <c r="N300" s="162" t="s">
        <v>554</v>
      </c>
      <c r="O300" s="163">
        <v>43092.0</v>
      </c>
      <c r="P300" s="164">
        <f t="shared" si="13"/>
        <v>43064</v>
      </c>
      <c r="Q300" s="165">
        <f t="shared" si="2"/>
        <v>0</v>
      </c>
      <c r="R300" s="166"/>
      <c r="S300" s="167"/>
      <c r="T300" s="168">
        <f t="shared" si="3"/>
        <v>1266837.926</v>
      </c>
      <c r="U300" s="168">
        <f t="shared" si="4"/>
        <v>0</v>
      </c>
      <c r="V300" s="168">
        <f t="shared" si="5"/>
        <v>0</v>
      </c>
      <c r="W300" s="168">
        <f t="shared" si="6"/>
        <v>0</v>
      </c>
      <c r="X300" s="168">
        <f t="shared" si="7"/>
        <v>0</v>
      </c>
      <c r="Y300" s="168">
        <f t="shared" si="8"/>
        <v>0</v>
      </c>
      <c r="Z300" s="168">
        <f t="shared" si="9"/>
        <v>0</v>
      </c>
    </row>
    <row r="301" ht="14.25" customHeight="1">
      <c r="A301" s="157">
        <v>571.0</v>
      </c>
      <c r="B301" s="170" t="s">
        <v>720</v>
      </c>
      <c r="C301" s="161" t="s">
        <v>755</v>
      </c>
      <c r="D301" s="159">
        <v>43040.0</v>
      </c>
      <c r="E301" s="157" t="s">
        <v>8</v>
      </c>
      <c r="F301" s="160">
        <v>500235.02</v>
      </c>
      <c r="G301" s="160">
        <f t="shared" si="24"/>
        <v>80037.6032</v>
      </c>
      <c r="H301" s="160">
        <f t="shared" si="25"/>
        <v>580272.6232</v>
      </c>
      <c r="I301" s="160"/>
      <c r="J301" s="161"/>
      <c r="K301" s="160"/>
      <c r="L301" s="160">
        <f>+'FACP$'!$H301-'FACP$'!$I301-'FACP$'!$K301</f>
        <v>580272.6232</v>
      </c>
      <c r="M301" s="199" t="s">
        <v>777</v>
      </c>
      <c r="N301" s="162" t="s">
        <v>127</v>
      </c>
      <c r="O301" s="163"/>
      <c r="P301" s="164">
        <f t="shared" si="13"/>
        <v>43050</v>
      </c>
      <c r="Q301" s="165">
        <f t="shared" si="2"/>
        <v>0</v>
      </c>
      <c r="R301" s="166"/>
      <c r="S301" s="167"/>
      <c r="T301" s="168">
        <f t="shared" si="3"/>
        <v>580272.6232</v>
      </c>
      <c r="U301" s="168">
        <f t="shared" si="4"/>
        <v>0</v>
      </c>
      <c r="V301" s="168">
        <f t="shared" si="5"/>
        <v>0</v>
      </c>
      <c r="W301" s="168">
        <f t="shared" si="6"/>
        <v>0</v>
      </c>
      <c r="X301" s="168">
        <f t="shared" si="7"/>
        <v>0</v>
      </c>
      <c r="Y301" s="168">
        <f t="shared" si="8"/>
        <v>0</v>
      </c>
      <c r="Z301" s="168">
        <f t="shared" si="9"/>
        <v>0</v>
      </c>
    </row>
    <row r="302" ht="14.25" customHeight="1">
      <c r="A302" s="157">
        <v>573.0</v>
      </c>
      <c r="B302" s="170" t="s">
        <v>778</v>
      </c>
      <c r="C302" s="161" t="s">
        <v>779</v>
      </c>
      <c r="D302" s="159">
        <v>43082.0</v>
      </c>
      <c r="E302" s="157" t="s">
        <v>8</v>
      </c>
      <c r="F302" s="160">
        <v>1.55E7</v>
      </c>
      <c r="G302" s="160">
        <f t="shared" si="24"/>
        <v>2480000</v>
      </c>
      <c r="H302" s="160">
        <f t="shared" si="25"/>
        <v>17980000</v>
      </c>
      <c r="I302" s="160"/>
      <c r="J302" s="161"/>
      <c r="K302" s="160"/>
      <c r="L302" s="160">
        <f>+'FACP$'!$H302-'FACP$'!$I302-'FACP$'!$K302</f>
        <v>17980000</v>
      </c>
      <c r="M302" s="199" t="s">
        <v>780</v>
      </c>
      <c r="N302" s="162" t="s">
        <v>127</v>
      </c>
      <c r="O302" s="163"/>
      <c r="P302" s="164">
        <f t="shared" si="13"/>
        <v>43092</v>
      </c>
      <c r="Q302" s="165">
        <f t="shared" si="2"/>
        <v>0</v>
      </c>
      <c r="R302" s="166"/>
      <c r="S302" s="167"/>
      <c r="T302" s="168">
        <f t="shared" si="3"/>
        <v>17980000</v>
      </c>
      <c r="U302" s="168">
        <f t="shared" si="4"/>
        <v>0</v>
      </c>
      <c r="V302" s="168">
        <f t="shared" si="5"/>
        <v>0</v>
      </c>
      <c r="W302" s="168">
        <f t="shared" si="6"/>
        <v>0</v>
      </c>
      <c r="X302" s="168">
        <f t="shared" si="7"/>
        <v>0</v>
      </c>
      <c r="Y302" s="168">
        <f t="shared" si="8"/>
        <v>0</v>
      </c>
      <c r="Z302" s="168">
        <f t="shared" si="9"/>
        <v>0</v>
      </c>
    </row>
    <row r="303" ht="14.25" customHeight="1">
      <c r="A303" s="157">
        <v>574.0</v>
      </c>
      <c r="B303" s="170" t="s">
        <v>778</v>
      </c>
      <c r="C303" s="161" t="s">
        <v>779</v>
      </c>
      <c r="D303" s="159">
        <v>43082.0</v>
      </c>
      <c r="E303" s="157" t="s">
        <v>8</v>
      </c>
      <c r="F303" s="160">
        <v>1.55E7</v>
      </c>
      <c r="G303" s="160">
        <f t="shared" si="24"/>
        <v>2480000</v>
      </c>
      <c r="H303" s="160">
        <f t="shared" si="25"/>
        <v>17980000</v>
      </c>
      <c r="I303" s="160"/>
      <c r="J303" s="161"/>
      <c r="K303" s="160"/>
      <c r="L303" s="160">
        <f>+'FACP$'!$H303-'FACP$'!$I303-'FACP$'!$K303</f>
        <v>17980000</v>
      </c>
      <c r="M303" s="199" t="s">
        <v>780</v>
      </c>
      <c r="N303" s="162" t="s">
        <v>127</v>
      </c>
      <c r="O303" s="163"/>
      <c r="P303" s="164">
        <f t="shared" si="13"/>
        <v>43092</v>
      </c>
      <c r="Q303" s="165">
        <f t="shared" si="2"/>
        <v>0</v>
      </c>
      <c r="R303" s="166"/>
      <c r="S303" s="167"/>
      <c r="T303" s="168">
        <f t="shared" si="3"/>
        <v>17980000</v>
      </c>
      <c r="U303" s="168">
        <f t="shared" si="4"/>
        <v>0</v>
      </c>
      <c r="V303" s="168">
        <f t="shared" si="5"/>
        <v>0</v>
      </c>
      <c r="W303" s="168">
        <f t="shared" si="6"/>
        <v>0</v>
      </c>
      <c r="X303" s="168">
        <f t="shared" si="7"/>
        <v>0</v>
      </c>
      <c r="Y303" s="168">
        <f t="shared" si="8"/>
        <v>0</v>
      </c>
      <c r="Z303" s="168">
        <f t="shared" si="9"/>
        <v>0</v>
      </c>
    </row>
    <row r="304" ht="14.25" customHeight="1">
      <c r="A304" s="157">
        <v>575.0</v>
      </c>
      <c r="B304" s="170" t="s">
        <v>778</v>
      </c>
      <c r="C304" s="161" t="s">
        <v>779</v>
      </c>
      <c r="D304" s="159">
        <v>43082.0</v>
      </c>
      <c r="E304" s="157" t="s">
        <v>8</v>
      </c>
      <c r="F304" s="160">
        <v>1.55E7</v>
      </c>
      <c r="G304" s="160">
        <f t="shared" si="24"/>
        <v>2480000</v>
      </c>
      <c r="H304" s="160">
        <f t="shared" si="25"/>
        <v>17980000</v>
      </c>
      <c r="I304" s="160"/>
      <c r="J304" s="161"/>
      <c r="K304" s="160"/>
      <c r="L304" s="160">
        <f>+'FACP$'!$H304-'FACP$'!$I304-'FACP$'!$K304</f>
        <v>17980000</v>
      </c>
      <c r="M304" s="199" t="s">
        <v>780</v>
      </c>
      <c r="N304" s="162" t="s">
        <v>554</v>
      </c>
      <c r="O304" s="163"/>
      <c r="P304" s="164">
        <f t="shared" si="13"/>
        <v>43092</v>
      </c>
      <c r="Q304" s="165">
        <f t="shared" si="2"/>
        <v>0</v>
      </c>
      <c r="R304" s="166"/>
      <c r="S304" s="167"/>
      <c r="T304" s="168">
        <f t="shared" si="3"/>
        <v>17980000</v>
      </c>
      <c r="U304" s="168">
        <f t="shared" si="4"/>
        <v>0</v>
      </c>
      <c r="V304" s="168">
        <f t="shared" si="5"/>
        <v>0</v>
      </c>
      <c r="W304" s="168">
        <f t="shared" si="6"/>
        <v>0</v>
      </c>
      <c r="X304" s="168">
        <f t="shared" si="7"/>
        <v>0</v>
      </c>
      <c r="Y304" s="168">
        <f t="shared" si="8"/>
        <v>0</v>
      </c>
      <c r="Z304" s="168">
        <f t="shared" si="9"/>
        <v>0</v>
      </c>
    </row>
    <row r="305" ht="14.25" customHeight="1">
      <c r="A305" s="157">
        <v>578.0</v>
      </c>
      <c r="B305" s="170" t="s">
        <v>720</v>
      </c>
      <c r="C305" s="161" t="s">
        <v>755</v>
      </c>
      <c r="D305" s="159">
        <v>43040.0</v>
      </c>
      <c r="E305" s="157" t="s">
        <v>8</v>
      </c>
      <c r="F305" s="160">
        <v>500235.02</v>
      </c>
      <c r="G305" s="160">
        <f t="shared" si="24"/>
        <v>80037.6032</v>
      </c>
      <c r="H305" s="160">
        <f t="shared" si="25"/>
        <v>580272.6232</v>
      </c>
      <c r="I305" s="160"/>
      <c r="J305" s="161"/>
      <c r="K305" s="160"/>
      <c r="L305" s="160">
        <f>+'FACP$'!$H305-'FACP$'!$I305-'FACP$'!$K305</f>
        <v>580272.6232</v>
      </c>
      <c r="M305" s="199" t="s">
        <v>777</v>
      </c>
      <c r="N305" s="162" t="s">
        <v>554</v>
      </c>
      <c r="O305" s="163">
        <v>43089.0</v>
      </c>
      <c r="P305" s="164">
        <f t="shared" si="13"/>
        <v>43050</v>
      </c>
      <c r="Q305" s="165">
        <f t="shared" si="2"/>
        <v>0</v>
      </c>
      <c r="R305" s="166"/>
      <c r="S305" s="167"/>
      <c r="T305" s="168">
        <f t="shared" si="3"/>
        <v>580272.6232</v>
      </c>
      <c r="U305" s="168">
        <f t="shared" si="4"/>
        <v>0</v>
      </c>
      <c r="V305" s="168">
        <f t="shared" si="5"/>
        <v>0</v>
      </c>
      <c r="W305" s="168">
        <f t="shared" si="6"/>
        <v>0</v>
      </c>
      <c r="X305" s="168">
        <f t="shared" si="7"/>
        <v>0</v>
      </c>
      <c r="Y305" s="168">
        <f t="shared" si="8"/>
        <v>0</v>
      </c>
      <c r="Z305" s="168">
        <f t="shared" si="9"/>
        <v>0</v>
      </c>
    </row>
    <row r="306" ht="14.25" customHeight="1">
      <c r="A306" s="157">
        <v>580.0</v>
      </c>
      <c r="B306" s="170" t="s">
        <v>722</v>
      </c>
      <c r="C306" s="169" t="s">
        <v>756</v>
      </c>
      <c r="D306" s="159">
        <v>43070.0</v>
      </c>
      <c r="E306" s="157" t="s">
        <v>8</v>
      </c>
      <c r="F306" s="160">
        <v>2512153.84</v>
      </c>
      <c r="G306" s="160">
        <f t="shared" si="24"/>
        <v>401944.6144</v>
      </c>
      <c r="H306" s="160">
        <f t="shared" si="25"/>
        <v>2914098.454</v>
      </c>
      <c r="I306" s="160"/>
      <c r="J306" s="161"/>
      <c r="K306" s="160"/>
      <c r="L306" s="160">
        <f>+'FACP$'!$H306-'FACP$'!$I306-'FACP$'!$K306</f>
        <v>2914098.454</v>
      </c>
      <c r="M306" s="199" t="s">
        <v>93</v>
      </c>
      <c r="N306" s="162" t="s">
        <v>554</v>
      </c>
      <c r="O306" s="163">
        <v>43091.0</v>
      </c>
      <c r="P306" s="164">
        <f t="shared" si="13"/>
        <v>43080</v>
      </c>
      <c r="Q306" s="165">
        <f t="shared" si="2"/>
        <v>0</v>
      </c>
      <c r="R306" s="166"/>
      <c r="S306" s="167"/>
      <c r="T306" s="168">
        <f t="shared" si="3"/>
        <v>2914098.454</v>
      </c>
      <c r="U306" s="168">
        <f t="shared" si="4"/>
        <v>0</v>
      </c>
      <c r="V306" s="168">
        <f t="shared" si="5"/>
        <v>0</v>
      </c>
      <c r="W306" s="168">
        <f t="shared" si="6"/>
        <v>0</v>
      </c>
      <c r="X306" s="168">
        <f t="shared" si="7"/>
        <v>0</v>
      </c>
      <c r="Y306" s="168">
        <f t="shared" si="8"/>
        <v>0</v>
      </c>
      <c r="Z306" s="168">
        <f t="shared" si="9"/>
        <v>0</v>
      </c>
    </row>
    <row r="307" ht="14.25" customHeight="1">
      <c r="A307" s="157">
        <v>582.0</v>
      </c>
      <c r="B307" s="169" t="s">
        <v>70</v>
      </c>
      <c r="C307" s="170" t="s">
        <v>759</v>
      </c>
      <c r="D307" s="159">
        <v>43070.0</v>
      </c>
      <c r="E307" s="157" t="s">
        <v>8</v>
      </c>
      <c r="F307" s="160">
        <v>391996.67</v>
      </c>
      <c r="G307" s="160">
        <f t="shared" si="24"/>
        <v>62719.4672</v>
      </c>
      <c r="H307" s="160">
        <f t="shared" si="25"/>
        <v>454716.1372</v>
      </c>
      <c r="I307" s="160"/>
      <c r="J307" s="161"/>
      <c r="K307" s="160"/>
      <c r="L307" s="160">
        <f>+'FACP$'!$H307-'FACP$'!$I307-'FACP$'!$K307</f>
        <v>454716.1372</v>
      </c>
      <c r="M307" s="199" t="s">
        <v>719</v>
      </c>
      <c r="N307" s="162" t="s">
        <v>554</v>
      </c>
      <c r="O307" s="163">
        <v>43090.0</v>
      </c>
      <c r="P307" s="164">
        <f t="shared" si="13"/>
        <v>43080</v>
      </c>
      <c r="Q307" s="165">
        <f t="shared" si="2"/>
        <v>0</v>
      </c>
      <c r="R307" s="166"/>
      <c r="S307" s="167"/>
      <c r="T307" s="168">
        <f t="shared" si="3"/>
        <v>454716.1372</v>
      </c>
      <c r="U307" s="168">
        <f t="shared" si="4"/>
        <v>0</v>
      </c>
      <c r="V307" s="168">
        <f t="shared" si="5"/>
        <v>0</v>
      </c>
      <c r="W307" s="168">
        <f t="shared" si="6"/>
        <v>0</v>
      </c>
      <c r="X307" s="168">
        <f t="shared" si="7"/>
        <v>0</v>
      </c>
      <c r="Y307" s="168">
        <f t="shared" si="8"/>
        <v>0</v>
      </c>
      <c r="Z307" s="168">
        <f t="shared" si="9"/>
        <v>0</v>
      </c>
    </row>
    <row r="308" ht="14.25" customHeight="1">
      <c r="A308" s="157">
        <v>584.0</v>
      </c>
      <c r="B308" s="169" t="s">
        <v>692</v>
      </c>
      <c r="C308" s="169" t="s">
        <v>737</v>
      </c>
      <c r="D308" s="159">
        <v>43070.0</v>
      </c>
      <c r="E308" s="157" t="s">
        <v>8</v>
      </c>
      <c r="F308" s="160">
        <v>6416541.37</v>
      </c>
      <c r="G308" s="160">
        <f t="shared" si="24"/>
        <v>1026646.619</v>
      </c>
      <c r="H308" s="160">
        <f t="shared" si="25"/>
        <v>7443187.989</v>
      </c>
      <c r="I308" s="160"/>
      <c r="J308" s="161"/>
      <c r="K308" s="160"/>
      <c r="L308" s="160">
        <f>+'FACP$'!$H308-'FACP$'!$I308-'FACP$'!$K308</f>
        <v>7443187.989</v>
      </c>
      <c r="M308" s="199" t="s">
        <v>749</v>
      </c>
      <c r="N308" s="162" t="s">
        <v>554</v>
      </c>
      <c r="O308" s="175">
        <v>43091.0</v>
      </c>
      <c r="P308" s="164">
        <f t="shared" si="13"/>
        <v>43080</v>
      </c>
      <c r="Q308" s="165">
        <f t="shared" si="2"/>
        <v>0</v>
      </c>
      <c r="R308" s="166"/>
      <c r="S308" s="167"/>
      <c r="T308" s="168">
        <f t="shared" si="3"/>
        <v>7443187.989</v>
      </c>
      <c r="U308" s="168">
        <f t="shared" si="4"/>
        <v>0</v>
      </c>
      <c r="V308" s="168">
        <f t="shared" si="5"/>
        <v>0</v>
      </c>
      <c r="W308" s="168">
        <f t="shared" si="6"/>
        <v>0</v>
      </c>
      <c r="X308" s="168">
        <f t="shared" si="7"/>
        <v>0</v>
      </c>
      <c r="Y308" s="168">
        <f t="shared" si="8"/>
        <v>0</v>
      </c>
      <c r="Z308" s="168">
        <f t="shared" si="9"/>
        <v>0</v>
      </c>
    </row>
    <row r="309" ht="14.25" customHeight="1">
      <c r="A309" s="157">
        <v>585.0</v>
      </c>
      <c r="B309" s="169" t="s">
        <v>692</v>
      </c>
      <c r="C309" s="169" t="s">
        <v>737</v>
      </c>
      <c r="D309" s="159">
        <v>43070.0</v>
      </c>
      <c r="E309" s="157" t="s">
        <v>8</v>
      </c>
      <c r="F309" s="160">
        <v>713744.4</v>
      </c>
      <c r="G309" s="160">
        <f t="shared" si="24"/>
        <v>114199.104</v>
      </c>
      <c r="H309" s="160">
        <f t="shared" si="25"/>
        <v>827943.504</v>
      </c>
      <c r="I309" s="160"/>
      <c r="J309" s="161"/>
      <c r="K309" s="160"/>
      <c r="L309" s="160">
        <f>+'FACP$'!$H309-'FACP$'!$I309-'FACP$'!$K309</f>
        <v>827943.504</v>
      </c>
      <c r="M309" s="199" t="s">
        <v>754</v>
      </c>
      <c r="N309" s="162" t="s">
        <v>554</v>
      </c>
      <c r="O309" s="175">
        <v>43091.0</v>
      </c>
      <c r="P309" s="164">
        <f t="shared" si="13"/>
        <v>43080</v>
      </c>
      <c r="Q309" s="165">
        <f t="shared" si="2"/>
        <v>0</v>
      </c>
      <c r="R309" s="166"/>
      <c r="S309" s="167"/>
      <c r="T309" s="168">
        <f t="shared" si="3"/>
        <v>827943.504</v>
      </c>
      <c r="U309" s="168">
        <f t="shared" si="4"/>
        <v>0</v>
      </c>
      <c r="V309" s="168">
        <f t="shared" si="5"/>
        <v>0</v>
      </c>
      <c r="W309" s="168">
        <f t="shared" si="6"/>
        <v>0</v>
      </c>
      <c r="X309" s="168">
        <f t="shared" si="7"/>
        <v>0</v>
      </c>
      <c r="Y309" s="168">
        <f t="shared" si="8"/>
        <v>0</v>
      </c>
      <c r="Z309" s="168">
        <f t="shared" si="9"/>
        <v>0</v>
      </c>
    </row>
    <row r="310" ht="14.25" customHeight="1">
      <c r="A310" s="157">
        <v>586.0</v>
      </c>
      <c r="B310" s="170" t="s">
        <v>720</v>
      </c>
      <c r="C310" s="161" t="s">
        <v>755</v>
      </c>
      <c r="D310" s="159">
        <v>43070.0</v>
      </c>
      <c r="E310" s="157" t="s">
        <v>8</v>
      </c>
      <c r="F310" s="160">
        <v>642584.03</v>
      </c>
      <c r="G310" s="160">
        <f t="shared" si="24"/>
        <v>102813.4448</v>
      </c>
      <c r="H310" s="160">
        <f t="shared" si="25"/>
        <v>745397.4748</v>
      </c>
      <c r="I310" s="160"/>
      <c r="J310" s="161"/>
      <c r="K310" s="160"/>
      <c r="L310" s="160">
        <f>+'FACP$'!$H310-'FACP$'!$I310-'FACP$'!$K310</f>
        <v>745397.4748</v>
      </c>
      <c r="M310" s="199" t="s">
        <v>777</v>
      </c>
      <c r="N310" s="162" t="s">
        <v>554</v>
      </c>
      <c r="O310" s="163">
        <v>43092.0</v>
      </c>
      <c r="P310" s="164">
        <f t="shared" si="13"/>
        <v>43080</v>
      </c>
      <c r="Q310" s="165">
        <f t="shared" si="2"/>
        <v>0</v>
      </c>
      <c r="R310" s="166"/>
      <c r="S310" s="167"/>
      <c r="T310" s="168">
        <f t="shared" si="3"/>
        <v>745397.4748</v>
      </c>
      <c r="U310" s="168">
        <f t="shared" si="4"/>
        <v>0</v>
      </c>
      <c r="V310" s="168">
        <f t="shared" si="5"/>
        <v>0</v>
      </c>
      <c r="W310" s="168">
        <f t="shared" si="6"/>
        <v>0</v>
      </c>
      <c r="X310" s="168">
        <f t="shared" si="7"/>
        <v>0</v>
      </c>
      <c r="Y310" s="168">
        <f t="shared" si="8"/>
        <v>0</v>
      </c>
      <c r="Z310" s="168">
        <f t="shared" si="9"/>
        <v>0</v>
      </c>
    </row>
    <row r="311" ht="14.25" customHeight="1">
      <c r="A311" s="157">
        <v>589.0</v>
      </c>
      <c r="B311" s="170" t="s">
        <v>37</v>
      </c>
      <c r="C311" s="169" t="s">
        <v>756</v>
      </c>
      <c r="D311" s="159">
        <v>43070.0</v>
      </c>
      <c r="E311" s="157" t="s">
        <v>8</v>
      </c>
      <c r="F311" s="160">
        <v>1112549.06</v>
      </c>
      <c r="G311" s="160">
        <f t="shared" si="24"/>
        <v>178007.8496</v>
      </c>
      <c r="H311" s="160">
        <f t="shared" si="25"/>
        <v>1290556.91</v>
      </c>
      <c r="I311" s="160"/>
      <c r="J311" s="161"/>
      <c r="K311" s="160"/>
      <c r="L311" s="160">
        <f>+'FACP$'!$H311-'FACP$'!$I311-'FACP$'!$K311</f>
        <v>1290556.91</v>
      </c>
      <c r="M311" s="199" t="s">
        <v>116</v>
      </c>
      <c r="N311" s="162" t="s">
        <v>554</v>
      </c>
      <c r="O311" s="163">
        <v>42752.0</v>
      </c>
      <c r="P311" s="164">
        <f t="shared" si="13"/>
        <v>43080</v>
      </c>
      <c r="Q311" s="165">
        <f t="shared" si="2"/>
        <v>0</v>
      </c>
      <c r="R311" s="166"/>
      <c r="S311" s="167"/>
      <c r="T311" s="168">
        <f t="shared" si="3"/>
        <v>1290556.91</v>
      </c>
      <c r="U311" s="168">
        <f t="shared" si="4"/>
        <v>0</v>
      </c>
      <c r="V311" s="168">
        <f t="shared" si="5"/>
        <v>0</v>
      </c>
      <c r="W311" s="168">
        <f t="shared" si="6"/>
        <v>0</v>
      </c>
      <c r="X311" s="168">
        <f t="shared" si="7"/>
        <v>0</v>
      </c>
      <c r="Y311" s="168">
        <f t="shared" si="8"/>
        <v>0</v>
      </c>
      <c r="Z311" s="168">
        <f t="shared" si="9"/>
        <v>0</v>
      </c>
    </row>
    <row r="312" ht="14.25" customHeight="1">
      <c r="A312" s="157">
        <v>591.0</v>
      </c>
      <c r="B312" s="170" t="s">
        <v>720</v>
      </c>
      <c r="C312" s="161" t="s">
        <v>755</v>
      </c>
      <c r="D312" s="159">
        <v>43091.0</v>
      </c>
      <c r="E312" s="157" t="s">
        <v>8</v>
      </c>
      <c r="F312" s="160">
        <v>60344.83</v>
      </c>
      <c r="G312" s="160">
        <f t="shared" si="24"/>
        <v>9655.1728</v>
      </c>
      <c r="H312" s="160">
        <f t="shared" si="25"/>
        <v>70000.0028</v>
      </c>
      <c r="I312" s="160"/>
      <c r="J312" s="161"/>
      <c r="K312" s="160"/>
      <c r="L312" s="160">
        <f>+'FACP$'!$H312-'FACP$'!$I312-'FACP$'!$K312</f>
        <v>70000.0028</v>
      </c>
      <c r="M312" s="199" t="s">
        <v>777</v>
      </c>
      <c r="N312" s="162" t="s">
        <v>127</v>
      </c>
      <c r="O312" s="163"/>
      <c r="P312" s="164">
        <f t="shared" si="13"/>
        <v>43101</v>
      </c>
      <c r="Q312" s="165">
        <f t="shared" si="2"/>
        <v>0</v>
      </c>
      <c r="R312" s="166"/>
      <c r="S312" s="167"/>
      <c r="T312" s="168">
        <f t="shared" si="3"/>
        <v>70000.0028</v>
      </c>
      <c r="U312" s="168">
        <f t="shared" si="4"/>
        <v>0</v>
      </c>
      <c r="V312" s="168">
        <f t="shared" si="5"/>
        <v>0</v>
      </c>
      <c r="W312" s="168">
        <f t="shared" si="6"/>
        <v>0</v>
      </c>
      <c r="X312" s="168">
        <f t="shared" si="7"/>
        <v>0</v>
      </c>
      <c r="Y312" s="168">
        <f t="shared" si="8"/>
        <v>0</v>
      </c>
      <c r="Z312" s="168">
        <f t="shared" si="9"/>
        <v>0</v>
      </c>
    </row>
    <row r="313" ht="14.25" customHeight="1">
      <c r="A313" s="157">
        <v>592.0</v>
      </c>
      <c r="B313" s="170" t="s">
        <v>720</v>
      </c>
      <c r="C313" s="161" t="s">
        <v>755</v>
      </c>
      <c r="D313" s="159">
        <v>43091.0</v>
      </c>
      <c r="E313" s="157" t="s">
        <v>8</v>
      </c>
      <c r="F313" s="160">
        <v>60344.83</v>
      </c>
      <c r="G313" s="160">
        <f t="shared" si="24"/>
        <v>9655.1728</v>
      </c>
      <c r="H313" s="160">
        <f t="shared" si="25"/>
        <v>70000.0028</v>
      </c>
      <c r="I313" s="160"/>
      <c r="J313" s="161"/>
      <c r="K313" s="160"/>
      <c r="L313" s="160">
        <f>+'FACP$'!$H313-'FACP$'!$I313-'FACP$'!$K313</f>
        <v>70000.0028</v>
      </c>
      <c r="M313" s="199" t="s">
        <v>777</v>
      </c>
      <c r="N313" s="162" t="s">
        <v>127</v>
      </c>
      <c r="O313" s="163"/>
      <c r="P313" s="164">
        <f t="shared" si="13"/>
        <v>43101</v>
      </c>
      <c r="Q313" s="165">
        <f t="shared" si="2"/>
        <v>0</v>
      </c>
      <c r="R313" s="166"/>
      <c r="S313" s="167"/>
      <c r="T313" s="168">
        <f t="shared" si="3"/>
        <v>70000.0028</v>
      </c>
      <c r="U313" s="168">
        <f t="shared" si="4"/>
        <v>0</v>
      </c>
      <c r="V313" s="168">
        <f t="shared" si="5"/>
        <v>0</v>
      </c>
      <c r="W313" s="168">
        <f t="shared" si="6"/>
        <v>0</v>
      </c>
      <c r="X313" s="168">
        <f t="shared" si="7"/>
        <v>0</v>
      </c>
      <c r="Y313" s="168">
        <f t="shared" si="8"/>
        <v>0</v>
      </c>
      <c r="Z313" s="168">
        <f t="shared" si="9"/>
        <v>0</v>
      </c>
    </row>
    <row r="314" ht="14.25" customHeight="1">
      <c r="A314" s="157">
        <v>593.0</v>
      </c>
      <c r="B314" s="158" t="s">
        <v>82</v>
      </c>
      <c r="C314" s="161" t="s">
        <v>781</v>
      </c>
      <c r="D314" s="159">
        <v>43091.0</v>
      </c>
      <c r="E314" s="157" t="s">
        <v>8</v>
      </c>
      <c r="F314" s="160">
        <v>825551.11</v>
      </c>
      <c r="G314" s="160">
        <f t="shared" si="24"/>
        <v>132088.1776</v>
      </c>
      <c r="H314" s="160">
        <f t="shared" si="25"/>
        <v>957639.2876</v>
      </c>
      <c r="I314" s="160"/>
      <c r="J314" s="161"/>
      <c r="K314" s="160"/>
      <c r="L314" s="160">
        <f>+'FACP$'!$H314-'FACP$'!$I314-'FACP$'!$K314</f>
        <v>957639.2876</v>
      </c>
      <c r="M314" s="199" t="s">
        <v>96</v>
      </c>
      <c r="N314" s="162" t="s">
        <v>554</v>
      </c>
      <c r="O314" s="163"/>
      <c r="P314" s="164">
        <f t="shared" si="13"/>
        <v>43101</v>
      </c>
      <c r="Q314" s="165">
        <f t="shared" si="2"/>
        <v>0</v>
      </c>
      <c r="R314" s="166"/>
      <c r="S314" s="167"/>
      <c r="T314" s="168">
        <f t="shared" si="3"/>
        <v>957639.2876</v>
      </c>
      <c r="U314" s="168">
        <f t="shared" si="4"/>
        <v>0</v>
      </c>
      <c r="V314" s="168">
        <f t="shared" si="5"/>
        <v>0</v>
      </c>
      <c r="W314" s="168">
        <f t="shared" si="6"/>
        <v>0</v>
      </c>
      <c r="X314" s="168">
        <f t="shared" si="7"/>
        <v>0</v>
      </c>
      <c r="Y314" s="168">
        <f t="shared" si="8"/>
        <v>0</v>
      </c>
      <c r="Z314" s="168">
        <f t="shared" si="9"/>
        <v>0</v>
      </c>
    </row>
    <row r="315" ht="14.25" customHeight="1">
      <c r="A315" s="157">
        <v>594.0</v>
      </c>
      <c r="B315" s="158" t="s">
        <v>82</v>
      </c>
      <c r="C315" s="161" t="s">
        <v>781</v>
      </c>
      <c r="D315" s="159">
        <v>43091.0</v>
      </c>
      <c r="E315" s="157" t="s">
        <v>8</v>
      </c>
      <c r="F315" s="160">
        <v>108894.29</v>
      </c>
      <c r="G315" s="160">
        <f t="shared" si="24"/>
        <v>17423.0864</v>
      </c>
      <c r="H315" s="160">
        <f t="shared" si="25"/>
        <v>126317.3764</v>
      </c>
      <c r="I315" s="160"/>
      <c r="J315" s="161"/>
      <c r="K315" s="160"/>
      <c r="L315" s="160">
        <f>+'FACP$'!$H315-'FACP$'!$I315-'FACP$'!$K315</f>
        <v>126317.3764</v>
      </c>
      <c r="M315" s="199" t="s">
        <v>96</v>
      </c>
      <c r="N315" s="162" t="s">
        <v>554</v>
      </c>
      <c r="O315" s="163"/>
      <c r="P315" s="164">
        <f t="shared" si="13"/>
        <v>43101</v>
      </c>
      <c r="Q315" s="165">
        <f t="shared" si="2"/>
        <v>0</v>
      </c>
      <c r="R315" s="166"/>
      <c r="S315" s="167"/>
      <c r="T315" s="168">
        <f t="shared" si="3"/>
        <v>126317.3764</v>
      </c>
      <c r="U315" s="168">
        <f t="shared" si="4"/>
        <v>0</v>
      </c>
      <c r="V315" s="168">
        <f t="shared" si="5"/>
        <v>0</v>
      </c>
      <c r="W315" s="168">
        <f t="shared" si="6"/>
        <v>0</v>
      </c>
      <c r="X315" s="168">
        <f t="shared" si="7"/>
        <v>0</v>
      </c>
      <c r="Y315" s="168">
        <f t="shared" si="8"/>
        <v>0</v>
      </c>
      <c r="Z315" s="168">
        <f t="shared" si="9"/>
        <v>0</v>
      </c>
    </row>
    <row r="316" ht="14.25" customHeight="1">
      <c r="A316" s="157">
        <v>599.0</v>
      </c>
      <c r="B316" s="170" t="s">
        <v>722</v>
      </c>
      <c r="C316" s="169" t="s">
        <v>756</v>
      </c>
      <c r="D316" s="159">
        <v>43084.0</v>
      </c>
      <c r="E316" s="157" t="s">
        <v>8</v>
      </c>
      <c r="F316" s="160">
        <v>3315732.85</v>
      </c>
      <c r="G316" s="160">
        <f t="shared" si="24"/>
        <v>530517.256</v>
      </c>
      <c r="H316" s="160">
        <f t="shared" si="25"/>
        <v>3846250.106</v>
      </c>
      <c r="I316" s="160"/>
      <c r="J316" s="161"/>
      <c r="K316" s="160"/>
      <c r="L316" s="160">
        <f>+'FACP$'!$H316-'FACP$'!$I316-'FACP$'!$K316</f>
        <v>3846250.106</v>
      </c>
      <c r="M316" s="199" t="s">
        <v>93</v>
      </c>
      <c r="N316" s="162" t="s">
        <v>554</v>
      </c>
      <c r="O316" s="163">
        <v>42747.0</v>
      </c>
      <c r="P316" s="164">
        <f t="shared" si="13"/>
        <v>43094</v>
      </c>
      <c r="Q316" s="165">
        <f t="shared" si="2"/>
        <v>0</v>
      </c>
      <c r="R316" s="166"/>
      <c r="S316" s="167"/>
      <c r="T316" s="168">
        <f t="shared" si="3"/>
        <v>3846250.106</v>
      </c>
      <c r="U316" s="168">
        <f t="shared" si="4"/>
        <v>0</v>
      </c>
      <c r="V316" s="168">
        <f t="shared" si="5"/>
        <v>0</v>
      </c>
      <c r="W316" s="168">
        <f t="shared" si="6"/>
        <v>0</v>
      </c>
      <c r="X316" s="168">
        <f t="shared" si="7"/>
        <v>0</v>
      </c>
      <c r="Y316" s="168">
        <f t="shared" si="8"/>
        <v>0</v>
      </c>
      <c r="Z316" s="168">
        <f t="shared" si="9"/>
        <v>0</v>
      </c>
    </row>
    <row r="317" ht="14.25" customHeight="1">
      <c r="A317" s="157">
        <v>601.0</v>
      </c>
      <c r="B317" s="170" t="s">
        <v>722</v>
      </c>
      <c r="C317" s="169" t="s">
        <v>756</v>
      </c>
      <c r="D317" s="159">
        <v>43084.0</v>
      </c>
      <c r="E317" s="157" t="s">
        <v>8</v>
      </c>
      <c r="F317" s="160">
        <v>994678.22</v>
      </c>
      <c r="G317" s="160">
        <f t="shared" si="24"/>
        <v>159148.5152</v>
      </c>
      <c r="H317" s="160">
        <f t="shared" si="25"/>
        <v>1153826.735</v>
      </c>
      <c r="I317" s="160"/>
      <c r="J317" s="161"/>
      <c r="K317" s="160"/>
      <c r="L317" s="160">
        <f>+'FACP$'!$H317-'FACP$'!$I317-'FACP$'!$K317</f>
        <v>1153826.735</v>
      </c>
      <c r="M317" s="199" t="s">
        <v>93</v>
      </c>
      <c r="N317" s="162" t="s">
        <v>554</v>
      </c>
      <c r="O317" s="163">
        <v>42747.0</v>
      </c>
      <c r="P317" s="164">
        <f t="shared" si="13"/>
        <v>43094</v>
      </c>
      <c r="Q317" s="165">
        <f t="shared" si="2"/>
        <v>0</v>
      </c>
      <c r="R317" s="166"/>
      <c r="S317" s="167"/>
      <c r="T317" s="168">
        <f t="shared" si="3"/>
        <v>1153826.735</v>
      </c>
      <c r="U317" s="168">
        <f t="shared" si="4"/>
        <v>0</v>
      </c>
      <c r="V317" s="168">
        <f t="shared" si="5"/>
        <v>0</v>
      </c>
      <c r="W317" s="168">
        <f t="shared" si="6"/>
        <v>0</v>
      </c>
      <c r="X317" s="168">
        <f t="shared" si="7"/>
        <v>0</v>
      </c>
      <c r="Y317" s="168">
        <f t="shared" si="8"/>
        <v>0</v>
      </c>
      <c r="Z317" s="168">
        <f t="shared" si="9"/>
        <v>0</v>
      </c>
    </row>
    <row r="318" ht="14.25" customHeight="1">
      <c r="A318" s="157">
        <v>602.0</v>
      </c>
      <c r="B318" s="169" t="s">
        <v>692</v>
      </c>
      <c r="C318" s="169" t="s">
        <v>737</v>
      </c>
      <c r="D318" s="159">
        <v>43084.0</v>
      </c>
      <c r="E318" s="157" t="s">
        <v>8</v>
      </c>
      <c r="F318" s="160">
        <v>4843619.33</v>
      </c>
      <c r="G318" s="160">
        <f t="shared" si="24"/>
        <v>774979.0928</v>
      </c>
      <c r="H318" s="160">
        <f t="shared" si="25"/>
        <v>5618598.423</v>
      </c>
      <c r="I318" s="160"/>
      <c r="J318" s="161"/>
      <c r="K318" s="160"/>
      <c r="L318" s="160">
        <f>+'FACP$'!$H318-'FACP$'!$I318-'FACP$'!$K318</f>
        <v>5618598.423</v>
      </c>
      <c r="M318" s="199" t="s">
        <v>752</v>
      </c>
      <c r="N318" s="162" t="s">
        <v>554</v>
      </c>
      <c r="O318" s="175"/>
      <c r="P318" s="164">
        <f t="shared" si="13"/>
        <v>43094</v>
      </c>
      <c r="Q318" s="165">
        <f t="shared" si="2"/>
        <v>0</v>
      </c>
      <c r="R318" s="166"/>
      <c r="S318" s="167"/>
      <c r="T318" s="168">
        <f t="shared" si="3"/>
        <v>5618598.423</v>
      </c>
      <c r="U318" s="168">
        <f t="shared" si="4"/>
        <v>0</v>
      </c>
      <c r="V318" s="168">
        <f t="shared" si="5"/>
        <v>0</v>
      </c>
      <c r="W318" s="168">
        <f t="shared" si="6"/>
        <v>0</v>
      </c>
      <c r="X318" s="168">
        <f t="shared" si="7"/>
        <v>0</v>
      </c>
      <c r="Y318" s="168">
        <f t="shared" si="8"/>
        <v>0</v>
      </c>
      <c r="Z318" s="168">
        <f t="shared" si="9"/>
        <v>0</v>
      </c>
    </row>
    <row r="319" ht="14.25" customHeight="1">
      <c r="A319" s="157">
        <v>603.0</v>
      </c>
      <c r="B319" s="170" t="s">
        <v>720</v>
      </c>
      <c r="C319" s="161" t="s">
        <v>755</v>
      </c>
      <c r="D319" s="159">
        <v>43084.0</v>
      </c>
      <c r="E319" s="157" t="s">
        <v>8</v>
      </c>
      <c r="F319" s="160">
        <v>804743.42</v>
      </c>
      <c r="G319" s="160">
        <f t="shared" si="24"/>
        <v>128758.9472</v>
      </c>
      <c r="H319" s="160">
        <f t="shared" si="25"/>
        <v>933502.3672</v>
      </c>
      <c r="I319" s="160"/>
      <c r="J319" s="161"/>
      <c r="K319" s="160"/>
      <c r="L319" s="160">
        <f>+'FACP$'!$H319-'FACP$'!$I319-'FACP$'!$K319</f>
        <v>933502.3672</v>
      </c>
      <c r="M319" s="199" t="s">
        <v>777</v>
      </c>
      <c r="N319" s="162" t="s">
        <v>554</v>
      </c>
      <c r="O319" s="163">
        <v>42738.0</v>
      </c>
      <c r="P319" s="164">
        <f t="shared" si="13"/>
        <v>43094</v>
      </c>
      <c r="Q319" s="165">
        <f t="shared" si="2"/>
        <v>0</v>
      </c>
      <c r="R319" s="166"/>
      <c r="S319" s="167"/>
      <c r="T319" s="168">
        <f t="shared" si="3"/>
        <v>933502.3672</v>
      </c>
      <c r="U319" s="168">
        <f t="shared" si="4"/>
        <v>0</v>
      </c>
      <c r="V319" s="168">
        <f t="shared" si="5"/>
        <v>0</v>
      </c>
      <c r="W319" s="168">
        <f t="shared" si="6"/>
        <v>0</v>
      </c>
      <c r="X319" s="168">
        <f t="shared" si="7"/>
        <v>0</v>
      </c>
      <c r="Y319" s="168">
        <f t="shared" si="8"/>
        <v>0</v>
      </c>
      <c r="Z319" s="168">
        <f t="shared" si="9"/>
        <v>0</v>
      </c>
    </row>
    <row r="320" ht="14.25" customHeight="1">
      <c r="A320" s="157">
        <v>605.0</v>
      </c>
      <c r="B320" s="169" t="s">
        <v>70</v>
      </c>
      <c r="C320" s="170" t="s">
        <v>759</v>
      </c>
      <c r="D320" s="159">
        <v>43084.0</v>
      </c>
      <c r="E320" s="157" t="s">
        <v>8</v>
      </c>
      <c r="F320" s="160">
        <v>296890.83</v>
      </c>
      <c r="G320" s="160">
        <v>47502.53</v>
      </c>
      <c r="H320" s="160">
        <f t="shared" si="25"/>
        <v>344393.36</v>
      </c>
      <c r="I320" s="160"/>
      <c r="J320" s="161"/>
      <c r="K320" s="160"/>
      <c r="L320" s="160">
        <f>+'FACP$'!$H320-'FACP$'!$I320-'FACP$'!$K320</f>
        <v>344393.36</v>
      </c>
      <c r="M320" s="199" t="s">
        <v>719</v>
      </c>
      <c r="N320" s="162" t="s">
        <v>554</v>
      </c>
      <c r="O320" s="163">
        <v>42752.0</v>
      </c>
      <c r="P320" s="164">
        <f t="shared" si="13"/>
        <v>43094</v>
      </c>
      <c r="Q320" s="165">
        <f t="shared" si="2"/>
        <v>0</v>
      </c>
      <c r="R320" s="166"/>
      <c r="S320" s="167"/>
      <c r="T320" s="168">
        <f t="shared" si="3"/>
        <v>344393.36</v>
      </c>
      <c r="U320" s="168">
        <f t="shared" si="4"/>
        <v>0</v>
      </c>
      <c r="V320" s="168">
        <f t="shared" si="5"/>
        <v>0</v>
      </c>
      <c r="W320" s="168">
        <f t="shared" si="6"/>
        <v>0</v>
      </c>
      <c r="X320" s="168">
        <f t="shared" si="7"/>
        <v>0</v>
      </c>
      <c r="Y320" s="168">
        <f t="shared" si="8"/>
        <v>0</v>
      </c>
      <c r="Z320" s="168">
        <f t="shared" si="9"/>
        <v>0</v>
      </c>
    </row>
    <row r="321" ht="14.25" customHeight="1">
      <c r="A321" s="157">
        <v>608.0</v>
      </c>
      <c r="B321" s="169" t="s">
        <v>692</v>
      </c>
      <c r="C321" s="169" t="s">
        <v>737</v>
      </c>
      <c r="D321" s="159">
        <v>43084.0</v>
      </c>
      <c r="E321" s="157" t="s">
        <v>8</v>
      </c>
      <c r="F321" s="160">
        <v>4944664.54</v>
      </c>
      <c r="G321" s="160">
        <f t="shared" ref="G321:G330" si="26">+F321*0.16</f>
        <v>791146.3264</v>
      </c>
      <c r="H321" s="160">
        <f t="shared" si="25"/>
        <v>5735810.866</v>
      </c>
      <c r="I321" s="160"/>
      <c r="J321" s="161"/>
      <c r="K321" s="160"/>
      <c r="L321" s="160">
        <f>+'FACP$'!$H321-'FACP$'!$I321-'FACP$'!$K321</f>
        <v>5735810.866</v>
      </c>
      <c r="M321" s="199" t="s">
        <v>752</v>
      </c>
      <c r="N321" s="162" t="s">
        <v>127</v>
      </c>
      <c r="O321" s="175"/>
      <c r="P321" s="164">
        <f t="shared" si="13"/>
        <v>43094</v>
      </c>
      <c r="Q321" s="165">
        <f t="shared" si="2"/>
        <v>0</v>
      </c>
      <c r="R321" s="166"/>
      <c r="S321" s="167"/>
      <c r="T321" s="168">
        <f t="shared" si="3"/>
        <v>5735810.866</v>
      </c>
      <c r="U321" s="168">
        <f t="shared" si="4"/>
        <v>0</v>
      </c>
      <c r="V321" s="168">
        <f t="shared" si="5"/>
        <v>0</v>
      </c>
      <c r="W321" s="168">
        <f t="shared" si="6"/>
        <v>0</v>
      </c>
      <c r="X321" s="168">
        <f t="shared" si="7"/>
        <v>0</v>
      </c>
      <c r="Y321" s="168">
        <f t="shared" si="8"/>
        <v>0</v>
      </c>
      <c r="Z321" s="168">
        <f t="shared" si="9"/>
        <v>0</v>
      </c>
    </row>
    <row r="322" ht="14.25" customHeight="1">
      <c r="A322" s="157">
        <v>611.0</v>
      </c>
      <c r="B322" s="170" t="s">
        <v>37</v>
      </c>
      <c r="C322" s="169" t="s">
        <v>756</v>
      </c>
      <c r="D322" s="159">
        <v>43070.0</v>
      </c>
      <c r="E322" s="157" t="s">
        <v>8</v>
      </c>
      <c r="F322" s="160">
        <v>1112549.06</v>
      </c>
      <c r="G322" s="160">
        <f t="shared" si="26"/>
        <v>178007.8496</v>
      </c>
      <c r="H322" s="160">
        <f t="shared" si="25"/>
        <v>1290556.91</v>
      </c>
      <c r="I322" s="160"/>
      <c r="J322" s="161"/>
      <c r="K322" s="160"/>
      <c r="L322" s="160">
        <f>+'FACP$'!$H322-'FACP$'!$I322-'FACP$'!$K322</f>
        <v>1290556.91</v>
      </c>
      <c r="M322" s="199" t="s">
        <v>718</v>
      </c>
      <c r="N322" s="162" t="s">
        <v>554</v>
      </c>
      <c r="O322" s="163">
        <v>42752.0</v>
      </c>
      <c r="P322" s="164">
        <f t="shared" si="13"/>
        <v>43080</v>
      </c>
      <c r="Q322" s="165">
        <f t="shared" si="2"/>
        <v>0</v>
      </c>
      <c r="R322" s="166"/>
      <c r="S322" s="167"/>
      <c r="T322" s="168">
        <f t="shared" si="3"/>
        <v>1290556.91</v>
      </c>
      <c r="U322" s="168">
        <f t="shared" si="4"/>
        <v>0</v>
      </c>
      <c r="V322" s="168">
        <f t="shared" si="5"/>
        <v>0</v>
      </c>
      <c r="W322" s="168">
        <f t="shared" si="6"/>
        <v>0</v>
      </c>
      <c r="X322" s="168">
        <f t="shared" si="7"/>
        <v>0</v>
      </c>
      <c r="Y322" s="168">
        <f t="shared" si="8"/>
        <v>0</v>
      </c>
      <c r="Z322" s="168">
        <f t="shared" si="9"/>
        <v>0</v>
      </c>
    </row>
    <row r="323" ht="14.25" customHeight="1">
      <c r="A323" s="157">
        <v>613.0</v>
      </c>
      <c r="B323" s="170" t="s">
        <v>37</v>
      </c>
      <c r="C323" s="169" t="s">
        <v>756</v>
      </c>
      <c r="D323" s="159">
        <v>43084.0</v>
      </c>
      <c r="E323" s="157" t="s">
        <v>8</v>
      </c>
      <c r="F323" s="160">
        <v>1250643.99</v>
      </c>
      <c r="G323" s="160">
        <f t="shared" si="26"/>
        <v>200103.0384</v>
      </c>
      <c r="H323" s="160">
        <f t="shared" si="25"/>
        <v>1450747.028</v>
      </c>
      <c r="I323" s="160"/>
      <c r="J323" s="161"/>
      <c r="K323" s="160"/>
      <c r="L323" s="160">
        <f>+'FACP$'!$H323-'FACP$'!$I323-'FACP$'!$K323</f>
        <v>1450747.028</v>
      </c>
      <c r="M323" s="199" t="s">
        <v>116</v>
      </c>
      <c r="N323" s="162" t="s">
        <v>554</v>
      </c>
      <c r="O323" s="163">
        <v>42830.0</v>
      </c>
      <c r="P323" s="164">
        <f t="shared" si="13"/>
        <v>43094</v>
      </c>
      <c r="Q323" s="165">
        <f t="shared" si="2"/>
        <v>0</v>
      </c>
      <c r="R323" s="166"/>
      <c r="S323" s="167"/>
      <c r="T323" s="168">
        <f t="shared" si="3"/>
        <v>1450747.028</v>
      </c>
      <c r="U323" s="168">
        <f t="shared" si="4"/>
        <v>0</v>
      </c>
      <c r="V323" s="168">
        <f t="shared" si="5"/>
        <v>0</v>
      </c>
      <c r="W323" s="168">
        <f t="shared" si="6"/>
        <v>0</v>
      </c>
      <c r="X323" s="168">
        <f t="shared" si="7"/>
        <v>0</v>
      </c>
      <c r="Y323" s="168">
        <f t="shared" si="8"/>
        <v>0</v>
      </c>
      <c r="Z323" s="168">
        <f t="shared" si="9"/>
        <v>0</v>
      </c>
    </row>
    <row r="324" ht="14.25" customHeight="1">
      <c r="A324" s="157">
        <v>615.0</v>
      </c>
      <c r="B324" s="169" t="s">
        <v>692</v>
      </c>
      <c r="C324" s="169" t="s">
        <v>737</v>
      </c>
      <c r="D324" s="159">
        <v>43084.0</v>
      </c>
      <c r="E324" s="157" t="s">
        <v>8</v>
      </c>
      <c r="F324" s="160">
        <v>5026520.19</v>
      </c>
      <c r="G324" s="160">
        <f t="shared" si="26"/>
        <v>804243.2304</v>
      </c>
      <c r="H324" s="160">
        <f t="shared" si="25"/>
        <v>5830763.42</v>
      </c>
      <c r="I324" s="160"/>
      <c r="J324" s="161"/>
      <c r="K324" s="160"/>
      <c r="L324" s="160">
        <f>+'FACP$'!$H324-'FACP$'!$I324-'FACP$'!$K324</f>
        <v>5830763.42</v>
      </c>
      <c r="M324" s="199" t="s">
        <v>752</v>
      </c>
      <c r="N324" s="162" t="s">
        <v>554</v>
      </c>
      <c r="O324" s="175">
        <v>42747.0</v>
      </c>
      <c r="P324" s="164">
        <f t="shared" si="13"/>
        <v>43094</v>
      </c>
      <c r="Q324" s="165">
        <f t="shared" si="2"/>
        <v>0</v>
      </c>
      <c r="R324" s="166"/>
      <c r="S324" s="167"/>
      <c r="T324" s="168">
        <f t="shared" si="3"/>
        <v>5830763.42</v>
      </c>
      <c r="U324" s="168">
        <f t="shared" si="4"/>
        <v>0</v>
      </c>
      <c r="V324" s="168">
        <f t="shared" si="5"/>
        <v>0</v>
      </c>
      <c r="W324" s="168">
        <f t="shared" si="6"/>
        <v>0</v>
      </c>
      <c r="X324" s="168">
        <f t="shared" si="7"/>
        <v>0</v>
      </c>
      <c r="Y324" s="168">
        <f t="shared" si="8"/>
        <v>0</v>
      </c>
      <c r="Z324" s="168">
        <f t="shared" si="9"/>
        <v>0</v>
      </c>
    </row>
    <row r="325" ht="14.25" customHeight="1">
      <c r="A325" s="157">
        <v>616.0</v>
      </c>
      <c r="B325" s="170" t="s">
        <v>720</v>
      </c>
      <c r="C325" s="161" t="s">
        <v>755</v>
      </c>
      <c r="D325" s="159">
        <v>43084.0</v>
      </c>
      <c r="E325" s="157" t="s">
        <v>8</v>
      </c>
      <c r="F325" s="160">
        <v>804743.42</v>
      </c>
      <c r="G325" s="160">
        <f t="shared" si="26"/>
        <v>128758.9472</v>
      </c>
      <c r="H325" s="160">
        <f t="shared" si="25"/>
        <v>933502.3672</v>
      </c>
      <c r="I325" s="160"/>
      <c r="J325" s="161"/>
      <c r="K325" s="160"/>
      <c r="L325" s="160">
        <f>+'FACP$'!$H325-'FACP$'!$I325-'FACP$'!$K325</f>
        <v>933502.3672</v>
      </c>
      <c r="M325" s="199" t="s">
        <v>777</v>
      </c>
      <c r="N325" s="162" t="s">
        <v>554</v>
      </c>
      <c r="O325" s="163">
        <v>42748.0</v>
      </c>
      <c r="P325" s="164">
        <f t="shared" si="13"/>
        <v>43094</v>
      </c>
      <c r="Q325" s="165">
        <f t="shared" si="2"/>
        <v>0</v>
      </c>
      <c r="R325" s="166"/>
      <c r="S325" s="167"/>
      <c r="T325" s="168">
        <f t="shared" si="3"/>
        <v>933502.3672</v>
      </c>
      <c r="U325" s="168">
        <f t="shared" si="4"/>
        <v>0</v>
      </c>
      <c r="V325" s="168">
        <f t="shared" si="5"/>
        <v>0</v>
      </c>
      <c r="W325" s="168">
        <f t="shared" si="6"/>
        <v>0</v>
      </c>
      <c r="X325" s="168">
        <f t="shared" si="7"/>
        <v>0</v>
      </c>
      <c r="Y325" s="168">
        <f t="shared" si="8"/>
        <v>0</v>
      </c>
      <c r="Z325" s="168">
        <f t="shared" si="9"/>
        <v>0</v>
      </c>
    </row>
    <row r="326" ht="14.25" customHeight="1">
      <c r="A326" s="157">
        <v>618.0</v>
      </c>
      <c r="B326" s="169" t="s">
        <v>692</v>
      </c>
      <c r="C326" s="169" t="s">
        <v>737</v>
      </c>
      <c r="D326" s="159">
        <v>42736.0</v>
      </c>
      <c r="E326" s="157" t="s">
        <v>8</v>
      </c>
      <c r="F326" s="160">
        <v>6455252.1</v>
      </c>
      <c r="G326" s="160">
        <f t="shared" si="26"/>
        <v>1032840.336</v>
      </c>
      <c r="H326" s="160">
        <f t="shared" si="25"/>
        <v>7488092.436</v>
      </c>
      <c r="I326" s="160"/>
      <c r="J326" s="161"/>
      <c r="K326" s="160"/>
      <c r="L326" s="160">
        <f>+'FACP$'!$H326-'FACP$'!$I326-'FACP$'!$K326</f>
        <v>7488092.436</v>
      </c>
      <c r="M326" s="199" t="s">
        <v>749</v>
      </c>
      <c r="N326" s="162" t="s">
        <v>554</v>
      </c>
      <c r="O326" s="175">
        <v>42768.0</v>
      </c>
      <c r="P326" s="164">
        <f t="shared" si="13"/>
        <v>42746</v>
      </c>
      <c r="Q326" s="165">
        <f t="shared" si="2"/>
        <v>0</v>
      </c>
      <c r="R326" s="166"/>
      <c r="S326" s="167"/>
      <c r="T326" s="168">
        <f t="shared" si="3"/>
        <v>7488092.436</v>
      </c>
      <c r="U326" s="168">
        <f t="shared" si="4"/>
        <v>0</v>
      </c>
      <c r="V326" s="168">
        <f t="shared" si="5"/>
        <v>0</v>
      </c>
      <c r="W326" s="168">
        <f t="shared" si="6"/>
        <v>0</v>
      </c>
      <c r="X326" s="168">
        <f t="shared" si="7"/>
        <v>0</v>
      </c>
      <c r="Y326" s="168">
        <f t="shared" si="8"/>
        <v>0</v>
      </c>
      <c r="Z326" s="168">
        <f t="shared" si="9"/>
        <v>0</v>
      </c>
    </row>
    <row r="327" ht="14.25" customHeight="1">
      <c r="A327" s="157">
        <v>619.0</v>
      </c>
      <c r="B327" s="169" t="s">
        <v>692</v>
      </c>
      <c r="C327" s="169" t="s">
        <v>737</v>
      </c>
      <c r="D327" s="159">
        <v>42736.0</v>
      </c>
      <c r="E327" s="157" t="s">
        <v>8</v>
      </c>
      <c r="F327" s="160">
        <v>59048.11</v>
      </c>
      <c r="G327" s="160">
        <f t="shared" si="26"/>
        <v>9447.6976</v>
      </c>
      <c r="H327" s="160">
        <f t="shared" si="25"/>
        <v>68495.8076</v>
      </c>
      <c r="I327" s="160"/>
      <c r="J327" s="161"/>
      <c r="K327" s="160"/>
      <c r="L327" s="160">
        <f>+'FACP$'!$H327-'FACP$'!$I327-'FACP$'!$K327</f>
        <v>68495.8076</v>
      </c>
      <c r="M327" s="199" t="s">
        <v>754</v>
      </c>
      <c r="N327" s="162" t="s">
        <v>554</v>
      </c>
      <c r="O327" s="175">
        <v>42768.0</v>
      </c>
      <c r="P327" s="164">
        <f t="shared" si="13"/>
        <v>42746</v>
      </c>
      <c r="Q327" s="165">
        <f t="shared" si="2"/>
        <v>0</v>
      </c>
      <c r="R327" s="166"/>
      <c r="S327" s="167"/>
      <c r="T327" s="168">
        <f t="shared" si="3"/>
        <v>68495.8076</v>
      </c>
      <c r="U327" s="168">
        <f t="shared" si="4"/>
        <v>0</v>
      </c>
      <c r="V327" s="168">
        <f t="shared" si="5"/>
        <v>0</v>
      </c>
      <c r="W327" s="168">
        <f t="shared" si="6"/>
        <v>0</v>
      </c>
      <c r="X327" s="168">
        <f t="shared" si="7"/>
        <v>0</v>
      </c>
      <c r="Y327" s="168">
        <f t="shared" si="8"/>
        <v>0</v>
      </c>
      <c r="Z327" s="168">
        <f t="shared" si="9"/>
        <v>0</v>
      </c>
    </row>
    <row r="328" ht="14.25" customHeight="1">
      <c r="A328" s="157">
        <v>620.0</v>
      </c>
      <c r="B328" s="169" t="s">
        <v>70</v>
      </c>
      <c r="C328" s="170" t="s">
        <v>759</v>
      </c>
      <c r="D328" s="159">
        <v>42736.0</v>
      </c>
      <c r="E328" s="157" t="s">
        <v>8</v>
      </c>
      <c r="F328" s="160">
        <v>460265.28</v>
      </c>
      <c r="G328" s="160">
        <f t="shared" si="26"/>
        <v>73642.4448</v>
      </c>
      <c r="H328" s="160">
        <f t="shared" si="25"/>
        <v>533907.7248</v>
      </c>
      <c r="I328" s="160"/>
      <c r="J328" s="161"/>
      <c r="K328" s="160"/>
      <c r="L328" s="160">
        <f>+'FACP$'!$H328-'FACP$'!$I328-'FACP$'!$K328</f>
        <v>533907.7248</v>
      </c>
      <c r="M328" s="199" t="s">
        <v>719</v>
      </c>
      <c r="N328" s="162" t="s">
        <v>554</v>
      </c>
      <c r="O328" s="163">
        <v>42762.0</v>
      </c>
      <c r="P328" s="164">
        <f t="shared" si="13"/>
        <v>42746</v>
      </c>
      <c r="Q328" s="165">
        <f t="shared" si="2"/>
        <v>0</v>
      </c>
      <c r="R328" s="166"/>
      <c r="S328" s="167"/>
      <c r="T328" s="168">
        <f t="shared" si="3"/>
        <v>533907.7248</v>
      </c>
      <c r="U328" s="168">
        <f t="shared" si="4"/>
        <v>0</v>
      </c>
      <c r="V328" s="168">
        <f t="shared" si="5"/>
        <v>0</v>
      </c>
      <c r="W328" s="168">
        <f t="shared" si="6"/>
        <v>0</v>
      </c>
      <c r="X328" s="168">
        <f t="shared" si="7"/>
        <v>0</v>
      </c>
      <c r="Y328" s="168">
        <f t="shared" si="8"/>
        <v>0</v>
      </c>
      <c r="Z328" s="168">
        <f t="shared" si="9"/>
        <v>0</v>
      </c>
    </row>
    <row r="329" ht="14.25" customHeight="1">
      <c r="A329" s="157">
        <v>622.0</v>
      </c>
      <c r="B329" s="170" t="s">
        <v>720</v>
      </c>
      <c r="C329" s="161" t="s">
        <v>755</v>
      </c>
      <c r="D329" s="159">
        <v>42736.0</v>
      </c>
      <c r="E329" s="157" t="s">
        <v>8</v>
      </c>
      <c r="F329" s="160">
        <v>838669.64</v>
      </c>
      <c r="G329" s="160">
        <f t="shared" si="26"/>
        <v>134187.1424</v>
      </c>
      <c r="H329" s="160">
        <f t="shared" si="25"/>
        <v>972856.7824</v>
      </c>
      <c r="I329" s="160"/>
      <c r="J329" s="161"/>
      <c r="K329" s="160"/>
      <c r="L329" s="160">
        <f>+'FACP$'!$H329-'FACP$'!$I329-'FACP$'!$K329</f>
        <v>972856.7824</v>
      </c>
      <c r="M329" s="199" t="s">
        <v>777</v>
      </c>
      <c r="N329" s="162" t="s">
        <v>554</v>
      </c>
      <c r="O329" s="163">
        <v>42762.0</v>
      </c>
      <c r="P329" s="164">
        <f t="shared" si="13"/>
        <v>42746</v>
      </c>
      <c r="Q329" s="165">
        <f t="shared" si="2"/>
        <v>0</v>
      </c>
      <c r="R329" s="166"/>
      <c r="S329" s="167"/>
      <c r="T329" s="168">
        <f t="shared" si="3"/>
        <v>972856.7824</v>
      </c>
      <c r="U329" s="168">
        <f t="shared" si="4"/>
        <v>0</v>
      </c>
      <c r="V329" s="168">
        <f t="shared" si="5"/>
        <v>0</v>
      </c>
      <c r="W329" s="168">
        <f t="shared" si="6"/>
        <v>0</v>
      </c>
      <c r="X329" s="168">
        <f t="shared" si="7"/>
        <v>0</v>
      </c>
      <c r="Y329" s="168">
        <f t="shared" si="8"/>
        <v>0</v>
      </c>
      <c r="Z329" s="168">
        <f t="shared" si="9"/>
        <v>0</v>
      </c>
    </row>
    <row r="330" ht="14.25" customHeight="1">
      <c r="A330" s="157">
        <v>624.0</v>
      </c>
      <c r="B330" s="170" t="s">
        <v>722</v>
      </c>
      <c r="C330" s="169" t="s">
        <v>756</v>
      </c>
      <c r="D330" s="159">
        <v>42736.0</v>
      </c>
      <c r="E330" s="157" t="s">
        <v>8</v>
      </c>
      <c r="F330" s="160">
        <v>2961733.17</v>
      </c>
      <c r="G330" s="160">
        <f t="shared" si="26"/>
        <v>473877.3072</v>
      </c>
      <c r="H330" s="160">
        <f t="shared" si="25"/>
        <v>3435610.477</v>
      </c>
      <c r="I330" s="160"/>
      <c r="J330" s="161"/>
      <c r="K330" s="160"/>
      <c r="L330" s="160">
        <f>+'FACP$'!$H330-'FACP$'!$I330-'FACP$'!$K330</f>
        <v>3435610.477</v>
      </c>
      <c r="M330" s="199" t="s">
        <v>93</v>
      </c>
      <c r="N330" s="162" t="s">
        <v>554</v>
      </c>
      <c r="O330" s="163">
        <v>42761.0</v>
      </c>
      <c r="P330" s="164">
        <f t="shared" si="13"/>
        <v>42746</v>
      </c>
      <c r="Q330" s="165">
        <f t="shared" si="2"/>
        <v>0</v>
      </c>
      <c r="R330" s="166" t="s">
        <v>782</v>
      </c>
      <c r="S330" s="167"/>
      <c r="T330" s="168">
        <f t="shared" si="3"/>
        <v>3435610.477</v>
      </c>
      <c r="U330" s="168">
        <f t="shared" si="4"/>
        <v>0</v>
      </c>
      <c r="V330" s="168">
        <f t="shared" si="5"/>
        <v>0</v>
      </c>
      <c r="W330" s="168">
        <f t="shared" si="6"/>
        <v>0</v>
      </c>
      <c r="X330" s="168">
        <f t="shared" si="7"/>
        <v>0</v>
      </c>
      <c r="Y330" s="168">
        <f t="shared" si="8"/>
        <v>0</v>
      </c>
      <c r="Z330" s="168">
        <f t="shared" si="9"/>
        <v>0</v>
      </c>
    </row>
    <row r="331" ht="14.25" customHeight="1">
      <c r="A331" s="157">
        <v>626.0</v>
      </c>
      <c r="B331" s="170" t="s">
        <v>37</v>
      </c>
      <c r="C331" s="169" t="s">
        <v>756</v>
      </c>
      <c r="D331" s="159">
        <v>42736.0</v>
      </c>
      <c r="E331" s="157" t="s">
        <v>8</v>
      </c>
      <c r="F331" s="160">
        <v>1535810.43</v>
      </c>
      <c r="G331" s="160">
        <v>245729.67</v>
      </c>
      <c r="H331" s="160">
        <f t="shared" si="25"/>
        <v>1781540.1</v>
      </c>
      <c r="I331" s="160"/>
      <c r="J331" s="161"/>
      <c r="K331" s="160"/>
      <c r="L331" s="160">
        <f>+'FACP$'!$H331-'FACP$'!$I331-'FACP$'!$K331</f>
        <v>1781540.1</v>
      </c>
      <c r="M331" s="199" t="s">
        <v>116</v>
      </c>
      <c r="N331" s="162" t="s">
        <v>554</v>
      </c>
      <c r="O331" s="163">
        <v>42774.0</v>
      </c>
      <c r="P331" s="164">
        <f t="shared" si="13"/>
        <v>42746</v>
      </c>
      <c r="Q331" s="165">
        <f t="shared" si="2"/>
        <v>0</v>
      </c>
      <c r="R331" s="166"/>
      <c r="S331" s="167"/>
      <c r="T331" s="168">
        <f t="shared" si="3"/>
        <v>1781540.1</v>
      </c>
      <c r="U331" s="168">
        <f t="shared" si="4"/>
        <v>0</v>
      </c>
      <c r="V331" s="168">
        <f t="shared" si="5"/>
        <v>0</v>
      </c>
      <c r="W331" s="168">
        <f t="shared" si="6"/>
        <v>0</v>
      </c>
      <c r="X331" s="168">
        <f t="shared" si="7"/>
        <v>0</v>
      </c>
      <c r="Y331" s="168">
        <f t="shared" si="8"/>
        <v>0</v>
      </c>
      <c r="Z331" s="168">
        <f t="shared" si="9"/>
        <v>0</v>
      </c>
    </row>
    <row r="332" ht="14.25" customHeight="1">
      <c r="A332" s="157">
        <v>628.0</v>
      </c>
      <c r="B332" s="170" t="s">
        <v>720</v>
      </c>
      <c r="C332" s="177" t="s">
        <v>755</v>
      </c>
      <c r="D332" s="174">
        <v>42736.0</v>
      </c>
      <c r="E332" s="178" t="s">
        <v>8</v>
      </c>
      <c r="F332" s="179">
        <v>60344.83</v>
      </c>
      <c r="G332" s="179">
        <v>9655.17</v>
      </c>
      <c r="H332" s="160">
        <f t="shared" si="25"/>
        <v>70000</v>
      </c>
      <c r="I332" s="179"/>
      <c r="J332" s="177"/>
      <c r="K332" s="179"/>
      <c r="L332" s="179">
        <f>+'FACP$'!$H332-'FACP$'!$I332-'FACP$'!$K332</f>
        <v>70000</v>
      </c>
      <c r="M332" s="205" t="s">
        <v>777</v>
      </c>
      <c r="N332" s="162" t="s">
        <v>127</v>
      </c>
      <c r="O332" s="204"/>
      <c r="P332" s="164">
        <f t="shared" si="13"/>
        <v>42746</v>
      </c>
      <c r="Q332" s="165">
        <f t="shared" si="2"/>
        <v>0</v>
      </c>
      <c r="R332" s="206"/>
      <c r="S332" s="206"/>
      <c r="T332" s="168">
        <f t="shared" si="3"/>
        <v>70000</v>
      </c>
      <c r="U332" s="168">
        <f t="shared" si="4"/>
        <v>0</v>
      </c>
      <c r="V332" s="168">
        <f t="shared" si="5"/>
        <v>0</v>
      </c>
      <c r="W332" s="168">
        <f t="shared" si="6"/>
        <v>0</v>
      </c>
      <c r="X332" s="168">
        <f t="shared" si="7"/>
        <v>0</v>
      </c>
      <c r="Y332" s="168">
        <f t="shared" si="8"/>
        <v>0</v>
      </c>
      <c r="Z332" s="168">
        <f t="shared" si="9"/>
        <v>0</v>
      </c>
    </row>
    <row r="333" ht="14.25" customHeight="1">
      <c r="A333" s="157">
        <v>629.0</v>
      </c>
      <c r="B333" s="170" t="s">
        <v>720</v>
      </c>
      <c r="C333" s="177" t="s">
        <v>755</v>
      </c>
      <c r="D333" s="174">
        <v>42736.0</v>
      </c>
      <c r="E333" s="178" t="s">
        <v>8</v>
      </c>
      <c r="F333" s="179">
        <v>60344.83</v>
      </c>
      <c r="G333" s="179">
        <v>9655.17</v>
      </c>
      <c r="H333" s="160">
        <f t="shared" si="25"/>
        <v>70000</v>
      </c>
      <c r="I333" s="179"/>
      <c r="J333" s="177"/>
      <c r="K333" s="179"/>
      <c r="L333" s="179">
        <f>+'FACP$'!$H333-'FACP$'!$I333-'FACP$'!$K333</f>
        <v>70000</v>
      </c>
      <c r="M333" s="205" t="s">
        <v>777</v>
      </c>
      <c r="N333" s="162" t="s">
        <v>127</v>
      </c>
      <c r="O333" s="204"/>
      <c r="P333" s="164">
        <f t="shared" si="13"/>
        <v>42746</v>
      </c>
      <c r="Q333" s="165">
        <f t="shared" si="2"/>
        <v>0</v>
      </c>
      <c r="R333" s="206"/>
      <c r="S333" s="206"/>
      <c r="T333" s="168">
        <f t="shared" si="3"/>
        <v>70000</v>
      </c>
      <c r="U333" s="168">
        <f t="shared" si="4"/>
        <v>0</v>
      </c>
      <c r="V333" s="168">
        <f t="shared" si="5"/>
        <v>0</v>
      </c>
      <c r="W333" s="168">
        <f t="shared" si="6"/>
        <v>0</v>
      </c>
      <c r="X333" s="168">
        <f t="shared" si="7"/>
        <v>0</v>
      </c>
      <c r="Y333" s="168">
        <f t="shared" si="8"/>
        <v>0</v>
      </c>
      <c r="Z333" s="168">
        <f t="shared" si="9"/>
        <v>0</v>
      </c>
    </row>
    <row r="334" ht="14.25" customHeight="1">
      <c r="A334" s="157">
        <v>631.0</v>
      </c>
      <c r="B334" s="170" t="s">
        <v>720</v>
      </c>
      <c r="C334" s="161" t="s">
        <v>755</v>
      </c>
      <c r="D334" s="159">
        <v>42766.0</v>
      </c>
      <c r="E334" s="157" t="s">
        <v>8</v>
      </c>
      <c r="F334" s="160">
        <v>60344.83</v>
      </c>
      <c r="G334" s="160">
        <v>9655.17</v>
      </c>
      <c r="H334" s="160">
        <f t="shared" si="25"/>
        <v>70000</v>
      </c>
      <c r="I334" s="160"/>
      <c r="J334" s="161"/>
      <c r="K334" s="160"/>
      <c r="L334" s="160">
        <f>+'FACP$'!$H334-'FACP$'!$I334-'FACP$'!$K334</f>
        <v>70000</v>
      </c>
      <c r="M334" s="199" t="s">
        <v>777</v>
      </c>
      <c r="N334" s="162" t="s">
        <v>127</v>
      </c>
      <c r="O334" s="163"/>
      <c r="P334" s="164">
        <f t="shared" si="13"/>
        <v>42776</v>
      </c>
      <c r="Q334" s="165">
        <f t="shared" si="2"/>
        <v>0</v>
      </c>
      <c r="R334" s="166"/>
      <c r="S334" s="167"/>
      <c r="T334" s="168">
        <f t="shared" si="3"/>
        <v>70000</v>
      </c>
      <c r="U334" s="168">
        <f t="shared" si="4"/>
        <v>0</v>
      </c>
      <c r="V334" s="168">
        <f t="shared" si="5"/>
        <v>0</v>
      </c>
      <c r="W334" s="168">
        <f t="shared" si="6"/>
        <v>0</v>
      </c>
      <c r="X334" s="168">
        <f t="shared" si="7"/>
        <v>0</v>
      </c>
      <c r="Y334" s="168">
        <f t="shared" si="8"/>
        <v>0</v>
      </c>
      <c r="Z334" s="168">
        <f t="shared" si="9"/>
        <v>0</v>
      </c>
    </row>
    <row r="335" ht="14.25" customHeight="1">
      <c r="A335" s="157">
        <v>632.0</v>
      </c>
      <c r="B335" s="170" t="s">
        <v>720</v>
      </c>
      <c r="C335" s="161" t="s">
        <v>755</v>
      </c>
      <c r="D335" s="159">
        <v>42736.0</v>
      </c>
      <c r="E335" s="157" t="s">
        <v>8</v>
      </c>
      <c r="F335" s="160">
        <v>60344.83</v>
      </c>
      <c r="G335" s="160">
        <v>9655.17</v>
      </c>
      <c r="H335" s="160">
        <f t="shared" si="25"/>
        <v>70000</v>
      </c>
      <c r="I335" s="160"/>
      <c r="J335" s="161"/>
      <c r="K335" s="160"/>
      <c r="L335" s="160">
        <f>+'FACP$'!$H335-'FACP$'!$I335-'FACP$'!$K335</f>
        <v>70000</v>
      </c>
      <c r="M335" s="199" t="s">
        <v>777</v>
      </c>
      <c r="N335" s="162" t="s">
        <v>127</v>
      </c>
      <c r="O335" s="163"/>
      <c r="P335" s="164">
        <f t="shared" si="13"/>
        <v>42746</v>
      </c>
      <c r="Q335" s="165">
        <f t="shared" si="2"/>
        <v>0</v>
      </c>
      <c r="R335" s="166"/>
      <c r="S335" s="167"/>
      <c r="T335" s="168">
        <f t="shared" si="3"/>
        <v>70000</v>
      </c>
      <c r="U335" s="168">
        <f t="shared" si="4"/>
        <v>0</v>
      </c>
      <c r="V335" s="168">
        <f t="shared" si="5"/>
        <v>0</v>
      </c>
      <c r="W335" s="168">
        <f t="shared" si="6"/>
        <v>0</v>
      </c>
      <c r="X335" s="168">
        <f t="shared" si="7"/>
        <v>0</v>
      </c>
      <c r="Y335" s="168">
        <f t="shared" si="8"/>
        <v>0</v>
      </c>
      <c r="Z335" s="168">
        <f t="shared" si="9"/>
        <v>0</v>
      </c>
    </row>
    <row r="336" ht="14.25" customHeight="1">
      <c r="A336" s="157">
        <v>633.0</v>
      </c>
      <c r="B336" s="170" t="s">
        <v>720</v>
      </c>
      <c r="C336" s="177" t="s">
        <v>755</v>
      </c>
      <c r="D336" s="174">
        <v>42736.0</v>
      </c>
      <c r="E336" s="178" t="s">
        <v>8</v>
      </c>
      <c r="F336" s="179">
        <v>60344.83</v>
      </c>
      <c r="G336" s="179">
        <v>9655.17</v>
      </c>
      <c r="H336" s="160">
        <f t="shared" si="25"/>
        <v>70000</v>
      </c>
      <c r="I336" s="179"/>
      <c r="J336" s="177"/>
      <c r="K336" s="179"/>
      <c r="L336" s="179">
        <f>+'FACP$'!$H336-'FACP$'!$I336-'FACP$'!$K336</f>
        <v>70000</v>
      </c>
      <c r="M336" s="205" t="s">
        <v>777</v>
      </c>
      <c r="N336" s="162" t="s">
        <v>554</v>
      </c>
      <c r="O336" s="204">
        <v>42776.0</v>
      </c>
      <c r="P336" s="164">
        <f t="shared" si="13"/>
        <v>42746</v>
      </c>
      <c r="Q336" s="165">
        <f t="shared" si="2"/>
        <v>0</v>
      </c>
      <c r="R336" s="206"/>
      <c r="S336" s="206"/>
      <c r="T336" s="168">
        <f t="shared" si="3"/>
        <v>70000</v>
      </c>
      <c r="U336" s="168">
        <f t="shared" si="4"/>
        <v>0</v>
      </c>
      <c r="V336" s="168">
        <f t="shared" si="5"/>
        <v>0</v>
      </c>
      <c r="W336" s="168">
        <f t="shared" si="6"/>
        <v>0</v>
      </c>
      <c r="X336" s="168">
        <f t="shared" si="7"/>
        <v>0</v>
      </c>
      <c r="Y336" s="168">
        <f t="shared" si="8"/>
        <v>0</v>
      </c>
      <c r="Z336" s="168">
        <f t="shared" si="9"/>
        <v>0</v>
      </c>
    </row>
    <row r="337" ht="14.25" customHeight="1">
      <c r="A337" s="157">
        <v>634.0</v>
      </c>
      <c r="B337" s="169" t="s">
        <v>70</v>
      </c>
      <c r="C337" s="170" t="s">
        <v>759</v>
      </c>
      <c r="D337" s="159">
        <v>42750.0</v>
      </c>
      <c r="E337" s="157" t="s">
        <v>8</v>
      </c>
      <c r="F337" s="160">
        <v>839789.76</v>
      </c>
      <c r="G337" s="160">
        <v>134366.36</v>
      </c>
      <c r="H337" s="160">
        <f t="shared" si="25"/>
        <v>974156.12</v>
      </c>
      <c r="I337" s="160"/>
      <c r="J337" s="161"/>
      <c r="K337" s="160"/>
      <c r="L337" s="160">
        <f>+'FACP$'!$H337-'FACP$'!$I337-'FACP$'!$K337</f>
        <v>974156.12</v>
      </c>
      <c r="M337" s="199" t="s">
        <v>753</v>
      </c>
      <c r="N337" s="162" t="s">
        <v>554</v>
      </c>
      <c r="O337" s="163">
        <v>42776.0</v>
      </c>
      <c r="P337" s="164">
        <f t="shared" si="13"/>
        <v>42760</v>
      </c>
      <c r="Q337" s="165">
        <f t="shared" si="2"/>
        <v>0</v>
      </c>
      <c r="R337" s="166"/>
      <c r="S337" s="167"/>
      <c r="T337" s="168">
        <f t="shared" si="3"/>
        <v>974156.12</v>
      </c>
      <c r="U337" s="168">
        <f t="shared" si="4"/>
        <v>0</v>
      </c>
      <c r="V337" s="168">
        <f t="shared" si="5"/>
        <v>0</v>
      </c>
      <c r="W337" s="168">
        <f t="shared" si="6"/>
        <v>0</v>
      </c>
      <c r="X337" s="168">
        <f t="shared" si="7"/>
        <v>0</v>
      </c>
      <c r="Y337" s="168">
        <f t="shared" si="8"/>
        <v>0</v>
      </c>
      <c r="Z337" s="168">
        <f t="shared" si="9"/>
        <v>0</v>
      </c>
    </row>
    <row r="338" ht="14.25" customHeight="1">
      <c r="A338" s="157">
        <v>637.0</v>
      </c>
      <c r="B338" s="169" t="s">
        <v>692</v>
      </c>
      <c r="C338" s="169" t="s">
        <v>737</v>
      </c>
      <c r="D338" s="159">
        <v>42736.0</v>
      </c>
      <c r="E338" s="157" t="s">
        <v>8</v>
      </c>
      <c r="F338" s="160">
        <v>227121.49</v>
      </c>
      <c r="G338" s="160">
        <v>36339.44</v>
      </c>
      <c r="H338" s="160">
        <f t="shared" si="25"/>
        <v>263460.93</v>
      </c>
      <c r="I338" s="160"/>
      <c r="J338" s="161"/>
      <c r="K338" s="160"/>
      <c r="L338" s="160">
        <f>+'FACP$'!$H338-'FACP$'!$I338-'FACP$'!$K338</f>
        <v>263460.93</v>
      </c>
      <c r="M338" s="199" t="s">
        <v>754</v>
      </c>
      <c r="N338" s="162" t="s">
        <v>554</v>
      </c>
      <c r="O338" s="175">
        <v>42786.0</v>
      </c>
      <c r="P338" s="164">
        <f t="shared" si="13"/>
        <v>42746</v>
      </c>
      <c r="Q338" s="165">
        <f t="shared" si="2"/>
        <v>0</v>
      </c>
      <c r="R338" s="166"/>
      <c r="S338" s="167"/>
      <c r="T338" s="168">
        <f t="shared" si="3"/>
        <v>263460.93</v>
      </c>
      <c r="U338" s="168">
        <f t="shared" si="4"/>
        <v>0</v>
      </c>
      <c r="V338" s="168">
        <f t="shared" si="5"/>
        <v>0</v>
      </c>
      <c r="W338" s="168">
        <f t="shared" si="6"/>
        <v>0</v>
      </c>
      <c r="X338" s="168">
        <f t="shared" si="7"/>
        <v>0</v>
      </c>
      <c r="Y338" s="168">
        <f t="shared" si="8"/>
        <v>0</v>
      </c>
      <c r="Z338" s="168">
        <f t="shared" si="9"/>
        <v>0</v>
      </c>
    </row>
    <row r="339" ht="14.25" customHeight="1">
      <c r="A339" s="157">
        <v>638.0</v>
      </c>
      <c r="B339" s="169" t="s">
        <v>692</v>
      </c>
      <c r="C339" s="169" t="s">
        <v>737</v>
      </c>
      <c r="D339" s="159">
        <v>42749.0</v>
      </c>
      <c r="E339" s="157" t="s">
        <v>8</v>
      </c>
      <c r="F339" s="160">
        <v>4181404.7</v>
      </c>
      <c r="G339" s="160">
        <v>669024.75</v>
      </c>
      <c r="H339" s="160">
        <f t="shared" si="25"/>
        <v>4850429.45</v>
      </c>
      <c r="I339" s="160"/>
      <c r="J339" s="161"/>
      <c r="K339" s="160"/>
      <c r="L339" s="160">
        <f>+'FACP$'!$H339-'FACP$'!$I339-'FACP$'!$K339</f>
        <v>4850429.45</v>
      </c>
      <c r="M339" s="199" t="s">
        <v>752</v>
      </c>
      <c r="N339" s="162" t="s">
        <v>127</v>
      </c>
      <c r="O339" s="175"/>
      <c r="P339" s="164">
        <f t="shared" si="13"/>
        <v>42759</v>
      </c>
      <c r="Q339" s="165">
        <f t="shared" si="2"/>
        <v>0</v>
      </c>
      <c r="R339" s="166"/>
      <c r="S339" s="167"/>
      <c r="T339" s="168">
        <f t="shared" si="3"/>
        <v>4850429.45</v>
      </c>
      <c r="U339" s="168">
        <f t="shared" si="4"/>
        <v>0</v>
      </c>
      <c r="V339" s="168">
        <f t="shared" si="5"/>
        <v>0</v>
      </c>
      <c r="W339" s="168">
        <f t="shared" si="6"/>
        <v>0</v>
      </c>
      <c r="X339" s="168">
        <f t="shared" si="7"/>
        <v>0</v>
      </c>
      <c r="Y339" s="168">
        <f t="shared" si="8"/>
        <v>0</v>
      </c>
      <c r="Z339" s="168">
        <f t="shared" si="9"/>
        <v>0</v>
      </c>
    </row>
    <row r="340" ht="14.25" customHeight="1">
      <c r="A340" s="157">
        <v>639.0</v>
      </c>
      <c r="B340" s="170" t="s">
        <v>722</v>
      </c>
      <c r="C340" s="169" t="s">
        <v>756</v>
      </c>
      <c r="D340" s="159">
        <v>42750.0</v>
      </c>
      <c r="E340" s="157" t="s">
        <v>8</v>
      </c>
      <c r="F340" s="160">
        <v>729273.97</v>
      </c>
      <c r="G340" s="160">
        <v>116683.84</v>
      </c>
      <c r="H340" s="160">
        <f t="shared" si="25"/>
        <v>845957.81</v>
      </c>
      <c r="I340" s="160"/>
      <c r="J340" s="161"/>
      <c r="K340" s="160"/>
      <c r="L340" s="160">
        <f>+'FACP$'!$H340-'FACP$'!$I340-'FACP$'!$K340</f>
        <v>845957.81</v>
      </c>
      <c r="M340" s="199" t="s">
        <v>93</v>
      </c>
      <c r="N340" s="162" t="s">
        <v>127</v>
      </c>
      <c r="O340" s="163" t="s">
        <v>89</v>
      </c>
      <c r="P340" s="164">
        <f t="shared" si="13"/>
        <v>42760</v>
      </c>
      <c r="Q340" s="165">
        <f t="shared" si="2"/>
        <v>0</v>
      </c>
      <c r="R340" s="166" t="s">
        <v>783</v>
      </c>
      <c r="S340" s="167"/>
      <c r="T340" s="168">
        <f t="shared" si="3"/>
        <v>845957.81</v>
      </c>
      <c r="U340" s="168">
        <f t="shared" si="4"/>
        <v>0</v>
      </c>
      <c r="V340" s="168">
        <f t="shared" si="5"/>
        <v>0</v>
      </c>
      <c r="W340" s="168">
        <f t="shared" si="6"/>
        <v>0</v>
      </c>
      <c r="X340" s="168">
        <f t="shared" si="7"/>
        <v>0</v>
      </c>
      <c r="Y340" s="168">
        <f t="shared" si="8"/>
        <v>0</v>
      </c>
      <c r="Z340" s="168">
        <f t="shared" si="9"/>
        <v>0</v>
      </c>
    </row>
    <row r="341" ht="14.25" customHeight="1">
      <c r="A341" s="157">
        <v>641.0</v>
      </c>
      <c r="B341" s="170" t="s">
        <v>722</v>
      </c>
      <c r="C341" s="169" t="s">
        <v>756</v>
      </c>
      <c r="D341" s="159">
        <v>42750.0</v>
      </c>
      <c r="E341" s="157" t="s">
        <v>8</v>
      </c>
      <c r="F341" s="160">
        <v>1387232.72</v>
      </c>
      <c r="G341" s="160">
        <v>221957.24</v>
      </c>
      <c r="H341" s="160">
        <f t="shared" si="25"/>
        <v>1609189.96</v>
      </c>
      <c r="I341" s="160"/>
      <c r="J341" s="161"/>
      <c r="K341" s="160"/>
      <c r="L341" s="160">
        <f>+'FACP$'!$H341-'FACP$'!$I341-'FACP$'!$K341</f>
        <v>1609189.96</v>
      </c>
      <c r="M341" s="199" t="s">
        <v>93</v>
      </c>
      <c r="N341" s="162" t="s">
        <v>127</v>
      </c>
      <c r="O341" s="163" t="s">
        <v>89</v>
      </c>
      <c r="P341" s="164">
        <f t="shared" si="13"/>
        <v>42760</v>
      </c>
      <c r="Q341" s="165">
        <f t="shared" si="2"/>
        <v>0</v>
      </c>
      <c r="R341" s="166" t="s">
        <v>783</v>
      </c>
      <c r="S341" s="167"/>
      <c r="T341" s="168">
        <f t="shared" si="3"/>
        <v>1609189.96</v>
      </c>
      <c r="U341" s="168">
        <f t="shared" si="4"/>
        <v>0</v>
      </c>
      <c r="V341" s="168">
        <f t="shared" si="5"/>
        <v>0</v>
      </c>
      <c r="W341" s="168">
        <f t="shared" si="6"/>
        <v>0</v>
      </c>
      <c r="X341" s="168">
        <f t="shared" si="7"/>
        <v>0</v>
      </c>
      <c r="Y341" s="168">
        <f t="shared" si="8"/>
        <v>0</v>
      </c>
      <c r="Z341" s="168">
        <f t="shared" si="9"/>
        <v>0</v>
      </c>
    </row>
    <row r="342" ht="14.25" customHeight="1">
      <c r="A342" s="157">
        <v>642.0</v>
      </c>
      <c r="B342" s="170" t="s">
        <v>720</v>
      </c>
      <c r="C342" s="161" t="s">
        <v>755</v>
      </c>
      <c r="D342" s="159">
        <v>42750.0</v>
      </c>
      <c r="E342" s="157" t="s">
        <v>8</v>
      </c>
      <c r="F342" s="160">
        <v>1164881.27</v>
      </c>
      <c r="G342" s="160">
        <v>186381.0</v>
      </c>
      <c r="H342" s="160">
        <f t="shared" si="25"/>
        <v>1351262.27</v>
      </c>
      <c r="I342" s="160"/>
      <c r="J342" s="161"/>
      <c r="K342" s="160"/>
      <c r="L342" s="160">
        <f>+'FACP$'!$H342-'FACP$'!$I342-'FACP$'!$K342</f>
        <v>1351262.27</v>
      </c>
      <c r="M342" s="199" t="s">
        <v>777</v>
      </c>
      <c r="N342" s="162" t="s">
        <v>554</v>
      </c>
      <c r="O342" s="163">
        <v>42776.0</v>
      </c>
      <c r="P342" s="164">
        <f t="shared" si="13"/>
        <v>42760</v>
      </c>
      <c r="Q342" s="165">
        <f t="shared" si="2"/>
        <v>0</v>
      </c>
      <c r="R342" s="166"/>
      <c r="S342" s="167"/>
      <c r="T342" s="168">
        <f t="shared" si="3"/>
        <v>1351262.27</v>
      </c>
      <c r="U342" s="168">
        <f t="shared" si="4"/>
        <v>0</v>
      </c>
      <c r="V342" s="168">
        <f t="shared" si="5"/>
        <v>0</v>
      </c>
      <c r="W342" s="168">
        <f t="shared" si="6"/>
        <v>0</v>
      </c>
      <c r="X342" s="168">
        <f t="shared" si="7"/>
        <v>0</v>
      </c>
      <c r="Y342" s="168">
        <f t="shared" si="8"/>
        <v>0</v>
      </c>
      <c r="Z342" s="168">
        <f t="shared" si="9"/>
        <v>0</v>
      </c>
    </row>
    <row r="343" ht="14.25" customHeight="1">
      <c r="A343" s="157">
        <v>644.0</v>
      </c>
      <c r="B343" s="170" t="s">
        <v>720</v>
      </c>
      <c r="C343" s="161" t="s">
        <v>755</v>
      </c>
      <c r="D343" s="159">
        <v>42736.0</v>
      </c>
      <c r="E343" s="157" t="s">
        <v>8</v>
      </c>
      <c r="F343" s="160">
        <v>60344.83</v>
      </c>
      <c r="G343" s="160">
        <v>9655.17</v>
      </c>
      <c r="H343" s="160">
        <f t="shared" si="25"/>
        <v>70000</v>
      </c>
      <c r="I343" s="160"/>
      <c r="J343" s="161"/>
      <c r="K343" s="160"/>
      <c r="L343" s="160">
        <f>+'FACP$'!$H343-'FACP$'!$I343-'FACP$'!$K343</f>
        <v>70000</v>
      </c>
      <c r="M343" s="199" t="s">
        <v>777</v>
      </c>
      <c r="N343" s="162" t="s">
        <v>127</v>
      </c>
      <c r="O343" s="163"/>
      <c r="P343" s="164">
        <f t="shared" si="13"/>
        <v>42746</v>
      </c>
      <c r="Q343" s="165">
        <f t="shared" si="2"/>
        <v>0</v>
      </c>
      <c r="R343" s="166"/>
      <c r="S343" s="167"/>
      <c r="T343" s="168">
        <f t="shared" si="3"/>
        <v>70000</v>
      </c>
      <c r="U343" s="168">
        <f t="shared" si="4"/>
        <v>0</v>
      </c>
      <c r="V343" s="168">
        <f t="shared" si="5"/>
        <v>0</v>
      </c>
      <c r="W343" s="168">
        <f t="shared" si="6"/>
        <v>0</v>
      </c>
      <c r="X343" s="168">
        <f t="shared" si="7"/>
        <v>0</v>
      </c>
      <c r="Y343" s="168">
        <f t="shared" si="8"/>
        <v>0</v>
      </c>
      <c r="Z343" s="168">
        <f t="shared" si="9"/>
        <v>0</v>
      </c>
    </row>
    <row r="344" ht="14.25" customHeight="1">
      <c r="A344" s="157">
        <v>645.0</v>
      </c>
      <c r="B344" s="170" t="s">
        <v>37</v>
      </c>
      <c r="C344" s="169" t="s">
        <v>756</v>
      </c>
      <c r="D344" s="159">
        <v>42750.0</v>
      </c>
      <c r="E344" s="157" t="s">
        <v>8</v>
      </c>
      <c r="F344" s="160">
        <v>1628445.91</v>
      </c>
      <c r="G344" s="160">
        <v>260551.35</v>
      </c>
      <c r="H344" s="160">
        <f t="shared" si="25"/>
        <v>1888997.26</v>
      </c>
      <c r="I344" s="160"/>
      <c r="J344" s="161"/>
      <c r="K344" s="160"/>
      <c r="L344" s="160">
        <f>+'FACP$'!$H344-'FACP$'!$I344-'FACP$'!$K344</f>
        <v>1888997.26</v>
      </c>
      <c r="M344" s="199" t="s">
        <v>718</v>
      </c>
      <c r="N344" s="162" t="s">
        <v>554</v>
      </c>
      <c r="O344" s="163">
        <v>42787.0</v>
      </c>
      <c r="P344" s="164">
        <f t="shared" si="13"/>
        <v>42760</v>
      </c>
      <c r="Q344" s="165">
        <f t="shared" si="2"/>
        <v>0</v>
      </c>
      <c r="R344" s="166"/>
      <c r="S344" s="167"/>
      <c r="T344" s="168">
        <f t="shared" si="3"/>
        <v>1888997.26</v>
      </c>
      <c r="U344" s="168">
        <f t="shared" si="4"/>
        <v>0</v>
      </c>
      <c r="V344" s="168">
        <f t="shared" si="5"/>
        <v>0</v>
      </c>
      <c r="W344" s="168">
        <f t="shared" si="6"/>
        <v>0</v>
      </c>
      <c r="X344" s="168">
        <f t="shared" si="7"/>
        <v>0</v>
      </c>
      <c r="Y344" s="168">
        <f t="shared" si="8"/>
        <v>0</v>
      </c>
      <c r="Z344" s="168">
        <f t="shared" si="9"/>
        <v>0</v>
      </c>
    </row>
    <row r="345" ht="14.25" customHeight="1">
      <c r="A345" s="157">
        <v>647.0</v>
      </c>
      <c r="B345" s="169" t="s">
        <v>692</v>
      </c>
      <c r="C345" s="169" t="s">
        <v>737</v>
      </c>
      <c r="D345" s="159">
        <v>42749.0</v>
      </c>
      <c r="E345" s="157" t="s">
        <v>8</v>
      </c>
      <c r="F345" s="160">
        <v>6447556.21</v>
      </c>
      <c r="G345" s="160">
        <v>1031608.99</v>
      </c>
      <c r="H345" s="160">
        <f t="shared" si="25"/>
        <v>7479165.2</v>
      </c>
      <c r="I345" s="160"/>
      <c r="J345" s="161"/>
      <c r="K345" s="160"/>
      <c r="L345" s="160">
        <f>+'FACP$'!$H345-'FACP$'!$I345-'FACP$'!$K345</f>
        <v>7479165.2</v>
      </c>
      <c r="M345" s="199" t="s">
        <v>752</v>
      </c>
      <c r="N345" s="162" t="s">
        <v>554</v>
      </c>
      <c r="O345" s="175">
        <v>42786.0</v>
      </c>
      <c r="P345" s="164">
        <f t="shared" si="13"/>
        <v>42759</v>
      </c>
      <c r="Q345" s="165">
        <f t="shared" si="2"/>
        <v>0</v>
      </c>
      <c r="R345" s="166"/>
      <c r="S345" s="167"/>
      <c r="T345" s="168">
        <f t="shared" si="3"/>
        <v>7479165.2</v>
      </c>
      <c r="U345" s="168">
        <f t="shared" si="4"/>
        <v>0</v>
      </c>
      <c r="V345" s="168">
        <f t="shared" si="5"/>
        <v>0</v>
      </c>
      <c r="W345" s="168">
        <f t="shared" si="6"/>
        <v>0</v>
      </c>
      <c r="X345" s="168">
        <f t="shared" si="7"/>
        <v>0</v>
      </c>
      <c r="Y345" s="168">
        <f t="shared" si="8"/>
        <v>0</v>
      </c>
      <c r="Z345" s="168">
        <f t="shared" si="9"/>
        <v>0</v>
      </c>
    </row>
    <row r="346" ht="14.25" customHeight="1">
      <c r="A346" s="157">
        <v>648.0</v>
      </c>
      <c r="B346" s="170" t="s">
        <v>722</v>
      </c>
      <c r="C346" s="169" t="s">
        <v>756</v>
      </c>
      <c r="D346" s="159">
        <v>42750.0</v>
      </c>
      <c r="E346" s="157" t="s">
        <v>8</v>
      </c>
      <c r="F346" s="160">
        <v>3725360.86</v>
      </c>
      <c r="G346" s="160">
        <v>596057.74</v>
      </c>
      <c r="H346" s="160">
        <f t="shared" si="25"/>
        <v>4321418.6</v>
      </c>
      <c r="I346" s="207"/>
      <c r="J346" s="208"/>
      <c r="K346" s="207"/>
      <c r="L346" s="207">
        <f>+'FACP$'!$H346-'FACP$'!$I346-'FACP$'!$K346</f>
        <v>4321418.6</v>
      </c>
      <c r="M346" s="199" t="s">
        <v>93</v>
      </c>
      <c r="N346" s="162" t="s">
        <v>554</v>
      </c>
      <c r="O346" s="163">
        <v>42775.0</v>
      </c>
      <c r="P346" s="164">
        <f t="shared" si="13"/>
        <v>42760</v>
      </c>
      <c r="Q346" s="165">
        <f t="shared" si="2"/>
        <v>0</v>
      </c>
      <c r="R346" s="166"/>
      <c r="S346" s="167"/>
      <c r="T346" s="168">
        <f t="shared" si="3"/>
        <v>4321418.6</v>
      </c>
      <c r="U346" s="168">
        <f t="shared" si="4"/>
        <v>0</v>
      </c>
      <c r="V346" s="168">
        <f t="shared" si="5"/>
        <v>0</v>
      </c>
      <c r="W346" s="168">
        <f t="shared" si="6"/>
        <v>0</v>
      </c>
      <c r="X346" s="168">
        <f t="shared" si="7"/>
        <v>0</v>
      </c>
      <c r="Y346" s="168">
        <f t="shared" si="8"/>
        <v>0</v>
      </c>
      <c r="Z346" s="168">
        <f t="shared" si="9"/>
        <v>0</v>
      </c>
    </row>
    <row r="347" ht="14.25" customHeight="1">
      <c r="A347" s="157">
        <v>650.0</v>
      </c>
      <c r="B347" s="170" t="s">
        <v>722</v>
      </c>
      <c r="C347" s="169" t="s">
        <v>756</v>
      </c>
      <c r="D347" s="159">
        <v>42750.0</v>
      </c>
      <c r="E347" s="157" t="s">
        <v>8</v>
      </c>
      <c r="F347" s="160">
        <v>1387232.72</v>
      </c>
      <c r="G347" s="160">
        <v>221957.24</v>
      </c>
      <c r="H347" s="160">
        <f t="shared" si="25"/>
        <v>1609189.96</v>
      </c>
      <c r="I347" s="207"/>
      <c r="J347" s="208"/>
      <c r="K347" s="207"/>
      <c r="L347" s="207">
        <f>+'FACP$'!$H347-'FACP$'!$I347-'FACP$'!$K347</f>
        <v>1609189.96</v>
      </c>
      <c r="M347" s="199" t="s">
        <v>93</v>
      </c>
      <c r="N347" s="162" t="s">
        <v>554</v>
      </c>
      <c r="O347" s="163">
        <v>42775.0</v>
      </c>
      <c r="P347" s="164">
        <f t="shared" si="13"/>
        <v>42760</v>
      </c>
      <c r="Q347" s="165">
        <f t="shared" si="2"/>
        <v>0</v>
      </c>
      <c r="R347" s="166"/>
      <c r="S347" s="167"/>
      <c r="T347" s="168">
        <f t="shared" si="3"/>
        <v>1609189.96</v>
      </c>
      <c r="U347" s="168">
        <f t="shared" si="4"/>
        <v>0</v>
      </c>
      <c r="V347" s="168">
        <f t="shared" si="5"/>
        <v>0</v>
      </c>
      <c r="W347" s="168">
        <f t="shared" si="6"/>
        <v>0</v>
      </c>
      <c r="X347" s="168">
        <f t="shared" si="7"/>
        <v>0</v>
      </c>
      <c r="Y347" s="168">
        <f t="shared" si="8"/>
        <v>0</v>
      </c>
      <c r="Z347" s="168">
        <f t="shared" si="9"/>
        <v>0</v>
      </c>
    </row>
    <row r="348" ht="14.25" customHeight="1">
      <c r="A348" s="157">
        <v>651.0</v>
      </c>
      <c r="B348" s="170" t="s">
        <v>720</v>
      </c>
      <c r="C348" s="161" t="s">
        <v>755</v>
      </c>
      <c r="D348" s="159">
        <v>42736.0</v>
      </c>
      <c r="E348" s="157" t="s">
        <v>8</v>
      </c>
      <c r="F348" s="160">
        <v>70000.0</v>
      </c>
      <c r="G348" s="160">
        <v>11200.0</v>
      </c>
      <c r="H348" s="160">
        <f t="shared" si="25"/>
        <v>81200</v>
      </c>
      <c r="I348" s="160"/>
      <c r="J348" s="161"/>
      <c r="K348" s="160"/>
      <c r="L348" s="160">
        <f>+'FACP$'!$H348-'FACP$'!$I348-'FACP$'!$K348</f>
        <v>81200</v>
      </c>
      <c r="M348" s="199" t="s">
        <v>777</v>
      </c>
      <c r="N348" s="162" t="s">
        <v>554</v>
      </c>
      <c r="O348" s="163">
        <v>42795.0</v>
      </c>
      <c r="P348" s="164">
        <f t="shared" si="13"/>
        <v>42746</v>
      </c>
      <c r="Q348" s="165">
        <f t="shared" si="2"/>
        <v>0</v>
      </c>
      <c r="R348" s="166"/>
      <c r="S348" s="167"/>
      <c r="T348" s="168">
        <f t="shared" si="3"/>
        <v>81200</v>
      </c>
      <c r="U348" s="168">
        <f t="shared" si="4"/>
        <v>0</v>
      </c>
      <c r="V348" s="168">
        <f t="shared" si="5"/>
        <v>0</v>
      </c>
      <c r="W348" s="168">
        <f t="shared" si="6"/>
        <v>0</v>
      </c>
      <c r="X348" s="168">
        <f t="shared" si="7"/>
        <v>0</v>
      </c>
      <c r="Y348" s="168">
        <f t="shared" si="8"/>
        <v>0</v>
      </c>
      <c r="Z348" s="168">
        <f t="shared" si="9"/>
        <v>0</v>
      </c>
    </row>
    <row r="349" ht="14.25" customHeight="1">
      <c r="A349" s="157">
        <v>652.0</v>
      </c>
      <c r="B349" s="170" t="s">
        <v>720</v>
      </c>
      <c r="C349" s="161" t="s">
        <v>784</v>
      </c>
      <c r="D349" s="159">
        <v>42675.0</v>
      </c>
      <c r="E349" s="157" t="s">
        <v>8</v>
      </c>
      <c r="F349" s="160">
        <v>70000.0</v>
      </c>
      <c r="G349" s="160">
        <v>11200.0</v>
      </c>
      <c r="H349" s="160">
        <v>81200.0</v>
      </c>
      <c r="I349" s="160"/>
      <c r="J349" s="161"/>
      <c r="K349" s="160"/>
      <c r="L349" s="160">
        <f>+'FACP$'!$H349-'FACP$'!$I349-'FACP$'!$K349</f>
        <v>81200</v>
      </c>
      <c r="M349" s="199" t="s">
        <v>777</v>
      </c>
      <c r="N349" s="162" t="s">
        <v>127</v>
      </c>
      <c r="O349" s="163"/>
      <c r="P349" s="164">
        <f t="shared" si="13"/>
        <v>42685</v>
      </c>
      <c r="Q349" s="165">
        <f t="shared" si="2"/>
        <v>0</v>
      </c>
      <c r="R349" s="166"/>
      <c r="S349" s="167"/>
      <c r="T349" s="168">
        <f t="shared" si="3"/>
        <v>81200</v>
      </c>
      <c r="U349" s="168">
        <f t="shared" si="4"/>
        <v>0</v>
      </c>
      <c r="V349" s="168">
        <f t="shared" si="5"/>
        <v>0</v>
      </c>
      <c r="W349" s="168">
        <f t="shared" si="6"/>
        <v>0</v>
      </c>
      <c r="X349" s="168">
        <f t="shared" si="7"/>
        <v>0</v>
      </c>
      <c r="Y349" s="168">
        <f t="shared" si="8"/>
        <v>0</v>
      </c>
      <c r="Z349" s="168">
        <f t="shared" si="9"/>
        <v>0</v>
      </c>
    </row>
    <row r="350" ht="14.25" customHeight="1">
      <c r="A350" s="157">
        <v>653.0</v>
      </c>
      <c r="B350" s="170" t="s">
        <v>720</v>
      </c>
      <c r="C350" s="161" t="s">
        <v>784</v>
      </c>
      <c r="D350" s="159">
        <v>42705.0</v>
      </c>
      <c r="E350" s="157" t="s">
        <v>8</v>
      </c>
      <c r="F350" s="160">
        <v>70000.0</v>
      </c>
      <c r="G350" s="160">
        <v>11200.0</v>
      </c>
      <c r="H350" s="160">
        <v>81200.0</v>
      </c>
      <c r="I350" s="160"/>
      <c r="J350" s="161"/>
      <c r="K350" s="160"/>
      <c r="L350" s="160">
        <f>+'FACP$'!$H350-'FACP$'!$I350-'FACP$'!$K350</f>
        <v>81200</v>
      </c>
      <c r="M350" s="199" t="s">
        <v>777</v>
      </c>
      <c r="N350" s="162" t="s">
        <v>127</v>
      </c>
      <c r="O350" s="163"/>
      <c r="P350" s="164">
        <f t="shared" si="13"/>
        <v>42715</v>
      </c>
      <c r="Q350" s="165">
        <f t="shared" si="2"/>
        <v>0</v>
      </c>
      <c r="R350" s="166"/>
      <c r="S350" s="167"/>
      <c r="T350" s="168">
        <f t="shared" si="3"/>
        <v>81200</v>
      </c>
      <c r="U350" s="168">
        <f t="shared" si="4"/>
        <v>0</v>
      </c>
      <c r="V350" s="168">
        <f t="shared" si="5"/>
        <v>0</v>
      </c>
      <c r="W350" s="168">
        <f t="shared" si="6"/>
        <v>0</v>
      </c>
      <c r="X350" s="168">
        <f t="shared" si="7"/>
        <v>0</v>
      </c>
      <c r="Y350" s="168">
        <f t="shared" si="8"/>
        <v>0</v>
      </c>
      <c r="Z350" s="168">
        <f t="shared" si="9"/>
        <v>0</v>
      </c>
    </row>
    <row r="351" ht="14.25" customHeight="1">
      <c r="A351" s="157">
        <v>654.0</v>
      </c>
      <c r="B351" s="170" t="s">
        <v>720</v>
      </c>
      <c r="C351" s="161" t="s">
        <v>755</v>
      </c>
      <c r="D351" s="159">
        <v>42767.0</v>
      </c>
      <c r="E351" s="157" t="s">
        <v>8</v>
      </c>
      <c r="F351" s="160">
        <v>1125729.12</v>
      </c>
      <c r="G351" s="160">
        <v>180116.66</v>
      </c>
      <c r="H351" s="160">
        <f t="shared" ref="H351:H399" si="27">F351+G351</f>
        <v>1305845.78</v>
      </c>
      <c r="I351" s="160"/>
      <c r="J351" s="161"/>
      <c r="K351" s="160"/>
      <c r="L351" s="160">
        <f>+'FACP$'!$H351-'FACP$'!$I351-'FACP$'!$K351</f>
        <v>1305845.78</v>
      </c>
      <c r="M351" s="199" t="s">
        <v>777</v>
      </c>
      <c r="N351" s="162" t="s">
        <v>127</v>
      </c>
      <c r="O351" s="163"/>
      <c r="P351" s="164">
        <f t="shared" si="13"/>
        <v>42777</v>
      </c>
      <c r="Q351" s="165">
        <f t="shared" si="2"/>
        <v>0</v>
      </c>
      <c r="R351" s="166"/>
      <c r="S351" s="167"/>
      <c r="T351" s="168">
        <f t="shared" si="3"/>
        <v>1305845.78</v>
      </c>
      <c r="U351" s="168">
        <f t="shared" si="4"/>
        <v>0</v>
      </c>
      <c r="V351" s="168">
        <f t="shared" si="5"/>
        <v>0</v>
      </c>
      <c r="W351" s="168">
        <f t="shared" si="6"/>
        <v>0</v>
      </c>
      <c r="X351" s="168">
        <f t="shared" si="7"/>
        <v>0</v>
      </c>
      <c r="Y351" s="168">
        <f t="shared" si="8"/>
        <v>0</v>
      </c>
      <c r="Z351" s="168">
        <f t="shared" si="9"/>
        <v>0</v>
      </c>
    </row>
    <row r="352" ht="14.25" customHeight="1">
      <c r="A352" s="157">
        <v>656.0</v>
      </c>
      <c r="B352" s="170" t="s">
        <v>722</v>
      </c>
      <c r="C352" s="169" t="s">
        <v>756</v>
      </c>
      <c r="D352" s="159">
        <v>42767.0</v>
      </c>
      <c r="E352" s="157" t="s">
        <v>8</v>
      </c>
      <c r="F352" s="160">
        <v>2961733.17</v>
      </c>
      <c r="G352" s="160">
        <v>473877.31</v>
      </c>
      <c r="H352" s="160">
        <f t="shared" si="27"/>
        <v>3435610.48</v>
      </c>
      <c r="I352" s="160"/>
      <c r="J352" s="161"/>
      <c r="K352" s="160"/>
      <c r="L352" s="160">
        <f>+'FACP$'!$H352-'FACP$'!$I352-'FACP$'!$K352</f>
        <v>3435610.48</v>
      </c>
      <c r="M352" s="199" t="s">
        <v>93</v>
      </c>
      <c r="N352" s="162" t="s">
        <v>127</v>
      </c>
      <c r="O352" s="163"/>
      <c r="P352" s="164">
        <f t="shared" si="13"/>
        <v>42777</v>
      </c>
      <c r="Q352" s="165">
        <f t="shared" si="2"/>
        <v>0</v>
      </c>
      <c r="R352" s="166"/>
      <c r="S352" s="167"/>
      <c r="T352" s="168">
        <f t="shared" si="3"/>
        <v>3435610.48</v>
      </c>
      <c r="U352" s="168">
        <f t="shared" si="4"/>
        <v>0</v>
      </c>
      <c r="V352" s="168">
        <f t="shared" si="5"/>
        <v>0</v>
      </c>
      <c r="W352" s="168">
        <f t="shared" si="6"/>
        <v>0</v>
      </c>
      <c r="X352" s="168">
        <f t="shared" si="7"/>
        <v>0</v>
      </c>
      <c r="Y352" s="168">
        <f t="shared" si="8"/>
        <v>0</v>
      </c>
      <c r="Z352" s="168">
        <f t="shared" si="9"/>
        <v>0</v>
      </c>
    </row>
    <row r="353" ht="14.25" customHeight="1">
      <c r="A353" s="157">
        <v>658.0</v>
      </c>
      <c r="B353" s="169" t="s">
        <v>70</v>
      </c>
      <c r="C353" s="170" t="s">
        <v>759</v>
      </c>
      <c r="D353" s="159">
        <v>42767.0</v>
      </c>
      <c r="E353" s="157" t="s">
        <v>8</v>
      </c>
      <c r="F353" s="160">
        <v>1052621.24</v>
      </c>
      <c r="G353" s="160">
        <v>168419.4</v>
      </c>
      <c r="H353" s="160">
        <f t="shared" si="27"/>
        <v>1221040.64</v>
      </c>
      <c r="I353" s="160"/>
      <c r="J353" s="161"/>
      <c r="K353" s="160"/>
      <c r="L353" s="160">
        <f>+'FACP$'!$H353-'FACP$'!$I353-'FACP$'!$K353</f>
        <v>1221040.64</v>
      </c>
      <c r="M353" s="199" t="s">
        <v>753</v>
      </c>
      <c r="N353" s="162" t="s">
        <v>554</v>
      </c>
      <c r="O353" s="163">
        <v>42803.0</v>
      </c>
      <c r="P353" s="164">
        <f t="shared" si="13"/>
        <v>42777</v>
      </c>
      <c r="Q353" s="165">
        <f t="shared" si="2"/>
        <v>0</v>
      </c>
      <c r="R353" s="166"/>
      <c r="S353" s="167"/>
      <c r="T353" s="168">
        <f t="shared" si="3"/>
        <v>1221040.64</v>
      </c>
      <c r="U353" s="168">
        <f t="shared" si="4"/>
        <v>0</v>
      </c>
      <c r="V353" s="168">
        <f t="shared" si="5"/>
        <v>0</v>
      </c>
      <c r="W353" s="168">
        <f t="shared" si="6"/>
        <v>0</v>
      </c>
      <c r="X353" s="168">
        <f t="shared" si="7"/>
        <v>0</v>
      </c>
      <c r="Y353" s="168">
        <f t="shared" si="8"/>
        <v>0</v>
      </c>
      <c r="Z353" s="168">
        <f t="shared" si="9"/>
        <v>0</v>
      </c>
    </row>
    <row r="354" ht="14.25" customHeight="1">
      <c r="A354" s="157">
        <v>660.0</v>
      </c>
      <c r="B354" s="170" t="s">
        <v>722</v>
      </c>
      <c r="C354" s="169" t="s">
        <v>756</v>
      </c>
      <c r="D354" s="159">
        <v>42767.0</v>
      </c>
      <c r="E354" s="157" t="s">
        <v>8</v>
      </c>
      <c r="F354" s="160">
        <v>3848219.36</v>
      </c>
      <c r="G354" s="160">
        <v>615715.1</v>
      </c>
      <c r="H354" s="160">
        <f t="shared" si="27"/>
        <v>4463934.46</v>
      </c>
      <c r="I354" s="160"/>
      <c r="J354" s="161"/>
      <c r="K354" s="160"/>
      <c r="L354" s="160">
        <f>+'FACP$'!$H354-'FACP$'!$I354-'FACP$'!$K354</f>
        <v>4463934.46</v>
      </c>
      <c r="M354" s="199" t="s">
        <v>93</v>
      </c>
      <c r="N354" s="162" t="s">
        <v>554</v>
      </c>
      <c r="O354" s="163">
        <v>42789.0</v>
      </c>
      <c r="P354" s="164">
        <f t="shared" si="13"/>
        <v>42777</v>
      </c>
      <c r="Q354" s="165">
        <f t="shared" si="2"/>
        <v>0</v>
      </c>
      <c r="R354" s="166"/>
      <c r="S354" s="167"/>
      <c r="T354" s="168">
        <f t="shared" si="3"/>
        <v>4463934.46</v>
      </c>
      <c r="U354" s="168">
        <f t="shared" si="4"/>
        <v>0</v>
      </c>
      <c r="V354" s="168">
        <f t="shared" si="5"/>
        <v>0</v>
      </c>
      <c r="W354" s="168">
        <f t="shared" si="6"/>
        <v>0</v>
      </c>
      <c r="X354" s="168">
        <f t="shared" si="7"/>
        <v>0</v>
      </c>
      <c r="Y354" s="168">
        <f t="shared" si="8"/>
        <v>0</v>
      </c>
      <c r="Z354" s="168">
        <f t="shared" si="9"/>
        <v>0</v>
      </c>
    </row>
    <row r="355" ht="14.25" customHeight="1">
      <c r="A355" s="157">
        <v>662.0</v>
      </c>
      <c r="B355" s="170" t="s">
        <v>720</v>
      </c>
      <c r="C355" s="161" t="s">
        <v>755</v>
      </c>
      <c r="D355" s="159">
        <v>42767.0</v>
      </c>
      <c r="E355" s="157" t="s">
        <v>8</v>
      </c>
      <c r="F355" s="160">
        <v>1125729.12</v>
      </c>
      <c r="G355" s="160">
        <v>180116.66</v>
      </c>
      <c r="H355" s="160">
        <f t="shared" si="27"/>
        <v>1305845.78</v>
      </c>
      <c r="I355" s="160"/>
      <c r="J355" s="161"/>
      <c r="K355" s="160"/>
      <c r="L355" s="160">
        <f>+'FACP$'!$H355-'FACP$'!$I355-'FACP$'!$K355</f>
        <v>1305845.78</v>
      </c>
      <c r="M355" s="199" t="s">
        <v>777</v>
      </c>
      <c r="N355" s="162" t="s">
        <v>554</v>
      </c>
      <c r="O355" s="163">
        <v>42795.0</v>
      </c>
      <c r="P355" s="164">
        <f t="shared" si="13"/>
        <v>42777</v>
      </c>
      <c r="Q355" s="165">
        <f t="shared" si="2"/>
        <v>0</v>
      </c>
      <c r="R355" s="166"/>
      <c r="S355" s="167"/>
      <c r="T355" s="168">
        <f t="shared" si="3"/>
        <v>1305845.78</v>
      </c>
      <c r="U355" s="168">
        <f t="shared" si="4"/>
        <v>0</v>
      </c>
      <c r="V355" s="168">
        <f t="shared" si="5"/>
        <v>0</v>
      </c>
      <c r="W355" s="168">
        <f t="shared" si="6"/>
        <v>0</v>
      </c>
      <c r="X355" s="168">
        <f t="shared" si="7"/>
        <v>0</v>
      </c>
      <c r="Y355" s="168">
        <f t="shared" si="8"/>
        <v>0</v>
      </c>
      <c r="Z355" s="168">
        <f t="shared" si="9"/>
        <v>0</v>
      </c>
    </row>
    <row r="356" ht="14.25" customHeight="1">
      <c r="A356" s="157">
        <v>664.0</v>
      </c>
      <c r="B356" s="170" t="s">
        <v>720</v>
      </c>
      <c r="C356" s="161" t="s">
        <v>755</v>
      </c>
      <c r="D356" s="159">
        <v>42767.0</v>
      </c>
      <c r="E356" s="157" t="s">
        <v>8</v>
      </c>
      <c r="F356" s="160">
        <v>70000.0</v>
      </c>
      <c r="G356" s="160">
        <v>11200.0</v>
      </c>
      <c r="H356" s="160">
        <f t="shared" si="27"/>
        <v>81200</v>
      </c>
      <c r="I356" s="160"/>
      <c r="J356" s="161"/>
      <c r="K356" s="160"/>
      <c r="L356" s="160">
        <f>+'FACP$'!$H356-'FACP$'!$I356-'FACP$'!$K356</f>
        <v>81200</v>
      </c>
      <c r="M356" s="199" t="s">
        <v>777</v>
      </c>
      <c r="N356" s="162" t="s">
        <v>554</v>
      </c>
      <c r="O356" s="163">
        <v>42802.0</v>
      </c>
      <c r="P356" s="164">
        <f t="shared" si="13"/>
        <v>42777</v>
      </c>
      <c r="Q356" s="165">
        <f t="shared" si="2"/>
        <v>0</v>
      </c>
      <c r="R356" s="166"/>
      <c r="S356" s="167"/>
      <c r="T356" s="168">
        <f t="shared" si="3"/>
        <v>81200</v>
      </c>
      <c r="U356" s="168">
        <f t="shared" si="4"/>
        <v>0</v>
      </c>
      <c r="V356" s="168">
        <f t="shared" si="5"/>
        <v>0</v>
      </c>
      <c r="W356" s="168">
        <f t="shared" si="6"/>
        <v>0</v>
      </c>
      <c r="X356" s="168">
        <f t="shared" si="7"/>
        <v>0</v>
      </c>
      <c r="Y356" s="168">
        <f t="shared" si="8"/>
        <v>0</v>
      </c>
      <c r="Z356" s="168">
        <f t="shared" si="9"/>
        <v>0</v>
      </c>
    </row>
    <row r="357" ht="14.25" customHeight="1">
      <c r="A357" s="157">
        <v>665.0</v>
      </c>
      <c r="B357" s="169" t="s">
        <v>692</v>
      </c>
      <c r="C357" s="169" t="s">
        <v>737</v>
      </c>
      <c r="D357" s="159">
        <v>42767.0</v>
      </c>
      <c r="E357" s="157" t="s">
        <v>8</v>
      </c>
      <c r="F357" s="160">
        <v>230140.72</v>
      </c>
      <c r="G357" s="160">
        <v>36822.52</v>
      </c>
      <c r="H357" s="160">
        <f t="shared" si="27"/>
        <v>266963.24</v>
      </c>
      <c r="I357" s="160"/>
      <c r="J357" s="161"/>
      <c r="K357" s="160"/>
      <c r="L357" s="160">
        <f>+'FACP$'!$H357-'FACP$'!$I357-'FACP$'!$K357</f>
        <v>266963.24</v>
      </c>
      <c r="M357" s="199" t="s">
        <v>754</v>
      </c>
      <c r="N357" s="162" t="s">
        <v>554</v>
      </c>
      <c r="O357" s="175">
        <v>42800.0</v>
      </c>
      <c r="P357" s="164">
        <f t="shared" si="13"/>
        <v>42777</v>
      </c>
      <c r="Q357" s="165">
        <f t="shared" si="2"/>
        <v>0</v>
      </c>
      <c r="R357" s="166"/>
      <c r="S357" s="167"/>
      <c r="T357" s="168">
        <f t="shared" si="3"/>
        <v>266963.24</v>
      </c>
      <c r="U357" s="168">
        <f t="shared" si="4"/>
        <v>0</v>
      </c>
      <c r="V357" s="168">
        <f t="shared" si="5"/>
        <v>0</v>
      </c>
      <c r="W357" s="168">
        <f t="shared" si="6"/>
        <v>0</v>
      </c>
      <c r="X357" s="168">
        <f t="shared" si="7"/>
        <v>0</v>
      </c>
      <c r="Y357" s="168">
        <f t="shared" si="8"/>
        <v>0</v>
      </c>
      <c r="Z357" s="168">
        <f t="shared" si="9"/>
        <v>0</v>
      </c>
    </row>
    <row r="358" ht="14.25" customHeight="1">
      <c r="A358" s="157">
        <v>666.0</v>
      </c>
      <c r="B358" s="169" t="s">
        <v>692</v>
      </c>
      <c r="C358" s="169" t="s">
        <v>737</v>
      </c>
      <c r="D358" s="159">
        <v>42767.0</v>
      </c>
      <c r="E358" s="157" t="s">
        <v>8</v>
      </c>
      <c r="F358" s="160">
        <v>6065024.13</v>
      </c>
      <c r="G358" s="160">
        <f>+F358*0.16</f>
        <v>970403.8608</v>
      </c>
      <c r="H358" s="160">
        <f t="shared" si="27"/>
        <v>7035427.991</v>
      </c>
      <c r="I358" s="160"/>
      <c r="J358" s="161"/>
      <c r="K358" s="160"/>
      <c r="L358" s="160">
        <f>+'FACP$'!$H358-'FACP$'!$I358-'FACP$'!$K358</f>
        <v>7035427.991</v>
      </c>
      <c r="M358" s="199" t="s">
        <v>752</v>
      </c>
      <c r="N358" s="162" t="s">
        <v>554</v>
      </c>
      <c r="O358" s="175">
        <v>42800.0</v>
      </c>
      <c r="P358" s="164">
        <f t="shared" si="13"/>
        <v>42777</v>
      </c>
      <c r="Q358" s="165">
        <f t="shared" si="2"/>
        <v>0</v>
      </c>
      <c r="R358" s="166"/>
      <c r="S358" s="167"/>
      <c r="T358" s="168">
        <f t="shared" si="3"/>
        <v>7035427.991</v>
      </c>
      <c r="U358" s="168">
        <f t="shared" si="4"/>
        <v>0</v>
      </c>
      <c r="V358" s="168">
        <f t="shared" si="5"/>
        <v>0</v>
      </c>
      <c r="W358" s="168">
        <f t="shared" si="6"/>
        <v>0</v>
      </c>
      <c r="X358" s="168">
        <f t="shared" si="7"/>
        <v>0</v>
      </c>
      <c r="Y358" s="168">
        <f t="shared" si="8"/>
        <v>0</v>
      </c>
      <c r="Z358" s="168">
        <f t="shared" si="9"/>
        <v>0</v>
      </c>
    </row>
    <row r="359" ht="14.25" customHeight="1">
      <c r="A359" s="157">
        <v>667.0</v>
      </c>
      <c r="B359" s="170" t="s">
        <v>37</v>
      </c>
      <c r="C359" s="169" t="s">
        <v>756</v>
      </c>
      <c r="D359" s="159">
        <v>42767.0</v>
      </c>
      <c r="E359" s="157" t="s">
        <v>8</v>
      </c>
      <c r="F359" s="160">
        <v>1987366.6</v>
      </c>
      <c r="G359" s="160">
        <v>317978.66</v>
      </c>
      <c r="H359" s="160">
        <f t="shared" si="27"/>
        <v>2305345.26</v>
      </c>
      <c r="I359" s="160"/>
      <c r="J359" s="161"/>
      <c r="K359" s="160"/>
      <c r="L359" s="160">
        <f>+'FACP$'!$H359-'FACP$'!$I359-'FACP$'!$K359</f>
        <v>2305345.26</v>
      </c>
      <c r="M359" s="199" t="s">
        <v>718</v>
      </c>
      <c r="N359" s="162" t="s">
        <v>554</v>
      </c>
      <c r="O359" s="163">
        <v>42801.0</v>
      </c>
      <c r="P359" s="164">
        <f t="shared" si="13"/>
        <v>42777</v>
      </c>
      <c r="Q359" s="165">
        <f t="shared" si="2"/>
        <v>0</v>
      </c>
      <c r="R359" s="166"/>
      <c r="S359" s="167"/>
      <c r="T359" s="168">
        <f t="shared" si="3"/>
        <v>2305345.26</v>
      </c>
      <c r="U359" s="168">
        <f t="shared" si="4"/>
        <v>0</v>
      </c>
      <c r="V359" s="168">
        <f t="shared" si="5"/>
        <v>0</v>
      </c>
      <c r="W359" s="168">
        <f t="shared" si="6"/>
        <v>0</v>
      </c>
      <c r="X359" s="168">
        <f t="shared" si="7"/>
        <v>0</v>
      </c>
      <c r="Y359" s="168">
        <f t="shared" si="8"/>
        <v>0</v>
      </c>
      <c r="Z359" s="168">
        <f t="shared" si="9"/>
        <v>0</v>
      </c>
    </row>
    <row r="360" ht="14.25" customHeight="1">
      <c r="A360" s="157">
        <v>670.0</v>
      </c>
      <c r="B360" s="170" t="s">
        <v>720</v>
      </c>
      <c r="C360" s="161" t="s">
        <v>755</v>
      </c>
      <c r="D360" s="159">
        <v>42780.0</v>
      </c>
      <c r="E360" s="157" t="s">
        <v>8</v>
      </c>
      <c r="F360" s="160">
        <v>1090019.99</v>
      </c>
      <c r="G360" s="160">
        <v>174403.2</v>
      </c>
      <c r="H360" s="160">
        <f t="shared" si="27"/>
        <v>1264423.19</v>
      </c>
      <c r="I360" s="160"/>
      <c r="J360" s="161"/>
      <c r="K360" s="160"/>
      <c r="L360" s="160">
        <f>+'FACP$'!$H360-'FACP$'!$I360-'FACP$'!$K360</f>
        <v>1264423.19</v>
      </c>
      <c r="M360" s="199" t="s">
        <v>777</v>
      </c>
      <c r="N360" s="162" t="s">
        <v>554</v>
      </c>
      <c r="O360" s="163">
        <v>42804.0</v>
      </c>
      <c r="P360" s="164">
        <f t="shared" si="13"/>
        <v>42790</v>
      </c>
      <c r="Q360" s="165">
        <f t="shared" si="2"/>
        <v>0</v>
      </c>
      <c r="R360" s="166"/>
      <c r="S360" s="167"/>
      <c r="T360" s="168">
        <f t="shared" si="3"/>
        <v>1264423.19</v>
      </c>
      <c r="U360" s="168">
        <f t="shared" si="4"/>
        <v>0</v>
      </c>
      <c r="V360" s="168">
        <f t="shared" si="5"/>
        <v>0</v>
      </c>
      <c r="W360" s="168">
        <f t="shared" si="6"/>
        <v>0</v>
      </c>
      <c r="X360" s="168">
        <f t="shared" si="7"/>
        <v>0</v>
      </c>
      <c r="Y360" s="168">
        <f t="shared" si="8"/>
        <v>0</v>
      </c>
      <c r="Z360" s="168">
        <f t="shared" si="9"/>
        <v>0</v>
      </c>
    </row>
    <row r="361" ht="14.25" customHeight="1">
      <c r="A361" s="157">
        <v>672.0</v>
      </c>
      <c r="B361" s="169" t="s">
        <v>692</v>
      </c>
      <c r="C361" s="169" t="s">
        <v>737</v>
      </c>
      <c r="D361" s="159">
        <v>42781.0</v>
      </c>
      <c r="E361" s="157" t="s">
        <v>8</v>
      </c>
      <c r="F361" s="160">
        <v>341223.14</v>
      </c>
      <c r="G361" s="160">
        <v>54595.7</v>
      </c>
      <c r="H361" s="160">
        <f t="shared" si="27"/>
        <v>395818.84</v>
      </c>
      <c r="I361" s="160"/>
      <c r="J361" s="161"/>
      <c r="K361" s="160"/>
      <c r="L361" s="160">
        <f>+'FACP$'!$H361-'FACP$'!$I361-'FACP$'!$K361</f>
        <v>395818.84</v>
      </c>
      <c r="M361" s="199" t="s">
        <v>754</v>
      </c>
      <c r="N361" s="162" t="s">
        <v>127</v>
      </c>
      <c r="O361" s="175"/>
      <c r="P361" s="164">
        <f t="shared" si="13"/>
        <v>42791</v>
      </c>
      <c r="Q361" s="165">
        <f t="shared" si="2"/>
        <v>0</v>
      </c>
      <c r="R361" s="166"/>
      <c r="S361" s="167"/>
      <c r="T361" s="168">
        <f t="shared" si="3"/>
        <v>395818.84</v>
      </c>
      <c r="U361" s="168">
        <f t="shared" si="4"/>
        <v>0</v>
      </c>
      <c r="V361" s="168">
        <f t="shared" si="5"/>
        <v>0</v>
      </c>
      <c r="W361" s="168">
        <f t="shared" si="6"/>
        <v>0</v>
      </c>
      <c r="X361" s="168">
        <f t="shared" si="7"/>
        <v>0</v>
      </c>
      <c r="Y361" s="168">
        <f t="shared" si="8"/>
        <v>0</v>
      </c>
      <c r="Z361" s="168">
        <f t="shared" si="9"/>
        <v>0</v>
      </c>
    </row>
    <row r="362" ht="14.25" customHeight="1">
      <c r="A362" s="157">
        <v>673.0</v>
      </c>
      <c r="B362" s="169" t="s">
        <v>692</v>
      </c>
      <c r="C362" s="169" t="s">
        <v>737</v>
      </c>
      <c r="D362" s="159">
        <v>42749.0</v>
      </c>
      <c r="E362" s="157" t="s">
        <v>8</v>
      </c>
      <c r="F362" s="160">
        <v>6447556.21</v>
      </c>
      <c r="G362" s="160">
        <v>1031608.99</v>
      </c>
      <c r="H362" s="160">
        <f t="shared" si="27"/>
        <v>7479165.2</v>
      </c>
      <c r="I362" s="160"/>
      <c r="J362" s="161"/>
      <c r="K362" s="160"/>
      <c r="L362" s="160">
        <f>+'FACP$'!$H362-'FACP$'!$I362-'FACP$'!$K362</f>
        <v>7479165.2</v>
      </c>
      <c r="M362" s="199" t="s">
        <v>752</v>
      </c>
      <c r="N362" s="162" t="s">
        <v>127</v>
      </c>
      <c r="O362" s="175"/>
      <c r="P362" s="164">
        <f t="shared" si="13"/>
        <v>42759</v>
      </c>
      <c r="Q362" s="165">
        <f t="shared" si="2"/>
        <v>0</v>
      </c>
      <c r="R362" s="166"/>
      <c r="S362" s="167"/>
      <c r="T362" s="168">
        <f t="shared" si="3"/>
        <v>7479165.2</v>
      </c>
      <c r="U362" s="168">
        <f t="shared" si="4"/>
        <v>0</v>
      </c>
      <c r="V362" s="168">
        <f t="shared" si="5"/>
        <v>0</v>
      </c>
      <c r="W362" s="168">
        <f t="shared" si="6"/>
        <v>0</v>
      </c>
      <c r="X362" s="168">
        <f t="shared" si="7"/>
        <v>0</v>
      </c>
      <c r="Y362" s="168">
        <f t="shared" si="8"/>
        <v>0</v>
      </c>
      <c r="Z362" s="168">
        <f t="shared" si="9"/>
        <v>0</v>
      </c>
    </row>
    <row r="363" ht="14.25" customHeight="1">
      <c r="A363" s="157">
        <v>674.0</v>
      </c>
      <c r="B363" s="170" t="s">
        <v>722</v>
      </c>
      <c r="C363" s="169" t="s">
        <v>756</v>
      </c>
      <c r="D363" s="159">
        <v>42767.0</v>
      </c>
      <c r="E363" s="157" t="s">
        <v>8</v>
      </c>
      <c r="F363" s="160">
        <v>3961059.4</v>
      </c>
      <c r="G363" s="160">
        <v>633769.5</v>
      </c>
      <c r="H363" s="160">
        <f t="shared" si="27"/>
        <v>4594828.9</v>
      </c>
      <c r="I363" s="160"/>
      <c r="J363" s="161"/>
      <c r="K363" s="160"/>
      <c r="L363" s="160">
        <f>+'FACP$'!$H363-'FACP$'!$I363-'FACP$'!$K363</f>
        <v>4594828.9</v>
      </c>
      <c r="M363" s="199" t="s">
        <v>93</v>
      </c>
      <c r="N363" s="162" t="s">
        <v>554</v>
      </c>
      <c r="O363" s="163">
        <v>42803.0</v>
      </c>
      <c r="P363" s="164">
        <f t="shared" si="13"/>
        <v>42777</v>
      </c>
      <c r="Q363" s="165">
        <f t="shared" si="2"/>
        <v>0</v>
      </c>
      <c r="R363" s="166"/>
      <c r="S363" s="167"/>
      <c r="T363" s="168">
        <f t="shared" si="3"/>
        <v>4594828.9</v>
      </c>
      <c r="U363" s="168">
        <f t="shared" si="4"/>
        <v>0</v>
      </c>
      <c r="V363" s="168">
        <f t="shared" si="5"/>
        <v>0</v>
      </c>
      <c r="W363" s="168">
        <f t="shared" si="6"/>
        <v>0</v>
      </c>
      <c r="X363" s="168">
        <f t="shared" si="7"/>
        <v>0</v>
      </c>
      <c r="Y363" s="168">
        <f t="shared" si="8"/>
        <v>0</v>
      </c>
      <c r="Z363" s="168">
        <f t="shared" si="9"/>
        <v>0</v>
      </c>
    </row>
    <row r="364" ht="14.25" customHeight="1">
      <c r="A364" s="157">
        <v>675.0</v>
      </c>
      <c r="B364" s="170" t="s">
        <v>722</v>
      </c>
      <c r="C364" s="169" t="s">
        <v>756</v>
      </c>
      <c r="D364" s="159">
        <v>42767.0</v>
      </c>
      <c r="E364" s="157" t="s">
        <v>8</v>
      </c>
      <c r="F364" s="160">
        <v>413613.73</v>
      </c>
      <c r="G364" s="160">
        <v>66178.2</v>
      </c>
      <c r="H364" s="160">
        <f t="shared" si="27"/>
        <v>479791.93</v>
      </c>
      <c r="I364" s="160"/>
      <c r="J364" s="161"/>
      <c r="K364" s="160"/>
      <c r="L364" s="160">
        <f>+'FACP$'!$H364-'FACP$'!$I364-'FACP$'!$K364</f>
        <v>479791.93</v>
      </c>
      <c r="M364" s="199" t="s">
        <v>93</v>
      </c>
      <c r="N364" s="162" t="s">
        <v>554</v>
      </c>
      <c r="O364" s="163">
        <v>42803.0</v>
      </c>
      <c r="P364" s="164">
        <f t="shared" si="13"/>
        <v>42777</v>
      </c>
      <c r="Q364" s="165">
        <f t="shared" si="2"/>
        <v>0</v>
      </c>
      <c r="R364" s="166"/>
      <c r="S364" s="167"/>
      <c r="T364" s="168">
        <f t="shared" si="3"/>
        <v>479791.93</v>
      </c>
      <c r="U364" s="168">
        <f t="shared" si="4"/>
        <v>0</v>
      </c>
      <c r="V364" s="168">
        <f t="shared" si="5"/>
        <v>0</v>
      </c>
      <c r="W364" s="168">
        <f t="shared" si="6"/>
        <v>0</v>
      </c>
      <c r="X364" s="168">
        <f t="shared" si="7"/>
        <v>0</v>
      </c>
      <c r="Y364" s="168">
        <f t="shared" si="8"/>
        <v>0</v>
      </c>
      <c r="Z364" s="168">
        <f t="shared" si="9"/>
        <v>0</v>
      </c>
    </row>
    <row r="365" ht="14.25" customHeight="1">
      <c r="A365" s="157">
        <v>676.0</v>
      </c>
      <c r="B365" s="170" t="s">
        <v>722</v>
      </c>
      <c r="C365" s="169" t="s">
        <v>756</v>
      </c>
      <c r="D365" s="159">
        <v>42767.0</v>
      </c>
      <c r="E365" s="157" t="s">
        <v>8</v>
      </c>
      <c r="F365" s="160">
        <v>1283746.61</v>
      </c>
      <c r="G365" s="160">
        <v>205399.46</v>
      </c>
      <c r="H365" s="160">
        <f t="shared" si="27"/>
        <v>1489146.07</v>
      </c>
      <c r="I365" s="160"/>
      <c r="J365" s="161"/>
      <c r="K365" s="160"/>
      <c r="L365" s="160">
        <f>+'FACP$'!$H365-'FACP$'!$I365-'FACP$'!$K365</f>
        <v>1489146.07</v>
      </c>
      <c r="M365" s="199" t="s">
        <v>93</v>
      </c>
      <c r="N365" s="162" t="s">
        <v>554</v>
      </c>
      <c r="O365" s="163">
        <v>42803.0</v>
      </c>
      <c r="P365" s="164">
        <f t="shared" si="13"/>
        <v>42777</v>
      </c>
      <c r="Q365" s="165">
        <f t="shared" si="2"/>
        <v>0</v>
      </c>
      <c r="R365" s="166"/>
      <c r="S365" s="167"/>
      <c r="T365" s="168">
        <f t="shared" si="3"/>
        <v>1489146.07</v>
      </c>
      <c r="U365" s="168">
        <f t="shared" si="4"/>
        <v>0</v>
      </c>
      <c r="V365" s="168">
        <f t="shared" si="5"/>
        <v>0</v>
      </c>
      <c r="W365" s="168">
        <f t="shared" si="6"/>
        <v>0</v>
      </c>
      <c r="X365" s="168">
        <f t="shared" si="7"/>
        <v>0</v>
      </c>
      <c r="Y365" s="168">
        <f t="shared" si="8"/>
        <v>0</v>
      </c>
      <c r="Z365" s="168">
        <f t="shared" si="9"/>
        <v>0</v>
      </c>
    </row>
    <row r="366" ht="14.25" customHeight="1">
      <c r="A366" s="157">
        <v>677.0</v>
      </c>
      <c r="B366" s="169" t="s">
        <v>70</v>
      </c>
      <c r="C366" s="170" t="s">
        <v>759</v>
      </c>
      <c r="D366" s="159">
        <v>42781.0</v>
      </c>
      <c r="E366" s="157" t="s">
        <v>8</v>
      </c>
      <c r="F366" s="160">
        <v>1006118.24</v>
      </c>
      <c r="G366" s="160">
        <v>160978.92</v>
      </c>
      <c r="H366" s="160">
        <f t="shared" si="27"/>
        <v>1167097.16</v>
      </c>
      <c r="I366" s="160"/>
      <c r="J366" s="161"/>
      <c r="K366" s="160"/>
      <c r="L366" s="160">
        <f>+'FACP$'!$H366-'FACP$'!$I366-'FACP$'!$K366</f>
        <v>1167097.16</v>
      </c>
      <c r="M366" s="199" t="s">
        <v>753</v>
      </c>
      <c r="N366" s="162" t="s">
        <v>554</v>
      </c>
      <c r="O366" s="190">
        <v>42835.0</v>
      </c>
      <c r="P366" s="164">
        <f t="shared" si="13"/>
        <v>42791</v>
      </c>
      <c r="Q366" s="165">
        <f t="shared" si="2"/>
        <v>0</v>
      </c>
      <c r="R366" s="166"/>
      <c r="S366" s="167"/>
      <c r="T366" s="168">
        <f t="shared" si="3"/>
        <v>1167097.16</v>
      </c>
      <c r="U366" s="168">
        <f t="shared" si="4"/>
        <v>0</v>
      </c>
      <c r="V366" s="168">
        <f t="shared" si="5"/>
        <v>0</v>
      </c>
      <c r="W366" s="168">
        <f t="shared" si="6"/>
        <v>0</v>
      </c>
      <c r="X366" s="168">
        <f t="shared" si="7"/>
        <v>0</v>
      </c>
      <c r="Y366" s="168">
        <f t="shared" si="8"/>
        <v>0</v>
      </c>
      <c r="Z366" s="168">
        <f t="shared" si="9"/>
        <v>0</v>
      </c>
    </row>
    <row r="367" ht="14.25" customHeight="1">
      <c r="A367" s="157">
        <v>679.0</v>
      </c>
      <c r="B367" s="169" t="s">
        <v>692</v>
      </c>
      <c r="C367" s="169" t="s">
        <v>737</v>
      </c>
      <c r="D367" s="159">
        <v>42781.0</v>
      </c>
      <c r="E367" s="157" t="s">
        <v>8</v>
      </c>
      <c r="F367" s="160">
        <v>5204244.24</v>
      </c>
      <c r="G367" s="160">
        <v>832679.08</v>
      </c>
      <c r="H367" s="160">
        <f t="shared" si="27"/>
        <v>6036923.32</v>
      </c>
      <c r="I367" s="160"/>
      <c r="J367" s="161"/>
      <c r="K367" s="160"/>
      <c r="L367" s="160">
        <f>+'FACP$'!$H367-'FACP$'!$I367-'FACP$'!$K367</f>
        <v>6036923.32</v>
      </c>
      <c r="M367" s="199" t="s">
        <v>752</v>
      </c>
      <c r="N367" s="162" t="s">
        <v>127</v>
      </c>
      <c r="O367" s="175"/>
      <c r="P367" s="164">
        <f t="shared" si="13"/>
        <v>42791</v>
      </c>
      <c r="Q367" s="165">
        <f t="shared" si="2"/>
        <v>0</v>
      </c>
      <c r="R367" s="166"/>
      <c r="S367" s="167"/>
      <c r="T367" s="168">
        <f t="shared" si="3"/>
        <v>6036923.32</v>
      </c>
      <c r="U367" s="168">
        <f t="shared" si="4"/>
        <v>0</v>
      </c>
      <c r="V367" s="168">
        <f t="shared" si="5"/>
        <v>0</v>
      </c>
      <c r="W367" s="168">
        <f t="shared" si="6"/>
        <v>0</v>
      </c>
      <c r="X367" s="168">
        <f t="shared" si="7"/>
        <v>0</v>
      </c>
      <c r="Y367" s="168">
        <f t="shared" si="8"/>
        <v>0</v>
      </c>
      <c r="Z367" s="168">
        <f t="shared" si="9"/>
        <v>0</v>
      </c>
    </row>
    <row r="368" ht="14.25" customHeight="1">
      <c r="A368" s="157">
        <v>680.0</v>
      </c>
      <c r="B368" s="169" t="s">
        <v>692</v>
      </c>
      <c r="C368" s="169" t="s">
        <v>737</v>
      </c>
      <c r="D368" s="159">
        <v>42781.0</v>
      </c>
      <c r="E368" s="157" t="s">
        <v>8</v>
      </c>
      <c r="F368" s="160">
        <v>337434.16</v>
      </c>
      <c r="G368" s="160">
        <v>53989.47</v>
      </c>
      <c r="H368" s="160">
        <f t="shared" si="27"/>
        <v>391423.63</v>
      </c>
      <c r="I368" s="160"/>
      <c r="J368" s="161"/>
      <c r="K368" s="160"/>
      <c r="L368" s="160">
        <f>+'FACP$'!$H368-'FACP$'!$I368-'FACP$'!$K368</f>
        <v>391423.63</v>
      </c>
      <c r="M368" s="199" t="s">
        <v>754</v>
      </c>
      <c r="N368" s="162" t="s">
        <v>554</v>
      </c>
      <c r="O368" s="175">
        <v>42828.0</v>
      </c>
      <c r="P368" s="164">
        <f t="shared" si="13"/>
        <v>42791</v>
      </c>
      <c r="Q368" s="165">
        <f t="shared" si="2"/>
        <v>0</v>
      </c>
      <c r="R368" s="166"/>
      <c r="S368" s="167"/>
      <c r="T368" s="168">
        <f t="shared" si="3"/>
        <v>391423.63</v>
      </c>
      <c r="U368" s="168">
        <f t="shared" si="4"/>
        <v>0</v>
      </c>
      <c r="V368" s="168">
        <f t="shared" si="5"/>
        <v>0</v>
      </c>
      <c r="W368" s="168">
        <f t="shared" si="6"/>
        <v>0</v>
      </c>
      <c r="X368" s="168">
        <f t="shared" si="7"/>
        <v>0</v>
      </c>
      <c r="Y368" s="168">
        <f t="shared" si="8"/>
        <v>0</v>
      </c>
      <c r="Z368" s="168">
        <f t="shared" si="9"/>
        <v>0</v>
      </c>
    </row>
    <row r="369" ht="14.25" customHeight="1">
      <c r="A369" s="157">
        <v>681.0</v>
      </c>
      <c r="B369" s="169" t="s">
        <v>692</v>
      </c>
      <c r="C369" s="169" t="s">
        <v>737</v>
      </c>
      <c r="D369" s="159">
        <v>42781.0</v>
      </c>
      <c r="E369" s="157" t="s">
        <v>8</v>
      </c>
      <c r="F369" s="160">
        <v>5154254.44</v>
      </c>
      <c r="G369" s="160">
        <v>824680.71</v>
      </c>
      <c r="H369" s="160">
        <f t="shared" si="27"/>
        <v>5978935.15</v>
      </c>
      <c r="I369" s="160"/>
      <c r="J369" s="161"/>
      <c r="K369" s="160"/>
      <c r="L369" s="160">
        <f>+'FACP$'!$H369-'FACP$'!$I369-'FACP$'!$K369</f>
        <v>5978935.15</v>
      </c>
      <c r="M369" s="199" t="s">
        <v>752</v>
      </c>
      <c r="N369" s="162" t="s">
        <v>554</v>
      </c>
      <c r="O369" s="175">
        <v>42828.0</v>
      </c>
      <c r="P369" s="164">
        <f t="shared" si="13"/>
        <v>42791</v>
      </c>
      <c r="Q369" s="165">
        <f t="shared" si="2"/>
        <v>0</v>
      </c>
      <c r="R369" s="166"/>
      <c r="S369" s="167"/>
      <c r="T369" s="168">
        <f t="shared" si="3"/>
        <v>5978935.15</v>
      </c>
      <c r="U369" s="168">
        <f t="shared" si="4"/>
        <v>0</v>
      </c>
      <c r="V369" s="168">
        <f t="shared" si="5"/>
        <v>0</v>
      </c>
      <c r="W369" s="168">
        <f t="shared" si="6"/>
        <v>0</v>
      </c>
      <c r="X369" s="168">
        <f t="shared" si="7"/>
        <v>0</v>
      </c>
      <c r="Y369" s="168">
        <f t="shared" si="8"/>
        <v>0</v>
      </c>
      <c r="Z369" s="168">
        <f t="shared" si="9"/>
        <v>0</v>
      </c>
    </row>
    <row r="370" ht="14.25" customHeight="1">
      <c r="A370" s="157">
        <v>682.0</v>
      </c>
      <c r="B370" s="170" t="s">
        <v>37</v>
      </c>
      <c r="C370" s="169" t="s">
        <v>756</v>
      </c>
      <c r="D370" s="159">
        <v>42781.0</v>
      </c>
      <c r="E370" s="157" t="s">
        <v>8</v>
      </c>
      <c r="F370" s="160">
        <v>1493036.88</v>
      </c>
      <c r="G370" s="160">
        <v>238885.9</v>
      </c>
      <c r="H370" s="160">
        <f t="shared" si="27"/>
        <v>1731922.78</v>
      </c>
      <c r="I370" s="160"/>
      <c r="J370" s="161"/>
      <c r="K370" s="160"/>
      <c r="L370" s="160">
        <f>+'FACP$'!$H370-'FACP$'!$I370-'FACP$'!$K370</f>
        <v>1731922.78</v>
      </c>
      <c r="M370" s="199" t="s">
        <v>718</v>
      </c>
      <c r="N370" s="162" t="s">
        <v>554</v>
      </c>
      <c r="O370" s="163">
        <v>42822.0</v>
      </c>
      <c r="P370" s="164">
        <f t="shared" si="13"/>
        <v>42791</v>
      </c>
      <c r="Q370" s="165">
        <f t="shared" si="2"/>
        <v>0</v>
      </c>
      <c r="R370" s="166"/>
      <c r="S370" s="167"/>
      <c r="T370" s="168">
        <f t="shared" si="3"/>
        <v>1731922.78</v>
      </c>
      <c r="U370" s="168">
        <f t="shared" si="4"/>
        <v>0</v>
      </c>
      <c r="V370" s="168">
        <f t="shared" si="5"/>
        <v>0</v>
      </c>
      <c r="W370" s="168">
        <f t="shared" si="6"/>
        <v>0</v>
      </c>
      <c r="X370" s="168">
        <f t="shared" si="7"/>
        <v>0</v>
      </c>
      <c r="Y370" s="168">
        <f t="shared" si="8"/>
        <v>0</v>
      </c>
      <c r="Z370" s="168">
        <f t="shared" si="9"/>
        <v>0</v>
      </c>
    </row>
    <row r="371" ht="14.25" customHeight="1">
      <c r="A371" s="157">
        <v>684.0</v>
      </c>
      <c r="B371" s="170" t="s">
        <v>720</v>
      </c>
      <c r="C371" s="161" t="s">
        <v>755</v>
      </c>
      <c r="D371" s="159">
        <v>42795.0</v>
      </c>
      <c r="E371" s="157" t="s">
        <v>8</v>
      </c>
      <c r="F371" s="160">
        <v>825759.13</v>
      </c>
      <c r="G371" s="160">
        <v>132121.46</v>
      </c>
      <c r="H371" s="160">
        <f t="shared" si="27"/>
        <v>957880.59</v>
      </c>
      <c r="I371" s="160"/>
      <c r="J371" s="161"/>
      <c r="K371" s="160"/>
      <c r="L371" s="160">
        <f>+'FACP$'!$H371-'FACP$'!$I371-'FACP$'!$K371</f>
        <v>957880.59</v>
      </c>
      <c r="M371" s="199" t="s">
        <v>777</v>
      </c>
      <c r="N371" s="162" t="s">
        <v>554</v>
      </c>
      <c r="O371" s="163">
        <v>42823.0</v>
      </c>
      <c r="P371" s="164">
        <f t="shared" si="13"/>
        <v>42805</v>
      </c>
      <c r="Q371" s="165">
        <f t="shared" si="2"/>
        <v>0</v>
      </c>
      <c r="R371" s="166"/>
      <c r="S371" s="167"/>
      <c r="T371" s="168">
        <f t="shared" si="3"/>
        <v>957880.59</v>
      </c>
      <c r="U371" s="168">
        <f t="shared" si="4"/>
        <v>0</v>
      </c>
      <c r="V371" s="168">
        <f t="shared" si="5"/>
        <v>0</v>
      </c>
      <c r="W371" s="168">
        <f t="shared" si="6"/>
        <v>0</v>
      </c>
      <c r="X371" s="168">
        <f t="shared" si="7"/>
        <v>0</v>
      </c>
      <c r="Y371" s="168">
        <f t="shared" si="8"/>
        <v>0</v>
      </c>
      <c r="Z371" s="168">
        <f t="shared" si="9"/>
        <v>0</v>
      </c>
    </row>
    <row r="372" ht="14.25" customHeight="1">
      <c r="A372" s="157">
        <v>686.0</v>
      </c>
      <c r="B372" s="170" t="s">
        <v>722</v>
      </c>
      <c r="C372" s="169" t="s">
        <v>756</v>
      </c>
      <c r="D372" s="159">
        <v>42795.0</v>
      </c>
      <c r="E372" s="157" t="s">
        <v>8</v>
      </c>
      <c r="F372" s="160">
        <v>3659969.43</v>
      </c>
      <c r="G372" s="160">
        <v>585595.11</v>
      </c>
      <c r="H372" s="160">
        <f t="shared" si="27"/>
        <v>4245564.54</v>
      </c>
      <c r="I372" s="160"/>
      <c r="J372" s="161"/>
      <c r="K372" s="160"/>
      <c r="L372" s="160">
        <f>+'FACP$'!$H372-'FACP$'!$I372-'FACP$'!$K372</f>
        <v>4245564.54</v>
      </c>
      <c r="M372" s="199" t="s">
        <v>93</v>
      </c>
      <c r="N372" s="162" t="s">
        <v>554</v>
      </c>
      <c r="O372" s="163">
        <v>42817.0</v>
      </c>
      <c r="P372" s="164">
        <f t="shared" si="13"/>
        <v>42805</v>
      </c>
      <c r="Q372" s="165">
        <f t="shared" si="2"/>
        <v>0</v>
      </c>
      <c r="R372" s="166"/>
      <c r="S372" s="167"/>
      <c r="T372" s="168">
        <f t="shared" si="3"/>
        <v>4245564.54</v>
      </c>
      <c r="U372" s="168">
        <f t="shared" si="4"/>
        <v>0</v>
      </c>
      <c r="V372" s="168">
        <f t="shared" si="5"/>
        <v>0</v>
      </c>
      <c r="W372" s="168">
        <f t="shared" si="6"/>
        <v>0</v>
      </c>
      <c r="X372" s="168">
        <f t="shared" si="7"/>
        <v>0</v>
      </c>
      <c r="Y372" s="168">
        <f t="shared" si="8"/>
        <v>0</v>
      </c>
      <c r="Z372" s="168">
        <f t="shared" si="9"/>
        <v>0</v>
      </c>
    </row>
    <row r="373" ht="14.25" customHeight="1">
      <c r="A373" s="157">
        <v>688.0</v>
      </c>
      <c r="B373" s="169" t="s">
        <v>70</v>
      </c>
      <c r="C373" s="170" t="s">
        <v>759</v>
      </c>
      <c r="D373" s="159">
        <v>42795.0</v>
      </c>
      <c r="E373" s="157" t="s">
        <v>8</v>
      </c>
      <c r="F373" s="160">
        <v>824739.84</v>
      </c>
      <c r="G373" s="160">
        <v>131958.37</v>
      </c>
      <c r="H373" s="160">
        <f t="shared" si="27"/>
        <v>956698.21</v>
      </c>
      <c r="I373" s="160"/>
      <c r="J373" s="161"/>
      <c r="K373" s="160"/>
      <c r="L373" s="160">
        <f>+'FACP$'!$H373-'FACP$'!$I373-'FACP$'!$K373</f>
        <v>956698.21</v>
      </c>
      <c r="M373" s="199" t="s">
        <v>719</v>
      </c>
      <c r="N373" s="162" t="s">
        <v>554</v>
      </c>
      <c r="O373" s="163">
        <v>42830.0</v>
      </c>
      <c r="P373" s="164">
        <f t="shared" si="13"/>
        <v>42805</v>
      </c>
      <c r="Q373" s="165">
        <f t="shared" si="2"/>
        <v>0</v>
      </c>
      <c r="R373" s="166"/>
      <c r="S373" s="167"/>
      <c r="T373" s="168">
        <f t="shared" si="3"/>
        <v>956698.21</v>
      </c>
      <c r="U373" s="168">
        <f t="shared" si="4"/>
        <v>0</v>
      </c>
      <c r="V373" s="168">
        <f t="shared" si="5"/>
        <v>0</v>
      </c>
      <c r="W373" s="168">
        <f t="shared" si="6"/>
        <v>0</v>
      </c>
      <c r="X373" s="168">
        <f t="shared" si="7"/>
        <v>0</v>
      </c>
      <c r="Y373" s="168">
        <f t="shared" si="8"/>
        <v>0</v>
      </c>
      <c r="Z373" s="168">
        <f t="shared" si="9"/>
        <v>0</v>
      </c>
    </row>
    <row r="374" ht="14.25" customHeight="1">
      <c r="A374" s="157">
        <v>690.0</v>
      </c>
      <c r="B374" s="169" t="s">
        <v>692</v>
      </c>
      <c r="C374" s="169" t="s">
        <v>737</v>
      </c>
      <c r="D374" s="159">
        <v>42795.0</v>
      </c>
      <c r="E374" s="157" t="s">
        <v>8</v>
      </c>
      <c r="F374" s="160">
        <v>4301129.75</v>
      </c>
      <c r="G374" s="160">
        <v>688180.76</v>
      </c>
      <c r="H374" s="160">
        <f t="shared" si="27"/>
        <v>4989310.51</v>
      </c>
      <c r="I374" s="160"/>
      <c r="J374" s="161"/>
      <c r="K374" s="160"/>
      <c r="L374" s="160">
        <f>+'FACP$'!$H374-'FACP$'!$I374-'FACP$'!$K374</f>
        <v>4989310.51</v>
      </c>
      <c r="M374" s="199" t="s">
        <v>752</v>
      </c>
      <c r="N374" s="162" t="s">
        <v>554</v>
      </c>
      <c r="O374" s="175">
        <v>42828.0</v>
      </c>
      <c r="P374" s="164">
        <f t="shared" si="13"/>
        <v>42805</v>
      </c>
      <c r="Q374" s="165">
        <f t="shared" si="2"/>
        <v>0</v>
      </c>
      <c r="R374" s="166"/>
      <c r="S374" s="167"/>
      <c r="T374" s="168">
        <f t="shared" si="3"/>
        <v>4989310.51</v>
      </c>
      <c r="U374" s="168">
        <f t="shared" si="4"/>
        <v>0</v>
      </c>
      <c r="V374" s="168">
        <f t="shared" si="5"/>
        <v>0</v>
      </c>
      <c r="W374" s="168">
        <f t="shared" si="6"/>
        <v>0</v>
      </c>
      <c r="X374" s="168">
        <f t="shared" si="7"/>
        <v>0</v>
      </c>
      <c r="Y374" s="168">
        <f t="shared" si="8"/>
        <v>0</v>
      </c>
      <c r="Z374" s="168">
        <f t="shared" si="9"/>
        <v>0</v>
      </c>
    </row>
    <row r="375" ht="14.25" customHeight="1">
      <c r="A375" s="157">
        <v>691.0</v>
      </c>
      <c r="B375" s="169" t="s">
        <v>692</v>
      </c>
      <c r="C375" s="169" t="s">
        <v>737</v>
      </c>
      <c r="D375" s="159">
        <v>42795.0</v>
      </c>
      <c r="E375" s="157" t="s">
        <v>8</v>
      </c>
      <c r="F375" s="160">
        <v>203730.11</v>
      </c>
      <c r="G375" s="160">
        <v>32596.82</v>
      </c>
      <c r="H375" s="160">
        <f t="shared" si="27"/>
        <v>236326.93</v>
      </c>
      <c r="I375" s="160"/>
      <c r="J375" s="161"/>
      <c r="K375" s="160"/>
      <c r="L375" s="160">
        <f>+'FACP$'!$H375-'FACP$'!$I375-'FACP$'!$K375</f>
        <v>236326.93</v>
      </c>
      <c r="M375" s="199" t="s">
        <v>754</v>
      </c>
      <c r="N375" s="162" t="s">
        <v>554</v>
      </c>
      <c r="O375" s="175">
        <v>42828.0</v>
      </c>
      <c r="P375" s="164">
        <f t="shared" si="13"/>
        <v>42805</v>
      </c>
      <c r="Q375" s="165">
        <f t="shared" si="2"/>
        <v>0</v>
      </c>
      <c r="R375" s="166"/>
      <c r="S375" s="167"/>
      <c r="T375" s="168">
        <f t="shared" si="3"/>
        <v>236326.93</v>
      </c>
      <c r="U375" s="168">
        <f t="shared" si="4"/>
        <v>0</v>
      </c>
      <c r="V375" s="168">
        <f t="shared" si="5"/>
        <v>0</v>
      </c>
      <c r="W375" s="168">
        <f t="shared" si="6"/>
        <v>0</v>
      </c>
      <c r="X375" s="168">
        <f t="shared" si="7"/>
        <v>0</v>
      </c>
      <c r="Y375" s="168">
        <f t="shared" si="8"/>
        <v>0</v>
      </c>
      <c r="Z375" s="168">
        <f t="shared" si="9"/>
        <v>0</v>
      </c>
    </row>
    <row r="376" ht="14.25" customHeight="1">
      <c r="A376" s="157">
        <v>692.0</v>
      </c>
      <c r="B376" s="170" t="s">
        <v>722</v>
      </c>
      <c r="C376" s="169" t="s">
        <v>756</v>
      </c>
      <c r="D376" s="159">
        <v>42795.0</v>
      </c>
      <c r="E376" s="157" t="s">
        <v>8</v>
      </c>
      <c r="F376" s="160">
        <v>3659969.43</v>
      </c>
      <c r="G376" s="160">
        <v>585595.11</v>
      </c>
      <c r="H376" s="160">
        <f t="shared" si="27"/>
        <v>4245564.54</v>
      </c>
      <c r="I376" s="160"/>
      <c r="J376" s="161"/>
      <c r="K376" s="160"/>
      <c r="L376" s="160">
        <f>+'FACP$'!$H376-'FACP$'!$I376-'FACP$'!$K376</f>
        <v>4245564.54</v>
      </c>
      <c r="M376" s="199" t="s">
        <v>93</v>
      </c>
      <c r="N376" s="162" t="s">
        <v>127</v>
      </c>
      <c r="O376" s="163"/>
      <c r="P376" s="164">
        <f t="shared" si="13"/>
        <v>42805</v>
      </c>
      <c r="Q376" s="165">
        <f t="shared" si="2"/>
        <v>0</v>
      </c>
      <c r="R376" s="166"/>
      <c r="S376" s="167"/>
      <c r="T376" s="168">
        <f t="shared" si="3"/>
        <v>4245564.54</v>
      </c>
      <c r="U376" s="168">
        <f t="shared" si="4"/>
        <v>0</v>
      </c>
      <c r="V376" s="168">
        <f t="shared" si="5"/>
        <v>0</v>
      </c>
      <c r="W376" s="168">
        <f t="shared" si="6"/>
        <v>0</v>
      </c>
      <c r="X376" s="168">
        <f t="shared" si="7"/>
        <v>0</v>
      </c>
      <c r="Y376" s="168">
        <f t="shared" si="8"/>
        <v>0</v>
      </c>
      <c r="Z376" s="168">
        <f t="shared" si="9"/>
        <v>0</v>
      </c>
    </row>
    <row r="377" ht="14.25" customHeight="1">
      <c r="A377" s="157">
        <v>693.0</v>
      </c>
      <c r="B377" s="170" t="s">
        <v>722</v>
      </c>
      <c r="C377" s="169" t="s">
        <v>756</v>
      </c>
      <c r="D377" s="159">
        <v>42795.0</v>
      </c>
      <c r="E377" s="157" t="s">
        <v>8</v>
      </c>
      <c r="F377" s="160">
        <v>2687790.05</v>
      </c>
      <c r="G377" s="160">
        <v>430046.41</v>
      </c>
      <c r="H377" s="160">
        <f t="shared" si="27"/>
        <v>3117836.46</v>
      </c>
      <c r="I377" s="160"/>
      <c r="J377" s="161"/>
      <c r="K377" s="160"/>
      <c r="L377" s="160">
        <f>+'FACP$'!$H377-'FACP$'!$I377-'FACP$'!$K377</f>
        <v>3117836.46</v>
      </c>
      <c r="M377" s="199" t="s">
        <v>93</v>
      </c>
      <c r="N377" s="162" t="s">
        <v>554</v>
      </c>
      <c r="O377" s="163">
        <v>42824.0</v>
      </c>
      <c r="P377" s="164">
        <f t="shared" si="13"/>
        <v>42805</v>
      </c>
      <c r="Q377" s="165">
        <f t="shared" si="2"/>
        <v>0</v>
      </c>
      <c r="R377" s="166"/>
      <c r="S377" s="167"/>
      <c r="T377" s="168">
        <f t="shared" si="3"/>
        <v>3117836.46</v>
      </c>
      <c r="U377" s="168">
        <f t="shared" si="4"/>
        <v>0</v>
      </c>
      <c r="V377" s="168">
        <f t="shared" si="5"/>
        <v>0</v>
      </c>
      <c r="W377" s="168">
        <f t="shared" si="6"/>
        <v>0</v>
      </c>
      <c r="X377" s="168">
        <f t="shared" si="7"/>
        <v>0</v>
      </c>
      <c r="Y377" s="168">
        <f t="shared" si="8"/>
        <v>0</v>
      </c>
      <c r="Z377" s="168">
        <f t="shared" si="9"/>
        <v>0</v>
      </c>
    </row>
    <row r="378" ht="14.25" customHeight="1">
      <c r="A378" s="157">
        <v>694.0</v>
      </c>
      <c r="B378" s="170" t="s">
        <v>37</v>
      </c>
      <c r="C378" s="169" t="s">
        <v>756</v>
      </c>
      <c r="D378" s="159">
        <v>42795.0</v>
      </c>
      <c r="E378" s="157" t="s">
        <v>8</v>
      </c>
      <c r="F378" s="160">
        <v>1730953.6</v>
      </c>
      <c r="G378" s="160">
        <v>276952.58</v>
      </c>
      <c r="H378" s="160">
        <f t="shared" si="27"/>
        <v>2007906.18</v>
      </c>
      <c r="I378" s="160"/>
      <c r="J378" s="161"/>
      <c r="K378" s="160"/>
      <c r="L378" s="160">
        <f>+'FACP$'!$H378-'FACP$'!$I378-'FACP$'!$K378</f>
        <v>2007906.18</v>
      </c>
      <c r="M378" s="199" t="s">
        <v>718</v>
      </c>
      <c r="N378" s="162" t="s">
        <v>554</v>
      </c>
      <c r="O378" s="163">
        <v>42830.0</v>
      </c>
      <c r="P378" s="164">
        <f t="shared" si="13"/>
        <v>42805</v>
      </c>
      <c r="Q378" s="165">
        <f t="shared" si="2"/>
        <v>0</v>
      </c>
      <c r="R378" s="166"/>
      <c r="S378" s="167"/>
      <c r="T378" s="168">
        <f t="shared" si="3"/>
        <v>2007906.18</v>
      </c>
      <c r="U378" s="168">
        <f t="shared" si="4"/>
        <v>0</v>
      </c>
      <c r="V378" s="168">
        <f t="shared" si="5"/>
        <v>0</v>
      </c>
      <c r="W378" s="168">
        <f t="shared" si="6"/>
        <v>0</v>
      </c>
      <c r="X378" s="168">
        <f t="shared" si="7"/>
        <v>0</v>
      </c>
      <c r="Y378" s="168">
        <f t="shared" si="8"/>
        <v>0</v>
      </c>
      <c r="Z378" s="168">
        <f t="shared" si="9"/>
        <v>0</v>
      </c>
    </row>
    <row r="379" ht="14.25" customHeight="1">
      <c r="A379" s="157">
        <v>696.0</v>
      </c>
      <c r="B379" s="169" t="s">
        <v>728</v>
      </c>
      <c r="C379" s="169" t="s">
        <v>785</v>
      </c>
      <c r="D379" s="159">
        <v>42807.0</v>
      </c>
      <c r="E379" s="157" t="s">
        <v>8</v>
      </c>
      <c r="F379" s="160">
        <v>79380.0</v>
      </c>
      <c r="G379" s="160">
        <v>12700.8</v>
      </c>
      <c r="H379" s="160">
        <f t="shared" si="27"/>
        <v>92080.8</v>
      </c>
      <c r="I379" s="160"/>
      <c r="J379" s="161"/>
      <c r="K379" s="160"/>
      <c r="L379" s="160">
        <f>+'FACP$'!$H379-'FACP$'!$I379-'FACP$'!$K379</f>
        <v>92080.8</v>
      </c>
      <c r="M379" s="199" t="s">
        <v>728</v>
      </c>
      <c r="N379" s="162" t="s">
        <v>554</v>
      </c>
      <c r="O379" s="175">
        <v>42860.0</v>
      </c>
      <c r="P379" s="164">
        <f t="shared" si="13"/>
        <v>42817</v>
      </c>
      <c r="Q379" s="165">
        <f t="shared" si="2"/>
        <v>0</v>
      </c>
      <c r="R379" s="166"/>
      <c r="S379" s="167"/>
      <c r="T379" s="168">
        <f t="shared" si="3"/>
        <v>92080.8</v>
      </c>
      <c r="U379" s="168">
        <f t="shared" si="4"/>
        <v>0</v>
      </c>
      <c r="V379" s="168">
        <f t="shared" si="5"/>
        <v>0</v>
      </c>
      <c r="W379" s="168">
        <f t="shared" si="6"/>
        <v>0</v>
      </c>
      <c r="X379" s="168">
        <f t="shared" si="7"/>
        <v>0</v>
      </c>
      <c r="Y379" s="168">
        <f t="shared" si="8"/>
        <v>0</v>
      </c>
      <c r="Z379" s="168">
        <f t="shared" si="9"/>
        <v>0</v>
      </c>
    </row>
    <row r="380" ht="14.25" customHeight="1">
      <c r="A380" s="157">
        <v>700.0</v>
      </c>
      <c r="B380" s="170" t="s">
        <v>720</v>
      </c>
      <c r="C380" s="161" t="s">
        <v>755</v>
      </c>
      <c r="D380" s="159">
        <v>43040.0</v>
      </c>
      <c r="E380" s="157" t="s">
        <v>8</v>
      </c>
      <c r="F380" s="160">
        <v>70000.0</v>
      </c>
      <c r="G380" s="160">
        <v>11200.0</v>
      </c>
      <c r="H380" s="160">
        <f t="shared" si="27"/>
        <v>81200</v>
      </c>
      <c r="I380" s="160"/>
      <c r="J380" s="161"/>
      <c r="K380" s="160"/>
      <c r="L380" s="160">
        <f>+'FACP$'!$H380-'FACP$'!$I380-'FACP$'!$K380</f>
        <v>81200</v>
      </c>
      <c r="M380" s="199" t="s">
        <v>777</v>
      </c>
      <c r="N380" s="162" t="s">
        <v>554</v>
      </c>
      <c r="O380" s="175">
        <v>42835.0</v>
      </c>
      <c r="P380" s="164">
        <f t="shared" si="13"/>
        <v>43050</v>
      </c>
      <c r="Q380" s="165">
        <f t="shared" si="2"/>
        <v>0</v>
      </c>
      <c r="R380" s="166"/>
      <c r="S380" s="167"/>
      <c r="T380" s="168">
        <f t="shared" si="3"/>
        <v>81200</v>
      </c>
      <c r="U380" s="168">
        <f t="shared" si="4"/>
        <v>0</v>
      </c>
      <c r="V380" s="168">
        <f t="shared" si="5"/>
        <v>0</v>
      </c>
      <c r="W380" s="168">
        <f t="shared" si="6"/>
        <v>0</v>
      </c>
      <c r="X380" s="168">
        <f t="shared" si="7"/>
        <v>0</v>
      </c>
      <c r="Y380" s="168">
        <f t="shared" si="8"/>
        <v>0</v>
      </c>
      <c r="Z380" s="168">
        <f t="shared" si="9"/>
        <v>0</v>
      </c>
    </row>
    <row r="381" ht="14.25" customHeight="1">
      <c r="A381" s="157">
        <v>701.0</v>
      </c>
      <c r="B381" s="170" t="s">
        <v>720</v>
      </c>
      <c r="C381" s="161" t="s">
        <v>755</v>
      </c>
      <c r="D381" s="159">
        <v>43070.0</v>
      </c>
      <c r="E381" s="162" t="s">
        <v>8</v>
      </c>
      <c r="F381" s="160">
        <v>70000.0</v>
      </c>
      <c r="G381" s="160">
        <v>11200.0</v>
      </c>
      <c r="H381" s="160">
        <f t="shared" si="27"/>
        <v>81200</v>
      </c>
      <c r="I381" s="160"/>
      <c r="J381" s="161"/>
      <c r="K381" s="160"/>
      <c r="L381" s="160">
        <f>+'FACP$'!$H381-'FACP$'!$I381-'FACP$'!$K381</f>
        <v>81200</v>
      </c>
      <c r="M381" s="199" t="s">
        <v>777</v>
      </c>
      <c r="N381" s="162" t="s">
        <v>554</v>
      </c>
      <c r="O381" s="175">
        <v>42835.0</v>
      </c>
      <c r="P381" s="164">
        <f t="shared" si="13"/>
        <v>43080</v>
      </c>
      <c r="Q381" s="165">
        <f t="shared" si="2"/>
        <v>0</v>
      </c>
      <c r="R381" s="166"/>
      <c r="S381" s="167"/>
      <c r="T381" s="168">
        <f t="shared" si="3"/>
        <v>81200</v>
      </c>
      <c r="U381" s="168">
        <f t="shared" si="4"/>
        <v>0</v>
      </c>
      <c r="V381" s="168">
        <f t="shared" si="5"/>
        <v>0</v>
      </c>
      <c r="W381" s="168">
        <f t="shared" si="6"/>
        <v>0</v>
      </c>
      <c r="X381" s="168">
        <f t="shared" si="7"/>
        <v>0</v>
      </c>
      <c r="Y381" s="168">
        <f t="shared" si="8"/>
        <v>0</v>
      </c>
      <c r="Z381" s="168">
        <f t="shared" si="9"/>
        <v>0</v>
      </c>
    </row>
    <row r="382" ht="14.25" customHeight="1">
      <c r="A382" s="157">
        <v>702.0</v>
      </c>
      <c r="B382" s="169" t="s">
        <v>70</v>
      </c>
      <c r="C382" s="170" t="s">
        <v>759</v>
      </c>
      <c r="D382" s="159">
        <v>42809.0</v>
      </c>
      <c r="E382" s="157" t="s">
        <v>8</v>
      </c>
      <c r="F382" s="160">
        <f>946298.88</f>
        <v>946298.88</v>
      </c>
      <c r="G382" s="160">
        <f>151407.82</f>
        <v>151407.82</v>
      </c>
      <c r="H382" s="160">
        <f t="shared" si="27"/>
        <v>1097706.7</v>
      </c>
      <c r="I382" s="160"/>
      <c r="J382" s="161"/>
      <c r="K382" s="160"/>
      <c r="L382" s="160">
        <f>+'FACP$'!$H382-'FACP$'!$I382-'FACP$'!$K382</f>
        <v>1097706.7</v>
      </c>
      <c r="M382" s="199" t="s">
        <v>719</v>
      </c>
      <c r="N382" s="162" t="s">
        <v>554</v>
      </c>
      <c r="O382" s="175">
        <v>42849.0</v>
      </c>
      <c r="P382" s="164">
        <f t="shared" si="13"/>
        <v>42819</v>
      </c>
      <c r="Q382" s="165">
        <f t="shared" si="2"/>
        <v>0</v>
      </c>
      <c r="R382" s="166"/>
      <c r="S382" s="167"/>
      <c r="T382" s="168">
        <f t="shared" si="3"/>
        <v>1097706.7</v>
      </c>
      <c r="U382" s="168">
        <f t="shared" si="4"/>
        <v>0</v>
      </c>
      <c r="V382" s="168">
        <f t="shared" si="5"/>
        <v>0</v>
      </c>
      <c r="W382" s="168">
        <f t="shared" si="6"/>
        <v>0</v>
      </c>
      <c r="X382" s="168">
        <f t="shared" si="7"/>
        <v>0</v>
      </c>
      <c r="Y382" s="168">
        <f t="shared" si="8"/>
        <v>0</v>
      </c>
      <c r="Z382" s="168">
        <f t="shared" si="9"/>
        <v>0</v>
      </c>
    </row>
    <row r="383" ht="14.25" customHeight="1">
      <c r="A383" s="157">
        <v>704.0</v>
      </c>
      <c r="B383" s="170" t="s">
        <v>720</v>
      </c>
      <c r="C383" s="161" t="s">
        <v>755</v>
      </c>
      <c r="D383" s="159">
        <v>42809.0</v>
      </c>
      <c r="E383" s="157" t="s">
        <v>8</v>
      </c>
      <c r="F383" s="160">
        <v>818012.16</v>
      </c>
      <c r="G383" s="160">
        <v>130881.95</v>
      </c>
      <c r="H383" s="160">
        <f t="shared" si="27"/>
        <v>948894.11</v>
      </c>
      <c r="I383" s="160"/>
      <c r="J383" s="161"/>
      <c r="K383" s="160"/>
      <c r="L383" s="160">
        <f>+'FACP$'!$H383-'FACP$'!$I383-'FACP$'!$K383</f>
        <v>948894.11</v>
      </c>
      <c r="M383" s="199" t="s">
        <v>721</v>
      </c>
      <c r="N383" s="162" t="s">
        <v>554</v>
      </c>
      <c r="O383" s="175">
        <v>42837.0</v>
      </c>
      <c r="P383" s="164">
        <f t="shared" si="13"/>
        <v>42819</v>
      </c>
      <c r="Q383" s="165">
        <f t="shared" si="2"/>
        <v>0</v>
      </c>
      <c r="R383" s="166"/>
      <c r="S383" s="167"/>
      <c r="T383" s="168">
        <f t="shared" si="3"/>
        <v>948894.11</v>
      </c>
      <c r="U383" s="168">
        <f t="shared" si="4"/>
        <v>0</v>
      </c>
      <c r="V383" s="168">
        <f t="shared" si="5"/>
        <v>0</v>
      </c>
      <c r="W383" s="168">
        <f t="shared" si="6"/>
        <v>0</v>
      </c>
      <c r="X383" s="168">
        <f t="shared" si="7"/>
        <v>0</v>
      </c>
      <c r="Y383" s="168">
        <f t="shared" si="8"/>
        <v>0</v>
      </c>
      <c r="Z383" s="168">
        <f t="shared" si="9"/>
        <v>0</v>
      </c>
    </row>
    <row r="384" ht="14.25" customHeight="1">
      <c r="A384" s="157">
        <v>706.0</v>
      </c>
      <c r="B384" s="170" t="s">
        <v>722</v>
      </c>
      <c r="C384" s="169" t="s">
        <v>756</v>
      </c>
      <c r="D384" s="159">
        <v>42809.0</v>
      </c>
      <c r="E384" s="157" t="s">
        <v>8</v>
      </c>
      <c r="F384" s="160">
        <v>3828262.81</v>
      </c>
      <c r="G384" s="160">
        <v>612522.05</v>
      </c>
      <c r="H384" s="160">
        <f t="shared" si="27"/>
        <v>4440784.86</v>
      </c>
      <c r="I384" s="160"/>
      <c r="J384" s="161"/>
      <c r="K384" s="160"/>
      <c r="L384" s="160">
        <f>+'FACP$'!$H384-'FACP$'!$I384-'FACP$'!$K384</f>
        <v>4440784.86</v>
      </c>
      <c r="M384" s="199" t="s">
        <v>93</v>
      </c>
      <c r="N384" s="162" t="s">
        <v>554</v>
      </c>
      <c r="O384" s="175">
        <v>42837.0</v>
      </c>
      <c r="P384" s="164">
        <f t="shared" si="13"/>
        <v>42819</v>
      </c>
      <c r="Q384" s="165">
        <f t="shared" si="2"/>
        <v>0</v>
      </c>
      <c r="R384" s="166"/>
      <c r="S384" s="167"/>
      <c r="T384" s="168">
        <f t="shared" si="3"/>
        <v>4440784.86</v>
      </c>
      <c r="U384" s="168">
        <f t="shared" si="4"/>
        <v>0</v>
      </c>
      <c r="V384" s="168">
        <f t="shared" si="5"/>
        <v>0</v>
      </c>
      <c r="W384" s="168">
        <f t="shared" si="6"/>
        <v>0</v>
      </c>
      <c r="X384" s="168">
        <f t="shared" si="7"/>
        <v>0</v>
      </c>
      <c r="Y384" s="168">
        <f t="shared" si="8"/>
        <v>0</v>
      </c>
      <c r="Z384" s="168">
        <f t="shared" si="9"/>
        <v>0</v>
      </c>
    </row>
    <row r="385" ht="14.25" customHeight="1">
      <c r="A385" s="157">
        <v>707.0</v>
      </c>
      <c r="B385" s="170" t="s">
        <v>722</v>
      </c>
      <c r="C385" s="169" t="s">
        <v>756</v>
      </c>
      <c r="D385" s="159">
        <v>42809.0</v>
      </c>
      <c r="E385" s="157" t="s">
        <v>8</v>
      </c>
      <c r="F385" s="160">
        <v>240949.29</v>
      </c>
      <c r="G385" s="160">
        <v>38551.89</v>
      </c>
      <c r="H385" s="160">
        <f t="shared" si="27"/>
        <v>279501.18</v>
      </c>
      <c r="I385" s="160"/>
      <c r="J385" s="161"/>
      <c r="K385" s="160"/>
      <c r="L385" s="160">
        <f>+'FACP$'!$H385-'FACP$'!$I385-'FACP$'!$K385</f>
        <v>279501.18</v>
      </c>
      <c r="M385" s="199" t="s">
        <v>93</v>
      </c>
      <c r="N385" s="162" t="s">
        <v>554</v>
      </c>
      <c r="O385" s="175">
        <v>42837.0</v>
      </c>
      <c r="P385" s="164">
        <f t="shared" si="13"/>
        <v>42819</v>
      </c>
      <c r="Q385" s="165">
        <f t="shared" si="2"/>
        <v>0</v>
      </c>
      <c r="R385" s="166"/>
      <c r="S385" s="167"/>
      <c r="T385" s="168">
        <f t="shared" si="3"/>
        <v>279501.18</v>
      </c>
      <c r="U385" s="168">
        <f t="shared" si="4"/>
        <v>0</v>
      </c>
      <c r="V385" s="168">
        <f t="shared" si="5"/>
        <v>0</v>
      </c>
      <c r="W385" s="168">
        <f t="shared" si="6"/>
        <v>0</v>
      </c>
      <c r="X385" s="168">
        <f t="shared" si="7"/>
        <v>0</v>
      </c>
      <c r="Y385" s="168">
        <f t="shared" si="8"/>
        <v>0</v>
      </c>
      <c r="Z385" s="168">
        <f t="shared" si="9"/>
        <v>0</v>
      </c>
    </row>
    <row r="386" ht="14.25" customHeight="1">
      <c r="A386" s="157">
        <v>708.0</v>
      </c>
      <c r="B386" s="170" t="s">
        <v>722</v>
      </c>
      <c r="C386" s="169" t="s">
        <v>756</v>
      </c>
      <c r="D386" s="159">
        <v>42809.0</v>
      </c>
      <c r="E386" s="157" t="s">
        <v>8</v>
      </c>
      <c r="F386" s="160">
        <v>1432733.65</v>
      </c>
      <c r="G386" s="160">
        <v>229237.38</v>
      </c>
      <c r="H386" s="160">
        <f t="shared" si="27"/>
        <v>1661971.03</v>
      </c>
      <c r="I386" s="160"/>
      <c r="J386" s="161"/>
      <c r="K386" s="160"/>
      <c r="L386" s="160">
        <f>+'FACP$'!$H386-'FACP$'!$I386-'FACP$'!$K386</f>
        <v>1661971.03</v>
      </c>
      <c r="M386" s="199" t="s">
        <v>93</v>
      </c>
      <c r="N386" s="162" t="s">
        <v>554</v>
      </c>
      <c r="O386" s="175">
        <v>42837.0</v>
      </c>
      <c r="P386" s="164">
        <f t="shared" si="13"/>
        <v>42819</v>
      </c>
      <c r="Q386" s="165">
        <f t="shared" si="2"/>
        <v>0</v>
      </c>
      <c r="R386" s="166"/>
      <c r="S386" s="167"/>
      <c r="T386" s="168">
        <f t="shared" si="3"/>
        <v>1661971.03</v>
      </c>
      <c r="U386" s="168">
        <f t="shared" si="4"/>
        <v>0</v>
      </c>
      <c r="V386" s="168">
        <f t="shared" si="5"/>
        <v>0</v>
      </c>
      <c r="W386" s="168">
        <f t="shared" si="6"/>
        <v>0</v>
      </c>
      <c r="X386" s="168">
        <f t="shared" si="7"/>
        <v>0</v>
      </c>
      <c r="Y386" s="168">
        <f t="shared" si="8"/>
        <v>0</v>
      </c>
      <c r="Z386" s="168">
        <f t="shared" si="9"/>
        <v>0</v>
      </c>
    </row>
    <row r="387" ht="14.25" customHeight="1">
      <c r="A387" s="157">
        <v>709.0</v>
      </c>
      <c r="B387" s="170" t="s">
        <v>722</v>
      </c>
      <c r="C387" s="169" t="s">
        <v>756</v>
      </c>
      <c r="D387" s="159">
        <v>42809.0</v>
      </c>
      <c r="E387" s="157" t="s">
        <v>8</v>
      </c>
      <c r="F387" s="160">
        <v>68265.28</v>
      </c>
      <c r="G387" s="160">
        <v>10922.45</v>
      </c>
      <c r="H387" s="160">
        <f t="shared" si="27"/>
        <v>79187.73</v>
      </c>
      <c r="I387" s="160"/>
      <c r="J387" s="161"/>
      <c r="K387" s="160"/>
      <c r="L387" s="160">
        <f>+'FACP$'!$H387-'FACP$'!$I387-'FACP$'!$K387</f>
        <v>79187.73</v>
      </c>
      <c r="M387" s="199" t="s">
        <v>93</v>
      </c>
      <c r="N387" s="162" t="s">
        <v>127</v>
      </c>
      <c r="O387" s="175"/>
      <c r="P387" s="164">
        <f t="shared" si="13"/>
        <v>42819</v>
      </c>
      <c r="Q387" s="165">
        <f t="shared" si="2"/>
        <v>0</v>
      </c>
      <c r="R387" s="166"/>
      <c r="S387" s="167"/>
      <c r="T387" s="168">
        <f t="shared" si="3"/>
        <v>79187.73</v>
      </c>
      <c r="U387" s="168">
        <f t="shared" si="4"/>
        <v>0</v>
      </c>
      <c r="V387" s="168">
        <f t="shared" si="5"/>
        <v>0</v>
      </c>
      <c r="W387" s="168">
        <f t="shared" si="6"/>
        <v>0</v>
      </c>
      <c r="X387" s="168">
        <f t="shared" si="7"/>
        <v>0</v>
      </c>
      <c r="Y387" s="168">
        <f t="shared" si="8"/>
        <v>0</v>
      </c>
      <c r="Z387" s="168">
        <f t="shared" si="9"/>
        <v>0</v>
      </c>
    </row>
    <row r="388" ht="14.25" customHeight="1">
      <c r="A388" s="157">
        <v>710.0</v>
      </c>
      <c r="B388" s="169" t="s">
        <v>728</v>
      </c>
      <c r="C388" s="169" t="s">
        <v>785</v>
      </c>
      <c r="D388" s="159">
        <v>42809.0</v>
      </c>
      <c r="E388" s="157" t="s">
        <v>8</v>
      </c>
      <c r="F388" s="160">
        <v>681425.64</v>
      </c>
      <c r="G388" s="160">
        <v>109028.1</v>
      </c>
      <c r="H388" s="160">
        <f t="shared" si="27"/>
        <v>790453.74</v>
      </c>
      <c r="I388" s="160"/>
      <c r="J388" s="161"/>
      <c r="K388" s="160"/>
      <c r="L388" s="160">
        <f>+'FACP$'!$H388-'FACP$'!$I388-'FACP$'!$K388</f>
        <v>790453.74</v>
      </c>
      <c r="M388" s="199" t="s">
        <v>786</v>
      </c>
      <c r="N388" s="162" t="s">
        <v>554</v>
      </c>
      <c r="O388" s="175">
        <v>42860.0</v>
      </c>
      <c r="P388" s="164">
        <f t="shared" si="13"/>
        <v>42819</v>
      </c>
      <c r="Q388" s="165">
        <f t="shared" si="2"/>
        <v>0</v>
      </c>
      <c r="R388" s="166"/>
      <c r="S388" s="167"/>
      <c r="T388" s="168">
        <f t="shared" si="3"/>
        <v>790453.74</v>
      </c>
      <c r="U388" s="168">
        <f t="shared" si="4"/>
        <v>0</v>
      </c>
      <c r="V388" s="168">
        <f t="shared" si="5"/>
        <v>0</v>
      </c>
      <c r="W388" s="168">
        <f t="shared" si="6"/>
        <v>0</v>
      </c>
      <c r="X388" s="168">
        <f t="shared" si="7"/>
        <v>0</v>
      </c>
      <c r="Y388" s="168">
        <f t="shared" si="8"/>
        <v>0</v>
      </c>
      <c r="Z388" s="168">
        <f t="shared" si="9"/>
        <v>0</v>
      </c>
    </row>
    <row r="389" ht="14.25" customHeight="1">
      <c r="A389" s="157">
        <v>711.0</v>
      </c>
      <c r="B389" s="170" t="s">
        <v>720</v>
      </c>
      <c r="C389" s="161" t="s">
        <v>755</v>
      </c>
      <c r="D389" s="159">
        <v>42795.0</v>
      </c>
      <c r="E389" s="157" t="s">
        <v>8</v>
      </c>
      <c r="F389" s="160">
        <v>50000.0</v>
      </c>
      <c r="G389" s="160">
        <v>8000.0</v>
      </c>
      <c r="H389" s="160">
        <f t="shared" si="27"/>
        <v>58000</v>
      </c>
      <c r="I389" s="160"/>
      <c r="J389" s="161"/>
      <c r="K389" s="160"/>
      <c r="L389" s="160">
        <f>+'FACP$'!$H389-'FACP$'!$I389-'FACP$'!$K389</f>
        <v>58000</v>
      </c>
      <c r="M389" s="199" t="s">
        <v>777</v>
      </c>
      <c r="N389" s="162" t="s">
        <v>127</v>
      </c>
      <c r="O389" s="175"/>
      <c r="P389" s="164">
        <f t="shared" si="13"/>
        <v>42805</v>
      </c>
      <c r="Q389" s="165">
        <f t="shared" si="2"/>
        <v>0</v>
      </c>
      <c r="R389" s="166"/>
      <c r="S389" s="167"/>
      <c r="T389" s="168">
        <f t="shared" si="3"/>
        <v>58000</v>
      </c>
      <c r="U389" s="168">
        <f t="shared" si="4"/>
        <v>0</v>
      </c>
      <c r="V389" s="168">
        <f t="shared" si="5"/>
        <v>0</v>
      </c>
      <c r="W389" s="168">
        <f t="shared" si="6"/>
        <v>0</v>
      </c>
      <c r="X389" s="168">
        <f t="shared" si="7"/>
        <v>0</v>
      </c>
      <c r="Y389" s="168">
        <f t="shared" si="8"/>
        <v>0</v>
      </c>
      <c r="Z389" s="168">
        <f t="shared" si="9"/>
        <v>0</v>
      </c>
    </row>
    <row r="390" ht="14.25" customHeight="1">
      <c r="A390" s="157">
        <v>712.0</v>
      </c>
      <c r="B390" s="169" t="s">
        <v>692</v>
      </c>
      <c r="C390" s="169" t="s">
        <v>737</v>
      </c>
      <c r="D390" s="159">
        <v>42809.0</v>
      </c>
      <c r="E390" s="157" t="s">
        <v>8</v>
      </c>
      <c r="F390" s="160">
        <v>58483.11</v>
      </c>
      <c r="G390" s="160">
        <v>9357.8</v>
      </c>
      <c r="H390" s="160">
        <f t="shared" si="27"/>
        <v>67840.91</v>
      </c>
      <c r="I390" s="160"/>
      <c r="J390" s="161"/>
      <c r="K390" s="160"/>
      <c r="L390" s="160">
        <f>+'FACP$'!$H390-'FACP$'!$I390-'FACP$'!$K390</f>
        <v>67840.91</v>
      </c>
      <c r="M390" s="199" t="s">
        <v>754</v>
      </c>
      <c r="N390" s="162" t="s">
        <v>554</v>
      </c>
      <c r="O390" s="175">
        <v>42849.0</v>
      </c>
      <c r="P390" s="164">
        <f t="shared" si="13"/>
        <v>42819</v>
      </c>
      <c r="Q390" s="165">
        <f t="shared" si="2"/>
        <v>0</v>
      </c>
      <c r="R390" s="166"/>
      <c r="S390" s="167"/>
      <c r="T390" s="168">
        <f t="shared" si="3"/>
        <v>67840.91</v>
      </c>
      <c r="U390" s="168">
        <f t="shared" si="4"/>
        <v>0</v>
      </c>
      <c r="V390" s="168">
        <f t="shared" si="5"/>
        <v>0</v>
      </c>
      <c r="W390" s="168">
        <f t="shared" si="6"/>
        <v>0</v>
      </c>
      <c r="X390" s="168">
        <f t="shared" si="7"/>
        <v>0</v>
      </c>
      <c r="Y390" s="168">
        <f t="shared" si="8"/>
        <v>0</v>
      </c>
      <c r="Z390" s="168">
        <f t="shared" si="9"/>
        <v>0</v>
      </c>
    </row>
    <row r="391" ht="14.25" customHeight="1">
      <c r="A391" s="157">
        <v>713.0</v>
      </c>
      <c r="B391" s="170" t="s">
        <v>37</v>
      </c>
      <c r="C391" s="169" t="s">
        <v>756</v>
      </c>
      <c r="D391" s="159">
        <v>42809.0</v>
      </c>
      <c r="E391" s="157" t="s">
        <v>8</v>
      </c>
      <c r="F391" s="160">
        <v>1395213.8</v>
      </c>
      <c r="G391" s="160">
        <v>223234.21</v>
      </c>
      <c r="H391" s="160">
        <f t="shared" si="27"/>
        <v>1618448.01</v>
      </c>
      <c r="I391" s="160"/>
      <c r="J391" s="161"/>
      <c r="K391" s="160"/>
      <c r="L391" s="160">
        <f>+'FACP$'!$H391-'FACP$'!$I391-'FACP$'!$K391</f>
        <v>1618448.01</v>
      </c>
      <c r="M391" s="199" t="s">
        <v>116</v>
      </c>
      <c r="N391" s="162" t="s">
        <v>554</v>
      </c>
      <c r="O391" s="175">
        <v>42864.0</v>
      </c>
      <c r="P391" s="164">
        <f t="shared" si="13"/>
        <v>42819</v>
      </c>
      <c r="Q391" s="165">
        <f t="shared" si="2"/>
        <v>0</v>
      </c>
      <c r="R391" s="166"/>
      <c r="S391" s="167"/>
      <c r="T391" s="168">
        <f t="shared" si="3"/>
        <v>1618448.01</v>
      </c>
      <c r="U391" s="168">
        <f t="shared" si="4"/>
        <v>0</v>
      </c>
      <c r="V391" s="168">
        <f t="shared" si="5"/>
        <v>0</v>
      </c>
      <c r="W391" s="168">
        <f t="shared" si="6"/>
        <v>0</v>
      </c>
      <c r="X391" s="168">
        <f t="shared" si="7"/>
        <v>0</v>
      </c>
      <c r="Y391" s="168">
        <f t="shared" si="8"/>
        <v>0</v>
      </c>
      <c r="Z391" s="168">
        <f t="shared" si="9"/>
        <v>0</v>
      </c>
    </row>
    <row r="392" ht="14.25" customHeight="1">
      <c r="A392" s="157">
        <v>715.0</v>
      </c>
      <c r="B392" s="170" t="s">
        <v>720</v>
      </c>
      <c r="C392" s="161" t="s">
        <v>755</v>
      </c>
      <c r="D392" s="159">
        <v>42795.0</v>
      </c>
      <c r="E392" s="157" t="s">
        <v>8</v>
      </c>
      <c r="F392" s="160">
        <v>50000.0</v>
      </c>
      <c r="G392" s="160">
        <v>8000.0</v>
      </c>
      <c r="H392" s="160">
        <f t="shared" si="27"/>
        <v>58000</v>
      </c>
      <c r="I392" s="160"/>
      <c r="J392" s="161"/>
      <c r="K392" s="160"/>
      <c r="L392" s="160">
        <f>+'FACP$'!$H392-'FACP$'!$I392-'FACP$'!$K392</f>
        <v>58000</v>
      </c>
      <c r="M392" s="199" t="s">
        <v>777</v>
      </c>
      <c r="N392" s="162" t="s">
        <v>554</v>
      </c>
      <c r="O392" s="175">
        <v>42859.0</v>
      </c>
      <c r="P392" s="164">
        <f t="shared" si="13"/>
        <v>42805</v>
      </c>
      <c r="Q392" s="165">
        <f t="shared" si="2"/>
        <v>0</v>
      </c>
      <c r="R392" s="166"/>
      <c r="S392" s="167"/>
      <c r="T392" s="168">
        <f t="shared" si="3"/>
        <v>58000</v>
      </c>
      <c r="U392" s="168">
        <f t="shared" si="4"/>
        <v>0</v>
      </c>
      <c r="V392" s="168">
        <f t="shared" si="5"/>
        <v>0</v>
      </c>
      <c r="W392" s="168">
        <f t="shared" si="6"/>
        <v>0</v>
      </c>
      <c r="X392" s="168">
        <f t="shared" si="7"/>
        <v>0</v>
      </c>
      <c r="Y392" s="168">
        <f t="shared" si="8"/>
        <v>0</v>
      </c>
      <c r="Z392" s="168">
        <f t="shared" si="9"/>
        <v>0</v>
      </c>
    </row>
    <row r="393" ht="14.25" customHeight="1">
      <c r="A393" s="157">
        <v>716.0</v>
      </c>
      <c r="B393" s="170" t="s">
        <v>722</v>
      </c>
      <c r="C393" s="169" t="s">
        <v>756</v>
      </c>
      <c r="D393" s="159">
        <v>42826.0</v>
      </c>
      <c r="E393" s="157" t="s">
        <v>8</v>
      </c>
      <c r="F393" s="160">
        <v>2794561.34</v>
      </c>
      <c r="G393" s="160">
        <v>447129.81</v>
      </c>
      <c r="H393" s="160">
        <f t="shared" si="27"/>
        <v>3241691.15</v>
      </c>
      <c r="I393" s="160"/>
      <c r="J393" s="161"/>
      <c r="K393" s="160"/>
      <c r="L393" s="160">
        <f>+'FACP$'!$H393-'FACP$'!$I393-'FACP$'!$K393</f>
        <v>3241691.15</v>
      </c>
      <c r="M393" s="199" t="s">
        <v>93</v>
      </c>
      <c r="N393" s="162" t="s">
        <v>554</v>
      </c>
      <c r="O393" s="175">
        <v>42852.0</v>
      </c>
      <c r="P393" s="164">
        <f t="shared" si="13"/>
        <v>42836</v>
      </c>
      <c r="Q393" s="165">
        <f t="shared" si="2"/>
        <v>0</v>
      </c>
      <c r="R393" s="166"/>
      <c r="S393" s="167"/>
      <c r="T393" s="168">
        <f t="shared" si="3"/>
        <v>3241691.15</v>
      </c>
      <c r="U393" s="168">
        <f t="shared" si="4"/>
        <v>0</v>
      </c>
      <c r="V393" s="168">
        <f t="shared" si="5"/>
        <v>0</v>
      </c>
      <c r="W393" s="168">
        <f t="shared" si="6"/>
        <v>0</v>
      </c>
      <c r="X393" s="168">
        <f t="shared" si="7"/>
        <v>0</v>
      </c>
      <c r="Y393" s="168">
        <f t="shared" si="8"/>
        <v>0</v>
      </c>
      <c r="Z393" s="168">
        <f t="shared" si="9"/>
        <v>0</v>
      </c>
    </row>
    <row r="394" ht="14.25" customHeight="1">
      <c r="A394" s="157">
        <v>717.0</v>
      </c>
      <c r="B394" s="170" t="s">
        <v>722</v>
      </c>
      <c r="C394" s="169" t="s">
        <v>756</v>
      </c>
      <c r="D394" s="159">
        <v>42826.0</v>
      </c>
      <c r="E394" s="157" t="s">
        <v>8</v>
      </c>
      <c r="F394" s="160">
        <v>2364826.77</v>
      </c>
      <c r="G394" s="160">
        <v>378372.28</v>
      </c>
      <c r="H394" s="160">
        <f t="shared" si="27"/>
        <v>2743199.05</v>
      </c>
      <c r="I394" s="160"/>
      <c r="J394" s="161"/>
      <c r="K394" s="160"/>
      <c r="L394" s="160">
        <f>+'FACP$'!$H394-'FACP$'!$I394-'FACP$'!$K394</f>
        <v>2743199.05</v>
      </c>
      <c r="M394" s="199" t="s">
        <v>93</v>
      </c>
      <c r="N394" s="162" t="s">
        <v>554</v>
      </c>
      <c r="O394" s="175">
        <v>42852.0</v>
      </c>
      <c r="P394" s="164">
        <f t="shared" si="13"/>
        <v>42836</v>
      </c>
      <c r="Q394" s="165">
        <f t="shared" si="2"/>
        <v>0</v>
      </c>
      <c r="R394" s="166"/>
      <c r="S394" s="167"/>
      <c r="T394" s="168">
        <f t="shared" si="3"/>
        <v>2743199.05</v>
      </c>
      <c r="U394" s="168">
        <f t="shared" si="4"/>
        <v>0</v>
      </c>
      <c r="V394" s="168">
        <f t="shared" si="5"/>
        <v>0</v>
      </c>
      <c r="W394" s="168">
        <f t="shared" si="6"/>
        <v>0</v>
      </c>
      <c r="X394" s="168">
        <f t="shared" si="7"/>
        <v>0</v>
      </c>
      <c r="Y394" s="168">
        <f t="shared" si="8"/>
        <v>0</v>
      </c>
      <c r="Z394" s="168">
        <f t="shared" si="9"/>
        <v>0</v>
      </c>
    </row>
    <row r="395" ht="14.25" customHeight="1">
      <c r="A395" s="157">
        <v>718.0</v>
      </c>
      <c r="B395" s="169" t="s">
        <v>70</v>
      </c>
      <c r="C395" s="170" t="s">
        <v>759</v>
      </c>
      <c r="D395" s="159">
        <v>42826.0</v>
      </c>
      <c r="E395" s="157" t="s">
        <v>8</v>
      </c>
      <c r="F395" s="160">
        <v>488960.64</v>
      </c>
      <c r="G395" s="160">
        <v>78233.7</v>
      </c>
      <c r="H395" s="160">
        <f t="shared" si="27"/>
        <v>567194.34</v>
      </c>
      <c r="I395" s="160"/>
      <c r="J395" s="161"/>
      <c r="K395" s="160"/>
      <c r="L395" s="160">
        <f>+'FACP$'!$H395-'FACP$'!$I395-'FACP$'!$K395</f>
        <v>567194.34</v>
      </c>
      <c r="M395" s="199" t="s">
        <v>719</v>
      </c>
      <c r="N395" s="162" t="s">
        <v>554</v>
      </c>
      <c r="O395" s="175">
        <v>42867.0</v>
      </c>
      <c r="P395" s="164">
        <f t="shared" si="13"/>
        <v>42836</v>
      </c>
      <c r="Q395" s="165">
        <f t="shared" si="2"/>
        <v>0</v>
      </c>
      <c r="R395" s="166"/>
      <c r="S395" s="167"/>
      <c r="T395" s="168">
        <f t="shared" si="3"/>
        <v>567194.34</v>
      </c>
      <c r="U395" s="168">
        <f t="shared" si="4"/>
        <v>0</v>
      </c>
      <c r="V395" s="168">
        <f t="shared" si="5"/>
        <v>0</v>
      </c>
      <c r="W395" s="168">
        <f t="shared" si="6"/>
        <v>0</v>
      </c>
      <c r="X395" s="168">
        <f t="shared" si="7"/>
        <v>0</v>
      </c>
      <c r="Y395" s="168">
        <f t="shared" si="8"/>
        <v>0</v>
      </c>
      <c r="Z395" s="168">
        <f t="shared" si="9"/>
        <v>0</v>
      </c>
    </row>
    <row r="396" ht="14.25" customHeight="1">
      <c r="A396" s="157">
        <v>720.0</v>
      </c>
      <c r="B396" s="169" t="s">
        <v>728</v>
      </c>
      <c r="C396" s="169" t="s">
        <v>785</v>
      </c>
      <c r="D396" s="159">
        <v>42826.0</v>
      </c>
      <c r="E396" s="157" t="s">
        <v>8</v>
      </c>
      <c r="F396" s="160">
        <v>511028.0</v>
      </c>
      <c r="G396" s="160">
        <v>81764.48</v>
      </c>
      <c r="H396" s="160">
        <f t="shared" si="27"/>
        <v>592792.48</v>
      </c>
      <c r="I396" s="160"/>
      <c r="J396" s="161"/>
      <c r="K396" s="160"/>
      <c r="L396" s="160">
        <f>+'FACP$'!$H396-'FACP$'!$I396-'FACP$'!$K396</f>
        <v>592792.48</v>
      </c>
      <c r="M396" s="199" t="s">
        <v>787</v>
      </c>
      <c r="N396" s="162" t="s">
        <v>127</v>
      </c>
      <c r="O396" s="175"/>
      <c r="P396" s="164">
        <f t="shared" si="13"/>
        <v>42836</v>
      </c>
      <c r="Q396" s="165">
        <f t="shared" si="2"/>
        <v>0</v>
      </c>
      <c r="R396" s="166"/>
      <c r="S396" s="167"/>
      <c r="T396" s="168">
        <f t="shared" si="3"/>
        <v>592792.48</v>
      </c>
      <c r="U396" s="168">
        <f t="shared" si="4"/>
        <v>0</v>
      </c>
      <c r="V396" s="168">
        <f t="shared" si="5"/>
        <v>0</v>
      </c>
      <c r="W396" s="168">
        <f t="shared" si="6"/>
        <v>0</v>
      </c>
      <c r="X396" s="168">
        <f t="shared" si="7"/>
        <v>0</v>
      </c>
      <c r="Y396" s="168">
        <f t="shared" si="8"/>
        <v>0</v>
      </c>
      <c r="Z396" s="168">
        <f t="shared" si="9"/>
        <v>0</v>
      </c>
    </row>
    <row r="397" ht="14.25" customHeight="1">
      <c r="A397" s="157">
        <v>721.0</v>
      </c>
      <c r="B397" s="170" t="s">
        <v>720</v>
      </c>
      <c r="C397" s="161" t="s">
        <v>755</v>
      </c>
      <c r="D397" s="159">
        <v>42826.0</v>
      </c>
      <c r="E397" s="157" t="s">
        <v>8</v>
      </c>
      <c r="F397" s="160">
        <v>567185.22</v>
      </c>
      <c r="G397" s="160">
        <v>90749.64</v>
      </c>
      <c r="H397" s="160">
        <f t="shared" si="27"/>
        <v>657934.86</v>
      </c>
      <c r="I397" s="160"/>
      <c r="J397" s="161"/>
      <c r="K397" s="160"/>
      <c r="L397" s="160">
        <f>+'FACP$'!$H397-'FACP$'!$I397-'FACP$'!$K397</f>
        <v>657934.86</v>
      </c>
      <c r="M397" s="199" t="s">
        <v>777</v>
      </c>
      <c r="N397" s="162" t="s">
        <v>554</v>
      </c>
      <c r="O397" s="175">
        <v>42864.0</v>
      </c>
      <c r="P397" s="164">
        <f t="shared" si="13"/>
        <v>42836</v>
      </c>
      <c r="Q397" s="165">
        <f t="shared" si="2"/>
        <v>0</v>
      </c>
      <c r="R397" s="166"/>
      <c r="S397" s="167"/>
      <c r="T397" s="168">
        <f t="shared" si="3"/>
        <v>657934.86</v>
      </c>
      <c r="U397" s="168">
        <f t="shared" si="4"/>
        <v>0</v>
      </c>
      <c r="V397" s="168">
        <f t="shared" si="5"/>
        <v>0</v>
      </c>
      <c r="W397" s="168">
        <f t="shared" si="6"/>
        <v>0</v>
      </c>
      <c r="X397" s="168">
        <f t="shared" si="7"/>
        <v>0</v>
      </c>
      <c r="Y397" s="168">
        <f t="shared" si="8"/>
        <v>0</v>
      </c>
      <c r="Z397" s="168">
        <f t="shared" si="9"/>
        <v>0</v>
      </c>
    </row>
    <row r="398" ht="14.25" customHeight="1">
      <c r="A398" s="157">
        <v>723.0</v>
      </c>
      <c r="B398" s="170" t="s">
        <v>37</v>
      </c>
      <c r="C398" s="169" t="s">
        <v>756</v>
      </c>
      <c r="D398" s="159">
        <v>42826.0</v>
      </c>
      <c r="E398" s="157" t="s">
        <v>8</v>
      </c>
      <c r="F398" s="172">
        <v>1338759.04</v>
      </c>
      <c r="G398" s="160">
        <v>214201.45</v>
      </c>
      <c r="H398" s="160">
        <f t="shared" si="27"/>
        <v>1552960.49</v>
      </c>
      <c r="I398" s="160"/>
      <c r="J398" s="161"/>
      <c r="K398" s="160"/>
      <c r="L398" s="160">
        <f>+'FACP$'!$H398-'FACP$'!$I398-'FACP$'!$K398</f>
        <v>1552960.49</v>
      </c>
      <c r="M398" s="199" t="s">
        <v>718</v>
      </c>
      <c r="N398" s="162" t="s">
        <v>554</v>
      </c>
      <c r="O398" s="175">
        <v>42864.0</v>
      </c>
      <c r="P398" s="164">
        <f t="shared" si="13"/>
        <v>42836</v>
      </c>
      <c r="Q398" s="165">
        <f t="shared" si="2"/>
        <v>0</v>
      </c>
      <c r="R398" s="166"/>
      <c r="S398" s="167"/>
      <c r="T398" s="168">
        <f t="shared" si="3"/>
        <v>1552960.49</v>
      </c>
      <c r="U398" s="168">
        <f t="shared" si="4"/>
        <v>0</v>
      </c>
      <c r="V398" s="168">
        <f t="shared" si="5"/>
        <v>0</v>
      </c>
      <c r="W398" s="168">
        <f t="shared" si="6"/>
        <v>0</v>
      </c>
      <c r="X398" s="168">
        <f t="shared" si="7"/>
        <v>0</v>
      </c>
      <c r="Y398" s="168">
        <f t="shared" si="8"/>
        <v>0</v>
      </c>
      <c r="Z398" s="168">
        <f t="shared" si="9"/>
        <v>0</v>
      </c>
    </row>
    <row r="399" ht="14.25" customHeight="1">
      <c r="A399" s="157">
        <v>727.0</v>
      </c>
      <c r="B399" s="170" t="s">
        <v>720</v>
      </c>
      <c r="C399" s="161" t="s">
        <v>755</v>
      </c>
      <c r="D399" s="159">
        <v>42840.0</v>
      </c>
      <c r="E399" s="157" t="s">
        <v>8</v>
      </c>
      <c r="F399" s="160">
        <v>595160.58</v>
      </c>
      <c r="G399" s="160">
        <v>95225.69</v>
      </c>
      <c r="H399" s="160">
        <f t="shared" si="27"/>
        <v>690386.27</v>
      </c>
      <c r="I399" s="160"/>
      <c r="J399" s="161"/>
      <c r="K399" s="160"/>
      <c r="L399" s="160">
        <f>+'FACP$'!$H399-'FACP$'!$I399-'FACP$'!$K399</f>
        <v>690386.27</v>
      </c>
      <c r="M399" s="199" t="s">
        <v>777</v>
      </c>
      <c r="N399" s="162" t="s">
        <v>554</v>
      </c>
      <c r="O399" s="175">
        <v>42858.0</v>
      </c>
      <c r="P399" s="164">
        <f t="shared" si="13"/>
        <v>42850</v>
      </c>
      <c r="Q399" s="165">
        <f t="shared" si="2"/>
        <v>0</v>
      </c>
      <c r="R399" s="166"/>
      <c r="S399" s="167"/>
      <c r="T399" s="168">
        <f t="shared" si="3"/>
        <v>690386.27</v>
      </c>
      <c r="U399" s="168">
        <f t="shared" si="4"/>
        <v>0</v>
      </c>
      <c r="V399" s="168">
        <f t="shared" si="5"/>
        <v>0</v>
      </c>
      <c r="W399" s="168">
        <f t="shared" si="6"/>
        <v>0</v>
      </c>
      <c r="X399" s="168">
        <f t="shared" si="7"/>
        <v>0</v>
      </c>
      <c r="Y399" s="168">
        <f t="shared" si="8"/>
        <v>0</v>
      </c>
      <c r="Z399" s="168">
        <f t="shared" si="9"/>
        <v>0</v>
      </c>
    </row>
    <row r="400" ht="14.25" customHeight="1">
      <c r="A400" s="157">
        <v>728.0</v>
      </c>
      <c r="B400" s="170"/>
      <c r="C400" s="169"/>
      <c r="D400" s="159"/>
      <c r="E400" s="157"/>
      <c r="F400" s="160"/>
      <c r="G400" s="160"/>
      <c r="H400" s="160"/>
      <c r="I400" s="160"/>
      <c r="J400" s="161"/>
      <c r="K400" s="160"/>
      <c r="L400" s="160">
        <f>+'FACP$'!$H400-'FACP$'!$I400-'FACP$'!$K400</f>
        <v>0</v>
      </c>
      <c r="M400" s="199"/>
      <c r="N400" s="162" t="s">
        <v>127</v>
      </c>
      <c r="O400" s="175"/>
      <c r="P400" s="164">
        <f t="shared" si="13"/>
        <v>10</v>
      </c>
      <c r="Q400" s="165">
        <f t="shared" si="2"/>
        <v>0</v>
      </c>
      <c r="R400" s="166"/>
      <c r="S400" s="167"/>
      <c r="T400" s="168">
        <f t="shared" si="3"/>
        <v>0</v>
      </c>
      <c r="U400" s="168">
        <f t="shared" si="4"/>
        <v>0</v>
      </c>
      <c r="V400" s="168">
        <f t="shared" si="5"/>
        <v>0</v>
      </c>
      <c r="W400" s="168">
        <f t="shared" si="6"/>
        <v>0</v>
      </c>
      <c r="X400" s="168">
        <f t="shared" si="7"/>
        <v>0</v>
      </c>
      <c r="Y400" s="168">
        <f t="shared" si="8"/>
        <v>0</v>
      </c>
      <c r="Z400" s="168">
        <f t="shared" si="9"/>
        <v>0</v>
      </c>
    </row>
    <row r="401" ht="14.25" customHeight="1">
      <c r="A401" s="157">
        <v>729.0</v>
      </c>
      <c r="B401" s="170"/>
      <c r="C401" s="169"/>
      <c r="D401" s="159"/>
      <c r="E401" s="157"/>
      <c r="F401" s="160"/>
      <c r="G401" s="160"/>
      <c r="H401" s="160"/>
      <c r="I401" s="160"/>
      <c r="J401" s="161"/>
      <c r="K401" s="160"/>
      <c r="L401" s="160">
        <f>+'FACP$'!$H401-'FACP$'!$I401-'FACP$'!$K401</f>
        <v>0</v>
      </c>
      <c r="M401" s="199"/>
      <c r="N401" s="162" t="s">
        <v>127</v>
      </c>
      <c r="O401" s="175"/>
      <c r="P401" s="164">
        <f t="shared" si="13"/>
        <v>10</v>
      </c>
      <c r="Q401" s="165">
        <f t="shared" si="2"/>
        <v>0</v>
      </c>
      <c r="R401" s="166"/>
      <c r="S401" s="167"/>
      <c r="T401" s="168">
        <f t="shared" si="3"/>
        <v>0</v>
      </c>
      <c r="U401" s="168">
        <f t="shared" si="4"/>
        <v>0</v>
      </c>
      <c r="V401" s="168">
        <f t="shared" si="5"/>
        <v>0</v>
      </c>
      <c r="W401" s="168">
        <f t="shared" si="6"/>
        <v>0</v>
      </c>
      <c r="X401" s="168">
        <f t="shared" si="7"/>
        <v>0</v>
      </c>
      <c r="Y401" s="168">
        <f t="shared" si="8"/>
        <v>0</v>
      </c>
      <c r="Z401" s="168">
        <f t="shared" si="9"/>
        <v>0</v>
      </c>
    </row>
    <row r="402" ht="14.25" customHeight="1">
      <c r="A402" s="157">
        <v>732.0</v>
      </c>
      <c r="B402" s="170" t="s">
        <v>722</v>
      </c>
      <c r="C402" s="169" t="s">
        <v>756</v>
      </c>
      <c r="D402" s="159">
        <v>42840.0</v>
      </c>
      <c r="E402" s="157" t="s">
        <v>8</v>
      </c>
      <c r="F402" s="160">
        <v>3362503.72</v>
      </c>
      <c r="G402" s="160">
        <v>538000.6</v>
      </c>
      <c r="H402" s="160">
        <f t="shared" ref="H402:H425" si="28">F402+G402</f>
        <v>3900504.32</v>
      </c>
      <c r="I402" s="160"/>
      <c r="J402" s="161"/>
      <c r="K402" s="160"/>
      <c r="L402" s="160">
        <f>+'FACP$'!$H402-'FACP$'!$I402-'FACP$'!$K402</f>
        <v>3900504.32</v>
      </c>
      <c r="M402" s="199" t="s">
        <v>93</v>
      </c>
      <c r="N402" s="162" t="s">
        <v>554</v>
      </c>
      <c r="O402" s="175">
        <v>42866.0</v>
      </c>
      <c r="P402" s="164">
        <f t="shared" si="13"/>
        <v>42850</v>
      </c>
      <c r="Q402" s="165">
        <f t="shared" si="2"/>
        <v>0</v>
      </c>
      <c r="R402" s="166"/>
      <c r="S402" s="167"/>
      <c r="T402" s="168">
        <f t="shared" si="3"/>
        <v>3900504.32</v>
      </c>
      <c r="U402" s="168">
        <f t="shared" si="4"/>
        <v>0</v>
      </c>
      <c r="V402" s="168">
        <f t="shared" si="5"/>
        <v>0</v>
      </c>
      <c r="W402" s="168">
        <f t="shared" si="6"/>
        <v>0</v>
      </c>
      <c r="X402" s="168">
        <f t="shared" si="7"/>
        <v>0</v>
      </c>
      <c r="Y402" s="168">
        <f t="shared" si="8"/>
        <v>0</v>
      </c>
      <c r="Z402" s="168">
        <f t="shared" si="9"/>
        <v>0</v>
      </c>
    </row>
    <row r="403" ht="14.25" customHeight="1">
      <c r="A403" s="157">
        <v>733.0</v>
      </c>
      <c r="B403" s="170" t="s">
        <v>722</v>
      </c>
      <c r="C403" s="169" t="s">
        <v>756</v>
      </c>
      <c r="D403" s="159">
        <v>42840.0</v>
      </c>
      <c r="E403" s="157" t="s">
        <v>8</v>
      </c>
      <c r="F403" s="160">
        <v>2045641.87</v>
      </c>
      <c r="G403" s="160">
        <v>327307.7</v>
      </c>
      <c r="H403" s="160">
        <f t="shared" si="28"/>
        <v>2372949.57</v>
      </c>
      <c r="I403" s="160"/>
      <c r="J403" s="161"/>
      <c r="K403" s="160"/>
      <c r="L403" s="160">
        <f>+'FACP$'!$H403-'FACP$'!$I403-'FACP$'!$K403</f>
        <v>2372949.57</v>
      </c>
      <c r="M403" s="199" t="s">
        <v>93</v>
      </c>
      <c r="N403" s="162" t="s">
        <v>554</v>
      </c>
      <c r="O403" s="175">
        <v>42866.0</v>
      </c>
      <c r="P403" s="164">
        <f t="shared" si="13"/>
        <v>42850</v>
      </c>
      <c r="Q403" s="165">
        <f t="shared" si="2"/>
        <v>0</v>
      </c>
      <c r="R403" s="166"/>
      <c r="S403" s="167"/>
      <c r="T403" s="168">
        <f t="shared" si="3"/>
        <v>2372949.57</v>
      </c>
      <c r="U403" s="168">
        <f t="shared" si="4"/>
        <v>0</v>
      </c>
      <c r="V403" s="168">
        <f t="shared" si="5"/>
        <v>0</v>
      </c>
      <c r="W403" s="168">
        <f t="shared" si="6"/>
        <v>0</v>
      </c>
      <c r="X403" s="168">
        <f t="shared" si="7"/>
        <v>0</v>
      </c>
      <c r="Y403" s="168">
        <f t="shared" si="8"/>
        <v>0</v>
      </c>
      <c r="Z403" s="168">
        <f t="shared" si="9"/>
        <v>0</v>
      </c>
    </row>
    <row r="404" ht="14.25" customHeight="1">
      <c r="A404" s="157">
        <v>734.0</v>
      </c>
      <c r="B404" s="169" t="s">
        <v>70</v>
      </c>
      <c r="C404" s="170" t="s">
        <v>759</v>
      </c>
      <c r="D404" s="159">
        <v>42840.0</v>
      </c>
      <c r="E404" s="157" t="s">
        <v>8</v>
      </c>
      <c r="F404" s="160">
        <v>328102.32</v>
      </c>
      <c r="G404" s="160">
        <v>52496.37</v>
      </c>
      <c r="H404" s="160">
        <f t="shared" si="28"/>
        <v>380598.69</v>
      </c>
      <c r="I404" s="160"/>
      <c r="J404" s="161"/>
      <c r="K404" s="160"/>
      <c r="L404" s="160">
        <f>+'FACP$'!$H404-'FACP$'!$I404-'FACP$'!$K404</f>
        <v>380598.69</v>
      </c>
      <c r="M404" s="199" t="s">
        <v>719</v>
      </c>
      <c r="N404" s="162" t="s">
        <v>554</v>
      </c>
      <c r="O404" s="175">
        <v>42867.0</v>
      </c>
      <c r="P404" s="164">
        <f t="shared" si="13"/>
        <v>42850</v>
      </c>
      <c r="Q404" s="165">
        <f t="shared" si="2"/>
        <v>0</v>
      </c>
      <c r="R404" s="166"/>
      <c r="S404" s="167"/>
      <c r="T404" s="168">
        <f t="shared" si="3"/>
        <v>380598.69</v>
      </c>
      <c r="U404" s="168">
        <f t="shared" si="4"/>
        <v>0</v>
      </c>
      <c r="V404" s="168">
        <f t="shared" si="5"/>
        <v>0</v>
      </c>
      <c r="W404" s="168">
        <f t="shared" si="6"/>
        <v>0</v>
      </c>
      <c r="X404" s="168">
        <f t="shared" si="7"/>
        <v>0</v>
      </c>
      <c r="Y404" s="168">
        <f t="shared" si="8"/>
        <v>0</v>
      </c>
      <c r="Z404" s="168">
        <f t="shared" si="9"/>
        <v>0</v>
      </c>
    </row>
    <row r="405" ht="14.25" customHeight="1">
      <c r="A405" s="157">
        <v>737.0</v>
      </c>
      <c r="B405" s="170" t="s">
        <v>722</v>
      </c>
      <c r="C405" s="169" t="s">
        <v>756</v>
      </c>
      <c r="D405" s="159">
        <v>42809.0</v>
      </c>
      <c r="E405" s="157" t="s">
        <v>8</v>
      </c>
      <c r="F405" s="160">
        <v>12793.77</v>
      </c>
      <c r="G405" s="160">
        <v>2047.0</v>
      </c>
      <c r="H405" s="160">
        <f t="shared" si="28"/>
        <v>14840.77</v>
      </c>
      <c r="I405" s="160"/>
      <c r="J405" s="161"/>
      <c r="K405" s="160"/>
      <c r="L405" s="160">
        <f>+'FACP$'!$H405-'FACP$'!$I405-'FACP$'!$K405</f>
        <v>14840.77</v>
      </c>
      <c r="M405" s="199" t="s">
        <v>93</v>
      </c>
      <c r="N405" s="162" t="s">
        <v>127</v>
      </c>
      <c r="O405" s="163"/>
      <c r="P405" s="164">
        <f t="shared" si="13"/>
        <v>42819</v>
      </c>
      <c r="Q405" s="165">
        <f t="shared" si="2"/>
        <v>0</v>
      </c>
      <c r="R405" s="166"/>
      <c r="S405" s="167"/>
      <c r="T405" s="168">
        <f t="shared" si="3"/>
        <v>14840.77</v>
      </c>
      <c r="U405" s="168">
        <f t="shared" si="4"/>
        <v>0</v>
      </c>
      <c r="V405" s="168">
        <f t="shared" si="5"/>
        <v>0</v>
      </c>
      <c r="W405" s="168">
        <f t="shared" si="6"/>
        <v>0</v>
      </c>
      <c r="X405" s="168">
        <f t="shared" si="7"/>
        <v>0</v>
      </c>
      <c r="Y405" s="168">
        <f t="shared" si="8"/>
        <v>0</v>
      </c>
      <c r="Z405" s="168">
        <f t="shared" si="9"/>
        <v>0</v>
      </c>
    </row>
    <row r="406" ht="14.25" customHeight="1">
      <c r="A406" s="157">
        <v>738.0</v>
      </c>
      <c r="B406" s="170" t="s">
        <v>37</v>
      </c>
      <c r="C406" s="169" t="s">
        <v>756</v>
      </c>
      <c r="D406" s="159">
        <v>42840.0</v>
      </c>
      <c r="E406" s="157" t="s">
        <v>8</v>
      </c>
      <c r="F406" s="160">
        <v>1263582.72</v>
      </c>
      <c r="G406" s="160">
        <v>202173.24</v>
      </c>
      <c r="H406" s="160">
        <f t="shared" si="28"/>
        <v>1465755.96</v>
      </c>
      <c r="I406" s="160"/>
      <c r="J406" s="161"/>
      <c r="K406" s="160"/>
      <c r="L406" s="160">
        <f>+'FACP$'!$H406-'FACP$'!$I406-'FACP$'!$K406</f>
        <v>1465755.96</v>
      </c>
      <c r="M406" s="199" t="s">
        <v>718</v>
      </c>
      <c r="N406" s="162" t="s">
        <v>554</v>
      </c>
      <c r="O406" s="163">
        <v>42885.0</v>
      </c>
      <c r="P406" s="164">
        <f t="shared" si="13"/>
        <v>42850</v>
      </c>
      <c r="Q406" s="165">
        <f t="shared" si="2"/>
        <v>0</v>
      </c>
      <c r="R406" s="166"/>
      <c r="S406" s="167"/>
      <c r="T406" s="168">
        <f t="shared" si="3"/>
        <v>1465755.96</v>
      </c>
      <c r="U406" s="168">
        <f t="shared" si="4"/>
        <v>0</v>
      </c>
      <c r="V406" s="168">
        <f t="shared" si="5"/>
        <v>0</v>
      </c>
      <c r="W406" s="168">
        <f t="shared" si="6"/>
        <v>0</v>
      </c>
      <c r="X406" s="168">
        <f t="shared" si="7"/>
        <v>0</v>
      </c>
      <c r="Y406" s="168">
        <f t="shared" si="8"/>
        <v>0</v>
      </c>
      <c r="Z406" s="168">
        <f t="shared" si="9"/>
        <v>0</v>
      </c>
    </row>
    <row r="407" ht="14.25" customHeight="1">
      <c r="A407" s="157">
        <v>740.0</v>
      </c>
      <c r="B407" s="169" t="s">
        <v>70</v>
      </c>
      <c r="C407" s="170" t="s">
        <v>759</v>
      </c>
      <c r="D407" s="159">
        <v>42856.0</v>
      </c>
      <c r="E407" s="157" t="s">
        <v>8</v>
      </c>
      <c r="F407" s="160">
        <v>464545.86</v>
      </c>
      <c r="G407" s="160">
        <v>74327.34</v>
      </c>
      <c r="H407" s="160">
        <f t="shared" si="28"/>
        <v>538873.2</v>
      </c>
      <c r="I407" s="160"/>
      <c r="J407" s="161"/>
      <c r="K407" s="160"/>
      <c r="L407" s="160">
        <f>+'FACP$'!$H407-'FACP$'!$I407-'FACP$'!$K407</f>
        <v>538873.2</v>
      </c>
      <c r="M407" s="199" t="s">
        <v>719</v>
      </c>
      <c r="N407" s="162" t="s">
        <v>554</v>
      </c>
      <c r="O407" s="163">
        <v>42899.0</v>
      </c>
      <c r="P407" s="164">
        <f t="shared" si="13"/>
        <v>42866</v>
      </c>
      <c r="Q407" s="165">
        <f t="shared" si="2"/>
        <v>0</v>
      </c>
      <c r="R407" s="166"/>
      <c r="S407" s="167"/>
      <c r="T407" s="168">
        <f t="shared" si="3"/>
        <v>538873.2</v>
      </c>
      <c r="U407" s="168">
        <f t="shared" si="4"/>
        <v>0</v>
      </c>
      <c r="V407" s="168">
        <f t="shared" si="5"/>
        <v>0</v>
      </c>
      <c r="W407" s="168">
        <f t="shared" si="6"/>
        <v>0</v>
      </c>
      <c r="X407" s="168">
        <f t="shared" si="7"/>
        <v>0</v>
      </c>
      <c r="Y407" s="168">
        <f t="shared" si="8"/>
        <v>0</v>
      </c>
      <c r="Z407" s="168">
        <f t="shared" si="9"/>
        <v>0</v>
      </c>
    </row>
    <row r="408" ht="14.25" customHeight="1">
      <c r="A408" s="157">
        <v>742.0</v>
      </c>
      <c r="B408" s="170" t="s">
        <v>722</v>
      </c>
      <c r="C408" s="169" t="s">
        <v>756</v>
      </c>
      <c r="D408" s="159">
        <v>42856.0</v>
      </c>
      <c r="E408" s="157" t="s">
        <v>8</v>
      </c>
      <c r="F408" s="160">
        <v>5396620.16</v>
      </c>
      <c r="G408" s="160">
        <v>863459.23</v>
      </c>
      <c r="H408" s="160">
        <f t="shared" si="28"/>
        <v>6260079.39</v>
      </c>
      <c r="I408" s="160"/>
      <c r="J408" s="161"/>
      <c r="K408" s="160"/>
      <c r="L408" s="160">
        <f>+'FACP$'!$H408-'FACP$'!$I408-'FACP$'!$K408</f>
        <v>6260079.39</v>
      </c>
      <c r="M408" s="199" t="s">
        <v>93</v>
      </c>
      <c r="N408" s="162" t="s">
        <v>554</v>
      </c>
      <c r="O408" s="163">
        <v>42880.0</v>
      </c>
      <c r="P408" s="164">
        <f t="shared" si="13"/>
        <v>42866</v>
      </c>
      <c r="Q408" s="165">
        <f t="shared" si="2"/>
        <v>0</v>
      </c>
      <c r="R408" s="166"/>
      <c r="S408" s="167"/>
      <c r="T408" s="168">
        <f t="shared" si="3"/>
        <v>6260079.39</v>
      </c>
      <c r="U408" s="168">
        <f t="shared" si="4"/>
        <v>0</v>
      </c>
      <c r="V408" s="168">
        <f t="shared" si="5"/>
        <v>0</v>
      </c>
      <c r="W408" s="168">
        <f t="shared" si="6"/>
        <v>0</v>
      </c>
      <c r="X408" s="168">
        <f t="shared" si="7"/>
        <v>0</v>
      </c>
      <c r="Y408" s="168">
        <f t="shared" si="8"/>
        <v>0</v>
      </c>
      <c r="Z408" s="168">
        <f t="shared" si="9"/>
        <v>0</v>
      </c>
    </row>
    <row r="409" ht="14.25" customHeight="1">
      <c r="A409" s="157">
        <v>743.0</v>
      </c>
      <c r="B409" s="170" t="s">
        <v>720</v>
      </c>
      <c r="C409" s="161" t="s">
        <v>755</v>
      </c>
      <c r="D409" s="159">
        <v>42856.0</v>
      </c>
      <c r="E409" s="157" t="s">
        <v>8</v>
      </c>
      <c r="F409" s="160">
        <v>362745.7</v>
      </c>
      <c r="G409" s="160">
        <v>58039.31</v>
      </c>
      <c r="H409" s="160">
        <f t="shared" si="28"/>
        <v>420785.01</v>
      </c>
      <c r="I409" s="160"/>
      <c r="J409" s="161"/>
      <c r="K409" s="160"/>
      <c r="L409" s="160">
        <f>+'FACP$'!$H409-'FACP$'!$I409-'FACP$'!$K409</f>
        <v>420785.01</v>
      </c>
      <c r="M409" s="199" t="s">
        <v>777</v>
      </c>
      <c r="N409" s="162" t="s">
        <v>554</v>
      </c>
      <c r="O409" s="163">
        <v>42879.0</v>
      </c>
      <c r="P409" s="164">
        <f t="shared" si="13"/>
        <v>42866</v>
      </c>
      <c r="Q409" s="165">
        <f t="shared" si="2"/>
        <v>0</v>
      </c>
      <c r="R409" s="166"/>
      <c r="S409" s="167"/>
      <c r="T409" s="168">
        <f t="shared" si="3"/>
        <v>420785.01</v>
      </c>
      <c r="U409" s="168">
        <f t="shared" si="4"/>
        <v>0</v>
      </c>
      <c r="V409" s="168">
        <f t="shared" si="5"/>
        <v>0</v>
      </c>
      <c r="W409" s="168">
        <f t="shared" si="6"/>
        <v>0</v>
      </c>
      <c r="X409" s="168">
        <f t="shared" si="7"/>
        <v>0</v>
      </c>
      <c r="Y409" s="168">
        <f t="shared" si="8"/>
        <v>0</v>
      </c>
      <c r="Z409" s="168">
        <f t="shared" si="9"/>
        <v>0</v>
      </c>
    </row>
    <row r="410" ht="14.25" customHeight="1">
      <c r="A410" s="157">
        <v>745.0</v>
      </c>
      <c r="B410" s="169" t="s">
        <v>728</v>
      </c>
      <c r="C410" s="169" t="s">
        <v>785</v>
      </c>
      <c r="D410" s="159">
        <v>42856.0</v>
      </c>
      <c r="E410" s="157" t="s">
        <v>8</v>
      </c>
      <c r="F410" s="160">
        <v>543872.0</v>
      </c>
      <c r="G410" s="160">
        <v>87019.52</v>
      </c>
      <c r="H410" s="160">
        <f t="shared" si="28"/>
        <v>630891.52</v>
      </c>
      <c r="I410" s="160"/>
      <c r="J410" s="161"/>
      <c r="K410" s="160"/>
      <c r="L410" s="160">
        <f>+'FACP$'!$H410-'FACP$'!$I410-'FACP$'!$K410</f>
        <v>630891.52</v>
      </c>
      <c r="M410" s="199" t="s">
        <v>728</v>
      </c>
      <c r="N410" s="162" t="s">
        <v>554</v>
      </c>
      <c r="O410" s="163">
        <v>42881.0</v>
      </c>
      <c r="P410" s="164">
        <f t="shared" si="13"/>
        <v>42866</v>
      </c>
      <c r="Q410" s="165">
        <f t="shared" si="2"/>
        <v>0</v>
      </c>
      <c r="R410" s="166"/>
      <c r="S410" s="167"/>
      <c r="T410" s="168">
        <f t="shared" si="3"/>
        <v>630891.52</v>
      </c>
      <c r="U410" s="168">
        <f t="shared" si="4"/>
        <v>0</v>
      </c>
      <c r="V410" s="168">
        <f t="shared" si="5"/>
        <v>0</v>
      </c>
      <c r="W410" s="168">
        <f t="shared" si="6"/>
        <v>0</v>
      </c>
      <c r="X410" s="168">
        <f t="shared" si="7"/>
        <v>0</v>
      </c>
      <c r="Y410" s="168">
        <f t="shared" si="8"/>
        <v>0</v>
      </c>
      <c r="Z410" s="168">
        <f t="shared" si="9"/>
        <v>0</v>
      </c>
    </row>
    <row r="411" ht="14.25" customHeight="1">
      <c r="A411" s="157">
        <v>746.0</v>
      </c>
      <c r="B411" s="169" t="s">
        <v>728</v>
      </c>
      <c r="C411" s="169" t="s">
        <v>785</v>
      </c>
      <c r="D411" s="159">
        <v>42840.0</v>
      </c>
      <c r="E411" s="157" t="s">
        <v>8</v>
      </c>
      <c r="F411" s="160">
        <v>635124.0</v>
      </c>
      <c r="G411" s="160">
        <v>101619.84</v>
      </c>
      <c r="H411" s="160">
        <f t="shared" si="28"/>
        <v>736743.84</v>
      </c>
      <c r="I411" s="160"/>
      <c r="J411" s="161"/>
      <c r="K411" s="160"/>
      <c r="L411" s="160">
        <f>+'FACP$'!$H411-'FACP$'!$I411-'FACP$'!$K411</f>
        <v>736743.84</v>
      </c>
      <c r="M411" s="199" t="s">
        <v>728</v>
      </c>
      <c r="N411" s="162" t="s">
        <v>554</v>
      </c>
      <c r="O411" s="163">
        <v>42881.0</v>
      </c>
      <c r="P411" s="164">
        <f t="shared" si="13"/>
        <v>42850</v>
      </c>
      <c r="Q411" s="165">
        <f t="shared" si="2"/>
        <v>0</v>
      </c>
      <c r="R411" s="166"/>
      <c r="S411" s="167"/>
      <c r="T411" s="168">
        <f t="shared" si="3"/>
        <v>736743.84</v>
      </c>
      <c r="U411" s="168">
        <f t="shared" si="4"/>
        <v>0</v>
      </c>
      <c r="V411" s="168">
        <f t="shared" si="5"/>
        <v>0</v>
      </c>
      <c r="W411" s="168">
        <f t="shared" si="6"/>
        <v>0</v>
      </c>
      <c r="X411" s="168">
        <f t="shared" si="7"/>
        <v>0</v>
      </c>
      <c r="Y411" s="168">
        <f t="shared" si="8"/>
        <v>0</v>
      </c>
      <c r="Z411" s="168">
        <f t="shared" si="9"/>
        <v>0</v>
      </c>
    </row>
    <row r="412" ht="14.25" customHeight="1">
      <c r="A412" s="157">
        <v>747.0</v>
      </c>
      <c r="B412" s="169" t="s">
        <v>728</v>
      </c>
      <c r="C412" s="169" t="s">
        <v>785</v>
      </c>
      <c r="D412" s="159">
        <v>42826.0</v>
      </c>
      <c r="E412" s="157" t="s">
        <v>8</v>
      </c>
      <c r="F412" s="160">
        <v>511028.0</v>
      </c>
      <c r="G412" s="160">
        <v>81764.48</v>
      </c>
      <c r="H412" s="160">
        <f t="shared" si="28"/>
        <v>592792.48</v>
      </c>
      <c r="I412" s="160"/>
      <c r="J412" s="161"/>
      <c r="K412" s="160"/>
      <c r="L412" s="160">
        <f>+'FACP$'!$H412-'FACP$'!$I412-'FACP$'!$K412</f>
        <v>592792.48</v>
      </c>
      <c r="M412" s="199" t="s">
        <v>728</v>
      </c>
      <c r="N412" s="162" t="s">
        <v>554</v>
      </c>
      <c r="O412" s="163">
        <v>42886.0</v>
      </c>
      <c r="P412" s="164">
        <f t="shared" si="13"/>
        <v>42836</v>
      </c>
      <c r="Q412" s="165">
        <f t="shared" si="2"/>
        <v>0</v>
      </c>
      <c r="R412" s="166"/>
      <c r="S412" s="167"/>
      <c r="T412" s="168">
        <f t="shared" si="3"/>
        <v>592792.48</v>
      </c>
      <c r="U412" s="168">
        <f t="shared" si="4"/>
        <v>0</v>
      </c>
      <c r="V412" s="168">
        <f t="shared" si="5"/>
        <v>0</v>
      </c>
      <c r="W412" s="168">
        <f t="shared" si="6"/>
        <v>0</v>
      </c>
      <c r="X412" s="168">
        <f t="shared" si="7"/>
        <v>0</v>
      </c>
      <c r="Y412" s="168">
        <f t="shared" si="8"/>
        <v>0</v>
      </c>
      <c r="Z412" s="168">
        <f t="shared" si="9"/>
        <v>0</v>
      </c>
    </row>
    <row r="413" ht="14.25" customHeight="1">
      <c r="A413" s="157">
        <v>749.0</v>
      </c>
      <c r="B413" s="170" t="s">
        <v>37</v>
      </c>
      <c r="C413" s="169" t="s">
        <v>756</v>
      </c>
      <c r="D413" s="159">
        <v>42856.0</v>
      </c>
      <c r="E413" s="157" t="s">
        <v>8</v>
      </c>
      <c r="F413" s="160">
        <v>1725389.6</v>
      </c>
      <c r="G413" s="160">
        <v>276062.34</v>
      </c>
      <c r="H413" s="160">
        <f t="shared" si="28"/>
        <v>2001451.94</v>
      </c>
      <c r="I413" s="160"/>
      <c r="J413" s="161"/>
      <c r="K413" s="160"/>
      <c r="L413" s="160">
        <f>+'FACP$'!$H413-'FACP$'!$I413-'FACP$'!$K413</f>
        <v>2001451.94</v>
      </c>
      <c r="M413" s="199" t="s">
        <v>718</v>
      </c>
      <c r="N413" s="162" t="s">
        <v>554</v>
      </c>
      <c r="O413" s="163">
        <v>42892.0</v>
      </c>
      <c r="P413" s="164">
        <f t="shared" si="13"/>
        <v>42866</v>
      </c>
      <c r="Q413" s="165">
        <f t="shared" si="2"/>
        <v>0</v>
      </c>
      <c r="R413" s="166"/>
      <c r="S413" s="167"/>
      <c r="T413" s="168">
        <f t="shared" si="3"/>
        <v>2001451.94</v>
      </c>
      <c r="U413" s="168">
        <f t="shared" si="4"/>
        <v>0</v>
      </c>
      <c r="V413" s="168">
        <f t="shared" si="5"/>
        <v>0</v>
      </c>
      <c r="W413" s="168">
        <f t="shared" si="6"/>
        <v>0</v>
      </c>
      <c r="X413" s="168">
        <f t="shared" si="7"/>
        <v>0</v>
      </c>
      <c r="Y413" s="168">
        <f t="shared" si="8"/>
        <v>0</v>
      </c>
      <c r="Z413" s="168">
        <f t="shared" si="9"/>
        <v>0</v>
      </c>
    </row>
    <row r="414" ht="14.25" customHeight="1">
      <c r="A414" s="157">
        <v>754.0</v>
      </c>
      <c r="B414" s="158" t="s">
        <v>82</v>
      </c>
      <c r="C414" s="161" t="s">
        <v>788</v>
      </c>
      <c r="D414" s="159">
        <v>42856.0</v>
      </c>
      <c r="E414" s="157" t="s">
        <v>8</v>
      </c>
      <c r="F414" s="160">
        <v>1100735.0</v>
      </c>
      <c r="G414" s="160">
        <v>176117.6</v>
      </c>
      <c r="H414" s="160">
        <f t="shared" si="28"/>
        <v>1276852.6</v>
      </c>
      <c r="I414" s="160"/>
      <c r="J414" s="161"/>
      <c r="K414" s="160"/>
      <c r="L414" s="160">
        <f>+'FACP$'!$H414-'FACP$'!$I414-'FACP$'!$K414</f>
        <v>1276852.6</v>
      </c>
      <c r="M414" s="199" t="s">
        <v>96</v>
      </c>
      <c r="N414" s="162" t="s">
        <v>554</v>
      </c>
      <c r="O414" s="163"/>
      <c r="P414" s="164">
        <f t="shared" si="13"/>
        <v>42866</v>
      </c>
      <c r="Q414" s="165">
        <f t="shared" si="2"/>
        <v>0</v>
      </c>
      <c r="R414" s="166"/>
      <c r="S414" s="167"/>
      <c r="T414" s="168">
        <f t="shared" si="3"/>
        <v>1276852.6</v>
      </c>
      <c r="U414" s="168">
        <f t="shared" si="4"/>
        <v>0</v>
      </c>
      <c r="V414" s="168">
        <f t="shared" si="5"/>
        <v>0</v>
      </c>
      <c r="W414" s="168">
        <f t="shared" si="6"/>
        <v>0</v>
      </c>
      <c r="X414" s="168">
        <f t="shared" si="7"/>
        <v>0</v>
      </c>
      <c r="Y414" s="168">
        <f t="shared" si="8"/>
        <v>0</v>
      </c>
      <c r="Z414" s="168">
        <f t="shared" si="9"/>
        <v>0</v>
      </c>
    </row>
    <row r="415" ht="14.25" customHeight="1">
      <c r="A415" s="157">
        <v>756.0</v>
      </c>
      <c r="B415" s="170" t="s">
        <v>720</v>
      </c>
      <c r="C415" s="161" t="s">
        <v>755</v>
      </c>
      <c r="D415" s="159">
        <v>42870.0</v>
      </c>
      <c r="E415" s="157" t="s">
        <v>8</v>
      </c>
      <c r="F415" s="160">
        <v>322504.89</v>
      </c>
      <c r="G415" s="160">
        <v>51600.78</v>
      </c>
      <c r="H415" s="160">
        <f t="shared" si="28"/>
        <v>374105.67</v>
      </c>
      <c r="I415" s="160"/>
      <c r="J415" s="161"/>
      <c r="K415" s="160"/>
      <c r="L415" s="160">
        <f>+'FACP$'!$H415-'FACP$'!$I415-'FACP$'!$K415</f>
        <v>374105.67</v>
      </c>
      <c r="M415" s="199" t="s">
        <v>777</v>
      </c>
      <c r="N415" s="162" t="s">
        <v>554</v>
      </c>
      <c r="O415" s="163">
        <v>42907.0</v>
      </c>
      <c r="P415" s="164">
        <f t="shared" si="13"/>
        <v>42880</v>
      </c>
      <c r="Q415" s="165">
        <f t="shared" si="2"/>
        <v>0</v>
      </c>
      <c r="R415" s="166"/>
      <c r="S415" s="167"/>
      <c r="T415" s="168">
        <f t="shared" si="3"/>
        <v>374105.67</v>
      </c>
      <c r="U415" s="168">
        <f t="shared" si="4"/>
        <v>0</v>
      </c>
      <c r="V415" s="168">
        <f t="shared" si="5"/>
        <v>0</v>
      </c>
      <c r="W415" s="168">
        <f t="shared" si="6"/>
        <v>0</v>
      </c>
      <c r="X415" s="168">
        <f t="shared" si="7"/>
        <v>0</v>
      </c>
      <c r="Y415" s="168">
        <f t="shared" si="8"/>
        <v>0</v>
      </c>
      <c r="Z415" s="168">
        <f t="shared" si="9"/>
        <v>0</v>
      </c>
    </row>
    <row r="416" ht="14.25" customHeight="1">
      <c r="A416" s="157">
        <v>758.0</v>
      </c>
      <c r="B416" s="169" t="s">
        <v>728</v>
      </c>
      <c r="C416" s="169" t="s">
        <v>785</v>
      </c>
      <c r="D416" s="159">
        <v>42870.0</v>
      </c>
      <c r="E416" s="157" t="s">
        <v>8</v>
      </c>
      <c r="F416" s="160">
        <v>603204.0</v>
      </c>
      <c r="G416" s="160">
        <v>96512.64</v>
      </c>
      <c r="H416" s="160">
        <f t="shared" si="28"/>
        <v>699716.64</v>
      </c>
      <c r="I416" s="160"/>
      <c r="J416" s="161"/>
      <c r="K416" s="160"/>
      <c r="L416" s="160">
        <f>+'FACP$'!$H416-'FACP$'!$I416-'FACP$'!$K416</f>
        <v>699716.64</v>
      </c>
      <c r="M416" s="199" t="s">
        <v>728</v>
      </c>
      <c r="N416" s="162" t="s">
        <v>554</v>
      </c>
      <c r="O416" s="163">
        <v>42901.0</v>
      </c>
      <c r="P416" s="164">
        <f t="shared" si="13"/>
        <v>42880</v>
      </c>
      <c r="Q416" s="165">
        <f t="shared" si="2"/>
        <v>0</v>
      </c>
      <c r="R416" s="166"/>
      <c r="S416" s="167"/>
      <c r="T416" s="168">
        <f t="shared" si="3"/>
        <v>699716.64</v>
      </c>
      <c r="U416" s="168">
        <f t="shared" si="4"/>
        <v>0</v>
      </c>
      <c r="V416" s="168">
        <f t="shared" si="5"/>
        <v>0</v>
      </c>
      <c r="W416" s="168">
        <f t="shared" si="6"/>
        <v>0</v>
      </c>
      <c r="X416" s="168">
        <f t="shared" si="7"/>
        <v>0</v>
      </c>
      <c r="Y416" s="168">
        <f t="shared" si="8"/>
        <v>0</v>
      </c>
      <c r="Z416" s="168">
        <f t="shared" si="9"/>
        <v>0</v>
      </c>
    </row>
    <row r="417" ht="14.25" customHeight="1">
      <c r="A417" s="157">
        <v>759.0</v>
      </c>
      <c r="B417" s="170" t="s">
        <v>37</v>
      </c>
      <c r="C417" s="169" t="s">
        <v>756</v>
      </c>
      <c r="D417" s="159">
        <v>42870.0</v>
      </c>
      <c r="E417" s="157" t="s">
        <v>8</v>
      </c>
      <c r="F417" s="160">
        <v>1739667.5</v>
      </c>
      <c r="G417" s="160">
        <v>278346.82</v>
      </c>
      <c r="H417" s="160">
        <f t="shared" si="28"/>
        <v>2018014.32</v>
      </c>
      <c r="I417" s="160"/>
      <c r="J417" s="161"/>
      <c r="K417" s="160"/>
      <c r="L417" s="160">
        <f>+'FACP$'!$H417-'FACP$'!$I417-'FACP$'!$K417</f>
        <v>2018014.32</v>
      </c>
      <c r="M417" s="199" t="s">
        <v>718</v>
      </c>
      <c r="N417" s="162" t="s">
        <v>554</v>
      </c>
      <c r="O417" s="163">
        <v>42913.0</v>
      </c>
      <c r="P417" s="164">
        <f t="shared" si="13"/>
        <v>42880</v>
      </c>
      <c r="Q417" s="165">
        <f t="shared" si="2"/>
        <v>0</v>
      </c>
      <c r="R417" s="166"/>
      <c r="S417" s="167"/>
      <c r="T417" s="168">
        <f t="shared" si="3"/>
        <v>2018014.32</v>
      </c>
      <c r="U417" s="168">
        <f t="shared" si="4"/>
        <v>0</v>
      </c>
      <c r="V417" s="168">
        <f t="shared" si="5"/>
        <v>0</v>
      </c>
      <c r="W417" s="168">
        <f t="shared" si="6"/>
        <v>0</v>
      </c>
      <c r="X417" s="168">
        <f t="shared" si="7"/>
        <v>0</v>
      </c>
      <c r="Y417" s="168">
        <f t="shared" si="8"/>
        <v>0</v>
      </c>
      <c r="Z417" s="168">
        <f t="shared" si="9"/>
        <v>0</v>
      </c>
    </row>
    <row r="418" ht="14.25" customHeight="1">
      <c r="A418" s="157">
        <v>761.0</v>
      </c>
      <c r="B418" s="170" t="s">
        <v>722</v>
      </c>
      <c r="C418" s="169" t="s">
        <v>756</v>
      </c>
      <c r="D418" s="159">
        <v>42870.0</v>
      </c>
      <c r="E418" s="157" t="s">
        <v>8</v>
      </c>
      <c r="F418" s="160">
        <v>6458607.5</v>
      </c>
      <c r="G418" s="160">
        <v>1033377.2</v>
      </c>
      <c r="H418" s="160">
        <f t="shared" si="28"/>
        <v>7491984.7</v>
      </c>
      <c r="I418" s="160"/>
      <c r="J418" s="161"/>
      <c r="K418" s="160"/>
      <c r="L418" s="160">
        <f>+'FACP$'!$H418-'FACP$'!$I418-'FACP$'!$K418</f>
        <v>7491984.7</v>
      </c>
      <c r="M418" s="199" t="s">
        <v>93</v>
      </c>
      <c r="N418" s="162" t="s">
        <v>554</v>
      </c>
      <c r="O418" s="163">
        <v>42901.0</v>
      </c>
      <c r="P418" s="164">
        <f t="shared" si="13"/>
        <v>42880</v>
      </c>
      <c r="Q418" s="165">
        <f t="shared" si="2"/>
        <v>0</v>
      </c>
      <c r="R418" s="166"/>
      <c r="S418" s="167"/>
      <c r="T418" s="168">
        <f t="shared" si="3"/>
        <v>7491984.7</v>
      </c>
      <c r="U418" s="168">
        <f t="shared" si="4"/>
        <v>0</v>
      </c>
      <c r="V418" s="168">
        <f t="shared" si="5"/>
        <v>0</v>
      </c>
      <c r="W418" s="168">
        <f t="shared" si="6"/>
        <v>0</v>
      </c>
      <c r="X418" s="168">
        <f t="shared" si="7"/>
        <v>0</v>
      </c>
      <c r="Y418" s="168">
        <f t="shared" si="8"/>
        <v>0</v>
      </c>
      <c r="Z418" s="168">
        <f t="shared" si="9"/>
        <v>0</v>
      </c>
    </row>
    <row r="419" ht="14.25" customHeight="1">
      <c r="A419" s="157">
        <v>762.0</v>
      </c>
      <c r="B419" s="169" t="s">
        <v>70</v>
      </c>
      <c r="C419" s="170" t="s">
        <v>759</v>
      </c>
      <c r="D419" s="159">
        <v>42870.0</v>
      </c>
      <c r="E419" s="157" t="s">
        <v>8</v>
      </c>
      <c r="F419" s="160">
        <v>242849.57</v>
      </c>
      <c r="G419" s="160">
        <v>38855.93</v>
      </c>
      <c r="H419" s="160">
        <f t="shared" si="28"/>
        <v>281705.5</v>
      </c>
      <c r="I419" s="160"/>
      <c r="J419" s="161"/>
      <c r="K419" s="160"/>
      <c r="L419" s="160">
        <f>+'FACP$'!$H419-'FACP$'!$I419-'FACP$'!$K419</f>
        <v>281705.5</v>
      </c>
      <c r="M419" s="199" t="s">
        <v>719</v>
      </c>
      <c r="N419" s="162" t="s">
        <v>554</v>
      </c>
      <c r="O419" s="163">
        <v>42900.0</v>
      </c>
      <c r="P419" s="164">
        <f t="shared" si="13"/>
        <v>42880</v>
      </c>
      <c r="Q419" s="165">
        <f t="shared" si="2"/>
        <v>0</v>
      </c>
      <c r="R419" s="166"/>
      <c r="S419" s="167"/>
      <c r="T419" s="168">
        <f t="shared" si="3"/>
        <v>281705.5</v>
      </c>
      <c r="U419" s="168">
        <f t="shared" si="4"/>
        <v>0</v>
      </c>
      <c r="V419" s="168">
        <f t="shared" si="5"/>
        <v>0</v>
      </c>
      <c r="W419" s="168">
        <f t="shared" si="6"/>
        <v>0</v>
      </c>
      <c r="X419" s="168">
        <f t="shared" si="7"/>
        <v>0</v>
      </c>
      <c r="Y419" s="168">
        <f t="shared" si="8"/>
        <v>0</v>
      </c>
      <c r="Z419" s="168">
        <f t="shared" si="9"/>
        <v>0</v>
      </c>
    </row>
    <row r="420" ht="14.25" customHeight="1">
      <c r="A420" s="157">
        <v>765.0</v>
      </c>
      <c r="B420" s="169" t="s">
        <v>728</v>
      </c>
      <c r="C420" s="169" t="s">
        <v>785</v>
      </c>
      <c r="D420" s="159">
        <v>42887.0</v>
      </c>
      <c r="E420" s="157" t="s">
        <v>8</v>
      </c>
      <c r="F420" s="160">
        <v>531104.0</v>
      </c>
      <c r="G420" s="160">
        <v>84976.64</v>
      </c>
      <c r="H420" s="160">
        <f t="shared" si="28"/>
        <v>616080.64</v>
      </c>
      <c r="I420" s="160"/>
      <c r="J420" s="161"/>
      <c r="K420" s="160"/>
      <c r="L420" s="160">
        <f>+'FACP$'!$H420-'FACP$'!$I420-'FACP$'!$K420</f>
        <v>616080.64</v>
      </c>
      <c r="M420" s="199" t="s">
        <v>728</v>
      </c>
      <c r="N420" s="162" t="s">
        <v>554</v>
      </c>
      <c r="O420" s="163">
        <v>42914.0</v>
      </c>
      <c r="P420" s="164">
        <f t="shared" si="13"/>
        <v>42897</v>
      </c>
      <c r="Q420" s="165">
        <f t="shared" si="2"/>
        <v>0</v>
      </c>
      <c r="R420" s="166"/>
      <c r="S420" s="167"/>
      <c r="T420" s="168">
        <f t="shared" si="3"/>
        <v>616080.64</v>
      </c>
      <c r="U420" s="168">
        <f t="shared" si="4"/>
        <v>0</v>
      </c>
      <c r="V420" s="168">
        <f t="shared" si="5"/>
        <v>0</v>
      </c>
      <c r="W420" s="168">
        <f t="shared" si="6"/>
        <v>0</v>
      </c>
      <c r="X420" s="168">
        <f t="shared" si="7"/>
        <v>0</v>
      </c>
      <c r="Y420" s="168">
        <f t="shared" si="8"/>
        <v>0</v>
      </c>
      <c r="Z420" s="168">
        <f t="shared" si="9"/>
        <v>0</v>
      </c>
    </row>
    <row r="421" ht="14.25" customHeight="1">
      <c r="A421" s="157">
        <v>766.0</v>
      </c>
      <c r="B421" s="170" t="s">
        <v>720</v>
      </c>
      <c r="C421" s="161" t="s">
        <v>755</v>
      </c>
      <c r="D421" s="159">
        <v>42887.0</v>
      </c>
      <c r="E421" s="157" t="s">
        <v>8</v>
      </c>
      <c r="F421" s="160">
        <v>309750.0</v>
      </c>
      <c r="G421" s="160">
        <v>49560.0</v>
      </c>
      <c r="H421" s="160">
        <f t="shared" si="28"/>
        <v>359310</v>
      </c>
      <c r="I421" s="160"/>
      <c r="J421" s="161"/>
      <c r="K421" s="160"/>
      <c r="L421" s="160">
        <f>+'FACP$'!$H421-'FACP$'!$I421-'FACP$'!$K421</f>
        <v>359310</v>
      </c>
      <c r="M421" s="199" t="s">
        <v>777</v>
      </c>
      <c r="N421" s="162" t="s">
        <v>554</v>
      </c>
      <c r="O421" s="163">
        <v>42914.0</v>
      </c>
      <c r="P421" s="164">
        <f t="shared" si="13"/>
        <v>42897</v>
      </c>
      <c r="Q421" s="165">
        <f t="shared" si="2"/>
        <v>0</v>
      </c>
      <c r="R421" s="166"/>
      <c r="S421" s="167"/>
      <c r="T421" s="168">
        <f t="shared" si="3"/>
        <v>359310</v>
      </c>
      <c r="U421" s="168">
        <f t="shared" si="4"/>
        <v>0</v>
      </c>
      <c r="V421" s="168">
        <f t="shared" si="5"/>
        <v>0</v>
      </c>
      <c r="W421" s="168">
        <f t="shared" si="6"/>
        <v>0</v>
      </c>
      <c r="X421" s="168">
        <f t="shared" si="7"/>
        <v>0</v>
      </c>
      <c r="Y421" s="168">
        <f t="shared" si="8"/>
        <v>0</v>
      </c>
      <c r="Z421" s="168">
        <f t="shared" si="9"/>
        <v>0</v>
      </c>
    </row>
    <row r="422" ht="14.25" customHeight="1">
      <c r="A422" s="157">
        <v>768.0</v>
      </c>
      <c r="B422" s="169" t="s">
        <v>70</v>
      </c>
      <c r="C422" s="170" t="s">
        <v>759</v>
      </c>
      <c r="D422" s="159">
        <v>42887.0</v>
      </c>
      <c r="E422" s="157" t="s">
        <v>8</v>
      </c>
      <c r="F422" s="160">
        <v>257794.6</v>
      </c>
      <c r="G422" s="160">
        <v>41247.14</v>
      </c>
      <c r="H422" s="160">
        <f t="shared" si="28"/>
        <v>299041.74</v>
      </c>
      <c r="I422" s="160"/>
      <c r="J422" s="161"/>
      <c r="K422" s="160"/>
      <c r="L422" s="160">
        <f>+'FACP$'!$H422-'FACP$'!$I422-'FACP$'!$K422</f>
        <v>299041.74</v>
      </c>
      <c r="M422" s="199" t="s">
        <v>719</v>
      </c>
      <c r="N422" s="162" t="s">
        <v>554</v>
      </c>
      <c r="O422" s="163">
        <v>42923.0</v>
      </c>
      <c r="P422" s="164">
        <f t="shared" si="13"/>
        <v>42897</v>
      </c>
      <c r="Q422" s="165">
        <f t="shared" si="2"/>
        <v>0</v>
      </c>
      <c r="R422" s="166"/>
      <c r="S422" s="167"/>
      <c r="T422" s="168">
        <f t="shared" si="3"/>
        <v>299041.74</v>
      </c>
      <c r="U422" s="168">
        <f t="shared" si="4"/>
        <v>0</v>
      </c>
      <c r="V422" s="168">
        <f t="shared" si="5"/>
        <v>0</v>
      </c>
      <c r="W422" s="168">
        <f t="shared" si="6"/>
        <v>0</v>
      </c>
      <c r="X422" s="168">
        <f t="shared" si="7"/>
        <v>0</v>
      </c>
      <c r="Y422" s="168">
        <f t="shared" si="8"/>
        <v>0</v>
      </c>
      <c r="Z422" s="168">
        <f t="shared" si="9"/>
        <v>0</v>
      </c>
    </row>
    <row r="423" ht="14.25" customHeight="1">
      <c r="A423" s="157">
        <v>770.0</v>
      </c>
      <c r="B423" s="170" t="s">
        <v>722</v>
      </c>
      <c r="C423" s="169" t="s">
        <v>756</v>
      </c>
      <c r="D423" s="159">
        <v>42887.0</v>
      </c>
      <c r="E423" s="157" t="s">
        <v>8</v>
      </c>
      <c r="F423" s="160">
        <v>5807352.95</v>
      </c>
      <c r="G423" s="160">
        <v>929176.47</v>
      </c>
      <c r="H423" s="160">
        <f t="shared" si="28"/>
        <v>6736529.42</v>
      </c>
      <c r="I423" s="160"/>
      <c r="J423" s="161"/>
      <c r="K423" s="160"/>
      <c r="L423" s="160">
        <f>+'FACP$'!$H423-'FACP$'!$I423-'FACP$'!$K423</f>
        <v>6736529.42</v>
      </c>
      <c r="M423" s="199" t="s">
        <v>93</v>
      </c>
      <c r="N423" s="162" t="s">
        <v>554</v>
      </c>
      <c r="O423" s="163">
        <v>42908.0</v>
      </c>
      <c r="P423" s="164">
        <f t="shared" si="13"/>
        <v>42897</v>
      </c>
      <c r="Q423" s="165">
        <f t="shared" si="2"/>
        <v>0</v>
      </c>
      <c r="R423" s="166"/>
      <c r="S423" s="167"/>
      <c r="T423" s="168">
        <f t="shared" si="3"/>
        <v>6736529.42</v>
      </c>
      <c r="U423" s="168">
        <f t="shared" si="4"/>
        <v>0</v>
      </c>
      <c r="V423" s="168">
        <f t="shared" si="5"/>
        <v>0</v>
      </c>
      <c r="W423" s="168">
        <f t="shared" si="6"/>
        <v>0</v>
      </c>
      <c r="X423" s="168">
        <f t="shared" si="7"/>
        <v>0</v>
      </c>
      <c r="Y423" s="168">
        <f t="shared" si="8"/>
        <v>0</v>
      </c>
      <c r="Z423" s="168">
        <f t="shared" si="9"/>
        <v>0</v>
      </c>
    </row>
    <row r="424" ht="14.25" customHeight="1">
      <c r="A424" s="157">
        <v>771.0</v>
      </c>
      <c r="B424" s="169" t="s">
        <v>728</v>
      </c>
      <c r="C424" s="169" t="s">
        <v>785</v>
      </c>
      <c r="D424" s="159"/>
      <c r="E424" s="157" t="s">
        <v>8</v>
      </c>
      <c r="F424" s="160">
        <v>5830000.0</v>
      </c>
      <c r="G424" s="160">
        <v>936000.0</v>
      </c>
      <c r="H424" s="160">
        <f t="shared" si="28"/>
        <v>6766000</v>
      </c>
      <c r="I424" s="160"/>
      <c r="J424" s="161"/>
      <c r="K424" s="160"/>
      <c r="L424" s="160">
        <f>+'FACP$'!$H424-'FACP$'!$I424-'FACP$'!$K424</f>
        <v>6766000</v>
      </c>
      <c r="M424" s="199" t="s">
        <v>728</v>
      </c>
      <c r="N424" s="162" t="s">
        <v>127</v>
      </c>
      <c r="O424" s="163"/>
      <c r="P424" s="164">
        <f t="shared" si="13"/>
        <v>10</v>
      </c>
      <c r="Q424" s="165">
        <f t="shared" si="2"/>
        <v>0</v>
      </c>
      <c r="R424" s="166"/>
      <c r="S424" s="167"/>
      <c r="T424" s="168">
        <f t="shared" si="3"/>
        <v>6766000</v>
      </c>
      <c r="U424" s="168">
        <f t="shared" si="4"/>
        <v>0</v>
      </c>
      <c r="V424" s="168">
        <f t="shared" si="5"/>
        <v>0</v>
      </c>
      <c r="W424" s="168">
        <f t="shared" si="6"/>
        <v>0</v>
      </c>
      <c r="X424" s="168">
        <f t="shared" si="7"/>
        <v>0</v>
      </c>
      <c r="Y424" s="168">
        <f t="shared" si="8"/>
        <v>0</v>
      </c>
      <c r="Z424" s="168">
        <f t="shared" si="9"/>
        <v>0</v>
      </c>
    </row>
    <row r="425" ht="14.25" customHeight="1">
      <c r="A425" s="157">
        <v>772.0</v>
      </c>
      <c r="B425" s="169" t="s">
        <v>728</v>
      </c>
      <c r="C425" s="169" t="s">
        <v>785</v>
      </c>
      <c r="D425" s="159"/>
      <c r="E425" s="157" t="s">
        <v>8</v>
      </c>
      <c r="F425" s="160">
        <v>5830000.0</v>
      </c>
      <c r="G425" s="160">
        <v>936000.0</v>
      </c>
      <c r="H425" s="160">
        <f t="shared" si="28"/>
        <v>6766000</v>
      </c>
      <c r="I425" s="160"/>
      <c r="J425" s="161"/>
      <c r="K425" s="160"/>
      <c r="L425" s="160">
        <f>+'FACP$'!$H425-'FACP$'!$I425-'FACP$'!$K425</f>
        <v>6766000</v>
      </c>
      <c r="M425" s="199" t="s">
        <v>728</v>
      </c>
      <c r="N425" s="162" t="s">
        <v>127</v>
      </c>
      <c r="O425" s="163"/>
      <c r="P425" s="164">
        <f t="shared" si="13"/>
        <v>10</v>
      </c>
      <c r="Q425" s="165">
        <f t="shared" si="2"/>
        <v>0</v>
      </c>
      <c r="R425" s="166"/>
      <c r="S425" s="167"/>
      <c r="T425" s="168">
        <f t="shared" si="3"/>
        <v>6766000</v>
      </c>
      <c r="U425" s="168">
        <f t="shared" si="4"/>
        <v>0</v>
      </c>
      <c r="V425" s="168">
        <f t="shared" si="5"/>
        <v>0</v>
      </c>
      <c r="W425" s="168">
        <f t="shared" si="6"/>
        <v>0</v>
      </c>
      <c r="X425" s="168">
        <f t="shared" si="7"/>
        <v>0</v>
      </c>
      <c r="Y425" s="168">
        <f t="shared" si="8"/>
        <v>0</v>
      </c>
      <c r="Z425" s="168">
        <f t="shared" si="9"/>
        <v>0</v>
      </c>
    </row>
    <row r="426" ht="14.25" customHeight="1">
      <c r="A426" s="157">
        <v>773.0</v>
      </c>
      <c r="B426" s="169"/>
      <c r="C426" s="169"/>
      <c r="D426" s="159"/>
      <c r="E426" s="157"/>
      <c r="F426" s="160"/>
      <c r="G426" s="160"/>
      <c r="H426" s="160"/>
      <c r="I426" s="160"/>
      <c r="J426" s="161"/>
      <c r="K426" s="160"/>
      <c r="L426" s="160">
        <f>+'FACP$'!$H426-'FACP$'!$I426-'FACP$'!$K426</f>
        <v>0</v>
      </c>
      <c r="M426" s="199"/>
      <c r="N426" s="162" t="s">
        <v>127</v>
      </c>
      <c r="O426" s="163"/>
      <c r="P426" s="164">
        <f t="shared" si="13"/>
        <v>10</v>
      </c>
      <c r="Q426" s="165">
        <f t="shared" si="2"/>
        <v>0</v>
      </c>
      <c r="R426" s="166"/>
      <c r="S426" s="167"/>
      <c r="T426" s="168">
        <f t="shared" si="3"/>
        <v>0</v>
      </c>
      <c r="U426" s="168">
        <f t="shared" si="4"/>
        <v>0</v>
      </c>
      <c r="V426" s="168">
        <f t="shared" si="5"/>
        <v>0</v>
      </c>
      <c r="W426" s="168">
        <f t="shared" si="6"/>
        <v>0</v>
      </c>
      <c r="X426" s="168">
        <f t="shared" si="7"/>
        <v>0</v>
      </c>
      <c r="Y426" s="168">
        <f t="shared" si="8"/>
        <v>0</v>
      </c>
      <c r="Z426" s="168">
        <f t="shared" si="9"/>
        <v>0</v>
      </c>
    </row>
    <row r="427" ht="14.25" customHeight="1">
      <c r="A427" s="157">
        <v>774.0</v>
      </c>
      <c r="B427" s="169" t="s">
        <v>728</v>
      </c>
      <c r="C427" s="169" t="s">
        <v>785</v>
      </c>
      <c r="D427" s="159"/>
      <c r="E427" s="157" t="s">
        <v>8</v>
      </c>
      <c r="F427" s="160">
        <v>2500000.0</v>
      </c>
      <c r="G427" s="160">
        <v>400000.0</v>
      </c>
      <c r="H427" s="160">
        <f t="shared" ref="H427:H431" si="29">F427+G427</f>
        <v>2900000</v>
      </c>
      <c r="I427" s="160"/>
      <c r="J427" s="161"/>
      <c r="K427" s="160"/>
      <c r="L427" s="160">
        <f>+'FACP$'!$H427-'FACP$'!$I427-'FACP$'!$K427</f>
        <v>2900000</v>
      </c>
      <c r="M427" s="199" t="s">
        <v>728</v>
      </c>
      <c r="N427" s="162" t="s">
        <v>554</v>
      </c>
      <c r="O427" s="163">
        <v>42935.0</v>
      </c>
      <c r="P427" s="164">
        <f t="shared" si="13"/>
        <v>10</v>
      </c>
      <c r="Q427" s="165">
        <f t="shared" si="2"/>
        <v>0</v>
      </c>
      <c r="R427" s="166"/>
      <c r="S427" s="167"/>
      <c r="T427" s="168">
        <f t="shared" si="3"/>
        <v>2900000</v>
      </c>
      <c r="U427" s="168">
        <f t="shared" si="4"/>
        <v>0</v>
      </c>
      <c r="V427" s="168">
        <f t="shared" si="5"/>
        <v>0</v>
      </c>
      <c r="W427" s="168">
        <f t="shared" si="6"/>
        <v>0</v>
      </c>
      <c r="X427" s="168">
        <f t="shared" si="7"/>
        <v>0</v>
      </c>
      <c r="Y427" s="168">
        <f t="shared" si="8"/>
        <v>0</v>
      </c>
      <c r="Z427" s="168">
        <f t="shared" si="9"/>
        <v>0</v>
      </c>
    </row>
    <row r="428" ht="14.25" customHeight="1">
      <c r="A428" s="157">
        <v>775.0</v>
      </c>
      <c r="B428" s="170" t="s">
        <v>720</v>
      </c>
      <c r="C428" s="161" t="s">
        <v>755</v>
      </c>
      <c r="D428" s="159">
        <v>42901.0</v>
      </c>
      <c r="E428" s="157" t="s">
        <v>8</v>
      </c>
      <c r="F428" s="160">
        <v>534752.4</v>
      </c>
      <c r="G428" s="160">
        <v>85560.38</v>
      </c>
      <c r="H428" s="160">
        <f t="shared" si="29"/>
        <v>620312.78</v>
      </c>
      <c r="I428" s="160"/>
      <c r="J428" s="161"/>
      <c r="K428" s="160"/>
      <c r="L428" s="160">
        <f>+'FACP$'!$H428-'FACP$'!$I428-'FACP$'!$K428</f>
        <v>620312.78</v>
      </c>
      <c r="M428" s="199" t="s">
        <v>777</v>
      </c>
      <c r="N428" s="162" t="s">
        <v>554</v>
      </c>
      <c r="O428" s="163">
        <v>42930.0</v>
      </c>
      <c r="P428" s="164">
        <f t="shared" si="13"/>
        <v>42911</v>
      </c>
      <c r="Q428" s="165">
        <f t="shared" si="2"/>
        <v>0</v>
      </c>
      <c r="R428" s="166"/>
      <c r="S428" s="167"/>
      <c r="T428" s="168">
        <f t="shared" si="3"/>
        <v>620312.78</v>
      </c>
      <c r="U428" s="168">
        <f t="shared" si="4"/>
        <v>0</v>
      </c>
      <c r="V428" s="168">
        <f t="shared" si="5"/>
        <v>0</v>
      </c>
      <c r="W428" s="168">
        <f t="shared" si="6"/>
        <v>0</v>
      </c>
      <c r="X428" s="168">
        <f t="shared" si="7"/>
        <v>0</v>
      </c>
      <c r="Y428" s="168">
        <f t="shared" si="8"/>
        <v>0</v>
      </c>
      <c r="Z428" s="168">
        <f t="shared" si="9"/>
        <v>0</v>
      </c>
    </row>
    <row r="429" ht="14.25" customHeight="1">
      <c r="A429" s="157">
        <v>777.0</v>
      </c>
      <c r="B429" s="170" t="s">
        <v>722</v>
      </c>
      <c r="C429" s="169" t="s">
        <v>756</v>
      </c>
      <c r="D429" s="159">
        <v>42901.0</v>
      </c>
      <c r="E429" s="157" t="s">
        <v>8</v>
      </c>
      <c r="F429" s="160">
        <v>6057578.82</v>
      </c>
      <c r="G429" s="160">
        <v>969212.61</v>
      </c>
      <c r="H429" s="160">
        <f t="shared" si="29"/>
        <v>7026791.43</v>
      </c>
      <c r="I429" s="160"/>
      <c r="J429" s="161"/>
      <c r="K429" s="160"/>
      <c r="L429" s="160">
        <f>+'FACP$'!$H429-'FACP$'!$I429-'FACP$'!$K429</f>
        <v>7026791.43</v>
      </c>
      <c r="M429" s="199" t="s">
        <v>93</v>
      </c>
      <c r="N429" s="162" t="s">
        <v>554</v>
      </c>
      <c r="O429" s="163">
        <v>42929.0</v>
      </c>
      <c r="P429" s="164">
        <f t="shared" si="13"/>
        <v>42911</v>
      </c>
      <c r="Q429" s="165">
        <f t="shared" si="2"/>
        <v>0</v>
      </c>
      <c r="R429" s="166"/>
      <c r="S429" s="167"/>
      <c r="T429" s="168">
        <f t="shared" si="3"/>
        <v>7026791.43</v>
      </c>
      <c r="U429" s="168">
        <f t="shared" si="4"/>
        <v>0</v>
      </c>
      <c r="V429" s="168">
        <f t="shared" si="5"/>
        <v>0</v>
      </c>
      <c r="W429" s="168">
        <f t="shared" si="6"/>
        <v>0</v>
      </c>
      <c r="X429" s="168">
        <f t="shared" si="7"/>
        <v>0</v>
      </c>
      <c r="Y429" s="168">
        <f t="shared" si="8"/>
        <v>0</v>
      </c>
      <c r="Z429" s="168">
        <f t="shared" si="9"/>
        <v>0</v>
      </c>
    </row>
    <row r="430" ht="14.25" customHeight="1">
      <c r="A430" s="157">
        <v>778.0</v>
      </c>
      <c r="B430" s="170" t="s">
        <v>37</v>
      </c>
      <c r="C430" s="169" t="s">
        <v>756</v>
      </c>
      <c r="D430" s="159">
        <v>42887.0</v>
      </c>
      <c r="E430" s="157" t="s">
        <v>8</v>
      </c>
      <c r="F430" s="160">
        <v>1587830.0</v>
      </c>
      <c r="G430" s="160">
        <v>254052.94</v>
      </c>
      <c r="H430" s="160">
        <f t="shared" si="29"/>
        <v>1841882.94</v>
      </c>
      <c r="I430" s="160"/>
      <c r="J430" s="161"/>
      <c r="K430" s="160"/>
      <c r="L430" s="160">
        <f>+'FACP$'!$H430-'FACP$'!$I430-'FACP$'!$K430</f>
        <v>1841882.94</v>
      </c>
      <c r="M430" s="199" t="s">
        <v>718</v>
      </c>
      <c r="N430" s="162" t="s">
        <v>127</v>
      </c>
      <c r="O430" s="163"/>
      <c r="P430" s="164">
        <f t="shared" si="13"/>
        <v>42897</v>
      </c>
      <c r="Q430" s="165">
        <f t="shared" si="2"/>
        <v>0</v>
      </c>
      <c r="R430" s="166"/>
      <c r="S430" s="167"/>
      <c r="T430" s="168">
        <f t="shared" si="3"/>
        <v>1841882.94</v>
      </c>
      <c r="U430" s="168">
        <f t="shared" si="4"/>
        <v>0</v>
      </c>
      <c r="V430" s="168">
        <f t="shared" si="5"/>
        <v>0</v>
      </c>
      <c r="W430" s="168">
        <f t="shared" si="6"/>
        <v>0</v>
      </c>
      <c r="X430" s="168">
        <f t="shared" si="7"/>
        <v>0</v>
      </c>
      <c r="Y430" s="168">
        <f t="shared" si="8"/>
        <v>0</v>
      </c>
      <c r="Z430" s="168">
        <f t="shared" si="9"/>
        <v>0</v>
      </c>
    </row>
    <row r="431" ht="14.25" customHeight="1">
      <c r="A431" s="157">
        <v>780.0</v>
      </c>
      <c r="B431" s="170" t="s">
        <v>37</v>
      </c>
      <c r="C431" s="169" t="s">
        <v>756</v>
      </c>
      <c r="D431" s="159">
        <v>42901.0</v>
      </c>
      <c r="E431" s="157" t="s">
        <v>8</v>
      </c>
      <c r="F431" s="160">
        <v>1623615.18</v>
      </c>
      <c r="G431" s="160">
        <v>259778.43</v>
      </c>
      <c r="H431" s="160">
        <f t="shared" si="29"/>
        <v>1883393.61</v>
      </c>
      <c r="I431" s="160"/>
      <c r="J431" s="161"/>
      <c r="K431" s="160"/>
      <c r="L431" s="160">
        <f>+'FACP$'!$H431-'FACP$'!$I431-'FACP$'!$K431</f>
        <v>1883393.61</v>
      </c>
      <c r="M431" s="199" t="s">
        <v>718</v>
      </c>
      <c r="N431" s="162" t="s">
        <v>554</v>
      </c>
      <c r="O431" s="163">
        <v>42934.0</v>
      </c>
      <c r="P431" s="164">
        <f t="shared" si="13"/>
        <v>42911</v>
      </c>
      <c r="Q431" s="165">
        <f t="shared" si="2"/>
        <v>0</v>
      </c>
      <c r="R431" s="166"/>
      <c r="S431" s="167"/>
      <c r="T431" s="168">
        <f t="shared" si="3"/>
        <v>1883393.61</v>
      </c>
      <c r="U431" s="168">
        <f t="shared" si="4"/>
        <v>0</v>
      </c>
      <c r="V431" s="168">
        <f t="shared" si="5"/>
        <v>0</v>
      </c>
      <c r="W431" s="168">
        <f t="shared" si="6"/>
        <v>0</v>
      </c>
      <c r="X431" s="168">
        <f t="shared" si="7"/>
        <v>0</v>
      </c>
      <c r="Y431" s="168">
        <f t="shared" si="8"/>
        <v>0</v>
      </c>
      <c r="Z431" s="168">
        <f t="shared" si="9"/>
        <v>0</v>
      </c>
    </row>
    <row r="432" ht="14.25" customHeight="1">
      <c r="A432" s="157">
        <v>781.0</v>
      </c>
      <c r="B432" s="169"/>
      <c r="C432" s="169"/>
      <c r="D432" s="159"/>
      <c r="E432" s="157"/>
      <c r="F432" s="160"/>
      <c r="G432" s="160"/>
      <c r="H432" s="160"/>
      <c r="I432" s="160"/>
      <c r="J432" s="161"/>
      <c r="K432" s="160"/>
      <c r="L432" s="160">
        <f>+'FACP$'!$H432-'FACP$'!$I432-'FACP$'!$K432</f>
        <v>0</v>
      </c>
      <c r="M432" s="199"/>
      <c r="N432" s="162" t="s">
        <v>127</v>
      </c>
      <c r="O432" s="163"/>
      <c r="P432" s="164">
        <f t="shared" si="13"/>
        <v>10</v>
      </c>
      <c r="Q432" s="165">
        <f t="shared" si="2"/>
        <v>0</v>
      </c>
      <c r="R432" s="166"/>
      <c r="S432" s="167"/>
      <c r="T432" s="168">
        <f t="shared" si="3"/>
        <v>0</v>
      </c>
      <c r="U432" s="168">
        <f t="shared" si="4"/>
        <v>0</v>
      </c>
      <c r="V432" s="168">
        <f t="shared" si="5"/>
        <v>0</v>
      </c>
      <c r="W432" s="168">
        <f t="shared" si="6"/>
        <v>0</v>
      </c>
      <c r="X432" s="168">
        <f t="shared" si="7"/>
        <v>0</v>
      </c>
      <c r="Y432" s="168">
        <f t="shared" si="8"/>
        <v>0</v>
      </c>
      <c r="Z432" s="168">
        <f t="shared" si="9"/>
        <v>0</v>
      </c>
    </row>
    <row r="433" ht="14.25" customHeight="1">
      <c r="A433" s="157">
        <v>783.0</v>
      </c>
      <c r="B433" s="170" t="s">
        <v>728</v>
      </c>
      <c r="C433" s="170" t="s">
        <v>785</v>
      </c>
      <c r="D433" s="174">
        <v>42901.0</v>
      </c>
      <c r="E433" s="178" t="s">
        <v>8</v>
      </c>
      <c r="F433" s="179">
        <v>575904.0</v>
      </c>
      <c r="G433" s="179">
        <v>92144.64</v>
      </c>
      <c r="H433" s="160">
        <f t="shared" ref="H433:H453" si="30">F433+G433</f>
        <v>668048.64</v>
      </c>
      <c r="I433" s="179"/>
      <c r="J433" s="177"/>
      <c r="K433" s="179"/>
      <c r="L433" s="179">
        <f>+'FACP$'!$H433-'FACP$'!$I433-'FACP$'!$K433</f>
        <v>668048.64</v>
      </c>
      <c r="M433" s="205" t="s">
        <v>728</v>
      </c>
      <c r="N433" s="178" t="s">
        <v>789</v>
      </c>
      <c r="O433" s="204">
        <v>42949.0</v>
      </c>
      <c r="P433" s="164">
        <f t="shared" si="13"/>
        <v>42911</v>
      </c>
      <c r="Q433" s="165" t="b">
        <f t="shared" si="2"/>
        <v>0</v>
      </c>
      <c r="R433" s="206"/>
      <c r="S433" s="206"/>
      <c r="T433" s="168">
        <f t="shared" si="3"/>
        <v>0</v>
      </c>
      <c r="U433" s="168">
        <f t="shared" si="4"/>
        <v>0</v>
      </c>
      <c r="V433" s="168">
        <f t="shared" si="5"/>
        <v>0</v>
      </c>
      <c r="W433" s="168">
        <f t="shared" si="6"/>
        <v>0</v>
      </c>
      <c r="X433" s="168">
        <f t="shared" si="7"/>
        <v>0</v>
      </c>
      <c r="Y433" s="168">
        <f t="shared" si="8"/>
        <v>0</v>
      </c>
      <c r="Z433" s="168">
        <f t="shared" si="9"/>
        <v>668048.64</v>
      </c>
    </row>
    <row r="434" ht="14.25" customHeight="1">
      <c r="A434" s="157">
        <v>784.0</v>
      </c>
      <c r="B434" s="169" t="s">
        <v>70</v>
      </c>
      <c r="C434" s="170" t="s">
        <v>759</v>
      </c>
      <c r="D434" s="159">
        <v>42901.0</v>
      </c>
      <c r="E434" s="157" t="s">
        <v>8</v>
      </c>
      <c r="F434" s="160">
        <v>430924.2</v>
      </c>
      <c r="G434" s="160">
        <v>68947.87</v>
      </c>
      <c r="H434" s="160">
        <f t="shared" si="30"/>
        <v>499872.07</v>
      </c>
      <c r="I434" s="160"/>
      <c r="J434" s="161"/>
      <c r="K434" s="160"/>
      <c r="L434" s="160">
        <f>+'FACP$'!$H434-'FACP$'!$I434-'FACP$'!$K434</f>
        <v>499872.07</v>
      </c>
      <c r="M434" s="199" t="s">
        <v>719</v>
      </c>
      <c r="N434" s="162" t="s">
        <v>554</v>
      </c>
      <c r="O434" s="163">
        <v>42947.0</v>
      </c>
      <c r="P434" s="164">
        <f t="shared" si="13"/>
        <v>42911</v>
      </c>
      <c r="Q434" s="165">
        <f t="shared" si="2"/>
        <v>0</v>
      </c>
      <c r="R434" s="166"/>
      <c r="S434" s="167"/>
      <c r="T434" s="168">
        <f t="shared" si="3"/>
        <v>499872.07</v>
      </c>
      <c r="U434" s="168">
        <f t="shared" si="4"/>
        <v>0</v>
      </c>
      <c r="V434" s="168">
        <f t="shared" si="5"/>
        <v>0</v>
      </c>
      <c r="W434" s="168">
        <f t="shared" si="6"/>
        <v>0</v>
      </c>
      <c r="X434" s="168">
        <f t="shared" si="7"/>
        <v>0</v>
      </c>
      <c r="Y434" s="168">
        <f t="shared" si="8"/>
        <v>0</v>
      </c>
      <c r="Z434" s="168">
        <f t="shared" si="9"/>
        <v>0</v>
      </c>
    </row>
    <row r="435" ht="14.25" customHeight="1">
      <c r="A435" s="157">
        <v>786.0</v>
      </c>
      <c r="B435" s="170" t="s">
        <v>37</v>
      </c>
      <c r="C435" s="169" t="s">
        <v>756</v>
      </c>
      <c r="D435" s="159">
        <v>42887.0</v>
      </c>
      <c r="E435" s="157" t="s">
        <v>8</v>
      </c>
      <c r="F435" s="160">
        <v>1587830.88</v>
      </c>
      <c r="G435" s="160">
        <v>254052.94</v>
      </c>
      <c r="H435" s="160">
        <f t="shared" si="30"/>
        <v>1841883.82</v>
      </c>
      <c r="I435" s="160"/>
      <c r="J435" s="161"/>
      <c r="K435" s="160"/>
      <c r="L435" s="160">
        <f>+'FACP$'!$H435-'FACP$'!$I435-'FACP$'!$K435</f>
        <v>1841883.82</v>
      </c>
      <c r="M435" s="199" t="s">
        <v>718</v>
      </c>
      <c r="N435" s="162" t="s">
        <v>554</v>
      </c>
      <c r="O435" s="163">
        <v>42934.0</v>
      </c>
      <c r="P435" s="164">
        <f t="shared" si="13"/>
        <v>42897</v>
      </c>
      <c r="Q435" s="165">
        <f t="shared" si="2"/>
        <v>0</v>
      </c>
      <c r="R435" s="166"/>
      <c r="S435" s="167"/>
      <c r="T435" s="168">
        <f t="shared" si="3"/>
        <v>1841883.82</v>
      </c>
      <c r="U435" s="168">
        <f t="shared" si="4"/>
        <v>0</v>
      </c>
      <c r="V435" s="168">
        <f t="shared" si="5"/>
        <v>0</v>
      </c>
      <c r="W435" s="168">
        <f t="shared" si="6"/>
        <v>0</v>
      </c>
      <c r="X435" s="168">
        <f t="shared" si="7"/>
        <v>0</v>
      </c>
      <c r="Y435" s="168">
        <f t="shared" si="8"/>
        <v>0</v>
      </c>
      <c r="Z435" s="168">
        <f t="shared" si="9"/>
        <v>0</v>
      </c>
    </row>
    <row r="436" ht="14.25" customHeight="1">
      <c r="A436" s="157">
        <v>788.0</v>
      </c>
      <c r="B436" s="158" t="s">
        <v>82</v>
      </c>
      <c r="C436" s="161" t="s">
        <v>790</v>
      </c>
      <c r="D436" s="159"/>
      <c r="E436" s="157" t="s">
        <v>8</v>
      </c>
      <c r="F436" s="160">
        <v>1558926.42</v>
      </c>
      <c r="G436" s="160">
        <v>249428.23</v>
      </c>
      <c r="H436" s="160">
        <f t="shared" si="30"/>
        <v>1808354.65</v>
      </c>
      <c r="I436" s="160"/>
      <c r="J436" s="161"/>
      <c r="K436" s="160"/>
      <c r="L436" s="160">
        <f>+'FACP$'!$H436-'FACP$'!$I436-'FACP$'!$K436</f>
        <v>1808354.65</v>
      </c>
      <c r="M436" s="199" t="s">
        <v>96</v>
      </c>
      <c r="N436" s="162" t="s">
        <v>554</v>
      </c>
      <c r="O436" s="163">
        <v>42934.0</v>
      </c>
      <c r="P436" s="164">
        <f t="shared" si="13"/>
        <v>10</v>
      </c>
      <c r="Q436" s="165">
        <f t="shared" si="2"/>
        <v>0</v>
      </c>
      <c r="R436" s="166"/>
      <c r="S436" s="167"/>
      <c r="T436" s="168">
        <f t="shared" si="3"/>
        <v>1808354.65</v>
      </c>
      <c r="U436" s="168">
        <f t="shared" si="4"/>
        <v>0</v>
      </c>
      <c r="V436" s="168">
        <f t="shared" si="5"/>
        <v>0</v>
      </c>
      <c r="W436" s="168">
        <f t="shared" si="6"/>
        <v>0</v>
      </c>
      <c r="X436" s="168">
        <f t="shared" si="7"/>
        <v>0</v>
      </c>
      <c r="Y436" s="168">
        <f t="shared" si="8"/>
        <v>0</v>
      </c>
      <c r="Z436" s="168">
        <f t="shared" si="9"/>
        <v>0</v>
      </c>
    </row>
    <row r="437" ht="14.25" customHeight="1">
      <c r="A437" s="157">
        <v>789.0</v>
      </c>
      <c r="B437" s="169" t="s">
        <v>728</v>
      </c>
      <c r="C437" s="169" t="s">
        <v>791</v>
      </c>
      <c r="D437" s="159">
        <v>42925.0</v>
      </c>
      <c r="E437" s="157" t="s">
        <v>8</v>
      </c>
      <c r="F437" s="160">
        <v>2.5E9</v>
      </c>
      <c r="G437" s="160">
        <v>400000.0</v>
      </c>
      <c r="H437" s="160">
        <f t="shared" si="30"/>
        <v>2500400000</v>
      </c>
      <c r="I437" s="160"/>
      <c r="J437" s="161"/>
      <c r="K437" s="160"/>
      <c r="L437" s="160">
        <f>+'FACP$'!$H437-'FACP$'!$I437-'FACP$'!$K437</f>
        <v>2500400000</v>
      </c>
      <c r="M437" s="199" t="s">
        <v>728</v>
      </c>
      <c r="N437" s="162" t="s">
        <v>127</v>
      </c>
      <c r="O437" s="163"/>
      <c r="P437" s="164">
        <f t="shared" si="13"/>
        <v>42935</v>
      </c>
      <c r="Q437" s="165">
        <f t="shared" si="2"/>
        <v>0</v>
      </c>
      <c r="R437" s="166"/>
      <c r="S437" s="167"/>
      <c r="T437" s="168">
        <f t="shared" si="3"/>
        <v>2500400000</v>
      </c>
      <c r="U437" s="168">
        <f t="shared" si="4"/>
        <v>0</v>
      </c>
      <c r="V437" s="168">
        <f t="shared" si="5"/>
        <v>0</v>
      </c>
      <c r="W437" s="168">
        <f t="shared" si="6"/>
        <v>0</v>
      </c>
      <c r="X437" s="168">
        <f t="shared" si="7"/>
        <v>0</v>
      </c>
      <c r="Y437" s="168">
        <f t="shared" si="8"/>
        <v>0</v>
      </c>
      <c r="Z437" s="168">
        <f t="shared" si="9"/>
        <v>0</v>
      </c>
    </row>
    <row r="438" ht="14.25" customHeight="1">
      <c r="A438" s="157">
        <v>790.0</v>
      </c>
      <c r="B438" s="170" t="s">
        <v>722</v>
      </c>
      <c r="C438" s="169" t="s">
        <v>756</v>
      </c>
      <c r="D438" s="159">
        <v>42917.0</v>
      </c>
      <c r="E438" s="157" t="s">
        <v>8</v>
      </c>
      <c r="F438" s="160">
        <v>3658755.04</v>
      </c>
      <c r="G438" s="160">
        <v>585400.81</v>
      </c>
      <c r="H438" s="160">
        <f t="shared" si="30"/>
        <v>4244155.85</v>
      </c>
      <c r="I438" s="160"/>
      <c r="J438" s="161"/>
      <c r="K438" s="160"/>
      <c r="L438" s="160">
        <f>+'FACP$'!$H438-'FACP$'!$I438-'FACP$'!$K438</f>
        <v>4244155.85</v>
      </c>
      <c r="M438" s="199" t="s">
        <v>93</v>
      </c>
      <c r="N438" s="162" t="s">
        <v>554</v>
      </c>
      <c r="O438" s="163">
        <v>42950.0</v>
      </c>
      <c r="P438" s="164">
        <f t="shared" si="13"/>
        <v>42927</v>
      </c>
      <c r="Q438" s="165">
        <f t="shared" si="2"/>
        <v>0</v>
      </c>
      <c r="R438" s="166"/>
      <c r="S438" s="167"/>
      <c r="T438" s="168">
        <f t="shared" si="3"/>
        <v>4244155.85</v>
      </c>
      <c r="U438" s="168">
        <f t="shared" si="4"/>
        <v>0</v>
      </c>
      <c r="V438" s="168">
        <f t="shared" si="5"/>
        <v>0</v>
      </c>
      <c r="W438" s="168">
        <f t="shared" si="6"/>
        <v>0</v>
      </c>
      <c r="X438" s="168">
        <f t="shared" si="7"/>
        <v>0</v>
      </c>
      <c r="Y438" s="168">
        <f t="shared" si="8"/>
        <v>0</v>
      </c>
      <c r="Z438" s="168">
        <f t="shared" si="9"/>
        <v>0</v>
      </c>
    </row>
    <row r="439" ht="14.25" customHeight="1">
      <c r="A439" s="157">
        <v>791.0</v>
      </c>
      <c r="B439" s="170" t="s">
        <v>722</v>
      </c>
      <c r="C439" s="169" t="s">
        <v>756</v>
      </c>
      <c r="D439" s="159">
        <v>42917.0</v>
      </c>
      <c r="E439" s="157" t="s">
        <v>8</v>
      </c>
      <c r="F439" s="160">
        <v>2497508.55</v>
      </c>
      <c r="G439" s="160">
        <v>399601.37</v>
      </c>
      <c r="H439" s="160">
        <f t="shared" si="30"/>
        <v>2897109.92</v>
      </c>
      <c r="I439" s="160"/>
      <c r="J439" s="161"/>
      <c r="K439" s="160"/>
      <c r="L439" s="160">
        <f>+'FACP$'!$H439-'FACP$'!$I439-'FACP$'!$K439</f>
        <v>2897109.92</v>
      </c>
      <c r="M439" s="199" t="s">
        <v>93</v>
      </c>
      <c r="N439" s="162" t="s">
        <v>554</v>
      </c>
      <c r="O439" s="163">
        <v>42950.0</v>
      </c>
      <c r="P439" s="164">
        <f t="shared" si="13"/>
        <v>42927</v>
      </c>
      <c r="Q439" s="165">
        <f t="shared" si="2"/>
        <v>0</v>
      </c>
      <c r="R439" s="166"/>
      <c r="S439" s="167"/>
      <c r="T439" s="168">
        <f t="shared" si="3"/>
        <v>2897109.92</v>
      </c>
      <c r="U439" s="168">
        <f t="shared" si="4"/>
        <v>0</v>
      </c>
      <c r="V439" s="168">
        <f t="shared" si="5"/>
        <v>0</v>
      </c>
      <c r="W439" s="168">
        <f t="shared" si="6"/>
        <v>0</v>
      </c>
      <c r="X439" s="168">
        <f t="shared" si="7"/>
        <v>0</v>
      </c>
      <c r="Y439" s="168">
        <f t="shared" si="8"/>
        <v>0</v>
      </c>
      <c r="Z439" s="168">
        <f t="shared" si="9"/>
        <v>0</v>
      </c>
    </row>
    <row r="440" ht="14.25" customHeight="1">
      <c r="A440" s="157">
        <v>792.0</v>
      </c>
      <c r="B440" s="170" t="s">
        <v>720</v>
      </c>
      <c r="C440" s="161" t="s">
        <v>755</v>
      </c>
      <c r="D440" s="159">
        <v>42917.0</v>
      </c>
      <c r="E440" s="157" t="s">
        <v>8</v>
      </c>
      <c r="F440" s="160">
        <v>384800.52</v>
      </c>
      <c r="G440" s="160">
        <v>61568.08</v>
      </c>
      <c r="H440" s="160">
        <f t="shared" si="30"/>
        <v>446368.6</v>
      </c>
      <c r="I440" s="160"/>
      <c r="J440" s="161"/>
      <c r="K440" s="160"/>
      <c r="L440" s="160">
        <f>+'FACP$'!$H440-'FACP$'!$I440-'FACP$'!$K440</f>
        <v>446368.6</v>
      </c>
      <c r="M440" s="199" t="s">
        <v>777</v>
      </c>
      <c r="N440" s="162" t="s">
        <v>554</v>
      </c>
      <c r="O440" s="163">
        <v>42944.0</v>
      </c>
      <c r="P440" s="164">
        <f t="shared" si="13"/>
        <v>42927</v>
      </c>
      <c r="Q440" s="165">
        <f t="shared" si="2"/>
        <v>0</v>
      </c>
      <c r="R440" s="166"/>
      <c r="S440" s="167"/>
      <c r="T440" s="168">
        <f t="shared" si="3"/>
        <v>446368.6</v>
      </c>
      <c r="U440" s="168">
        <f t="shared" si="4"/>
        <v>0</v>
      </c>
      <c r="V440" s="168">
        <f t="shared" si="5"/>
        <v>0</v>
      </c>
      <c r="W440" s="168">
        <f t="shared" si="6"/>
        <v>0</v>
      </c>
      <c r="X440" s="168">
        <f t="shared" si="7"/>
        <v>0</v>
      </c>
      <c r="Y440" s="168">
        <f t="shared" si="8"/>
        <v>0</v>
      </c>
      <c r="Z440" s="168">
        <f t="shared" si="9"/>
        <v>0</v>
      </c>
    </row>
    <row r="441" ht="14.25" customHeight="1">
      <c r="A441" s="157">
        <v>794.0</v>
      </c>
      <c r="B441" s="170" t="s">
        <v>37</v>
      </c>
      <c r="C441" s="169" t="s">
        <v>756</v>
      </c>
      <c r="D441" s="159">
        <v>42917.0</v>
      </c>
      <c r="E441" s="157" t="s">
        <v>8</v>
      </c>
      <c r="F441" s="160">
        <v>1642600.74</v>
      </c>
      <c r="G441" s="160">
        <v>262816.12</v>
      </c>
      <c r="H441" s="160">
        <f t="shared" si="30"/>
        <v>1905416.86</v>
      </c>
      <c r="I441" s="160"/>
      <c r="J441" s="161"/>
      <c r="K441" s="160"/>
      <c r="L441" s="160">
        <f>+'FACP$'!$H441-'FACP$'!$I441-'FACP$'!$K441</f>
        <v>1905416.86</v>
      </c>
      <c r="M441" s="199" t="s">
        <v>116</v>
      </c>
      <c r="N441" s="162" t="s">
        <v>554</v>
      </c>
      <c r="O441" s="163">
        <v>42976.0</v>
      </c>
      <c r="P441" s="164">
        <f t="shared" si="13"/>
        <v>42927</v>
      </c>
      <c r="Q441" s="165">
        <f t="shared" si="2"/>
        <v>0</v>
      </c>
      <c r="R441" s="166"/>
      <c r="S441" s="167"/>
      <c r="T441" s="168">
        <f t="shared" si="3"/>
        <v>1905416.86</v>
      </c>
      <c r="U441" s="168">
        <f t="shared" si="4"/>
        <v>0</v>
      </c>
      <c r="V441" s="168">
        <f t="shared" si="5"/>
        <v>0</v>
      </c>
      <c r="W441" s="168">
        <f t="shared" si="6"/>
        <v>0</v>
      </c>
      <c r="X441" s="168">
        <f t="shared" si="7"/>
        <v>0</v>
      </c>
      <c r="Y441" s="168">
        <f t="shared" si="8"/>
        <v>0</v>
      </c>
      <c r="Z441" s="168">
        <f t="shared" si="9"/>
        <v>0</v>
      </c>
    </row>
    <row r="442" ht="14.25" customHeight="1">
      <c r="A442" s="157">
        <v>796.0</v>
      </c>
      <c r="B442" s="169" t="s">
        <v>70</v>
      </c>
      <c r="C442" s="170" t="s">
        <v>759</v>
      </c>
      <c r="D442" s="159">
        <v>42917.0</v>
      </c>
      <c r="E442" s="157" t="s">
        <v>8</v>
      </c>
      <c r="F442" s="160">
        <v>356192.2</v>
      </c>
      <c r="G442" s="160">
        <v>56991.39</v>
      </c>
      <c r="H442" s="160">
        <f t="shared" si="30"/>
        <v>413183.59</v>
      </c>
      <c r="I442" s="160"/>
      <c r="J442" s="161"/>
      <c r="K442" s="160"/>
      <c r="L442" s="160">
        <f>+'FACP$'!$H442-'FACP$'!$I442-'FACP$'!$K442</f>
        <v>413183.59</v>
      </c>
      <c r="M442" s="199" t="s">
        <v>719</v>
      </c>
      <c r="N442" s="162" t="s">
        <v>554</v>
      </c>
      <c r="O442" s="163">
        <v>42949.0</v>
      </c>
      <c r="P442" s="164">
        <f t="shared" si="13"/>
        <v>42927</v>
      </c>
      <c r="Q442" s="165">
        <f t="shared" si="2"/>
        <v>0</v>
      </c>
      <c r="R442" s="166"/>
      <c r="S442" s="167"/>
      <c r="T442" s="168">
        <f t="shared" si="3"/>
        <v>413183.59</v>
      </c>
      <c r="U442" s="168">
        <f t="shared" si="4"/>
        <v>0</v>
      </c>
      <c r="V442" s="168">
        <f t="shared" si="5"/>
        <v>0</v>
      </c>
      <c r="W442" s="168">
        <f t="shared" si="6"/>
        <v>0</v>
      </c>
      <c r="X442" s="168">
        <f t="shared" si="7"/>
        <v>0</v>
      </c>
      <c r="Y442" s="168">
        <f t="shared" si="8"/>
        <v>0</v>
      </c>
      <c r="Z442" s="168">
        <f t="shared" si="9"/>
        <v>0</v>
      </c>
    </row>
    <row r="443" ht="14.25" customHeight="1">
      <c r="A443" s="157">
        <v>798.0</v>
      </c>
      <c r="B443" s="169" t="s">
        <v>728</v>
      </c>
      <c r="C443" s="169" t="s">
        <v>785</v>
      </c>
      <c r="D443" s="159">
        <v>42917.0</v>
      </c>
      <c r="E443" s="157" t="s">
        <v>8</v>
      </c>
      <c r="F443" s="160">
        <v>25500.0</v>
      </c>
      <c r="G443" s="160">
        <v>4080.0</v>
      </c>
      <c r="H443" s="160">
        <f t="shared" si="30"/>
        <v>29580</v>
      </c>
      <c r="I443" s="160"/>
      <c r="J443" s="161"/>
      <c r="K443" s="160"/>
      <c r="L443" s="160">
        <f>+'FACP$'!$H443-'FACP$'!$I443-'FACP$'!$K443</f>
        <v>29580</v>
      </c>
      <c r="M443" s="199" t="s">
        <v>728</v>
      </c>
      <c r="N443" s="162" t="s">
        <v>127</v>
      </c>
      <c r="O443" s="163"/>
      <c r="P443" s="164">
        <f t="shared" si="13"/>
        <v>42927</v>
      </c>
      <c r="Q443" s="165">
        <f t="shared" si="2"/>
        <v>0</v>
      </c>
      <c r="R443" s="166"/>
      <c r="S443" s="167"/>
      <c r="T443" s="168">
        <f t="shared" si="3"/>
        <v>29580</v>
      </c>
      <c r="U443" s="168">
        <f t="shared" si="4"/>
        <v>0</v>
      </c>
      <c r="V443" s="168">
        <f t="shared" si="5"/>
        <v>0</v>
      </c>
      <c r="W443" s="168">
        <f t="shared" si="6"/>
        <v>0</v>
      </c>
      <c r="X443" s="168">
        <f t="shared" si="7"/>
        <v>0</v>
      </c>
      <c r="Y443" s="168">
        <f t="shared" si="8"/>
        <v>0</v>
      </c>
      <c r="Z443" s="168">
        <f t="shared" si="9"/>
        <v>0</v>
      </c>
    </row>
    <row r="444" ht="14.25" customHeight="1">
      <c r="A444" s="157">
        <v>799.0</v>
      </c>
      <c r="B444" s="169" t="s">
        <v>728</v>
      </c>
      <c r="C444" s="169" t="s">
        <v>785</v>
      </c>
      <c r="D444" s="159">
        <v>42917.0</v>
      </c>
      <c r="E444" s="157" t="s">
        <v>8</v>
      </c>
      <c r="F444" s="160">
        <v>609000.0</v>
      </c>
      <c r="G444" s="160">
        <v>97440.0</v>
      </c>
      <c r="H444" s="160">
        <f t="shared" si="30"/>
        <v>706440</v>
      </c>
      <c r="I444" s="160"/>
      <c r="J444" s="161"/>
      <c r="K444" s="160"/>
      <c r="L444" s="160">
        <f>+'FACP$'!$H444-'FACP$'!$I444-'FACP$'!$K444</f>
        <v>706440</v>
      </c>
      <c r="M444" s="199" t="s">
        <v>728</v>
      </c>
      <c r="N444" s="162" t="s">
        <v>127</v>
      </c>
      <c r="O444" s="163"/>
      <c r="P444" s="164">
        <f t="shared" si="13"/>
        <v>42927</v>
      </c>
      <c r="Q444" s="165">
        <f t="shared" si="2"/>
        <v>0</v>
      </c>
      <c r="R444" s="166"/>
      <c r="S444" s="167"/>
      <c r="T444" s="168">
        <f t="shared" si="3"/>
        <v>706440</v>
      </c>
      <c r="U444" s="168">
        <f t="shared" si="4"/>
        <v>0</v>
      </c>
      <c r="V444" s="168">
        <f t="shared" si="5"/>
        <v>0</v>
      </c>
      <c r="W444" s="168">
        <f t="shared" si="6"/>
        <v>0</v>
      </c>
      <c r="X444" s="168">
        <f t="shared" si="7"/>
        <v>0</v>
      </c>
      <c r="Y444" s="168">
        <f t="shared" si="8"/>
        <v>0</v>
      </c>
      <c r="Z444" s="168">
        <f t="shared" si="9"/>
        <v>0</v>
      </c>
    </row>
    <row r="445" ht="14.25" customHeight="1">
      <c r="A445" s="157">
        <v>800.0</v>
      </c>
      <c r="B445" s="169" t="s">
        <v>728</v>
      </c>
      <c r="C445" s="169" t="s">
        <v>792</v>
      </c>
      <c r="D445" s="159">
        <v>42917.0</v>
      </c>
      <c r="E445" s="157" t="s">
        <v>8</v>
      </c>
      <c r="F445" s="160">
        <v>25500.0</v>
      </c>
      <c r="G445" s="160">
        <v>4080.0</v>
      </c>
      <c r="H445" s="160">
        <f t="shared" si="30"/>
        <v>29580</v>
      </c>
      <c r="I445" s="160"/>
      <c r="J445" s="161"/>
      <c r="K445" s="160"/>
      <c r="L445" s="160">
        <f>+'FACP$'!$H445-'FACP$'!$I445-'FACP$'!$K445</f>
        <v>29580</v>
      </c>
      <c r="M445" s="199" t="s">
        <v>728</v>
      </c>
      <c r="N445" s="162" t="s">
        <v>127</v>
      </c>
      <c r="O445" s="163"/>
      <c r="P445" s="164">
        <f t="shared" si="13"/>
        <v>42927</v>
      </c>
      <c r="Q445" s="165">
        <f t="shared" si="2"/>
        <v>0</v>
      </c>
      <c r="R445" s="166"/>
      <c r="S445" s="167"/>
      <c r="T445" s="168">
        <f t="shared" si="3"/>
        <v>29580</v>
      </c>
      <c r="U445" s="168">
        <f t="shared" si="4"/>
        <v>0</v>
      </c>
      <c r="V445" s="168">
        <f t="shared" si="5"/>
        <v>0</v>
      </c>
      <c r="W445" s="168">
        <f t="shared" si="6"/>
        <v>0</v>
      </c>
      <c r="X445" s="168">
        <f t="shared" si="7"/>
        <v>0</v>
      </c>
      <c r="Y445" s="168">
        <f t="shared" si="8"/>
        <v>0</v>
      </c>
      <c r="Z445" s="168">
        <f t="shared" si="9"/>
        <v>0</v>
      </c>
    </row>
    <row r="446" ht="14.25" customHeight="1">
      <c r="A446" s="157">
        <v>801.0</v>
      </c>
      <c r="B446" s="169" t="s">
        <v>728</v>
      </c>
      <c r="C446" s="169" t="s">
        <v>785</v>
      </c>
      <c r="D446" s="159">
        <v>42917.0</v>
      </c>
      <c r="E446" s="157" t="s">
        <v>8</v>
      </c>
      <c r="F446" s="160">
        <v>609000.0</v>
      </c>
      <c r="G446" s="160">
        <v>97440.0</v>
      </c>
      <c r="H446" s="160">
        <f t="shared" si="30"/>
        <v>706440</v>
      </c>
      <c r="I446" s="160"/>
      <c r="J446" s="161"/>
      <c r="K446" s="160"/>
      <c r="L446" s="160">
        <f>+'FACP$'!$H446-'FACP$'!$I446-'FACP$'!$K446</f>
        <v>706440</v>
      </c>
      <c r="M446" s="199" t="s">
        <v>728</v>
      </c>
      <c r="N446" s="162" t="s">
        <v>554</v>
      </c>
      <c r="O446" s="163">
        <v>42963.0</v>
      </c>
      <c r="P446" s="164">
        <f t="shared" si="13"/>
        <v>42927</v>
      </c>
      <c r="Q446" s="165">
        <f t="shared" si="2"/>
        <v>0</v>
      </c>
      <c r="R446" s="166"/>
      <c r="S446" s="167"/>
      <c r="T446" s="168">
        <f t="shared" si="3"/>
        <v>706440</v>
      </c>
      <c r="U446" s="168">
        <f t="shared" si="4"/>
        <v>0</v>
      </c>
      <c r="V446" s="168">
        <f t="shared" si="5"/>
        <v>0</v>
      </c>
      <c r="W446" s="168">
        <f t="shared" si="6"/>
        <v>0</v>
      </c>
      <c r="X446" s="168">
        <f t="shared" si="7"/>
        <v>0</v>
      </c>
      <c r="Y446" s="168">
        <f t="shared" si="8"/>
        <v>0</v>
      </c>
      <c r="Z446" s="168">
        <f t="shared" si="9"/>
        <v>0</v>
      </c>
    </row>
    <row r="447" ht="14.25" customHeight="1">
      <c r="A447" s="157">
        <v>802.0</v>
      </c>
      <c r="B447" s="170" t="s">
        <v>720</v>
      </c>
      <c r="C447" s="161" t="s">
        <v>755</v>
      </c>
      <c r="D447" s="159">
        <v>42931.0</v>
      </c>
      <c r="E447" s="157" t="s">
        <v>8</v>
      </c>
      <c r="F447" s="160">
        <v>434043.4</v>
      </c>
      <c r="G447" s="160">
        <v>69446.94</v>
      </c>
      <c r="H447" s="160">
        <f t="shared" si="30"/>
        <v>503490.34</v>
      </c>
      <c r="I447" s="160"/>
      <c r="J447" s="161"/>
      <c r="K447" s="160"/>
      <c r="L447" s="160">
        <f>+'FACP$'!$H447-'FACP$'!$I447-'FACP$'!$K447</f>
        <v>503490.34</v>
      </c>
      <c r="M447" s="199" t="s">
        <v>721</v>
      </c>
      <c r="N447" s="162" t="s">
        <v>554</v>
      </c>
      <c r="O447" s="163">
        <v>42963.0</v>
      </c>
      <c r="P447" s="164">
        <f t="shared" si="13"/>
        <v>42941</v>
      </c>
      <c r="Q447" s="165">
        <f t="shared" si="2"/>
        <v>0</v>
      </c>
      <c r="R447" s="166"/>
      <c r="S447" s="167"/>
      <c r="T447" s="168">
        <f t="shared" si="3"/>
        <v>503490.34</v>
      </c>
      <c r="U447" s="168">
        <f t="shared" si="4"/>
        <v>0</v>
      </c>
      <c r="V447" s="168">
        <f t="shared" si="5"/>
        <v>0</v>
      </c>
      <c r="W447" s="168">
        <f t="shared" si="6"/>
        <v>0</v>
      </c>
      <c r="X447" s="168">
        <f t="shared" si="7"/>
        <v>0</v>
      </c>
      <c r="Y447" s="168">
        <f t="shared" si="8"/>
        <v>0</v>
      </c>
      <c r="Z447" s="168">
        <f t="shared" si="9"/>
        <v>0</v>
      </c>
    </row>
    <row r="448" ht="14.25" customHeight="1">
      <c r="A448" s="157">
        <v>804.0</v>
      </c>
      <c r="B448" s="170" t="s">
        <v>722</v>
      </c>
      <c r="C448" s="169" t="s">
        <v>756</v>
      </c>
      <c r="D448" s="159">
        <v>42931.0</v>
      </c>
      <c r="E448" s="157" t="s">
        <v>8</v>
      </c>
      <c r="F448" s="160">
        <v>5927343.59</v>
      </c>
      <c r="G448" s="160">
        <v>948374.97</v>
      </c>
      <c r="H448" s="160">
        <f t="shared" si="30"/>
        <v>6875718.56</v>
      </c>
      <c r="I448" s="160"/>
      <c r="J448" s="161"/>
      <c r="K448" s="160"/>
      <c r="L448" s="160">
        <f>+'FACP$'!$H448-'FACP$'!$I448-'FACP$'!$K448</f>
        <v>6875718.56</v>
      </c>
      <c r="M448" s="199" t="s">
        <v>93</v>
      </c>
      <c r="N448" s="162" t="s">
        <v>554</v>
      </c>
      <c r="O448" s="163">
        <v>42957.0</v>
      </c>
      <c r="P448" s="164">
        <f t="shared" si="13"/>
        <v>42941</v>
      </c>
      <c r="Q448" s="165">
        <f t="shared" si="2"/>
        <v>0</v>
      </c>
      <c r="R448" s="166"/>
      <c r="S448" s="167"/>
      <c r="T448" s="168">
        <f t="shared" si="3"/>
        <v>6875718.56</v>
      </c>
      <c r="U448" s="168">
        <f t="shared" si="4"/>
        <v>0</v>
      </c>
      <c r="V448" s="168">
        <f t="shared" si="5"/>
        <v>0</v>
      </c>
      <c r="W448" s="168">
        <f t="shared" si="6"/>
        <v>0</v>
      </c>
      <c r="X448" s="168">
        <f t="shared" si="7"/>
        <v>0</v>
      </c>
      <c r="Y448" s="168">
        <f t="shared" si="8"/>
        <v>0</v>
      </c>
      <c r="Z448" s="168">
        <f t="shared" si="9"/>
        <v>0</v>
      </c>
    </row>
    <row r="449" ht="14.25" customHeight="1">
      <c r="A449" s="157">
        <v>805.0</v>
      </c>
      <c r="B449" s="169" t="s">
        <v>70</v>
      </c>
      <c r="C449" s="170" t="s">
        <v>759</v>
      </c>
      <c r="D449" s="159">
        <v>42931.0</v>
      </c>
      <c r="E449" s="157" t="s">
        <v>8</v>
      </c>
      <c r="F449" s="160">
        <v>43449.6</v>
      </c>
      <c r="G449" s="160">
        <v>6951.94</v>
      </c>
      <c r="H449" s="160">
        <f t="shared" si="30"/>
        <v>50401.54</v>
      </c>
      <c r="I449" s="160"/>
      <c r="J449" s="161"/>
      <c r="K449" s="160"/>
      <c r="L449" s="160">
        <f>+'FACP$'!$H449-'FACP$'!$I449-'FACP$'!$K449</f>
        <v>50401.54</v>
      </c>
      <c r="M449" s="199" t="s">
        <v>719</v>
      </c>
      <c r="N449" s="162" t="s">
        <v>554</v>
      </c>
      <c r="O449" s="163">
        <v>42969.0</v>
      </c>
      <c r="P449" s="164">
        <f t="shared" si="13"/>
        <v>42941</v>
      </c>
      <c r="Q449" s="165">
        <f t="shared" si="2"/>
        <v>0</v>
      </c>
      <c r="R449" s="166"/>
      <c r="S449" s="167"/>
      <c r="T449" s="168">
        <f t="shared" si="3"/>
        <v>50401.54</v>
      </c>
      <c r="U449" s="168">
        <f t="shared" si="4"/>
        <v>0</v>
      </c>
      <c r="V449" s="168">
        <f t="shared" si="5"/>
        <v>0</v>
      </c>
      <c r="W449" s="168">
        <f t="shared" si="6"/>
        <v>0</v>
      </c>
      <c r="X449" s="168">
        <f t="shared" si="7"/>
        <v>0</v>
      </c>
      <c r="Y449" s="168">
        <f t="shared" si="8"/>
        <v>0</v>
      </c>
      <c r="Z449" s="168">
        <f t="shared" si="9"/>
        <v>0</v>
      </c>
    </row>
    <row r="450" ht="14.25" customHeight="1">
      <c r="A450" s="157">
        <v>807.0</v>
      </c>
      <c r="B450" s="169" t="s">
        <v>728</v>
      </c>
      <c r="C450" s="169" t="s">
        <v>793</v>
      </c>
      <c r="D450" s="159">
        <v>42931.0</v>
      </c>
      <c r="E450" s="157" t="s">
        <v>8</v>
      </c>
      <c r="F450" s="160">
        <v>25500.0</v>
      </c>
      <c r="G450" s="160">
        <v>4080.0</v>
      </c>
      <c r="H450" s="160">
        <f t="shared" si="30"/>
        <v>29580</v>
      </c>
      <c r="I450" s="160"/>
      <c r="J450" s="161"/>
      <c r="K450" s="160"/>
      <c r="L450" s="160">
        <f>+'FACP$'!$H450-'FACP$'!$I450-'FACP$'!$K450</f>
        <v>29580</v>
      </c>
      <c r="M450" s="199" t="s">
        <v>728</v>
      </c>
      <c r="N450" s="162" t="s">
        <v>127</v>
      </c>
      <c r="O450" s="163"/>
      <c r="P450" s="164">
        <f t="shared" si="13"/>
        <v>42941</v>
      </c>
      <c r="Q450" s="165">
        <f t="shared" si="2"/>
        <v>0</v>
      </c>
      <c r="R450" s="166"/>
      <c r="S450" s="167"/>
      <c r="T450" s="168">
        <f t="shared" si="3"/>
        <v>29580</v>
      </c>
      <c r="U450" s="168">
        <f t="shared" si="4"/>
        <v>0</v>
      </c>
      <c r="V450" s="168">
        <f t="shared" si="5"/>
        <v>0</v>
      </c>
      <c r="W450" s="168">
        <f t="shared" si="6"/>
        <v>0</v>
      </c>
      <c r="X450" s="168">
        <f t="shared" si="7"/>
        <v>0</v>
      </c>
      <c r="Y450" s="168">
        <f t="shared" si="8"/>
        <v>0</v>
      </c>
      <c r="Z450" s="168">
        <f t="shared" si="9"/>
        <v>0</v>
      </c>
    </row>
    <row r="451" ht="14.25" customHeight="1">
      <c r="A451" s="157">
        <v>808.0</v>
      </c>
      <c r="B451" s="170" t="s">
        <v>37</v>
      </c>
      <c r="C451" s="169" t="s">
        <v>756</v>
      </c>
      <c r="D451" s="159">
        <v>42931.0</v>
      </c>
      <c r="E451" s="157" t="s">
        <v>8</v>
      </c>
      <c r="F451" s="160">
        <v>1946147.77</v>
      </c>
      <c r="G451" s="160">
        <v>311382.84</v>
      </c>
      <c r="H451" s="160">
        <f t="shared" si="30"/>
        <v>2257530.61</v>
      </c>
      <c r="I451" s="160"/>
      <c r="J451" s="161"/>
      <c r="K451" s="160"/>
      <c r="L451" s="160">
        <f>+'FACP$'!$H451-'FACP$'!$I451-'FACP$'!$K451</f>
        <v>2257530.61</v>
      </c>
      <c r="M451" s="199" t="s">
        <v>116</v>
      </c>
      <c r="N451" s="162" t="s">
        <v>554</v>
      </c>
      <c r="O451" s="163">
        <v>42976.0</v>
      </c>
      <c r="P451" s="164">
        <f t="shared" si="13"/>
        <v>42941</v>
      </c>
      <c r="Q451" s="165">
        <f t="shared" si="2"/>
        <v>0</v>
      </c>
      <c r="R451" s="166"/>
      <c r="S451" s="167"/>
      <c r="T451" s="168">
        <f t="shared" si="3"/>
        <v>2257530.61</v>
      </c>
      <c r="U451" s="168">
        <f t="shared" si="4"/>
        <v>0</v>
      </c>
      <c r="V451" s="168">
        <f t="shared" si="5"/>
        <v>0</v>
      </c>
      <c r="W451" s="168">
        <f t="shared" si="6"/>
        <v>0</v>
      </c>
      <c r="X451" s="168">
        <f t="shared" si="7"/>
        <v>0</v>
      </c>
      <c r="Y451" s="168">
        <f t="shared" si="8"/>
        <v>0</v>
      </c>
      <c r="Z451" s="168">
        <f t="shared" si="9"/>
        <v>0</v>
      </c>
    </row>
    <row r="452" ht="14.25" customHeight="1">
      <c r="A452" s="157">
        <v>818.0</v>
      </c>
      <c r="B452" s="170" t="s">
        <v>79</v>
      </c>
      <c r="C452" s="169" t="s">
        <v>794</v>
      </c>
      <c r="D452" s="159">
        <v>42901.0</v>
      </c>
      <c r="E452" s="157" t="s">
        <v>8</v>
      </c>
      <c r="F452" s="160">
        <v>515762.16</v>
      </c>
      <c r="G452" s="160">
        <v>82521.95</v>
      </c>
      <c r="H452" s="160">
        <f t="shared" si="30"/>
        <v>598284.11</v>
      </c>
      <c r="I452" s="160"/>
      <c r="J452" s="161"/>
      <c r="K452" s="160"/>
      <c r="L452" s="160">
        <f>+'FACP$'!$H452-'FACP$'!$I452-'FACP$'!$K452</f>
        <v>598284.11</v>
      </c>
      <c r="M452" s="199" t="s">
        <v>712</v>
      </c>
      <c r="N452" s="162" t="s">
        <v>127</v>
      </c>
      <c r="O452" s="175"/>
      <c r="P452" s="164">
        <f t="shared" si="13"/>
        <v>42911</v>
      </c>
      <c r="Q452" s="165">
        <f t="shared" si="2"/>
        <v>0</v>
      </c>
      <c r="R452" s="166"/>
      <c r="S452" s="167"/>
      <c r="T452" s="168">
        <f t="shared" si="3"/>
        <v>598284.11</v>
      </c>
      <c r="U452" s="168">
        <f t="shared" si="4"/>
        <v>0</v>
      </c>
      <c r="V452" s="168">
        <f t="shared" si="5"/>
        <v>0</v>
      </c>
      <c r="W452" s="168">
        <f t="shared" si="6"/>
        <v>0</v>
      </c>
      <c r="X452" s="168">
        <f t="shared" si="7"/>
        <v>0</v>
      </c>
      <c r="Y452" s="168">
        <f t="shared" si="8"/>
        <v>0</v>
      </c>
      <c r="Z452" s="168">
        <f t="shared" si="9"/>
        <v>0</v>
      </c>
    </row>
    <row r="453" ht="14.25" customHeight="1">
      <c r="A453" s="157">
        <v>819.0</v>
      </c>
      <c r="B453" s="170" t="s">
        <v>24</v>
      </c>
      <c r="C453" s="169" t="s">
        <v>795</v>
      </c>
      <c r="D453" s="159">
        <v>42925.0</v>
      </c>
      <c r="E453" s="157" t="s">
        <v>8</v>
      </c>
      <c r="F453" s="160">
        <v>575587.25</v>
      </c>
      <c r="G453" s="160">
        <v>92093.96</v>
      </c>
      <c r="H453" s="160">
        <f t="shared" si="30"/>
        <v>667681.21</v>
      </c>
      <c r="I453" s="160"/>
      <c r="J453" s="161"/>
      <c r="K453" s="160"/>
      <c r="L453" s="160">
        <f>+'FACP$'!$H453-'FACP$'!$I453-'FACP$'!$K453</f>
        <v>667681.21</v>
      </c>
      <c r="M453" s="199" t="s">
        <v>91</v>
      </c>
      <c r="N453" s="162" t="s">
        <v>127</v>
      </c>
      <c r="O453" s="175"/>
      <c r="P453" s="164">
        <f t="shared" si="13"/>
        <v>42935</v>
      </c>
      <c r="Q453" s="165">
        <f t="shared" si="2"/>
        <v>0</v>
      </c>
      <c r="R453" s="166"/>
      <c r="S453" s="167"/>
      <c r="T453" s="168">
        <f t="shared" si="3"/>
        <v>667681.21</v>
      </c>
      <c r="U453" s="168">
        <f t="shared" si="4"/>
        <v>0</v>
      </c>
      <c r="V453" s="168">
        <f t="shared" si="5"/>
        <v>0</v>
      </c>
      <c r="W453" s="168">
        <f t="shared" si="6"/>
        <v>0</v>
      </c>
      <c r="X453" s="168">
        <f t="shared" si="7"/>
        <v>0</v>
      </c>
      <c r="Y453" s="168">
        <f t="shared" si="8"/>
        <v>0</v>
      </c>
      <c r="Z453" s="168">
        <f t="shared" si="9"/>
        <v>0</v>
      </c>
    </row>
    <row r="454" ht="14.25" customHeight="1">
      <c r="A454" s="157">
        <v>822.0</v>
      </c>
      <c r="B454" s="169"/>
      <c r="C454" s="169"/>
      <c r="D454" s="159"/>
      <c r="E454" s="157"/>
      <c r="F454" s="160"/>
      <c r="G454" s="160"/>
      <c r="H454" s="160"/>
      <c r="I454" s="160"/>
      <c r="J454" s="161"/>
      <c r="K454" s="160"/>
      <c r="L454" s="160">
        <f>+'FACP$'!$H454-'FACP$'!$I454-'FACP$'!$K454</f>
        <v>0</v>
      </c>
      <c r="M454" s="199"/>
      <c r="N454" s="162" t="s">
        <v>127</v>
      </c>
      <c r="O454" s="175"/>
      <c r="P454" s="164">
        <f t="shared" si="13"/>
        <v>10</v>
      </c>
      <c r="Q454" s="165">
        <f t="shared" si="2"/>
        <v>0</v>
      </c>
      <c r="R454" s="166"/>
      <c r="S454" s="167"/>
      <c r="T454" s="168">
        <f t="shared" si="3"/>
        <v>0</v>
      </c>
      <c r="U454" s="168">
        <f t="shared" si="4"/>
        <v>0</v>
      </c>
      <c r="V454" s="168">
        <f t="shared" si="5"/>
        <v>0</v>
      </c>
      <c r="W454" s="168">
        <f t="shared" si="6"/>
        <v>0</v>
      </c>
      <c r="X454" s="168">
        <f t="shared" si="7"/>
        <v>0</v>
      </c>
      <c r="Y454" s="168">
        <f t="shared" si="8"/>
        <v>0</v>
      </c>
      <c r="Z454" s="168">
        <f t="shared" si="9"/>
        <v>0</v>
      </c>
    </row>
    <row r="455" ht="14.25" customHeight="1">
      <c r="A455" s="157">
        <v>823.0</v>
      </c>
      <c r="B455" s="169" t="s">
        <v>728</v>
      </c>
      <c r="C455" s="169" t="s">
        <v>796</v>
      </c>
      <c r="D455" s="159">
        <v>42931.0</v>
      </c>
      <c r="E455" s="157" t="s">
        <v>8</v>
      </c>
      <c r="F455" s="160">
        <v>459000.0</v>
      </c>
      <c r="G455" s="160">
        <v>73440.0</v>
      </c>
      <c r="H455" s="160">
        <f t="shared" ref="H455:H456" si="31">F455+G455</f>
        <v>532440</v>
      </c>
      <c r="I455" s="160"/>
      <c r="J455" s="161"/>
      <c r="K455" s="160"/>
      <c r="L455" s="160">
        <f>+'FACP$'!$H455-'FACP$'!$I455-'FACP$'!$K455</f>
        <v>532440</v>
      </c>
      <c r="M455" s="199" t="s">
        <v>728</v>
      </c>
      <c r="N455" s="162" t="s">
        <v>127</v>
      </c>
      <c r="O455" s="175"/>
      <c r="P455" s="164">
        <f t="shared" si="13"/>
        <v>42941</v>
      </c>
      <c r="Q455" s="165">
        <f t="shared" si="2"/>
        <v>0</v>
      </c>
      <c r="R455" s="166"/>
      <c r="S455" s="167"/>
      <c r="T455" s="168">
        <f t="shared" si="3"/>
        <v>532440</v>
      </c>
      <c r="U455" s="168">
        <f t="shared" si="4"/>
        <v>0</v>
      </c>
      <c r="V455" s="168">
        <f t="shared" si="5"/>
        <v>0</v>
      </c>
      <c r="W455" s="168">
        <f t="shared" si="6"/>
        <v>0</v>
      </c>
      <c r="X455" s="168">
        <f t="shared" si="7"/>
        <v>0</v>
      </c>
      <c r="Y455" s="168">
        <f t="shared" si="8"/>
        <v>0</v>
      </c>
      <c r="Z455" s="168">
        <f t="shared" si="9"/>
        <v>0</v>
      </c>
    </row>
    <row r="456" ht="14.25" customHeight="1">
      <c r="A456" s="157">
        <v>824.0</v>
      </c>
      <c r="B456" s="169" t="s">
        <v>728</v>
      </c>
      <c r="C456" s="169" t="s">
        <v>797</v>
      </c>
      <c r="D456" s="159">
        <v>42962.0</v>
      </c>
      <c r="E456" s="157" t="s">
        <v>8</v>
      </c>
      <c r="F456" s="160">
        <v>459000.0</v>
      </c>
      <c r="G456" s="160">
        <v>73440.0</v>
      </c>
      <c r="H456" s="160">
        <f t="shared" si="31"/>
        <v>532440</v>
      </c>
      <c r="I456" s="160"/>
      <c r="J456" s="161"/>
      <c r="K456" s="160"/>
      <c r="L456" s="160">
        <f>+'FACP$'!$H456-'FACP$'!$I456-'FACP$'!$K456</f>
        <v>532440</v>
      </c>
      <c r="M456" s="199" t="s">
        <v>728</v>
      </c>
      <c r="N456" s="162" t="s">
        <v>127</v>
      </c>
      <c r="O456" s="175"/>
      <c r="P456" s="164">
        <f t="shared" si="13"/>
        <v>42972</v>
      </c>
      <c r="Q456" s="165">
        <f t="shared" si="2"/>
        <v>0</v>
      </c>
      <c r="R456" s="166"/>
      <c r="S456" s="167"/>
      <c r="T456" s="168">
        <f t="shared" si="3"/>
        <v>532440</v>
      </c>
      <c r="U456" s="168">
        <f t="shared" si="4"/>
        <v>0</v>
      </c>
      <c r="V456" s="168">
        <f t="shared" si="5"/>
        <v>0</v>
      </c>
      <c r="W456" s="168">
        <f t="shared" si="6"/>
        <v>0</v>
      </c>
      <c r="X456" s="168">
        <f t="shared" si="7"/>
        <v>0</v>
      </c>
      <c r="Y456" s="168">
        <f t="shared" si="8"/>
        <v>0</v>
      </c>
      <c r="Z456" s="168">
        <f t="shared" si="9"/>
        <v>0</v>
      </c>
    </row>
    <row r="457" ht="14.25" customHeight="1">
      <c r="A457" s="157">
        <v>825.0</v>
      </c>
      <c r="B457" s="169"/>
      <c r="C457" s="169"/>
      <c r="D457" s="159"/>
      <c r="E457" s="157"/>
      <c r="F457" s="160"/>
      <c r="G457" s="160"/>
      <c r="H457" s="160"/>
      <c r="I457" s="160"/>
      <c r="J457" s="161"/>
      <c r="K457" s="160"/>
      <c r="L457" s="160">
        <f>+'FACP$'!$H457-'FACP$'!$I457-'FACP$'!$K457</f>
        <v>0</v>
      </c>
      <c r="M457" s="199"/>
      <c r="N457" s="162" t="s">
        <v>127</v>
      </c>
      <c r="O457" s="175"/>
      <c r="P457" s="164">
        <f t="shared" si="13"/>
        <v>10</v>
      </c>
      <c r="Q457" s="165">
        <f t="shared" si="2"/>
        <v>0</v>
      </c>
      <c r="R457" s="166"/>
      <c r="S457" s="167"/>
      <c r="T457" s="168">
        <f t="shared" si="3"/>
        <v>0</v>
      </c>
      <c r="U457" s="168">
        <f t="shared" si="4"/>
        <v>0</v>
      </c>
      <c r="V457" s="168">
        <f t="shared" si="5"/>
        <v>0</v>
      </c>
      <c r="W457" s="168">
        <f t="shared" si="6"/>
        <v>0</v>
      </c>
      <c r="X457" s="168">
        <f t="shared" si="7"/>
        <v>0</v>
      </c>
      <c r="Y457" s="168">
        <f t="shared" si="8"/>
        <v>0</v>
      </c>
      <c r="Z457" s="168">
        <f t="shared" si="9"/>
        <v>0</v>
      </c>
    </row>
    <row r="458" ht="14.25" customHeight="1">
      <c r="A458" s="157">
        <v>826.0</v>
      </c>
      <c r="B458" s="169" t="s">
        <v>728</v>
      </c>
      <c r="C458" s="169" t="s">
        <v>798</v>
      </c>
      <c r="D458" s="159">
        <v>42948.0</v>
      </c>
      <c r="E458" s="157" t="s">
        <v>8</v>
      </c>
      <c r="F458" s="160">
        <v>2500000.0</v>
      </c>
      <c r="G458" s="160">
        <v>400000.0</v>
      </c>
      <c r="H458" s="160">
        <f t="shared" ref="H458:H496" si="32">F458+G458</f>
        <v>2900000</v>
      </c>
      <c r="I458" s="160"/>
      <c r="J458" s="161"/>
      <c r="K458" s="160"/>
      <c r="L458" s="160">
        <f>+'FACP$'!$H458-'FACP$'!$I458-'FACP$'!$K458</f>
        <v>2900000</v>
      </c>
      <c r="M458" s="199" t="s">
        <v>728</v>
      </c>
      <c r="N458" s="162" t="s">
        <v>554</v>
      </c>
      <c r="O458" s="175">
        <v>42962.0</v>
      </c>
      <c r="P458" s="164">
        <f t="shared" si="13"/>
        <v>42958</v>
      </c>
      <c r="Q458" s="165">
        <f t="shared" si="2"/>
        <v>0</v>
      </c>
      <c r="R458" s="166"/>
      <c r="S458" s="167"/>
      <c r="T458" s="168">
        <f t="shared" si="3"/>
        <v>2900000</v>
      </c>
      <c r="U458" s="168">
        <f t="shared" si="4"/>
        <v>0</v>
      </c>
      <c r="V458" s="168">
        <f t="shared" si="5"/>
        <v>0</v>
      </c>
      <c r="W458" s="168">
        <f t="shared" si="6"/>
        <v>0</v>
      </c>
      <c r="X458" s="168">
        <f t="shared" si="7"/>
        <v>0</v>
      </c>
      <c r="Y458" s="168">
        <f t="shared" si="8"/>
        <v>0</v>
      </c>
      <c r="Z458" s="168">
        <f t="shared" si="9"/>
        <v>0</v>
      </c>
    </row>
    <row r="459" ht="14.25" customHeight="1">
      <c r="A459" s="157">
        <v>827.0</v>
      </c>
      <c r="B459" s="170" t="s">
        <v>79</v>
      </c>
      <c r="C459" s="169" t="s">
        <v>755</v>
      </c>
      <c r="D459" s="159">
        <v>42917.0</v>
      </c>
      <c r="E459" s="157" t="s">
        <v>8</v>
      </c>
      <c r="F459" s="160">
        <v>459287.4</v>
      </c>
      <c r="G459" s="160">
        <v>73485.98</v>
      </c>
      <c r="H459" s="160">
        <f t="shared" si="32"/>
        <v>532773.38</v>
      </c>
      <c r="I459" s="160"/>
      <c r="J459" s="161"/>
      <c r="K459" s="160"/>
      <c r="L459" s="160">
        <f>+'FACP$'!$H459-'FACP$'!$I459-'FACP$'!$K459</f>
        <v>532773.38</v>
      </c>
      <c r="M459" s="199" t="s">
        <v>712</v>
      </c>
      <c r="N459" s="162" t="s">
        <v>127</v>
      </c>
      <c r="O459" s="175"/>
      <c r="P459" s="164">
        <f t="shared" si="13"/>
        <v>42927</v>
      </c>
      <c r="Q459" s="165">
        <f t="shared" si="2"/>
        <v>0</v>
      </c>
      <c r="R459" s="166"/>
      <c r="S459" s="167"/>
      <c r="T459" s="168">
        <f t="shared" si="3"/>
        <v>532773.38</v>
      </c>
      <c r="U459" s="168">
        <f t="shared" si="4"/>
        <v>0</v>
      </c>
      <c r="V459" s="168">
        <f t="shared" si="5"/>
        <v>0</v>
      </c>
      <c r="W459" s="168">
        <f t="shared" si="6"/>
        <v>0</v>
      </c>
      <c r="X459" s="168">
        <f t="shared" si="7"/>
        <v>0</v>
      </c>
      <c r="Y459" s="168">
        <f t="shared" si="8"/>
        <v>0</v>
      </c>
      <c r="Z459" s="168">
        <f t="shared" si="9"/>
        <v>0</v>
      </c>
    </row>
    <row r="460" ht="14.25" customHeight="1">
      <c r="A460" s="157">
        <v>829.0</v>
      </c>
      <c r="B460" s="170" t="s">
        <v>24</v>
      </c>
      <c r="C460" s="161" t="s">
        <v>773</v>
      </c>
      <c r="D460" s="159">
        <v>42925.0</v>
      </c>
      <c r="E460" s="157" t="s">
        <v>8</v>
      </c>
      <c r="F460" s="160">
        <v>574898.84</v>
      </c>
      <c r="G460" s="160">
        <v>91983.81</v>
      </c>
      <c r="H460" s="160">
        <f t="shared" si="32"/>
        <v>666882.65</v>
      </c>
      <c r="I460" s="160"/>
      <c r="J460" s="161"/>
      <c r="K460" s="160"/>
      <c r="L460" s="160">
        <f>+'FACP$'!$H460-'FACP$'!$I460-'FACP$'!$K460</f>
        <v>666882.65</v>
      </c>
      <c r="M460" s="199" t="s">
        <v>91</v>
      </c>
      <c r="N460" s="162" t="s">
        <v>554</v>
      </c>
      <c r="O460" s="175">
        <v>42972.0</v>
      </c>
      <c r="P460" s="164">
        <f t="shared" si="13"/>
        <v>42935</v>
      </c>
      <c r="Q460" s="165">
        <f t="shared" si="2"/>
        <v>0</v>
      </c>
      <c r="R460" s="166"/>
      <c r="S460" s="167"/>
      <c r="T460" s="168">
        <f t="shared" si="3"/>
        <v>666882.65</v>
      </c>
      <c r="U460" s="168">
        <f t="shared" si="4"/>
        <v>0</v>
      </c>
      <c r="V460" s="168">
        <f t="shared" si="5"/>
        <v>0</v>
      </c>
      <c r="W460" s="168">
        <f t="shared" si="6"/>
        <v>0</v>
      </c>
      <c r="X460" s="168">
        <f t="shared" si="7"/>
        <v>0</v>
      </c>
      <c r="Y460" s="168">
        <f t="shared" si="8"/>
        <v>0</v>
      </c>
      <c r="Z460" s="168">
        <f t="shared" si="9"/>
        <v>0</v>
      </c>
    </row>
    <row r="461" ht="14.25" customHeight="1">
      <c r="A461" s="157">
        <v>831.0</v>
      </c>
      <c r="B461" s="170" t="s">
        <v>79</v>
      </c>
      <c r="C461" s="169" t="s">
        <v>755</v>
      </c>
      <c r="D461" s="159">
        <v>42917.0</v>
      </c>
      <c r="E461" s="157" t="s">
        <v>8</v>
      </c>
      <c r="F461" s="160">
        <v>979550.52</v>
      </c>
      <c r="G461" s="160">
        <v>156728.08</v>
      </c>
      <c r="H461" s="160">
        <f t="shared" si="32"/>
        <v>1136278.6</v>
      </c>
      <c r="I461" s="160"/>
      <c r="J461" s="161"/>
      <c r="K461" s="160"/>
      <c r="L461" s="160">
        <f>+'FACP$'!$H461-'FACP$'!$I461-'FACP$'!$K461</f>
        <v>1136278.6</v>
      </c>
      <c r="M461" s="199" t="s">
        <v>712</v>
      </c>
      <c r="N461" s="162" t="s">
        <v>127</v>
      </c>
      <c r="O461" s="175"/>
      <c r="P461" s="164">
        <f t="shared" si="13"/>
        <v>42927</v>
      </c>
      <c r="Q461" s="165">
        <f t="shared" si="2"/>
        <v>0</v>
      </c>
      <c r="R461" s="166"/>
      <c r="S461" s="167"/>
      <c r="T461" s="168">
        <f t="shared" si="3"/>
        <v>1136278.6</v>
      </c>
      <c r="U461" s="168">
        <f t="shared" si="4"/>
        <v>0</v>
      </c>
      <c r="V461" s="168">
        <f t="shared" si="5"/>
        <v>0</v>
      </c>
      <c r="W461" s="168">
        <f t="shared" si="6"/>
        <v>0</v>
      </c>
      <c r="X461" s="168">
        <f t="shared" si="7"/>
        <v>0</v>
      </c>
      <c r="Y461" s="168">
        <f t="shared" si="8"/>
        <v>0</v>
      </c>
      <c r="Z461" s="168">
        <f t="shared" si="9"/>
        <v>0</v>
      </c>
    </row>
    <row r="462" ht="14.25" customHeight="1">
      <c r="A462" s="157">
        <v>833.0</v>
      </c>
      <c r="B462" s="170" t="s">
        <v>79</v>
      </c>
      <c r="C462" s="169" t="s">
        <v>755</v>
      </c>
      <c r="D462" s="159">
        <v>42917.0</v>
      </c>
      <c r="E462" s="157" t="s">
        <v>8</v>
      </c>
      <c r="F462" s="160">
        <v>936904.28</v>
      </c>
      <c r="G462" s="160">
        <v>149904.69</v>
      </c>
      <c r="H462" s="160">
        <f t="shared" si="32"/>
        <v>1086808.97</v>
      </c>
      <c r="I462" s="160"/>
      <c r="J462" s="161"/>
      <c r="K462" s="160"/>
      <c r="L462" s="160">
        <f>+'FACP$'!$H462-'FACP$'!$I462-'FACP$'!$K462</f>
        <v>1086808.97</v>
      </c>
      <c r="M462" s="199" t="s">
        <v>712</v>
      </c>
      <c r="N462" s="162" t="s">
        <v>127</v>
      </c>
      <c r="O462" s="175"/>
      <c r="P462" s="164">
        <f t="shared" si="13"/>
        <v>42927</v>
      </c>
      <c r="Q462" s="165">
        <f t="shared" si="2"/>
        <v>0</v>
      </c>
      <c r="R462" s="166"/>
      <c r="S462" s="167"/>
      <c r="T462" s="168">
        <f t="shared" si="3"/>
        <v>1086808.97</v>
      </c>
      <c r="U462" s="168">
        <f t="shared" si="4"/>
        <v>0</v>
      </c>
      <c r="V462" s="168">
        <f t="shared" si="5"/>
        <v>0</v>
      </c>
      <c r="W462" s="168">
        <f t="shared" si="6"/>
        <v>0</v>
      </c>
      <c r="X462" s="168">
        <f t="shared" si="7"/>
        <v>0</v>
      </c>
      <c r="Y462" s="168">
        <f t="shared" si="8"/>
        <v>0</v>
      </c>
      <c r="Z462" s="168">
        <f t="shared" si="9"/>
        <v>0</v>
      </c>
    </row>
    <row r="463" ht="14.25" customHeight="1">
      <c r="A463" s="157">
        <v>834.0</v>
      </c>
      <c r="B463" s="170" t="s">
        <v>79</v>
      </c>
      <c r="C463" s="169" t="s">
        <v>755</v>
      </c>
      <c r="D463" s="159">
        <v>42901.0</v>
      </c>
      <c r="E463" s="157" t="s">
        <v>8</v>
      </c>
      <c r="F463" s="160">
        <v>528817.92</v>
      </c>
      <c r="G463" s="160">
        <v>84610.87</v>
      </c>
      <c r="H463" s="160">
        <f t="shared" si="32"/>
        <v>613428.79</v>
      </c>
      <c r="I463" s="160"/>
      <c r="J463" s="161"/>
      <c r="K463" s="160"/>
      <c r="L463" s="160">
        <f>+'FACP$'!$H463-'FACP$'!$I463-'FACP$'!$K463</f>
        <v>613428.79</v>
      </c>
      <c r="M463" s="199" t="s">
        <v>712</v>
      </c>
      <c r="N463" s="162" t="s">
        <v>127</v>
      </c>
      <c r="O463" s="175"/>
      <c r="P463" s="164">
        <f t="shared" si="13"/>
        <v>42911</v>
      </c>
      <c r="Q463" s="165">
        <f t="shared" si="2"/>
        <v>0</v>
      </c>
      <c r="R463" s="166"/>
      <c r="S463" s="167"/>
      <c r="T463" s="168">
        <f t="shared" si="3"/>
        <v>613428.79</v>
      </c>
      <c r="U463" s="168">
        <f t="shared" si="4"/>
        <v>0</v>
      </c>
      <c r="V463" s="168">
        <f t="shared" si="5"/>
        <v>0</v>
      </c>
      <c r="W463" s="168">
        <f t="shared" si="6"/>
        <v>0</v>
      </c>
      <c r="X463" s="168">
        <f t="shared" si="7"/>
        <v>0</v>
      </c>
      <c r="Y463" s="168">
        <f t="shared" si="8"/>
        <v>0</v>
      </c>
      <c r="Z463" s="168">
        <f t="shared" si="9"/>
        <v>0</v>
      </c>
    </row>
    <row r="464" ht="14.25" customHeight="1">
      <c r="A464" s="157">
        <v>835.0</v>
      </c>
      <c r="B464" s="170"/>
      <c r="C464" s="169"/>
      <c r="D464" s="159"/>
      <c r="E464" s="157"/>
      <c r="F464" s="160"/>
      <c r="G464" s="160"/>
      <c r="H464" s="160">
        <f t="shared" si="32"/>
        <v>0</v>
      </c>
      <c r="I464" s="160"/>
      <c r="J464" s="161"/>
      <c r="K464" s="160"/>
      <c r="L464" s="160">
        <f>+'FACP$'!$H464-'FACP$'!$I464-'FACP$'!$K464</f>
        <v>0</v>
      </c>
      <c r="M464" s="162" t="s">
        <v>127</v>
      </c>
      <c r="N464" s="162" t="s">
        <v>127</v>
      </c>
      <c r="O464" s="175"/>
      <c r="P464" s="164">
        <f t="shared" si="13"/>
        <v>10</v>
      </c>
      <c r="Q464" s="165">
        <f t="shared" si="2"/>
        <v>0</v>
      </c>
      <c r="R464" s="166"/>
      <c r="S464" s="167"/>
      <c r="T464" s="168">
        <f t="shared" si="3"/>
        <v>0</v>
      </c>
      <c r="U464" s="168">
        <f t="shared" si="4"/>
        <v>0</v>
      </c>
      <c r="V464" s="168">
        <f t="shared" si="5"/>
        <v>0</v>
      </c>
      <c r="W464" s="168">
        <f t="shared" si="6"/>
        <v>0</v>
      </c>
      <c r="X464" s="168">
        <f t="shared" si="7"/>
        <v>0</v>
      </c>
      <c r="Y464" s="168">
        <f t="shared" si="8"/>
        <v>0</v>
      </c>
      <c r="Z464" s="168">
        <f t="shared" si="9"/>
        <v>0</v>
      </c>
    </row>
    <row r="465" ht="14.25" customHeight="1">
      <c r="A465" s="157">
        <v>836.0</v>
      </c>
      <c r="B465" s="170"/>
      <c r="C465" s="169"/>
      <c r="D465" s="159"/>
      <c r="E465" s="157"/>
      <c r="F465" s="160"/>
      <c r="G465" s="160"/>
      <c r="H465" s="160">
        <f t="shared" si="32"/>
        <v>0</v>
      </c>
      <c r="I465" s="160"/>
      <c r="J465" s="161"/>
      <c r="K465" s="160"/>
      <c r="L465" s="160">
        <f>+'FACP$'!$H465-'FACP$'!$I465-'FACP$'!$K465</f>
        <v>0</v>
      </c>
      <c r="M465" s="162" t="s">
        <v>127</v>
      </c>
      <c r="N465" s="162" t="s">
        <v>127</v>
      </c>
      <c r="O465" s="175"/>
      <c r="P465" s="164">
        <f t="shared" si="13"/>
        <v>10</v>
      </c>
      <c r="Q465" s="165">
        <f t="shared" si="2"/>
        <v>0</v>
      </c>
      <c r="R465" s="166"/>
      <c r="S465" s="167"/>
      <c r="T465" s="168">
        <f t="shared" si="3"/>
        <v>0</v>
      </c>
      <c r="U465" s="168">
        <f t="shared" si="4"/>
        <v>0</v>
      </c>
      <c r="V465" s="168">
        <f t="shared" si="5"/>
        <v>0</v>
      </c>
      <c r="W465" s="168">
        <f t="shared" si="6"/>
        <v>0</v>
      </c>
      <c r="X465" s="168">
        <f t="shared" si="7"/>
        <v>0</v>
      </c>
      <c r="Y465" s="168">
        <f t="shared" si="8"/>
        <v>0</v>
      </c>
      <c r="Z465" s="168">
        <f t="shared" si="9"/>
        <v>0</v>
      </c>
    </row>
    <row r="466" ht="14.25" customHeight="1">
      <c r="A466" s="157">
        <v>837.0</v>
      </c>
      <c r="B466" s="170"/>
      <c r="C466" s="169"/>
      <c r="D466" s="159"/>
      <c r="E466" s="157"/>
      <c r="F466" s="160"/>
      <c r="G466" s="160"/>
      <c r="H466" s="160">
        <f t="shared" si="32"/>
        <v>0</v>
      </c>
      <c r="I466" s="160"/>
      <c r="J466" s="161"/>
      <c r="K466" s="160"/>
      <c r="L466" s="160">
        <f>+'FACP$'!$H466-'FACP$'!$I466-'FACP$'!$K466</f>
        <v>0</v>
      </c>
      <c r="M466" s="162" t="s">
        <v>127</v>
      </c>
      <c r="N466" s="162" t="s">
        <v>127</v>
      </c>
      <c r="O466" s="175"/>
      <c r="P466" s="164">
        <f t="shared" si="13"/>
        <v>10</v>
      </c>
      <c r="Q466" s="165">
        <f t="shared" si="2"/>
        <v>0</v>
      </c>
      <c r="R466" s="166"/>
      <c r="S466" s="167"/>
      <c r="T466" s="168">
        <f t="shared" si="3"/>
        <v>0</v>
      </c>
      <c r="U466" s="168">
        <f t="shared" si="4"/>
        <v>0</v>
      </c>
      <c r="V466" s="168">
        <f t="shared" si="5"/>
        <v>0</v>
      </c>
      <c r="W466" s="168">
        <f t="shared" si="6"/>
        <v>0</v>
      </c>
      <c r="X466" s="168">
        <f t="shared" si="7"/>
        <v>0</v>
      </c>
      <c r="Y466" s="168">
        <f t="shared" si="8"/>
        <v>0</v>
      </c>
      <c r="Z466" s="168">
        <f t="shared" si="9"/>
        <v>0</v>
      </c>
    </row>
    <row r="467" ht="14.25" customHeight="1">
      <c r="A467" s="157">
        <v>838.0</v>
      </c>
      <c r="B467" s="170"/>
      <c r="C467" s="169"/>
      <c r="D467" s="159"/>
      <c r="E467" s="157"/>
      <c r="F467" s="160"/>
      <c r="G467" s="160"/>
      <c r="H467" s="160">
        <f t="shared" si="32"/>
        <v>0</v>
      </c>
      <c r="I467" s="160"/>
      <c r="J467" s="161"/>
      <c r="K467" s="160"/>
      <c r="L467" s="160">
        <f>+'FACP$'!$H467-'FACP$'!$I467-'FACP$'!$K467</f>
        <v>0</v>
      </c>
      <c r="M467" s="162" t="s">
        <v>127</v>
      </c>
      <c r="N467" s="162" t="s">
        <v>127</v>
      </c>
      <c r="O467" s="175"/>
      <c r="P467" s="164">
        <f t="shared" si="13"/>
        <v>10</v>
      </c>
      <c r="Q467" s="165">
        <f t="shared" si="2"/>
        <v>0</v>
      </c>
      <c r="R467" s="166"/>
      <c r="S467" s="167"/>
      <c r="T467" s="168">
        <f t="shared" si="3"/>
        <v>0</v>
      </c>
      <c r="U467" s="168">
        <f t="shared" si="4"/>
        <v>0</v>
      </c>
      <c r="V467" s="168">
        <f t="shared" si="5"/>
        <v>0</v>
      </c>
      <c r="W467" s="168">
        <f t="shared" si="6"/>
        <v>0</v>
      </c>
      <c r="X467" s="168">
        <f t="shared" si="7"/>
        <v>0</v>
      </c>
      <c r="Y467" s="168">
        <f t="shared" si="8"/>
        <v>0</v>
      </c>
      <c r="Z467" s="168">
        <f t="shared" si="9"/>
        <v>0</v>
      </c>
    </row>
    <row r="468" ht="14.25" customHeight="1">
      <c r="A468" s="157">
        <v>839.0</v>
      </c>
      <c r="B468" s="170" t="s">
        <v>722</v>
      </c>
      <c r="C468" s="169" t="s">
        <v>756</v>
      </c>
      <c r="D468" s="159">
        <v>42948.0</v>
      </c>
      <c r="E468" s="157" t="s">
        <v>8</v>
      </c>
      <c r="F468" s="160">
        <v>5104170.0</v>
      </c>
      <c r="G468" s="160">
        <v>816667.2</v>
      </c>
      <c r="H468" s="160">
        <f t="shared" si="32"/>
        <v>5920837.2</v>
      </c>
      <c r="I468" s="160"/>
      <c r="J468" s="161"/>
      <c r="K468" s="160"/>
      <c r="L468" s="160">
        <f>+'FACP$'!$H468-'FACP$'!$I468-'FACP$'!$K468</f>
        <v>5920837.2</v>
      </c>
      <c r="M468" s="162" t="s">
        <v>127</v>
      </c>
      <c r="N468" s="162" t="s">
        <v>554</v>
      </c>
      <c r="O468" s="175">
        <v>42978.0</v>
      </c>
      <c r="P468" s="164">
        <f t="shared" si="13"/>
        <v>42958</v>
      </c>
      <c r="Q468" s="165">
        <f t="shared" si="2"/>
        <v>0</v>
      </c>
      <c r="R468" s="166"/>
      <c r="S468" s="167"/>
      <c r="T468" s="168">
        <f t="shared" si="3"/>
        <v>5920837.2</v>
      </c>
      <c r="U468" s="168">
        <f t="shared" si="4"/>
        <v>0</v>
      </c>
      <c r="V468" s="168">
        <f t="shared" si="5"/>
        <v>0</v>
      </c>
      <c r="W468" s="168">
        <f t="shared" si="6"/>
        <v>0</v>
      </c>
      <c r="X468" s="168">
        <f t="shared" si="7"/>
        <v>0</v>
      </c>
      <c r="Y468" s="168">
        <f t="shared" si="8"/>
        <v>0</v>
      </c>
      <c r="Z468" s="168">
        <f t="shared" si="9"/>
        <v>0</v>
      </c>
    </row>
    <row r="469" ht="14.25" customHeight="1">
      <c r="A469" s="157">
        <v>840.0</v>
      </c>
      <c r="B469" s="170" t="s">
        <v>720</v>
      </c>
      <c r="C469" s="161" t="s">
        <v>755</v>
      </c>
      <c r="D469" s="159">
        <v>42948.0</v>
      </c>
      <c r="E469" s="157" t="s">
        <v>8</v>
      </c>
      <c r="F469" s="160">
        <v>265672.43</v>
      </c>
      <c r="G469" s="160">
        <v>42507.59</v>
      </c>
      <c r="H469" s="160">
        <f t="shared" si="32"/>
        <v>308180.02</v>
      </c>
      <c r="I469" s="160"/>
      <c r="J469" s="161"/>
      <c r="K469" s="160"/>
      <c r="L469" s="160">
        <f>+'FACP$'!$H469-'FACP$'!$I469-'FACP$'!$K469</f>
        <v>308180.02</v>
      </c>
      <c r="M469" s="162" t="s">
        <v>127</v>
      </c>
      <c r="N469" s="162" t="s">
        <v>554</v>
      </c>
      <c r="O469" s="175">
        <v>42970.0</v>
      </c>
      <c r="P469" s="164">
        <f t="shared" si="13"/>
        <v>42958</v>
      </c>
      <c r="Q469" s="165">
        <f t="shared" si="2"/>
        <v>0</v>
      </c>
      <c r="R469" s="166"/>
      <c r="S469" s="167"/>
      <c r="T469" s="168">
        <f t="shared" si="3"/>
        <v>308180.02</v>
      </c>
      <c r="U469" s="168">
        <f t="shared" si="4"/>
        <v>0</v>
      </c>
      <c r="V469" s="168">
        <f t="shared" si="5"/>
        <v>0</v>
      </c>
      <c r="W469" s="168">
        <f t="shared" si="6"/>
        <v>0</v>
      </c>
      <c r="X469" s="168">
        <f t="shared" si="7"/>
        <v>0</v>
      </c>
      <c r="Y469" s="168">
        <f t="shared" si="8"/>
        <v>0</v>
      </c>
      <c r="Z469" s="168">
        <f t="shared" si="9"/>
        <v>0</v>
      </c>
    </row>
    <row r="470" ht="14.25" customHeight="1">
      <c r="A470" s="157">
        <v>842.0</v>
      </c>
      <c r="B470" s="169" t="s">
        <v>70</v>
      </c>
      <c r="C470" s="170" t="s">
        <v>759</v>
      </c>
      <c r="D470" s="159">
        <v>42948.0</v>
      </c>
      <c r="E470" s="157" t="s">
        <v>8</v>
      </c>
      <c r="F470" s="160">
        <v>26688.13</v>
      </c>
      <c r="G470" s="160">
        <v>4270.1</v>
      </c>
      <c r="H470" s="160">
        <f t="shared" si="32"/>
        <v>30958.23</v>
      </c>
      <c r="I470" s="160"/>
      <c r="J470" s="161"/>
      <c r="K470" s="160"/>
      <c r="L470" s="160">
        <f>+'FACP$'!$H470-'FACP$'!$I470-'FACP$'!$K470</f>
        <v>30958.23</v>
      </c>
      <c r="M470" s="199" t="s">
        <v>719</v>
      </c>
      <c r="N470" s="162" t="s">
        <v>554</v>
      </c>
      <c r="O470" s="175">
        <v>42972.0</v>
      </c>
      <c r="P470" s="164">
        <f t="shared" si="13"/>
        <v>42958</v>
      </c>
      <c r="Q470" s="165">
        <f t="shared" si="2"/>
        <v>0</v>
      </c>
      <c r="R470" s="166"/>
      <c r="S470" s="167"/>
      <c r="T470" s="168">
        <f t="shared" si="3"/>
        <v>30958.23</v>
      </c>
      <c r="U470" s="168">
        <f t="shared" si="4"/>
        <v>0</v>
      </c>
      <c r="V470" s="168">
        <f t="shared" si="5"/>
        <v>0</v>
      </c>
      <c r="W470" s="168">
        <f t="shared" si="6"/>
        <v>0</v>
      </c>
      <c r="X470" s="168">
        <f t="shared" si="7"/>
        <v>0</v>
      </c>
      <c r="Y470" s="168">
        <f t="shared" si="8"/>
        <v>0</v>
      </c>
      <c r="Z470" s="168">
        <f t="shared" si="9"/>
        <v>0</v>
      </c>
    </row>
    <row r="471" ht="14.25" customHeight="1">
      <c r="A471" s="157">
        <v>844.0</v>
      </c>
      <c r="B471" s="170" t="s">
        <v>79</v>
      </c>
      <c r="C471" s="169" t="s">
        <v>755</v>
      </c>
      <c r="D471" s="159">
        <v>42917.0</v>
      </c>
      <c r="E471" s="157" t="s">
        <v>8</v>
      </c>
      <c r="F471" s="160">
        <v>910854.36</v>
      </c>
      <c r="G471" s="160">
        <v>145736.7</v>
      </c>
      <c r="H471" s="160">
        <f t="shared" si="32"/>
        <v>1056591.06</v>
      </c>
      <c r="I471" s="160"/>
      <c r="J471" s="161"/>
      <c r="K471" s="160"/>
      <c r="L471" s="160">
        <f>+'FACP$'!$H471-'FACP$'!$I471-'FACP$'!$K471</f>
        <v>1056591.06</v>
      </c>
      <c r="M471" s="199" t="s">
        <v>712</v>
      </c>
      <c r="N471" s="162" t="s">
        <v>127</v>
      </c>
      <c r="O471" s="175"/>
      <c r="P471" s="164">
        <f t="shared" si="13"/>
        <v>42927</v>
      </c>
      <c r="Q471" s="165">
        <f t="shared" si="2"/>
        <v>0</v>
      </c>
      <c r="R471" s="166"/>
      <c r="S471" s="167"/>
      <c r="T471" s="168">
        <f t="shared" si="3"/>
        <v>1056591.06</v>
      </c>
      <c r="U471" s="168">
        <f t="shared" si="4"/>
        <v>0</v>
      </c>
      <c r="V471" s="168">
        <f t="shared" si="5"/>
        <v>0</v>
      </c>
      <c r="W471" s="168">
        <f t="shared" si="6"/>
        <v>0</v>
      </c>
      <c r="X471" s="168">
        <f t="shared" si="7"/>
        <v>0</v>
      </c>
      <c r="Y471" s="168">
        <f t="shared" si="8"/>
        <v>0</v>
      </c>
      <c r="Z471" s="168">
        <f t="shared" si="9"/>
        <v>0</v>
      </c>
    </row>
    <row r="472" ht="14.25" customHeight="1">
      <c r="A472" s="157">
        <v>845.0</v>
      </c>
      <c r="B472" s="170" t="s">
        <v>79</v>
      </c>
      <c r="C472" s="169" t="s">
        <v>755</v>
      </c>
      <c r="D472" s="159">
        <v>42901.0</v>
      </c>
      <c r="E472" s="157" t="s">
        <v>8</v>
      </c>
      <c r="F472" s="160">
        <v>547297.8</v>
      </c>
      <c r="G472" s="160">
        <v>87567.65</v>
      </c>
      <c r="H472" s="160">
        <f t="shared" si="32"/>
        <v>634865.45</v>
      </c>
      <c r="I472" s="160"/>
      <c r="J472" s="161"/>
      <c r="K472" s="160"/>
      <c r="L472" s="160">
        <f>+'FACP$'!$H472-'FACP$'!$I472-'FACP$'!$K472</f>
        <v>634865.45</v>
      </c>
      <c r="M472" s="199" t="s">
        <v>712</v>
      </c>
      <c r="N472" s="162" t="s">
        <v>554</v>
      </c>
      <c r="O472" s="175">
        <v>42992.0</v>
      </c>
      <c r="P472" s="164">
        <f t="shared" si="13"/>
        <v>42911</v>
      </c>
      <c r="Q472" s="165">
        <f t="shared" si="2"/>
        <v>0</v>
      </c>
      <c r="R472" s="166"/>
      <c r="S472" s="167"/>
      <c r="T472" s="168">
        <f t="shared" si="3"/>
        <v>634865.45</v>
      </c>
      <c r="U472" s="168">
        <f t="shared" si="4"/>
        <v>0</v>
      </c>
      <c r="V472" s="168">
        <f t="shared" si="5"/>
        <v>0</v>
      </c>
      <c r="W472" s="168">
        <f t="shared" si="6"/>
        <v>0</v>
      </c>
      <c r="X472" s="168">
        <f t="shared" si="7"/>
        <v>0</v>
      </c>
      <c r="Y472" s="168">
        <f t="shared" si="8"/>
        <v>0</v>
      </c>
      <c r="Z472" s="168">
        <f t="shared" si="9"/>
        <v>0</v>
      </c>
    </row>
    <row r="473" ht="14.25" customHeight="1">
      <c r="A473" s="157">
        <v>846.0</v>
      </c>
      <c r="B473" s="170" t="s">
        <v>79</v>
      </c>
      <c r="C473" s="169" t="s">
        <v>755</v>
      </c>
      <c r="D473" s="159">
        <v>42917.0</v>
      </c>
      <c r="E473" s="157" t="s">
        <v>8</v>
      </c>
      <c r="F473" s="160">
        <v>910854.36</v>
      </c>
      <c r="G473" s="160">
        <v>145736.7</v>
      </c>
      <c r="H473" s="160">
        <f t="shared" si="32"/>
        <v>1056591.06</v>
      </c>
      <c r="I473" s="160"/>
      <c r="J473" s="161"/>
      <c r="K473" s="160"/>
      <c r="L473" s="160">
        <f>+'FACP$'!$H473-'FACP$'!$I473-'FACP$'!$K473</f>
        <v>1056591.06</v>
      </c>
      <c r="M473" s="199" t="s">
        <v>712</v>
      </c>
      <c r="N473" s="162" t="s">
        <v>127</v>
      </c>
      <c r="O473" s="175"/>
      <c r="P473" s="164">
        <f t="shared" si="13"/>
        <v>42927</v>
      </c>
      <c r="Q473" s="165">
        <f t="shared" si="2"/>
        <v>0</v>
      </c>
      <c r="R473" s="166"/>
      <c r="S473" s="167"/>
      <c r="T473" s="168">
        <f t="shared" si="3"/>
        <v>1056591.06</v>
      </c>
      <c r="U473" s="168">
        <f t="shared" si="4"/>
        <v>0</v>
      </c>
      <c r="V473" s="168">
        <f t="shared" si="5"/>
        <v>0</v>
      </c>
      <c r="W473" s="168">
        <f t="shared" si="6"/>
        <v>0</v>
      </c>
      <c r="X473" s="168">
        <f t="shared" si="7"/>
        <v>0</v>
      </c>
      <c r="Y473" s="168">
        <f t="shared" si="8"/>
        <v>0</v>
      </c>
      <c r="Z473" s="168">
        <f t="shared" si="9"/>
        <v>0</v>
      </c>
    </row>
    <row r="474" ht="14.25" customHeight="1">
      <c r="A474" s="157">
        <v>847.0</v>
      </c>
      <c r="B474" s="170" t="s">
        <v>79</v>
      </c>
      <c r="C474" s="169" t="s">
        <v>755</v>
      </c>
      <c r="D474" s="159">
        <v>42887.0</v>
      </c>
      <c r="E474" s="157" t="s">
        <v>8</v>
      </c>
      <c r="F474" s="160">
        <v>481987.8</v>
      </c>
      <c r="G474" s="160">
        <v>77118.05</v>
      </c>
      <c r="H474" s="160">
        <f t="shared" si="32"/>
        <v>559105.85</v>
      </c>
      <c r="I474" s="160"/>
      <c r="J474" s="161"/>
      <c r="K474" s="160"/>
      <c r="L474" s="160">
        <f>+'FACP$'!$H474-'FACP$'!$I474-'FACP$'!$K474</f>
        <v>559105.85</v>
      </c>
      <c r="M474" s="199" t="s">
        <v>712</v>
      </c>
      <c r="N474" s="162" t="s">
        <v>554</v>
      </c>
      <c r="O474" s="175">
        <v>42984.0</v>
      </c>
      <c r="P474" s="164">
        <f t="shared" si="13"/>
        <v>42897</v>
      </c>
      <c r="Q474" s="165">
        <f t="shared" si="2"/>
        <v>0</v>
      </c>
      <c r="R474" s="166"/>
      <c r="S474" s="167"/>
      <c r="T474" s="168">
        <f t="shared" si="3"/>
        <v>559105.85</v>
      </c>
      <c r="U474" s="168">
        <f t="shared" si="4"/>
        <v>0</v>
      </c>
      <c r="V474" s="168">
        <f t="shared" si="5"/>
        <v>0</v>
      </c>
      <c r="W474" s="168">
        <f t="shared" si="6"/>
        <v>0</v>
      </c>
      <c r="X474" s="168">
        <f t="shared" si="7"/>
        <v>0</v>
      </c>
      <c r="Y474" s="168">
        <f t="shared" si="8"/>
        <v>0</v>
      </c>
      <c r="Z474" s="168">
        <f t="shared" si="9"/>
        <v>0</v>
      </c>
    </row>
    <row r="475" ht="14.25" customHeight="1">
      <c r="A475" s="157">
        <v>848.0</v>
      </c>
      <c r="B475" s="170" t="s">
        <v>79</v>
      </c>
      <c r="C475" s="169" t="s">
        <v>755</v>
      </c>
      <c r="D475" s="159">
        <v>42917.0</v>
      </c>
      <c r="E475" s="157" t="s">
        <v>8</v>
      </c>
      <c r="F475" s="160">
        <v>932352.37</v>
      </c>
      <c r="G475" s="160">
        <v>149176.38</v>
      </c>
      <c r="H475" s="160">
        <f t="shared" si="32"/>
        <v>1081528.75</v>
      </c>
      <c r="I475" s="160"/>
      <c r="J475" s="161"/>
      <c r="K475" s="160"/>
      <c r="L475" s="160">
        <f>+'FACP$'!$H475-'FACP$'!$I475-'FACP$'!$K475</f>
        <v>1081528.75</v>
      </c>
      <c r="M475" s="199" t="s">
        <v>712</v>
      </c>
      <c r="N475" s="162" t="s">
        <v>554</v>
      </c>
      <c r="O475" s="175">
        <v>43000.0</v>
      </c>
      <c r="P475" s="164">
        <f t="shared" si="13"/>
        <v>42927</v>
      </c>
      <c r="Q475" s="165">
        <f t="shared" si="2"/>
        <v>0</v>
      </c>
      <c r="R475" s="166"/>
      <c r="S475" s="167"/>
      <c r="T475" s="168">
        <f t="shared" si="3"/>
        <v>1081528.75</v>
      </c>
      <c r="U475" s="168">
        <f t="shared" si="4"/>
        <v>0</v>
      </c>
      <c r="V475" s="168">
        <f t="shared" si="5"/>
        <v>0</v>
      </c>
      <c r="W475" s="168">
        <f t="shared" si="6"/>
        <v>0</v>
      </c>
      <c r="X475" s="168">
        <f t="shared" si="7"/>
        <v>0</v>
      </c>
      <c r="Y475" s="168">
        <f t="shared" si="8"/>
        <v>0</v>
      </c>
      <c r="Z475" s="168">
        <f t="shared" si="9"/>
        <v>0</v>
      </c>
    </row>
    <row r="476" ht="14.25" customHeight="1">
      <c r="A476" s="157">
        <v>849.0</v>
      </c>
      <c r="B476" s="158" t="s">
        <v>82</v>
      </c>
      <c r="C476" s="161" t="s">
        <v>799</v>
      </c>
      <c r="D476" s="159">
        <v>42965.0</v>
      </c>
      <c r="E476" s="157" t="s">
        <v>8</v>
      </c>
      <c r="F476" s="160">
        <v>460646.52</v>
      </c>
      <c r="G476" s="160">
        <v>73703.44</v>
      </c>
      <c r="H476" s="160">
        <f t="shared" si="32"/>
        <v>534349.96</v>
      </c>
      <c r="I476" s="160"/>
      <c r="J476" s="161"/>
      <c r="K476" s="160"/>
      <c r="L476" s="160">
        <f>+'FACP$'!$H476-'FACP$'!$I476-'FACP$'!$K476</f>
        <v>534349.96</v>
      </c>
      <c r="M476" s="199" t="s">
        <v>96</v>
      </c>
      <c r="N476" s="162" t="s">
        <v>554</v>
      </c>
      <c r="O476" s="175"/>
      <c r="P476" s="164">
        <f t="shared" si="13"/>
        <v>42975</v>
      </c>
      <c r="Q476" s="165">
        <f t="shared" si="2"/>
        <v>0</v>
      </c>
      <c r="R476" s="166"/>
      <c r="S476" s="167"/>
      <c r="T476" s="168">
        <f t="shared" si="3"/>
        <v>534349.96</v>
      </c>
      <c r="U476" s="168">
        <f t="shared" si="4"/>
        <v>0</v>
      </c>
      <c r="V476" s="168">
        <f t="shared" si="5"/>
        <v>0</v>
      </c>
      <c r="W476" s="168">
        <f t="shared" si="6"/>
        <v>0</v>
      </c>
      <c r="X476" s="168">
        <f t="shared" si="7"/>
        <v>0</v>
      </c>
      <c r="Y476" s="168">
        <f t="shared" si="8"/>
        <v>0</v>
      </c>
      <c r="Z476" s="168">
        <f t="shared" si="9"/>
        <v>0</v>
      </c>
    </row>
    <row r="477" ht="14.25" customHeight="1">
      <c r="A477" s="157">
        <v>850.0</v>
      </c>
      <c r="B477" s="158" t="s">
        <v>82</v>
      </c>
      <c r="C477" s="161" t="s">
        <v>799</v>
      </c>
      <c r="D477" s="159">
        <v>42965.0</v>
      </c>
      <c r="E477" s="157" t="s">
        <v>8</v>
      </c>
      <c r="F477" s="160">
        <v>840285.0</v>
      </c>
      <c r="G477" s="160">
        <v>134445.6</v>
      </c>
      <c r="H477" s="160">
        <f t="shared" si="32"/>
        <v>974730.6</v>
      </c>
      <c r="I477" s="160"/>
      <c r="J477" s="161"/>
      <c r="K477" s="160"/>
      <c r="L477" s="160">
        <f>+'FACP$'!$H477-'FACP$'!$I477-'FACP$'!$K477</f>
        <v>974730.6</v>
      </c>
      <c r="M477" s="199" t="s">
        <v>96</v>
      </c>
      <c r="N477" s="162" t="s">
        <v>554</v>
      </c>
      <c r="O477" s="175">
        <v>43038.0</v>
      </c>
      <c r="P477" s="164">
        <f t="shared" si="13"/>
        <v>42975</v>
      </c>
      <c r="Q477" s="165">
        <f t="shared" si="2"/>
        <v>0</v>
      </c>
      <c r="R477" s="166"/>
      <c r="S477" s="167"/>
      <c r="T477" s="168">
        <f t="shared" si="3"/>
        <v>974730.6</v>
      </c>
      <c r="U477" s="168">
        <f t="shared" si="4"/>
        <v>0</v>
      </c>
      <c r="V477" s="168">
        <f t="shared" si="5"/>
        <v>0</v>
      </c>
      <c r="W477" s="168">
        <f t="shared" si="6"/>
        <v>0</v>
      </c>
      <c r="X477" s="168">
        <f t="shared" si="7"/>
        <v>0</v>
      </c>
      <c r="Y477" s="168">
        <f t="shared" si="8"/>
        <v>0</v>
      </c>
      <c r="Z477" s="168">
        <f t="shared" si="9"/>
        <v>0</v>
      </c>
    </row>
    <row r="478" ht="14.25" customHeight="1">
      <c r="A478" s="157">
        <v>851.0</v>
      </c>
      <c r="B478" s="158" t="s">
        <v>82</v>
      </c>
      <c r="C478" s="161" t="s">
        <v>799</v>
      </c>
      <c r="D478" s="159">
        <v>42965.0</v>
      </c>
      <c r="E478" s="157" t="s">
        <v>8</v>
      </c>
      <c r="F478" s="160">
        <v>840825.0</v>
      </c>
      <c r="G478" s="160">
        <v>134532.0</v>
      </c>
      <c r="H478" s="160">
        <f t="shared" si="32"/>
        <v>975357</v>
      </c>
      <c r="I478" s="160"/>
      <c r="J478" s="161"/>
      <c r="K478" s="160"/>
      <c r="L478" s="160">
        <f>+'FACP$'!$H478-'FACP$'!$I478-'FACP$'!$K478</f>
        <v>975357</v>
      </c>
      <c r="M478" s="199" t="s">
        <v>96</v>
      </c>
      <c r="N478" s="162" t="s">
        <v>554</v>
      </c>
      <c r="O478" s="175">
        <v>43038.0</v>
      </c>
      <c r="P478" s="164">
        <f t="shared" si="13"/>
        <v>42975</v>
      </c>
      <c r="Q478" s="165">
        <f t="shared" si="2"/>
        <v>0</v>
      </c>
      <c r="R478" s="166"/>
      <c r="S478" s="167"/>
      <c r="T478" s="168">
        <f t="shared" si="3"/>
        <v>975357</v>
      </c>
      <c r="U478" s="168">
        <f t="shared" si="4"/>
        <v>0</v>
      </c>
      <c r="V478" s="168">
        <f t="shared" si="5"/>
        <v>0</v>
      </c>
      <c r="W478" s="168">
        <f t="shared" si="6"/>
        <v>0</v>
      </c>
      <c r="X478" s="168">
        <f t="shared" si="7"/>
        <v>0</v>
      </c>
      <c r="Y478" s="168">
        <f t="shared" si="8"/>
        <v>0</v>
      </c>
      <c r="Z478" s="168">
        <f t="shared" si="9"/>
        <v>0</v>
      </c>
    </row>
    <row r="479" ht="14.25" customHeight="1">
      <c r="A479" s="157">
        <v>855.0</v>
      </c>
      <c r="B479" s="170" t="s">
        <v>37</v>
      </c>
      <c r="C479" s="161" t="s">
        <v>773</v>
      </c>
      <c r="D479" s="159">
        <v>42948.0</v>
      </c>
      <c r="E479" s="157" t="s">
        <v>8</v>
      </c>
      <c r="F479" s="160">
        <v>1789322.15</v>
      </c>
      <c r="G479" s="160">
        <v>286291.54</v>
      </c>
      <c r="H479" s="160">
        <f t="shared" si="32"/>
        <v>2075613.69</v>
      </c>
      <c r="I479" s="160"/>
      <c r="J479" s="161"/>
      <c r="K479" s="160"/>
      <c r="L479" s="160">
        <f>+'FACP$'!$H479-'FACP$'!$I479-'FACP$'!$K479</f>
        <v>2075613.69</v>
      </c>
      <c r="M479" s="199" t="s">
        <v>718</v>
      </c>
      <c r="N479" s="162" t="s">
        <v>554</v>
      </c>
      <c r="O479" s="175">
        <v>42990.0</v>
      </c>
      <c r="P479" s="164">
        <f t="shared" si="13"/>
        <v>42958</v>
      </c>
      <c r="Q479" s="165">
        <f t="shared" si="2"/>
        <v>0</v>
      </c>
      <c r="R479" s="166"/>
      <c r="S479" s="167"/>
      <c r="T479" s="168">
        <f t="shared" si="3"/>
        <v>2075613.69</v>
      </c>
      <c r="U479" s="168">
        <f t="shared" si="4"/>
        <v>0</v>
      </c>
      <c r="V479" s="168">
        <f t="shared" si="5"/>
        <v>0</v>
      </c>
      <c r="W479" s="168">
        <f t="shared" si="6"/>
        <v>0</v>
      </c>
      <c r="X479" s="168">
        <f t="shared" si="7"/>
        <v>0</v>
      </c>
      <c r="Y479" s="168">
        <f t="shared" si="8"/>
        <v>0</v>
      </c>
      <c r="Z479" s="168">
        <f t="shared" si="9"/>
        <v>0</v>
      </c>
    </row>
    <row r="480" ht="14.25" customHeight="1">
      <c r="A480" s="157">
        <v>856.0</v>
      </c>
      <c r="B480" s="170"/>
      <c r="C480" s="161"/>
      <c r="D480" s="159"/>
      <c r="E480" s="157"/>
      <c r="F480" s="160"/>
      <c r="G480" s="160"/>
      <c r="H480" s="160">
        <f t="shared" si="32"/>
        <v>0</v>
      </c>
      <c r="I480" s="160"/>
      <c r="J480" s="161"/>
      <c r="K480" s="160"/>
      <c r="L480" s="160">
        <f>+'FACP$'!$H480-'FACP$'!$I480-'FACP$'!$K480</f>
        <v>0</v>
      </c>
      <c r="M480" s="199"/>
      <c r="N480" s="162" t="s">
        <v>127</v>
      </c>
      <c r="O480" s="175"/>
      <c r="P480" s="164">
        <f t="shared" si="13"/>
        <v>10</v>
      </c>
      <c r="Q480" s="165">
        <f t="shared" si="2"/>
        <v>0</v>
      </c>
      <c r="R480" s="166"/>
      <c r="S480" s="167"/>
      <c r="T480" s="168">
        <f t="shared" si="3"/>
        <v>0</v>
      </c>
      <c r="U480" s="168">
        <f t="shared" si="4"/>
        <v>0</v>
      </c>
      <c r="V480" s="168">
        <f t="shared" si="5"/>
        <v>0</v>
      </c>
      <c r="W480" s="168">
        <f t="shared" si="6"/>
        <v>0</v>
      </c>
      <c r="X480" s="168">
        <f t="shared" si="7"/>
        <v>0</v>
      </c>
      <c r="Y480" s="168">
        <f t="shared" si="8"/>
        <v>0</v>
      </c>
      <c r="Z480" s="168">
        <f t="shared" si="9"/>
        <v>0</v>
      </c>
    </row>
    <row r="481" ht="14.25" customHeight="1">
      <c r="A481" s="157">
        <v>857.0</v>
      </c>
      <c r="B481" s="170" t="s">
        <v>24</v>
      </c>
      <c r="C481" s="161" t="s">
        <v>773</v>
      </c>
      <c r="D481" s="159">
        <v>42948.0</v>
      </c>
      <c r="E481" s="157" t="s">
        <v>8</v>
      </c>
      <c r="F481" s="160">
        <v>441521.05</v>
      </c>
      <c r="G481" s="160">
        <v>70643.37</v>
      </c>
      <c r="H481" s="160">
        <f t="shared" si="32"/>
        <v>512164.42</v>
      </c>
      <c r="I481" s="160"/>
      <c r="J481" s="161"/>
      <c r="K481" s="160"/>
      <c r="L481" s="160">
        <f>+'FACP$'!$H481-'FACP$'!$I481-'FACP$'!$K481</f>
        <v>512164.42</v>
      </c>
      <c r="M481" s="199" t="s">
        <v>91</v>
      </c>
      <c r="N481" s="162" t="s">
        <v>554</v>
      </c>
      <c r="O481" s="175">
        <v>42972.0</v>
      </c>
      <c r="P481" s="164">
        <f t="shared" si="13"/>
        <v>42958</v>
      </c>
      <c r="Q481" s="165">
        <f t="shared" si="2"/>
        <v>0</v>
      </c>
      <c r="R481" s="166" t="s">
        <v>800</v>
      </c>
      <c r="S481" s="167"/>
      <c r="T481" s="168">
        <f t="shared" si="3"/>
        <v>512164.42</v>
      </c>
      <c r="U481" s="168">
        <f t="shared" si="4"/>
        <v>0</v>
      </c>
      <c r="V481" s="168">
        <f t="shared" si="5"/>
        <v>0</v>
      </c>
      <c r="W481" s="168">
        <f t="shared" si="6"/>
        <v>0</v>
      </c>
      <c r="X481" s="168">
        <f t="shared" si="7"/>
        <v>0</v>
      </c>
      <c r="Y481" s="168">
        <f t="shared" si="8"/>
        <v>0</v>
      </c>
      <c r="Z481" s="168">
        <f t="shared" si="9"/>
        <v>0</v>
      </c>
    </row>
    <row r="482" ht="14.25" customHeight="1">
      <c r="A482" s="157">
        <v>866.0</v>
      </c>
      <c r="B482" s="169" t="s">
        <v>728</v>
      </c>
      <c r="C482" s="161" t="s">
        <v>801</v>
      </c>
      <c r="D482" s="159">
        <v>42948.0</v>
      </c>
      <c r="E482" s="157" t="s">
        <v>8</v>
      </c>
      <c r="F482" s="160">
        <v>459000.0</v>
      </c>
      <c r="G482" s="160">
        <v>73440.0</v>
      </c>
      <c r="H482" s="160">
        <f t="shared" si="32"/>
        <v>532440</v>
      </c>
      <c r="I482" s="160"/>
      <c r="J482" s="161"/>
      <c r="K482" s="160"/>
      <c r="L482" s="160">
        <f>+'FACP$'!$H482-'FACP$'!$I482-'FACP$'!$K482</f>
        <v>532440</v>
      </c>
      <c r="M482" s="199" t="s">
        <v>728</v>
      </c>
      <c r="N482" s="162" t="s">
        <v>554</v>
      </c>
      <c r="O482" s="175">
        <v>43027.0</v>
      </c>
      <c r="P482" s="164">
        <f t="shared" si="13"/>
        <v>42958</v>
      </c>
      <c r="Q482" s="165">
        <f t="shared" si="2"/>
        <v>0</v>
      </c>
      <c r="R482" s="166"/>
      <c r="S482" s="167"/>
      <c r="T482" s="168">
        <f t="shared" si="3"/>
        <v>532440</v>
      </c>
      <c r="U482" s="168">
        <f t="shared" si="4"/>
        <v>0</v>
      </c>
      <c r="V482" s="168">
        <f t="shared" si="5"/>
        <v>0</v>
      </c>
      <c r="W482" s="168">
        <f t="shared" si="6"/>
        <v>0</v>
      </c>
      <c r="X482" s="168">
        <f t="shared" si="7"/>
        <v>0</v>
      </c>
      <c r="Y482" s="168">
        <f t="shared" si="8"/>
        <v>0</v>
      </c>
      <c r="Z482" s="168">
        <f t="shared" si="9"/>
        <v>0</v>
      </c>
    </row>
    <row r="483" ht="14.25" customHeight="1">
      <c r="A483" s="157">
        <v>867.0</v>
      </c>
      <c r="B483" s="169" t="s">
        <v>728</v>
      </c>
      <c r="C483" s="161" t="s">
        <v>802</v>
      </c>
      <c r="D483" s="159">
        <v>42948.0</v>
      </c>
      <c r="E483" s="157" t="s">
        <v>8</v>
      </c>
      <c r="F483" s="160">
        <v>459000.0</v>
      </c>
      <c r="G483" s="160">
        <v>73440.0</v>
      </c>
      <c r="H483" s="160">
        <f t="shared" si="32"/>
        <v>532440</v>
      </c>
      <c r="I483" s="160"/>
      <c r="J483" s="161"/>
      <c r="K483" s="160"/>
      <c r="L483" s="160">
        <f>+'FACP$'!$H483-'FACP$'!$I483-'FACP$'!$K483</f>
        <v>532440</v>
      </c>
      <c r="M483" s="199" t="s">
        <v>728</v>
      </c>
      <c r="N483" s="162" t="s">
        <v>127</v>
      </c>
      <c r="O483" s="175">
        <v>43027.0</v>
      </c>
      <c r="P483" s="164">
        <f t="shared" si="13"/>
        <v>42958</v>
      </c>
      <c r="Q483" s="165">
        <f t="shared" si="2"/>
        <v>0</v>
      </c>
      <c r="R483" s="166"/>
      <c r="S483" s="167"/>
      <c r="T483" s="168">
        <f t="shared" si="3"/>
        <v>532440</v>
      </c>
      <c r="U483" s="168">
        <f t="shared" si="4"/>
        <v>0</v>
      </c>
      <c r="V483" s="168">
        <f t="shared" si="5"/>
        <v>0</v>
      </c>
      <c r="W483" s="168">
        <f t="shared" si="6"/>
        <v>0</v>
      </c>
      <c r="X483" s="168">
        <f t="shared" si="7"/>
        <v>0</v>
      </c>
      <c r="Y483" s="168">
        <f t="shared" si="8"/>
        <v>0</v>
      </c>
      <c r="Z483" s="168">
        <f t="shared" si="9"/>
        <v>0</v>
      </c>
    </row>
    <row r="484" ht="14.25" customHeight="1">
      <c r="A484" s="157">
        <v>868.0</v>
      </c>
      <c r="B484" s="169" t="s">
        <v>728</v>
      </c>
      <c r="C484" s="161" t="s">
        <v>803</v>
      </c>
      <c r="D484" s="159">
        <v>42978.0</v>
      </c>
      <c r="E484" s="157" t="s">
        <v>8</v>
      </c>
      <c r="F484" s="160">
        <v>459000.0</v>
      </c>
      <c r="G484" s="160">
        <v>73440.0</v>
      </c>
      <c r="H484" s="160">
        <f t="shared" si="32"/>
        <v>532440</v>
      </c>
      <c r="I484" s="160"/>
      <c r="J484" s="161"/>
      <c r="K484" s="160"/>
      <c r="L484" s="160">
        <f>+'FACP$'!$H484-'FACP$'!$I484-'FACP$'!$K484</f>
        <v>532440</v>
      </c>
      <c r="M484" s="199" t="s">
        <v>728</v>
      </c>
      <c r="N484" s="162" t="s">
        <v>127</v>
      </c>
      <c r="O484" s="175"/>
      <c r="P484" s="164">
        <f t="shared" si="13"/>
        <v>42988</v>
      </c>
      <c r="Q484" s="165">
        <f t="shared" si="2"/>
        <v>0</v>
      </c>
      <c r="R484" s="166"/>
      <c r="S484" s="167"/>
      <c r="T484" s="168">
        <f t="shared" si="3"/>
        <v>532440</v>
      </c>
      <c r="U484" s="168">
        <f t="shared" si="4"/>
        <v>0</v>
      </c>
      <c r="V484" s="168">
        <f t="shared" si="5"/>
        <v>0</v>
      </c>
      <c r="W484" s="168">
        <f t="shared" si="6"/>
        <v>0</v>
      </c>
      <c r="X484" s="168">
        <f t="shared" si="7"/>
        <v>0</v>
      </c>
      <c r="Y484" s="168">
        <f t="shared" si="8"/>
        <v>0</v>
      </c>
      <c r="Z484" s="168">
        <f t="shared" si="9"/>
        <v>0</v>
      </c>
    </row>
    <row r="485" ht="14.25" customHeight="1">
      <c r="A485" s="157">
        <v>869.0</v>
      </c>
      <c r="B485" s="169" t="s">
        <v>728</v>
      </c>
      <c r="C485" s="161" t="s">
        <v>802</v>
      </c>
      <c r="D485" s="159">
        <v>42978.0</v>
      </c>
      <c r="E485" s="157" t="s">
        <v>8</v>
      </c>
      <c r="F485" s="160">
        <v>229500.0</v>
      </c>
      <c r="G485" s="160">
        <v>36720.0</v>
      </c>
      <c r="H485" s="160">
        <f t="shared" si="32"/>
        <v>266220</v>
      </c>
      <c r="I485" s="160"/>
      <c r="J485" s="161"/>
      <c r="K485" s="160"/>
      <c r="L485" s="160">
        <f>+'FACP$'!$H485-'FACP$'!$I485-'FACP$'!$K485</f>
        <v>266220</v>
      </c>
      <c r="M485" s="199" t="s">
        <v>728</v>
      </c>
      <c r="N485" s="162" t="s">
        <v>554</v>
      </c>
      <c r="O485" s="175">
        <v>43027.0</v>
      </c>
      <c r="P485" s="164">
        <f t="shared" si="13"/>
        <v>42988</v>
      </c>
      <c r="Q485" s="165">
        <f t="shared" si="2"/>
        <v>0</v>
      </c>
      <c r="R485" s="166"/>
      <c r="S485" s="167"/>
      <c r="T485" s="168">
        <f t="shared" si="3"/>
        <v>266220</v>
      </c>
      <c r="U485" s="168">
        <f t="shared" si="4"/>
        <v>0</v>
      </c>
      <c r="V485" s="168">
        <f t="shared" si="5"/>
        <v>0</v>
      </c>
      <c r="W485" s="168">
        <f t="shared" si="6"/>
        <v>0</v>
      </c>
      <c r="X485" s="168">
        <f t="shared" si="7"/>
        <v>0</v>
      </c>
      <c r="Y485" s="168">
        <f t="shared" si="8"/>
        <v>0</v>
      </c>
      <c r="Z485" s="168">
        <f t="shared" si="9"/>
        <v>0</v>
      </c>
    </row>
    <row r="486" ht="14.25" customHeight="1">
      <c r="A486" s="157">
        <v>871.0</v>
      </c>
      <c r="B486" s="170" t="s">
        <v>79</v>
      </c>
      <c r="C486" s="169" t="s">
        <v>755</v>
      </c>
      <c r="D486" s="159">
        <v>42948.0</v>
      </c>
      <c r="E486" s="157" t="s">
        <v>8</v>
      </c>
      <c r="F486" s="160">
        <v>466364.56</v>
      </c>
      <c r="G486" s="160">
        <v>74618.33</v>
      </c>
      <c r="H486" s="160">
        <f t="shared" si="32"/>
        <v>540982.89</v>
      </c>
      <c r="I486" s="160"/>
      <c r="J486" s="161"/>
      <c r="K486" s="160"/>
      <c r="L486" s="160">
        <f>+'FACP$'!$H486-'FACP$'!$I486-'FACP$'!$K486</f>
        <v>540982.89</v>
      </c>
      <c r="M486" s="199" t="s">
        <v>712</v>
      </c>
      <c r="N486" s="162" t="s">
        <v>554</v>
      </c>
      <c r="O486" s="175">
        <v>43014.0</v>
      </c>
      <c r="P486" s="164">
        <f t="shared" si="13"/>
        <v>42958</v>
      </c>
      <c r="Q486" s="165">
        <f t="shared" si="2"/>
        <v>0</v>
      </c>
      <c r="R486" s="166"/>
      <c r="S486" s="167"/>
      <c r="T486" s="168">
        <f t="shared" si="3"/>
        <v>540982.89</v>
      </c>
      <c r="U486" s="168">
        <f t="shared" si="4"/>
        <v>0</v>
      </c>
      <c r="V486" s="168">
        <f t="shared" si="5"/>
        <v>0</v>
      </c>
      <c r="W486" s="168">
        <f t="shared" si="6"/>
        <v>0</v>
      </c>
      <c r="X486" s="168">
        <f t="shared" si="7"/>
        <v>0</v>
      </c>
      <c r="Y486" s="168">
        <f t="shared" si="8"/>
        <v>0</v>
      </c>
      <c r="Z486" s="168">
        <f t="shared" si="9"/>
        <v>0</v>
      </c>
    </row>
    <row r="487" ht="14.25" customHeight="1">
      <c r="A487" s="157">
        <v>872.0</v>
      </c>
      <c r="B487" s="169" t="s">
        <v>70</v>
      </c>
      <c r="C487" s="170" t="s">
        <v>759</v>
      </c>
      <c r="D487" s="159">
        <v>42962.0</v>
      </c>
      <c r="E487" s="157" t="s">
        <v>8</v>
      </c>
      <c r="F487" s="160">
        <v>77646.65</v>
      </c>
      <c r="G487" s="160">
        <v>12423.46</v>
      </c>
      <c r="H487" s="160">
        <f t="shared" si="32"/>
        <v>90070.11</v>
      </c>
      <c r="I487" s="160"/>
      <c r="J487" s="161"/>
      <c r="K487" s="160"/>
      <c r="L487" s="160">
        <f>+'FACP$'!$H487-'FACP$'!$I487-'FACP$'!$K487</f>
        <v>90070.11</v>
      </c>
      <c r="M487" s="199" t="s">
        <v>719</v>
      </c>
      <c r="N487" s="162" t="s">
        <v>554</v>
      </c>
      <c r="O487" s="175">
        <v>43014.0</v>
      </c>
      <c r="P487" s="164">
        <f t="shared" si="13"/>
        <v>42972</v>
      </c>
      <c r="Q487" s="165">
        <f t="shared" si="2"/>
        <v>0</v>
      </c>
      <c r="R487" s="166"/>
      <c r="S487" s="167"/>
      <c r="T487" s="168">
        <f t="shared" si="3"/>
        <v>90070.11</v>
      </c>
      <c r="U487" s="168">
        <f t="shared" si="4"/>
        <v>0</v>
      </c>
      <c r="V487" s="168">
        <f t="shared" si="5"/>
        <v>0</v>
      </c>
      <c r="W487" s="168">
        <f t="shared" si="6"/>
        <v>0</v>
      </c>
      <c r="X487" s="168">
        <f t="shared" si="7"/>
        <v>0</v>
      </c>
      <c r="Y487" s="168">
        <f t="shared" si="8"/>
        <v>0</v>
      </c>
      <c r="Z487" s="168">
        <f t="shared" si="9"/>
        <v>0</v>
      </c>
    </row>
    <row r="488" ht="14.25" customHeight="1">
      <c r="A488" s="157">
        <v>874.0</v>
      </c>
      <c r="B488" s="170" t="s">
        <v>722</v>
      </c>
      <c r="C488" s="169" t="s">
        <v>756</v>
      </c>
      <c r="D488" s="159">
        <v>42962.0</v>
      </c>
      <c r="E488" s="157" t="s">
        <v>8</v>
      </c>
      <c r="F488" s="160">
        <v>5736494.91</v>
      </c>
      <c r="G488" s="160">
        <v>917839.19</v>
      </c>
      <c r="H488" s="160">
        <f t="shared" si="32"/>
        <v>6654334.1</v>
      </c>
      <c r="I488" s="160"/>
      <c r="J488" s="161"/>
      <c r="K488" s="160"/>
      <c r="L488" s="160">
        <f>+'FACP$'!$H488-'FACP$'!$I488-'FACP$'!$K488</f>
        <v>6654334.1</v>
      </c>
      <c r="M488" s="199" t="s">
        <v>93</v>
      </c>
      <c r="N488" s="162" t="s">
        <v>554</v>
      </c>
      <c r="O488" s="175">
        <v>43000.0</v>
      </c>
      <c r="P488" s="164">
        <f t="shared" si="13"/>
        <v>42972</v>
      </c>
      <c r="Q488" s="165">
        <f t="shared" si="2"/>
        <v>0</v>
      </c>
      <c r="R488" s="166"/>
      <c r="S488" s="167"/>
      <c r="T488" s="168">
        <f t="shared" si="3"/>
        <v>6654334.1</v>
      </c>
      <c r="U488" s="168">
        <f t="shared" si="4"/>
        <v>0</v>
      </c>
      <c r="V488" s="168">
        <f t="shared" si="5"/>
        <v>0</v>
      </c>
      <c r="W488" s="168">
        <f t="shared" si="6"/>
        <v>0</v>
      </c>
      <c r="X488" s="168">
        <f t="shared" si="7"/>
        <v>0</v>
      </c>
      <c r="Y488" s="168">
        <f t="shared" si="8"/>
        <v>0</v>
      </c>
      <c r="Z488" s="168">
        <f t="shared" si="9"/>
        <v>0</v>
      </c>
    </row>
    <row r="489" ht="14.25" customHeight="1">
      <c r="A489" s="157">
        <v>875.0</v>
      </c>
      <c r="B489" s="170" t="s">
        <v>720</v>
      </c>
      <c r="C489" s="161" t="s">
        <v>755</v>
      </c>
      <c r="D489" s="159">
        <v>42962.0</v>
      </c>
      <c r="E489" s="157" t="s">
        <v>8</v>
      </c>
      <c r="F489" s="160">
        <v>253583.73</v>
      </c>
      <c r="G489" s="160">
        <v>40573.4</v>
      </c>
      <c r="H489" s="160">
        <f t="shared" si="32"/>
        <v>294157.13</v>
      </c>
      <c r="I489" s="160"/>
      <c r="J489" s="161"/>
      <c r="K489" s="160"/>
      <c r="L489" s="160">
        <f>+'FACP$'!$H489-'FACP$'!$I489-'FACP$'!$K489</f>
        <v>294157.13</v>
      </c>
      <c r="M489" s="199" t="s">
        <v>721</v>
      </c>
      <c r="N489" s="162" t="s">
        <v>554</v>
      </c>
      <c r="O489" s="175">
        <v>43005.0</v>
      </c>
      <c r="P489" s="164">
        <f t="shared" si="13"/>
        <v>42972</v>
      </c>
      <c r="Q489" s="165">
        <f t="shared" si="2"/>
        <v>0</v>
      </c>
      <c r="R489" s="166"/>
      <c r="S489" s="167"/>
      <c r="T489" s="168">
        <f t="shared" si="3"/>
        <v>294157.13</v>
      </c>
      <c r="U489" s="168">
        <f t="shared" si="4"/>
        <v>0</v>
      </c>
      <c r="V489" s="168">
        <f t="shared" si="5"/>
        <v>0</v>
      </c>
      <c r="W489" s="168">
        <f t="shared" si="6"/>
        <v>0</v>
      </c>
      <c r="X489" s="168">
        <f t="shared" si="7"/>
        <v>0</v>
      </c>
      <c r="Y489" s="168">
        <f t="shared" si="8"/>
        <v>0</v>
      </c>
      <c r="Z489" s="168">
        <f t="shared" si="9"/>
        <v>0</v>
      </c>
    </row>
    <row r="490" ht="14.25" customHeight="1">
      <c r="A490" s="157">
        <v>877.0</v>
      </c>
      <c r="B490" s="170" t="s">
        <v>37</v>
      </c>
      <c r="C490" s="161" t="s">
        <v>773</v>
      </c>
      <c r="D490" s="159">
        <v>42962.0</v>
      </c>
      <c r="E490" s="157" t="s">
        <v>8</v>
      </c>
      <c r="F490" s="160">
        <v>1885626.31</v>
      </c>
      <c r="G490" s="160">
        <v>301700.21</v>
      </c>
      <c r="H490" s="160">
        <f t="shared" si="32"/>
        <v>2187326.52</v>
      </c>
      <c r="I490" s="160"/>
      <c r="J490" s="161"/>
      <c r="K490" s="160"/>
      <c r="L490" s="160">
        <f>+'FACP$'!$H490-'FACP$'!$I490-'FACP$'!$K490</f>
        <v>2187326.52</v>
      </c>
      <c r="M490" s="199" t="s">
        <v>718</v>
      </c>
      <c r="N490" s="162" t="s">
        <v>554</v>
      </c>
      <c r="O490" s="175">
        <v>42997.0</v>
      </c>
      <c r="P490" s="164">
        <f t="shared" si="13"/>
        <v>42972</v>
      </c>
      <c r="Q490" s="165">
        <f t="shared" si="2"/>
        <v>0</v>
      </c>
      <c r="R490" s="166"/>
      <c r="S490" s="167"/>
      <c r="T490" s="168">
        <f t="shared" si="3"/>
        <v>2187326.52</v>
      </c>
      <c r="U490" s="168">
        <f t="shared" si="4"/>
        <v>0</v>
      </c>
      <c r="V490" s="168">
        <f t="shared" si="5"/>
        <v>0</v>
      </c>
      <c r="W490" s="168">
        <f t="shared" si="6"/>
        <v>0</v>
      </c>
      <c r="X490" s="168">
        <f t="shared" si="7"/>
        <v>0</v>
      </c>
      <c r="Y490" s="168">
        <f t="shared" si="8"/>
        <v>0</v>
      </c>
      <c r="Z490" s="168">
        <f t="shared" si="9"/>
        <v>0</v>
      </c>
    </row>
    <row r="491" ht="14.25" customHeight="1">
      <c r="A491" s="157">
        <v>879.0</v>
      </c>
      <c r="B491" s="170" t="s">
        <v>24</v>
      </c>
      <c r="C491" s="161" t="s">
        <v>773</v>
      </c>
      <c r="D491" s="159">
        <v>42962.0</v>
      </c>
      <c r="E491" s="157" t="s">
        <v>8</v>
      </c>
      <c r="F491" s="160">
        <v>554129.87</v>
      </c>
      <c r="G491" s="160">
        <v>88660.78</v>
      </c>
      <c r="H491" s="160">
        <f t="shared" si="32"/>
        <v>642790.65</v>
      </c>
      <c r="I491" s="160"/>
      <c r="J491" s="161"/>
      <c r="K491" s="160"/>
      <c r="L491" s="160">
        <f>+'FACP$'!$H491-'FACP$'!$I491-'FACP$'!$K491</f>
        <v>642790.65</v>
      </c>
      <c r="M491" s="157" t="s">
        <v>91</v>
      </c>
      <c r="N491" s="162" t="s">
        <v>554</v>
      </c>
      <c r="O491" s="175">
        <v>42999.0</v>
      </c>
      <c r="P491" s="164">
        <f t="shared" si="13"/>
        <v>42972</v>
      </c>
      <c r="Q491" s="165">
        <f t="shared" si="2"/>
        <v>0</v>
      </c>
      <c r="R491" s="166"/>
      <c r="S491" s="167"/>
      <c r="T491" s="168">
        <f t="shared" si="3"/>
        <v>642790.65</v>
      </c>
      <c r="U491" s="168">
        <f t="shared" si="4"/>
        <v>0</v>
      </c>
      <c r="V491" s="168">
        <f t="shared" si="5"/>
        <v>0</v>
      </c>
      <c r="W491" s="168">
        <f t="shared" si="6"/>
        <v>0</v>
      </c>
      <c r="X491" s="168">
        <f t="shared" si="7"/>
        <v>0</v>
      </c>
      <c r="Y491" s="168">
        <f t="shared" si="8"/>
        <v>0</v>
      </c>
      <c r="Z491" s="168">
        <f t="shared" si="9"/>
        <v>0</v>
      </c>
    </row>
    <row r="492" ht="14.25" customHeight="1">
      <c r="A492" s="157">
        <v>881.0</v>
      </c>
      <c r="B492" s="170" t="s">
        <v>79</v>
      </c>
      <c r="C492" s="169" t="s">
        <v>755</v>
      </c>
      <c r="D492" s="159">
        <v>42962.0</v>
      </c>
      <c r="E492" s="157" t="s">
        <v>8</v>
      </c>
      <c r="F492" s="160">
        <v>492562.8</v>
      </c>
      <c r="G492" s="160">
        <v>78810.05</v>
      </c>
      <c r="H492" s="160">
        <f t="shared" si="32"/>
        <v>571372.85</v>
      </c>
      <c r="I492" s="160"/>
      <c r="J492" s="161"/>
      <c r="K492" s="160"/>
      <c r="L492" s="160">
        <f>+'FACP$'!$H492-'FACP$'!$I492-'FACP$'!$K492</f>
        <v>571372.85</v>
      </c>
      <c r="M492" s="157" t="s">
        <v>712</v>
      </c>
      <c r="N492" s="162" t="s">
        <v>554</v>
      </c>
      <c r="O492" s="175">
        <v>43007.0</v>
      </c>
      <c r="P492" s="164">
        <f t="shared" si="13"/>
        <v>42972</v>
      </c>
      <c r="Q492" s="165">
        <f t="shared" si="2"/>
        <v>0</v>
      </c>
      <c r="R492" s="166"/>
      <c r="S492" s="167"/>
      <c r="T492" s="168">
        <f t="shared" si="3"/>
        <v>571372.85</v>
      </c>
      <c r="U492" s="168">
        <f t="shared" si="4"/>
        <v>0</v>
      </c>
      <c r="V492" s="168">
        <f t="shared" si="5"/>
        <v>0</v>
      </c>
      <c r="W492" s="168">
        <f t="shared" si="6"/>
        <v>0</v>
      </c>
      <c r="X492" s="168">
        <f t="shared" si="7"/>
        <v>0</v>
      </c>
      <c r="Y492" s="168">
        <f t="shared" si="8"/>
        <v>0</v>
      </c>
      <c r="Z492" s="168">
        <f t="shared" si="9"/>
        <v>0</v>
      </c>
    </row>
    <row r="493" ht="14.25" customHeight="1">
      <c r="A493" s="157">
        <v>885.0</v>
      </c>
      <c r="B493" s="169" t="s">
        <v>728</v>
      </c>
      <c r="C493" s="169" t="s">
        <v>804</v>
      </c>
      <c r="D493" s="159">
        <v>42992.0</v>
      </c>
      <c r="E493" s="157" t="s">
        <v>8</v>
      </c>
      <c r="F493" s="160">
        <v>580000.0</v>
      </c>
      <c r="G493" s="160">
        <v>92800.0</v>
      </c>
      <c r="H493" s="160">
        <f t="shared" si="32"/>
        <v>672800</v>
      </c>
      <c r="I493" s="160"/>
      <c r="J493" s="161"/>
      <c r="K493" s="160"/>
      <c r="L493" s="160">
        <f>+'FACP$'!$H493-'FACP$'!$I493-'FACP$'!$K493</f>
        <v>672800</v>
      </c>
      <c r="M493" s="157" t="s">
        <v>728</v>
      </c>
      <c r="N493" s="162" t="s">
        <v>127</v>
      </c>
      <c r="O493" s="175"/>
      <c r="P493" s="164">
        <f t="shared" si="13"/>
        <v>43002</v>
      </c>
      <c r="Q493" s="165">
        <f t="shared" si="2"/>
        <v>0</v>
      </c>
      <c r="R493" s="166"/>
      <c r="S493" s="167"/>
      <c r="T493" s="168">
        <f t="shared" si="3"/>
        <v>672800</v>
      </c>
      <c r="U493" s="168">
        <f t="shared" si="4"/>
        <v>0</v>
      </c>
      <c r="V493" s="168">
        <f t="shared" si="5"/>
        <v>0</v>
      </c>
      <c r="W493" s="168">
        <f t="shared" si="6"/>
        <v>0</v>
      </c>
      <c r="X493" s="168">
        <f t="shared" si="7"/>
        <v>0</v>
      </c>
      <c r="Y493" s="168">
        <f t="shared" si="8"/>
        <v>0</v>
      </c>
      <c r="Z493" s="168">
        <f t="shared" si="9"/>
        <v>0</v>
      </c>
    </row>
    <row r="494" ht="14.25" customHeight="1">
      <c r="A494" s="157">
        <v>886.0</v>
      </c>
      <c r="B494" s="170" t="s">
        <v>79</v>
      </c>
      <c r="C494" s="169" t="s">
        <v>755</v>
      </c>
      <c r="D494" s="159">
        <v>42980.0</v>
      </c>
      <c r="E494" s="157" t="s">
        <v>8</v>
      </c>
      <c r="F494" s="160">
        <v>500513.88</v>
      </c>
      <c r="G494" s="160">
        <v>80082.22</v>
      </c>
      <c r="H494" s="160">
        <f t="shared" si="32"/>
        <v>580596.1</v>
      </c>
      <c r="I494" s="160"/>
      <c r="J494" s="161"/>
      <c r="K494" s="160"/>
      <c r="L494" s="160">
        <f>+'FACP$'!$H494-'FACP$'!$I494-'FACP$'!$K494</f>
        <v>580596.1</v>
      </c>
      <c r="M494" s="157" t="s">
        <v>712</v>
      </c>
      <c r="N494" s="162" t="s">
        <v>554</v>
      </c>
      <c r="O494" s="175">
        <v>43021.0</v>
      </c>
      <c r="P494" s="164">
        <f t="shared" si="13"/>
        <v>42990</v>
      </c>
      <c r="Q494" s="165">
        <f t="shared" si="2"/>
        <v>0</v>
      </c>
      <c r="R494" s="166" t="s">
        <v>805</v>
      </c>
      <c r="S494" s="167"/>
      <c r="T494" s="168">
        <f t="shared" si="3"/>
        <v>580596.1</v>
      </c>
      <c r="U494" s="168">
        <f t="shared" si="4"/>
        <v>0</v>
      </c>
      <c r="V494" s="168">
        <f t="shared" si="5"/>
        <v>0</v>
      </c>
      <c r="W494" s="168">
        <f t="shared" si="6"/>
        <v>0</v>
      </c>
      <c r="X494" s="168">
        <f t="shared" si="7"/>
        <v>0</v>
      </c>
      <c r="Y494" s="168">
        <f t="shared" si="8"/>
        <v>0</v>
      </c>
      <c r="Z494" s="168">
        <f t="shared" si="9"/>
        <v>0</v>
      </c>
    </row>
    <row r="495" ht="14.25" customHeight="1">
      <c r="A495" s="157">
        <v>887.0</v>
      </c>
      <c r="B495" s="158" t="s">
        <v>82</v>
      </c>
      <c r="C495" s="169" t="s">
        <v>806</v>
      </c>
      <c r="D495" s="159">
        <v>42980.0</v>
      </c>
      <c r="E495" s="157" t="s">
        <v>8</v>
      </c>
      <c r="F495" s="160">
        <v>223550.88</v>
      </c>
      <c r="G495" s="160">
        <v>35768.14</v>
      </c>
      <c r="H495" s="160">
        <f t="shared" si="32"/>
        <v>259319.02</v>
      </c>
      <c r="I495" s="160"/>
      <c r="J495" s="161"/>
      <c r="K495" s="160"/>
      <c r="L495" s="160">
        <f>+'FACP$'!$H495-'FACP$'!$I495-'FACP$'!$K495</f>
        <v>259319.02</v>
      </c>
      <c r="M495" s="199" t="s">
        <v>96</v>
      </c>
      <c r="N495" s="162" t="s">
        <v>554</v>
      </c>
      <c r="O495" s="175">
        <v>43456.0</v>
      </c>
      <c r="P495" s="164">
        <f t="shared" si="13"/>
        <v>42990</v>
      </c>
      <c r="Q495" s="165">
        <f t="shared" si="2"/>
        <v>0</v>
      </c>
      <c r="R495" s="166"/>
      <c r="S495" s="167"/>
      <c r="T495" s="168">
        <f t="shared" si="3"/>
        <v>259319.02</v>
      </c>
      <c r="U495" s="168">
        <f t="shared" si="4"/>
        <v>0</v>
      </c>
      <c r="V495" s="168">
        <f t="shared" si="5"/>
        <v>0</v>
      </c>
      <c r="W495" s="168">
        <f t="shared" si="6"/>
        <v>0</v>
      </c>
      <c r="X495" s="168">
        <f t="shared" si="7"/>
        <v>0</v>
      </c>
      <c r="Y495" s="168">
        <f t="shared" si="8"/>
        <v>0</v>
      </c>
      <c r="Z495" s="168">
        <f t="shared" si="9"/>
        <v>0</v>
      </c>
    </row>
    <row r="496" ht="14.25" customHeight="1">
      <c r="A496" s="157">
        <v>888.0</v>
      </c>
      <c r="B496" s="169" t="s">
        <v>728</v>
      </c>
      <c r="C496" s="169" t="s">
        <v>804</v>
      </c>
      <c r="D496" s="159">
        <v>42997.0</v>
      </c>
      <c r="E496" s="157" t="s">
        <v>8</v>
      </c>
      <c r="F496" s="160">
        <v>850000.0</v>
      </c>
      <c r="G496" s="160">
        <v>136000.0</v>
      </c>
      <c r="H496" s="160">
        <f t="shared" si="32"/>
        <v>986000</v>
      </c>
      <c r="I496" s="160"/>
      <c r="J496" s="161"/>
      <c r="K496" s="160"/>
      <c r="L496" s="160">
        <f>+'FACP$'!$H496-'FACP$'!$I496-'FACP$'!$K496</f>
        <v>986000</v>
      </c>
      <c r="M496" s="157" t="s">
        <v>728</v>
      </c>
      <c r="N496" s="162" t="s">
        <v>554</v>
      </c>
      <c r="O496" s="175">
        <v>42998.0</v>
      </c>
      <c r="P496" s="164">
        <f t="shared" si="13"/>
        <v>43007</v>
      </c>
      <c r="Q496" s="165">
        <f t="shared" si="2"/>
        <v>0</v>
      </c>
      <c r="R496" s="166"/>
      <c r="S496" s="167"/>
      <c r="T496" s="168">
        <f t="shared" si="3"/>
        <v>986000</v>
      </c>
      <c r="U496" s="168">
        <f t="shared" si="4"/>
        <v>0</v>
      </c>
      <c r="V496" s="168">
        <f t="shared" si="5"/>
        <v>0</v>
      </c>
      <c r="W496" s="168">
        <f t="shared" si="6"/>
        <v>0</v>
      </c>
      <c r="X496" s="168">
        <f t="shared" si="7"/>
        <v>0</v>
      </c>
      <c r="Y496" s="168">
        <f t="shared" si="8"/>
        <v>0</v>
      </c>
      <c r="Z496" s="168">
        <f t="shared" si="9"/>
        <v>0</v>
      </c>
    </row>
    <row r="497" ht="14.25" customHeight="1">
      <c r="A497" s="157">
        <v>889.0</v>
      </c>
      <c r="B497" s="170"/>
      <c r="C497" s="169"/>
      <c r="D497" s="159"/>
      <c r="E497" s="157"/>
      <c r="F497" s="160"/>
      <c r="G497" s="160"/>
      <c r="H497" s="160"/>
      <c r="I497" s="160"/>
      <c r="J497" s="161"/>
      <c r="K497" s="160"/>
      <c r="L497" s="160">
        <f>+'FACP$'!$H497-'FACP$'!$I497-'FACP$'!$K497</f>
        <v>0</v>
      </c>
      <c r="M497" s="162" t="s">
        <v>127</v>
      </c>
      <c r="N497" s="162" t="s">
        <v>127</v>
      </c>
      <c r="O497" s="175"/>
      <c r="P497" s="164">
        <f t="shared" si="13"/>
        <v>10</v>
      </c>
      <c r="Q497" s="165">
        <f t="shared" si="2"/>
        <v>0</v>
      </c>
      <c r="R497" s="166"/>
      <c r="S497" s="167"/>
      <c r="T497" s="168">
        <f t="shared" si="3"/>
        <v>0</v>
      </c>
      <c r="U497" s="168">
        <f t="shared" si="4"/>
        <v>0</v>
      </c>
      <c r="V497" s="168">
        <f t="shared" si="5"/>
        <v>0</v>
      </c>
      <c r="W497" s="168">
        <f t="shared" si="6"/>
        <v>0</v>
      </c>
      <c r="X497" s="168">
        <f t="shared" si="7"/>
        <v>0</v>
      </c>
      <c r="Y497" s="168">
        <f t="shared" si="8"/>
        <v>0</v>
      </c>
      <c r="Z497" s="168">
        <f t="shared" si="9"/>
        <v>0</v>
      </c>
    </row>
    <row r="498" ht="14.25" customHeight="1">
      <c r="A498" s="157">
        <v>890.0</v>
      </c>
      <c r="B498" s="170"/>
      <c r="C498" s="169"/>
      <c r="D498" s="159"/>
      <c r="E498" s="157"/>
      <c r="F498" s="160"/>
      <c r="G498" s="160"/>
      <c r="H498" s="160"/>
      <c r="I498" s="160"/>
      <c r="J498" s="161"/>
      <c r="K498" s="160"/>
      <c r="L498" s="160">
        <f>+'FACP$'!$H498-'FACP$'!$I498-'FACP$'!$K498</f>
        <v>0</v>
      </c>
      <c r="M498" s="162" t="s">
        <v>127</v>
      </c>
      <c r="N498" s="162" t="s">
        <v>127</v>
      </c>
      <c r="O498" s="175"/>
      <c r="P498" s="164">
        <f t="shared" si="13"/>
        <v>10</v>
      </c>
      <c r="Q498" s="165">
        <f t="shared" si="2"/>
        <v>0</v>
      </c>
      <c r="R498" s="166"/>
      <c r="S498" s="167"/>
      <c r="T498" s="168">
        <f t="shared" si="3"/>
        <v>0</v>
      </c>
      <c r="U498" s="168">
        <f t="shared" si="4"/>
        <v>0</v>
      </c>
      <c r="V498" s="168">
        <f t="shared" si="5"/>
        <v>0</v>
      </c>
      <c r="W498" s="168">
        <f t="shared" si="6"/>
        <v>0</v>
      </c>
      <c r="X498" s="168">
        <f t="shared" si="7"/>
        <v>0</v>
      </c>
      <c r="Y498" s="168">
        <f t="shared" si="8"/>
        <v>0</v>
      </c>
      <c r="Z498" s="168">
        <f t="shared" si="9"/>
        <v>0</v>
      </c>
    </row>
    <row r="499" ht="14.25" customHeight="1">
      <c r="A499" s="157">
        <v>891.0</v>
      </c>
      <c r="B499" s="170" t="s">
        <v>720</v>
      </c>
      <c r="C499" s="161" t="s">
        <v>755</v>
      </c>
      <c r="D499" s="159">
        <v>42979.0</v>
      </c>
      <c r="E499" s="157" t="s">
        <v>8</v>
      </c>
      <c r="F499" s="160">
        <v>372610.93</v>
      </c>
      <c r="G499" s="160">
        <v>59617.75</v>
      </c>
      <c r="H499" s="160">
        <f t="shared" ref="H499:H674" si="33">F499+G499</f>
        <v>432228.68</v>
      </c>
      <c r="I499" s="160"/>
      <c r="J499" s="161"/>
      <c r="K499" s="160"/>
      <c r="L499" s="160">
        <f>+'FACP$'!$H499-'FACP$'!$I499-'FACP$'!$K499</f>
        <v>432228.68</v>
      </c>
      <c r="M499" s="157" t="s">
        <v>777</v>
      </c>
      <c r="N499" s="162" t="s">
        <v>554</v>
      </c>
      <c r="O499" s="175">
        <v>43005.0</v>
      </c>
      <c r="P499" s="164">
        <f t="shared" si="13"/>
        <v>42989</v>
      </c>
      <c r="Q499" s="165">
        <f t="shared" si="2"/>
        <v>0</v>
      </c>
      <c r="R499" s="166"/>
      <c r="S499" s="167"/>
      <c r="T499" s="168">
        <f t="shared" si="3"/>
        <v>432228.68</v>
      </c>
      <c r="U499" s="168">
        <f t="shared" si="4"/>
        <v>0</v>
      </c>
      <c r="V499" s="168">
        <f t="shared" si="5"/>
        <v>0</v>
      </c>
      <c r="W499" s="168">
        <f t="shared" si="6"/>
        <v>0</v>
      </c>
      <c r="X499" s="168">
        <f t="shared" si="7"/>
        <v>0</v>
      </c>
      <c r="Y499" s="168">
        <f t="shared" si="8"/>
        <v>0</v>
      </c>
      <c r="Z499" s="168">
        <f t="shared" si="9"/>
        <v>0</v>
      </c>
    </row>
    <row r="500" ht="14.25" customHeight="1">
      <c r="A500" s="157">
        <v>893.0</v>
      </c>
      <c r="B500" s="170" t="s">
        <v>722</v>
      </c>
      <c r="C500" s="169" t="s">
        <v>756</v>
      </c>
      <c r="D500" s="159">
        <v>42979.0</v>
      </c>
      <c r="E500" s="157" t="s">
        <v>8</v>
      </c>
      <c r="F500" s="160">
        <v>6323418.8</v>
      </c>
      <c r="G500" s="160">
        <v>1011747.01</v>
      </c>
      <c r="H500" s="160">
        <f t="shared" si="33"/>
        <v>7335165.81</v>
      </c>
      <c r="I500" s="160"/>
      <c r="J500" s="161"/>
      <c r="K500" s="160"/>
      <c r="L500" s="160">
        <f>+'FACP$'!$H500-'FACP$'!$I500-'FACP$'!$K500</f>
        <v>7335165.81</v>
      </c>
      <c r="M500" s="157" t="s">
        <v>93</v>
      </c>
      <c r="N500" s="162" t="s">
        <v>554</v>
      </c>
      <c r="O500" s="175">
        <v>43013.0</v>
      </c>
      <c r="P500" s="164">
        <f t="shared" si="13"/>
        <v>42989</v>
      </c>
      <c r="Q500" s="165">
        <f t="shared" si="2"/>
        <v>0</v>
      </c>
      <c r="R500" s="166"/>
      <c r="S500" s="167"/>
      <c r="T500" s="168">
        <f t="shared" si="3"/>
        <v>7335165.81</v>
      </c>
      <c r="U500" s="168">
        <f t="shared" si="4"/>
        <v>0</v>
      </c>
      <c r="V500" s="168">
        <f t="shared" si="5"/>
        <v>0</v>
      </c>
      <c r="W500" s="168">
        <f t="shared" si="6"/>
        <v>0</v>
      </c>
      <c r="X500" s="168">
        <f t="shared" si="7"/>
        <v>0</v>
      </c>
      <c r="Y500" s="168">
        <f t="shared" si="8"/>
        <v>0</v>
      </c>
      <c r="Z500" s="168">
        <f t="shared" si="9"/>
        <v>0</v>
      </c>
    </row>
    <row r="501" ht="14.25" customHeight="1">
      <c r="A501" s="157">
        <v>894.0</v>
      </c>
      <c r="B501" s="169" t="s">
        <v>70</v>
      </c>
      <c r="C501" s="170" t="s">
        <v>759</v>
      </c>
      <c r="D501" s="159">
        <v>42979.0</v>
      </c>
      <c r="E501" s="157" t="s">
        <v>8</v>
      </c>
      <c r="F501" s="160">
        <v>174356.25</v>
      </c>
      <c r="G501" s="160">
        <v>27897.0</v>
      </c>
      <c r="H501" s="160">
        <f t="shared" si="33"/>
        <v>202253.25</v>
      </c>
      <c r="I501" s="160"/>
      <c r="J501" s="161"/>
      <c r="K501" s="160"/>
      <c r="L501" s="160">
        <f>+'FACP$'!$H501-'FACP$'!$I501-'FACP$'!$K501</f>
        <v>202253.25</v>
      </c>
      <c r="M501" s="157" t="s">
        <v>719</v>
      </c>
      <c r="N501" s="162" t="s">
        <v>554</v>
      </c>
      <c r="O501" s="175">
        <v>43003.0</v>
      </c>
      <c r="P501" s="164">
        <f t="shared" si="13"/>
        <v>42989</v>
      </c>
      <c r="Q501" s="165">
        <f t="shared" si="2"/>
        <v>0</v>
      </c>
      <c r="R501" s="166"/>
      <c r="S501" s="167"/>
      <c r="T501" s="168">
        <f t="shared" si="3"/>
        <v>202253.25</v>
      </c>
      <c r="U501" s="168">
        <f t="shared" si="4"/>
        <v>0</v>
      </c>
      <c r="V501" s="168">
        <f t="shared" si="5"/>
        <v>0</v>
      </c>
      <c r="W501" s="168">
        <f t="shared" si="6"/>
        <v>0</v>
      </c>
      <c r="X501" s="168">
        <f t="shared" si="7"/>
        <v>0</v>
      </c>
      <c r="Y501" s="168">
        <f t="shared" si="8"/>
        <v>0</v>
      </c>
      <c r="Z501" s="168">
        <f t="shared" si="9"/>
        <v>0</v>
      </c>
    </row>
    <row r="502" ht="14.25" customHeight="1">
      <c r="A502" s="157">
        <v>896.0</v>
      </c>
      <c r="B502" s="170" t="s">
        <v>79</v>
      </c>
      <c r="C502" s="169" t="s">
        <v>755</v>
      </c>
      <c r="D502" s="159">
        <v>42979.0</v>
      </c>
      <c r="E502" s="157" t="s">
        <v>8</v>
      </c>
      <c r="F502" s="160">
        <v>47013.28</v>
      </c>
      <c r="G502" s="160">
        <v>7522.13</v>
      </c>
      <c r="H502" s="160">
        <f t="shared" si="33"/>
        <v>54535.41</v>
      </c>
      <c r="I502" s="160"/>
      <c r="J502" s="161"/>
      <c r="K502" s="160"/>
      <c r="L502" s="160">
        <f>+'FACP$'!$H502-'FACP$'!$I502-'FACP$'!$K502</f>
        <v>54535.41</v>
      </c>
      <c r="M502" s="157" t="s">
        <v>712</v>
      </c>
      <c r="N502" s="162" t="s">
        <v>127</v>
      </c>
      <c r="O502" s="175"/>
      <c r="P502" s="164">
        <f t="shared" si="13"/>
        <v>42989</v>
      </c>
      <c r="Q502" s="165">
        <f t="shared" si="2"/>
        <v>0</v>
      </c>
      <c r="R502" s="166"/>
      <c r="S502" s="167"/>
      <c r="T502" s="168">
        <f t="shared" si="3"/>
        <v>54535.41</v>
      </c>
      <c r="U502" s="168">
        <f t="shared" si="4"/>
        <v>0</v>
      </c>
      <c r="V502" s="168">
        <f t="shared" si="5"/>
        <v>0</v>
      </c>
      <c r="W502" s="168">
        <f t="shared" si="6"/>
        <v>0</v>
      </c>
      <c r="X502" s="168">
        <f t="shared" si="7"/>
        <v>0</v>
      </c>
      <c r="Y502" s="168">
        <f t="shared" si="8"/>
        <v>0</v>
      </c>
      <c r="Z502" s="168">
        <f t="shared" si="9"/>
        <v>0</v>
      </c>
    </row>
    <row r="503" ht="14.25" customHeight="1">
      <c r="A503" s="157">
        <v>897.0</v>
      </c>
      <c r="B503" s="170" t="s">
        <v>24</v>
      </c>
      <c r="C503" s="161" t="s">
        <v>773</v>
      </c>
      <c r="D503" s="159">
        <v>42979.0</v>
      </c>
      <c r="E503" s="157" t="s">
        <v>8</v>
      </c>
      <c r="F503" s="160">
        <v>295923.43</v>
      </c>
      <c r="G503" s="160">
        <v>47347.75</v>
      </c>
      <c r="H503" s="160">
        <f t="shared" si="33"/>
        <v>343271.18</v>
      </c>
      <c r="I503" s="160"/>
      <c r="J503" s="161"/>
      <c r="K503" s="160"/>
      <c r="L503" s="160">
        <f>+'FACP$'!$H503-'FACP$'!$I503-'FACP$'!$K503</f>
        <v>343271.18</v>
      </c>
      <c r="M503" s="157" t="s">
        <v>91</v>
      </c>
      <c r="N503" s="162" t="s">
        <v>554</v>
      </c>
      <c r="O503" s="175">
        <v>43035.0</v>
      </c>
      <c r="P503" s="164">
        <f t="shared" si="13"/>
        <v>42989</v>
      </c>
      <c r="Q503" s="165">
        <f t="shared" si="2"/>
        <v>0</v>
      </c>
      <c r="R503" s="166"/>
      <c r="S503" s="167"/>
      <c r="T503" s="168">
        <f t="shared" si="3"/>
        <v>343271.18</v>
      </c>
      <c r="U503" s="168">
        <f t="shared" si="4"/>
        <v>0</v>
      </c>
      <c r="V503" s="168">
        <f t="shared" si="5"/>
        <v>0</v>
      </c>
      <c r="W503" s="168">
        <f t="shared" si="6"/>
        <v>0</v>
      </c>
      <c r="X503" s="168">
        <f t="shared" si="7"/>
        <v>0</v>
      </c>
      <c r="Y503" s="168">
        <f t="shared" si="8"/>
        <v>0</v>
      </c>
      <c r="Z503" s="168">
        <f t="shared" si="9"/>
        <v>0</v>
      </c>
    </row>
    <row r="504" ht="14.25" customHeight="1">
      <c r="A504" s="157">
        <v>899.0</v>
      </c>
      <c r="B504" s="169" t="s">
        <v>728</v>
      </c>
      <c r="C504" s="169" t="s">
        <v>803</v>
      </c>
      <c r="D504" s="159">
        <v>42979.0</v>
      </c>
      <c r="E504" s="157" t="s">
        <v>8</v>
      </c>
      <c r="F504" s="160">
        <v>459000.0</v>
      </c>
      <c r="G504" s="160">
        <v>73440.0</v>
      </c>
      <c r="H504" s="160">
        <f t="shared" si="33"/>
        <v>532440</v>
      </c>
      <c r="I504" s="160"/>
      <c r="J504" s="161"/>
      <c r="K504" s="160"/>
      <c r="L504" s="160">
        <f>+'FACP$'!$H504-'FACP$'!$I504-'FACP$'!$K504</f>
        <v>532440</v>
      </c>
      <c r="M504" s="157" t="s">
        <v>728</v>
      </c>
      <c r="N504" s="162" t="s">
        <v>554</v>
      </c>
      <c r="O504" s="175">
        <v>43061.0</v>
      </c>
      <c r="P504" s="164">
        <f t="shared" si="13"/>
        <v>42989</v>
      </c>
      <c r="Q504" s="165">
        <f t="shared" si="2"/>
        <v>0</v>
      </c>
      <c r="R504" s="166"/>
      <c r="S504" s="167"/>
      <c r="T504" s="168">
        <f t="shared" si="3"/>
        <v>532440</v>
      </c>
      <c r="U504" s="168">
        <f t="shared" si="4"/>
        <v>0</v>
      </c>
      <c r="V504" s="168">
        <f t="shared" si="5"/>
        <v>0</v>
      </c>
      <c r="W504" s="168">
        <f t="shared" si="6"/>
        <v>0</v>
      </c>
      <c r="X504" s="168">
        <f t="shared" si="7"/>
        <v>0</v>
      </c>
      <c r="Y504" s="168">
        <f t="shared" si="8"/>
        <v>0</v>
      </c>
      <c r="Z504" s="168">
        <f t="shared" si="9"/>
        <v>0</v>
      </c>
    </row>
    <row r="505" ht="14.25" customHeight="1">
      <c r="A505" s="157">
        <v>900.0</v>
      </c>
      <c r="B505" s="177" t="s">
        <v>37</v>
      </c>
      <c r="C505" s="169" t="s">
        <v>773</v>
      </c>
      <c r="D505" s="159">
        <v>42979.0</v>
      </c>
      <c r="E505" s="157" t="s">
        <v>8</v>
      </c>
      <c r="F505" s="160">
        <v>1501184.58</v>
      </c>
      <c r="G505" s="160">
        <v>240189.53</v>
      </c>
      <c r="H505" s="160">
        <f t="shared" si="33"/>
        <v>1741374.11</v>
      </c>
      <c r="I505" s="160"/>
      <c r="J505" s="161"/>
      <c r="K505" s="160"/>
      <c r="L505" s="160">
        <f>+'FACP$'!$H505-'FACP$'!$I505-'FACP$'!$K505</f>
        <v>1741374.11</v>
      </c>
      <c r="M505" s="157" t="s">
        <v>718</v>
      </c>
      <c r="N505" s="162" t="s">
        <v>554</v>
      </c>
      <c r="O505" s="175">
        <v>43025.0</v>
      </c>
      <c r="P505" s="164">
        <f t="shared" si="13"/>
        <v>42989</v>
      </c>
      <c r="Q505" s="165">
        <f t="shared" si="2"/>
        <v>0</v>
      </c>
      <c r="R505" s="166"/>
      <c r="S505" s="167"/>
      <c r="T505" s="168">
        <f t="shared" si="3"/>
        <v>1741374.11</v>
      </c>
      <c r="U505" s="168">
        <f t="shared" si="4"/>
        <v>0</v>
      </c>
      <c r="V505" s="168">
        <f t="shared" si="5"/>
        <v>0</v>
      </c>
      <c r="W505" s="168">
        <f t="shared" si="6"/>
        <v>0</v>
      </c>
      <c r="X505" s="168">
        <f t="shared" si="7"/>
        <v>0</v>
      </c>
      <c r="Y505" s="168">
        <f t="shared" si="8"/>
        <v>0</v>
      </c>
      <c r="Z505" s="168">
        <f t="shared" si="9"/>
        <v>0</v>
      </c>
    </row>
    <row r="506" ht="14.25" customHeight="1">
      <c r="A506" s="157">
        <v>902.0</v>
      </c>
      <c r="B506" s="170" t="s">
        <v>24</v>
      </c>
      <c r="C506" s="161" t="s">
        <v>773</v>
      </c>
      <c r="D506" s="159">
        <v>42936.0</v>
      </c>
      <c r="E506" s="157" t="s">
        <v>8</v>
      </c>
      <c r="F506" s="160">
        <v>65088.56</v>
      </c>
      <c r="G506" s="160">
        <v>10414.17</v>
      </c>
      <c r="H506" s="160">
        <f t="shared" si="33"/>
        <v>75502.73</v>
      </c>
      <c r="I506" s="160"/>
      <c r="J506" s="161"/>
      <c r="K506" s="160"/>
      <c r="L506" s="160">
        <f>+'FACP$'!$H506-'FACP$'!$I506-'FACP$'!$K506</f>
        <v>75502.73</v>
      </c>
      <c r="M506" s="157" t="s">
        <v>91</v>
      </c>
      <c r="N506" s="162" t="s">
        <v>554</v>
      </c>
      <c r="O506" s="175">
        <v>43035.0</v>
      </c>
      <c r="P506" s="164">
        <f t="shared" si="13"/>
        <v>42946</v>
      </c>
      <c r="Q506" s="165">
        <f t="shared" si="2"/>
        <v>0</v>
      </c>
      <c r="R506" s="166"/>
      <c r="S506" s="167"/>
      <c r="T506" s="168">
        <f t="shared" si="3"/>
        <v>75502.73</v>
      </c>
      <c r="U506" s="168">
        <f t="shared" si="4"/>
        <v>0</v>
      </c>
      <c r="V506" s="168">
        <f t="shared" si="5"/>
        <v>0</v>
      </c>
      <c r="W506" s="168">
        <f t="shared" si="6"/>
        <v>0</v>
      </c>
      <c r="X506" s="168">
        <f t="shared" si="7"/>
        <v>0</v>
      </c>
      <c r="Y506" s="168">
        <f t="shared" si="8"/>
        <v>0</v>
      </c>
      <c r="Z506" s="168">
        <f t="shared" si="9"/>
        <v>0</v>
      </c>
    </row>
    <row r="507" ht="14.25" customHeight="1">
      <c r="A507" s="157">
        <v>904.0</v>
      </c>
      <c r="B507" s="170" t="s">
        <v>720</v>
      </c>
      <c r="C507" s="161" t="s">
        <v>755</v>
      </c>
      <c r="D507" s="159">
        <v>42993.0</v>
      </c>
      <c r="E507" s="157" t="s">
        <v>8</v>
      </c>
      <c r="F507" s="160">
        <v>332811.21</v>
      </c>
      <c r="G507" s="160">
        <v>53249.79</v>
      </c>
      <c r="H507" s="160">
        <f t="shared" si="33"/>
        <v>386061</v>
      </c>
      <c r="I507" s="160"/>
      <c r="J507" s="161"/>
      <c r="K507" s="160"/>
      <c r="L507" s="160">
        <f>+'FACP$'!$H507-'FACP$'!$I507-'FACP$'!$K507</f>
        <v>386061</v>
      </c>
      <c r="M507" s="157" t="s">
        <v>777</v>
      </c>
      <c r="N507" s="162" t="s">
        <v>554</v>
      </c>
      <c r="O507" s="175">
        <v>43033.0</v>
      </c>
      <c r="P507" s="164">
        <f t="shared" si="13"/>
        <v>43003</v>
      </c>
      <c r="Q507" s="165">
        <f t="shared" si="2"/>
        <v>0</v>
      </c>
      <c r="R507" s="166"/>
      <c r="S507" s="167"/>
      <c r="T507" s="168">
        <f t="shared" si="3"/>
        <v>386061</v>
      </c>
      <c r="U507" s="168">
        <f t="shared" si="4"/>
        <v>0</v>
      </c>
      <c r="V507" s="168">
        <f t="shared" si="5"/>
        <v>0</v>
      </c>
      <c r="W507" s="168">
        <f t="shared" si="6"/>
        <v>0</v>
      </c>
      <c r="X507" s="168">
        <f t="shared" si="7"/>
        <v>0</v>
      </c>
      <c r="Y507" s="168">
        <f t="shared" si="8"/>
        <v>0</v>
      </c>
      <c r="Z507" s="168">
        <f t="shared" si="9"/>
        <v>0</v>
      </c>
    </row>
    <row r="508" ht="14.25" customHeight="1">
      <c r="A508" s="157">
        <v>907.0</v>
      </c>
      <c r="B508" s="170" t="s">
        <v>722</v>
      </c>
      <c r="C508" s="169" t="s">
        <v>756</v>
      </c>
      <c r="D508" s="159">
        <v>42993.0</v>
      </c>
      <c r="E508" s="157" t="s">
        <v>8</v>
      </c>
      <c r="F508" s="160">
        <v>6294729.48</v>
      </c>
      <c r="G508" s="160">
        <v>1007156.72</v>
      </c>
      <c r="H508" s="160">
        <f t="shared" si="33"/>
        <v>7301886.2</v>
      </c>
      <c r="I508" s="160"/>
      <c r="J508" s="161"/>
      <c r="K508" s="160"/>
      <c r="L508" s="160">
        <f>+'FACP$'!$H508-'FACP$'!$I508-'FACP$'!$K508</f>
        <v>7301886.2</v>
      </c>
      <c r="M508" s="157" t="s">
        <v>93</v>
      </c>
      <c r="N508" s="162" t="s">
        <v>554</v>
      </c>
      <c r="O508" s="175">
        <v>43020.0</v>
      </c>
      <c r="P508" s="164">
        <f t="shared" si="13"/>
        <v>43003</v>
      </c>
      <c r="Q508" s="165">
        <f t="shared" si="2"/>
        <v>0</v>
      </c>
      <c r="R508" s="166"/>
      <c r="S508" s="167"/>
      <c r="T508" s="168">
        <f t="shared" si="3"/>
        <v>7301886.2</v>
      </c>
      <c r="U508" s="168">
        <f t="shared" si="4"/>
        <v>0</v>
      </c>
      <c r="V508" s="168">
        <f t="shared" si="5"/>
        <v>0</v>
      </c>
      <c r="W508" s="168">
        <f t="shared" si="6"/>
        <v>0</v>
      </c>
      <c r="X508" s="168">
        <f t="shared" si="7"/>
        <v>0</v>
      </c>
      <c r="Y508" s="168">
        <f t="shared" si="8"/>
        <v>0</v>
      </c>
      <c r="Z508" s="168">
        <f t="shared" si="9"/>
        <v>0</v>
      </c>
    </row>
    <row r="509" ht="14.25" customHeight="1">
      <c r="A509" s="157">
        <v>908.0</v>
      </c>
      <c r="B509" s="169" t="s">
        <v>70</v>
      </c>
      <c r="C509" s="170" t="s">
        <v>807</v>
      </c>
      <c r="D509" s="159">
        <v>42993.0</v>
      </c>
      <c r="E509" s="157" t="s">
        <v>8</v>
      </c>
      <c r="F509" s="160">
        <v>260186.02</v>
      </c>
      <c r="G509" s="160">
        <v>41629.76</v>
      </c>
      <c r="H509" s="160">
        <f t="shared" si="33"/>
        <v>301815.78</v>
      </c>
      <c r="I509" s="160"/>
      <c r="J509" s="161"/>
      <c r="K509" s="160"/>
      <c r="L509" s="160">
        <f>+'FACP$'!$H509-'FACP$'!$I509-'FACP$'!$K509</f>
        <v>301815.78</v>
      </c>
      <c r="M509" s="157" t="s">
        <v>719</v>
      </c>
      <c r="N509" s="162" t="s">
        <v>127</v>
      </c>
      <c r="O509" s="175"/>
      <c r="P509" s="164">
        <f t="shared" si="13"/>
        <v>43003</v>
      </c>
      <c r="Q509" s="165">
        <f t="shared" si="2"/>
        <v>0</v>
      </c>
      <c r="R509" s="166"/>
      <c r="S509" s="167"/>
      <c r="T509" s="168">
        <f t="shared" si="3"/>
        <v>301815.78</v>
      </c>
      <c r="U509" s="168">
        <f t="shared" si="4"/>
        <v>0</v>
      </c>
      <c r="V509" s="168">
        <f t="shared" si="5"/>
        <v>0</v>
      </c>
      <c r="W509" s="168">
        <f t="shared" si="6"/>
        <v>0</v>
      </c>
      <c r="X509" s="168">
        <f t="shared" si="7"/>
        <v>0</v>
      </c>
      <c r="Y509" s="168">
        <f t="shared" si="8"/>
        <v>0</v>
      </c>
      <c r="Z509" s="168">
        <f t="shared" si="9"/>
        <v>0</v>
      </c>
    </row>
    <row r="510" ht="14.25" customHeight="1">
      <c r="A510" s="157">
        <v>910.0</v>
      </c>
      <c r="B510" s="169" t="s">
        <v>70</v>
      </c>
      <c r="C510" s="170" t="s">
        <v>807</v>
      </c>
      <c r="D510" s="159">
        <v>42993.0</v>
      </c>
      <c r="E510" s="157" t="s">
        <v>8</v>
      </c>
      <c r="F510" s="160">
        <v>232010.05</v>
      </c>
      <c r="G510" s="160">
        <v>37121.61</v>
      </c>
      <c r="H510" s="160">
        <f t="shared" si="33"/>
        <v>269131.66</v>
      </c>
      <c r="I510" s="160"/>
      <c r="J510" s="161"/>
      <c r="K510" s="160"/>
      <c r="L510" s="160">
        <f>+'FACP$'!$H510-'FACP$'!$I510-'FACP$'!$K510</f>
        <v>269131.66</v>
      </c>
      <c r="M510" s="157" t="s">
        <v>719</v>
      </c>
      <c r="N510" s="162" t="s">
        <v>554</v>
      </c>
      <c r="O510" s="175">
        <v>43035.0</v>
      </c>
      <c r="P510" s="164">
        <f t="shared" si="13"/>
        <v>43003</v>
      </c>
      <c r="Q510" s="165">
        <f t="shared" si="2"/>
        <v>0</v>
      </c>
      <c r="R510" s="166"/>
      <c r="S510" s="167"/>
      <c r="T510" s="168">
        <f t="shared" si="3"/>
        <v>269131.66</v>
      </c>
      <c r="U510" s="168">
        <f t="shared" si="4"/>
        <v>0</v>
      </c>
      <c r="V510" s="168">
        <f t="shared" si="5"/>
        <v>0</v>
      </c>
      <c r="W510" s="168">
        <f t="shared" si="6"/>
        <v>0</v>
      </c>
      <c r="X510" s="168">
        <f t="shared" si="7"/>
        <v>0</v>
      </c>
      <c r="Y510" s="168">
        <f t="shared" si="8"/>
        <v>0</v>
      </c>
      <c r="Z510" s="168">
        <f t="shared" si="9"/>
        <v>0</v>
      </c>
    </row>
    <row r="511" ht="14.25" customHeight="1">
      <c r="A511" s="157">
        <v>912.0</v>
      </c>
      <c r="B511" s="209" t="s">
        <v>82</v>
      </c>
      <c r="C511" s="189" t="s">
        <v>808</v>
      </c>
      <c r="D511" s="186">
        <v>43018.0</v>
      </c>
      <c r="E511" s="210" t="s">
        <v>8</v>
      </c>
      <c r="F511" s="211">
        <v>107243.12</v>
      </c>
      <c r="G511" s="211">
        <v>17158.9</v>
      </c>
      <c r="H511" s="160">
        <f t="shared" si="33"/>
        <v>124402.02</v>
      </c>
      <c r="I511" s="211"/>
      <c r="J511" s="212"/>
      <c r="K511" s="211"/>
      <c r="L511" s="211">
        <f>+'FACP$'!$H511-'FACP$'!$I511-'FACP$'!$K511</f>
        <v>124402.02</v>
      </c>
      <c r="M511" s="213" t="s">
        <v>96</v>
      </c>
      <c r="N511" s="162" t="s">
        <v>554</v>
      </c>
      <c r="O511" s="214">
        <v>43417.0</v>
      </c>
      <c r="P511" s="164">
        <f t="shared" si="13"/>
        <v>43028</v>
      </c>
      <c r="Q511" s="165">
        <f t="shared" si="2"/>
        <v>0</v>
      </c>
      <c r="R511" s="215"/>
      <c r="S511" s="215"/>
      <c r="T511" s="168">
        <f t="shared" si="3"/>
        <v>124402.02</v>
      </c>
      <c r="U511" s="168">
        <f t="shared" si="4"/>
        <v>0</v>
      </c>
      <c r="V511" s="168">
        <f t="shared" si="5"/>
        <v>0</v>
      </c>
      <c r="W511" s="168">
        <f t="shared" si="6"/>
        <v>0</v>
      </c>
      <c r="X511" s="168">
        <f t="shared" si="7"/>
        <v>0</v>
      </c>
      <c r="Y511" s="168">
        <f t="shared" si="8"/>
        <v>0</v>
      </c>
      <c r="Z511" s="168">
        <f t="shared" si="9"/>
        <v>0</v>
      </c>
    </row>
    <row r="512" ht="14.25" customHeight="1">
      <c r="A512" s="157">
        <v>914.0</v>
      </c>
      <c r="B512" s="170" t="s">
        <v>24</v>
      </c>
      <c r="C512" s="169" t="s">
        <v>809</v>
      </c>
      <c r="D512" s="159">
        <v>42993.0</v>
      </c>
      <c r="E512" s="157" t="s">
        <v>8</v>
      </c>
      <c r="F512" s="160">
        <v>288284.19</v>
      </c>
      <c r="G512" s="160">
        <v>46125.47</v>
      </c>
      <c r="H512" s="160">
        <f t="shared" si="33"/>
        <v>334409.66</v>
      </c>
      <c r="I512" s="160"/>
      <c r="J512" s="161"/>
      <c r="K512" s="160"/>
      <c r="L512" s="160">
        <f>+'FACP$'!$H512-'FACP$'!$I512-'FACP$'!$K512</f>
        <v>334409.66</v>
      </c>
      <c r="M512" s="157" t="s">
        <v>91</v>
      </c>
      <c r="N512" s="162" t="s">
        <v>554</v>
      </c>
      <c r="O512" s="175">
        <v>43035.0</v>
      </c>
      <c r="P512" s="164">
        <f t="shared" si="13"/>
        <v>43003</v>
      </c>
      <c r="Q512" s="165">
        <f t="shared" si="2"/>
        <v>0</v>
      </c>
      <c r="R512" s="166"/>
      <c r="S512" s="167"/>
      <c r="T512" s="168">
        <f t="shared" si="3"/>
        <v>334409.66</v>
      </c>
      <c r="U512" s="168">
        <f t="shared" si="4"/>
        <v>0</v>
      </c>
      <c r="V512" s="168">
        <f t="shared" si="5"/>
        <v>0</v>
      </c>
      <c r="W512" s="168">
        <f t="shared" si="6"/>
        <v>0</v>
      </c>
      <c r="X512" s="168">
        <f t="shared" si="7"/>
        <v>0</v>
      </c>
      <c r="Y512" s="168">
        <f t="shared" si="8"/>
        <v>0</v>
      </c>
      <c r="Z512" s="168">
        <f t="shared" si="9"/>
        <v>0</v>
      </c>
    </row>
    <row r="513" ht="14.25" customHeight="1">
      <c r="A513" s="157">
        <v>916.0</v>
      </c>
      <c r="B513" s="177" t="s">
        <v>37</v>
      </c>
      <c r="C513" s="169" t="s">
        <v>773</v>
      </c>
      <c r="D513" s="159">
        <v>42993.0</v>
      </c>
      <c r="E513" s="157" t="s">
        <v>8</v>
      </c>
      <c r="F513" s="160">
        <v>1142097.35</v>
      </c>
      <c r="G513" s="160">
        <v>182735.58</v>
      </c>
      <c r="H513" s="160">
        <f t="shared" si="33"/>
        <v>1324832.93</v>
      </c>
      <c r="I513" s="160"/>
      <c r="J513" s="161"/>
      <c r="K513" s="160"/>
      <c r="L513" s="160">
        <f>+'FACP$'!$H513-'FACP$'!$I513-'FACP$'!$K513</f>
        <v>1324832.93</v>
      </c>
      <c r="M513" s="157" t="s">
        <v>718</v>
      </c>
      <c r="N513" s="162" t="s">
        <v>554</v>
      </c>
      <c r="O513" s="175">
        <v>43046.0</v>
      </c>
      <c r="P513" s="164">
        <f t="shared" si="13"/>
        <v>43003</v>
      </c>
      <c r="Q513" s="165">
        <f t="shared" si="2"/>
        <v>0</v>
      </c>
      <c r="R513" s="166"/>
      <c r="S513" s="167"/>
      <c r="T513" s="168">
        <f t="shared" si="3"/>
        <v>1324832.93</v>
      </c>
      <c r="U513" s="168">
        <f t="shared" si="4"/>
        <v>0</v>
      </c>
      <c r="V513" s="168">
        <f t="shared" si="5"/>
        <v>0</v>
      </c>
      <c r="W513" s="168">
        <f t="shared" si="6"/>
        <v>0</v>
      </c>
      <c r="X513" s="168">
        <f t="shared" si="7"/>
        <v>0</v>
      </c>
      <c r="Y513" s="168">
        <f t="shared" si="8"/>
        <v>0</v>
      </c>
      <c r="Z513" s="168">
        <f t="shared" si="9"/>
        <v>0</v>
      </c>
    </row>
    <row r="514" ht="14.25" customHeight="1">
      <c r="A514" s="157">
        <v>918.0</v>
      </c>
      <c r="B514" s="170" t="s">
        <v>722</v>
      </c>
      <c r="C514" s="169" t="s">
        <v>756</v>
      </c>
      <c r="D514" s="159">
        <v>43009.0</v>
      </c>
      <c r="E514" s="157" t="s">
        <v>8</v>
      </c>
      <c r="F514" s="160">
        <v>6451321.8</v>
      </c>
      <c r="G514" s="160">
        <v>1032211.49</v>
      </c>
      <c r="H514" s="160">
        <f t="shared" si="33"/>
        <v>7483533.29</v>
      </c>
      <c r="I514" s="160"/>
      <c r="J514" s="161"/>
      <c r="K514" s="160"/>
      <c r="L514" s="160">
        <f>+'FACP$'!$H514-'FACP$'!$I514-'FACP$'!$K514</f>
        <v>7483533.29</v>
      </c>
      <c r="M514" s="157" t="s">
        <v>93</v>
      </c>
      <c r="N514" s="162" t="s">
        <v>554</v>
      </c>
      <c r="O514" s="175">
        <v>43040.0</v>
      </c>
      <c r="P514" s="164">
        <f t="shared" si="13"/>
        <v>43019</v>
      </c>
      <c r="Q514" s="165">
        <f t="shared" si="2"/>
        <v>0</v>
      </c>
      <c r="R514" s="166"/>
      <c r="S514" s="167"/>
      <c r="T514" s="168">
        <f t="shared" si="3"/>
        <v>7483533.29</v>
      </c>
      <c r="U514" s="168">
        <f t="shared" si="4"/>
        <v>0</v>
      </c>
      <c r="V514" s="168">
        <f t="shared" si="5"/>
        <v>0</v>
      </c>
      <c r="W514" s="168">
        <f t="shared" si="6"/>
        <v>0</v>
      </c>
      <c r="X514" s="168">
        <f t="shared" si="7"/>
        <v>0</v>
      </c>
      <c r="Y514" s="168">
        <f t="shared" si="8"/>
        <v>0</v>
      </c>
      <c r="Z514" s="168">
        <f t="shared" si="9"/>
        <v>0</v>
      </c>
    </row>
    <row r="515" ht="14.25" customHeight="1">
      <c r="A515" s="157">
        <v>919.0</v>
      </c>
      <c r="B515" s="170" t="s">
        <v>720</v>
      </c>
      <c r="C515" s="161" t="s">
        <v>755</v>
      </c>
      <c r="D515" s="159">
        <v>43009.0</v>
      </c>
      <c r="E515" s="157" t="s">
        <v>8</v>
      </c>
      <c r="F515" s="160">
        <v>463925.47</v>
      </c>
      <c r="G515" s="160">
        <v>74228.8</v>
      </c>
      <c r="H515" s="160">
        <f t="shared" si="33"/>
        <v>538154.27</v>
      </c>
      <c r="I515" s="160"/>
      <c r="J515" s="161"/>
      <c r="K515" s="160"/>
      <c r="L515" s="160">
        <f>+'FACP$'!$H515-'FACP$'!$I515-'FACP$'!$K515</f>
        <v>538154.27</v>
      </c>
      <c r="M515" s="157" t="s">
        <v>777</v>
      </c>
      <c r="N515" s="162" t="s">
        <v>554</v>
      </c>
      <c r="O515" s="175">
        <v>43040.0</v>
      </c>
      <c r="P515" s="164">
        <f t="shared" si="13"/>
        <v>43019</v>
      </c>
      <c r="Q515" s="165">
        <f t="shared" si="2"/>
        <v>0</v>
      </c>
      <c r="R515" s="166"/>
      <c r="S515" s="167"/>
      <c r="T515" s="168">
        <f t="shared" si="3"/>
        <v>538154.27</v>
      </c>
      <c r="U515" s="168">
        <f t="shared" si="4"/>
        <v>0</v>
      </c>
      <c r="V515" s="168">
        <f t="shared" si="5"/>
        <v>0</v>
      </c>
      <c r="W515" s="168">
        <f t="shared" si="6"/>
        <v>0</v>
      </c>
      <c r="X515" s="168">
        <f t="shared" si="7"/>
        <v>0</v>
      </c>
      <c r="Y515" s="168">
        <f t="shared" si="8"/>
        <v>0</v>
      </c>
      <c r="Z515" s="168">
        <f t="shared" si="9"/>
        <v>0</v>
      </c>
    </row>
    <row r="516" ht="14.25" customHeight="1">
      <c r="A516" s="157">
        <v>923.0</v>
      </c>
      <c r="B516" s="169" t="s">
        <v>70</v>
      </c>
      <c r="C516" s="170" t="s">
        <v>807</v>
      </c>
      <c r="D516" s="159">
        <v>43009.0</v>
      </c>
      <c r="E516" s="157" t="s">
        <v>8</v>
      </c>
      <c r="F516" s="160">
        <v>155035.16</v>
      </c>
      <c r="G516" s="160">
        <v>24805.63</v>
      </c>
      <c r="H516" s="160">
        <f t="shared" si="33"/>
        <v>179840.79</v>
      </c>
      <c r="I516" s="160"/>
      <c r="J516" s="161"/>
      <c r="K516" s="160"/>
      <c r="L516" s="160">
        <f>+'FACP$'!$H516-'FACP$'!$I516-'FACP$'!$K516</f>
        <v>179840.79</v>
      </c>
      <c r="M516" s="157" t="s">
        <v>719</v>
      </c>
      <c r="N516" s="162" t="s">
        <v>554</v>
      </c>
      <c r="O516" s="175">
        <v>43075.0</v>
      </c>
      <c r="P516" s="164">
        <f t="shared" si="13"/>
        <v>43019</v>
      </c>
      <c r="Q516" s="165">
        <f t="shared" si="2"/>
        <v>0</v>
      </c>
      <c r="R516" s="166"/>
      <c r="S516" s="167"/>
      <c r="T516" s="168">
        <f t="shared" si="3"/>
        <v>179840.79</v>
      </c>
      <c r="U516" s="168">
        <f t="shared" si="4"/>
        <v>0</v>
      </c>
      <c r="V516" s="168">
        <f t="shared" si="5"/>
        <v>0</v>
      </c>
      <c r="W516" s="168">
        <f t="shared" si="6"/>
        <v>0</v>
      </c>
      <c r="X516" s="168">
        <f t="shared" si="7"/>
        <v>0</v>
      </c>
      <c r="Y516" s="168">
        <f t="shared" si="8"/>
        <v>0</v>
      </c>
      <c r="Z516" s="168">
        <f t="shared" si="9"/>
        <v>0</v>
      </c>
    </row>
    <row r="517" ht="14.25" customHeight="1">
      <c r="A517" s="157">
        <v>932.0</v>
      </c>
      <c r="B517" s="170" t="s">
        <v>787</v>
      </c>
      <c r="C517" s="169" t="s">
        <v>810</v>
      </c>
      <c r="D517" s="159">
        <v>43038.0</v>
      </c>
      <c r="E517" s="157" t="s">
        <v>8</v>
      </c>
      <c r="F517" s="160">
        <v>459000.0</v>
      </c>
      <c r="G517" s="160">
        <v>73440.0</v>
      </c>
      <c r="H517" s="160">
        <f t="shared" si="33"/>
        <v>532440</v>
      </c>
      <c r="I517" s="160"/>
      <c r="J517" s="161"/>
      <c r="K517" s="160"/>
      <c r="L517" s="160">
        <f>+'FACP$'!$H517-'FACP$'!$I517-'FACP$'!$K517</f>
        <v>532440</v>
      </c>
      <c r="M517" s="157" t="s">
        <v>728</v>
      </c>
      <c r="N517" s="162" t="s">
        <v>554</v>
      </c>
      <c r="O517" s="175">
        <v>43061.0</v>
      </c>
      <c r="P517" s="164">
        <f t="shared" si="13"/>
        <v>43048</v>
      </c>
      <c r="Q517" s="165">
        <f t="shared" si="2"/>
        <v>0</v>
      </c>
      <c r="R517" s="166"/>
      <c r="S517" s="167"/>
      <c r="T517" s="168">
        <f t="shared" si="3"/>
        <v>532440</v>
      </c>
      <c r="U517" s="168">
        <f t="shared" si="4"/>
        <v>0</v>
      </c>
      <c r="V517" s="168">
        <f t="shared" si="5"/>
        <v>0</v>
      </c>
      <c r="W517" s="168">
        <f t="shared" si="6"/>
        <v>0</v>
      </c>
      <c r="X517" s="168">
        <f t="shared" si="7"/>
        <v>0</v>
      </c>
      <c r="Y517" s="168">
        <f t="shared" si="8"/>
        <v>0</v>
      </c>
      <c r="Z517" s="168">
        <f t="shared" si="9"/>
        <v>0</v>
      </c>
    </row>
    <row r="518" ht="14.25" customHeight="1">
      <c r="A518" s="157">
        <v>933.0</v>
      </c>
      <c r="B518" s="177" t="s">
        <v>37</v>
      </c>
      <c r="C518" s="169" t="s">
        <v>773</v>
      </c>
      <c r="D518" s="159">
        <v>43009.0</v>
      </c>
      <c r="E518" s="157" t="s">
        <v>8</v>
      </c>
      <c r="F518" s="160">
        <v>1531653.45</v>
      </c>
      <c r="G518" s="160">
        <v>245064.55</v>
      </c>
      <c r="H518" s="160">
        <f t="shared" si="33"/>
        <v>1776718</v>
      </c>
      <c r="I518" s="160"/>
      <c r="J518" s="161"/>
      <c r="K518" s="160"/>
      <c r="L518" s="160">
        <f>+'FACP$'!$H518-'FACP$'!$I518-'FACP$'!$K518</f>
        <v>1776718</v>
      </c>
      <c r="M518" s="157" t="s">
        <v>718</v>
      </c>
      <c r="N518" s="162" t="s">
        <v>554</v>
      </c>
      <c r="O518" s="175">
        <v>43061.0</v>
      </c>
      <c r="P518" s="164">
        <f t="shared" si="13"/>
        <v>43019</v>
      </c>
      <c r="Q518" s="165">
        <f t="shared" si="2"/>
        <v>0</v>
      </c>
      <c r="R518" s="166"/>
      <c r="S518" s="167"/>
      <c r="T518" s="168">
        <f t="shared" si="3"/>
        <v>1776718</v>
      </c>
      <c r="U518" s="168">
        <f t="shared" si="4"/>
        <v>0</v>
      </c>
      <c r="V518" s="168">
        <f t="shared" si="5"/>
        <v>0</v>
      </c>
      <c r="W518" s="168">
        <f t="shared" si="6"/>
        <v>0</v>
      </c>
      <c r="X518" s="168">
        <f t="shared" si="7"/>
        <v>0</v>
      </c>
      <c r="Y518" s="168">
        <f t="shared" si="8"/>
        <v>0</v>
      </c>
      <c r="Z518" s="168">
        <f t="shared" si="9"/>
        <v>0</v>
      </c>
    </row>
    <row r="519" ht="14.25" customHeight="1">
      <c r="A519" s="157">
        <v>935.0</v>
      </c>
      <c r="B519" s="170" t="s">
        <v>24</v>
      </c>
      <c r="C519" s="169" t="s">
        <v>809</v>
      </c>
      <c r="D519" s="159">
        <v>43009.0</v>
      </c>
      <c r="E519" s="157" t="s">
        <v>8</v>
      </c>
      <c r="F519" s="160">
        <v>146244.46</v>
      </c>
      <c r="G519" s="160">
        <v>23399.11</v>
      </c>
      <c r="H519" s="160">
        <f t="shared" si="33"/>
        <v>169643.57</v>
      </c>
      <c r="I519" s="160"/>
      <c r="J519" s="161"/>
      <c r="K519" s="160"/>
      <c r="L519" s="160">
        <f>+'FACP$'!$H519-'FACP$'!$I519-'FACP$'!$K519</f>
        <v>169643.57</v>
      </c>
      <c r="M519" s="157" t="s">
        <v>91</v>
      </c>
      <c r="N519" s="162" t="s">
        <v>554</v>
      </c>
      <c r="O519" s="175">
        <v>43062.0</v>
      </c>
      <c r="P519" s="164">
        <f t="shared" si="13"/>
        <v>43019</v>
      </c>
      <c r="Q519" s="165">
        <f t="shared" si="2"/>
        <v>0</v>
      </c>
      <c r="R519" s="166"/>
      <c r="S519" s="167"/>
      <c r="T519" s="168">
        <f t="shared" si="3"/>
        <v>169643.57</v>
      </c>
      <c r="U519" s="168">
        <f t="shared" si="4"/>
        <v>0</v>
      </c>
      <c r="V519" s="168">
        <f t="shared" si="5"/>
        <v>0</v>
      </c>
      <c r="W519" s="168">
        <f t="shared" si="6"/>
        <v>0</v>
      </c>
      <c r="X519" s="168">
        <f t="shared" si="7"/>
        <v>0</v>
      </c>
      <c r="Y519" s="168">
        <f t="shared" si="8"/>
        <v>0</v>
      </c>
      <c r="Z519" s="168">
        <f t="shared" si="9"/>
        <v>0</v>
      </c>
    </row>
    <row r="520" ht="14.25" customHeight="1">
      <c r="A520" s="157">
        <v>937.0</v>
      </c>
      <c r="B520" s="170" t="s">
        <v>79</v>
      </c>
      <c r="C520" s="161" t="s">
        <v>794</v>
      </c>
      <c r="D520" s="159">
        <v>43026.0</v>
      </c>
      <c r="E520" s="157" t="s">
        <v>8</v>
      </c>
      <c r="F520" s="160">
        <v>476054.29</v>
      </c>
      <c r="G520" s="160">
        <v>76168.69</v>
      </c>
      <c r="H520" s="172">
        <f t="shared" si="33"/>
        <v>552222.98</v>
      </c>
      <c r="I520" s="173"/>
      <c r="J520" s="170"/>
      <c r="K520" s="173"/>
      <c r="L520" s="173">
        <f>+'FACP$'!$H520-'FACP$'!$I520-'FACP$'!$K520</f>
        <v>552222.98</v>
      </c>
      <c r="M520" s="157" t="s">
        <v>712</v>
      </c>
      <c r="N520" s="162" t="s">
        <v>127</v>
      </c>
      <c r="O520" s="175"/>
      <c r="P520" s="164">
        <f t="shared" si="13"/>
        <v>43036</v>
      </c>
      <c r="Q520" s="165">
        <f t="shared" si="2"/>
        <v>0</v>
      </c>
      <c r="R520" s="166"/>
      <c r="S520" s="167"/>
      <c r="T520" s="168">
        <f t="shared" si="3"/>
        <v>552222.98</v>
      </c>
      <c r="U520" s="168">
        <f t="shared" si="4"/>
        <v>0</v>
      </c>
      <c r="V520" s="168">
        <f t="shared" si="5"/>
        <v>0</v>
      </c>
      <c r="W520" s="168">
        <f t="shared" si="6"/>
        <v>0</v>
      </c>
      <c r="X520" s="168">
        <f t="shared" si="7"/>
        <v>0</v>
      </c>
      <c r="Y520" s="168">
        <f t="shared" si="8"/>
        <v>0</v>
      </c>
      <c r="Z520" s="168">
        <f t="shared" si="9"/>
        <v>0</v>
      </c>
    </row>
    <row r="521" ht="14.25" customHeight="1">
      <c r="A521" s="157">
        <v>938.0</v>
      </c>
      <c r="B521" s="158" t="s">
        <v>82</v>
      </c>
      <c r="C521" s="169" t="s">
        <v>713</v>
      </c>
      <c r="D521" s="159">
        <v>43026.0</v>
      </c>
      <c r="E521" s="157" t="s">
        <v>8</v>
      </c>
      <c r="F521" s="160">
        <v>357231.35</v>
      </c>
      <c r="G521" s="160">
        <v>57157.02</v>
      </c>
      <c r="H521" s="160">
        <f t="shared" si="33"/>
        <v>414388.37</v>
      </c>
      <c r="I521" s="160"/>
      <c r="J521" s="161"/>
      <c r="K521" s="160"/>
      <c r="L521" s="160">
        <f>+'FACP$'!$H521-'FACP$'!$I521-'FACP$'!$K521</f>
        <v>414388.37</v>
      </c>
      <c r="M521" s="157" t="s">
        <v>96</v>
      </c>
      <c r="N521" s="162" t="s">
        <v>554</v>
      </c>
      <c r="O521" s="175">
        <v>43456.0</v>
      </c>
      <c r="P521" s="164">
        <f t="shared" si="13"/>
        <v>43036</v>
      </c>
      <c r="Q521" s="165">
        <f t="shared" si="2"/>
        <v>0</v>
      </c>
      <c r="R521" s="166"/>
      <c r="S521" s="167"/>
      <c r="T521" s="168">
        <f t="shared" si="3"/>
        <v>414388.37</v>
      </c>
      <c r="U521" s="168">
        <f t="shared" si="4"/>
        <v>0</v>
      </c>
      <c r="V521" s="168">
        <f t="shared" si="5"/>
        <v>0</v>
      </c>
      <c r="W521" s="168">
        <f t="shared" si="6"/>
        <v>0</v>
      </c>
      <c r="X521" s="168">
        <f t="shared" si="7"/>
        <v>0</v>
      </c>
      <c r="Y521" s="168">
        <f t="shared" si="8"/>
        <v>0</v>
      </c>
      <c r="Z521" s="168">
        <f t="shared" si="9"/>
        <v>0</v>
      </c>
    </row>
    <row r="522" ht="14.25" customHeight="1">
      <c r="A522" s="157">
        <v>939.0</v>
      </c>
      <c r="B522" s="170" t="s">
        <v>79</v>
      </c>
      <c r="C522" s="161" t="s">
        <v>794</v>
      </c>
      <c r="D522" s="159">
        <v>43026.0</v>
      </c>
      <c r="E522" s="157" t="s">
        <v>8</v>
      </c>
      <c r="F522" s="160">
        <v>476054.29</v>
      </c>
      <c r="G522" s="160">
        <v>76168.69</v>
      </c>
      <c r="H522" s="160">
        <f t="shared" si="33"/>
        <v>552222.98</v>
      </c>
      <c r="I522" s="160"/>
      <c r="J522" s="161"/>
      <c r="K522" s="160"/>
      <c r="L522" s="160">
        <f>+'FACP$'!$H522-'FACP$'!$I522-'FACP$'!$K522</f>
        <v>552222.98</v>
      </c>
      <c r="M522" s="157" t="s">
        <v>712</v>
      </c>
      <c r="N522" s="162" t="s">
        <v>554</v>
      </c>
      <c r="O522" s="175">
        <v>43056.0</v>
      </c>
      <c r="P522" s="164">
        <f t="shared" si="13"/>
        <v>43036</v>
      </c>
      <c r="Q522" s="165">
        <f t="shared" si="2"/>
        <v>0</v>
      </c>
      <c r="R522" s="166"/>
      <c r="S522" s="167"/>
      <c r="T522" s="168">
        <f t="shared" si="3"/>
        <v>552222.98</v>
      </c>
      <c r="U522" s="168">
        <f t="shared" si="4"/>
        <v>0</v>
      </c>
      <c r="V522" s="168">
        <f t="shared" si="5"/>
        <v>0</v>
      </c>
      <c r="W522" s="168">
        <f t="shared" si="6"/>
        <v>0</v>
      </c>
      <c r="X522" s="168">
        <f t="shared" si="7"/>
        <v>0</v>
      </c>
      <c r="Y522" s="168">
        <f t="shared" si="8"/>
        <v>0</v>
      </c>
      <c r="Z522" s="168">
        <f t="shared" si="9"/>
        <v>0</v>
      </c>
    </row>
    <row r="523" ht="14.25" customHeight="1">
      <c r="A523" s="157">
        <v>940.0</v>
      </c>
      <c r="B523" s="158" t="s">
        <v>82</v>
      </c>
      <c r="C523" s="169" t="s">
        <v>713</v>
      </c>
      <c r="D523" s="159">
        <v>43026.0</v>
      </c>
      <c r="E523" s="157" t="s">
        <v>8</v>
      </c>
      <c r="F523" s="160">
        <v>357231.35</v>
      </c>
      <c r="G523" s="160">
        <v>57157.02</v>
      </c>
      <c r="H523" s="160">
        <f t="shared" si="33"/>
        <v>414388.37</v>
      </c>
      <c r="I523" s="160"/>
      <c r="J523" s="161"/>
      <c r="K523" s="160"/>
      <c r="L523" s="160">
        <f>+'FACP$'!$H523-'FACP$'!$I523-'FACP$'!$K523</f>
        <v>414388.37</v>
      </c>
      <c r="M523" s="157" t="s">
        <v>96</v>
      </c>
      <c r="N523" s="162" t="s">
        <v>554</v>
      </c>
      <c r="O523" s="175"/>
      <c r="P523" s="164">
        <f t="shared" si="13"/>
        <v>43036</v>
      </c>
      <c r="Q523" s="165">
        <f t="shared" si="2"/>
        <v>0</v>
      </c>
      <c r="R523" s="166"/>
      <c r="S523" s="167"/>
      <c r="T523" s="168">
        <f t="shared" si="3"/>
        <v>414388.37</v>
      </c>
      <c r="U523" s="168">
        <f t="shared" si="4"/>
        <v>0</v>
      </c>
      <c r="V523" s="168">
        <f t="shared" si="5"/>
        <v>0</v>
      </c>
      <c r="W523" s="168">
        <f t="shared" si="6"/>
        <v>0</v>
      </c>
      <c r="X523" s="168">
        <f t="shared" si="7"/>
        <v>0</v>
      </c>
      <c r="Y523" s="168">
        <f t="shared" si="8"/>
        <v>0</v>
      </c>
      <c r="Z523" s="168">
        <f t="shared" si="9"/>
        <v>0</v>
      </c>
    </row>
    <row r="524" ht="14.25" customHeight="1">
      <c r="A524" s="157">
        <v>941.0</v>
      </c>
      <c r="B524" s="170" t="s">
        <v>79</v>
      </c>
      <c r="C524" s="161" t="s">
        <v>794</v>
      </c>
      <c r="D524" s="159">
        <v>42992.0</v>
      </c>
      <c r="E524" s="157" t="s">
        <v>8</v>
      </c>
      <c r="F524" s="160">
        <v>565645.17</v>
      </c>
      <c r="G524" s="160">
        <v>90503.23</v>
      </c>
      <c r="H524" s="160">
        <f t="shared" si="33"/>
        <v>656148.4</v>
      </c>
      <c r="I524" s="160"/>
      <c r="J524" s="161"/>
      <c r="K524" s="160"/>
      <c r="L524" s="160">
        <f>+'FACP$'!$H524-'FACP$'!$I524-'FACP$'!$K524</f>
        <v>656148.4</v>
      </c>
      <c r="M524" s="157" t="s">
        <v>712</v>
      </c>
      <c r="N524" s="162" t="s">
        <v>554</v>
      </c>
      <c r="O524" s="175">
        <v>43073.0</v>
      </c>
      <c r="P524" s="164">
        <f t="shared" si="13"/>
        <v>43002</v>
      </c>
      <c r="Q524" s="165">
        <f t="shared" si="2"/>
        <v>0</v>
      </c>
      <c r="R524" s="166"/>
      <c r="S524" s="167"/>
      <c r="T524" s="168">
        <f t="shared" si="3"/>
        <v>656148.4</v>
      </c>
      <c r="U524" s="168">
        <f t="shared" si="4"/>
        <v>0</v>
      </c>
      <c r="V524" s="168">
        <f t="shared" si="5"/>
        <v>0</v>
      </c>
      <c r="W524" s="168">
        <f t="shared" si="6"/>
        <v>0</v>
      </c>
      <c r="X524" s="168">
        <f t="shared" si="7"/>
        <v>0</v>
      </c>
      <c r="Y524" s="168">
        <f t="shared" si="8"/>
        <v>0</v>
      </c>
      <c r="Z524" s="168">
        <f t="shared" si="9"/>
        <v>0</v>
      </c>
    </row>
    <row r="525" ht="14.25" customHeight="1">
      <c r="A525" s="157">
        <v>942.0</v>
      </c>
      <c r="B525" s="158" t="s">
        <v>82</v>
      </c>
      <c r="C525" s="169" t="s">
        <v>713</v>
      </c>
      <c r="D525" s="159">
        <v>42992.0</v>
      </c>
      <c r="E525" s="157" t="s">
        <v>8</v>
      </c>
      <c r="F525" s="160">
        <v>335817.26</v>
      </c>
      <c r="G525" s="160">
        <v>53730.76</v>
      </c>
      <c r="H525" s="160">
        <f t="shared" si="33"/>
        <v>389548.02</v>
      </c>
      <c r="I525" s="160"/>
      <c r="J525" s="161"/>
      <c r="K525" s="160"/>
      <c r="L525" s="160">
        <f>+'FACP$'!$H525-'FACP$'!$I525-'FACP$'!$K525</f>
        <v>389548.02</v>
      </c>
      <c r="M525" s="157" t="s">
        <v>96</v>
      </c>
      <c r="N525" s="162" t="s">
        <v>554</v>
      </c>
      <c r="O525" s="175">
        <v>43456.0</v>
      </c>
      <c r="P525" s="164">
        <f t="shared" si="13"/>
        <v>43002</v>
      </c>
      <c r="Q525" s="165">
        <f t="shared" si="2"/>
        <v>0</v>
      </c>
      <c r="R525" s="166"/>
      <c r="S525" s="167"/>
      <c r="T525" s="168">
        <f t="shared" si="3"/>
        <v>389548.02</v>
      </c>
      <c r="U525" s="168">
        <f t="shared" si="4"/>
        <v>0</v>
      </c>
      <c r="V525" s="168">
        <f t="shared" si="5"/>
        <v>0</v>
      </c>
      <c r="W525" s="168">
        <f t="shared" si="6"/>
        <v>0</v>
      </c>
      <c r="X525" s="168">
        <f t="shared" si="7"/>
        <v>0</v>
      </c>
      <c r="Y525" s="168">
        <f t="shared" si="8"/>
        <v>0</v>
      </c>
      <c r="Z525" s="168">
        <f t="shared" si="9"/>
        <v>0</v>
      </c>
    </row>
    <row r="526" ht="14.25" customHeight="1">
      <c r="A526" s="157">
        <v>943.0</v>
      </c>
      <c r="B526" s="169" t="s">
        <v>70</v>
      </c>
      <c r="C526" s="169" t="s">
        <v>811</v>
      </c>
      <c r="D526" s="159">
        <v>43023.0</v>
      </c>
      <c r="E526" s="157" t="s">
        <v>8</v>
      </c>
      <c r="F526" s="160">
        <v>378057.05</v>
      </c>
      <c r="G526" s="160">
        <v>60489.13</v>
      </c>
      <c r="H526" s="160">
        <f t="shared" si="33"/>
        <v>438546.18</v>
      </c>
      <c r="I526" s="160"/>
      <c r="J526" s="161"/>
      <c r="K526" s="160"/>
      <c r="L526" s="160">
        <f>+'FACP$'!$H526-'FACP$'!$I526-'FACP$'!$K526</f>
        <v>438546.18</v>
      </c>
      <c r="M526" s="157" t="s">
        <v>719</v>
      </c>
      <c r="N526" s="162" t="s">
        <v>127</v>
      </c>
      <c r="O526" s="175"/>
      <c r="P526" s="164">
        <f t="shared" si="13"/>
        <v>43033</v>
      </c>
      <c r="Q526" s="165">
        <f t="shared" si="2"/>
        <v>0</v>
      </c>
      <c r="R526" s="166"/>
      <c r="S526" s="167"/>
      <c r="T526" s="168">
        <f t="shared" si="3"/>
        <v>438546.18</v>
      </c>
      <c r="U526" s="168">
        <f t="shared" si="4"/>
        <v>0</v>
      </c>
      <c r="V526" s="168">
        <f t="shared" si="5"/>
        <v>0</v>
      </c>
      <c r="W526" s="168">
        <f t="shared" si="6"/>
        <v>0</v>
      </c>
      <c r="X526" s="168">
        <f t="shared" si="7"/>
        <v>0</v>
      </c>
      <c r="Y526" s="168">
        <f t="shared" si="8"/>
        <v>0</v>
      </c>
      <c r="Z526" s="168">
        <f t="shared" si="9"/>
        <v>0</v>
      </c>
    </row>
    <row r="527" ht="14.25" customHeight="1">
      <c r="A527" s="157">
        <v>945.0</v>
      </c>
      <c r="B527" s="170" t="s">
        <v>722</v>
      </c>
      <c r="C527" s="169" t="s">
        <v>756</v>
      </c>
      <c r="D527" s="159">
        <v>43023.0</v>
      </c>
      <c r="E527" s="157" t="s">
        <v>8</v>
      </c>
      <c r="F527" s="160">
        <v>6754109.36</v>
      </c>
      <c r="G527" s="160">
        <v>1080657.5</v>
      </c>
      <c r="H527" s="160">
        <f t="shared" si="33"/>
        <v>7834766.86</v>
      </c>
      <c r="I527" s="160"/>
      <c r="J527" s="161"/>
      <c r="K527" s="160"/>
      <c r="L527" s="160">
        <f>+'FACP$'!$H527-'FACP$'!$I527-'FACP$'!$K527</f>
        <v>7834766.86</v>
      </c>
      <c r="M527" s="157" t="s">
        <v>93</v>
      </c>
      <c r="N527" s="162" t="s">
        <v>554</v>
      </c>
      <c r="O527" s="216">
        <v>43087.0</v>
      </c>
      <c r="P527" s="164">
        <f t="shared" si="13"/>
        <v>43033</v>
      </c>
      <c r="Q527" s="165">
        <f t="shared" si="2"/>
        <v>0</v>
      </c>
      <c r="R527" s="217">
        <v>43055.0</v>
      </c>
      <c r="S527" s="167"/>
      <c r="T527" s="168">
        <f t="shared" si="3"/>
        <v>7834766.86</v>
      </c>
      <c r="U527" s="168">
        <f t="shared" si="4"/>
        <v>0</v>
      </c>
      <c r="V527" s="168">
        <f t="shared" si="5"/>
        <v>0</v>
      </c>
      <c r="W527" s="168">
        <f t="shared" si="6"/>
        <v>0</v>
      </c>
      <c r="X527" s="168">
        <f t="shared" si="7"/>
        <v>0</v>
      </c>
      <c r="Y527" s="168">
        <f t="shared" si="8"/>
        <v>0</v>
      </c>
      <c r="Z527" s="168">
        <f t="shared" si="9"/>
        <v>0</v>
      </c>
    </row>
    <row r="528" ht="14.25" customHeight="1">
      <c r="A528" s="157">
        <v>946.0</v>
      </c>
      <c r="B528" s="170" t="s">
        <v>720</v>
      </c>
      <c r="C528" s="161" t="s">
        <v>755</v>
      </c>
      <c r="D528" s="159">
        <v>43023.0</v>
      </c>
      <c r="E528" s="157" t="s">
        <v>8</v>
      </c>
      <c r="F528" s="160">
        <v>685948.89</v>
      </c>
      <c r="G528" s="160">
        <v>109751.82</v>
      </c>
      <c r="H528" s="160">
        <f t="shared" si="33"/>
        <v>795700.71</v>
      </c>
      <c r="I528" s="160"/>
      <c r="J528" s="161"/>
      <c r="K528" s="160"/>
      <c r="L528" s="160">
        <f>+'FACP$'!$H528-'FACP$'!$I528-'FACP$'!$K528</f>
        <v>795700.71</v>
      </c>
      <c r="M528" s="157" t="s">
        <v>777</v>
      </c>
      <c r="N528" s="162" t="s">
        <v>554</v>
      </c>
      <c r="O528" s="175">
        <v>43087.0</v>
      </c>
      <c r="P528" s="164">
        <f t="shared" si="13"/>
        <v>43033</v>
      </c>
      <c r="Q528" s="165">
        <f t="shared" si="2"/>
        <v>0</v>
      </c>
      <c r="R528" s="166"/>
      <c r="S528" s="167"/>
      <c r="T528" s="168">
        <f t="shared" si="3"/>
        <v>795700.71</v>
      </c>
      <c r="U528" s="168">
        <f t="shared" si="4"/>
        <v>0</v>
      </c>
      <c r="V528" s="168">
        <f t="shared" si="5"/>
        <v>0</v>
      </c>
      <c r="W528" s="168">
        <f t="shared" si="6"/>
        <v>0</v>
      </c>
      <c r="X528" s="168">
        <f t="shared" si="7"/>
        <v>0</v>
      </c>
      <c r="Y528" s="168">
        <f t="shared" si="8"/>
        <v>0</v>
      </c>
      <c r="Z528" s="168">
        <f t="shared" si="9"/>
        <v>0</v>
      </c>
    </row>
    <row r="529" ht="14.25" customHeight="1">
      <c r="A529" s="157">
        <v>948.0</v>
      </c>
      <c r="B529" s="177" t="s">
        <v>37</v>
      </c>
      <c r="C529" s="169" t="s">
        <v>773</v>
      </c>
      <c r="D529" s="159">
        <v>43023.0</v>
      </c>
      <c r="E529" s="157" t="s">
        <v>8</v>
      </c>
      <c r="F529" s="160">
        <v>1820084.05</v>
      </c>
      <c r="G529" s="160">
        <v>291213.45</v>
      </c>
      <c r="H529" s="160">
        <f t="shared" si="33"/>
        <v>2111297.5</v>
      </c>
      <c r="I529" s="160"/>
      <c r="J529" s="161"/>
      <c r="K529" s="160"/>
      <c r="L529" s="160">
        <f>+'FACP$'!$H529-'FACP$'!$I529-'FACP$'!$K529</f>
        <v>2111297.5</v>
      </c>
      <c r="M529" s="157" t="s">
        <v>718</v>
      </c>
      <c r="N529" s="162" t="s">
        <v>554</v>
      </c>
      <c r="O529" s="175">
        <v>43061.0</v>
      </c>
      <c r="P529" s="164">
        <f t="shared" si="13"/>
        <v>43033</v>
      </c>
      <c r="Q529" s="165">
        <f t="shared" si="2"/>
        <v>0</v>
      </c>
      <c r="R529" s="166"/>
      <c r="S529" s="167"/>
      <c r="T529" s="168">
        <f t="shared" si="3"/>
        <v>2111297.5</v>
      </c>
      <c r="U529" s="168">
        <f t="shared" si="4"/>
        <v>0</v>
      </c>
      <c r="V529" s="168">
        <f t="shared" si="5"/>
        <v>0</v>
      </c>
      <c r="W529" s="168">
        <f t="shared" si="6"/>
        <v>0</v>
      </c>
      <c r="X529" s="168">
        <f t="shared" si="7"/>
        <v>0</v>
      </c>
      <c r="Y529" s="168">
        <f t="shared" si="8"/>
        <v>0</v>
      </c>
      <c r="Z529" s="168">
        <f t="shared" si="9"/>
        <v>0</v>
      </c>
    </row>
    <row r="530" ht="14.25" customHeight="1">
      <c r="A530" s="157">
        <v>950.0</v>
      </c>
      <c r="B530" s="170" t="s">
        <v>24</v>
      </c>
      <c r="C530" s="169" t="s">
        <v>809</v>
      </c>
      <c r="D530" s="159">
        <v>43023.0</v>
      </c>
      <c r="E530" s="157" t="s">
        <v>8</v>
      </c>
      <c r="F530" s="160">
        <v>39568.62</v>
      </c>
      <c r="G530" s="160">
        <v>6330.98</v>
      </c>
      <c r="H530" s="160">
        <f t="shared" si="33"/>
        <v>45899.6</v>
      </c>
      <c r="I530" s="160"/>
      <c r="J530" s="161"/>
      <c r="K530" s="160"/>
      <c r="L530" s="160">
        <f>+'FACP$'!$H530-'FACP$'!$I530-'FACP$'!$K530</f>
        <v>45899.6</v>
      </c>
      <c r="M530" s="157" t="s">
        <v>812</v>
      </c>
      <c r="N530" s="162" t="s">
        <v>554</v>
      </c>
      <c r="O530" s="175">
        <v>43062.0</v>
      </c>
      <c r="P530" s="164">
        <f t="shared" si="13"/>
        <v>43033</v>
      </c>
      <c r="Q530" s="165">
        <f t="shared" si="2"/>
        <v>0</v>
      </c>
      <c r="R530" s="166"/>
      <c r="S530" s="167"/>
      <c r="T530" s="168">
        <f t="shared" si="3"/>
        <v>45899.6</v>
      </c>
      <c r="U530" s="168">
        <f t="shared" si="4"/>
        <v>0</v>
      </c>
      <c r="V530" s="168">
        <f t="shared" si="5"/>
        <v>0</v>
      </c>
      <c r="W530" s="168">
        <f t="shared" si="6"/>
        <v>0</v>
      </c>
      <c r="X530" s="168">
        <f t="shared" si="7"/>
        <v>0</v>
      </c>
      <c r="Y530" s="168">
        <f t="shared" si="8"/>
        <v>0</v>
      </c>
      <c r="Z530" s="168">
        <f t="shared" si="9"/>
        <v>0</v>
      </c>
    </row>
    <row r="531" ht="14.25" customHeight="1">
      <c r="A531" s="157">
        <v>952.0</v>
      </c>
      <c r="B531" s="169" t="s">
        <v>70</v>
      </c>
      <c r="C531" s="169" t="s">
        <v>811</v>
      </c>
      <c r="D531" s="159">
        <v>43023.0</v>
      </c>
      <c r="E531" s="157" t="s">
        <v>8</v>
      </c>
      <c r="F531" s="160">
        <v>435151.38</v>
      </c>
      <c r="G531" s="160">
        <v>69624.22</v>
      </c>
      <c r="H531" s="160">
        <f t="shared" si="33"/>
        <v>504775.6</v>
      </c>
      <c r="I531" s="160"/>
      <c r="J531" s="161"/>
      <c r="K531" s="160"/>
      <c r="L531" s="160">
        <f>+'FACP$'!$H531-'FACP$'!$I531-'FACP$'!$K531</f>
        <v>504775.6</v>
      </c>
      <c r="M531" s="157" t="s">
        <v>719</v>
      </c>
      <c r="N531" s="162" t="s">
        <v>554</v>
      </c>
      <c r="O531" s="175">
        <v>43056.0</v>
      </c>
      <c r="P531" s="164">
        <f t="shared" si="13"/>
        <v>43033</v>
      </c>
      <c r="Q531" s="165">
        <f t="shared" si="2"/>
        <v>0</v>
      </c>
      <c r="R531" s="166"/>
      <c r="S531" s="167"/>
      <c r="T531" s="168">
        <f t="shared" si="3"/>
        <v>504775.6</v>
      </c>
      <c r="U531" s="168">
        <f t="shared" si="4"/>
        <v>0</v>
      </c>
      <c r="V531" s="168">
        <f t="shared" si="5"/>
        <v>0</v>
      </c>
      <c r="W531" s="168">
        <f t="shared" si="6"/>
        <v>0</v>
      </c>
      <c r="X531" s="168">
        <f t="shared" si="7"/>
        <v>0</v>
      </c>
      <c r="Y531" s="168">
        <f t="shared" si="8"/>
        <v>0</v>
      </c>
      <c r="Z531" s="168">
        <f t="shared" si="9"/>
        <v>0</v>
      </c>
    </row>
    <row r="532" ht="14.25" customHeight="1">
      <c r="A532" s="157">
        <v>955.0</v>
      </c>
      <c r="B532" s="177"/>
      <c r="C532" s="169"/>
      <c r="D532" s="159"/>
      <c r="E532" s="157"/>
      <c r="F532" s="160"/>
      <c r="G532" s="160"/>
      <c r="H532" s="160">
        <f t="shared" si="33"/>
        <v>0</v>
      </c>
      <c r="I532" s="160"/>
      <c r="J532" s="161"/>
      <c r="K532" s="160"/>
      <c r="L532" s="160">
        <f>+'FACP$'!$H532-'FACP$'!$I532-'FACP$'!$K532</f>
        <v>0</v>
      </c>
      <c r="M532" s="157"/>
      <c r="N532" s="162" t="s">
        <v>127</v>
      </c>
      <c r="O532" s="175"/>
      <c r="P532" s="164">
        <f t="shared" si="13"/>
        <v>10</v>
      </c>
      <c r="Q532" s="165">
        <f t="shared" si="2"/>
        <v>0</v>
      </c>
      <c r="R532" s="166"/>
      <c r="S532" s="167"/>
      <c r="T532" s="168">
        <f t="shared" si="3"/>
        <v>0</v>
      </c>
      <c r="U532" s="168">
        <f t="shared" si="4"/>
        <v>0</v>
      </c>
      <c r="V532" s="168">
        <f t="shared" si="5"/>
        <v>0</v>
      </c>
      <c r="W532" s="168">
        <f t="shared" si="6"/>
        <v>0</v>
      </c>
      <c r="X532" s="168">
        <f t="shared" si="7"/>
        <v>0</v>
      </c>
      <c r="Y532" s="168">
        <f t="shared" si="8"/>
        <v>0</v>
      </c>
      <c r="Z532" s="168">
        <f t="shared" si="9"/>
        <v>0</v>
      </c>
    </row>
    <row r="533" ht="14.25" customHeight="1">
      <c r="A533" s="157">
        <v>958.0</v>
      </c>
      <c r="B533" s="158" t="s">
        <v>82</v>
      </c>
      <c r="C533" s="169" t="s">
        <v>813</v>
      </c>
      <c r="D533" s="159">
        <v>43055.0</v>
      </c>
      <c r="E533" s="157" t="s">
        <v>8</v>
      </c>
      <c r="F533" s="160">
        <v>204760.0</v>
      </c>
      <c r="G533" s="160">
        <v>32761.6</v>
      </c>
      <c r="H533" s="160">
        <f t="shared" si="33"/>
        <v>237521.6</v>
      </c>
      <c r="I533" s="160"/>
      <c r="J533" s="161"/>
      <c r="K533" s="160"/>
      <c r="L533" s="160">
        <f>+'FACP$'!$H533-'FACP$'!$I533-'FACP$'!$K533</f>
        <v>237521.6</v>
      </c>
      <c r="M533" s="157" t="s">
        <v>714</v>
      </c>
      <c r="N533" s="162" t="s">
        <v>554</v>
      </c>
      <c r="O533" s="175">
        <v>43357.0</v>
      </c>
      <c r="P533" s="164">
        <f t="shared" si="13"/>
        <v>43065</v>
      </c>
      <c r="Q533" s="165">
        <f t="shared" si="2"/>
        <v>0</v>
      </c>
      <c r="R533" s="166"/>
      <c r="S533" s="167"/>
      <c r="T533" s="168">
        <f t="shared" si="3"/>
        <v>237521.6</v>
      </c>
      <c r="U533" s="168">
        <f t="shared" si="4"/>
        <v>0</v>
      </c>
      <c r="V533" s="168">
        <f t="shared" si="5"/>
        <v>0</v>
      </c>
      <c r="W533" s="168">
        <f t="shared" si="6"/>
        <v>0</v>
      </c>
      <c r="X533" s="168">
        <f t="shared" si="7"/>
        <v>0</v>
      </c>
      <c r="Y533" s="168">
        <f t="shared" si="8"/>
        <v>0</v>
      </c>
      <c r="Z533" s="168">
        <f t="shared" si="9"/>
        <v>0</v>
      </c>
    </row>
    <row r="534" ht="14.25" customHeight="1">
      <c r="A534" s="157">
        <v>959.0</v>
      </c>
      <c r="B534" s="170" t="s">
        <v>79</v>
      </c>
      <c r="C534" s="169" t="s">
        <v>814</v>
      </c>
      <c r="D534" s="159">
        <v>43035.0</v>
      </c>
      <c r="E534" s="157" t="s">
        <v>8</v>
      </c>
      <c r="F534" s="160">
        <v>157550.4</v>
      </c>
      <c r="G534" s="160">
        <v>25208.06</v>
      </c>
      <c r="H534" s="160">
        <f t="shared" si="33"/>
        <v>182758.46</v>
      </c>
      <c r="I534" s="160"/>
      <c r="J534" s="161"/>
      <c r="K534" s="160"/>
      <c r="L534" s="160">
        <f>+'FACP$'!$H534-'FACP$'!$I534-'FACP$'!$K534</f>
        <v>182758.46</v>
      </c>
      <c r="M534" s="157" t="s">
        <v>712</v>
      </c>
      <c r="N534" s="162" t="s">
        <v>127</v>
      </c>
      <c r="O534" s="175"/>
      <c r="P534" s="164">
        <f t="shared" si="13"/>
        <v>43045</v>
      </c>
      <c r="Q534" s="165">
        <f t="shared" si="2"/>
        <v>0</v>
      </c>
      <c r="R534" s="166"/>
      <c r="S534" s="167"/>
      <c r="T534" s="168">
        <f t="shared" si="3"/>
        <v>182758.46</v>
      </c>
      <c r="U534" s="168">
        <f t="shared" si="4"/>
        <v>0</v>
      </c>
      <c r="V534" s="168">
        <f t="shared" si="5"/>
        <v>0</v>
      </c>
      <c r="W534" s="168">
        <f t="shared" si="6"/>
        <v>0</v>
      </c>
      <c r="X534" s="168">
        <f t="shared" si="7"/>
        <v>0</v>
      </c>
      <c r="Y534" s="168">
        <f t="shared" si="8"/>
        <v>0</v>
      </c>
      <c r="Z534" s="168">
        <f t="shared" si="9"/>
        <v>0</v>
      </c>
    </row>
    <row r="535" ht="14.25" customHeight="1">
      <c r="A535" s="157">
        <v>960.0</v>
      </c>
      <c r="B535" s="158" t="s">
        <v>82</v>
      </c>
      <c r="C535" s="169" t="s">
        <v>713</v>
      </c>
      <c r="D535" s="159">
        <v>43035.0</v>
      </c>
      <c r="E535" s="157" t="s">
        <v>8</v>
      </c>
      <c r="F535" s="160">
        <v>242802.83</v>
      </c>
      <c r="G535" s="160">
        <v>38848.45</v>
      </c>
      <c r="H535" s="160">
        <f t="shared" si="33"/>
        <v>281651.28</v>
      </c>
      <c r="I535" s="160"/>
      <c r="J535" s="161"/>
      <c r="K535" s="160"/>
      <c r="L535" s="160">
        <f>+'FACP$'!$H535-'FACP$'!$I535-'FACP$'!$K535</f>
        <v>281651.28</v>
      </c>
      <c r="M535" s="157" t="s">
        <v>714</v>
      </c>
      <c r="N535" s="162" t="s">
        <v>554</v>
      </c>
      <c r="O535" s="175">
        <v>43456.0</v>
      </c>
      <c r="P535" s="164">
        <f t="shared" si="13"/>
        <v>43045</v>
      </c>
      <c r="Q535" s="165">
        <f t="shared" si="2"/>
        <v>0</v>
      </c>
      <c r="R535" s="166"/>
      <c r="S535" s="167"/>
      <c r="T535" s="168">
        <f t="shared" si="3"/>
        <v>281651.28</v>
      </c>
      <c r="U535" s="168">
        <f t="shared" si="4"/>
        <v>0</v>
      </c>
      <c r="V535" s="168">
        <f t="shared" si="5"/>
        <v>0</v>
      </c>
      <c r="W535" s="168">
        <f t="shared" si="6"/>
        <v>0</v>
      </c>
      <c r="X535" s="168">
        <f t="shared" si="7"/>
        <v>0</v>
      </c>
      <c r="Y535" s="168">
        <f t="shared" si="8"/>
        <v>0</v>
      </c>
      <c r="Z535" s="168">
        <f t="shared" si="9"/>
        <v>0</v>
      </c>
    </row>
    <row r="536" ht="14.25" customHeight="1">
      <c r="A536" s="157">
        <v>961.0</v>
      </c>
      <c r="B536" s="170" t="s">
        <v>79</v>
      </c>
      <c r="C536" s="169" t="s">
        <v>814</v>
      </c>
      <c r="D536" s="159">
        <v>43035.0</v>
      </c>
      <c r="E536" s="157" t="s">
        <v>8</v>
      </c>
      <c r="F536" s="160">
        <v>352637.18</v>
      </c>
      <c r="G536" s="160">
        <v>56421.95</v>
      </c>
      <c r="H536" s="160">
        <f t="shared" si="33"/>
        <v>409059.13</v>
      </c>
      <c r="I536" s="160"/>
      <c r="J536" s="161"/>
      <c r="K536" s="160"/>
      <c r="L536" s="160">
        <f>+'FACP$'!$H536-'FACP$'!$I536-'FACP$'!$K536</f>
        <v>409059.13</v>
      </c>
      <c r="M536" s="157" t="s">
        <v>712</v>
      </c>
      <c r="N536" s="162" t="s">
        <v>554</v>
      </c>
      <c r="O536" s="175">
        <v>43084.0</v>
      </c>
      <c r="P536" s="164">
        <f t="shared" si="13"/>
        <v>43045</v>
      </c>
      <c r="Q536" s="165">
        <f t="shared" si="2"/>
        <v>0</v>
      </c>
      <c r="R536" s="166"/>
      <c r="S536" s="167"/>
      <c r="T536" s="168">
        <f t="shared" si="3"/>
        <v>409059.13</v>
      </c>
      <c r="U536" s="168">
        <f t="shared" si="4"/>
        <v>0</v>
      </c>
      <c r="V536" s="168">
        <f t="shared" si="5"/>
        <v>0</v>
      </c>
      <c r="W536" s="168">
        <f t="shared" si="6"/>
        <v>0</v>
      </c>
      <c r="X536" s="168">
        <f t="shared" si="7"/>
        <v>0</v>
      </c>
      <c r="Y536" s="168">
        <f t="shared" si="8"/>
        <v>0</v>
      </c>
      <c r="Z536" s="168">
        <f t="shared" si="9"/>
        <v>0</v>
      </c>
    </row>
    <row r="537" ht="14.25" customHeight="1">
      <c r="A537" s="157">
        <v>962.0</v>
      </c>
      <c r="B537" s="169" t="s">
        <v>70</v>
      </c>
      <c r="C537" s="169" t="s">
        <v>815</v>
      </c>
      <c r="D537" s="159">
        <v>43040.0</v>
      </c>
      <c r="E537" s="157" t="s">
        <v>8</v>
      </c>
      <c r="F537" s="160">
        <v>300363.21</v>
      </c>
      <c r="G537" s="160">
        <v>48058.11</v>
      </c>
      <c r="H537" s="160">
        <f t="shared" si="33"/>
        <v>348421.32</v>
      </c>
      <c r="I537" s="160"/>
      <c r="J537" s="161"/>
      <c r="K537" s="160"/>
      <c r="L537" s="160">
        <f>+'FACP$'!$H537-'FACP$'!$I537-'FACP$'!$K537</f>
        <v>348421.32</v>
      </c>
      <c r="M537" s="157" t="s">
        <v>719</v>
      </c>
      <c r="N537" s="162" t="s">
        <v>554</v>
      </c>
      <c r="O537" s="175">
        <v>43084.0</v>
      </c>
      <c r="P537" s="164">
        <f t="shared" si="13"/>
        <v>43050</v>
      </c>
      <c r="Q537" s="165">
        <f t="shared" si="2"/>
        <v>0</v>
      </c>
      <c r="R537" s="166"/>
      <c r="S537" s="167"/>
      <c r="T537" s="168">
        <f t="shared" si="3"/>
        <v>348421.32</v>
      </c>
      <c r="U537" s="168">
        <f t="shared" si="4"/>
        <v>0</v>
      </c>
      <c r="V537" s="168">
        <f t="shared" si="5"/>
        <v>0</v>
      </c>
      <c r="W537" s="168">
        <f t="shared" si="6"/>
        <v>0</v>
      </c>
      <c r="X537" s="168">
        <f t="shared" si="7"/>
        <v>0</v>
      </c>
      <c r="Y537" s="168">
        <f t="shared" si="8"/>
        <v>0</v>
      </c>
      <c r="Z537" s="168">
        <f t="shared" si="9"/>
        <v>0</v>
      </c>
    </row>
    <row r="538" ht="14.25" customHeight="1">
      <c r="A538" s="157">
        <v>964.0</v>
      </c>
      <c r="B538" s="170" t="s">
        <v>722</v>
      </c>
      <c r="C538" s="169" t="s">
        <v>815</v>
      </c>
      <c r="D538" s="159">
        <v>43040.0</v>
      </c>
      <c r="E538" s="157" t="s">
        <v>8</v>
      </c>
      <c r="F538" s="160">
        <v>5509377.68</v>
      </c>
      <c r="G538" s="160">
        <v>881500.43</v>
      </c>
      <c r="H538" s="160">
        <f t="shared" si="33"/>
        <v>6390878.11</v>
      </c>
      <c r="I538" s="160"/>
      <c r="J538" s="161"/>
      <c r="K538" s="160"/>
      <c r="L538" s="160">
        <f>+'FACP$'!$H538-'FACP$'!$I538-'FACP$'!$K538</f>
        <v>6390878.11</v>
      </c>
      <c r="M538" s="157" t="s">
        <v>93</v>
      </c>
      <c r="N538" s="162" t="s">
        <v>554</v>
      </c>
      <c r="O538" s="175">
        <v>43069.0</v>
      </c>
      <c r="P538" s="164">
        <f t="shared" si="13"/>
        <v>43050</v>
      </c>
      <c r="Q538" s="165">
        <f t="shared" si="2"/>
        <v>0</v>
      </c>
      <c r="R538" s="166"/>
      <c r="S538" s="167"/>
      <c r="T538" s="168">
        <f t="shared" si="3"/>
        <v>6390878.11</v>
      </c>
      <c r="U538" s="168">
        <f t="shared" si="4"/>
        <v>0</v>
      </c>
      <c r="V538" s="168">
        <f t="shared" si="5"/>
        <v>0</v>
      </c>
      <c r="W538" s="168">
        <f t="shared" si="6"/>
        <v>0</v>
      </c>
      <c r="X538" s="168">
        <f t="shared" si="7"/>
        <v>0</v>
      </c>
      <c r="Y538" s="168">
        <f t="shared" si="8"/>
        <v>0</v>
      </c>
      <c r="Z538" s="168">
        <f t="shared" si="9"/>
        <v>0</v>
      </c>
    </row>
    <row r="539" ht="14.25" customHeight="1">
      <c r="A539" s="157">
        <v>965.0</v>
      </c>
      <c r="B539" s="170" t="s">
        <v>720</v>
      </c>
      <c r="C539" s="169" t="s">
        <v>816</v>
      </c>
      <c r="D539" s="159">
        <v>43040.0</v>
      </c>
      <c r="E539" s="157" t="s">
        <v>8</v>
      </c>
      <c r="F539" s="160">
        <v>588612.78</v>
      </c>
      <c r="G539" s="160">
        <v>94178.05</v>
      </c>
      <c r="H539" s="160">
        <f t="shared" si="33"/>
        <v>682790.83</v>
      </c>
      <c r="I539" s="160"/>
      <c r="J539" s="161"/>
      <c r="K539" s="160"/>
      <c r="L539" s="160">
        <f>+'FACP$'!$H539-'FACP$'!$I539-'FACP$'!$K539</f>
        <v>682790.83</v>
      </c>
      <c r="M539" s="157" t="s">
        <v>777</v>
      </c>
      <c r="N539" s="162" t="s">
        <v>554</v>
      </c>
      <c r="O539" s="175">
        <v>43070.0</v>
      </c>
      <c r="P539" s="164">
        <f t="shared" si="13"/>
        <v>43050</v>
      </c>
      <c r="Q539" s="165">
        <f t="shared" si="2"/>
        <v>0</v>
      </c>
      <c r="R539" s="166"/>
      <c r="S539" s="167"/>
      <c r="T539" s="168">
        <f t="shared" si="3"/>
        <v>682790.83</v>
      </c>
      <c r="U539" s="168">
        <f t="shared" si="4"/>
        <v>0</v>
      </c>
      <c r="V539" s="168">
        <f t="shared" si="5"/>
        <v>0</v>
      </c>
      <c r="W539" s="168">
        <f t="shared" si="6"/>
        <v>0</v>
      </c>
      <c r="X539" s="168">
        <f t="shared" si="7"/>
        <v>0</v>
      </c>
      <c r="Y539" s="168">
        <f t="shared" si="8"/>
        <v>0</v>
      </c>
      <c r="Z539" s="168">
        <f t="shared" si="9"/>
        <v>0</v>
      </c>
    </row>
    <row r="540" ht="14.25" customHeight="1">
      <c r="A540" s="157">
        <v>967.0</v>
      </c>
      <c r="B540" s="170" t="s">
        <v>716</v>
      </c>
      <c r="C540" s="169" t="s">
        <v>817</v>
      </c>
      <c r="D540" s="159">
        <v>43040.0</v>
      </c>
      <c r="E540" s="157" t="s">
        <v>8</v>
      </c>
      <c r="F540" s="160">
        <v>589622.25</v>
      </c>
      <c r="G540" s="160">
        <v>94339.56</v>
      </c>
      <c r="H540" s="160">
        <f t="shared" si="33"/>
        <v>683961.81</v>
      </c>
      <c r="I540" s="160"/>
      <c r="J540" s="161"/>
      <c r="K540" s="160"/>
      <c r="L540" s="160">
        <f>+'FACP$'!$H540-'FACP$'!$I540-'FACP$'!$K540</f>
        <v>683961.81</v>
      </c>
      <c r="M540" s="157" t="s">
        <v>717</v>
      </c>
      <c r="N540" s="162" t="s">
        <v>554</v>
      </c>
      <c r="O540" s="175">
        <v>43460.0</v>
      </c>
      <c r="P540" s="164">
        <f t="shared" si="13"/>
        <v>43050</v>
      </c>
      <c r="Q540" s="165">
        <f t="shared" si="2"/>
        <v>0</v>
      </c>
      <c r="R540" s="166"/>
      <c r="S540" s="167"/>
      <c r="T540" s="168">
        <f t="shared" si="3"/>
        <v>683961.81</v>
      </c>
      <c r="U540" s="168">
        <f t="shared" si="4"/>
        <v>0</v>
      </c>
      <c r="V540" s="168">
        <f t="shared" si="5"/>
        <v>0</v>
      </c>
      <c r="W540" s="168">
        <f t="shared" si="6"/>
        <v>0</v>
      </c>
      <c r="X540" s="168">
        <f t="shared" si="7"/>
        <v>0</v>
      </c>
      <c r="Y540" s="168">
        <f t="shared" si="8"/>
        <v>0</v>
      </c>
      <c r="Z540" s="168">
        <f t="shared" si="9"/>
        <v>0</v>
      </c>
    </row>
    <row r="541" ht="14.25" customHeight="1">
      <c r="A541" s="157">
        <v>969.0</v>
      </c>
      <c r="B541" s="170" t="s">
        <v>716</v>
      </c>
      <c r="C541" s="169" t="s">
        <v>817</v>
      </c>
      <c r="D541" s="159">
        <v>43030.0</v>
      </c>
      <c r="E541" s="157" t="s">
        <v>8</v>
      </c>
      <c r="F541" s="160">
        <v>553878.54</v>
      </c>
      <c r="G541" s="160">
        <v>88620.57</v>
      </c>
      <c r="H541" s="160">
        <f t="shared" si="33"/>
        <v>642499.11</v>
      </c>
      <c r="I541" s="160"/>
      <c r="J541" s="161"/>
      <c r="K541" s="160"/>
      <c r="L541" s="160">
        <f>+'FACP$'!$H541-'FACP$'!$I541-'FACP$'!$K541</f>
        <v>642499.11</v>
      </c>
      <c r="M541" s="157" t="s">
        <v>717</v>
      </c>
      <c r="N541" s="162" t="s">
        <v>554</v>
      </c>
      <c r="O541" s="175">
        <v>43460.0</v>
      </c>
      <c r="P541" s="164">
        <f t="shared" si="13"/>
        <v>43040</v>
      </c>
      <c r="Q541" s="165">
        <f t="shared" si="2"/>
        <v>0</v>
      </c>
      <c r="R541" s="166"/>
      <c r="S541" s="167"/>
      <c r="T541" s="168">
        <f t="shared" si="3"/>
        <v>642499.11</v>
      </c>
      <c r="U541" s="168">
        <f t="shared" si="4"/>
        <v>0</v>
      </c>
      <c r="V541" s="168">
        <f t="shared" si="5"/>
        <v>0</v>
      </c>
      <c r="W541" s="168">
        <f t="shared" si="6"/>
        <v>0</v>
      </c>
      <c r="X541" s="168">
        <f t="shared" si="7"/>
        <v>0</v>
      </c>
      <c r="Y541" s="168">
        <f t="shared" si="8"/>
        <v>0</v>
      </c>
      <c r="Z541" s="168">
        <f t="shared" si="9"/>
        <v>0</v>
      </c>
    </row>
    <row r="542" ht="14.25" customHeight="1">
      <c r="A542" s="157">
        <v>971.0</v>
      </c>
      <c r="B542" s="177" t="s">
        <v>37</v>
      </c>
      <c r="C542" s="169" t="s">
        <v>818</v>
      </c>
      <c r="D542" s="159">
        <v>43040.0</v>
      </c>
      <c r="E542" s="157" t="s">
        <v>8</v>
      </c>
      <c r="F542" s="160">
        <v>1623909.96</v>
      </c>
      <c r="G542" s="160">
        <v>259825.59</v>
      </c>
      <c r="H542" s="160">
        <f t="shared" si="33"/>
        <v>1883735.55</v>
      </c>
      <c r="I542" s="160"/>
      <c r="J542" s="161"/>
      <c r="K542" s="160"/>
      <c r="L542" s="160">
        <f>+'FACP$'!$H542-'FACP$'!$I542-'FACP$'!$K542</f>
        <v>1883735.55</v>
      </c>
      <c r="M542" s="157" t="s">
        <v>718</v>
      </c>
      <c r="N542" s="162" t="s">
        <v>554</v>
      </c>
      <c r="O542" s="175">
        <v>43074.0</v>
      </c>
      <c r="P542" s="164">
        <f t="shared" si="13"/>
        <v>43050</v>
      </c>
      <c r="Q542" s="165">
        <f t="shared" si="2"/>
        <v>0</v>
      </c>
      <c r="R542" s="166"/>
      <c r="S542" s="167"/>
      <c r="T542" s="168">
        <f t="shared" si="3"/>
        <v>1883735.55</v>
      </c>
      <c r="U542" s="168">
        <f t="shared" si="4"/>
        <v>0</v>
      </c>
      <c r="V542" s="168">
        <f t="shared" si="5"/>
        <v>0</v>
      </c>
      <c r="W542" s="168">
        <f t="shared" si="6"/>
        <v>0</v>
      </c>
      <c r="X542" s="168">
        <f t="shared" si="7"/>
        <v>0</v>
      </c>
      <c r="Y542" s="168">
        <f t="shared" si="8"/>
        <v>0</v>
      </c>
      <c r="Z542" s="168">
        <f t="shared" si="9"/>
        <v>0</v>
      </c>
    </row>
    <row r="543" ht="14.25" customHeight="1">
      <c r="A543" s="157">
        <v>973.0</v>
      </c>
      <c r="B543" s="170" t="s">
        <v>787</v>
      </c>
      <c r="C543" s="169" t="s">
        <v>819</v>
      </c>
      <c r="D543" s="159">
        <v>43067.0</v>
      </c>
      <c r="E543" s="157" t="s">
        <v>8</v>
      </c>
      <c r="F543" s="160">
        <v>459000.0</v>
      </c>
      <c r="G543" s="160">
        <v>73440.0</v>
      </c>
      <c r="H543" s="160">
        <f t="shared" si="33"/>
        <v>532440</v>
      </c>
      <c r="I543" s="160"/>
      <c r="J543" s="161"/>
      <c r="K543" s="160"/>
      <c r="L543" s="160">
        <f>+'FACP$'!$H543-'FACP$'!$I543-'FACP$'!$K543</f>
        <v>532440</v>
      </c>
      <c r="M543" s="157" t="s">
        <v>728</v>
      </c>
      <c r="N543" s="162" t="s">
        <v>554</v>
      </c>
      <c r="O543" s="175"/>
      <c r="P543" s="164">
        <f t="shared" si="13"/>
        <v>43077</v>
      </c>
      <c r="Q543" s="165">
        <f t="shared" si="2"/>
        <v>0</v>
      </c>
      <c r="R543" s="166"/>
      <c r="S543" s="167"/>
      <c r="T543" s="168">
        <f t="shared" si="3"/>
        <v>532440</v>
      </c>
      <c r="U543" s="168">
        <f t="shared" si="4"/>
        <v>0</v>
      </c>
      <c r="V543" s="168">
        <f t="shared" si="5"/>
        <v>0</v>
      </c>
      <c r="W543" s="168">
        <f t="shared" si="6"/>
        <v>0</v>
      </c>
      <c r="X543" s="168">
        <f t="shared" si="7"/>
        <v>0</v>
      </c>
      <c r="Y543" s="168">
        <f t="shared" si="8"/>
        <v>0</v>
      </c>
      <c r="Z543" s="168">
        <f t="shared" si="9"/>
        <v>0</v>
      </c>
    </row>
    <row r="544" ht="14.25" customHeight="1">
      <c r="A544" s="157">
        <v>974.0</v>
      </c>
      <c r="B544" s="170" t="s">
        <v>79</v>
      </c>
      <c r="C544" s="169" t="s">
        <v>814</v>
      </c>
      <c r="D544" s="159">
        <v>43055.0</v>
      </c>
      <c r="E544" s="157" t="s">
        <v>8</v>
      </c>
      <c r="F544" s="160">
        <v>612066.47</v>
      </c>
      <c r="G544" s="160">
        <v>97930.64</v>
      </c>
      <c r="H544" s="160">
        <f t="shared" si="33"/>
        <v>709997.11</v>
      </c>
      <c r="I544" s="160"/>
      <c r="J544" s="161"/>
      <c r="K544" s="160"/>
      <c r="L544" s="160">
        <f>+'FACP$'!$H544-'FACP$'!$I544-'FACP$'!$K544</f>
        <v>709997.11</v>
      </c>
      <c r="M544" s="157" t="s">
        <v>712</v>
      </c>
      <c r="N544" s="162" t="s">
        <v>554</v>
      </c>
      <c r="O544" s="175">
        <v>43104.0</v>
      </c>
      <c r="P544" s="164">
        <f t="shared" si="13"/>
        <v>43065</v>
      </c>
      <c r="Q544" s="165">
        <f t="shared" si="2"/>
        <v>0</v>
      </c>
      <c r="R544" s="166"/>
      <c r="S544" s="167"/>
      <c r="T544" s="168">
        <f t="shared" si="3"/>
        <v>709997.11</v>
      </c>
      <c r="U544" s="168">
        <f t="shared" si="4"/>
        <v>0</v>
      </c>
      <c r="V544" s="168">
        <f t="shared" si="5"/>
        <v>0</v>
      </c>
      <c r="W544" s="168">
        <f t="shared" si="6"/>
        <v>0</v>
      </c>
      <c r="X544" s="168">
        <f t="shared" si="7"/>
        <v>0</v>
      </c>
      <c r="Y544" s="168">
        <f t="shared" si="8"/>
        <v>0</v>
      </c>
      <c r="Z544" s="168">
        <f t="shared" si="9"/>
        <v>0</v>
      </c>
    </row>
    <row r="545" ht="14.25" customHeight="1">
      <c r="A545" s="157">
        <v>975.0</v>
      </c>
      <c r="B545" s="158" t="s">
        <v>82</v>
      </c>
      <c r="C545" s="169" t="s">
        <v>713</v>
      </c>
      <c r="D545" s="159">
        <v>43055.0</v>
      </c>
      <c r="E545" s="157" t="s">
        <v>8</v>
      </c>
      <c r="F545" s="160">
        <v>475743.11</v>
      </c>
      <c r="G545" s="160">
        <v>76118.9</v>
      </c>
      <c r="H545" s="160">
        <f t="shared" si="33"/>
        <v>551862.01</v>
      </c>
      <c r="I545" s="160"/>
      <c r="J545" s="161"/>
      <c r="K545" s="160"/>
      <c r="L545" s="160">
        <f>+'FACP$'!$H545-'FACP$'!$I545-'FACP$'!$K545</f>
        <v>551862.01</v>
      </c>
      <c r="M545" s="157" t="s">
        <v>714</v>
      </c>
      <c r="N545" s="162" t="s">
        <v>554</v>
      </c>
      <c r="O545" s="175">
        <v>43456.0</v>
      </c>
      <c r="P545" s="164">
        <f t="shared" si="13"/>
        <v>43065</v>
      </c>
      <c r="Q545" s="165">
        <f t="shared" si="2"/>
        <v>0</v>
      </c>
      <c r="R545" s="166"/>
      <c r="S545" s="167"/>
      <c r="T545" s="168">
        <f t="shared" si="3"/>
        <v>551862.01</v>
      </c>
      <c r="U545" s="168">
        <f t="shared" si="4"/>
        <v>0</v>
      </c>
      <c r="V545" s="168">
        <f t="shared" si="5"/>
        <v>0</v>
      </c>
      <c r="W545" s="168">
        <f t="shared" si="6"/>
        <v>0</v>
      </c>
      <c r="X545" s="168">
        <f t="shared" si="7"/>
        <v>0</v>
      </c>
      <c r="Y545" s="168">
        <f t="shared" si="8"/>
        <v>0</v>
      </c>
      <c r="Z545" s="168">
        <f t="shared" si="9"/>
        <v>0</v>
      </c>
    </row>
    <row r="546" ht="14.25" customHeight="1">
      <c r="A546" s="157">
        <v>977.0</v>
      </c>
      <c r="B546" s="170" t="s">
        <v>722</v>
      </c>
      <c r="C546" s="169" t="s">
        <v>815</v>
      </c>
      <c r="D546" s="159">
        <v>43054.0</v>
      </c>
      <c r="E546" s="157" t="s">
        <v>8</v>
      </c>
      <c r="F546" s="160">
        <v>5730285.64</v>
      </c>
      <c r="G546" s="160">
        <v>916845.7</v>
      </c>
      <c r="H546" s="160">
        <f t="shared" si="33"/>
        <v>6647131.34</v>
      </c>
      <c r="I546" s="160"/>
      <c r="J546" s="161"/>
      <c r="K546" s="160"/>
      <c r="L546" s="160">
        <f>+'FACP$'!$H546-'FACP$'!$I546-'FACP$'!$K546</f>
        <v>6647131.34</v>
      </c>
      <c r="M546" s="157" t="s">
        <v>93</v>
      </c>
      <c r="N546" s="162" t="s">
        <v>554</v>
      </c>
      <c r="O546" s="175">
        <v>43084.0</v>
      </c>
      <c r="P546" s="164">
        <f t="shared" si="13"/>
        <v>43064</v>
      </c>
      <c r="Q546" s="165">
        <f t="shared" si="2"/>
        <v>0</v>
      </c>
      <c r="R546" s="166"/>
      <c r="S546" s="167"/>
      <c r="T546" s="168">
        <f t="shared" si="3"/>
        <v>6647131.34</v>
      </c>
      <c r="U546" s="168">
        <f t="shared" si="4"/>
        <v>0</v>
      </c>
      <c r="V546" s="168">
        <f t="shared" si="5"/>
        <v>0</v>
      </c>
      <c r="W546" s="168">
        <f t="shared" si="6"/>
        <v>0</v>
      </c>
      <c r="X546" s="168">
        <f t="shared" si="7"/>
        <v>0</v>
      </c>
      <c r="Y546" s="168">
        <f t="shared" si="8"/>
        <v>0</v>
      </c>
      <c r="Z546" s="168">
        <f t="shared" si="9"/>
        <v>0</v>
      </c>
    </row>
    <row r="547" ht="14.25" customHeight="1">
      <c r="A547" s="157">
        <v>978.0</v>
      </c>
      <c r="B547" s="169" t="s">
        <v>70</v>
      </c>
      <c r="C547" s="169" t="s">
        <v>820</v>
      </c>
      <c r="D547" s="159">
        <v>43054.0</v>
      </c>
      <c r="E547" s="157" t="s">
        <v>8</v>
      </c>
      <c r="F547" s="160">
        <v>309631.98</v>
      </c>
      <c r="G547" s="160">
        <v>49541.12</v>
      </c>
      <c r="H547" s="160">
        <f t="shared" si="33"/>
        <v>359173.1</v>
      </c>
      <c r="I547" s="160"/>
      <c r="J547" s="161"/>
      <c r="K547" s="160"/>
      <c r="L547" s="160">
        <f>+'FACP$'!$H547-'FACP$'!$I547-'FACP$'!$K547</f>
        <v>359173.1</v>
      </c>
      <c r="M547" s="157" t="s">
        <v>719</v>
      </c>
      <c r="N547" s="162" t="s">
        <v>554</v>
      </c>
      <c r="O547" s="175">
        <v>43087.0</v>
      </c>
      <c r="P547" s="164">
        <f t="shared" si="13"/>
        <v>43064</v>
      </c>
      <c r="Q547" s="165">
        <f t="shared" si="2"/>
        <v>0</v>
      </c>
      <c r="R547" s="166"/>
      <c r="S547" s="167"/>
      <c r="T547" s="168">
        <f t="shared" si="3"/>
        <v>359173.1</v>
      </c>
      <c r="U547" s="168">
        <f t="shared" si="4"/>
        <v>0</v>
      </c>
      <c r="V547" s="168">
        <f t="shared" si="5"/>
        <v>0</v>
      </c>
      <c r="W547" s="168">
        <f t="shared" si="6"/>
        <v>0</v>
      </c>
      <c r="X547" s="168">
        <f t="shared" si="7"/>
        <v>0</v>
      </c>
      <c r="Y547" s="168">
        <f t="shared" si="8"/>
        <v>0</v>
      </c>
      <c r="Z547" s="168">
        <f t="shared" si="9"/>
        <v>0</v>
      </c>
    </row>
    <row r="548" ht="14.25" customHeight="1">
      <c r="A548" s="157">
        <v>980.0</v>
      </c>
      <c r="B548" s="170" t="s">
        <v>716</v>
      </c>
      <c r="C548" s="169" t="s">
        <v>817</v>
      </c>
      <c r="D548" s="159">
        <v>43054.0</v>
      </c>
      <c r="E548" s="157" t="s">
        <v>8</v>
      </c>
      <c r="F548" s="160">
        <v>1836042.39</v>
      </c>
      <c r="G548" s="160">
        <v>293766.78</v>
      </c>
      <c r="H548" s="160">
        <f t="shared" si="33"/>
        <v>2129809.17</v>
      </c>
      <c r="I548" s="179"/>
      <c r="J548" s="177"/>
      <c r="K548" s="179"/>
      <c r="L548" s="179">
        <f>+'FACP$'!$H548-'FACP$'!$I548-'FACP$'!$K548</f>
        <v>2129809.17</v>
      </c>
      <c r="M548" s="157" t="s">
        <v>717</v>
      </c>
      <c r="N548" s="162" t="s">
        <v>554</v>
      </c>
      <c r="O548" s="175">
        <v>43460.0</v>
      </c>
      <c r="P548" s="164">
        <f t="shared" si="13"/>
        <v>43064</v>
      </c>
      <c r="Q548" s="165">
        <f t="shared" si="2"/>
        <v>0</v>
      </c>
      <c r="R548" s="166"/>
      <c r="S548" s="167"/>
      <c r="T548" s="168">
        <f t="shared" si="3"/>
        <v>2129809.17</v>
      </c>
      <c r="U548" s="168">
        <f t="shared" si="4"/>
        <v>0</v>
      </c>
      <c r="V548" s="168">
        <f t="shared" si="5"/>
        <v>0</v>
      </c>
      <c r="W548" s="168">
        <f t="shared" si="6"/>
        <v>0</v>
      </c>
      <c r="X548" s="168">
        <f t="shared" si="7"/>
        <v>0</v>
      </c>
      <c r="Y548" s="168">
        <f t="shared" si="8"/>
        <v>0</v>
      </c>
      <c r="Z548" s="168">
        <f t="shared" si="9"/>
        <v>0</v>
      </c>
    </row>
    <row r="549" ht="14.25" customHeight="1">
      <c r="A549" s="157">
        <v>982.0</v>
      </c>
      <c r="B549" s="170" t="s">
        <v>716</v>
      </c>
      <c r="C549" s="169" t="s">
        <v>817</v>
      </c>
      <c r="D549" s="159">
        <v>43030.0</v>
      </c>
      <c r="E549" s="157" t="s">
        <v>8</v>
      </c>
      <c r="F549" s="160">
        <v>553878.54</v>
      </c>
      <c r="G549" s="160">
        <v>88620.57</v>
      </c>
      <c r="H549" s="160">
        <f t="shared" si="33"/>
        <v>642499.11</v>
      </c>
      <c r="I549" s="160"/>
      <c r="J549" s="161"/>
      <c r="K549" s="160"/>
      <c r="L549" s="160">
        <f>+'FACP$'!$H549-'FACP$'!$I549-'FACP$'!$K549</f>
        <v>642499.11</v>
      </c>
      <c r="M549" s="157" t="s">
        <v>717</v>
      </c>
      <c r="N549" s="162" t="s">
        <v>127</v>
      </c>
      <c r="O549" s="175"/>
      <c r="P549" s="164">
        <f t="shared" si="13"/>
        <v>43040</v>
      </c>
      <c r="Q549" s="165">
        <f t="shared" si="2"/>
        <v>0</v>
      </c>
      <c r="R549" s="166"/>
      <c r="S549" s="167"/>
      <c r="T549" s="168">
        <f t="shared" si="3"/>
        <v>642499.11</v>
      </c>
      <c r="U549" s="168">
        <f t="shared" si="4"/>
        <v>0</v>
      </c>
      <c r="V549" s="168">
        <f t="shared" si="5"/>
        <v>0</v>
      </c>
      <c r="W549" s="168">
        <f t="shared" si="6"/>
        <v>0</v>
      </c>
      <c r="X549" s="168">
        <f t="shared" si="7"/>
        <v>0</v>
      </c>
      <c r="Y549" s="168">
        <f t="shared" si="8"/>
        <v>0</v>
      </c>
      <c r="Z549" s="168">
        <f t="shared" si="9"/>
        <v>0</v>
      </c>
    </row>
    <row r="550" ht="14.25" customHeight="1">
      <c r="A550" s="157">
        <v>984.0</v>
      </c>
      <c r="B550" s="170" t="s">
        <v>720</v>
      </c>
      <c r="C550" s="169" t="s">
        <v>816</v>
      </c>
      <c r="D550" s="159">
        <v>43054.0</v>
      </c>
      <c r="E550" s="157" t="s">
        <v>8</v>
      </c>
      <c r="F550" s="160">
        <v>1333968.72</v>
      </c>
      <c r="G550" s="160">
        <v>213435.0</v>
      </c>
      <c r="H550" s="160">
        <f t="shared" si="33"/>
        <v>1547403.72</v>
      </c>
      <c r="I550" s="160"/>
      <c r="J550" s="161"/>
      <c r="K550" s="160"/>
      <c r="L550" s="160">
        <f>+'FACP$'!$H550-'FACP$'!$I550-'FACP$'!$K550</f>
        <v>1547403.72</v>
      </c>
      <c r="M550" s="157" t="s">
        <v>721</v>
      </c>
      <c r="N550" s="162" t="s">
        <v>554</v>
      </c>
      <c r="O550" s="175">
        <v>43087.0</v>
      </c>
      <c r="P550" s="164">
        <f t="shared" si="13"/>
        <v>43064</v>
      </c>
      <c r="Q550" s="165">
        <f t="shared" si="2"/>
        <v>0</v>
      </c>
      <c r="R550" s="166"/>
      <c r="S550" s="167"/>
      <c r="T550" s="168">
        <f t="shared" si="3"/>
        <v>1547403.72</v>
      </c>
      <c r="U550" s="168">
        <f t="shared" si="4"/>
        <v>0</v>
      </c>
      <c r="V550" s="168">
        <f t="shared" si="5"/>
        <v>0</v>
      </c>
      <c r="W550" s="168">
        <f t="shared" si="6"/>
        <v>0</v>
      </c>
      <c r="X550" s="168">
        <f t="shared" si="7"/>
        <v>0</v>
      </c>
      <c r="Y550" s="168">
        <f t="shared" si="8"/>
        <v>0</v>
      </c>
      <c r="Z550" s="168">
        <f t="shared" si="9"/>
        <v>0</v>
      </c>
    </row>
    <row r="551" ht="14.25" customHeight="1">
      <c r="A551" s="157">
        <v>987.0</v>
      </c>
      <c r="B551" s="169" t="s">
        <v>70</v>
      </c>
      <c r="C551" s="169" t="s">
        <v>816</v>
      </c>
      <c r="D551" s="159">
        <v>43008.0</v>
      </c>
      <c r="E551" s="157" t="s">
        <v>8</v>
      </c>
      <c r="F551" s="160">
        <v>28175.97</v>
      </c>
      <c r="G551" s="160">
        <v>4508.16</v>
      </c>
      <c r="H551" s="160">
        <f t="shared" si="33"/>
        <v>32684.13</v>
      </c>
      <c r="I551" s="160"/>
      <c r="J551" s="161"/>
      <c r="K551" s="160"/>
      <c r="L551" s="160">
        <f>+'FACP$'!$H551-'FACP$'!$I551-'FACP$'!$K551</f>
        <v>32684.13</v>
      </c>
      <c r="M551" s="157" t="s">
        <v>719</v>
      </c>
      <c r="N551" s="162" t="s">
        <v>554</v>
      </c>
      <c r="O551" s="175">
        <v>43084.0</v>
      </c>
      <c r="P551" s="164">
        <f t="shared" si="13"/>
        <v>43018</v>
      </c>
      <c r="Q551" s="165">
        <f t="shared" si="2"/>
        <v>0</v>
      </c>
      <c r="R551" s="166"/>
      <c r="S551" s="167"/>
      <c r="T551" s="168">
        <f t="shared" si="3"/>
        <v>32684.13</v>
      </c>
      <c r="U551" s="168">
        <f t="shared" si="4"/>
        <v>0</v>
      </c>
      <c r="V551" s="168">
        <f t="shared" si="5"/>
        <v>0</v>
      </c>
      <c r="W551" s="168">
        <f t="shared" si="6"/>
        <v>0</v>
      </c>
      <c r="X551" s="168">
        <f t="shared" si="7"/>
        <v>0</v>
      </c>
      <c r="Y551" s="168">
        <f t="shared" si="8"/>
        <v>0</v>
      </c>
      <c r="Z551" s="168">
        <f t="shared" si="9"/>
        <v>0</v>
      </c>
    </row>
    <row r="552" ht="14.25" customHeight="1">
      <c r="A552" s="157">
        <v>988.0</v>
      </c>
      <c r="B552" s="170" t="s">
        <v>103</v>
      </c>
      <c r="C552" s="169" t="s">
        <v>816</v>
      </c>
      <c r="D552" s="159">
        <v>43030.0</v>
      </c>
      <c r="E552" s="157" t="s">
        <v>8</v>
      </c>
      <c r="F552" s="160">
        <v>512452.99</v>
      </c>
      <c r="G552" s="160">
        <v>81992.48</v>
      </c>
      <c r="H552" s="160">
        <f t="shared" si="33"/>
        <v>594445.47</v>
      </c>
      <c r="I552" s="160"/>
      <c r="J552" s="161"/>
      <c r="K552" s="160"/>
      <c r="L552" s="160">
        <f>+'FACP$'!$H552-'FACP$'!$I552-'FACP$'!$K552</f>
        <v>594445.47</v>
      </c>
      <c r="M552" s="157" t="s">
        <v>103</v>
      </c>
      <c r="N552" s="162" t="s">
        <v>127</v>
      </c>
      <c r="O552" s="175"/>
      <c r="P552" s="164">
        <f t="shared" si="13"/>
        <v>43040</v>
      </c>
      <c r="Q552" s="165">
        <f t="shared" si="2"/>
        <v>0</v>
      </c>
      <c r="R552" s="166"/>
      <c r="S552" s="167"/>
      <c r="T552" s="168">
        <f t="shared" si="3"/>
        <v>594445.47</v>
      </c>
      <c r="U552" s="168">
        <f t="shared" si="4"/>
        <v>0</v>
      </c>
      <c r="V552" s="168">
        <f t="shared" si="5"/>
        <v>0</v>
      </c>
      <c r="W552" s="168">
        <f t="shared" si="6"/>
        <v>0</v>
      </c>
      <c r="X552" s="168">
        <f t="shared" si="7"/>
        <v>0</v>
      </c>
      <c r="Y552" s="168">
        <f t="shared" si="8"/>
        <v>0</v>
      </c>
      <c r="Z552" s="168">
        <f t="shared" si="9"/>
        <v>0</v>
      </c>
    </row>
    <row r="553" ht="14.25" customHeight="1">
      <c r="A553" s="157">
        <v>990.0</v>
      </c>
      <c r="B553" s="161" t="s">
        <v>103</v>
      </c>
      <c r="C553" s="169" t="s">
        <v>816</v>
      </c>
      <c r="D553" s="159">
        <v>43040.0</v>
      </c>
      <c r="E553" s="157" t="s">
        <v>8</v>
      </c>
      <c r="F553" s="160">
        <v>66104.8</v>
      </c>
      <c r="G553" s="160">
        <v>10576.77</v>
      </c>
      <c r="H553" s="160">
        <f t="shared" si="33"/>
        <v>76681.57</v>
      </c>
      <c r="I553" s="160"/>
      <c r="J553" s="161"/>
      <c r="K553" s="160"/>
      <c r="L553" s="160">
        <f>+'FACP$'!$H553-'FACP$'!$I553-'FACP$'!$K553</f>
        <v>76681.57</v>
      </c>
      <c r="M553" s="157" t="s">
        <v>103</v>
      </c>
      <c r="N553" s="162" t="s">
        <v>127</v>
      </c>
      <c r="O553" s="175"/>
      <c r="P553" s="164">
        <f t="shared" si="13"/>
        <v>43050</v>
      </c>
      <c r="Q553" s="165">
        <f t="shared" si="2"/>
        <v>0</v>
      </c>
      <c r="R553" s="166"/>
      <c r="S553" s="167"/>
      <c r="T553" s="168">
        <f t="shared" si="3"/>
        <v>76681.57</v>
      </c>
      <c r="U553" s="168">
        <f t="shared" si="4"/>
        <v>0</v>
      </c>
      <c r="V553" s="168">
        <f t="shared" si="5"/>
        <v>0</v>
      </c>
      <c r="W553" s="168">
        <f t="shared" si="6"/>
        <v>0</v>
      </c>
      <c r="X553" s="168">
        <f t="shared" si="7"/>
        <v>0</v>
      </c>
      <c r="Y553" s="168">
        <f t="shared" si="8"/>
        <v>0</v>
      </c>
      <c r="Z553" s="168">
        <f t="shared" si="9"/>
        <v>0</v>
      </c>
    </row>
    <row r="554" ht="14.25" customHeight="1">
      <c r="A554" s="157">
        <v>992.0</v>
      </c>
      <c r="B554" s="170" t="s">
        <v>103</v>
      </c>
      <c r="C554" s="169" t="s">
        <v>816</v>
      </c>
      <c r="D554" s="159">
        <v>43054.0</v>
      </c>
      <c r="E554" s="157" t="s">
        <v>8</v>
      </c>
      <c r="F554" s="160">
        <v>468300.32</v>
      </c>
      <c r="G554" s="160">
        <v>74928.05</v>
      </c>
      <c r="H554" s="160">
        <f t="shared" si="33"/>
        <v>543228.37</v>
      </c>
      <c r="I554" s="160"/>
      <c r="J554" s="161"/>
      <c r="K554" s="160"/>
      <c r="L554" s="160">
        <f>+'FACP$'!$H554-'FACP$'!$I554-'FACP$'!$K554</f>
        <v>543228.37</v>
      </c>
      <c r="M554" s="157" t="s">
        <v>103</v>
      </c>
      <c r="N554" s="162" t="s">
        <v>127</v>
      </c>
      <c r="O554" s="175"/>
      <c r="P554" s="164">
        <f t="shared" si="13"/>
        <v>43064</v>
      </c>
      <c r="Q554" s="165">
        <f t="shared" si="2"/>
        <v>0</v>
      </c>
      <c r="R554" s="166"/>
      <c r="S554" s="167"/>
      <c r="T554" s="168">
        <f t="shared" si="3"/>
        <v>543228.37</v>
      </c>
      <c r="U554" s="168">
        <f t="shared" si="4"/>
        <v>0</v>
      </c>
      <c r="V554" s="168">
        <f t="shared" si="5"/>
        <v>0</v>
      </c>
      <c r="W554" s="168">
        <f t="shared" si="6"/>
        <v>0</v>
      </c>
      <c r="X554" s="168">
        <f t="shared" si="7"/>
        <v>0</v>
      </c>
      <c r="Y554" s="168">
        <f t="shared" si="8"/>
        <v>0</v>
      </c>
      <c r="Z554" s="168">
        <f t="shared" si="9"/>
        <v>0</v>
      </c>
    </row>
    <row r="555" ht="14.25" customHeight="1">
      <c r="A555" s="157">
        <v>998.0</v>
      </c>
      <c r="B555" s="170" t="s">
        <v>821</v>
      </c>
      <c r="C555" s="169" t="s">
        <v>822</v>
      </c>
      <c r="D555" s="159">
        <v>43081.0</v>
      </c>
      <c r="E555" s="157" t="s">
        <v>8</v>
      </c>
      <c r="F555" s="160">
        <v>459000.0</v>
      </c>
      <c r="G555" s="160">
        <v>73440.0</v>
      </c>
      <c r="H555" s="160">
        <f t="shared" si="33"/>
        <v>532440</v>
      </c>
      <c r="I555" s="160"/>
      <c r="J555" s="161"/>
      <c r="K555" s="160"/>
      <c r="L555" s="160">
        <f>+'FACP$'!$H555-'FACP$'!$I555-'FACP$'!$K555</f>
        <v>532440</v>
      </c>
      <c r="M555" s="157" t="s">
        <v>728</v>
      </c>
      <c r="N555" s="162" t="s">
        <v>554</v>
      </c>
      <c r="O555" s="175"/>
      <c r="P555" s="164">
        <f t="shared" si="13"/>
        <v>43091</v>
      </c>
      <c r="Q555" s="165">
        <f t="shared" si="2"/>
        <v>0</v>
      </c>
      <c r="R555" s="166"/>
      <c r="S555" s="167"/>
      <c r="T555" s="168">
        <f t="shared" si="3"/>
        <v>532440</v>
      </c>
      <c r="U555" s="168">
        <f t="shared" si="4"/>
        <v>0</v>
      </c>
      <c r="V555" s="168">
        <f t="shared" si="5"/>
        <v>0</v>
      </c>
      <c r="W555" s="168">
        <f t="shared" si="6"/>
        <v>0</v>
      </c>
      <c r="X555" s="168">
        <f t="shared" si="7"/>
        <v>0</v>
      </c>
      <c r="Y555" s="168">
        <f t="shared" si="8"/>
        <v>0</v>
      </c>
      <c r="Z555" s="168">
        <f t="shared" si="9"/>
        <v>0</v>
      </c>
    </row>
    <row r="556" ht="14.25" customHeight="1">
      <c r="A556" s="157">
        <v>999.0</v>
      </c>
      <c r="B556" s="170" t="s">
        <v>37</v>
      </c>
      <c r="C556" s="169" t="s">
        <v>823</v>
      </c>
      <c r="D556" s="159">
        <v>43054.0</v>
      </c>
      <c r="E556" s="157" t="s">
        <v>8</v>
      </c>
      <c r="F556" s="160">
        <v>1845506.16</v>
      </c>
      <c r="G556" s="160">
        <v>295280.99</v>
      </c>
      <c r="H556" s="160">
        <f t="shared" si="33"/>
        <v>2140787.15</v>
      </c>
      <c r="I556" s="160"/>
      <c r="J556" s="161"/>
      <c r="K556" s="160"/>
      <c r="L556" s="160">
        <f>+'FACP$'!$H556-'FACP$'!$I556-'FACP$'!$K556</f>
        <v>2140787.15</v>
      </c>
      <c r="M556" s="157" t="s">
        <v>718</v>
      </c>
      <c r="N556" s="162" t="s">
        <v>554</v>
      </c>
      <c r="O556" s="175">
        <v>43452.0</v>
      </c>
      <c r="P556" s="164">
        <f t="shared" si="13"/>
        <v>43064</v>
      </c>
      <c r="Q556" s="165">
        <f t="shared" si="2"/>
        <v>0</v>
      </c>
      <c r="R556" s="166"/>
      <c r="S556" s="167"/>
      <c r="T556" s="168">
        <f t="shared" si="3"/>
        <v>2140787.15</v>
      </c>
      <c r="U556" s="168">
        <f t="shared" si="4"/>
        <v>0</v>
      </c>
      <c r="V556" s="168">
        <f t="shared" si="5"/>
        <v>0</v>
      </c>
      <c r="W556" s="168">
        <f t="shared" si="6"/>
        <v>0</v>
      </c>
      <c r="X556" s="168">
        <f t="shared" si="7"/>
        <v>0</v>
      </c>
      <c r="Y556" s="168">
        <f t="shared" si="8"/>
        <v>0</v>
      </c>
      <c r="Z556" s="168">
        <f t="shared" si="9"/>
        <v>0</v>
      </c>
    </row>
    <row r="557" ht="14.25" customHeight="1">
      <c r="A557" s="157">
        <v>1003.0</v>
      </c>
      <c r="B557" s="158" t="s">
        <v>29</v>
      </c>
      <c r="C557" s="169" t="s">
        <v>824</v>
      </c>
      <c r="D557" s="159">
        <v>43084.0</v>
      </c>
      <c r="E557" s="157" t="s">
        <v>8</v>
      </c>
      <c r="F557" s="160">
        <v>61399.0</v>
      </c>
      <c r="G557" s="160">
        <v>9823.84</v>
      </c>
      <c r="H557" s="160">
        <f t="shared" si="33"/>
        <v>71222.84</v>
      </c>
      <c r="I557" s="160"/>
      <c r="J557" s="161"/>
      <c r="K557" s="160"/>
      <c r="L557" s="160">
        <f>+'FACP$'!$H557-'FACP$'!$I557-'FACP$'!$K557</f>
        <v>71222.84</v>
      </c>
      <c r="M557" s="157" t="s">
        <v>825</v>
      </c>
      <c r="N557" s="162" t="s">
        <v>127</v>
      </c>
      <c r="O557" s="175"/>
      <c r="P557" s="164">
        <f t="shared" si="13"/>
        <v>43094</v>
      </c>
      <c r="Q557" s="165">
        <f t="shared" si="2"/>
        <v>0</v>
      </c>
      <c r="R557" s="166"/>
      <c r="S557" s="167"/>
      <c r="T557" s="168">
        <f t="shared" si="3"/>
        <v>71222.84</v>
      </c>
      <c r="U557" s="168">
        <f t="shared" si="4"/>
        <v>0</v>
      </c>
      <c r="V557" s="168">
        <f t="shared" si="5"/>
        <v>0</v>
      </c>
      <c r="W557" s="168">
        <f t="shared" si="6"/>
        <v>0</v>
      </c>
      <c r="X557" s="168">
        <f t="shared" si="7"/>
        <v>0</v>
      </c>
      <c r="Y557" s="168">
        <f t="shared" si="8"/>
        <v>0</v>
      </c>
      <c r="Z557" s="168">
        <f t="shared" si="9"/>
        <v>0</v>
      </c>
    </row>
    <row r="558" ht="14.25" customHeight="1">
      <c r="A558" s="157">
        <v>1004.0</v>
      </c>
      <c r="B558" s="158" t="s">
        <v>29</v>
      </c>
      <c r="C558" s="169" t="s">
        <v>826</v>
      </c>
      <c r="D558" s="159">
        <v>43084.0</v>
      </c>
      <c r="E558" s="157" t="s">
        <v>8</v>
      </c>
      <c r="F558" s="160">
        <v>53205.22</v>
      </c>
      <c r="G558" s="160">
        <v>8512.84</v>
      </c>
      <c r="H558" s="160">
        <f t="shared" si="33"/>
        <v>61718.06</v>
      </c>
      <c r="I558" s="160"/>
      <c r="J558" s="161"/>
      <c r="K558" s="160"/>
      <c r="L558" s="160">
        <f>+'FACP$'!$H558-'FACP$'!$I558-'FACP$'!$K558</f>
        <v>61718.06</v>
      </c>
      <c r="M558" s="157" t="s">
        <v>825</v>
      </c>
      <c r="N558" s="162" t="s">
        <v>127</v>
      </c>
      <c r="O558" s="175"/>
      <c r="P558" s="164">
        <f t="shared" si="13"/>
        <v>43094</v>
      </c>
      <c r="Q558" s="165">
        <f t="shared" si="2"/>
        <v>0</v>
      </c>
      <c r="R558" s="166"/>
      <c r="S558" s="167"/>
      <c r="T558" s="168">
        <f t="shared" si="3"/>
        <v>61718.06</v>
      </c>
      <c r="U558" s="168">
        <f t="shared" si="4"/>
        <v>0</v>
      </c>
      <c r="V558" s="168">
        <f t="shared" si="5"/>
        <v>0</v>
      </c>
      <c r="W558" s="168">
        <f t="shared" si="6"/>
        <v>0</v>
      </c>
      <c r="X558" s="168">
        <f t="shared" si="7"/>
        <v>0</v>
      </c>
      <c r="Y558" s="168">
        <f t="shared" si="8"/>
        <v>0</v>
      </c>
      <c r="Z558" s="168">
        <f t="shared" si="9"/>
        <v>0</v>
      </c>
    </row>
    <row r="559" ht="14.25" customHeight="1">
      <c r="A559" s="157">
        <v>1005.0</v>
      </c>
      <c r="B559" s="158" t="s">
        <v>29</v>
      </c>
      <c r="C559" s="169" t="s">
        <v>827</v>
      </c>
      <c r="D559" s="159">
        <v>43084.0</v>
      </c>
      <c r="E559" s="157" t="s">
        <v>8</v>
      </c>
      <c r="F559" s="160">
        <v>86484.32</v>
      </c>
      <c r="G559" s="160">
        <v>13837.49</v>
      </c>
      <c r="H559" s="160">
        <f t="shared" si="33"/>
        <v>100321.81</v>
      </c>
      <c r="I559" s="160"/>
      <c r="J559" s="161"/>
      <c r="K559" s="160"/>
      <c r="L559" s="160">
        <f>+'FACP$'!$H559-'FACP$'!$I559-'FACP$'!$K559</f>
        <v>100321.81</v>
      </c>
      <c r="M559" s="157" t="s">
        <v>825</v>
      </c>
      <c r="N559" s="162" t="s">
        <v>127</v>
      </c>
      <c r="O559" s="175"/>
      <c r="P559" s="164">
        <f t="shared" si="13"/>
        <v>43094</v>
      </c>
      <c r="Q559" s="165">
        <f t="shared" si="2"/>
        <v>0</v>
      </c>
      <c r="R559" s="166"/>
      <c r="S559" s="167"/>
      <c r="T559" s="168">
        <f t="shared" si="3"/>
        <v>100321.81</v>
      </c>
      <c r="U559" s="168">
        <f t="shared" si="4"/>
        <v>0</v>
      </c>
      <c r="V559" s="168">
        <f t="shared" si="5"/>
        <v>0</v>
      </c>
      <c r="W559" s="168">
        <f t="shared" si="6"/>
        <v>0</v>
      </c>
      <c r="X559" s="168">
        <f t="shared" si="7"/>
        <v>0</v>
      </c>
      <c r="Y559" s="168">
        <f t="shared" si="8"/>
        <v>0</v>
      </c>
      <c r="Z559" s="168">
        <f t="shared" si="9"/>
        <v>0</v>
      </c>
    </row>
    <row r="560" ht="14.25" customHeight="1">
      <c r="A560" s="157">
        <v>1006.0</v>
      </c>
      <c r="B560" s="170" t="s">
        <v>722</v>
      </c>
      <c r="C560" s="169" t="s">
        <v>815</v>
      </c>
      <c r="D560" s="159">
        <v>43070.0</v>
      </c>
      <c r="E560" s="157" t="s">
        <v>8</v>
      </c>
      <c r="F560" s="160">
        <v>6350176.56</v>
      </c>
      <c r="G560" s="160">
        <v>1016028.81</v>
      </c>
      <c r="H560" s="160">
        <f t="shared" si="33"/>
        <v>7366205.37</v>
      </c>
      <c r="I560" s="160"/>
      <c r="J560" s="161"/>
      <c r="K560" s="160"/>
      <c r="L560" s="160">
        <f>+'FACP$'!$H560-'FACP$'!$I560-'FACP$'!$K560</f>
        <v>7366205.37</v>
      </c>
      <c r="M560" s="157" t="s">
        <v>93</v>
      </c>
      <c r="N560" s="162" t="s">
        <v>554</v>
      </c>
      <c r="O560" s="175">
        <v>43462.0</v>
      </c>
      <c r="P560" s="164">
        <f t="shared" si="13"/>
        <v>43080</v>
      </c>
      <c r="Q560" s="165">
        <f t="shared" si="2"/>
        <v>0</v>
      </c>
      <c r="R560" s="166"/>
      <c r="S560" s="167"/>
      <c r="T560" s="168">
        <f t="shared" si="3"/>
        <v>7366205.37</v>
      </c>
      <c r="U560" s="168">
        <f t="shared" si="4"/>
        <v>0</v>
      </c>
      <c r="V560" s="168">
        <f t="shared" si="5"/>
        <v>0</v>
      </c>
      <c r="W560" s="168">
        <f t="shared" si="6"/>
        <v>0</v>
      </c>
      <c r="X560" s="168">
        <f t="shared" si="7"/>
        <v>0</v>
      </c>
      <c r="Y560" s="168">
        <f t="shared" si="8"/>
        <v>0</v>
      </c>
      <c r="Z560" s="168">
        <f t="shared" si="9"/>
        <v>0</v>
      </c>
    </row>
    <row r="561" ht="14.25" customHeight="1">
      <c r="A561" s="157">
        <v>1007.0</v>
      </c>
      <c r="B561" s="158" t="s">
        <v>70</v>
      </c>
      <c r="C561" s="169" t="s">
        <v>815</v>
      </c>
      <c r="D561" s="159">
        <v>43070.0</v>
      </c>
      <c r="E561" s="157" t="s">
        <v>8</v>
      </c>
      <c r="F561" s="160">
        <v>191807.0</v>
      </c>
      <c r="G561" s="160">
        <v>30689.12</v>
      </c>
      <c r="H561" s="160">
        <f t="shared" si="33"/>
        <v>222496.12</v>
      </c>
      <c r="I561" s="160"/>
      <c r="J561" s="161"/>
      <c r="K561" s="160"/>
      <c r="L561" s="160">
        <f>+'FACP$'!$H561-'FACP$'!$I561-'FACP$'!$K561</f>
        <v>222496.12</v>
      </c>
      <c r="M561" s="157" t="s">
        <v>719</v>
      </c>
      <c r="N561" s="162" t="s">
        <v>554</v>
      </c>
      <c r="O561" s="163">
        <v>43461.0</v>
      </c>
      <c r="P561" s="164">
        <f t="shared" si="13"/>
        <v>43080</v>
      </c>
      <c r="Q561" s="165">
        <f t="shared" si="2"/>
        <v>0</v>
      </c>
      <c r="R561" s="166"/>
      <c r="S561" s="167"/>
      <c r="T561" s="168">
        <f t="shared" si="3"/>
        <v>222496.12</v>
      </c>
      <c r="U561" s="168">
        <f t="shared" si="4"/>
        <v>0</v>
      </c>
      <c r="V561" s="168">
        <f t="shared" si="5"/>
        <v>0</v>
      </c>
      <c r="W561" s="168">
        <f t="shared" si="6"/>
        <v>0</v>
      </c>
      <c r="X561" s="168">
        <f t="shared" si="7"/>
        <v>0</v>
      </c>
      <c r="Y561" s="168">
        <f t="shared" si="8"/>
        <v>0</v>
      </c>
      <c r="Z561" s="168">
        <f t="shared" si="9"/>
        <v>0</v>
      </c>
    </row>
    <row r="562" ht="14.25" customHeight="1">
      <c r="A562" s="157">
        <v>1009.0</v>
      </c>
      <c r="B562" s="170" t="s">
        <v>716</v>
      </c>
      <c r="C562" s="169" t="s">
        <v>815</v>
      </c>
      <c r="D562" s="159">
        <v>43070.0</v>
      </c>
      <c r="E562" s="157" t="s">
        <v>8</v>
      </c>
      <c r="F562" s="160">
        <v>2109877.0</v>
      </c>
      <c r="G562" s="160">
        <v>337580.32</v>
      </c>
      <c r="H562" s="160">
        <f t="shared" si="33"/>
        <v>2447457.32</v>
      </c>
      <c r="I562" s="160"/>
      <c r="J562" s="161"/>
      <c r="K562" s="160"/>
      <c r="L562" s="160">
        <f>+'FACP$'!$H562-'FACP$'!$I562-'FACP$'!$K562</f>
        <v>2447457.32</v>
      </c>
      <c r="M562" s="157" t="s">
        <v>717</v>
      </c>
      <c r="N562" s="162" t="s">
        <v>554</v>
      </c>
      <c r="O562" s="163">
        <v>43463.0</v>
      </c>
      <c r="P562" s="164">
        <f t="shared" si="13"/>
        <v>43080</v>
      </c>
      <c r="Q562" s="165">
        <f t="shared" si="2"/>
        <v>0</v>
      </c>
      <c r="R562" s="166"/>
      <c r="S562" s="167"/>
      <c r="T562" s="168">
        <f t="shared" si="3"/>
        <v>2447457.32</v>
      </c>
      <c r="U562" s="168">
        <f t="shared" si="4"/>
        <v>0</v>
      </c>
      <c r="V562" s="168">
        <f t="shared" si="5"/>
        <v>0</v>
      </c>
      <c r="W562" s="168">
        <f t="shared" si="6"/>
        <v>0</v>
      </c>
      <c r="X562" s="168">
        <f t="shared" si="7"/>
        <v>0</v>
      </c>
      <c r="Y562" s="168">
        <f t="shared" si="8"/>
        <v>0</v>
      </c>
      <c r="Z562" s="168">
        <f t="shared" si="9"/>
        <v>0</v>
      </c>
    </row>
    <row r="563" ht="14.25" customHeight="1">
      <c r="A563" s="157">
        <v>1011.0</v>
      </c>
      <c r="B563" s="158" t="s">
        <v>103</v>
      </c>
      <c r="C563" s="158" t="s">
        <v>87</v>
      </c>
      <c r="D563" s="159">
        <v>43070.0</v>
      </c>
      <c r="E563" s="157" t="s">
        <v>8</v>
      </c>
      <c r="F563" s="160">
        <v>436017.06</v>
      </c>
      <c r="G563" s="160">
        <v>69762.73</v>
      </c>
      <c r="H563" s="160">
        <f t="shared" si="33"/>
        <v>505779.79</v>
      </c>
      <c r="I563" s="160"/>
      <c r="J563" s="161"/>
      <c r="K563" s="160"/>
      <c r="L563" s="160">
        <f>+'FACP$'!$H563-'FACP$'!$I563-'FACP$'!$K563</f>
        <v>505779.79</v>
      </c>
      <c r="M563" s="157" t="s">
        <v>103</v>
      </c>
      <c r="N563" s="162" t="s">
        <v>127</v>
      </c>
      <c r="O563" s="163"/>
      <c r="P563" s="164">
        <f t="shared" si="13"/>
        <v>43080</v>
      </c>
      <c r="Q563" s="165">
        <f t="shared" si="2"/>
        <v>0</v>
      </c>
      <c r="R563" s="166"/>
      <c r="S563" s="167"/>
      <c r="T563" s="168">
        <f t="shared" si="3"/>
        <v>505779.79</v>
      </c>
      <c r="U563" s="168">
        <f t="shared" si="4"/>
        <v>0</v>
      </c>
      <c r="V563" s="168">
        <f t="shared" si="5"/>
        <v>0</v>
      </c>
      <c r="W563" s="168">
        <f t="shared" si="6"/>
        <v>0</v>
      </c>
      <c r="X563" s="168">
        <f t="shared" si="7"/>
        <v>0</v>
      </c>
      <c r="Y563" s="168">
        <f t="shared" si="8"/>
        <v>0</v>
      </c>
      <c r="Z563" s="168">
        <f t="shared" si="9"/>
        <v>0</v>
      </c>
    </row>
    <row r="564" ht="14.25" customHeight="1">
      <c r="A564" s="157">
        <v>1013.0</v>
      </c>
      <c r="B564" s="158" t="s">
        <v>79</v>
      </c>
      <c r="C564" s="158" t="s">
        <v>87</v>
      </c>
      <c r="D564" s="159">
        <v>43439.0</v>
      </c>
      <c r="E564" s="157" t="s">
        <v>8</v>
      </c>
      <c r="F564" s="160">
        <v>513443.81</v>
      </c>
      <c r="G564" s="160">
        <v>82151.01</v>
      </c>
      <c r="H564" s="160">
        <f t="shared" si="33"/>
        <v>595594.82</v>
      </c>
      <c r="I564" s="160"/>
      <c r="J564" s="161"/>
      <c r="K564" s="160"/>
      <c r="L564" s="160">
        <f>+'FACP$'!$H564-'FACP$'!$I564-'FACP$'!$K564</f>
        <v>595594.82</v>
      </c>
      <c r="M564" s="157" t="s">
        <v>712</v>
      </c>
      <c r="N564" s="162" t="s">
        <v>127</v>
      </c>
      <c r="O564" s="163"/>
      <c r="P564" s="164">
        <f t="shared" si="13"/>
        <v>43449</v>
      </c>
      <c r="Q564" s="165">
        <f t="shared" si="2"/>
        <v>0</v>
      </c>
      <c r="R564" s="166"/>
      <c r="S564" s="167"/>
      <c r="T564" s="168">
        <f t="shared" si="3"/>
        <v>595594.82</v>
      </c>
      <c r="U564" s="168">
        <f t="shared" si="4"/>
        <v>0</v>
      </c>
      <c r="V564" s="168">
        <f t="shared" si="5"/>
        <v>0</v>
      </c>
      <c r="W564" s="168">
        <f t="shared" si="6"/>
        <v>0</v>
      </c>
      <c r="X564" s="168">
        <f t="shared" si="7"/>
        <v>0</v>
      </c>
      <c r="Y564" s="168">
        <f t="shared" si="8"/>
        <v>0</v>
      </c>
      <c r="Z564" s="168">
        <f t="shared" si="9"/>
        <v>0</v>
      </c>
    </row>
    <row r="565" ht="14.25" customHeight="1">
      <c r="A565" s="157">
        <v>1014.0</v>
      </c>
      <c r="B565" s="158" t="s">
        <v>82</v>
      </c>
      <c r="C565" s="158" t="s">
        <v>828</v>
      </c>
      <c r="D565" s="159">
        <v>43439.0</v>
      </c>
      <c r="E565" s="157" t="s">
        <v>8</v>
      </c>
      <c r="F565" s="160">
        <v>373092.37</v>
      </c>
      <c r="G565" s="160">
        <v>59694.78</v>
      </c>
      <c r="H565" s="160">
        <f t="shared" si="33"/>
        <v>432787.15</v>
      </c>
      <c r="I565" s="160"/>
      <c r="J565" s="161"/>
      <c r="K565" s="160"/>
      <c r="L565" s="160">
        <f>+'FACP$'!$H565-'FACP$'!$I565-'FACP$'!$K565</f>
        <v>432787.15</v>
      </c>
      <c r="M565" s="157" t="s">
        <v>714</v>
      </c>
      <c r="N565" s="162" t="s">
        <v>127</v>
      </c>
      <c r="O565" s="163"/>
      <c r="P565" s="164">
        <f t="shared" si="13"/>
        <v>43449</v>
      </c>
      <c r="Q565" s="165">
        <f t="shared" si="2"/>
        <v>0</v>
      </c>
      <c r="R565" s="166"/>
      <c r="S565" s="167"/>
      <c r="T565" s="168">
        <f t="shared" si="3"/>
        <v>432787.15</v>
      </c>
      <c r="U565" s="168">
        <f t="shared" si="4"/>
        <v>0</v>
      </c>
      <c r="V565" s="168">
        <f t="shared" si="5"/>
        <v>0</v>
      </c>
      <c r="W565" s="168">
        <f t="shared" si="6"/>
        <v>0</v>
      </c>
      <c r="X565" s="168">
        <f t="shared" si="7"/>
        <v>0</v>
      </c>
      <c r="Y565" s="168">
        <f t="shared" si="8"/>
        <v>0</v>
      </c>
      <c r="Z565" s="168">
        <f t="shared" si="9"/>
        <v>0</v>
      </c>
    </row>
    <row r="566" ht="14.25" customHeight="1">
      <c r="A566" s="157">
        <v>1015.0</v>
      </c>
      <c r="B566" s="158" t="s">
        <v>79</v>
      </c>
      <c r="C566" s="158" t="s">
        <v>829</v>
      </c>
      <c r="D566" s="159">
        <v>43439.0</v>
      </c>
      <c r="E566" s="157" t="s">
        <v>8</v>
      </c>
      <c r="F566" s="160">
        <v>513443.81</v>
      </c>
      <c r="G566" s="160">
        <v>82151.01</v>
      </c>
      <c r="H566" s="160">
        <f t="shared" si="33"/>
        <v>595594.82</v>
      </c>
      <c r="I566" s="160"/>
      <c r="J566" s="161"/>
      <c r="K566" s="160"/>
      <c r="L566" s="160">
        <f>+'FACP$'!$H566-'FACP$'!$I566-'FACP$'!$K566</f>
        <v>595594.82</v>
      </c>
      <c r="M566" s="157" t="s">
        <v>712</v>
      </c>
      <c r="N566" s="162" t="s">
        <v>554</v>
      </c>
      <c r="O566" s="163">
        <v>43112.0</v>
      </c>
      <c r="P566" s="164">
        <f t="shared" si="13"/>
        <v>43449</v>
      </c>
      <c r="Q566" s="165">
        <f t="shared" si="2"/>
        <v>0</v>
      </c>
      <c r="R566" s="166"/>
      <c r="S566" s="167"/>
      <c r="T566" s="168">
        <f t="shared" si="3"/>
        <v>595594.82</v>
      </c>
      <c r="U566" s="168">
        <f t="shared" si="4"/>
        <v>0</v>
      </c>
      <c r="V566" s="168">
        <f t="shared" si="5"/>
        <v>0</v>
      </c>
      <c r="W566" s="168">
        <f t="shared" si="6"/>
        <v>0</v>
      </c>
      <c r="X566" s="168">
        <f t="shared" si="7"/>
        <v>0</v>
      </c>
      <c r="Y566" s="168">
        <f t="shared" si="8"/>
        <v>0</v>
      </c>
      <c r="Z566" s="168">
        <f t="shared" si="9"/>
        <v>0</v>
      </c>
    </row>
    <row r="567" ht="14.25" customHeight="1">
      <c r="A567" s="157">
        <v>1016.0</v>
      </c>
      <c r="B567" s="158" t="s">
        <v>82</v>
      </c>
      <c r="C567" s="158" t="s">
        <v>828</v>
      </c>
      <c r="D567" s="159">
        <v>43439.0</v>
      </c>
      <c r="E567" s="157" t="s">
        <v>8</v>
      </c>
      <c r="F567" s="160">
        <v>373092.37</v>
      </c>
      <c r="G567" s="160">
        <v>59694.78</v>
      </c>
      <c r="H567" s="160">
        <f t="shared" si="33"/>
        <v>432787.15</v>
      </c>
      <c r="I567" s="160"/>
      <c r="J567" s="161"/>
      <c r="K567" s="160"/>
      <c r="L567" s="160">
        <f>+'FACP$'!$H567-'FACP$'!$I567-'FACP$'!$K567</f>
        <v>432787.15</v>
      </c>
      <c r="M567" s="157" t="s">
        <v>714</v>
      </c>
      <c r="N567" s="162" t="s">
        <v>554</v>
      </c>
      <c r="O567" s="163">
        <v>43110.0</v>
      </c>
      <c r="P567" s="164">
        <f t="shared" si="13"/>
        <v>43449</v>
      </c>
      <c r="Q567" s="165">
        <f t="shared" si="2"/>
        <v>0</v>
      </c>
      <c r="R567" s="166"/>
      <c r="S567" s="167"/>
      <c r="T567" s="168">
        <f t="shared" si="3"/>
        <v>432787.15</v>
      </c>
      <c r="U567" s="168">
        <f t="shared" si="4"/>
        <v>0</v>
      </c>
      <c r="V567" s="168">
        <f t="shared" si="5"/>
        <v>0</v>
      </c>
      <c r="W567" s="168">
        <f t="shared" si="6"/>
        <v>0</v>
      </c>
      <c r="X567" s="168">
        <f t="shared" si="7"/>
        <v>0</v>
      </c>
      <c r="Y567" s="168">
        <f t="shared" si="8"/>
        <v>0</v>
      </c>
      <c r="Z567" s="168">
        <f t="shared" si="9"/>
        <v>0</v>
      </c>
    </row>
    <row r="568" ht="14.25" customHeight="1">
      <c r="A568" s="157">
        <v>1017.0</v>
      </c>
      <c r="B568" s="158" t="s">
        <v>37</v>
      </c>
      <c r="C568" s="158" t="s">
        <v>87</v>
      </c>
      <c r="D568" s="159">
        <v>43435.0</v>
      </c>
      <c r="E568" s="157" t="s">
        <v>8</v>
      </c>
      <c r="F568" s="160">
        <v>1833546.7</v>
      </c>
      <c r="G568" s="160">
        <v>293367.47</v>
      </c>
      <c r="H568" s="160">
        <f t="shared" si="33"/>
        <v>2126914.17</v>
      </c>
      <c r="I568" s="160"/>
      <c r="J568" s="161"/>
      <c r="K568" s="160"/>
      <c r="L568" s="160">
        <f>+'FACP$'!$H568-'FACP$'!$I568-'FACP$'!$K568</f>
        <v>2126914.17</v>
      </c>
      <c r="M568" s="157" t="s">
        <v>718</v>
      </c>
      <c r="N568" s="162" t="s">
        <v>127</v>
      </c>
      <c r="O568" s="163"/>
      <c r="P568" s="164">
        <f t="shared" si="13"/>
        <v>43445</v>
      </c>
      <c r="Q568" s="165">
        <f t="shared" si="2"/>
        <v>0</v>
      </c>
      <c r="R568" s="166"/>
      <c r="S568" s="167"/>
      <c r="T568" s="168">
        <f t="shared" si="3"/>
        <v>2126914.17</v>
      </c>
      <c r="U568" s="168">
        <f t="shared" si="4"/>
        <v>0</v>
      </c>
      <c r="V568" s="168">
        <f t="shared" si="5"/>
        <v>0</v>
      </c>
      <c r="W568" s="168">
        <f t="shared" si="6"/>
        <v>0</v>
      </c>
      <c r="X568" s="168">
        <f t="shared" si="7"/>
        <v>0</v>
      </c>
      <c r="Y568" s="168">
        <f t="shared" si="8"/>
        <v>0</v>
      </c>
      <c r="Z568" s="168">
        <f t="shared" si="9"/>
        <v>0</v>
      </c>
    </row>
    <row r="569" ht="14.25" customHeight="1">
      <c r="A569" s="157">
        <v>1019.0</v>
      </c>
      <c r="B569" s="158" t="s">
        <v>103</v>
      </c>
      <c r="C569" s="158"/>
      <c r="D569" s="159">
        <v>43405.0</v>
      </c>
      <c r="E569" s="157" t="s">
        <v>8</v>
      </c>
      <c r="F569" s="160">
        <v>66104.8</v>
      </c>
      <c r="G569" s="160">
        <v>10576.77</v>
      </c>
      <c r="H569" s="160">
        <f t="shared" si="33"/>
        <v>76681.57</v>
      </c>
      <c r="I569" s="160"/>
      <c r="J569" s="161"/>
      <c r="K569" s="160"/>
      <c r="L569" s="160">
        <f>+'FACP$'!$H569-'FACP$'!$I569-'FACP$'!$K569</f>
        <v>76681.57</v>
      </c>
      <c r="M569" s="157" t="s">
        <v>103</v>
      </c>
      <c r="N569" s="162" t="s">
        <v>554</v>
      </c>
      <c r="O569" s="163">
        <v>43108.0</v>
      </c>
      <c r="P569" s="164">
        <f t="shared" si="13"/>
        <v>43415</v>
      </c>
      <c r="Q569" s="165">
        <f t="shared" si="2"/>
        <v>0</v>
      </c>
      <c r="R569" s="166"/>
      <c r="S569" s="167"/>
      <c r="T569" s="168">
        <f t="shared" si="3"/>
        <v>76681.57</v>
      </c>
      <c r="U569" s="168">
        <f t="shared" si="4"/>
        <v>0</v>
      </c>
      <c r="V569" s="168">
        <f t="shared" si="5"/>
        <v>0</v>
      </c>
      <c r="W569" s="168">
        <f t="shared" si="6"/>
        <v>0</v>
      </c>
      <c r="X569" s="168">
        <f t="shared" si="7"/>
        <v>0</v>
      </c>
      <c r="Y569" s="168">
        <f t="shared" si="8"/>
        <v>0</v>
      </c>
      <c r="Z569" s="168">
        <f t="shared" si="9"/>
        <v>0</v>
      </c>
    </row>
    <row r="570" ht="14.25" customHeight="1">
      <c r="A570" s="157">
        <v>1021.0</v>
      </c>
      <c r="B570" s="158" t="s">
        <v>103</v>
      </c>
      <c r="C570" s="158" t="s">
        <v>87</v>
      </c>
      <c r="D570" s="159">
        <v>43419.0</v>
      </c>
      <c r="E570" s="157" t="s">
        <v>8</v>
      </c>
      <c r="F570" s="160">
        <v>468300.32</v>
      </c>
      <c r="G570" s="160">
        <v>74928.05</v>
      </c>
      <c r="H570" s="160">
        <f t="shared" si="33"/>
        <v>543228.37</v>
      </c>
      <c r="I570" s="160"/>
      <c r="J570" s="161"/>
      <c r="K570" s="160"/>
      <c r="L570" s="160">
        <f>+'FACP$'!$H570-'FACP$'!$I570-'FACP$'!$K570</f>
        <v>543228.37</v>
      </c>
      <c r="M570" s="157" t="s">
        <v>103</v>
      </c>
      <c r="N570" s="162" t="s">
        <v>554</v>
      </c>
      <c r="O570" s="163"/>
      <c r="P570" s="164">
        <f t="shared" si="13"/>
        <v>43429</v>
      </c>
      <c r="Q570" s="165">
        <f t="shared" si="2"/>
        <v>0</v>
      </c>
      <c r="R570" s="166"/>
      <c r="S570" s="167"/>
      <c r="T570" s="168">
        <f t="shared" si="3"/>
        <v>543228.37</v>
      </c>
      <c r="U570" s="168">
        <f t="shared" si="4"/>
        <v>0</v>
      </c>
      <c r="V570" s="168">
        <f t="shared" si="5"/>
        <v>0</v>
      </c>
      <c r="W570" s="168">
        <f t="shared" si="6"/>
        <v>0</v>
      </c>
      <c r="X570" s="168">
        <f t="shared" si="7"/>
        <v>0</v>
      </c>
      <c r="Y570" s="168">
        <f t="shared" si="8"/>
        <v>0</v>
      </c>
      <c r="Z570" s="168">
        <f t="shared" si="9"/>
        <v>0</v>
      </c>
    </row>
    <row r="571" ht="14.25" customHeight="1">
      <c r="A571" s="157">
        <v>1023.0</v>
      </c>
      <c r="B571" s="158" t="s">
        <v>720</v>
      </c>
      <c r="C571" s="158" t="s">
        <v>87</v>
      </c>
      <c r="D571" s="159">
        <v>43435.0</v>
      </c>
      <c r="E571" s="157" t="s">
        <v>8</v>
      </c>
      <c r="F571" s="160">
        <v>1353964.5</v>
      </c>
      <c r="G571" s="160">
        <v>216634.32</v>
      </c>
      <c r="H571" s="160">
        <f t="shared" si="33"/>
        <v>1570598.82</v>
      </c>
      <c r="I571" s="160"/>
      <c r="J571" s="161"/>
      <c r="K571" s="160"/>
      <c r="L571" s="160">
        <f>+'FACP$'!$H571-'FACP$'!$I571-'FACP$'!$K571</f>
        <v>1570598.82</v>
      </c>
      <c r="M571" s="157" t="s">
        <v>721</v>
      </c>
      <c r="N571" s="162" t="s">
        <v>554</v>
      </c>
      <c r="O571" s="163">
        <v>43461.0</v>
      </c>
      <c r="P571" s="164">
        <f t="shared" si="13"/>
        <v>43445</v>
      </c>
      <c r="Q571" s="165">
        <f t="shared" si="2"/>
        <v>0</v>
      </c>
      <c r="R571" s="166"/>
      <c r="S571" s="167"/>
      <c r="T571" s="168">
        <f t="shared" si="3"/>
        <v>1570598.82</v>
      </c>
      <c r="U571" s="168">
        <f t="shared" si="4"/>
        <v>0</v>
      </c>
      <c r="V571" s="168">
        <f t="shared" si="5"/>
        <v>0</v>
      </c>
      <c r="W571" s="168">
        <f t="shared" si="6"/>
        <v>0</v>
      </c>
      <c r="X571" s="168">
        <f t="shared" si="7"/>
        <v>0</v>
      </c>
      <c r="Y571" s="168">
        <f t="shared" si="8"/>
        <v>0</v>
      </c>
      <c r="Z571" s="168">
        <f t="shared" si="9"/>
        <v>0</v>
      </c>
    </row>
    <row r="572" ht="14.25" customHeight="1">
      <c r="A572" s="157">
        <v>1027.0</v>
      </c>
      <c r="B572" s="158" t="s">
        <v>821</v>
      </c>
      <c r="C572" s="158" t="s">
        <v>830</v>
      </c>
      <c r="D572" s="159">
        <v>43122.0</v>
      </c>
      <c r="E572" s="157" t="s">
        <v>8</v>
      </c>
      <c r="F572" s="160">
        <v>459000.0</v>
      </c>
      <c r="G572" s="160">
        <v>73440.0</v>
      </c>
      <c r="H572" s="160">
        <f t="shared" si="33"/>
        <v>532440</v>
      </c>
      <c r="I572" s="160"/>
      <c r="J572" s="161"/>
      <c r="K572" s="160"/>
      <c r="L572" s="160">
        <f>+'FACP$'!$H572-'FACP$'!$I572-'FACP$'!$K572</f>
        <v>532440</v>
      </c>
      <c r="M572" s="157" t="s">
        <v>728</v>
      </c>
      <c r="N572" s="162" t="s">
        <v>554</v>
      </c>
      <c r="O572" s="163">
        <v>43454.0</v>
      </c>
      <c r="P572" s="164">
        <f t="shared" si="13"/>
        <v>43132</v>
      </c>
      <c r="Q572" s="165">
        <f t="shared" si="2"/>
        <v>0</v>
      </c>
      <c r="R572" s="166"/>
      <c r="S572" s="167"/>
      <c r="T572" s="168">
        <f t="shared" si="3"/>
        <v>532440</v>
      </c>
      <c r="U572" s="168">
        <f t="shared" si="4"/>
        <v>0</v>
      </c>
      <c r="V572" s="168">
        <f t="shared" si="5"/>
        <v>0</v>
      </c>
      <c r="W572" s="168">
        <f t="shared" si="6"/>
        <v>0</v>
      </c>
      <c r="X572" s="168">
        <f t="shared" si="7"/>
        <v>0</v>
      </c>
      <c r="Y572" s="168">
        <f t="shared" si="8"/>
        <v>0</v>
      </c>
      <c r="Z572" s="168">
        <f t="shared" si="9"/>
        <v>0</v>
      </c>
    </row>
    <row r="573" ht="14.25" customHeight="1">
      <c r="A573" s="157">
        <v>1029.0</v>
      </c>
      <c r="B573" s="158" t="s">
        <v>720</v>
      </c>
      <c r="C573" s="158" t="s">
        <v>87</v>
      </c>
      <c r="D573" s="159">
        <v>43084.0</v>
      </c>
      <c r="E573" s="157" t="s">
        <v>8</v>
      </c>
      <c r="F573" s="160">
        <v>1558015.5</v>
      </c>
      <c r="G573" s="160">
        <v>249282.32</v>
      </c>
      <c r="H573" s="160">
        <f t="shared" si="33"/>
        <v>1807297.82</v>
      </c>
      <c r="I573" s="160"/>
      <c r="J573" s="161"/>
      <c r="K573" s="160"/>
      <c r="L573" s="160">
        <f>+'FACP$'!$H573-'FACP$'!$I573-'FACP$'!$K573</f>
        <v>1807297.82</v>
      </c>
      <c r="M573" s="157" t="s">
        <v>777</v>
      </c>
      <c r="N573" s="162" t="s">
        <v>554</v>
      </c>
      <c r="O573" s="163">
        <v>43140.0</v>
      </c>
      <c r="P573" s="164">
        <f t="shared" si="13"/>
        <v>43094</v>
      </c>
      <c r="Q573" s="165">
        <f t="shared" si="2"/>
        <v>0</v>
      </c>
      <c r="R573" s="166"/>
      <c r="S573" s="167"/>
      <c r="T573" s="168">
        <f t="shared" si="3"/>
        <v>1807297.82</v>
      </c>
      <c r="U573" s="168">
        <f t="shared" si="4"/>
        <v>0</v>
      </c>
      <c r="V573" s="168">
        <f t="shared" si="5"/>
        <v>0</v>
      </c>
      <c r="W573" s="168">
        <f t="shared" si="6"/>
        <v>0</v>
      </c>
      <c r="X573" s="168">
        <f t="shared" si="7"/>
        <v>0</v>
      </c>
      <c r="Y573" s="168">
        <f t="shared" si="8"/>
        <v>0</v>
      </c>
      <c r="Z573" s="168">
        <f t="shared" si="9"/>
        <v>0</v>
      </c>
    </row>
    <row r="574" ht="14.25" customHeight="1">
      <c r="A574" s="157">
        <v>1032.0</v>
      </c>
      <c r="B574" s="158" t="s">
        <v>720</v>
      </c>
      <c r="C574" s="158" t="s">
        <v>87</v>
      </c>
      <c r="D574" s="159">
        <v>43101.0</v>
      </c>
      <c r="E574" s="157" t="s">
        <v>8</v>
      </c>
      <c r="F574" s="160">
        <v>1396286.76</v>
      </c>
      <c r="G574" s="160">
        <v>223405.88</v>
      </c>
      <c r="H574" s="160">
        <f t="shared" si="33"/>
        <v>1619692.64</v>
      </c>
      <c r="I574" s="160"/>
      <c r="J574" s="161"/>
      <c r="K574" s="160"/>
      <c r="L574" s="160">
        <f>+'FACP$'!$H574-'FACP$'!$I574-'FACP$'!$K574</f>
        <v>1619692.64</v>
      </c>
      <c r="M574" s="157" t="s">
        <v>777</v>
      </c>
      <c r="N574" s="162" t="s">
        <v>554</v>
      </c>
      <c r="O574" s="163">
        <v>43140.0</v>
      </c>
      <c r="P574" s="164">
        <f t="shared" si="13"/>
        <v>43111</v>
      </c>
      <c r="Q574" s="165">
        <f t="shared" si="2"/>
        <v>0</v>
      </c>
      <c r="R574" s="166"/>
      <c r="S574" s="167"/>
      <c r="T574" s="168">
        <f t="shared" si="3"/>
        <v>1619692.64</v>
      </c>
      <c r="U574" s="168">
        <f t="shared" si="4"/>
        <v>0</v>
      </c>
      <c r="V574" s="168">
        <f t="shared" si="5"/>
        <v>0</v>
      </c>
      <c r="W574" s="168">
        <f t="shared" si="6"/>
        <v>0</v>
      </c>
      <c r="X574" s="168">
        <f t="shared" si="7"/>
        <v>0</v>
      </c>
      <c r="Y574" s="168">
        <f t="shared" si="8"/>
        <v>0</v>
      </c>
      <c r="Z574" s="168">
        <f t="shared" si="9"/>
        <v>0</v>
      </c>
    </row>
    <row r="575" ht="14.25" customHeight="1">
      <c r="A575" s="157">
        <v>1034.0</v>
      </c>
      <c r="B575" s="158" t="s">
        <v>37</v>
      </c>
      <c r="C575" s="158" t="s">
        <v>87</v>
      </c>
      <c r="D575" s="159">
        <v>43101.0</v>
      </c>
      <c r="E575" s="157" t="s">
        <v>8</v>
      </c>
      <c r="F575" s="160">
        <v>1676298.0</v>
      </c>
      <c r="G575" s="160">
        <v>268207.68</v>
      </c>
      <c r="H575" s="160">
        <f t="shared" si="33"/>
        <v>1944505.68</v>
      </c>
      <c r="I575" s="160"/>
      <c r="J575" s="161"/>
      <c r="K575" s="160"/>
      <c r="L575" s="160">
        <f>+'FACP$'!$H575-'FACP$'!$I575-'FACP$'!$K575</f>
        <v>1944505.68</v>
      </c>
      <c r="M575" s="157" t="s">
        <v>718</v>
      </c>
      <c r="N575" s="162" t="s">
        <v>554</v>
      </c>
      <c r="O575" s="163">
        <v>43151.0</v>
      </c>
      <c r="P575" s="164">
        <f t="shared" si="13"/>
        <v>43111</v>
      </c>
      <c r="Q575" s="165">
        <f t="shared" si="2"/>
        <v>0</v>
      </c>
      <c r="R575" s="166"/>
      <c r="S575" s="167"/>
      <c r="T575" s="168">
        <f t="shared" si="3"/>
        <v>1944505.68</v>
      </c>
      <c r="U575" s="168">
        <f t="shared" si="4"/>
        <v>0</v>
      </c>
      <c r="V575" s="168">
        <f t="shared" si="5"/>
        <v>0</v>
      </c>
      <c r="W575" s="168">
        <f t="shared" si="6"/>
        <v>0</v>
      </c>
      <c r="X575" s="168">
        <f t="shared" si="7"/>
        <v>0</v>
      </c>
      <c r="Y575" s="168">
        <f t="shared" si="8"/>
        <v>0</v>
      </c>
      <c r="Z575" s="168">
        <f t="shared" si="9"/>
        <v>0</v>
      </c>
    </row>
    <row r="576" ht="14.25" customHeight="1">
      <c r="A576" s="157">
        <v>1037.0</v>
      </c>
      <c r="B576" s="158" t="s">
        <v>79</v>
      </c>
      <c r="C576" s="158" t="s">
        <v>715</v>
      </c>
      <c r="D576" s="159">
        <v>43131.0</v>
      </c>
      <c r="E576" s="157" t="s">
        <v>8</v>
      </c>
      <c r="F576" s="160">
        <v>612631.07</v>
      </c>
      <c r="G576" s="160">
        <v>98020.97</v>
      </c>
      <c r="H576" s="160">
        <f t="shared" si="33"/>
        <v>710652.04</v>
      </c>
      <c r="I576" s="160"/>
      <c r="J576" s="161"/>
      <c r="K576" s="160"/>
      <c r="L576" s="160">
        <f>+'FACP$'!$H576-'FACP$'!$I576-'FACP$'!$K576</f>
        <v>710652.04</v>
      </c>
      <c r="M576" s="157" t="s">
        <v>712</v>
      </c>
      <c r="N576" s="162" t="s">
        <v>554</v>
      </c>
      <c r="O576" s="163">
        <v>43166.0</v>
      </c>
      <c r="P576" s="164">
        <f t="shared" si="13"/>
        <v>43141</v>
      </c>
      <c r="Q576" s="165">
        <f t="shared" si="2"/>
        <v>0</v>
      </c>
      <c r="R576" s="166"/>
      <c r="S576" s="167"/>
      <c r="T576" s="168">
        <f t="shared" si="3"/>
        <v>710652.04</v>
      </c>
      <c r="U576" s="168">
        <f t="shared" si="4"/>
        <v>0</v>
      </c>
      <c r="V576" s="168">
        <f t="shared" si="5"/>
        <v>0</v>
      </c>
      <c r="W576" s="168">
        <f t="shared" si="6"/>
        <v>0</v>
      </c>
      <c r="X576" s="168">
        <f t="shared" si="7"/>
        <v>0</v>
      </c>
      <c r="Y576" s="168">
        <f t="shared" si="8"/>
        <v>0</v>
      </c>
      <c r="Z576" s="168">
        <f t="shared" si="9"/>
        <v>0</v>
      </c>
    </row>
    <row r="577" ht="14.25" customHeight="1">
      <c r="A577" s="157">
        <v>1038.0</v>
      </c>
      <c r="B577" s="158" t="s">
        <v>82</v>
      </c>
      <c r="C577" s="158" t="s">
        <v>713</v>
      </c>
      <c r="D577" s="159">
        <v>43131.0</v>
      </c>
      <c r="E577" s="157" t="s">
        <v>8</v>
      </c>
      <c r="F577" s="160">
        <v>496397.1</v>
      </c>
      <c r="G577" s="160">
        <v>79423.54</v>
      </c>
      <c r="H577" s="160">
        <f t="shared" si="33"/>
        <v>575820.64</v>
      </c>
      <c r="I577" s="160"/>
      <c r="J577" s="161"/>
      <c r="K577" s="160"/>
      <c r="L577" s="160">
        <f>+'FACP$'!$H577-'FACP$'!$I577-'FACP$'!$K577</f>
        <v>575820.64</v>
      </c>
      <c r="M577" s="157" t="s">
        <v>714</v>
      </c>
      <c r="N577" s="162" t="s">
        <v>554</v>
      </c>
      <c r="O577" s="163">
        <v>43161.0</v>
      </c>
      <c r="P577" s="164">
        <f t="shared" si="13"/>
        <v>43141</v>
      </c>
      <c r="Q577" s="165">
        <f t="shared" si="2"/>
        <v>0</v>
      </c>
      <c r="R577" s="166"/>
      <c r="S577" s="167"/>
      <c r="T577" s="168">
        <f t="shared" si="3"/>
        <v>575820.64</v>
      </c>
      <c r="U577" s="168">
        <f t="shared" si="4"/>
        <v>0</v>
      </c>
      <c r="V577" s="168">
        <f t="shared" si="5"/>
        <v>0</v>
      </c>
      <c r="W577" s="168">
        <f t="shared" si="6"/>
        <v>0</v>
      </c>
      <c r="X577" s="168">
        <f t="shared" si="7"/>
        <v>0</v>
      </c>
      <c r="Y577" s="168">
        <f t="shared" si="8"/>
        <v>0</v>
      </c>
      <c r="Z577" s="168">
        <f t="shared" si="9"/>
        <v>0</v>
      </c>
    </row>
    <row r="578" ht="14.25" customHeight="1">
      <c r="A578" s="157">
        <v>1040.0</v>
      </c>
      <c r="B578" s="158" t="s">
        <v>720</v>
      </c>
      <c r="C578" s="158" t="s">
        <v>87</v>
      </c>
      <c r="D578" s="159">
        <v>43115.0</v>
      </c>
      <c r="E578" s="157" t="s">
        <v>8</v>
      </c>
      <c r="F578" s="160">
        <v>2047140.66</v>
      </c>
      <c r="G578" s="160">
        <v>327542.51</v>
      </c>
      <c r="H578" s="160">
        <f t="shared" si="33"/>
        <v>2374683.17</v>
      </c>
      <c r="I578" s="160"/>
      <c r="J578" s="161"/>
      <c r="K578" s="160"/>
      <c r="L578" s="160">
        <f>+'FACP$'!$H578-'FACP$'!$I578-'FACP$'!$K578</f>
        <v>2374683.17</v>
      </c>
      <c r="M578" s="157" t="s">
        <v>777</v>
      </c>
      <c r="N578" s="162" t="s">
        <v>554</v>
      </c>
      <c r="O578" s="163">
        <v>43187.0</v>
      </c>
      <c r="P578" s="164">
        <f t="shared" si="13"/>
        <v>43125</v>
      </c>
      <c r="Q578" s="165">
        <f t="shared" si="2"/>
        <v>0</v>
      </c>
      <c r="R578" s="166"/>
      <c r="S578" s="167"/>
      <c r="T578" s="168">
        <f t="shared" si="3"/>
        <v>2374683.17</v>
      </c>
      <c r="U578" s="168">
        <f t="shared" si="4"/>
        <v>0</v>
      </c>
      <c r="V578" s="168">
        <f t="shared" si="5"/>
        <v>0</v>
      </c>
      <c r="W578" s="168">
        <f t="shared" si="6"/>
        <v>0</v>
      </c>
      <c r="X578" s="168">
        <f t="shared" si="7"/>
        <v>0</v>
      </c>
      <c r="Y578" s="168">
        <f t="shared" si="8"/>
        <v>0</v>
      </c>
      <c r="Z578" s="168">
        <f t="shared" si="9"/>
        <v>0</v>
      </c>
    </row>
    <row r="579" ht="14.25" customHeight="1">
      <c r="A579" s="157">
        <v>1045.0</v>
      </c>
      <c r="B579" s="170" t="s">
        <v>722</v>
      </c>
      <c r="C579" s="158" t="s">
        <v>87</v>
      </c>
      <c r="D579" s="159">
        <v>43101.0</v>
      </c>
      <c r="E579" s="157" t="s">
        <v>8</v>
      </c>
      <c r="F579" s="160">
        <v>6162744.1</v>
      </c>
      <c r="G579" s="160">
        <v>986039.06</v>
      </c>
      <c r="H579" s="160">
        <f t="shared" si="33"/>
        <v>7148783.16</v>
      </c>
      <c r="I579" s="160"/>
      <c r="J579" s="161"/>
      <c r="K579" s="160"/>
      <c r="L579" s="160">
        <f>+'FACP$'!$H579-'FACP$'!$I579-'FACP$'!$K579</f>
        <v>7148783.16</v>
      </c>
      <c r="M579" s="157" t="s">
        <v>93</v>
      </c>
      <c r="N579" s="162" t="s">
        <v>127</v>
      </c>
      <c r="O579" s="163"/>
      <c r="P579" s="164">
        <f t="shared" si="13"/>
        <v>43111</v>
      </c>
      <c r="Q579" s="165">
        <f t="shared" si="2"/>
        <v>0</v>
      </c>
      <c r="R579" s="166"/>
      <c r="S579" s="167"/>
      <c r="T579" s="168">
        <f t="shared" si="3"/>
        <v>7148783.16</v>
      </c>
      <c r="U579" s="168">
        <f t="shared" si="4"/>
        <v>0</v>
      </c>
      <c r="V579" s="168">
        <f t="shared" si="5"/>
        <v>0</v>
      </c>
      <c r="W579" s="168">
        <f t="shared" si="6"/>
        <v>0</v>
      </c>
      <c r="X579" s="168">
        <f t="shared" si="7"/>
        <v>0</v>
      </c>
      <c r="Y579" s="168">
        <f t="shared" si="8"/>
        <v>0</v>
      </c>
      <c r="Z579" s="168">
        <f t="shared" si="9"/>
        <v>0</v>
      </c>
    </row>
    <row r="580" ht="14.25" customHeight="1">
      <c r="A580" s="157">
        <v>1046.0</v>
      </c>
      <c r="B580" s="170" t="s">
        <v>722</v>
      </c>
      <c r="C580" s="158" t="s">
        <v>87</v>
      </c>
      <c r="D580" s="159">
        <v>43115.0</v>
      </c>
      <c r="E580" s="157" t="s">
        <v>8</v>
      </c>
      <c r="F580" s="160">
        <v>7454611.03</v>
      </c>
      <c r="G580" s="160">
        <v>1192737.76</v>
      </c>
      <c r="H580" s="160">
        <f t="shared" si="33"/>
        <v>8647348.79</v>
      </c>
      <c r="I580" s="160"/>
      <c r="J580" s="161"/>
      <c r="K580" s="160"/>
      <c r="L580" s="160">
        <f>+'FACP$'!$H580-'FACP$'!$I580-'FACP$'!$K580</f>
        <v>8647348.79</v>
      </c>
      <c r="M580" s="157" t="s">
        <v>93</v>
      </c>
      <c r="N580" s="162" t="s">
        <v>554</v>
      </c>
      <c r="O580" s="163"/>
      <c r="P580" s="164">
        <f t="shared" si="13"/>
        <v>43125</v>
      </c>
      <c r="Q580" s="165">
        <f t="shared" si="2"/>
        <v>0</v>
      </c>
      <c r="R580" s="166"/>
      <c r="S580" s="167"/>
      <c r="T580" s="168">
        <f t="shared" si="3"/>
        <v>8647348.79</v>
      </c>
      <c r="U580" s="168">
        <f t="shared" si="4"/>
        <v>0</v>
      </c>
      <c r="V580" s="168">
        <f t="shared" si="5"/>
        <v>0</v>
      </c>
      <c r="W580" s="168">
        <f t="shared" si="6"/>
        <v>0</v>
      </c>
      <c r="X580" s="168">
        <f t="shared" si="7"/>
        <v>0</v>
      </c>
      <c r="Y580" s="168">
        <f t="shared" si="8"/>
        <v>0</v>
      </c>
      <c r="Z580" s="168">
        <f t="shared" si="9"/>
        <v>0</v>
      </c>
    </row>
    <row r="581" ht="14.25" customHeight="1">
      <c r="A581" s="157">
        <v>1047.0</v>
      </c>
      <c r="B581" s="158" t="s">
        <v>37</v>
      </c>
      <c r="C581" s="158" t="s">
        <v>87</v>
      </c>
      <c r="D581" s="159">
        <v>43115.0</v>
      </c>
      <c r="E581" s="157" t="s">
        <v>8</v>
      </c>
      <c r="F581" s="160">
        <v>1991638.66</v>
      </c>
      <c r="G581" s="160">
        <v>318662.19</v>
      </c>
      <c r="H581" s="160">
        <f t="shared" si="33"/>
        <v>2310300.85</v>
      </c>
      <c r="I581" s="160"/>
      <c r="J581" s="161"/>
      <c r="K581" s="160"/>
      <c r="L581" s="160">
        <f>+'FACP$'!$H581-'FACP$'!$I581-'FACP$'!$K581</f>
        <v>2310300.85</v>
      </c>
      <c r="M581" s="157" t="s">
        <v>718</v>
      </c>
      <c r="N581" s="162" t="s">
        <v>554</v>
      </c>
      <c r="O581" s="163">
        <v>43172.0</v>
      </c>
      <c r="P581" s="164">
        <f t="shared" si="13"/>
        <v>43125</v>
      </c>
      <c r="Q581" s="165">
        <f t="shared" si="2"/>
        <v>0</v>
      </c>
      <c r="R581" s="166"/>
      <c r="S581" s="167"/>
      <c r="T581" s="168">
        <f t="shared" si="3"/>
        <v>2310300.85</v>
      </c>
      <c r="U581" s="168">
        <f t="shared" si="4"/>
        <v>0</v>
      </c>
      <c r="V581" s="168">
        <f t="shared" si="5"/>
        <v>0</v>
      </c>
      <c r="W581" s="168">
        <f t="shared" si="6"/>
        <v>0</v>
      </c>
      <c r="X581" s="168">
        <f t="shared" si="7"/>
        <v>0</v>
      </c>
      <c r="Y581" s="168">
        <f t="shared" si="8"/>
        <v>0</v>
      </c>
      <c r="Z581" s="168">
        <f t="shared" si="9"/>
        <v>0</v>
      </c>
    </row>
    <row r="582" ht="14.25" customHeight="1">
      <c r="A582" s="157">
        <v>1049.0</v>
      </c>
      <c r="B582" s="158" t="s">
        <v>831</v>
      </c>
      <c r="C582" s="158" t="s">
        <v>832</v>
      </c>
      <c r="D582" s="159">
        <v>43115.0</v>
      </c>
      <c r="E582" s="157" t="s">
        <v>8</v>
      </c>
      <c r="F582" s="160">
        <v>113495.46</v>
      </c>
      <c r="G582" s="160">
        <v>18159.27</v>
      </c>
      <c r="H582" s="160">
        <f t="shared" si="33"/>
        <v>131654.73</v>
      </c>
      <c r="I582" s="160"/>
      <c r="J582" s="161"/>
      <c r="K582" s="160"/>
      <c r="L582" s="160">
        <f>+'FACP$'!$H582-'FACP$'!$I582-'FACP$'!$K582</f>
        <v>131654.73</v>
      </c>
      <c r="M582" s="157" t="s">
        <v>101</v>
      </c>
      <c r="N582" s="162" t="s">
        <v>554</v>
      </c>
      <c r="O582" s="163">
        <v>43152.0</v>
      </c>
      <c r="P582" s="164">
        <f t="shared" si="13"/>
        <v>43125</v>
      </c>
      <c r="Q582" s="165">
        <f t="shared" si="2"/>
        <v>0</v>
      </c>
      <c r="R582" s="166"/>
      <c r="S582" s="167"/>
      <c r="T582" s="168">
        <f t="shared" si="3"/>
        <v>131654.73</v>
      </c>
      <c r="U582" s="168">
        <f t="shared" si="4"/>
        <v>0</v>
      </c>
      <c r="V582" s="168">
        <f t="shared" si="5"/>
        <v>0</v>
      </c>
      <c r="W582" s="168">
        <f t="shared" si="6"/>
        <v>0</v>
      </c>
      <c r="X582" s="168">
        <f t="shared" si="7"/>
        <v>0</v>
      </c>
      <c r="Y582" s="168">
        <f t="shared" si="8"/>
        <v>0</v>
      </c>
      <c r="Z582" s="168">
        <f t="shared" si="9"/>
        <v>0</v>
      </c>
    </row>
    <row r="583" ht="14.25" customHeight="1">
      <c r="A583" s="157">
        <v>1051.0</v>
      </c>
      <c r="B583" s="158" t="s">
        <v>831</v>
      </c>
      <c r="C583" s="158" t="s">
        <v>833</v>
      </c>
      <c r="D583" s="159">
        <v>43145.0</v>
      </c>
      <c r="E583" s="157" t="s">
        <v>8</v>
      </c>
      <c r="F583" s="160">
        <v>87246.51</v>
      </c>
      <c r="G583" s="160">
        <v>13959.44</v>
      </c>
      <c r="H583" s="160">
        <f t="shared" si="33"/>
        <v>101205.95</v>
      </c>
      <c r="I583" s="160"/>
      <c r="J583" s="161"/>
      <c r="K583" s="160"/>
      <c r="L583" s="160">
        <f>+'FACP$'!$H583-'FACP$'!$I583-'FACP$'!$K583</f>
        <v>101205.95</v>
      </c>
      <c r="M583" s="157" t="s">
        <v>101</v>
      </c>
      <c r="N583" s="162" t="s">
        <v>554</v>
      </c>
      <c r="O583" s="163">
        <v>43152.0</v>
      </c>
      <c r="P583" s="164">
        <f t="shared" si="13"/>
        <v>43155</v>
      </c>
      <c r="Q583" s="165">
        <f t="shared" si="2"/>
        <v>0</v>
      </c>
      <c r="R583" s="166"/>
      <c r="S583" s="167"/>
      <c r="T583" s="168">
        <f t="shared" si="3"/>
        <v>101205.95</v>
      </c>
      <c r="U583" s="168">
        <f t="shared" si="4"/>
        <v>0</v>
      </c>
      <c r="V583" s="168">
        <f t="shared" si="5"/>
        <v>0</v>
      </c>
      <c r="W583" s="168">
        <f t="shared" si="6"/>
        <v>0</v>
      </c>
      <c r="X583" s="168">
        <f t="shared" si="7"/>
        <v>0</v>
      </c>
      <c r="Y583" s="168">
        <f t="shared" si="8"/>
        <v>0</v>
      </c>
      <c r="Z583" s="168">
        <f t="shared" si="9"/>
        <v>0</v>
      </c>
    </row>
    <row r="584" ht="14.25" customHeight="1">
      <c r="A584" s="157">
        <v>1053.0</v>
      </c>
      <c r="B584" s="158" t="s">
        <v>79</v>
      </c>
      <c r="C584" s="158" t="s">
        <v>87</v>
      </c>
      <c r="D584" s="159">
        <v>43132.0</v>
      </c>
      <c r="E584" s="157" t="s">
        <v>8</v>
      </c>
      <c r="F584" s="160">
        <v>417295.75</v>
      </c>
      <c r="G584" s="160">
        <v>66767.32</v>
      </c>
      <c r="H584" s="160">
        <f t="shared" si="33"/>
        <v>484063.07</v>
      </c>
      <c r="I584" s="160"/>
      <c r="J584" s="161"/>
      <c r="K584" s="160"/>
      <c r="L584" s="160">
        <f>+'FACP$'!$H584-'FACP$'!$I584-'FACP$'!$K584</f>
        <v>484063.07</v>
      </c>
      <c r="M584" s="157" t="s">
        <v>712</v>
      </c>
      <c r="N584" s="162" t="s">
        <v>127</v>
      </c>
      <c r="O584" s="163"/>
      <c r="P584" s="164">
        <f t="shared" si="13"/>
        <v>43142</v>
      </c>
      <c r="Q584" s="165">
        <f t="shared" si="2"/>
        <v>0</v>
      </c>
      <c r="R584" s="166"/>
      <c r="S584" s="167"/>
      <c r="T584" s="168">
        <f t="shared" si="3"/>
        <v>484063.07</v>
      </c>
      <c r="U584" s="168">
        <f t="shared" si="4"/>
        <v>0</v>
      </c>
      <c r="V584" s="168">
        <f t="shared" si="5"/>
        <v>0</v>
      </c>
      <c r="W584" s="168">
        <f t="shared" si="6"/>
        <v>0</v>
      </c>
      <c r="X584" s="168">
        <f t="shared" si="7"/>
        <v>0</v>
      </c>
      <c r="Y584" s="168">
        <f t="shared" si="8"/>
        <v>0</v>
      </c>
      <c r="Z584" s="168">
        <f t="shared" si="9"/>
        <v>0</v>
      </c>
    </row>
    <row r="585" ht="14.25" customHeight="1">
      <c r="A585" s="157">
        <v>1054.0</v>
      </c>
      <c r="B585" s="158" t="s">
        <v>82</v>
      </c>
      <c r="C585" s="158" t="s">
        <v>713</v>
      </c>
      <c r="D585" s="159">
        <v>43134.0</v>
      </c>
      <c r="E585" s="157" t="s">
        <v>8</v>
      </c>
      <c r="F585" s="160">
        <v>293288.59</v>
      </c>
      <c r="G585" s="160">
        <v>46926.17</v>
      </c>
      <c r="H585" s="160">
        <f t="shared" si="33"/>
        <v>340214.76</v>
      </c>
      <c r="I585" s="160"/>
      <c r="J585" s="161"/>
      <c r="K585" s="160"/>
      <c r="L585" s="160">
        <f>+'FACP$'!$H585-'FACP$'!$I585-'FACP$'!$K585</f>
        <v>340214.76</v>
      </c>
      <c r="M585" s="157" t="s">
        <v>714</v>
      </c>
      <c r="N585" s="162" t="s">
        <v>554</v>
      </c>
      <c r="O585" s="163">
        <v>43161.0</v>
      </c>
      <c r="P585" s="164">
        <f t="shared" si="13"/>
        <v>43144</v>
      </c>
      <c r="Q585" s="165">
        <f t="shared" si="2"/>
        <v>0</v>
      </c>
      <c r="R585" s="166"/>
      <c r="S585" s="167"/>
      <c r="T585" s="168">
        <f t="shared" si="3"/>
        <v>340214.76</v>
      </c>
      <c r="U585" s="168">
        <f t="shared" si="4"/>
        <v>0</v>
      </c>
      <c r="V585" s="168">
        <f t="shared" si="5"/>
        <v>0</v>
      </c>
      <c r="W585" s="168">
        <f t="shared" si="6"/>
        <v>0</v>
      </c>
      <c r="X585" s="168">
        <f t="shared" si="7"/>
        <v>0</v>
      </c>
      <c r="Y585" s="168">
        <f t="shared" si="8"/>
        <v>0</v>
      </c>
      <c r="Z585" s="168">
        <f t="shared" si="9"/>
        <v>0</v>
      </c>
    </row>
    <row r="586" ht="14.25" customHeight="1">
      <c r="A586" s="157">
        <v>1055.0</v>
      </c>
      <c r="B586" s="158" t="s">
        <v>79</v>
      </c>
      <c r="C586" s="158" t="s">
        <v>87</v>
      </c>
      <c r="D586" s="159">
        <v>43132.0</v>
      </c>
      <c r="E586" s="157" t="s">
        <v>8</v>
      </c>
      <c r="F586" s="160">
        <v>417295.75</v>
      </c>
      <c r="G586" s="160">
        <v>66767.32</v>
      </c>
      <c r="H586" s="160">
        <f t="shared" si="33"/>
        <v>484063.07</v>
      </c>
      <c r="I586" s="160"/>
      <c r="J586" s="161"/>
      <c r="K586" s="160"/>
      <c r="L586" s="160">
        <f>+'FACP$'!$H586-'FACP$'!$I586-'FACP$'!$K586</f>
        <v>484063.07</v>
      </c>
      <c r="M586" s="157" t="s">
        <v>712</v>
      </c>
      <c r="N586" s="162" t="s">
        <v>554</v>
      </c>
      <c r="O586" s="163">
        <v>43182.0</v>
      </c>
      <c r="P586" s="164">
        <f t="shared" si="13"/>
        <v>43142</v>
      </c>
      <c r="Q586" s="165">
        <f t="shared" si="2"/>
        <v>0</v>
      </c>
      <c r="R586" s="166"/>
      <c r="S586" s="167"/>
      <c r="T586" s="168">
        <f t="shared" si="3"/>
        <v>484063.07</v>
      </c>
      <c r="U586" s="168">
        <f t="shared" si="4"/>
        <v>0</v>
      </c>
      <c r="V586" s="168">
        <f t="shared" si="5"/>
        <v>0</v>
      </c>
      <c r="W586" s="168">
        <f t="shared" si="6"/>
        <v>0</v>
      </c>
      <c r="X586" s="168">
        <f t="shared" si="7"/>
        <v>0</v>
      </c>
      <c r="Y586" s="168">
        <f t="shared" si="8"/>
        <v>0</v>
      </c>
      <c r="Z586" s="168">
        <f t="shared" si="9"/>
        <v>0</v>
      </c>
    </row>
    <row r="587" ht="14.25" customHeight="1">
      <c r="A587" s="157">
        <v>1056.0</v>
      </c>
      <c r="B587" s="158" t="s">
        <v>720</v>
      </c>
      <c r="C587" s="158" t="s">
        <v>87</v>
      </c>
      <c r="D587" s="159">
        <v>43132.0</v>
      </c>
      <c r="E587" s="157" t="s">
        <v>8</v>
      </c>
      <c r="F587" s="160">
        <v>498107.96</v>
      </c>
      <c r="G587" s="160">
        <v>79697.27</v>
      </c>
      <c r="H587" s="160">
        <f t="shared" si="33"/>
        <v>577805.23</v>
      </c>
      <c r="I587" s="160"/>
      <c r="J587" s="161"/>
      <c r="K587" s="160"/>
      <c r="L587" s="160">
        <f>+'FACP$'!$H587-'FACP$'!$I587-'FACP$'!$K587</f>
        <v>577805.23</v>
      </c>
      <c r="M587" s="157" t="s">
        <v>721</v>
      </c>
      <c r="N587" s="162" t="s">
        <v>554</v>
      </c>
      <c r="O587" s="163">
        <v>43166.0</v>
      </c>
      <c r="P587" s="164">
        <f t="shared" si="13"/>
        <v>43142</v>
      </c>
      <c r="Q587" s="165">
        <f t="shared" si="2"/>
        <v>0</v>
      </c>
      <c r="R587" s="166"/>
      <c r="S587" s="167"/>
      <c r="T587" s="168">
        <f t="shared" si="3"/>
        <v>577805.23</v>
      </c>
      <c r="U587" s="168">
        <f t="shared" si="4"/>
        <v>0</v>
      </c>
      <c r="V587" s="168">
        <f t="shared" si="5"/>
        <v>0</v>
      </c>
      <c r="W587" s="168">
        <f t="shared" si="6"/>
        <v>0</v>
      </c>
      <c r="X587" s="168">
        <f t="shared" si="7"/>
        <v>0</v>
      </c>
      <c r="Y587" s="168">
        <f t="shared" si="8"/>
        <v>0</v>
      </c>
      <c r="Z587" s="168">
        <f t="shared" si="9"/>
        <v>0</v>
      </c>
    </row>
    <row r="588" ht="14.25" customHeight="1">
      <c r="A588" s="157">
        <v>1058.0</v>
      </c>
      <c r="B588" s="170" t="s">
        <v>722</v>
      </c>
      <c r="C588" s="158" t="s">
        <v>87</v>
      </c>
      <c r="D588" s="159">
        <v>43132.0</v>
      </c>
      <c r="E588" s="157" t="s">
        <v>8</v>
      </c>
      <c r="F588" s="160">
        <v>7606224.0</v>
      </c>
      <c r="G588" s="160">
        <v>1216995.84</v>
      </c>
      <c r="H588" s="160">
        <f t="shared" si="33"/>
        <v>8823219.84</v>
      </c>
      <c r="I588" s="160"/>
      <c r="J588" s="161"/>
      <c r="K588" s="160"/>
      <c r="L588" s="160">
        <f>+'FACP$'!$H588-'FACP$'!$I588-'FACP$'!$K588</f>
        <v>8823219.84</v>
      </c>
      <c r="M588" s="157" t="s">
        <v>93</v>
      </c>
      <c r="N588" s="162" t="s">
        <v>554</v>
      </c>
      <c r="O588" s="163"/>
      <c r="P588" s="164">
        <f t="shared" si="13"/>
        <v>43142</v>
      </c>
      <c r="Q588" s="165">
        <f t="shared" si="2"/>
        <v>0</v>
      </c>
      <c r="R588" s="166"/>
      <c r="S588" s="167"/>
      <c r="T588" s="168">
        <f t="shared" si="3"/>
        <v>8823219.84</v>
      </c>
      <c r="U588" s="168">
        <f t="shared" si="4"/>
        <v>0</v>
      </c>
      <c r="V588" s="168">
        <f t="shared" si="5"/>
        <v>0</v>
      </c>
      <c r="W588" s="168">
        <f t="shared" si="6"/>
        <v>0</v>
      </c>
      <c r="X588" s="168">
        <f t="shared" si="7"/>
        <v>0</v>
      </c>
      <c r="Y588" s="168">
        <f t="shared" si="8"/>
        <v>0</v>
      </c>
      <c r="Z588" s="168">
        <f t="shared" si="9"/>
        <v>0</v>
      </c>
    </row>
    <row r="589" ht="14.25" customHeight="1">
      <c r="A589" s="157">
        <v>1059.0</v>
      </c>
      <c r="B589" s="158"/>
      <c r="C589" s="158"/>
      <c r="D589" s="159"/>
      <c r="E589" s="157"/>
      <c r="F589" s="160"/>
      <c r="G589" s="160"/>
      <c r="H589" s="160">
        <f t="shared" si="33"/>
        <v>0</v>
      </c>
      <c r="I589" s="160"/>
      <c r="J589" s="161"/>
      <c r="K589" s="160"/>
      <c r="L589" s="160">
        <f>+'FACP$'!$H589-'FACP$'!$I589-'FACP$'!$K589</f>
        <v>0</v>
      </c>
      <c r="M589" s="157"/>
      <c r="N589" s="162" t="s">
        <v>127</v>
      </c>
      <c r="O589" s="163"/>
      <c r="P589" s="164">
        <f t="shared" si="13"/>
        <v>10</v>
      </c>
      <c r="Q589" s="165">
        <f t="shared" si="2"/>
        <v>0</v>
      </c>
      <c r="R589" s="166"/>
      <c r="S589" s="167"/>
      <c r="T589" s="168">
        <f t="shared" si="3"/>
        <v>0</v>
      </c>
      <c r="U589" s="168">
        <f t="shared" si="4"/>
        <v>0</v>
      </c>
      <c r="V589" s="168">
        <f t="shared" si="5"/>
        <v>0</v>
      </c>
      <c r="W589" s="168">
        <f t="shared" si="6"/>
        <v>0</v>
      </c>
      <c r="X589" s="168">
        <f t="shared" si="7"/>
        <v>0</v>
      </c>
      <c r="Y589" s="168">
        <f t="shared" si="8"/>
        <v>0</v>
      </c>
      <c r="Z589" s="168">
        <f t="shared" si="9"/>
        <v>0</v>
      </c>
    </row>
    <row r="590" ht="14.25" customHeight="1">
      <c r="A590" s="157">
        <v>1060.0</v>
      </c>
      <c r="B590" s="158"/>
      <c r="C590" s="158"/>
      <c r="D590" s="159"/>
      <c r="E590" s="157"/>
      <c r="F590" s="160"/>
      <c r="G590" s="160"/>
      <c r="H590" s="160">
        <f t="shared" si="33"/>
        <v>0</v>
      </c>
      <c r="I590" s="160"/>
      <c r="J590" s="161"/>
      <c r="K590" s="160"/>
      <c r="L590" s="160">
        <f>+'FACP$'!$H590-'FACP$'!$I590-'FACP$'!$K590</f>
        <v>0</v>
      </c>
      <c r="M590" s="157"/>
      <c r="N590" s="162" t="s">
        <v>127</v>
      </c>
      <c r="O590" s="163"/>
      <c r="P590" s="164">
        <f t="shared" si="13"/>
        <v>10</v>
      </c>
      <c r="Q590" s="165">
        <f t="shared" si="2"/>
        <v>0</v>
      </c>
      <c r="R590" s="166"/>
      <c r="S590" s="167"/>
      <c r="T590" s="168">
        <f t="shared" si="3"/>
        <v>0</v>
      </c>
      <c r="U590" s="168">
        <f t="shared" si="4"/>
        <v>0</v>
      </c>
      <c r="V590" s="168">
        <f t="shared" si="5"/>
        <v>0</v>
      </c>
      <c r="W590" s="168">
        <f t="shared" si="6"/>
        <v>0</v>
      </c>
      <c r="X590" s="168">
        <f t="shared" si="7"/>
        <v>0</v>
      </c>
      <c r="Y590" s="168">
        <f t="shared" si="8"/>
        <v>0</v>
      </c>
      <c r="Z590" s="168">
        <f t="shared" si="9"/>
        <v>0</v>
      </c>
    </row>
    <row r="591" ht="14.25" customHeight="1">
      <c r="A591" s="157">
        <v>1061.0</v>
      </c>
      <c r="B591" s="158" t="s">
        <v>19</v>
      </c>
      <c r="C591" s="158" t="s">
        <v>87</v>
      </c>
      <c r="D591" s="159">
        <v>43132.0</v>
      </c>
      <c r="E591" s="157" t="s">
        <v>8</v>
      </c>
      <c r="F591" s="160">
        <v>158258.1</v>
      </c>
      <c r="G591" s="160">
        <v>25321.3</v>
      </c>
      <c r="H591" s="160">
        <f t="shared" si="33"/>
        <v>183579.4</v>
      </c>
      <c r="I591" s="160"/>
      <c r="J591" s="161"/>
      <c r="K591" s="160"/>
      <c r="L591" s="160">
        <f>+'FACP$'!$H591-'FACP$'!$I591-'FACP$'!$K591</f>
        <v>183579.4</v>
      </c>
      <c r="M591" s="157" t="s">
        <v>732</v>
      </c>
      <c r="N591" s="162" t="s">
        <v>554</v>
      </c>
      <c r="O591" s="163">
        <v>43166.0</v>
      </c>
      <c r="P591" s="164">
        <f t="shared" si="13"/>
        <v>43142</v>
      </c>
      <c r="Q591" s="165">
        <f t="shared" si="2"/>
        <v>0</v>
      </c>
      <c r="R591" s="166"/>
      <c r="S591" s="167"/>
      <c r="T591" s="168">
        <f t="shared" si="3"/>
        <v>183579.4</v>
      </c>
      <c r="U591" s="168">
        <f t="shared" si="4"/>
        <v>0</v>
      </c>
      <c r="V591" s="168">
        <f t="shared" si="5"/>
        <v>0</v>
      </c>
      <c r="W591" s="168">
        <f t="shared" si="6"/>
        <v>0</v>
      </c>
      <c r="X591" s="168">
        <f t="shared" si="7"/>
        <v>0</v>
      </c>
      <c r="Y591" s="168">
        <f t="shared" si="8"/>
        <v>0</v>
      </c>
      <c r="Z591" s="168">
        <f t="shared" si="9"/>
        <v>0</v>
      </c>
    </row>
    <row r="592" ht="14.25" customHeight="1">
      <c r="A592" s="157">
        <v>1063.0</v>
      </c>
      <c r="B592" s="158" t="s">
        <v>18</v>
      </c>
      <c r="C592" s="158" t="s">
        <v>87</v>
      </c>
      <c r="D592" s="159">
        <v>43132.0</v>
      </c>
      <c r="E592" s="157" t="s">
        <v>8</v>
      </c>
      <c r="F592" s="160">
        <v>127727.6</v>
      </c>
      <c r="G592" s="160">
        <v>20436.42</v>
      </c>
      <c r="H592" s="160">
        <f t="shared" si="33"/>
        <v>148164.02</v>
      </c>
      <c r="I592" s="160"/>
      <c r="J592" s="161"/>
      <c r="K592" s="160"/>
      <c r="L592" s="160">
        <f>+'FACP$'!$H592-'FACP$'!$I592-'FACP$'!$K592</f>
        <v>148164.02</v>
      </c>
      <c r="M592" s="157" t="s">
        <v>586</v>
      </c>
      <c r="N592" s="162" t="s">
        <v>554</v>
      </c>
      <c r="O592" s="163">
        <v>43166.0</v>
      </c>
      <c r="P592" s="164">
        <f t="shared" si="13"/>
        <v>43142</v>
      </c>
      <c r="Q592" s="165">
        <f t="shared" si="2"/>
        <v>0</v>
      </c>
      <c r="R592" s="166"/>
      <c r="S592" s="167"/>
      <c r="T592" s="168">
        <f t="shared" si="3"/>
        <v>148164.02</v>
      </c>
      <c r="U592" s="168">
        <f t="shared" si="4"/>
        <v>0</v>
      </c>
      <c r="V592" s="168">
        <f t="shared" si="5"/>
        <v>0</v>
      </c>
      <c r="W592" s="168">
        <f t="shared" si="6"/>
        <v>0</v>
      </c>
      <c r="X592" s="168">
        <f t="shared" si="7"/>
        <v>0</v>
      </c>
      <c r="Y592" s="168">
        <f t="shared" si="8"/>
        <v>0</v>
      </c>
      <c r="Z592" s="168">
        <f t="shared" si="9"/>
        <v>0</v>
      </c>
    </row>
    <row r="593" ht="14.25" customHeight="1">
      <c r="A593" s="157">
        <v>1066.0</v>
      </c>
      <c r="B593" s="158" t="s">
        <v>43</v>
      </c>
      <c r="C593" s="158" t="s">
        <v>87</v>
      </c>
      <c r="D593" s="159">
        <v>43132.0</v>
      </c>
      <c r="E593" s="157" t="s">
        <v>8</v>
      </c>
      <c r="F593" s="160">
        <v>498142.08</v>
      </c>
      <c r="G593" s="160">
        <v>79702.73</v>
      </c>
      <c r="H593" s="160">
        <f t="shared" si="33"/>
        <v>577844.81</v>
      </c>
      <c r="I593" s="160"/>
      <c r="J593" s="161"/>
      <c r="K593" s="160"/>
      <c r="L593" s="160">
        <f>+'FACP$'!$H593-'FACP$'!$I593-'FACP$'!$K593</f>
        <v>577844.81</v>
      </c>
      <c r="M593" s="157" t="s">
        <v>43</v>
      </c>
      <c r="N593" s="162" t="s">
        <v>554</v>
      </c>
      <c r="O593" s="163">
        <v>43167.0</v>
      </c>
      <c r="P593" s="164">
        <f t="shared" si="13"/>
        <v>43142</v>
      </c>
      <c r="Q593" s="165">
        <f t="shared" si="2"/>
        <v>0</v>
      </c>
      <c r="R593" s="166"/>
      <c r="S593" s="167"/>
      <c r="T593" s="168">
        <f t="shared" si="3"/>
        <v>577844.81</v>
      </c>
      <c r="U593" s="168">
        <f t="shared" si="4"/>
        <v>0</v>
      </c>
      <c r="V593" s="168">
        <f t="shared" si="5"/>
        <v>0</v>
      </c>
      <c r="W593" s="168">
        <f t="shared" si="6"/>
        <v>0</v>
      </c>
      <c r="X593" s="168">
        <f t="shared" si="7"/>
        <v>0</v>
      </c>
      <c r="Y593" s="168">
        <f t="shared" si="8"/>
        <v>0</v>
      </c>
      <c r="Z593" s="168">
        <f t="shared" si="9"/>
        <v>0</v>
      </c>
    </row>
    <row r="594" ht="14.25" customHeight="1">
      <c r="A594" s="157">
        <v>1069.0</v>
      </c>
      <c r="B594" s="158" t="s">
        <v>728</v>
      </c>
      <c r="C594" s="158" t="s">
        <v>834</v>
      </c>
      <c r="D594" s="159">
        <v>43157.0</v>
      </c>
      <c r="E594" s="157" t="s">
        <v>8</v>
      </c>
      <c r="F594" s="160">
        <v>459000.0</v>
      </c>
      <c r="G594" s="160">
        <v>73440.0</v>
      </c>
      <c r="H594" s="160">
        <f t="shared" si="33"/>
        <v>532440</v>
      </c>
      <c r="I594" s="160"/>
      <c r="J594" s="161"/>
      <c r="K594" s="160"/>
      <c r="L594" s="160">
        <f>+'FACP$'!$H594-'FACP$'!$I594-'FACP$'!$K594</f>
        <v>532440</v>
      </c>
      <c r="M594" s="157" t="s">
        <v>728</v>
      </c>
      <c r="N594" s="162" t="s">
        <v>554</v>
      </c>
      <c r="O594" s="163"/>
      <c r="P594" s="164">
        <f t="shared" si="13"/>
        <v>43167</v>
      </c>
      <c r="Q594" s="165">
        <f t="shared" si="2"/>
        <v>0</v>
      </c>
      <c r="R594" s="166"/>
      <c r="S594" s="167"/>
      <c r="T594" s="168">
        <f t="shared" si="3"/>
        <v>532440</v>
      </c>
      <c r="U594" s="168">
        <f t="shared" si="4"/>
        <v>0</v>
      </c>
      <c r="V594" s="168">
        <f t="shared" si="5"/>
        <v>0</v>
      </c>
      <c r="W594" s="168">
        <f t="shared" si="6"/>
        <v>0</v>
      </c>
      <c r="X594" s="168">
        <f t="shared" si="7"/>
        <v>0</v>
      </c>
      <c r="Y594" s="168">
        <f t="shared" si="8"/>
        <v>0</v>
      </c>
      <c r="Z594" s="168">
        <f t="shared" si="9"/>
        <v>0</v>
      </c>
    </row>
    <row r="595" ht="14.25" customHeight="1">
      <c r="A595" s="157">
        <v>1071.0</v>
      </c>
      <c r="B595" s="158" t="s">
        <v>43</v>
      </c>
      <c r="C595" s="158" t="s">
        <v>835</v>
      </c>
      <c r="D595" s="159">
        <v>43159.0</v>
      </c>
      <c r="E595" s="157" t="s">
        <v>8</v>
      </c>
      <c r="F595" s="160">
        <v>682345.52</v>
      </c>
      <c r="G595" s="160">
        <v>109175.28</v>
      </c>
      <c r="H595" s="160">
        <f t="shared" si="33"/>
        <v>791520.8</v>
      </c>
      <c r="I595" s="160"/>
      <c r="J595" s="161"/>
      <c r="K595" s="160"/>
      <c r="L595" s="160">
        <f>+'FACP$'!$H595-'FACP$'!$I595-'FACP$'!$K595</f>
        <v>791520.8</v>
      </c>
      <c r="M595" s="157" t="s">
        <v>43</v>
      </c>
      <c r="N595" s="162" t="s">
        <v>554</v>
      </c>
      <c r="O595" s="163">
        <v>43167.0</v>
      </c>
      <c r="P595" s="164">
        <f t="shared" si="13"/>
        <v>43169</v>
      </c>
      <c r="Q595" s="165">
        <f t="shared" si="2"/>
        <v>0</v>
      </c>
      <c r="R595" s="166"/>
      <c r="S595" s="167"/>
      <c r="T595" s="168">
        <f t="shared" si="3"/>
        <v>791520.8</v>
      </c>
      <c r="U595" s="168">
        <f t="shared" si="4"/>
        <v>0</v>
      </c>
      <c r="V595" s="168">
        <f t="shared" si="5"/>
        <v>0</v>
      </c>
      <c r="W595" s="168">
        <f t="shared" si="6"/>
        <v>0</v>
      </c>
      <c r="X595" s="168">
        <f t="shared" si="7"/>
        <v>0</v>
      </c>
      <c r="Y595" s="168">
        <f t="shared" si="8"/>
        <v>0</v>
      </c>
      <c r="Z595" s="168">
        <f t="shared" si="9"/>
        <v>0</v>
      </c>
    </row>
    <row r="596" ht="14.25" customHeight="1">
      <c r="A596" s="157">
        <v>1073.0</v>
      </c>
      <c r="B596" s="158" t="s">
        <v>712</v>
      </c>
      <c r="C596" s="158" t="s">
        <v>87</v>
      </c>
      <c r="D596" s="159">
        <v>43159.0</v>
      </c>
      <c r="E596" s="157" t="s">
        <v>8</v>
      </c>
      <c r="F596" s="160">
        <v>420808.91</v>
      </c>
      <c r="G596" s="160">
        <v>67329.42</v>
      </c>
      <c r="H596" s="160">
        <f t="shared" si="33"/>
        <v>488138.33</v>
      </c>
      <c r="I596" s="160"/>
      <c r="J596" s="161"/>
      <c r="K596" s="160"/>
      <c r="L596" s="160">
        <f>+'FACP$'!$H596-'FACP$'!$I596-'FACP$'!$K596</f>
        <v>488138.33</v>
      </c>
      <c r="M596" s="157" t="s">
        <v>712</v>
      </c>
      <c r="N596" s="162" t="s">
        <v>554</v>
      </c>
      <c r="O596" s="163">
        <v>43196.0</v>
      </c>
      <c r="P596" s="164">
        <f t="shared" si="13"/>
        <v>43169</v>
      </c>
      <c r="Q596" s="165">
        <f t="shared" si="2"/>
        <v>0</v>
      </c>
      <c r="R596" s="166"/>
      <c r="S596" s="167"/>
      <c r="T596" s="168">
        <f t="shared" si="3"/>
        <v>488138.33</v>
      </c>
      <c r="U596" s="168">
        <f t="shared" si="4"/>
        <v>0</v>
      </c>
      <c r="V596" s="168">
        <f t="shared" si="5"/>
        <v>0</v>
      </c>
      <c r="W596" s="168">
        <f t="shared" si="6"/>
        <v>0</v>
      </c>
      <c r="X596" s="168">
        <f t="shared" si="7"/>
        <v>0</v>
      </c>
      <c r="Y596" s="168">
        <f t="shared" si="8"/>
        <v>0</v>
      </c>
      <c r="Z596" s="168">
        <f t="shared" si="9"/>
        <v>0</v>
      </c>
    </row>
    <row r="597" ht="14.25" customHeight="1">
      <c r="A597" s="157">
        <v>1074.0</v>
      </c>
      <c r="B597" s="158" t="s">
        <v>82</v>
      </c>
      <c r="C597" s="158" t="s">
        <v>713</v>
      </c>
      <c r="D597" s="159">
        <v>43159.0</v>
      </c>
      <c r="E597" s="157" t="s">
        <v>8</v>
      </c>
      <c r="F597" s="160">
        <v>303340.94</v>
      </c>
      <c r="G597" s="160">
        <v>48534.55</v>
      </c>
      <c r="H597" s="160">
        <f t="shared" si="33"/>
        <v>351875.49</v>
      </c>
      <c r="I597" s="160"/>
      <c r="J597" s="161"/>
      <c r="K597" s="160"/>
      <c r="L597" s="160">
        <f>+'FACP$'!$H597-'FACP$'!$I597-'FACP$'!$K597</f>
        <v>351875.49</v>
      </c>
      <c r="M597" s="157" t="s">
        <v>714</v>
      </c>
      <c r="N597" s="162" t="s">
        <v>554</v>
      </c>
      <c r="O597" s="163">
        <v>43161.0</v>
      </c>
      <c r="P597" s="164">
        <f t="shared" si="13"/>
        <v>43169</v>
      </c>
      <c r="Q597" s="165">
        <f t="shared" si="2"/>
        <v>0</v>
      </c>
      <c r="R597" s="166"/>
      <c r="S597" s="167"/>
      <c r="T597" s="168">
        <f t="shared" si="3"/>
        <v>351875.49</v>
      </c>
      <c r="U597" s="168">
        <f t="shared" si="4"/>
        <v>0</v>
      </c>
      <c r="V597" s="168">
        <f t="shared" si="5"/>
        <v>0</v>
      </c>
      <c r="W597" s="168">
        <f t="shared" si="6"/>
        <v>0</v>
      </c>
      <c r="X597" s="168">
        <f t="shared" si="7"/>
        <v>0</v>
      </c>
      <c r="Y597" s="168">
        <f t="shared" si="8"/>
        <v>0</v>
      </c>
      <c r="Z597" s="168">
        <f t="shared" si="9"/>
        <v>0</v>
      </c>
    </row>
    <row r="598" ht="14.25" customHeight="1">
      <c r="A598" s="157">
        <v>1079.0</v>
      </c>
      <c r="B598" s="158" t="s">
        <v>43</v>
      </c>
      <c r="C598" s="158" t="s">
        <v>87</v>
      </c>
      <c r="D598" s="159">
        <v>43146.0</v>
      </c>
      <c r="E598" s="157" t="s">
        <v>8</v>
      </c>
      <c r="F598" s="160">
        <v>443354.88</v>
      </c>
      <c r="G598" s="160">
        <v>70936.78</v>
      </c>
      <c r="H598" s="160">
        <f t="shared" si="33"/>
        <v>514291.66</v>
      </c>
      <c r="I598" s="160"/>
      <c r="J598" s="161"/>
      <c r="K598" s="160"/>
      <c r="L598" s="160">
        <f>+'FACP$'!$H598-'FACP$'!$I598-'FACP$'!$K598</f>
        <v>514291.66</v>
      </c>
      <c r="M598" s="157" t="s">
        <v>43</v>
      </c>
      <c r="N598" s="162" t="s">
        <v>554</v>
      </c>
      <c r="O598" s="163">
        <v>43179.0</v>
      </c>
      <c r="P598" s="164">
        <f t="shared" si="13"/>
        <v>43156</v>
      </c>
      <c r="Q598" s="165">
        <f t="shared" si="2"/>
        <v>0</v>
      </c>
      <c r="R598" s="166"/>
      <c r="S598" s="167"/>
      <c r="T598" s="168">
        <f t="shared" si="3"/>
        <v>514291.66</v>
      </c>
      <c r="U598" s="168">
        <f t="shared" si="4"/>
        <v>0</v>
      </c>
      <c r="V598" s="168">
        <f t="shared" si="5"/>
        <v>0</v>
      </c>
      <c r="W598" s="168">
        <f t="shared" si="6"/>
        <v>0</v>
      </c>
      <c r="X598" s="168">
        <f t="shared" si="7"/>
        <v>0</v>
      </c>
      <c r="Y598" s="168">
        <f t="shared" si="8"/>
        <v>0</v>
      </c>
      <c r="Z598" s="168">
        <f t="shared" si="9"/>
        <v>0</v>
      </c>
    </row>
    <row r="599" ht="14.25" customHeight="1">
      <c r="A599" s="157">
        <v>1081.0</v>
      </c>
      <c r="B599" s="158" t="s">
        <v>720</v>
      </c>
      <c r="C599" s="158" t="s">
        <v>87</v>
      </c>
      <c r="D599" s="159">
        <v>43146.0</v>
      </c>
      <c r="E599" s="157" t="s">
        <v>8</v>
      </c>
      <c r="F599" s="160">
        <v>1358152.88</v>
      </c>
      <c r="G599" s="160">
        <v>217304.46</v>
      </c>
      <c r="H599" s="160">
        <f t="shared" si="33"/>
        <v>1575457.34</v>
      </c>
      <c r="I599" s="160"/>
      <c r="J599" s="161"/>
      <c r="K599" s="160"/>
      <c r="L599" s="160">
        <f>+'FACP$'!$H599-'FACP$'!$I599-'FACP$'!$K599</f>
        <v>1575457.34</v>
      </c>
      <c r="M599" s="157" t="s">
        <v>721</v>
      </c>
      <c r="N599" s="162" t="s">
        <v>554</v>
      </c>
      <c r="O599" s="163">
        <v>43194.0</v>
      </c>
      <c r="P599" s="164">
        <f t="shared" si="13"/>
        <v>43156</v>
      </c>
      <c r="Q599" s="165">
        <f t="shared" si="2"/>
        <v>0</v>
      </c>
      <c r="R599" s="166"/>
      <c r="S599" s="167"/>
      <c r="T599" s="168">
        <f t="shared" si="3"/>
        <v>1575457.34</v>
      </c>
      <c r="U599" s="168">
        <f t="shared" si="4"/>
        <v>0</v>
      </c>
      <c r="V599" s="168">
        <f t="shared" si="5"/>
        <v>0</v>
      </c>
      <c r="W599" s="168">
        <f t="shared" si="6"/>
        <v>0</v>
      </c>
      <c r="X599" s="168">
        <f t="shared" si="7"/>
        <v>0</v>
      </c>
      <c r="Y599" s="168">
        <f t="shared" si="8"/>
        <v>0</v>
      </c>
      <c r="Z599" s="168">
        <f t="shared" si="9"/>
        <v>0</v>
      </c>
    </row>
    <row r="600" ht="14.25" customHeight="1">
      <c r="A600" s="157">
        <v>1083.0</v>
      </c>
      <c r="B600" s="170" t="s">
        <v>722</v>
      </c>
      <c r="C600" s="158" t="s">
        <v>87</v>
      </c>
      <c r="D600" s="159">
        <v>43145.0</v>
      </c>
      <c r="E600" s="157" t="s">
        <v>8</v>
      </c>
      <c r="F600" s="160">
        <v>5417047.82</v>
      </c>
      <c r="G600" s="160">
        <v>866727.65</v>
      </c>
      <c r="H600" s="160">
        <f t="shared" si="33"/>
        <v>6283775.47</v>
      </c>
      <c r="I600" s="160"/>
      <c r="J600" s="161"/>
      <c r="K600" s="160"/>
      <c r="L600" s="160">
        <f>+'FACP$'!$H600-'FACP$'!$I600-'FACP$'!$K600</f>
        <v>6283775.47</v>
      </c>
      <c r="M600" s="157" t="s">
        <v>93</v>
      </c>
      <c r="N600" s="162" t="s">
        <v>127</v>
      </c>
      <c r="O600" s="163"/>
      <c r="P600" s="164">
        <f t="shared" si="13"/>
        <v>43155</v>
      </c>
      <c r="Q600" s="165">
        <f t="shared" si="2"/>
        <v>0</v>
      </c>
      <c r="R600" s="166"/>
      <c r="S600" s="167"/>
      <c r="T600" s="168">
        <f t="shared" si="3"/>
        <v>6283775.47</v>
      </c>
      <c r="U600" s="168">
        <f t="shared" si="4"/>
        <v>0</v>
      </c>
      <c r="V600" s="168">
        <f t="shared" si="5"/>
        <v>0</v>
      </c>
      <c r="W600" s="168">
        <f t="shared" si="6"/>
        <v>0</v>
      </c>
      <c r="X600" s="168">
        <f t="shared" si="7"/>
        <v>0</v>
      </c>
      <c r="Y600" s="168">
        <f t="shared" si="8"/>
        <v>0</v>
      </c>
      <c r="Z600" s="168">
        <f t="shared" si="9"/>
        <v>0</v>
      </c>
      <c r="AB600" s="12" t="s">
        <v>761</v>
      </c>
    </row>
    <row r="601" ht="14.25" customHeight="1">
      <c r="A601" s="157">
        <v>1084.0</v>
      </c>
      <c r="B601" s="170" t="s">
        <v>728</v>
      </c>
      <c r="C601" s="158" t="s">
        <v>836</v>
      </c>
      <c r="D601" s="159">
        <v>43166.0</v>
      </c>
      <c r="E601" s="157" t="s">
        <v>8</v>
      </c>
      <c r="F601" s="160">
        <v>459000.0</v>
      </c>
      <c r="G601" s="160">
        <v>73440.0</v>
      </c>
      <c r="H601" s="160">
        <f t="shared" si="33"/>
        <v>532440</v>
      </c>
      <c r="I601" s="160"/>
      <c r="J601" s="161"/>
      <c r="K601" s="160"/>
      <c r="L601" s="160">
        <f>+'FACP$'!$H601-'FACP$'!$I601-'FACP$'!$K601</f>
        <v>532440</v>
      </c>
      <c r="M601" s="157" t="s">
        <v>728</v>
      </c>
      <c r="N601" s="162" t="s">
        <v>554</v>
      </c>
      <c r="O601" s="163">
        <v>43201.0</v>
      </c>
      <c r="P601" s="164">
        <f t="shared" si="13"/>
        <v>43176</v>
      </c>
      <c r="Q601" s="165">
        <f t="shared" si="2"/>
        <v>0</v>
      </c>
      <c r="R601" s="166"/>
      <c r="S601" s="167"/>
      <c r="T601" s="168">
        <f t="shared" si="3"/>
        <v>532440</v>
      </c>
      <c r="U601" s="168">
        <f t="shared" si="4"/>
        <v>0</v>
      </c>
      <c r="V601" s="168">
        <f t="shared" si="5"/>
        <v>0</v>
      </c>
      <c r="W601" s="168">
        <f t="shared" si="6"/>
        <v>0</v>
      </c>
      <c r="X601" s="168">
        <f t="shared" si="7"/>
        <v>0</v>
      </c>
      <c r="Y601" s="168">
        <f t="shared" si="8"/>
        <v>0</v>
      </c>
      <c r="Z601" s="168">
        <f t="shared" si="9"/>
        <v>0</v>
      </c>
    </row>
    <row r="602" ht="14.25" customHeight="1">
      <c r="A602" s="157">
        <v>1085.0</v>
      </c>
      <c r="B602" s="170" t="s">
        <v>722</v>
      </c>
      <c r="C602" s="158" t="s">
        <v>87</v>
      </c>
      <c r="D602" s="159">
        <v>43145.0</v>
      </c>
      <c r="E602" s="157" t="s">
        <v>8</v>
      </c>
      <c r="F602" s="160">
        <v>5891396.88</v>
      </c>
      <c r="G602" s="160">
        <v>942623.5</v>
      </c>
      <c r="H602" s="160">
        <f t="shared" si="33"/>
        <v>6834020.38</v>
      </c>
      <c r="I602" s="160"/>
      <c r="J602" s="161"/>
      <c r="K602" s="160"/>
      <c r="L602" s="160">
        <f>+'FACP$'!$H602-'FACP$'!$I602-'FACP$'!$K602</f>
        <v>6834020.38</v>
      </c>
      <c r="M602" s="157" t="s">
        <v>837</v>
      </c>
      <c r="N602" s="162" t="s">
        <v>554</v>
      </c>
      <c r="O602" s="163"/>
      <c r="P602" s="164">
        <f t="shared" si="13"/>
        <v>43155</v>
      </c>
      <c r="Q602" s="165">
        <f t="shared" si="2"/>
        <v>0</v>
      </c>
      <c r="R602" s="166"/>
      <c r="S602" s="167"/>
      <c r="T602" s="168">
        <f t="shared" si="3"/>
        <v>6834020.38</v>
      </c>
      <c r="U602" s="168">
        <f t="shared" si="4"/>
        <v>0</v>
      </c>
      <c r="V602" s="168">
        <f t="shared" si="5"/>
        <v>0</v>
      </c>
      <c r="W602" s="168">
        <f t="shared" si="6"/>
        <v>0</v>
      </c>
      <c r="X602" s="168">
        <f t="shared" si="7"/>
        <v>0</v>
      </c>
      <c r="Y602" s="168">
        <f t="shared" si="8"/>
        <v>0</v>
      </c>
      <c r="Z602" s="168">
        <f t="shared" si="9"/>
        <v>0</v>
      </c>
    </row>
    <row r="603" ht="14.25" customHeight="1">
      <c r="A603" s="157">
        <v>1086.0</v>
      </c>
      <c r="B603" s="158" t="s">
        <v>838</v>
      </c>
      <c r="C603" s="158" t="s">
        <v>87</v>
      </c>
      <c r="D603" s="159">
        <v>43168.0</v>
      </c>
      <c r="E603" s="157" t="s">
        <v>8</v>
      </c>
      <c r="F603" s="160">
        <v>124624.5</v>
      </c>
      <c r="G603" s="160">
        <v>19939.92</v>
      </c>
      <c r="H603" s="160">
        <f t="shared" si="33"/>
        <v>144564.42</v>
      </c>
      <c r="I603" s="160"/>
      <c r="J603" s="161"/>
      <c r="K603" s="160"/>
      <c r="L603" s="160">
        <f>+'FACP$'!$H603-'FACP$'!$I603-'FACP$'!$K603</f>
        <v>144564.42</v>
      </c>
      <c r="M603" s="157" t="s">
        <v>586</v>
      </c>
      <c r="N603" s="162" t="s">
        <v>554</v>
      </c>
      <c r="O603" s="163">
        <v>43172.0</v>
      </c>
      <c r="P603" s="164">
        <f t="shared" si="13"/>
        <v>43178</v>
      </c>
      <c r="Q603" s="165">
        <f t="shared" si="2"/>
        <v>0</v>
      </c>
      <c r="R603" s="166"/>
      <c r="S603" s="167"/>
      <c r="T603" s="168">
        <f t="shared" si="3"/>
        <v>144564.42</v>
      </c>
      <c r="U603" s="168">
        <f t="shared" si="4"/>
        <v>0</v>
      </c>
      <c r="V603" s="168">
        <f t="shared" si="5"/>
        <v>0</v>
      </c>
      <c r="W603" s="168">
        <f t="shared" si="6"/>
        <v>0</v>
      </c>
      <c r="X603" s="168">
        <f t="shared" si="7"/>
        <v>0</v>
      </c>
      <c r="Y603" s="168">
        <f t="shared" si="8"/>
        <v>0</v>
      </c>
      <c r="Z603" s="168">
        <f t="shared" si="9"/>
        <v>0</v>
      </c>
    </row>
    <row r="604" ht="14.25" customHeight="1">
      <c r="A604" s="157">
        <v>1089.0</v>
      </c>
      <c r="B604" s="158" t="s">
        <v>19</v>
      </c>
      <c r="C604" s="158" t="s">
        <v>87</v>
      </c>
      <c r="D604" s="159">
        <v>43146.0</v>
      </c>
      <c r="E604" s="157" t="s">
        <v>8</v>
      </c>
      <c r="F604" s="160">
        <v>184684.5</v>
      </c>
      <c r="G604" s="160">
        <v>29549.52</v>
      </c>
      <c r="H604" s="160">
        <f t="shared" si="33"/>
        <v>214234.02</v>
      </c>
      <c r="I604" s="160"/>
      <c r="J604" s="161"/>
      <c r="K604" s="160"/>
      <c r="L604" s="160">
        <f>+'FACP$'!$H604-'FACP$'!$I604-'FACP$'!$K604</f>
        <v>214234.02</v>
      </c>
      <c r="M604" s="157" t="s">
        <v>732</v>
      </c>
      <c r="N604" s="162" t="s">
        <v>554</v>
      </c>
      <c r="O604" s="163">
        <v>43172.0</v>
      </c>
      <c r="P604" s="164">
        <f t="shared" si="13"/>
        <v>43156</v>
      </c>
      <c r="Q604" s="165">
        <f t="shared" si="2"/>
        <v>0</v>
      </c>
      <c r="R604" s="166"/>
      <c r="S604" s="167"/>
      <c r="T604" s="168">
        <f t="shared" si="3"/>
        <v>214234.02</v>
      </c>
      <c r="U604" s="168">
        <f t="shared" si="4"/>
        <v>0</v>
      </c>
      <c r="V604" s="168">
        <f t="shared" si="5"/>
        <v>0</v>
      </c>
      <c r="W604" s="168">
        <f t="shared" si="6"/>
        <v>0</v>
      </c>
      <c r="X604" s="168">
        <f t="shared" si="7"/>
        <v>0</v>
      </c>
      <c r="Y604" s="168">
        <f t="shared" si="8"/>
        <v>0</v>
      </c>
      <c r="Z604" s="168">
        <f t="shared" si="9"/>
        <v>0</v>
      </c>
    </row>
    <row r="605" ht="14.25" customHeight="1">
      <c r="A605" s="157">
        <v>1090.0</v>
      </c>
      <c r="B605" s="158" t="s">
        <v>37</v>
      </c>
      <c r="C605" s="158" t="s">
        <v>87</v>
      </c>
      <c r="D605" s="159">
        <v>43171.0</v>
      </c>
      <c r="E605" s="157" t="s">
        <v>8</v>
      </c>
      <c r="F605" s="160">
        <v>423984.77</v>
      </c>
      <c r="G605" s="160">
        <v>67837.56</v>
      </c>
      <c r="H605" s="160">
        <f t="shared" si="33"/>
        <v>491822.33</v>
      </c>
      <c r="I605" s="160"/>
      <c r="J605" s="161"/>
      <c r="K605" s="160"/>
      <c r="L605" s="160">
        <f>+'FACP$'!$H605-'FACP$'!$I605-'FACP$'!$K605</f>
        <v>491822.33</v>
      </c>
      <c r="M605" s="157" t="s">
        <v>718</v>
      </c>
      <c r="N605" s="162" t="s">
        <v>127</v>
      </c>
      <c r="O605" s="163"/>
      <c r="P605" s="164">
        <f t="shared" si="13"/>
        <v>43181</v>
      </c>
      <c r="Q605" s="165">
        <f t="shared" si="2"/>
        <v>0</v>
      </c>
      <c r="R605" s="166"/>
      <c r="S605" s="167"/>
      <c r="T605" s="168">
        <f t="shared" si="3"/>
        <v>491822.33</v>
      </c>
      <c r="U605" s="168">
        <f t="shared" si="4"/>
        <v>0</v>
      </c>
      <c r="V605" s="168">
        <f t="shared" si="5"/>
        <v>0</v>
      </c>
      <c r="W605" s="168">
        <f t="shared" si="6"/>
        <v>0</v>
      </c>
      <c r="X605" s="168">
        <f t="shared" si="7"/>
        <v>0</v>
      </c>
      <c r="Y605" s="168">
        <f t="shared" si="8"/>
        <v>0</v>
      </c>
      <c r="Z605" s="168">
        <f t="shared" si="9"/>
        <v>0</v>
      </c>
      <c r="AB605" s="12" t="s">
        <v>761</v>
      </c>
    </row>
    <row r="606" ht="14.25" customHeight="1">
      <c r="A606" s="157">
        <v>1091.0</v>
      </c>
      <c r="B606" s="158" t="s">
        <v>37</v>
      </c>
      <c r="C606" s="158" t="s">
        <v>87</v>
      </c>
      <c r="D606" s="159">
        <v>43171.0</v>
      </c>
      <c r="E606" s="157" t="s">
        <v>8</v>
      </c>
      <c r="F606" s="160">
        <v>423984.77</v>
      </c>
      <c r="G606" s="160">
        <v>67837.56</v>
      </c>
      <c r="H606" s="160">
        <f t="shared" si="33"/>
        <v>491822.33</v>
      </c>
      <c r="I606" s="160"/>
      <c r="J606" s="161"/>
      <c r="K606" s="160"/>
      <c r="L606" s="160">
        <f>+'FACP$'!$H606-'FACP$'!$I606-'FACP$'!$K606</f>
        <v>491822.33</v>
      </c>
      <c r="M606" s="157" t="s">
        <v>718</v>
      </c>
      <c r="N606" s="162" t="s">
        <v>554</v>
      </c>
      <c r="O606" s="163">
        <v>43389.0</v>
      </c>
      <c r="P606" s="164">
        <f t="shared" si="13"/>
        <v>43181</v>
      </c>
      <c r="Q606" s="165">
        <f t="shared" si="2"/>
        <v>0</v>
      </c>
      <c r="R606" s="166"/>
      <c r="S606" s="167"/>
      <c r="T606" s="168">
        <f t="shared" si="3"/>
        <v>491822.33</v>
      </c>
      <c r="U606" s="168">
        <f t="shared" si="4"/>
        <v>0</v>
      </c>
      <c r="V606" s="168">
        <f t="shared" si="5"/>
        <v>0</v>
      </c>
      <c r="W606" s="168">
        <f t="shared" si="6"/>
        <v>0</v>
      </c>
      <c r="X606" s="168">
        <f t="shared" si="7"/>
        <v>0</v>
      </c>
      <c r="Y606" s="168">
        <f t="shared" si="8"/>
        <v>0</v>
      </c>
      <c r="Z606" s="168">
        <f t="shared" si="9"/>
        <v>0</v>
      </c>
    </row>
    <row r="607" ht="14.25" customHeight="1">
      <c r="A607" s="157">
        <v>1092.0</v>
      </c>
      <c r="B607" s="158" t="s">
        <v>37</v>
      </c>
      <c r="C607" s="158" t="s">
        <v>87</v>
      </c>
      <c r="D607" s="159">
        <v>43145.0</v>
      </c>
      <c r="E607" s="157" t="s">
        <v>8</v>
      </c>
      <c r="F607" s="160">
        <v>1922325.0</v>
      </c>
      <c r="G607" s="160">
        <v>307572.0</v>
      </c>
      <c r="H607" s="160">
        <f t="shared" si="33"/>
        <v>2229897</v>
      </c>
      <c r="I607" s="160"/>
      <c r="J607" s="161"/>
      <c r="K607" s="160"/>
      <c r="L607" s="160">
        <f>+'FACP$'!$H607-'FACP$'!$I607-'FACP$'!$K607</f>
        <v>2229897</v>
      </c>
      <c r="M607" s="157" t="s">
        <v>718</v>
      </c>
      <c r="N607" s="162" t="s">
        <v>554</v>
      </c>
      <c r="O607" s="163">
        <v>43389.0</v>
      </c>
      <c r="P607" s="164">
        <f t="shared" si="13"/>
        <v>43155</v>
      </c>
      <c r="Q607" s="165">
        <f t="shared" si="2"/>
        <v>0</v>
      </c>
      <c r="R607" s="166"/>
      <c r="S607" s="167"/>
      <c r="T607" s="168">
        <f t="shared" si="3"/>
        <v>2229897</v>
      </c>
      <c r="U607" s="168">
        <f t="shared" si="4"/>
        <v>0</v>
      </c>
      <c r="V607" s="168">
        <f t="shared" si="5"/>
        <v>0</v>
      </c>
      <c r="W607" s="168">
        <f t="shared" si="6"/>
        <v>0</v>
      </c>
      <c r="X607" s="168">
        <f t="shared" si="7"/>
        <v>0</v>
      </c>
      <c r="Y607" s="168">
        <f t="shared" si="8"/>
        <v>0</v>
      </c>
      <c r="Z607" s="168">
        <f t="shared" si="9"/>
        <v>0</v>
      </c>
    </row>
    <row r="608" ht="14.25" customHeight="1">
      <c r="A608" s="157">
        <v>1096.0</v>
      </c>
      <c r="B608" s="158" t="s">
        <v>712</v>
      </c>
      <c r="C608" s="158" t="s">
        <v>87</v>
      </c>
      <c r="D608" s="159">
        <v>43162.0</v>
      </c>
      <c r="E608" s="157" t="s">
        <v>8</v>
      </c>
      <c r="F608" s="160">
        <v>470190.07</v>
      </c>
      <c r="G608" s="160">
        <v>75230.41</v>
      </c>
      <c r="H608" s="160">
        <f t="shared" si="33"/>
        <v>545420.48</v>
      </c>
      <c r="I608" s="160"/>
      <c r="J608" s="161"/>
      <c r="K608" s="160"/>
      <c r="L608" s="160">
        <f>+'FACP$'!$H608-'FACP$'!$I608-'FACP$'!$K608</f>
        <v>545420.48</v>
      </c>
      <c r="M608" s="157" t="s">
        <v>712</v>
      </c>
      <c r="N608" s="162" t="s">
        <v>554</v>
      </c>
      <c r="O608" s="163">
        <v>43207.0</v>
      </c>
      <c r="P608" s="164">
        <f t="shared" si="13"/>
        <v>43172</v>
      </c>
      <c r="Q608" s="165">
        <f t="shared" si="2"/>
        <v>0</v>
      </c>
      <c r="R608" s="166"/>
      <c r="S608" s="167"/>
      <c r="T608" s="168">
        <f t="shared" si="3"/>
        <v>545420.48</v>
      </c>
      <c r="U608" s="168">
        <f t="shared" si="4"/>
        <v>0</v>
      </c>
      <c r="V608" s="168">
        <f t="shared" si="5"/>
        <v>0</v>
      </c>
      <c r="W608" s="168">
        <f t="shared" si="6"/>
        <v>0</v>
      </c>
      <c r="X608" s="168">
        <f t="shared" si="7"/>
        <v>0</v>
      </c>
      <c r="Y608" s="168">
        <f t="shared" si="8"/>
        <v>0</v>
      </c>
      <c r="Z608" s="168">
        <f t="shared" si="9"/>
        <v>0</v>
      </c>
    </row>
    <row r="609" ht="14.25" customHeight="1">
      <c r="A609" s="157">
        <v>1097.0</v>
      </c>
      <c r="B609" s="158" t="s">
        <v>82</v>
      </c>
      <c r="C609" s="158" t="s">
        <v>87</v>
      </c>
      <c r="D609" s="159">
        <v>43147.0</v>
      </c>
      <c r="E609" s="157" t="s">
        <v>8</v>
      </c>
      <c r="F609" s="160">
        <v>324661.17</v>
      </c>
      <c r="G609" s="160">
        <v>51945.79</v>
      </c>
      <c r="H609" s="160">
        <f t="shared" si="33"/>
        <v>376606.96</v>
      </c>
      <c r="I609" s="160"/>
      <c r="J609" s="161"/>
      <c r="K609" s="160"/>
      <c r="L609" s="160">
        <f>+'FACP$'!$H609-'FACP$'!$I609-'FACP$'!$K609</f>
        <v>376606.96</v>
      </c>
      <c r="M609" s="157" t="s">
        <v>714</v>
      </c>
      <c r="N609" s="162" t="s">
        <v>554</v>
      </c>
      <c r="O609" s="163">
        <v>43201.0</v>
      </c>
      <c r="P609" s="164">
        <f t="shared" si="13"/>
        <v>43157</v>
      </c>
      <c r="Q609" s="165">
        <f t="shared" si="2"/>
        <v>0</v>
      </c>
      <c r="R609" s="166"/>
      <c r="S609" s="167"/>
      <c r="T609" s="168">
        <f t="shared" si="3"/>
        <v>376606.96</v>
      </c>
      <c r="U609" s="168">
        <f t="shared" si="4"/>
        <v>0</v>
      </c>
      <c r="V609" s="168">
        <f t="shared" si="5"/>
        <v>0</v>
      </c>
      <c r="W609" s="168">
        <f t="shared" si="6"/>
        <v>0</v>
      </c>
      <c r="X609" s="168">
        <f t="shared" si="7"/>
        <v>0</v>
      </c>
      <c r="Y609" s="168">
        <f t="shared" si="8"/>
        <v>0</v>
      </c>
      <c r="Z609" s="168">
        <f t="shared" si="9"/>
        <v>0</v>
      </c>
    </row>
    <row r="610" ht="14.25" customHeight="1">
      <c r="A610" s="157">
        <v>1098.0</v>
      </c>
      <c r="B610" s="170" t="s">
        <v>722</v>
      </c>
      <c r="C610" s="158" t="s">
        <v>87</v>
      </c>
      <c r="D610" s="159">
        <v>43160.0</v>
      </c>
      <c r="E610" s="157" t="s">
        <v>8</v>
      </c>
      <c r="F610" s="160">
        <v>6776352.0</v>
      </c>
      <c r="G610" s="160">
        <v>1084216.32</v>
      </c>
      <c r="H610" s="160">
        <f t="shared" si="33"/>
        <v>7860568.32</v>
      </c>
      <c r="I610" s="160"/>
      <c r="J610" s="161"/>
      <c r="K610" s="160"/>
      <c r="L610" s="160">
        <f>+'FACP$'!$H610-'FACP$'!$I610-'FACP$'!$K610</f>
        <v>7860568.32</v>
      </c>
      <c r="M610" s="157" t="s">
        <v>93</v>
      </c>
      <c r="N610" s="162" t="s">
        <v>554</v>
      </c>
      <c r="O610" s="163">
        <v>43192.0</v>
      </c>
      <c r="P610" s="164">
        <f t="shared" si="13"/>
        <v>43170</v>
      </c>
      <c r="Q610" s="165">
        <f t="shared" si="2"/>
        <v>0</v>
      </c>
      <c r="R610" s="166"/>
      <c r="S610" s="167"/>
      <c r="T610" s="168">
        <f t="shared" si="3"/>
        <v>7860568.32</v>
      </c>
      <c r="U610" s="168">
        <f t="shared" si="4"/>
        <v>0</v>
      </c>
      <c r="V610" s="168">
        <f t="shared" si="5"/>
        <v>0</v>
      </c>
      <c r="W610" s="168">
        <f t="shared" si="6"/>
        <v>0</v>
      </c>
      <c r="X610" s="168">
        <f t="shared" si="7"/>
        <v>0</v>
      </c>
      <c r="Y610" s="168">
        <f t="shared" si="8"/>
        <v>0</v>
      </c>
      <c r="Z610" s="168">
        <f t="shared" si="9"/>
        <v>0</v>
      </c>
    </row>
    <row r="611" ht="15.75" customHeight="1">
      <c r="A611" s="157">
        <v>1099.0</v>
      </c>
      <c r="B611" s="158"/>
      <c r="C611" s="158"/>
      <c r="D611" s="159"/>
      <c r="E611" s="157"/>
      <c r="F611" s="160"/>
      <c r="G611" s="160"/>
      <c r="H611" s="160">
        <f t="shared" si="33"/>
        <v>0</v>
      </c>
      <c r="I611" s="160"/>
      <c r="J611" s="161"/>
      <c r="K611" s="160"/>
      <c r="L611" s="160">
        <f>+'FACP$'!$H611-'FACP$'!$I611-'FACP$'!$K611</f>
        <v>0</v>
      </c>
      <c r="M611" s="157"/>
      <c r="N611" s="162" t="s">
        <v>127</v>
      </c>
      <c r="O611" s="163"/>
      <c r="P611" s="164">
        <f t="shared" si="13"/>
        <v>10</v>
      </c>
      <c r="Q611" s="165">
        <f t="shared" si="2"/>
        <v>0</v>
      </c>
      <c r="R611" s="166"/>
      <c r="S611" s="167"/>
      <c r="T611" s="168">
        <f t="shared" si="3"/>
        <v>0</v>
      </c>
      <c r="U611" s="168">
        <f t="shared" si="4"/>
        <v>0</v>
      </c>
      <c r="V611" s="168">
        <f t="shared" si="5"/>
        <v>0</v>
      </c>
      <c r="W611" s="168">
        <f t="shared" si="6"/>
        <v>0</v>
      </c>
      <c r="X611" s="168">
        <f t="shared" si="7"/>
        <v>0</v>
      </c>
      <c r="Y611" s="168">
        <f t="shared" si="8"/>
        <v>0</v>
      </c>
      <c r="Z611" s="168">
        <f t="shared" si="9"/>
        <v>0</v>
      </c>
      <c r="AA611" s="218"/>
      <c r="AB611" s="218"/>
    </row>
    <row r="612" ht="14.25" customHeight="1">
      <c r="A612" s="157">
        <v>1100.0</v>
      </c>
      <c r="B612" s="158" t="s">
        <v>720</v>
      </c>
      <c r="C612" s="158" t="s">
        <v>87</v>
      </c>
      <c r="D612" s="159">
        <v>43160.0</v>
      </c>
      <c r="E612" s="157" t="s">
        <v>8</v>
      </c>
      <c r="F612" s="160">
        <v>1023758.73</v>
      </c>
      <c r="G612" s="160">
        <v>163801.4</v>
      </c>
      <c r="H612" s="160">
        <f t="shared" si="33"/>
        <v>1187560.13</v>
      </c>
      <c r="I612" s="160"/>
      <c r="J612" s="161"/>
      <c r="K612" s="160"/>
      <c r="L612" s="160">
        <f>+'FACP$'!$H612-'FACP$'!$I612-'FACP$'!$K612</f>
        <v>1187560.13</v>
      </c>
      <c r="M612" s="157" t="s">
        <v>721</v>
      </c>
      <c r="N612" s="162" t="s">
        <v>554</v>
      </c>
      <c r="O612" s="163">
        <v>43194.0</v>
      </c>
      <c r="P612" s="164">
        <f t="shared" si="13"/>
        <v>43170</v>
      </c>
      <c r="Q612" s="165">
        <f t="shared" si="2"/>
        <v>0</v>
      </c>
      <c r="R612" s="166"/>
      <c r="S612" s="167"/>
      <c r="T612" s="168">
        <f t="shared" si="3"/>
        <v>1187560.13</v>
      </c>
      <c r="U612" s="168">
        <f t="shared" si="4"/>
        <v>0</v>
      </c>
      <c r="V612" s="168">
        <f t="shared" si="5"/>
        <v>0</v>
      </c>
      <c r="W612" s="168">
        <f t="shared" si="6"/>
        <v>0</v>
      </c>
      <c r="X612" s="168">
        <f t="shared" si="7"/>
        <v>0</v>
      </c>
      <c r="Y612" s="168">
        <f t="shared" si="8"/>
        <v>0</v>
      </c>
      <c r="Z612" s="168">
        <f t="shared" si="9"/>
        <v>0</v>
      </c>
    </row>
    <row r="613" ht="14.25" customHeight="1">
      <c r="A613" s="157">
        <v>1102.0</v>
      </c>
      <c r="B613" s="158" t="s">
        <v>43</v>
      </c>
      <c r="C613" s="158" t="s">
        <v>87</v>
      </c>
      <c r="D613" s="159">
        <v>43160.0</v>
      </c>
      <c r="E613" s="157" t="s">
        <v>8</v>
      </c>
      <c r="F613" s="160">
        <v>368975.4</v>
      </c>
      <c r="G613" s="160">
        <v>59036.06</v>
      </c>
      <c r="H613" s="160">
        <f t="shared" si="33"/>
        <v>428011.46</v>
      </c>
      <c r="I613" s="160"/>
      <c r="J613" s="161"/>
      <c r="K613" s="160"/>
      <c r="L613" s="160">
        <f>+'FACP$'!$H613-'FACP$'!$I613-'FACP$'!$K613</f>
        <v>428011.46</v>
      </c>
      <c r="M613" s="157" t="s">
        <v>103</v>
      </c>
      <c r="N613" s="162" t="s">
        <v>554</v>
      </c>
      <c r="O613" s="163">
        <v>43220.0</v>
      </c>
      <c r="P613" s="164">
        <f t="shared" si="13"/>
        <v>43170</v>
      </c>
      <c r="Q613" s="165">
        <f t="shared" si="2"/>
        <v>0</v>
      </c>
      <c r="R613" s="166"/>
      <c r="S613" s="167"/>
      <c r="T613" s="168">
        <f t="shared" si="3"/>
        <v>428011.46</v>
      </c>
      <c r="U613" s="168">
        <f t="shared" si="4"/>
        <v>0</v>
      </c>
      <c r="V613" s="168">
        <f t="shared" si="5"/>
        <v>0</v>
      </c>
      <c r="W613" s="168">
        <f t="shared" si="6"/>
        <v>0</v>
      </c>
      <c r="X613" s="168">
        <f t="shared" si="7"/>
        <v>0</v>
      </c>
      <c r="Y613" s="168">
        <f t="shared" si="8"/>
        <v>0</v>
      </c>
      <c r="Z613" s="168">
        <f t="shared" si="9"/>
        <v>0</v>
      </c>
    </row>
    <row r="614" ht="14.25" customHeight="1">
      <c r="A614" s="157">
        <v>1104.0</v>
      </c>
      <c r="B614" s="158" t="s">
        <v>37</v>
      </c>
      <c r="C614" s="158" t="s">
        <v>87</v>
      </c>
      <c r="D614" s="159">
        <v>43160.0</v>
      </c>
      <c r="E614" s="157" t="s">
        <v>8</v>
      </c>
      <c r="F614" s="160">
        <v>1658060.04</v>
      </c>
      <c r="G614" s="160">
        <v>265289.61</v>
      </c>
      <c r="H614" s="160">
        <f t="shared" si="33"/>
        <v>1923349.65</v>
      </c>
      <c r="I614" s="160"/>
      <c r="J614" s="161"/>
      <c r="K614" s="160"/>
      <c r="L614" s="160">
        <f>+'FACP$'!$H614-'FACP$'!$I614-'FACP$'!$K614</f>
        <v>1923349.65</v>
      </c>
      <c r="M614" s="157" t="s">
        <v>718</v>
      </c>
      <c r="N614" s="162" t="s">
        <v>554</v>
      </c>
      <c r="O614" s="163">
        <v>43207.0</v>
      </c>
      <c r="P614" s="164">
        <f t="shared" si="13"/>
        <v>43170</v>
      </c>
      <c r="Q614" s="165">
        <f t="shared" si="2"/>
        <v>0</v>
      </c>
      <c r="R614" s="166"/>
      <c r="S614" s="167"/>
      <c r="T614" s="168">
        <f t="shared" si="3"/>
        <v>1923349.65</v>
      </c>
      <c r="U614" s="168">
        <f t="shared" si="4"/>
        <v>0</v>
      </c>
      <c r="V614" s="168">
        <f t="shared" si="5"/>
        <v>0</v>
      </c>
      <c r="W614" s="168">
        <f t="shared" si="6"/>
        <v>0</v>
      </c>
      <c r="X614" s="168">
        <f t="shared" si="7"/>
        <v>0</v>
      </c>
      <c r="Y614" s="168">
        <f t="shared" si="8"/>
        <v>0</v>
      </c>
      <c r="Z614" s="168">
        <f t="shared" si="9"/>
        <v>0</v>
      </c>
    </row>
    <row r="615" ht="14.25" customHeight="1">
      <c r="A615" s="157">
        <v>1108.0</v>
      </c>
      <c r="B615" s="158" t="s">
        <v>831</v>
      </c>
      <c r="C615" s="158" t="s">
        <v>87</v>
      </c>
      <c r="D615" s="159">
        <v>43160.0</v>
      </c>
      <c r="E615" s="157" t="s">
        <v>8</v>
      </c>
      <c r="F615" s="160">
        <v>125556.48</v>
      </c>
      <c r="G615" s="160">
        <v>20089.04</v>
      </c>
      <c r="H615" s="160">
        <f t="shared" si="33"/>
        <v>145645.52</v>
      </c>
      <c r="I615" s="160"/>
      <c r="J615" s="161"/>
      <c r="K615" s="160"/>
      <c r="L615" s="160">
        <f>+'FACP$'!$H615-'FACP$'!$I615-'FACP$'!$K615</f>
        <v>145645.52</v>
      </c>
      <c r="M615" s="157" t="s">
        <v>586</v>
      </c>
      <c r="N615" s="162" t="s">
        <v>554</v>
      </c>
      <c r="O615" s="163">
        <v>43187.0</v>
      </c>
      <c r="P615" s="164">
        <f t="shared" si="13"/>
        <v>43170</v>
      </c>
      <c r="Q615" s="165">
        <f t="shared" si="2"/>
        <v>0</v>
      </c>
      <c r="R615" s="166"/>
      <c r="S615" s="167"/>
      <c r="T615" s="168">
        <f t="shared" si="3"/>
        <v>145645.52</v>
      </c>
      <c r="U615" s="168">
        <f t="shared" si="4"/>
        <v>0</v>
      </c>
      <c r="V615" s="168">
        <f t="shared" si="5"/>
        <v>0</v>
      </c>
      <c r="W615" s="168">
        <f t="shared" si="6"/>
        <v>0</v>
      </c>
      <c r="X615" s="168">
        <f t="shared" si="7"/>
        <v>0</v>
      </c>
      <c r="Y615" s="168">
        <f t="shared" si="8"/>
        <v>0</v>
      </c>
      <c r="Z615" s="168">
        <f t="shared" si="9"/>
        <v>0</v>
      </c>
    </row>
    <row r="616" ht="14.25" customHeight="1">
      <c r="A616" s="157">
        <v>1110.0</v>
      </c>
      <c r="B616" s="158" t="s">
        <v>831</v>
      </c>
      <c r="C616" s="158" t="s">
        <v>87</v>
      </c>
      <c r="D616" s="159">
        <v>43160.0</v>
      </c>
      <c r="E616" s="157" t="s">
        <v>8</v>
      </c>
      <c r="F616" s="160">
        <v>148055.04</v>
      </c>
      <c r="G616" s="160">
        <v>23688.81</v>
      </c>
      <c r="H616" s="160">
        <f t="shared" si="33"/>
        <v>171743.85</v>
      </c>
      <c r="I616" s="160"/>
      <c r="J616" s="161"/>
      <c r="K616" s="160"/>
      <c r="L616" s="160">
        <f>+'FACP$'!$H616-'FACP$'!$I616-'FACP$'!$K616</f>
        <v>171743.85</v>
      </c>
      <c r="M616" s="157" t="s">
        <v>732</v>
      </c>
      <c r="N616" s="162" t="s">
        <v>554</v>
      </c>
      <c r="O616" s="163">
        <v>43187.0</v>
      </c>
      <c r="P616" s="164">
        <f t="shared" si="13"/>
        <v>43170</v>
      </c>
      <c r="Q616" s="165">
        <f t="shared" si="2"/>
        <v>0</v>
      </c>
      <c r="R616" s="166"/>
      <c r="S616" s="167"/>
      <c r="T616" s="168">
        <f t="shared" si="3"/>
        <v>171743.85</v>
      </c>
      <c r="U616" s="168">
        <f t="shared" si="4"/>
        <v>0</v>
      </c>
      <c r="V616" s="168">
        <f t="shared" si="5"/>
        <v>0</v>
      </c>
      <c r="W616" s="168">
        <f t="shared" si="6"/>
        <v>0</v>
      </c>
      <c r="X616" s="168">
        <f t="shared" si="7"/>
        <v>0</v>
      </c>
      <c r="Y616" s="168">
        <f t="shared" si="8"/>
        <v>0</v>
      </c>
      <c r="Z616" s="168">
        <f t="shared" si="9"/>
        <v>0</v>
      </c>
    </row>
    <row r="617" ht="14.25" customHeight="1">
      <c r="A617" s="157">
        <v>1112.0</v>
      </c>
      <c r="B617" s="158" t="s">
        <v>103</v>
      </c>
      <c r="C617" s="158" t="s">
        <v>87</v>
      </c>
      <c r="D617" s="159">
        <v>43070.0</v>
      </c>
      <c r="E617" s="157" t="s">
        <v>8</v>
      </c>
      <c r="F617" s="160">
        <v>102783.33</v>
      </c>
      <c r="G617" s="160">
        <v>16445.33</v>
      </c>
      <c r="H617" s="160">
        <f t="shared" si="33"/>
        <v>119228.66</v>
      </c>
      <c r="I617" s="160"/>
      <c r="J617" s="161"/>
      <c r="K617" s="160"/>
      <c r="L617" s="160">
        <f>+'FACP$'!$H617-'FACP$'!$I617-'FACP$'!$K617</f>
        <v>119228.66</v>
      </c>
      <c r="M617" s="157" t="s">
        <v>103</v>
      </c>
      <c r="N617" s="162" t="s">
        <v>554</v>
      </c>
      <c r="O617" s="163">
        <v>43237.0</v>
      </c>
      <c r="P617" s="164">
        <f t="shared" si="13"/>
        <v>43080</v>
      </c>
      <c r="Q617" s="165">
        <f t="shared" si="2"/>
        <v>0</v>
      </c>
      <c r="R617" s="166"/>
      <c r="S617" s="167"/>
      <c r="T617" s="168">
        <f t="shared" si="3"/>
        <v>119228.66</v>
      </c>
      <c r="U617" s="168">
        <f t="shared" si="4"/>
        <v>0</v>
      </c>
      <c r="V617" s="168">
        <f t="shared" si="5"/>
        <v>0</v>
      </c>
      <c r="W617" s="168">
        <f t="shared" si="6"/>
        <v>0</v>
      </c>
      <c r="X617" s="168">
        <f t="shared" si="7"/>
        <v>0</v>
      </c>
      <c r="Y617" s="168">
        <f t="shared" si="8"/>
        <v>0</v>
      </c>
      <c r="Z617" s="168">
        <f t="shared" si="9"/>
        <v>0</v>
      </c>
    </row>
    <row r="618" ht="14.25" customHeight="1">
      <c r="A618" s="157">
        <v>1113.0</v>
      </c>
      <c r="B618" s="158" t="s">
        <v>37</v>
      </c>
      <c r="C618" s="158" t="s">
        <v>87</v>
      </c>
      <c r="D618" s="159">
        <v>43132.0</v>
      </c>
      <c r="E618" s="157" t="s">
        <v>8</v>
      </c>
      <c r="F618" s="160">
        <v>2060645.0</v>
      </c>
      <c r="G618" s="160">
        <v>329703.2</v>
      </c>
      <c r="H618" s="160">
        <f t="shared" si="33"/>
        <v>2390348.2</v>
      </c>
      <c r="I618" s="160"/>
      <c r="J618" s="161"/>
      <c r="K618" s="160"/>
      <c r="L618" s="160">
        <f>+'FACP$'!$H618-'FACP$'!$I618-'FACP$'!$K618</f>
        <v>2390348.2</v>
      </c>
      <c r="M618" s="157" t="s">
        <v>718</v>
      </c>
      <c r="N618" s="162" t="s">
        <v>554</v>
      </c>
      <c r="O618" s="163">
        <v>43207.0</v>
      </c>
      <c r="P618" s="164">
        <f t="shared" si="13"/>
        <v>43142</v>
      </c>
      <c r="Q618" s="165">
        <f t="shared" si="2"/>
        <v>0</v>
      </c>
      <c r="R618" s="166"/>
      <c r="S618" s="167"/>
      <c r="T618" s="168">
        <f t="shared" si="3"/>
        <v>2390348.2</v>
      </c>
      <c r="U618" s="168">
        <f t="shared" si="4"/>
        <v>0</v>
      </c>
      <c r="V618" s="168">
        <f t="shared" si="5"/>
        <v>0</v>
      </c>
      <c r="W618" s="168">
        <f t="shared" si="6"/>
        <v>0</v>
      </c>
      <c r="X618" s="168">
        <f t="shared" si="7"/>
        <v>0</v>
      </c>
      <c r="Y618" s="168">
        <f t="shared" si="8"/>
        <v>0</v>
      </c>
      <c r="Z618" s="168">
        <f t="shared" si="9"/>
        <v>0</v>
      </c>
    </row>
    <row r="619" ht="14.25" customHeight="1">
      <c r="A619" s="157">
        <v>1115.0</v>
      </c>
      <c r="B619" s="158" t="s">
        <v>43</v>
      </c>
      <c r="C619" s="158" t="s">
        <v>87</v>
      </c>
      <c r="D619" s="159">
        <v>43174.0</v>
      </c>
      <c r="E619" s="157" t="s">
        <v>8</v>
      </c>
      <c r="F619" s="160">
        <v>387837.04</v>
      </c>
      <c r="G619" s="160">
        <v>62053.93</v>
      </c>
      <c r="H619" s="160">
        <f t="shared" si="33"/>
        <v>449890.97</v>
      </c>
      <c r="I619" s="160"/>
      <c r="J619" s="161"/>
      <c r="K619" s="160"/>
      <c r="L619" s="160">
        <f>+'FACP$'!$H619-'FACP$'!$I619-'FACP$'!$K619</f>
        <v>449890.97</v>
      </c>
      <c r="M619" s="157" t="s">
        <v>103</v>
      </c>
      <c r="N619" s="162" t="s">
        <v>554</v>
      </c>
      <c r="O619" s="163"/>
      <c r="P619" s="164">
        <f t="shared" si="13"/>
        <v>43184</v>
      </c>
      <c r="Q619" s="165">
        <f t="shared" si="2"/>
        <v>0</v>
      </c>
      <c r="R619" s="166"/>
      <c r="S619" s="167"/>
      <c r="T619" s="168">
        <f t="shared" si="3"/>
        <v>449890.97</v>
      </c>
      <c r="U619" s="168">
        <f t="shared" si="4"/>
        <v>0</v>
      </c>
      <c r="V619" s="168">
        <f t="shared" si="5"/>
        <v>0</v>
      </c>
      <c r="W619" s="168">
        <f t="shared" si="6"/>
        <v>0</v>
      </c>
      <c r="X619" s="168">
        <f t="shared" si="7"/>
        <v>0</v>
      </c>
      <c r="Y619" s="168">
        <f t="shared" si="8"/>
        <v>0</v>
      </c>
      <c r="Z619" s="168">
        <f t="shared" si="9"/>
        <v>0</v>
      </c>
    </row>
    <row r="620" ht="14.25" customHeight="1">
      <c r="A620" s="157">
        <v>1117.0</v>
      </c>
      <c r="B620" s="158" t="s">
        <v>720</v>
      </c>
      <c r="C620" s="158" t="s">
        <v>87</v>
      </c>
      <c r="D620" s="159">
        <v>43174.0</v>
      </c>
      <c r="E620" s="157" t="s">
        <v>8</v>
      </c>
      <c r="F620" s="160">
        <v>1065486.78</v>
      </c>
      <c r="G620" s="160">
        <v>170477.88</v>
      </c>
      <c r="H620" s="160">
        <f t="shared" si="33"/>
        <v>1235964.66</v>
      </c>
      <c r="I620" s="160"/>
      <c r="J620" s="161"/>
      <c r="K620" s="160"/>
      <c r="L620" s="160">
        <f>+'FACP$'!$H620-'FACP$'!$I620-'FACP$'!$K620</f>
        <v>1235964.66</v>
      </c>
      <c r="M620" s="157" t="s">
        <v>721</v>
      </c>
      <c r="N620" s="162" t="s">
        <v>554</v>
      </c>
      <c r="O620" s="163">
        <v>43217.0</v>
      </c>
      <c r="P620" s="164">
        <f t="shared" si="13"/>
        <v>43184</v>
      </c>
      <c r="Q620" s="165">
        <f t="shared" si="2"/>
        <v>0</v>
      </c>
      <c r="R620" s="166"/>
      <c r="S620" s="167"/>
      <c r="T620" s="168">
        <f t="shared" si="3"/>
        <v>1235964.66</v>
      </c>
      <c r="U620" s="168">
        <f t="shared" si="4"/>
        <v>0</v>
      </c>
      <c r="V620" s="168">
        <f t="shared" si="5"/>
        <v>0</v>
      </c>
      <c r="W620" s="168">
        <f t="shared" si="6"/>
        <v>0</v>
      </c>
      <c r="X620" s="168">
        <f t="shared" si="7"/>
        <v>0</v>
      </c>
      <c r="Y620" s="168">
        <f t="shared" si="8"/>
        <v>0</v>
      </c>
      <c r="Z620" s="168">
        <f t="shared" si="9"/>
        <v>0</v>
      </c>
    </row>
    <row r="621" ht="14.25" customHeight="1">
      <c r="A621" s="157">
        <v>1120.0</v>
      </c>
      <c r="B621" s="170" t="s">
        <v>722</v>
      </c>
      <c r="C621" s="158" t="s">
        <v>87</v>
      </c>
      <c r="D621" s="159">
        <v>43173.0</v>
      </c>
      <c r="E621" s="157" t="s">
        <v>8</v>
      </c>
      <c r="F621" s="160">
        <v>6080301.0</v>
      </c>
      <c r="G621" s="160">
        <v>972848.16</v>
      </c>
      <c r="H621" s="160">
        <f t="shared" si="33"/>
        <v>7053149.16</v>
      </c>
      <c r="I621" s="160"/>
      <c r="J621" s="161"/>
      <c r="K621" s="160"/>
      <c r="L621" s="160">
        <f>+'FACP$'!$H621-'FACP$'!$I621-'FACP$'!$K621</f>
        <v>7053149.16</v>
      </c>
      <c r="M621" s="157" t="s">
        <v>93</v>
      </c>
      <c r="N621" s="162" t="s">
        <v>554</v>
      </c>
      <c r="O621" s="163">
        <v>43203.0</v>
      </c>
      <c r="P621" s="164">
        <f t="shared" si="13"/>
        <v>43183</v>
      </c>
      <c r="Q621" s="165">
        <f t="shared" si="2"/>
        <v>0</v>
      </c>
      <c r="R621" s="166"/>
      <c r="S621" s="167"/>
      <c r="T621" s="168">
        <f t="shared" si="3"/>
        <v>7053149.16</v>
      </c>
      <c r="U621" s="168">
        <f t="shared" si="4"/>
        <v>0</v>
      </c>
      <c r="V621" s="168">
        <f t="shared" si="5"/>
        <v>0</v>
      </c>
      <c r="W621" s="168">
        <f t="shared" si="6"/>
        <v>0</v>
      </c>
      <c r="X621" s="168">
        <f t="shared" si="7"/>
        <v>0</v>
      </c>
      <c r="Y621" s="168">
        <f t="shared" si="8"/>
        <v>0</v>
      </c>
      <c r="Z621" s="168">
        <f t="shared" si="9"/>
        <v>0</v>
      </c>
    </row>
    <row r="622" ht="14.25" customHeight="1">
      <c r="A622" s="157">
        <v>1121.0</v>
      </c>
      <c r="B622" s="158" t="s">
        <v>101</v>
      </c>
      <c r="C622" s="158" t="s">
        <v>87</v>
      </c>
      <c r="D622" s="159">
        <v>43174.0</v>
      </c>
      <c r="E622" s="157" t="s">
        <v>8</v>
      </c>
      <c r="F622" s="160">
        <v>118944.0</v>
      </c>
      <c r="G622" s="160">
        <v>19031.04</v>
      </c>
      <c r="H622" s="160">
        <f t="shared" si="33"/>
        <v>137975.04</v>
      </c>
      <c r="I622" s="160"/>
      <c r="J622" s="161"/>
      <c r="K622" s="160"/>
      <c r="L622" s="160">
        <f>+'FACP$'!$H622-'FACP$'!$I622-'FACP$'!$K622</f>
        <v>137975.04</v>
      </c>
      <c r="M622" s="157" t="s">
        <v>586</v>
      </c>
      <c r="N622" s="162" t="s">
        <v>554</v>
      </c>
      <c r="O622" s="163">
        <v>43216.0</v>
      </c>
      <c r="P622" s="164">
        <f t="shared" si="13"/>
        <v>43184</v>
      </c>
      <c r="Q622" s="165">
        <f t="shared" si="2"/>
        <v>0</v>
      </c>
      <c r="R622" s="166"/>
      <c r="S622" s="167"/>
      <c r="T622" s="168">
        <f t="shared" si="3"/>
        <v>137975.04</v>
      </c>
      <c r="U622" s="168">
        <f t="shared" si="4"/>
        <v>0</v>
      </c>
      <c r="V622" s="168">
        <f t="shared" si="5"/>
        <v>0</v>
      </c>
      <c r="W622" s="168">
        <f t="shared" si="6"/>
        <v>0</v>
      </c>
      <c r="X622" s="168">
        <f t="shared" si="7"/>
        <v>0</v>
      </c>
      <c r="Y622" s="168">
        <f t="shared" si="8"/>
        <v>0</v>
      </c>
      <c r="Z622" s="168">
        <f t="shared" si="9"/>
        <v>0</v>
      </c>
    </row>
    <row r="623" ht="14.25" customHeight="1">
      <c r="A623" s="157">
        <v>1123.0</v>
      </c>
      <c r="B623" s="158" t="s">
        <v>831</v>
      </c>
      <c r="C623" s="158" t="s">
        <v>87</v>
      </c>
      <c r="D623" s="159">
        <v>43174.0</v>
      </c>
      <c r="E623" s="157" t="s">
        <v>8</v>
      </c>
      <c r="F623" s="160">
        <v>229904.64</v>
      </c>
      <c r="G623" s="160">
        <v>36784.74</v>
      </c>
      <c r="H623" s="160">
        <f t="shared" si="33"/>
        <v>266689.38</v>
      </c>
      <c r="I623" s="160"/>
      <c r="J623" s="161"/>
      <c r="K623" s="160"/>
      <c r="L623" s="160">
        <f>+'FACP$'!$H623-'FACP$'!$I623-'FACP$'!$K623</f>
        <v>266689.38</v>
      </c>
      <c r="M623" s="157" t="s">
        <v>732</v>
      </c>
      <c r="N623" s="162" t="s">
        <v>554</v>
      </c>
      <c r="O623" s="163">
        <v>43216.0</v>
      </c>
      <c r="P623" s="164">
        <f t="shared" si="13"/>
        <v>43184</v>
      </c>
      <c r="Q623" s="165">
        <f t="shared" si="2"/>
        <v>0</v>
      </c>
      <c r="R623" s="166"/>
      <c r="S623" s="167"/>
      <c r="T623" s="168">
        <f t="shared" si="3"/>
        <v>266689.38</v>
      </c>
      <c r="U623" s="168">
        <f t="shared" si="4"/>
        <v>0</v>
      </c>
      <c r="V623" s="168">
        <f t="shared" si="5"/>
        <v>0</v>
      </c>
      <c r="W623" s="168">
        <f t="shared" si="6"/>
        <v>0</v>
      </c>
      <c r="X623" s="168">
        <f t="shared" si="7"/>
        <v>0</v>
      </c>
      <c r="Y623" s="168">
        <f t="shared" si="8"/>
        <v>0</v>
      </c>
      <c r="Z623" s="168">
        <f t="shared" si="9"/>
        <v>0</v>
      </c>
    </row>
    <row r="624" ht="14.25" customHeight="1">
      <c r="A624" s="157">
        <v>1125.0</v>
      </c>
      <c r="B624" s="158" t="s">
        <v>712</v>
      </c>
      <c r="C624" s="158" t="s">
        <v>87</v>
      </c>
      <c r="D624" s="159">
        <v>43173.0</v>
      </c>
      <c r="E624" s="157" t="s">
        <v>8</v>
      </c>
      <c r="F624" s="160">
        <v>568790.46</v>
      </c>
      <c r="G624" s="160">
        <v>91006.47</v>
      </c>
      <c r="H624" s="160">
        <f t="shared" si="33"/>
        <v>659796.93</v>
      </c>
      <c r="I624" s="160"/>
      <c r="J624" s="161"/>
      <c r="K624" s="160"/>
      <c r="L624" s="160">
        <f>+'FACP$'!$H624-'FACP$'!$I624-'FACP$'!$K624</f>
        <v>659796.93</v>
      </c>
      <c r="M624" s="157" t="s">
        <v>712</v>
      </c>
      <c r="N624" s="162" t="s">
        <v>127</v>
      </c>
      <c r="O624" s="163"/>
      <c r="P624" s="164">
        <f t="shared" si="13"/>
        <v>43183</v>
      </c>
      <c r="Q624" s="165">
        <f t="shared" si="2"/>
        <v>0</v>
      </c>
      <c r="R624" s="166" t="s">
        <v>839</v>
      </c>
      <c r="S624" s="167"/>
      <c r="T624" s="168">
        <f t="shared" si="3"/>
        <v>659796.93</v>
      </c>
      <c r="U624" s="168">
        <f t="shared" si="4"/>
        <v>0</v>
      </c>
      <c r="V624" s="168">
        <f t="shared" si="5"/>
        <v>0</v>
      </c>
      <c r="W624" s="168">
        <f t="shared" si="6"/>
        <v>0</v>
      </c>
      <c r="X624" s="168">
        <f t="shared" si="7"/>
        <v>0</v>
      </c>
      <c r="Y624" s="168">
        <f t="shared" si="8"/>
        <v>0</v>
      </c>
      <c r="Z624" s="168">
        <f t="shared" si="9"/>
        <v>0</v>
      </c>
    </row>
    <row r="625" ht="14.25" customHeight="1">
      <c r="A625" s="157">
        <v>1126.0</v>
      </c>
      <c r="B625" s="158" t="s">
        <v>726</v>
      </c>
      <c r="C625" s="158" t="s">
        <v>840</v>
      </c>
      <c r="D625" s="159">
        <v>43203.0</v>
      </c>
      <c r="E625" s="157" t="s">
        <v>8</v>
      </c>
      <c r="F625" s="160">
        <v>459000.0</v>
      </c>
      <c r="G625" s="160">
        <v>73440.0</v>
      </c>
      <c r="H625" s="160">
        <f t="shared" si="33"/>
        <v>532440</v>
      </c>
      <c r="I625" s="160"/>
      <c r="J625" s="161"/>
      <c r="K625" s="160"/>
      <c r="L625" s="160">
        <f>+'FACP$'!$H625-'FACP$'!$I625-'FACP$'!$K625</f>
        <v>532440</v>
      </c>
      <c r="M625" s="157" t="s">
        <v>728</v>
      </c>
      <c r="N625" s="162" t="s">
        <v>554</v>
      </c>
      <c r="O625" s="163">
        <v>43215.0</v>
      </c>
      <c r="P625" s="164">
        <f t="shared" si="13"/>
        <v>43213</v>
      </c>
      <c r="Q625" s="165">
        <f t="shared" si="2"/>
        <v>0</v>
      </c>
      <c r="R625" s="166"/>
      <c r="S625" s="167"/>
      <c r="T625" s="168">
        <f t="shared" si="3"/>
        <v>532440</v>
      </c>
      <c r="U625" s="168">
        <f t="shared" si="4"/>
        <v>0</v>
      </c>
      <c r="V625" s="168">
        <f t="shared" si="5"/>
        <v>0</v>
      </c>
      <c r="W625" s="168">
        <f t="shared" si="6"/>
        <v>0</v>
      </c>
      <c r="X625" s="168">
        <f t="shared" si="7"/>
        <v>0</v>
      </c>
      <c r="Y625" s="168">
        <f t="shared" si="8"/>
        <v>0</v>
      </c>
      <c r="Z625" s="168">
        <f t="shared" si="9"/>
        <v>0</v>
      </c>
    </row>
    <row r="626" ht="14.25" customHeight="1">
      <c r="A626" s="157">
        <v>1127.0</v>
      </c>
      <c r="B626" s="170" t="s">
        <v>722</v>
      </c>
      <c r="C626" s="158" t="s">
        <v>87</v>
      </c>
      <c r="D626" s="159">
        <v>43208.0</v>
      </c>
      <c r="E626" s="157" t="s">
        <v>8</v>
      </c>
      <c r="F626" s="160">
        <v>6118470.6</v>
      </c>
      <c r="G626" s="160">
        <v>978955.3</v>
      </c>
      <c r="H626" s="160">
        <f t="shared" si="33"/>
        <v>7097425.9</v>
      </c>
      <c r="I626" s="160"/>
      <c r="J626" s="161"/>
      <c r="K626" s="160"/>
      <c r="L626" s="160">
        <f>+'FACP$'!$H626-'FACP$'!$I626-'FACP$'!$K626</f>
        <v>7097425.9</v>
      </c>
      <c r="M626" s="157" t="s">
        <v>93</v>
      </c>
      <c r="N626" s="162" t="s">
        <v>554</v>
      </c>
      <c r="O626" s="163">
        <v>43216.0</v>
      </c>
      <c r="P626" s="164">
        <f t="shared" si="13"/>
        <v>43218</v>
      </c>
      <c r="Q626" s="165">
        <f t="shared" si="2"/>
        <v>0</v>
      </c>
      <c r="R626" s="166"/>
      <c r="S626" s="167"/>
      <c r="T626" s="168">
        <f t="shared" si="3"/>
        <v>7097425.9</v>
      </c>
      <c r="U626" s="168">
        <f t="shared" si="4"/>
        <v>0</v>
      </c>
      <c r="V626" s="168">
        <f t="shared" si="5"/>
        <v>0</v>
      </c>
      <c r="W626" s="168">
        <f t="shared" si="6"/>
        <v>0</v>
      </c>
      <c r="X626" s="168">
        <f t="shared" si="7"/>
        <v>0</v>
      </c>
      <c r="Y626" s="168">
        <f t="shared" si="8"/>
        <v>0</v>
      </c>
      <c r="Z626" s="168">
        <f t="shared" si="9"/>
        <v>0</v>
      </c>
    </row>
    <row r="627" ht="14.25" customHeight="1">
      <c r="A627" s="157">
        <v>1128.0</v>
      </c>
      <c r="B627" s="158" t="s">
        <v>720</v>
      </c>
      <c r="C627" s="158" t="s">
        <v>87</v>
      </c>
      <c r="D627" s="159">
        <v>43208.0</v>
      </c>
      <c r="E627" s="157" t="s">
        <v>8</v>
      </c>
      <c r="F627" s="160">
        <v>804668.8</v>
      </c>
      <c r="G627" s="160">
        <v>128747.01</v>
      </c>
      <c r="H627" s="160">
        <f t="shared" si="33"/>
        <v>933415.81</v>
      </c>
      <c r="I627" s="160"/>
      <c r="J627" s="161"/>
      <c r="K627" s="160"/>
      <c r="L627" s="160">
        <f>+'FACP$'!$H627-'FACP$'!$I627-'FACP$'!$K627</f>
        <v>933415.81</v>
      </c>
      <c r="M627" s="157" t="s">
        <v>777</v>
      </c>
      <c r="N627" s="162" t="s">
        <v>554</v>
      </c>
      <c r="O627" s="163">
        <v>43236.0</v>
      </c>
      <c r="P627" s="164">
        <f t="shared" si="13"/>
        <v>43218</v>
      </c>
      <c r="Q627" s="165">
        <f t="shared" si="2"/>
        <v>0</v>
      </c>
      <c r="R627" s="166"/>
      <c r="S627" s="167"/>
      <c r="T627" s="168">
        <f t="shared" si="3"/>
        <v>933415.81</v>
      </c>
      <c r="U627" s="168">
        <f t="shared" si="4"/>
        <v>0</v>
      </c>
      <c r="V627" s="168">
        <f t="shared" si="5"/>
        <v>0</v>
      </c>
      <c r="W627" s="168">
        <f t="shared" si="6"/>
        <v>0</v>
      </c>
      <c r="X627" s="168">
        <f t="shared" si="7"/>
        <v>0</v>
      </c>
      <c r="Y627" s="168">
        <f t="shared" si="8"/>
        <v>0</v>
      </c>
      <c r="Z627" s="168">
        <f t="shared" si="9"/>
        <v>0</v>
      </c>
    </row>
    <row r="628" ht="14.25" customHeight="1">
      <c r="A628" s="157">
        <v>1130.0</v>
      </c>
      <c r="B628" s="158" t="s">
        <v>43</v>
      </c>
      <c r="C628" s="158" t="s">
        <v>87</v>
      </c>
      <c r="D628" s="159">
        <v>43208.0</v>
      </c>
      <c r="E628" s="157" t="s">
        <v>8</v>
      </c>
      <c r="F628" s="160">
        <v>298854.1</v>
      </c>
      <c r="G628" s="160">
        <v>47816.66</v>
      </c>
      <c r="H628" s="160">
        <f t="shared" si="33"/>
        <v>346670.76</v>
      </c>
      <c r="I628" s="160"/>
      <c r="J628" s="161"/>
      <c r="K628" s="160"/>
      <c r="L628" s="160">
        <f>+'FACP$'!$H628-'FACP$'!$I628-'FACP$'!$K628</f>
        <v>346670.76</v>
      </c>
      <c r="M628" s="157" t="s">
        <v>43</v>
      </c>
      <c r="N628" s="162" t="s">
        <v>554</v>
      </c>
      <c r="O628" s="163">
        <v>43224.0</v>
      </c>
      <c r="P628" s="164">
        <f t="shared" si="13"/>
        <v>43218</v>
      </c>
      <c r="Q628" s="165">
        <f t="shared" si="2"/>
        <v>0</v>
      </c>
      <c r="R628" s="166"/>
      <c r="S628" s="167"/>
      <c r="T628" s="168">
        <f t="shared" si="3"/>
        <v>346670.76</v>
      </c>
      <c r="U628" s="168">
        <f t="shared" si="4"/>
        <v>0</v>
      </c>
      <c r="V628" s="168">
        <f t="shared" si="5"/>
        <v>0</v>
      </c>
      <c r="W628" s="168">
        <f t="shared" si="6"/>
        <v>0</v>
      </c>
      <c r="X628" s="168">
        <f t="shared" si="7"/>
        <v>0</v>
      </c>
      <c r="Y628" s="168">
        <f t="shared" si="8"/>
        <v>0</v>
      </c>
      <c r="Z628" s="168">
        <f t="shared" si="9"/>
        <v>0</v>
      </c>
    </row>
    <row r="629" ht="14.25" customHeight="1">
      <c r="A629" s="157">
        <v>1133.0</v>
      </c>
      <c r="B629" s="158" t="s">
        <v>29</v>
      </c>
      <c r="C629" s="158" t="s">
        <v>87</v>
      </c>
      <c r="D629" s="159">
        <v>43191.0</v>
      </c>
      <c r="E629" s="157" t="s">
        <v>8</v>
      </c>
      <c r="F629" s="160">
        <v>928.0</v>
      </c>
      <c r="G629" s="160">
        <v>148.8</v>
      </c>
      <c r="H629" s="160">
        <f t="shared" si="33"/>
        <v>1076.8</v>
      </c>
      <c r="I629" s="160"/>
      <c r="J629" s="161"/>
      <c r="K629" s="160"/>
      <c r="L629" s="160">
        <f>+'FACP$'!$H629-'FACP$'!$I629-'FACP$'!$K629</f>
        <v>1076.8</v>
      </c>
      <c r="M629" s="157" t="s">
        <v>825</v>
      </c>
      <c r="N629" s="162" t="s">
        <v>554</v>
      </c>
      <c r="O629" s="163">
        <v>43220.0</v>
      </c>
      <c r="P629" s="164">
        <f t="shared" si="13"/>
        <v>43201</v>
      </c>
      <c r="Q629" s="165">
        <f t="shared" si="2"/>
        <v>0</v>
      </c>
      <c r="R629" s="166"/>
      <c r="S629" s="167"/>
      <c r="T629" s="168">
        <f t="shared" si="3"/>
        <v>1076.8</v>
      </c>
      <c r="U629" s="168">
        <f t="shared" si="4"/>
        <v>0</v>
      </c>
      <c r="V629" s="168">
        <f t="shared" si="5"/>
        <v>0</v>
      </c>
      <c r="W629" s="168">
        <f t="shared" si="6"/>
        <v>0</v>
      </c>
      <c r="X629" s="168">
        <f t="shared" si="7"/>
        <v>0</v>
      </c>
      <c r="Y629" s="168">
        <f t="shared" si="8"/>
        <v>0</v>
      </c>
      <c r="Z629" s="168">
        <f t="shared" si="9"/>
        <v>0</v>
      </c>
    </row>
    <row r="630" ht="14.25" customHeight="1">
      <c r="A630" s="157">
        <v>1135.0</v>
      </c>
      <c r="B630" s="158" t="s">
        <v>37</v>
      </c>
      <c r="C630" s="158" t="s">
        <v>87</v>
      </c>
      <c r="D630" s="159">
        <v>43191.0</v>
      </c>
      <c r="E630" s="157" t="s">
        <v>8</v>
      </c>
      <c r="F630" s="160">
        <v>1595339.71</v>
      </c>
      <c r="G630" s="160">
        <v>255254.35</v>
      </c>
      <c r="H630" s="160">
        <f t="shared" si="33"/>
        <v>1850594.06</v>
      </c>
      <c r="I630" s="160"/>
      <c r="J630" s="161"/>
      <c r="K630" s="160"/>
      <c r="L630" s="160">
        <f>+'FACP$'!$H630-'FACP$'!$I630-'FACP$'!$K630</f>
        <v>1850594.06</v>
      </c>
      <c r="M630" s="157" t="s">
        <v>718</v>
      </c>
      <c r="N630" s="162" t="s">
        <v>554</v>
      </c>
      <c r="O630" s="163">
        <v>43228.0</v>
      </c>
      <c r="P630" s="164">
        <f t="shared" si="13"/>
        <v>43201</v>
      </c>
      <c r="Q630" s="165">
        <f t="shared" si="2"/>
        <v>0</v>
      </c>
      <c r="R630" s="166"/>
      <c r="S630" s="167"/>
      <c r="T630" s="168">
        <f t="shared" si="3"/>
        <v>1850594.06</v>
      </c>
      <c r="U630" s="168">
        <f t="shared" si="4"/>
        <v>0</v>
      </c>
      <c r="V630" s="168">
        <f t="shared" si="5"/>
        <v>0</v>
      </c>
      <c r="W630" s="168">
        <f t="shared" si="6"/>
        <v>0</v>
      </c>
      <c r="X630" s="168">
        <f t="shared" si="7"/>
        <v>0</v>
      </c>
      <c r="Y630" s="168">
        <f t="shared" si="8"/>
        <v>0</v>
      </c>
      <c r="Z630" s="168">
        <f t="shared" si="9"/>
        <v>0</v>
      </c>
    </row>
    <row r="631" ht="14.25" customHeight="1">
      <c r="A631" s="157">
        <v>1137.0</v>
      </c>
      <c r="B631" s="158" t="s">
        <v>831</v>
      </c>
      <c r="C631" s="158" t="s">
        <v>87</v>
      </c>
      <c r="D631" s="159">
        <v>43191.0</v>
      </c>
      <c r="E631" s="157" t="s">
        <v>8</v>
      </c>
      <c r="F631" s="160">
        <v>102979.8</v>
      </c>
      <c r="G631" s="160">
        <v>16476.77</v>
      </c>
      <c r="H631" s="160">
        <f t="shared" si="33"/>
        <v>119456.57</v>
      </c>
      <c r="I631" s="160"/>
      <c r="J631" s="161"/>
      <c r="K631" s="160"/>
      <c r="L631" s="160">
        <f>+'FACP$'!$H631-'FACP$'!$I631-'FACP$'!$K631</f>
        <v>119456.57</v>
      </c>
      <c r="M631" s="157" t="s">
        <v>586</v>
      </c>
      <c r="N631" s="162" t="s">
        <v>554</v>
      </c>
      <c r="O631" s="163">
        <v>43238.0</v>
      </c>
      <c r="P631" s="164">
        <f t="shared" si="13"/>
        <v>43201</v>
      </c>
      <c r="Q631" s="165">
        <f t="shared" si="2"/>
        <v>0</v>
      </c>
      <c r="R631" s="166"/>
      <c r="S631" s="167"/>
      <c r="T631" s="168">
        <f t="shared" si="3"/>
        <v>119456.57</v>
      </c>
      <c r="U631" s="168">
        <f t="shared" si="4"/>
        <v>0</v>
      </c>
      <c r="V631" s="168">
        <f t="shared" si="5"/>
        <v>0</v>
      </c>
      <c r="W631" s="168">
        <f t="shared" si="6"/>
        <v>0</v>
      </c>
      <c r="X631" s="168">
        <f t="shared" si="7"/>
        <v>0</v>
      </c>
      <c r="Y631" s="168">
        <f t="shared" si="8"/>
        <v>0</v>
      </c>
      <c r="Z631" s="168">
        <f t="shared" si="9"/>
        <v>0</v>
      </c>
    </row>
    <row r="632" ht="14.25" customHeight="1">
      <c r="A632" s="157">
        <v>1140.0</v>
      </c>
      <c r="B632" s="158" t="s">
        <v>79</v>
      </c>
      <c r="C632" s="158" t="s">
        <v>87</v>
      </c>
      <c r="D632" s="159">
        <v>43214.0</v>
      </c>
      <c r="E632" s="157" t="s">
        <v>8</v>
      </c>
      <c r="F632" s="160">
        <v>107243.12</v>
      </c>
      <c r="G632" s="160">
        <v>17158.9</v>
      </c>
      <c r="H632" s="160">
        <f t="shared" si="33"/>
        <v>124402.02</v>
      </c>
      <c r="I632" s="160"/>
      <c r="J632" s="161"/>
      <c r="K632" s="160"/>
      <c r="L632" s="160">
        <f>+'FACP$'!$H632-'FACP$'!$I632-'FACP$'!$K632</f>
        <v>124402.02</v>
      </c>
      <c r="M632" s="157" t="s">
        <v>712</v>
      </c>
      <c r="N632" s="162" t="s">
        <v>127</v>
      </c>
      <c r="O632" s="163"/>
      <c r="P632" s="164">
        <f t="shared" si="13"/>
        <v>43224</v>
      </c>
      <c r="Q632" s="165">
        <f t="shared" si="2"/>
        <v>0</v>
      </c>
      <c r="R632" s="166"/>
      <c r="S632" s="167"/>
      <c r="T632" s="168">
        <f t="shared" si="3"/>
        <v>124402.02</v>
      </c>
      <c r="U632" s="168">
        <f t="shared" si="4"/>
        <v>0</v>
      </c>
      <c r="V632" s="168">
        <f t="shared" si="5"/>
        <v>0</v>
      </c>
      <c r="W632" s="168">
        <f t="shared" si="6"/>
        <v>0</v>
      </c>
      <c r="X632" s="168">
        <f t="shared" si="7"/>
        <v>0</v>
      </c>
      <c r="Y632" s="168">
        <f t="shared" si="8"/>
        <v>0</v>
      </c>
      <c r="Z632" s="168">
        <f t="shared" si="9"/>
        <v>0</v>
      </c>
    </row>
    <row r="633" ht="14.25" customHeight="1">
      <c r="A633" s="157">
        <v>1141.0</v>
      </c>
      <c r="B633" s="158" t="s">
        <v>831</v>
      </c>
      <c r="C633" s="158" t="s">
        <v>87</v>
      </c>
      <c r="D633" s="159">
        <v>43191.0</v>
      </c>
      <c r="E633" s="157" t="s">
        <v>8</v>
      </c>
      <c r="F633" s="160">
        <v>197868.33</v>
      </c>
      <c r="G633" s="160">
        <v>31658.93</v>
      </c>
      <c r="H633" s="160">
        <f t="shared" si="33"/>
        <v>229527.26</v>
      </c>
      <c r="I633" s="160"/>
      <c r="J633" s="161"/>
      <c r="K633" s="160"/>
      <c r="L633" s="160">
        <f>+'FACP$'!$H633-'FACP$'!$I633-'FACP$'!$K633</f>
        <v>229527.26</v>
      </c>
      <c r="M633" s="157" t="s">
        <v>732</v>
      </c>
      <c r="N633" s="162" t="s">
        <v>554</v>
      </c>
      <c r="O633" s="163">
        <v>43238.0</v>
      </c>
      <c r="P633" s="164">
        <f t="shared" si="13"/>
        <v>43201</v>
      </c>
      <c r="Q633" s="165">
        <f t="shared" si="2"/>
        <v>0</v>
      </c>
      <c r="R633" s="166"/>
      <c r="S633" s="167"/>
      <c r="T633" s="168">
        <f t="shared" si="3"/>
        <v>229527.26</v>
      </c>
      <c r="U633" s="168">
        <f t="shared" si="4"/>
        <v>0</v>
      </c>
      <c r="V633" s="168">
        <f t="shared" si="5"/>
        <v>0</v>
      </c>
      <c r="W633" s="168">
        <f t="shared" si="6"/>
        <v>0</v>
      </c>
      <c r="X633" s="168">
        <f t="shared" si="7"/>
        <v>0</v>
      </c>
      <c r="Y633" s="168">
        <f t="shared" si="8"/>
        <v>0</v>
      </c>
      <c r="Z633" s="168">
        <f t="shared" si="9"/>
        <v>0</v>
      </c>
    </row>
    <row r="634" ht="14.25" customHeight="1">
      <c r="A634" s="157">
        <v>1148.0</v>
      </c>
      <c r="B634" s="158" t="s">
        <v>82</v>
      </c>
      <c r="C634" s="158" t="s">
        <v>841</v>
      </c>
      <c r="D634" s="159">
        <v>43217.0</v>
      </c>
      <c r="E634" s="157" t="s">
        <v>8</v>
      </c>
      <c r="F634" s="160">
        <v>188966.4</v>
      </c>
      <c r="G634" s="160">
        <v>30234.62</v>
      </c>
      <c r="H634" s="160">
        <f t="shared" si="33"/>
        <v>219201.02</v>
      </c>
      <c r="I634" s="160"/>
      <c r="J634" s="161"/>
      <c r="K634" s="160"/>
      <c r="L634" s="160">
        <f>+'FACP$'!$H634-'FACP$'!$I634-'FACP$'!$K634</f>
        <v>219201.02</v>
      </c>
      <c r="M634" s="157" t="s">
        <v>714</v>
      </c>
      <c r="N634" s="162" t="s">
        <v>554</v>
      </c>
      <c r="O634" s="163">
        <v>43236.0</v>
      </c>
      <c r="P634" s="164">
        <f t="shared" si="13"/>
        <v>43227</v>
      </c>
      <c r="Q634" s="165">
        <f t="shared" si="2"/>
        <v>0</v>
      </c>
      <c r="R634" s="166"/>
      <c r="S634" s="167"/>
      <c r="T634" s="168">
        <f t="shared" si="3"/>
        <v>219201.02</v>
      </c>
      <c r="U634" s="168">
        <f t="shared" si="4"/>
        <v>0</v>
      </c>
      <c r="V634" s="168">
        <f t="shared" si="5"/>
        <v>0</v>
      </c>
      <c r="W634" s="168">
        <f t="shared" si="6"/>
        <v>0</v>
      </c>
      <c r="X634" s="168">
        <f t="shared" si="7"/>
        <v>0</v>
      </c>
      <c r="Y634" s="168">
        <f t="shared" si="8"/>
        <v>0</v>
      </c>
      <c r="Z634" s="168">
        <f t="shared" si="9"/>
        <v>0</v>
      </c>
    </row>
    <row r="635" ht="14.25" customHeight="1">
      <c r="A635" s="157">
        <v>1149.0</v>
      </c>
      <c r="B635" s="158" t="s">
        <v>79</v>
      </c>
      <c r="C635" s="158" t="s">
        <v>87</v>
      </c>
      <c r="D635" s="159">
        <v>43191.0</v>
      </c>
      <c r="E635" s="157" t="s">
        <v>8</v>
      </c>
      <c r="F635" s="160">
        <v>482453.53</v>
      </c>
      <c r="G635" s="160">
        <v>77192.56</v>
      </c>
      <c r="H635" s="160">
        <f t="shared" si="33"/>
        <v>559646.09</v>
      </c>
      <c r="I635" s="160"/>
      <c r="J635" s="161"/>
      <c r="K635" s="160"/>
      <c r="L635" s="160">
        <f>+'FACP$'!$H635-'FACP$'!$I635-'FACP$'!$K635</f>
        <v>559646.09</v>
      </c>
      <c r="M635" s="157" t="s">
        <v>79</v>
      </c>
      <c r="N635" s="162" t="s">
        <v>127</v>
      </c>
      <c r="O635" s="163"/>
      <c r="P635" s="164">
        <f t="shared" si="13"/>
        <v>43201</v>
      </c>
      <c r="Q635" s="165">
        <f t="shared" si="2"/>
        <v>0</v>
      </c>
      <c r="R635" s="166"/>
      <c r="S635" s="167"/>
      <c r="T635" s="168">
        <f t="shared" si="3"/>
        <v>559646.09</v>
      </c>
      <c r="U635" s="168">
        <f t="shared" si="4"/>
        <v>0</v>
      </c>
      <c r="V635" s="168">
        <f t="shared" si="5"/>
        <v>0</v>
      </c>
      <c r="W635" s="168">
        <f t="shared" si="6"/>
        <v>0</v>
      </c>
      <c r="X635" s="168">
        <f t="shared" si="7"/>
        <v>0</v>
      </c>
      <c r="Y635" s="168">
        <f t="shared" si="8"/>
        <v>0</v>
      </c>
      <c r="Z635" s="168">
        <f t="shared" si="9"/>
        <v>0</v>
      </c>
    </row>
    <row r="636" ht="14.25" customHeight="1">
      <c r="A636" s="157">
        <v>1150.0</v>
      </c>
      <c r="B636" s="158" t="s">
        <v>103</v>
      </c>
      <c r="C636" s="158" t="s">
        <v>87</v>
      </c>
      <c r="D636" s="159">
        <v>43205.0</v>
      </c>
      <c r="E636" s="157" t="s">
        <v>8</v>
      </c>
      <c r="F636" s="160">
        <v>199822.4</v>
      </c>
      <c r="G636" s="160">
        <v>31971.58</v>
      </c>
      <c r="H636" s="160">
        <f t="shared" si="33"/>
        <v>231793.98</v>
      </c>
      <c r="I636" s="160"/>
      <c r="J636" s="161"/>
      <c r="K636" s="160"/>
      <c r="L636" s="160">
        <f>+'FACP$'!$H636-'FACP$'!$I636-'FACP$'!$K636</f>
        <v>231793.98</v>
      </c>
      <c r="M636" s="157" t="s">
        <v>43</v>
      </c>
      <c r="N636" s="162" t="s">
        <v>554</v>
      </c>
      <c r="O636" s="163">
        <v>43237.0</v>
      </c>
      <c r="P636" s="164">
        <f t="shared" si="13"/>
        <v>43215</v>
      </c>
      <c r="Q636" s="165">
        <f t="shared" si="2"/>
        <v>0</v>
      </c>
      <c r="R636" s="166"/>
      <c r="S636" s="167"/>
      <c r="T636" s="168">
        <f t="shared" si="3"/>
        <v>231793.98</v>
      </c>
      <c r="U636" s="168">
        <f t="shared" si="4"/>
        <v>0</v>
      </c>
      <c r="V636" s="168">
        <f t="shared" si="5"/>
        <v>0</v>
      </c>
      <c r="W636" s="168">
        <f t="shared" si="6"/>
        <v>0</v>
      </c>
      <c r="X636" s="168">
        <f t="shared" si="7"/>
        <v>0</v>
      </c>
      <c r="Y636" s="168">
        <f t="shared" si="8"/>
        <v>0</v>
      </c>
      <c r="Z636" s="168">
        <f t="shared" si="9"/>
        <v>0</v>
      </c>
    </row>
    <row r="637" ht="14.25" customHeight="1">
      <c r="A637" s="157">
        <v>1152.0</v>
      </c>
      <c r="B637" s="158" t="s">
        <v>720</v>
      </c>
      <c r="C637" s="158" t="s">
        <v>87</v>
      </c>
      <c r="D637" s="159">
        <v>43205.0</v>
      </c>
      <c r="E637" s="157" t="s">
        <v>8</v>
      </c>
      <c r="F637" s="160">
        <v>845408.0</v>
      </c>
      <c r="G637" s="160">
        <v>135265.28</v>
      </c>
      <c r="H637" s="160">
        <f t="shared" si="33"/>
        <v>980673.28</v>
      </c>
      <c r="I637" s="160"/>
      <c r="J637" s="161"/>
      <c r="K637" s="160"/>
      <c r="L637" s="160">
        <f>+'FACP$'!$H637-'FACP$'!$I637-'FACP$'!$K637</f>
        <v>980673.28</v>
      </c>
      <c r="M637" s="157" t="s">
        <v>721</v>
      </c>
      <c r="N637" s="162" t="s">
        <v>554</v>
      </c>
      <c r="O637" s="163">
        <v>43236.0</v>
      </c>
      <c r="P637" s="164">
        <f t="shared" si="13"/>
        <v>43215</v>
      </c>
      <c r="Q637" s="165">
        <f t="shared" si="2"/>
        <v>0</v>
      </c>
      <c r="R637" s="166"/>
      <c r="S637" s="167"/>
      <c r="T637" s="168">
        <f t="shared" si="3"/>
        <v>980673.28</v>
      </c>
      <c r="U637" s="168">
        <f t="shared" si="4"/>
        <v>0</v>
      </c>
      <c r="V637" s="168">
        <f t="shared" si="5"/>
        <v>0</v>
      </c>
      <c r="W637" s="168">
        <f t="shared" si="6"/>
        <v>0</v>
      </c>
      <c r="X637" s="168">
        <f t="shared" si="7"/>
        <v>0</v>
      </c>
      <c r="Y637" s="168">
        <f t="shared" si="8"/>
        <v>0</v>
      </c>
      <c r="Z637" s="168">
        <f t="shared" si="9"/>
        <v>0</v>
      </c>
    </row>
    <row r="638" ht="14.25" customHeight="1">
      <c r="A638" s="157">
        <v>1154.0</v>
      </c>
      <c r="B638" s="158" t="s">
        <v>726</v>
      </c>
      <c r="C638" s="158" t="s">
        <v>842</v>
      </c>
      <c r="D638" s="159">
        <v>43224.0</v>
      </c>
      <c r="E638" s="157" t="s">
        <v>8</v>
      </c>
      <c r="F638" s="160">
        <v>459000.0</v>
      </c>
      <c r="G638" s="160">
        <v>73440.0</v>
      </c>
      <c r="H638" s="160">
        <f t="shared" si="33"/>
        <v>532440</v>
      </c>
      <c r="I638" s="160"/>
      <c r="J638" s="161"/>
      <c r="K638" s="160"/>
      <c r="L638" s="160">
        <f>+'FACP$'!$H638-'FACP$'!$I638-'FACP$'!$K638</f>
        <v>532440</v>
      </c>
      <c r="M638" s="157" t="s">
        <v>728</v>
      </c>
      <c r="N638" s="162" t="s">
        <v>554</v>
      </c>
      <c r="O638" s="163">
        <v>43236.0</v>
      </c>
      <c r="P638" s="164">
        <f t="shared" si="13"/>
        <v>43234</v>
      </c>
      <c r="Q638" s="165">
        <f t="shared" si="2"/>
        <v>0</v>
      </c>
      <c r="R638" s="166"/>
      <c r="S638" s="167"/>
      <c r="T638" s="168">
        <f t="shared" si="3"/>
        <v>532440</v>
      </c>
      <c r="U638" s="168">
        <f t="shared" si="4"/>
        <v>0</v>
      </c>
      <c r="V638" s="168">
        <f t="shared" si="5"/>
        <v>0</v>
      </c>
      <c r="W638" s="168">
        <f t="shared" si="6"/>
        <v>0</v>
      </c>
      <c r="X638" s="168">
        <f t="shared" si="7"/>
        <v>0</v>
      </c>
      <c r="Y638" s="168">
        <f t="shared" si="8"/>
        <v>0</v>
      </c>
      <c r="Z638" s="168">
        <f t="shared" si="9"/>
        <v>0</v>
      </c>
    </row>
    <row r="639" ht="14.25" customHeight="1">
      <c r="A639" s="157">
        <v>1155.0</v>
      </c>
      <c r="B639" s="170" t="s">
        <v>722</v>
      </c>
      <c r="C639" s="158" t="s">
        <v>87</v>
      </c>
      <c r="D639" s="159">
        <v>43205.0</v>
      </c>
      <c r="E639" s="157" t="s">
        <v>8</v>
      </c>
      <c r="F639" s="160">
        <v>6428290.4</v>
      </c>
      <c r="G639" s="160">
        <v>1028526.46</v>
      </c>
      <c r="H639" s="160">
        <f t="shared" si="33"/>
        <v>7456816.86</v>
      </c>
      <c r="I639" s="160"/>
      <c r="J639" s="161"/>
      <c r="K639" s="160"/>
      <c r="L639" s="160">
        <f>+'FACP$'!$H639-'FACP$'!$I639-'FACP$'!$K639</f>
        <v>7456816.86</v>
      </c>
      <c r="M639" s="157" t="s">
        <v>93</v>
      </c>
      <c r="N639" s="162" t="s">
        <v>127</v>
      </c>
      <c r="O639" s="163"/>
      <c r="P639" s="164">
        <f t="shared" si="13"/>
        <v>43215</v>
      </c>
      <c r="Q639" s="165">
        <f t="shared" si="2"/>
        <v>0</v>
      </c>
      <c r="R639" s="166"/>
      <c r="S639" s="167"/>
      <c r="T639" s="168">
        <f t="shared" si="3"/>
        <v>7456816.86</v>
      </c>
      <c r="U639" s="168">
        <f t="shared" si="4"/>
        <v>0</v>
      </c>
      <c r="V639" s="168">
        <f t="shared" si="5"/>
        <v>0</v>
      </c>
      <c r="W639" s="168">
        <f t="shared" si="6"/>
        <v>0</v>
      </c>
      <c r="X639" s="168">
        <f t="shared" si="7"/>
        <v>0</v>
      </c>
      <c r="Y639" s="168">
        <f t="shared" si="8"/>
        <v>0</v>
      </c>
      <c r="Z639" s="168">
        <f t="shared" si="9"/>
        <v>0</v>
      </c>
    </row>
    <row r="640" ht="14.25" customHeight="1">
      <c r="A640" s="157">
        <v>1156.0</v>
      </c>
      <c r="B640" s="158" t="s">
        <v>831</v>
      </c>
      <c r="C640" s="158" t="s">
        <v>87</v>
      </c>
      <c r="D640" s="159">
        <v>43205.0</v>
      </c>
      <c r="E640" s="157" t="s">
        <v>8</v>
      </c>
      <c r="F640" s="160">
        <v>120388.29</v>
      </c>
      <c r="G640" s="160">
        <v>19262.13</v>
      </c>
      <c r="H640" s="160">
        <f t="shared" si="33"/>
        <v>139650.42</v>
      </c>
      <c r="I640" s="160"/>
      <c r="J640" s="161"/>
      <c r="K640" s="160"/>
      <c r="L640" s="160">
        <f>+'FACP$'!$H640-'FACP$'!$I640-'FACP$'!$K640</f>
        <v>139650.42</v>
      </c>
      <c r="M640" s="157" t="s">
        <v>586</v>
      </c>
      <c r="N640" s="162" t="s">
        <v>554</v>
      </c>
      <c r="O640" s="163">
        <v>43237.0</v>
      </c>
      <c r="P640" s="164">
        <f t="shared" si="13"/>
        <v>43215</v>
      </c>
      <c r="Q640" s="165">
        <f t="shared" si="2"/>
        <v>0</v>
      </c>
      <c r="R640" s="166"/>
      <c r="S640" s="167"/>
      <c r="T640" s="168">
        <f t="shared" si="3"/>
        <v>139650.42</v>
      </c>
      <c r="U640" s="168">
        <f t="shared" si="4"/>
        <v>0</v>
      </c>
      <c r="V640" s="168">
        <f t="shared" si="5"/>
        <v>0</v>
      </c>
      <c r="W640" s="168">
        <f t="shared" si="6"/>
        <v>0</v>
      </c>
      <c r="X640" s="168">
        <f t="shared" si="7"/>
        <v>0</v>
      </c>
      <c r="Y640" s="168">
        <f t="shared" si="8"/>
        <v>0</v>
      </c>
      <c r="Z640" s="168">
        <f t="shared" si="9"/>
        <v>0</v>
      </c>
    </row>
    <row r="641" ht="14.25" customHeight="1">
      <c r="A641" s="157">
        <v>1158.0</v>
      </c>
      <c r="B641" s="158" t="s">
        <v>831</v>
      </c>
      <c r="C641" s="158" t="s">
        <v>87</v>
      </c>
      <c r="D641" s="159">
        <v>43205.0</v>
      </c>
      <c r="E641" s="157" t="s">
        <v>8</v>
      </c>
      <c r="F641" s="160">
        <v>168772.45</v>
      </c>
      <c r="G641" s="160">
        <v>27003.59</v>
      </c>
      <c r="H641" s="160">
        <f t="shared" si="33"/>
        <v>195776.04</v>
      </c>
      <c r="I641" s="160"/>
      <c r="J641" s="161"/>
      <c r="K641" s="160"/>
      <c r="L641" s="160">
        <f>+'FACP$'!$H641-'FACP$'!$I641-'FACP$'!$K641</f>
        <v>195776.04</v>
      </c>
      <c r="M641" s="157" t="s">
        <v>732</v>
      </c>
      <c r="N641" s="162" t="s">
        <v>554</v>
      </c>
      <c r="O641" s="163">
        <v>43237.0</v>
      </c>
      <c r="P641" s="164">
        <f t="shared" si="13"/>
        <v>43215</v>
      </c>
      <c r="Q641" s="165">
        <f t="shared" si="2"/>
        <v>0</v>
      </c>
      <c r="R641" s="166"/>
      <c r="S641" s="167"/>
      <c r="T641" s="168">
        <f t="shared" si="3"/>
        <v>195776.04</v>
      </c>
      <c r="U641" s="168">
        <f t="shared" si="4"/>
        <v>0</v>
      </c>
      <c r="V641" s="168">
        <f t="shared" si="5"/>
        <v>0</v>
      </c>
      <c r="W641" s="168">
        <f t="shared" si="6"/>
        <v>0</v>
      </c>
      <c r="X641" s="168">
        <f t="shared" si="7"/>
        <v>0</v>
      </c>
      <c r="Y641" s="168">
        <f t="shared" si="8"/>
        <v>0</v>
      </c>
      <c r="Z641" s="168">
        <f t="shared" si="9"/>
        <v>0</v>
      </c>
    </row>
    <row r="642" ht="14.25" customHeight="1">
      <c r="A642" s="157">
        <v>1160.0</v>
      </c>
      <c r="B642" s="158" t="s">
        <v>37</v>
      </c>
      <c r="C642" s="158" t="s">
        <v>87</v>
      </c>
      <c r="D642" s="159">
        <v>43205.0</v>
      </c>
      <c r="E642" s="157" t="s">
        <v>8</v>
      </c>
      <c r="F642" s="160">
        <v>1961153.05</v>
      </c>
      <c r="G642" s="160">
        <v>313784.49</v>
      </c>
      <c r="H642" s="160">
        <f t="shared" si="33"/>
        <v>2274937.54</v>
      </c>
      <c r="I642" s="160"/>
      <c r="J642" s="161"/>
      <c r="K642" s="160"/>
      <c r="L642" s="160">
        <f>+'FACP$'!$H642-'FACP$'!$I642-'FACP$'!$K642</f>
        <v>2274937.54</v>
      </c>
      <c r="M642" s="157" t="s">
        <v>718</v>
      </c>
      <c r="N642" s="162" t="s">
        <v>554</v>
      </c>
      <c r="O642" s="163">
        <v>43319.0</v>
      </c>
      <c r="P642" s="164">
        <f t="shared" si="13"/>
        <v>43215</v>
      </c>
      <c r="Q642" s="165">
        <f t="shared" si="2"/>
        <v>0</v>
      </c>
      <c r="R642" s="166"/>
      <c r="S642" s="167"/>
      <c r="T642" s="168">
        <f t="shared" si="3"/>
        <v>2274937.54</v>
      </c>
      <c r="U642" s="168">
        <f t="shared" si="4"/>
        <v>0</v>
      </c>
      <c r="V642" s="168">
        <f t="shared" si="5"/>
        <v>0</v>
      </c>
      <c r="W642" s="168">
        <f t="shared" si="6"/>
        <v>0</v>
      </c>
      <c r="X642" s="168">
        <f t="shared" si="7"/>
        <v>0</v>
      </c>
      <c r="Y642" s="168">
        <f t="shared" si="8"/>
        <v>0</v>
      </c>
      <c r="Z642" s="168">
        <f t="shared" si="9"/>
        <v>0</v>
      </c>
    </row>
    <row r="643" ht="14.25" customHeight="1">
      <c r="A643" s="157">
        <v>1162.0</v>
      </c>
      <c r="B643" s="158" t="s">
        <v>79</v>
      </c>
      <c r="C643" s="158" t="s">
        <v>87</v>
      </c>
      <c r="D643" s="159">
        <v>43173.0</v>
      </c>
      <c r="E643" s="157" t="s">
        <v>8</v>
      </c>
      <c r="F643" s="160">
        <v>541271.34</v>
      </c>
      <c r="G643" s="160">
        <v>86603.41</v>
      </c>
      <c r="H643" s="160">
        <f t="shared" si="33"/>
        <v>627874.75</v>
      </c>
      <c r="I643" s="160"/>
      <c r="J643" s="161"/>
      <c r="K643" s="160"/>
      <c r="L643" s="160">
        <f>+'FACP$'!$H643-'FACP$'!$I643-'FACP$'!$K643</f>
        <v>627874.75</v>
      </c>
      <c r="M643" s="157" t="s">
        <v>79</v>
      </c>
      <c r="N643" s="162" t="s">
        <v>554</v>
      </c>
      <c r="O643" s="163">
        <v>43238.0</v>
      </c>
      <c r="P643" s="164">
        <f t="shared" si="13"/>
        <v>43183</v>
      </c>
      <c r="Q643" s="165">
        <f t="shared" si="2"/>
        <v>0</v>
      </c>
      <c r="R643" s="166"/>
      <c r="S643" s="167"/>
      <c r="T643" s="168">
        <f t="shared" si="3"/>
        <v>627874.75</v>
      </c>
      <c r="U643" s="168">
        <f t="shared" si="4"/>
        <v>0</v>
      </c>
      <c r="V643" s="168">
        <f t="shared" si="5"/>
        <v>0</v>
      </c>
      <c r="W643" s="168">
        <f t="shared" si="6"/>
        <v>0</v>
      </c>
      <c r="X643" s="168">
        <f t="shared" si="7"/>
        <v>0</v>
      </c>
      <c r="Y643" s="168">
        <f t="shared" si="8"/>
        <v>0</v>
      </c>
      <c r="Z643" s="168">
        <f t="shared" si="9"/>
        <v>0</v>
      </c>
    </row>
    <row r="644" ht="14.25" customHeight="1">
      <c r="A644" s="157">
        <v>1163.0</v>
      </c>
      <c r="B644" s="158" t="s">
        <v>79</v>
      </c>
      <c r="C644" s="158" t="s">
        <v>87</v>
      </c>
      <c r="D644" s="159">
        <v>43191.0</v>
      </c>
      <c r="E644" s="157" t="s">
        <v>8</v>
      </c>
      <c r="F644" s="160">
        <v>459069.78</v>
      </c>
      <c r="G644" s="160">
        <v>73451.16</v>
      </c>
      <c r="H644" s="160">
        <f t="shared" si="33"/>
        <v>532520.94</v>
      </c>
      <c r="I644" s="160"/>
      <c r="J644" s="161"/>
      <c r="K644" s="160"/>
      <c r="L644" s="160">
        <f>+'FACP$'!$H644-'FACP$'!$I644-'FACP$'!$K644</f>
        <v>532520.94</v>
      </c>
      <c r="M644" s="157" t="s">
        <v>79</v>
      </c>
      <c r="N644" s="162" t="s">
        <v>554</v>
      </c>
      <c r="O644" s="163">
        <v>43245.0</v>
      </c>
      <c r="P644" s="164">
        <f t="shared" si="13"/>
        <v>43201</v>
      </c>
      <c r="Q644" s="165">
        <f t="shared" si="2"/>
        <v>0</v>
      </c>
      <c r="R644" s="166"/>
      <c r="S644" s="167"/>
      <c r="T644" s="168">
        <f t="shared" si="3"/>
        <v>532520.94</v>
      </c>
      <c r="U644" s="168">
        <f t="shared" si="4"/>
        <v>0</v>
      </c>
      <c r="V644" s="168">
        <f t="shared" si="5"/>
        <v>0</v>
      </c>
      <c r="W644" s="168">
        <f t="shared" si="6"/>
        <v>0</v>
      </c>
      <c r="X644" s="168">
        <f t="shared" si="7"/>
        <v>0</v>
      </c>
      <c r="Y644" s="168">
        <f t="shared" si="8"/>
        <v>0</v>
      </c>
      <c r="Z644" s="168">
        <f t="shared" si="9"/>
        <v>0</v>
      </c>
    </row>
    <row r="645" ht="14.25" customHeight="1">
      <c r="A645" s="157">
        <v>1164.0</v>
      </c>
      <c r="B645" s="158" t="s">
        <v>79</v>
      </c>
      <c r="C645" s="158" t="s">
        <v>87</v>
      </c>
      <c r="D645" s="159">
        <v>43205.0</v>
      </c>
      <c r="E645" s="157" t="s">
        <v>8</v>
      </c>
      <c r="F645" s="160">
        <v>509391.61</v>
      </c>
      <c r="G645" s="160">
        <v>81502.66</v>
      </c>
      <c r="H645" s="160">
        <f t="shared" si="33"/>
        <v>590894.27</v>
      </c>
      <c r="I645" s="160"/>
      <c r="J645" s="161"/>
      <c r="K645" s="160"/>
      <c r="L645" s="160">
        <f>+'FACP$'!$H645-'FACP$'!$I645-'FACP$'!$K645</f>
        <v>590894.27</v>
      </c>
      <c r="M645" s="157" t="s">
        <v>79</v>
      </c>
      <c r="N645" s="162" t="s">
        <v>554</v>
      </c>
      <c r="O645" s="163">
        <v>43276.0</v>
      </c>
      <c r="P645" s="164">
        <f t="shared" si="13"/>
        <v>43215</v>
      </c>
      <c r="Q645" s="165">
        <f t="shared" si="2"/>
        <v>0</v>
      </c>
      <c r="R645" s="166"/>
      <c r="S645" s="167"/>
      <c r="T645" s="168">
        <f t="shared" si="3"/>
        <v>590894.27</v>
      </c>
      <c r="U645" s="168">
        <f t="shared" si="4"/>
        <v>0</v>
      </c>
      <c r="V645" s="168">
        <f t="shared" si="5"/>
        <v>0</v>
      </c>
      <c r="W645" s="168">
        <f t="shared" si="6"/>
        <v>0</v>
      </c>
      <c r="X645" s="168">
        <f t="shared" si="7"/>
        <v>0</v>
      </c>
      <c r="Y645" s="168">
        <f t="shared" si="8"/>
        <v>0</v>
      </c>
      <c r="Z645" s="168">
        <f t="shared" si="9"/>
        <v>0</v>
      </c>
    </row>
    <row r="646" ht="15.75" customHeight="1">
      <c r="A646" s="157">
        <v>1165.0</v>
      </c>
      <c r="B646" s="170" t="s">
        <v>722</v>
      </c>
      <c r="C646" s="161" t="s">
        <v>724</v>
      </c>
      <c r="D646" s="159">
        <v>43205.0</v>
      </c>
      <c r="E646" s="157" t="s">
        <v>8</v>
      </c>
      <c r="F646" s="160">
        <v>6523290.4</v>
      </c>
      <c r="G646" s="160">
        <v>1043726.46</v>
      </c>
      <c r="H646" s="160">
        <f t="shared" si="33"/>
        <v>7567016.86</v>
      </c>
      <c r="I646" s="160"/>
      <c r="J646" s="161"/>
      <c r="K646" s="160"/>
      <c r="L646" s="160">
        <f>+'FACP$'!$H646-'FACP$'!$I646-'FACP$'!$K646</f>
        <v>7567016.86</v>
      </c>
      <c r="M646" s="157" t="s">
        <v>93</v>
      </c>
      <c r="N646" s="162" t="s">
        <v>127</v>
      </c>
      <c r="O646" s="163"/>
      <c r="P646" s="164">
        <f t="shared" si="13"/>
        <v>43215</v>
      </c>
      <c r="Q646" s="165">
        <f t="shared" si="2"/>
        <v>0</v>
      </c>
      <c r="R646" s="166"/>
      <c r="S646" s="167"/>
      <c r="T646" s="168">
        <f t="shared" si="3"/>
        <v>7567016.86</v>
      </c>
      <c r="U646" s="168">
        <f t="shared" si="4"/>
        <v>0</v>
      </c>
      <c r="V646" s="168">
        <f t="shared" si="5"/>
        <v>0</v>
      </c>
      <c r="W646" s="168">
        <f t="shared" si="6"/>
        <v>0</v>
      </c>
      <c r="X646" s="168">
        <f t="shared" si="7"/>
        <v>0</v>
      </c>
      <c r="Y646" s="168">
        <f t="shared" si="8"/>
        <v>0</v>
      </c>
      <c r="Z646" s="168">
        <f t="shared" si="9"/>
        <v>0</v>
      </c>
    </row>
    <row r="647" ht="15.75" customHeight="1">
      <c r="A647" s="157">
        <v>1166.0</v>
      </c>
      <c r="B647" s="170" t="s">
        <v>722</v>
      </c>
      <c r="C647" s="158" t="s">
        <v>87</v>
      </c>
      <c r="D647" s="159">
        <v>43205.0</v>
      </c>
      <c r="E647" s="157" t="s">
        <v>8</v>
      </c>
      <c r="F647" s="160">
        <v>6523290.4</v>
      </c>
      <c r="G647" s="160">
        <v>1043726.46</v>
      </c>
      <c r="H647" s="160">
        <f t="shared" si="33"/>
        <v>7567016.86</v>
      </c>
      <c r="I647" s="160"/>
      <c r="J647" s="161"/>
      <c r="K647" s="160"/>
      <c r="L647" s="160">
        <f>+'FACP$'!$H647-'FACP$'!$I647-'FACP$'!$K647</f>
        <v>7567016.86</v>
      </c>
      <c r="M647" s="157" t="s">
        <v>93</v>
      </c>
      <c r="N647" s="162" t="s">
        <v>554</v>
      </c>
      <c r="O647" s="163">
        <v>43235.0</v>
      </c>
      <c r="P647" s="164">
        <f t="shared" si="13"/>
        <v>43215</v>
      </c>
      <c r="Q647" s="165">
        <f t="shared" si="2"/>
        <v>0</v>
      </c>
      <c r="R647" s="166"/>
      <c r="S647" s="167"/>
      <c r="T647" s="168">
        <f t="shared" si="3"/>
        <v>7567016.86</v>
      </c>
      <c r="U647" s="168">
        <f t="shared" si="4"/>
        <v>0</v>
      </c>
      <c r="V647" s="168">
        <f t="shared" si="5"/>
        <v>0</v>
      </c>
      <c r="W647" s="168">
        <f t="shared" si="6"/>
        <v>0</v>
      </c>
      <c r="X647" s="168">
        <f t="shared" si="7"/>
        <v>0</v>
      </c>
      <c r="Y647" s="168">
        <f t="shared" si="8"/>
        <v>0</v>
      </c>
      <c r="Z647" s="168">
        <f t="shared" si="9"/>
        <v>0</v>
      </c>
    </row>
    <row r="648" ht="15.75" customHeight="1">
      <c r="A648" s="157">
        <v>1167.0</v>
      </c>
      <c r="B648" s="209" t="s">
        <v>82</v>
      </c>
      <c r="C648" s="209" t="s">
        <v>85</v>
      </c>
      <c r="D648" s="186">
        <v>43229.0</v>
      </c>
      <c r="E648" s="210" t="s">
        <v>8</v>
      </c>
      <c r="F648" s="211">
        <v>107243.12</v>
      </c>
      <c r="G648" s="211">
        <v>17158.9</v>
      </c>
      <c r="H648" s="160">
        <f t="shared" si="33"/>
        <v>124402.02</v>
      </c>
      <c r="I648" s="211"/>
      <c r="J648" s="212"/>
      <c r="K648" s="211"/>
      <c r="L648" s="211">
        <f>+'FACP$'!$H648-'FACP$'!$I648-'FACP$'!$K648</f>
        <v>124402.02</v>
      </c>
      <c r="M648" s="210" t="s">
        <v>714</v>
      </c>
      <c r="N648" s="162" t="s">
        <v>554</v>
      </c>
      <c r="O648" s="219">
        <v>43417.0</v>
      </c>
      <c r="P648" s="164">
        <f t="shared" si="13"/>
        <v>43239</v>
      </c>
      <c r="Q648" s="165">
        <f t="shared" si="2"/>
        <v>0</v>
      </c>
      <c r="R648" s="215"/>
      <c r="S648" s="215"/>
      <c r="T648" s="168">
        <f t="shared" si="3"/>
        <v>124402.02</v>
      </c>
      <c r="U648" s="168">
        <f t="shared" si="4"/>
        <v>0</v>
      </c>
      <c r="V648" s="168">
        <f t="shared" si="5"/>
        <v>0</v>
      </c>
      <c r="W648" s="168">
        <f t="shared" si="6"/>
        <v>0</v>
      </c>
      <c r="X648" s="168">
        <f t="shared" si="7"/>
        <v>0</v>
      </c>
      <c r="Y648" s="168">
        <f t="shared" si="8"/>
        <v>0</v>
      </c>
      <c r="Z648" s="168">
        <f t="shared" si="9"/>
        <v>0</v>
      </c>
    </row>
    <row r="649" ht="15.75" customHeight="1">
      <c r="A649" s="157">
        <v>1168.0</v>
      </c>
      <c r="B649" s="158" t="s">
        <v>29</v>
      </c>
      <c r="C649" s="158" t="s">
        <v>87</v>
      </c>
      <c r="D649" s="159">
        <v>43205.0</v>
      </c>
      <c r="E649" s="157" t="s">
        <v>8</v>
      </c>
      <c r="F649" s="160">
        <v>2598.4</v>
      </c>
      <c r="G649" s="160">
        <v>415.74</v>
      </c>
      <c r="H649" s="160">
        <f t="shared" si="33"/>
        <v>3014.14</v>
      </c>
      <c r="I649" s="160"/>
      <c r="J649" s="161"/>
      <c r="K649" s="160"/>
      <c r="L649" s="160">
        <f>+'FACP$'!$H649-'FACP$'!$I649-'FACP$'!$K649</f>
        <v>3014.14</v>
      </c>
      <c r="M649" s="157" t="s">
        <v>825</v>
      </c>
      <c r="N649" s="162" t="s">
        <v>554</v>
      </c>
      <c r="O649" s="163"/>
      <c r="P649" s="164">
        <f t="shared" si="13"/>
        <v>43215</v>
      </c>
      <c r="Q649" s="165">
        <f t="shared" si="2"/>
        <v>0</v>
      </c>
      <c r="R649" s="166"/>
      <c r="S649" s="167"/>
      <c r="T649" s="168">
        <f t="shared" si="3"/>
        <v>3014.14</v>
      </c>
      <c r="U649" s="168">
        <f t="shared" si="4"/>
        <v>0</v>
      </c>
      <c r="V649" s="168">
        <f t="shared" si="5"/>
        <v>0</v>
      </c>
      <c r="W649" s="168">
        <f t="shared" si="6"/>
        <v>0</v>
      </c>
      <c r="X649" s="168">
        <f t="shared" si="7"/>
        <v>0</v>
      </c>
      <c r="Y649" s="168">
        <f t="shared" si="8"/>
        <v>0</v>
      </c>
      <c r="Z649" s="168">
        <f t="shared" si="9"/>
        <v>0</v>
      </c>
    </row>
    <row r="650" ht="15.75" customHeight="1">
      <c r="A650" s="157">
        <v>1171.0</v>
      </c>
      <c r="B650" s="158" t="s">
        <v>29</v>
      </c>
      <c r="C650" s="158" t="s">
        <v>87</v>
      </c>
      <c r="D650" s="159">
        <v>43205.0</v>
      </c>
      <c r="E650" s="157" t="s">
        <v>8</v>
      </c>
      <c r="F650" s="160">
        <v>1670.4</v>
      </c>
      <c r="G650" s="160">
        <v>267.26</v>
      </c>
      <c r="H650" s="160">
        <f t="shared" si="33"/>
        <v>1937.66</v>
      </c>
      <c r="I650" s="160"/>
      <c r="J650" s="161"/>
      <c r="K650" s="160"/>
      <c r="L650" s="160">
        <f>+'FACP$'!$H650-'FACP$'!$I650-'FACP$'!$K650</f>
        <v>1937.66</v>
      </c>
      <c r="M650" s="157" t="s">
        <v>825</v>
      </c>
      <c r="N650" s="162" t="s">
        <v>554</v>
      </c>
      <c r="O650" s="163">
        <v>43255.0</v>
      </c>
      <c r="P650" s="164">
        <f t="shared" si="13"/>
        <v>43215</v>
      </c>
      <c r="Q650" s="165">
        <f t="shared" si="2"/>
        <v>0</v>
      </c>
      <c r="R650" s="166"/>
      <c r="S650" s="167"/>
      <c r="T650" s="168">
        <f t="shared" si="3"/>
        <v>1937.66</v>
      </c>
      <c r="U650" s="168">
        <f t="shared" si="4"/>
        <v>0</v>
      </c>
      <c r="V650" s="168">
        <f t="shared" si="5"/>
        <v>0</v>
      </c>
      <c r="W650" s="168">
        <f t="shared" si="6"/>
        <v>0</v>
      </c>
      <c r="X650" s="168">
        <f t="shared" si="7"/>
        <v>0</v>
      </c>
      <c r="Y650" s="168">
        <f t="shared" si="8"/>
        <v>0</v>
      </c>
      <c r="Z650" s="168">
        <f t="shared" si="9"/>
        <v>0</v>
      </c>
    </row>
    <row r="651" ht="15.75" customHeight="1">
      <c r="A651" s="157">
        <v>1174.0</v>
      </c>
      <c r="B651" s="158" t="s">
        <v>29</v>
      </c>
      <c r="C651" s="158" t="s">
        <v>843</v>
      </c>
      <c r="D651" s="159">
        <v>43235.0</v>
      </c>
      <c r="E651" s="157" t="s">
        <v>8</v>
      </c>
      <c r="F651" s="160">
        <v>61399.0</v>
      </c>
      <c r="G651" s="160">
        <v>9823.84</v>
      </c>
      <c r="H651" s="160">
        <f t="shared" si="33"/>
        <v>71222.84</v>
      </c>
      <c r="I651" s="160"/>
      <c r="J651" s="161"/>
      <c r="K651" s="160"/>
      <c r="L651" s="160">
        <f>+'FACP$'!$H651-'FACP$'!$I651-'FACP$'!$K651</f>
        <v>71222.84</v>
      </c>
      <c r="M651" s="157" t="s">
        <v>825</v>
      </c>
      <c r="N651" s="162" t="s">
        <v>554</v>
      </c>
      <c r="O651" s="163">
        <v>43255.0</v>
      </c>
      <c r="P651" s="164">
        <f t="shared" si="13"/>
        <v>43245</v>
      </c>
      <c r="Q651" s="165">
        <f t="shared" si="2"/>
        <v>0</v>
      </c>
      <c r="R651" s="166"/>
      <c r="S651" s="167"/>
      <c r="T651" s="168">
        <f t="shared" si="3"/>
        <v>71222.84</v>
      </c>
      <c r="U651" s="168">
        <f t="shared" si="4"/>
        <v>0</v>
      </c>
      <c r="V651" s="168">
        <f t="shared" si="5"/>
        <v>0</v>
      </c>
      <c r="W651" s="168">
        <f t="shared" si="6"/>
        <v>0</v>
      </c>
      <c r="X651" s="168">
        <f t="shared" si="7"/>
        <v>0</v>
      </c>
      <c r="Y651" s="168">
        <f t="shared" si="8"/>
        <v>0</v>
      </c>
      <c r="Z651" s="168">
        <f t="shared" si="9"/>
        <v>0</v>
      </c>
    </row>
    <row r="652" ht="15.75" customHeight="1">
      <c r="A652" s="157">
        <v>1175.0</v>
      </c>
      <c r="B652" s="158" t="s">
        <v>29</v>
      </c>
      <c r="C652" s="158" t="s">
        <v>843</v>
      </c>
      <c r="D652" s="159">
        <v>43235.0</v>
      </c>
      <c r="E652" s="157" t="s">
        <v>8</v>
      </c>
      <c r="F652" s="160">
        <v>53205.22</v>
      </c>
      <c r="G652" s="160">
        <v>8512.84</v>
      </c>
      <c r="H652" s="160">
        <f t="shared" si="33"/>
        <v>61718.06</v>
      </c>
      <c r="I652" s="160"/>
      <c r="J652" s="161"/>
      <c r="K652" s="160"/>
      <c r="L652" s="160">
        <f>+'FACP$'!$H652-'FACP$'!$I652-'FACP$'!$K652</f>
        <v>61718.06</v>
      </c>
      <c r="M652" s="157" t="s">
        <v>825</v>
      </c>
      <c r="N652" s="162" t="s">
        <v>554</v>
      </c>
      <c r="O652" s="163">
        <v>43255.0</v>
      </c>
      <c r="P652" s="164">
        <f t="shared" si="13"/>
        <v>43245</v>
      </c>
      <c r="Q652" s="165">
        <f t="shared" si="2"/>
        <v>0</v>
      </c>
      <c r="R652" s="166"/>
      <c r="S652" s="167"/>
      <c r="T652" s="168">
        <f t="shared" si="3"/>
        <v>61718.06</v>
      </c>
      <c r="U652" s="168">
        <f t="shared" si="4"/>
        <v>0</v>
      </c>
      <c r="V652" s="168">
        <f t="shared" si="5"/>
        <v>0</v>
      </c>
      <c r="W652" s="168">
        <f t="shared" si="6"/>
        <v>0</v>
      </c>
      <c r="X652" s="168">
        <f t="shared" si="7"/>
        <v>0</v>
      </c>
      <c r="Y652" s="168">
        <f t="shared" si="8"/>
        <v>0</v>
      </c>
      <c r="Z652" s="168">
        <f t="shared" si="9"/>
        <v>0</v>
      </c>
    </row>
    <row r="653" ht="15.75" customHeight="1">
      <c r="A653" s="157">
        <v>1176.0</v>
      </c>
      <c r="B653" s="158" t="s">
        <v>29</v>
      </c>
      <c r="C653" s="158" t="s">
        <v>844</v>
      </c>
      <c r="D653" s="159">
        <v>43235.0</v>
      </c>
      <c r="E653" s="157" t="s">
        <v>8</v>
      </c>
      <c r="F653" s="160">
        <v>86484.32</v>
      </c>
      <c r="G653" s="160">
        <v>13837.49</v>
      </c>
      <c r="H653" s="160">
        <f t="shared" si="33"/>
        <v>100321.81</v>
      </c>
      <c r="I653" s="160"/>
      <c r="J653" s="161"/>
      <c r="K653" s="160"/>
      <c r="L653" s="160">
        <f>+'FACP$'!$H653-'FACP$'!$I653-'FACP$'!$K653</f>
        <v>100321.81</v>
      </c>
      <c r="M653" s="157" t="s">
        <v>825</v>
      </c>
      <c r="N653" s="162" t="s">
        <v>554</v>
      </c>
      <c r="O653" s="163">
        <v>43255.0</v>
      </c>
      <c r="P653" s="164">
        <f t="shared" si="13"/>
        <v>43245</v>
      </c>
      <c r="Q653" s="165">
        <f t="shared" si="2"/>
        <v>0</v>
      </c>
      <c r="R653" s="166"/>
      <c r="S653" s="167"/>
      <c r="T653" s="168">
        <f t="shared" si="3"/>
        <v>100321.81</v>
      </c>
      <c r="U653" s="168">
        <f t="shared" si="4"/>
        <v>0</v>
      </c>
      <c r="V653" s="168">
        <f t="shared" si="5"/>
        <v>0</v>
      </c>
      <c r="W653" s="168">
        <f t="shared" si="6"/>
        <v>0</v>
      </c>
      <c r="X653" s="168">
        <f t="shared" si="7"/>
        <v>0</v>
      </c>
      <c r="Y653" s="168">
        <f t="shared" si="8"/>
        <v>0</v>
      </c>
      <c r="Z653" s="168">
        <f t="shared" si="9"/>
        <v>0</v>
      </c>
    </row>
    <row r="654" ht="15.75" customHeight="1">
      <c r="A654" s="157">
        <v>1177.0</v>
      </c>
      <c r="B654" s="170" t="s">
        <v>722</v>
      </c>
      <c r="C654" s="158" t="s">
        <v>87</v>
      </c>
      <c r="D654" s="159">
        <v>43221.0</v>
      </c>
      <c r="E654" s="157" t="s">
        <v>8</v>
      </c>
      <c r="F654" s="160">
        <v>6983358.48</v>
      </c>
      <c r="G654" s="160">
        <v>1117337.36</v>
      </c>
      <c r="H654" s="160">
        <f t="shared" si="33"/>
        <v>8100695.84</v>
      </c>
      <c r="I654" s="160"/>
      <c r="J654" s="161"/>
      <c r="K654" s="160"/>
      <c r="L654" s="160">
        <f>+'FACP$'!$H654-'FACP$'!$I654-'FACP$'!$K654</f>
        <v>8100695.84</v>
      </c>
      <c r="M654" s="157" t="s">
        <v>93</v>
      </c>
      <c r="N654" s="162" t="s">
        <v>554</v>
      </c>
      <c r="O654" s="163">
        <v>43244.0</v>
      </c>
      <c r="P654" s="164">
        <f t="shared" si="13"/>
        <v>43231</v>
      </c>
      <c r="Q654" s="165">
        <f t="shared" si="2"/>
        <v>0</v>
      </c>
      <c r="R654" s="166"/>
      <c r="S654" s="167"/>
      <c r="T654" s="168">
        <f t="shared" si="3"/>
        <v>8100695.84</v>
      </c>
      <c r="U654" s="168">
        <f t="shared" si="4"/>
        <v>0</v>
      </c>
      <c r="V654" s="168">
        <f t="shared" si="5"/>
        <v>0</v>
      </c>
      <c r="W654" s="168">
        <f t="shared" si="6"/>
        <v>0</v>
      </c>
      <c r="X654" s="168">
        <f t="shared" si="7"/>
        <v>0</v>
      </c>
      <c r="Y654" s="168">
        <f t="shared" si="8"/>
        <v>0</v>
      </c>
      <c r="Z654" s="168">
        <f t="shared" si="9"/>
        <v>0</v>
      </c>
    </row>
    <row r="655" ht="15.75" customHeight="1">
      <c r="A655" s="157">
        <v>1178.0</v>
      </c>
      <c r="B655" s="158" t="s">
        <v>43</v>
      </c>
      <c r="C655" s="158" t="s">
        <v>87</v>
      </c>
      <c r="D655" s="159">
        <v>43221.0</v>
      </c>
      <c r="E655" s="157" t="s">
        <v>8</v>
      </c>
      <c r="F655" s="160">
        <v>11691.62</v>
      </c>
      <c r="G655" s="160">
        <v>1870.66</v>
      </c>
      <c r="H655" s="160">
        <f t="shared" si="33"/>
        <v>13562.28</v>
      </c>
      <c r="I655" s="160"/>
      <c r="J655" s="161"/>
      <c r="K655" s="160"/>
      <c r="L655" s="160">
        <f>+'FACP$'!$H655-'FACP$'!$I655-'FACP$'!$K655</f>
        <v>13562.28</v>
      </c>
      <c r="M655" s="157" t="s">
        <v>43</v>
      </c>
      <c r="N655" s="162" t="s">
        <v>554</v>
      </c>
      <c r="O655" s="163">
        <v>43257.0</v>
      </c>
      <c r="P655" s="164">
        <f t="shared" si="13"/>
        <v>43231</v>
      </c>
      <c r="Q655" s="165">
        <f t="shared" si="2"/>
        <v>0</v>
      </c>
      <c r="R655" s="166"/>
      <c r="S655" s="167"/>
      <c r="T655" s="168">
        <f t="shared" si="3"/>
        <v>13562.28</v>
      </c>
      <c r="U655" s="168">
        <f t="shared" si="4"/>
        <v>0</v>
      </c>
      <c r="V655" s="168">
        <f t="shared" si="5"/>
        <v>0</v>
      </c>
      <c r="W655" s="168">
        <f t="shared" si="6"/>
        <v>0</v>
      </c>
      <c r="X655" s="168">
        <f t="shared" si="7"/>
        <v>0</v>
      </c>
      <c r="Y655" s="168">
        <f t="shared" si="8"/>
        <v>0</v>
      </c>
      <c r="Z655" s="168">
        <f t="shared" si="9"/>
        <v>0</v>
      </c>
    </row>
    <row r="656" ht="15.75" customHeight="1">
      <c r="A656" s="157">
        <v>1180.0</v>
      </c>
      <c r="B656" s="158" t="s">
        <v>720</v>
      </c>
      <c r="C656" s="158" t="s">
        <v>87</v>
      </c>
      <c r="D656" s="159">
        <v>43221.0</v>
      </c>
      <c r="E656" s="157" t="s">
        <v>8</v>
      </c>
      <c r="F656" s="160">
        <v>754214.45</v>
      </c>
      <c r="G656" s="160">
        <v>120674.31</v>
      </c>
      <c r="H656" s="160">
        <f t="shared" si="33"/>
        <v>874888.76</v>
      </c>
      <c r="I656" s="160"/>
      <c r="J656" s="161"/>
      <c r="K656" s="160"/>
      <c r="L656" s="160">
        <f>+'FACP$'!$H656-'FACP$'!$I656-'FACP$'!$K656</f>
        <v>874888.76</v>
      </c>
      <c r="M656" s="157" t="s">
        <v>777</v>
      </c>
      <c r="N656" s="162" t="s">
        <v>554</v>
      </c>
      <c r="O656" s="163">
        <v>43250.0</v>
      </c>
      <c r="P656" s="164">
        <f t="shared" si="13"/>
        <v>43231</v>
      </c>
      <c r="Q656" s="165">
        <f t="shared" si="2"/>
        <v>0</v>
      </c>
      <c r="R656" s="166"/>
      <c r="S656" s="167"/>
      <c r="T656" s="168">
        <f t="shared" si="3"/>
        <v>874888.76</v>
      </c>
      <c r="U656" s="168">
        <f t="shared" si="4"/>
        <v>0</v>
      </c>
      <c r="V656" s="168">
        <f t="shared" si="5"/>
        <v>0</v>
      </c>
      <c r="W656" s="168">
        <f t="shared" si="6"/>
        <v>0</v>
      </c>
      <c r="X656" s="168">
        <f t="shared" si="7"/>
        <v>0</v>
      </c>
      <c r="Y656" s="168">
        <f t="shared" si="8"/>
        <v>0</v>
      </c>
      <c r="Z656" s="168">
        <f t="shared" si="9"/>
        <v>0</v>
      </c>
    </row>
    <row r="657" ht="15.75" customHeight="1">
      <c r="A657" s="157">
        <v>1182.0</v>
      </c>
      <c r="B657" s="158" t="s">
        <v>712</v>
      </c>
      <c r="C657" s="158" t="s">
        <v>715</v>
      </c>
      <c r="D657" s="159">
        <v>43221.0</v>
      </c>
      <c r="E657" s="157" t="s">
        <v>8</v>
      </c>
      <c r="F657" s="160">
        <v>485659.92</v>
      </c>
      <c r="G657" s="160">
        <v>77705.59</v>
      </c>
      <c r="H657" s="160">
        <f t="shared" si="33"/>
        <v>563365.51</v>
      </c>
      <c r="I657" s="160"/>
      <c r="J657" s="161"/>
      <c r="K657" s="160"/>
      <c r="L657" s="160">
        <f>+'FACP$'!$H657-'FACP$'!$I657-'FACP$'!$K657</f>
        <v>563365.51</v>
      </c>
      <c r="M657" s="157" t="s">
        <v>712</v>
      </c>
      <c r="N657" s="162" t="s">
        <v>554</v>
      </c>
      <c r="O657" s="163">
        <v>43258.0</v>
      </c>
      <c r="P657" s="164">
        <f t="shared" si="13"/>
        <v>43231</v>
      </c>
      <c r="Q657" s="165">
        <f t="shared" si="2"/>
        <v>0</v>
      </c>
      <c r="R657" s="166"/>
      <c r="S657" s="167"/>
      <c r="T657" s="168">
        <f t="shared" si="3"/>
        <v>563365.51</v>
      </c>
      <c r="U657" s="168">
        <f t="shared" si="4"/>
        <v>0</v>
      </c>
      <c r="V657" s="168">
        <f t="shared" si="5"/>
        <v>0</v>
      </c>
      <c r="W657" s="168">
        <f t="shared" si="6"/>
        <v>0</v>
      </c>
      <c r="X657" s="168">
        <f t="shared" si="7"/>
        <v>0</v>
      </c>
      <c r="Y657" s="168">
        <f t="shared" si="8"/>
        <v>0</v>
      </c>
      <c r="Z657" s="168">
        <f t="shared" si="9"/>
        <v>0</v>
      </c>
    </row>
    <row r="658" ht="15.75" customHeight="1">
      <c r="A658" s="157">
        <v>1183.0</v>
      </c>
      <c r="B658" s="158" t="s">
        <v>37</v>
      </c>
      <c r="C658" s="158" t="s">
        <v>87</v>
      </c>
      <c r="D658" s="159">
        <v>43221.0</v>
      </c>
      <c r="E658" s="157" t="s">
        <v>8</v>
      </c>
      <c r="F658" s="160">
        <v>1867366.2</v>
      </c>
      <c r="G658" s="160">
        <v>298778.59</v>
      </c>
      <c r="H658" s="160">
        <f t="shared" si="33"/>
        <v>2166144.79</v>
      </c>
      <c r="I658" s="160"/>
      <c r="J658" s="161"/>
      <c r="K658" s="160"/>
      <c r="L658" s="160">
        <f>+'FACP$'!$H658-'FACP$'!$I658-'FACP$'!$K658</f>
        <v>2166144.79</v>
      </c>
      <c r="M658" s="157" t="s">
        <v>116</v>
      </c>
      <c r="N658" s="162" t="s">
        <v>554</v>
      </c>
      <c r="O658" s="163">
        <v>43354.0</v>
      </c>
      <c r="P658" s="164">
        <f t="shared" si="13"/>
        <v>43231</v>
      </c>
      <c r="Q658" s="165">
        <f t="shared" si="2"/>
        <v>0</v>
      </c>
      <c r="R658" s="166"/>
      <c r="S658" s="167"/>
      <c r="T658" s="168">
        <f t="shared" si="3"/>
        <v>2166144.79</v>
      </c>
      <c r="U658" s="168">
        <f t="shared" si="4"/>
        <v>0</v>
      </c>
      <c r="V658" s="168">
        <f t="shared" si="5"/>
        <v>0</v>
      </c>
      <c r="W658" s="168">
        <f t="shared" si="6"/>
        <v>0</v>
      </c>
      <c r="X658" s="168">
        <f t="shared" si="7"/>
        <v>0</v>
      </c>
      <c r="Y658" s="168">
        <f t="shared" si="8"/>
        <v>0</v>
      </c>
      <c r="Z658" s="168">
        <f t="shared" si="9"/>
        <v>0</v>
      </c>
    </row>
    <row r="659" ht="15.75" customHeight="1">
      <c r="A659" s="157">
        <v>1185.0</v>
      </c>
      <c r="B659" s="158" t="s">
        <v>101</v>
      </c>
      <c r="C659" s="158" t="s">
        <v>715</v>
      </c>
      <c r="D659" s="159">
        <v>43221.0</v>
      </c>
      <c r="E659" s="157" t="s">
        <v>8</v>
      </c>
      <c r="F659" s="160">
        <v>150880.71</v>
      </c>
      <c r="G659" s="160">
        <v>24140.91</v>
      </c>
      <c r="H659" s="160">
        <f t="shared" si="33"/>
        <v>175021.62</v>
      </c>
      <c r="I659" s="160"/>
      <c r="J659" s="161"/>
      <c r="K659" s="160"/>
      <c r="L659" s="160">
        <f>+'FACP$'!$H659-'FACP$'!$I659-'FACP$'!$K659</f>
        <v>175021.62</v>
      </c>
      <c r="M659" s="157" t="s">
        <v>732</v>
      </c>
      <c r="N659" s="162" t="s">
        <v>554</v>
      </c>
      <c r="O659" s="163">
        <v>43250.0</v>
      </c>
      <c r="P659" s="164">
        <f t="shared" si="13"/>
        <v>43231</v>
      </c>
      <c r="Q659" s="165">
        <f t="shared" si="2"/>
        <v>0</v>
      </c>
      <c r="R659" s="166"/>
      <c r="S659" s="167"/>
      <c r="T659" s="168">
        <f t="shared" si="3"/>
        <v>175021.62</v>
      </c>
      <c r="U659" s="168">
        <f t="shared" si="4"/>
        <v>0</v>
      </c>
      <c r="V659" s="168">
        <f t="shared" si="5"/>
        <v>0</v>
      </c>
      <c r="W659" s="168">
        <f t="shared" si="6"/>
        <v>0</v>
      </c>
      <c r="X659" s="168">
        <f t="shared" si="7"/>
        <v>0</v>
      </c>
      <c r="Y659" s="168">
        <f t="shared" si="8"/>
        <v>0</v>
      </c>
      <c r="Z659" s="168">
        <f t="shared" si="9"/>
        <v>0</v>
      </c>
    </row>
    <row r="660" ht="15.75" customHeight="1">
      <c r="A660" s="157">
        <v>1186.0</v>
      </c>
      <c r="B660" s="158" t="s">
        <v>101</v>
      </c>
      <c r="C660" s="158" t="s">
        <v>87</v>
      </c>
      <c r="D660" s="159">
        <v>43221.0</v>
      </c>
      <c r="E660" s="157" t="s">
        <v>8</v>
      </c>
      <c r="F660" s="160">
        <v>11149.08</v>
      </c>
      <c r="G660" s="160">
        <v>1783.85</v>
      </c>
      <c r="H660" s="160">
        <f t="shared" si="33"/>
        <v>12932.93</v>
      </c>
      <c r="I660" s="160"/>
      <c r="J660" s="161"/>
      <c r="K660" s="160"/>
      <c r="L660" s="160">
        <f>+'FACP$'!$H660-'FACP$'!$I660-'FACP$'!$K660</f>
        <v>12932.93</v>
      </c>
      <c r="M660" s="157" t="s">
        <v>732</v>
      </c>
      <c r="N660" s="162" t="s">
        <v>127</v>
      </c>
      <c r="O660" s="163"/>
      <c r="P660" s="164">
        <f t="shared" si="13"/>
        <v>43231</v>
      </c>
      <c r="Q660" s="165">
        <f t="shared" si="2"/>
        <v>0</v>
      </c>
      <c r="R660" s="166"/>
      <c r="S660" s="167"/>
      <c r="T660" s="168">
        <f t="shared" si="3"/>
        <v>12932.93</v>
      </c>
      <c r="U660" s="168">
        <f t="shared" si="4"/>
        <v>0</v>
      </c>
      <c r="V660" s="168">
        <f t="shared" si="5"/>
        <v>0</v>
      </c>
      <c r="W660" s="168">
        <f t="shared" si="6"/>
        <v>0</v>
      </c>
      <c r="X660" s="168">
        <f t="shared" si="7"/>
        <v>0</v>
      </c>
      <c r="Y660" s="168">
        <f t="shared" si="8"/>
        <v>0</v>
      </c>
      <c r="Z660" s="168">
        <f t="shared" si="9"/>
        <v>0</v>
      </c>
    </row>
    <row r="661" ht="15.75" customHeight="1">
      <c r="A661" s="157">
        <v>1187.0</v>
      </c>
      <c r="B661" s="158" t="s">
        <v>101</v>
      </c>
      <c r="C661" s="158" t="s">
        <v>715</v>
      </c>
      <c r="D661" s="159">
        <v>43221.0</v>
      </c>
      <c r="E661" s="157" t="s">
        <v>8</v>
      </c>
      <c r="F661" s="160">
        <v>135388.11</v>
      </c>
      <c r="G661" s="160">
        <v>21662.1</v>
      </c>
      <c r="H661" s="160">
        <f t="shared" si="33"/>
        <v>157050.21</v>
      </c>
      <c r="I661" s="160"/>
      <c r="J661" s="161"/>
      <c r="K661" s="160"/>
      <c r="L661" s="160">
        <f>+'FACP$'!$H661-'FACP$'!$I661-'FACP$'!$K661</f>
        <v>157050.21</v>
      </c>
      <c r="M661" s="157" t="s">
        <v>586</v>
      </c>
      <c r="N661" s="162" t="s">
        <v>554</v>
      </c>
      <c r="O661" s="163">
        <v>43250.0</v>
      </c>
      <c r="P661" s="164">
        <f t="shared" si="13"/>
        <v>43231</v>
      </c>
      <c r="Q661" s="165">
        <f t="shared" si="2"/>
        <v>0</v>
      </c>
      <c r="R661" s="166"/>
      <c r="S661" s="167"/>
      <c r="T661" s="168">
        <f t="shared" si="3"/>
        <v>157050.21</v>
      </c>
      <c r="U661" s="168">
        <f t="shared" si="4"/>
        <v>0</v>
      </c>
      <c r="V661" s="168">
        <f t="shared" si="5"/>
        <v>0</v>
      </c>
      <c r="W661" s="168">
        <f t="shared" si="6"/>
        <v>0</v>
      </c>
      <c r="X661" s="168">
        <f t="shared" si="7"/>
        <v>0</v>
      </c>
      <c r="Y661" s="168">
        <f t="shared" si="8"/>
        <v>0</v>
      </c>
      <c r="Z661" s="168">
        <f t="shared" si="9"/>
        <v>0</v>
      </c>
    </row>
    <row r="662" ht="15.75" customHeight="1">
      <c r="A662" s="157">
        <v>1189.0</v>
      </c>
      <c r="B662" s="158" t="s">
        <v>24</v>
      </c>
      <c r="C662" s="158" t="s">
        <v>87</v>
      </c>
      <c r="D662" s="159">
        <v>43221.0</v>
      </c>
      <c r="E662" s="157" t="s">
        <v>8</v>
      </c>
      <c r="F662" s="160">
        <v>58411.28</v>
      </c>
      <c r="G662" s="160">
        <v>9345.8</v>
      </c>
      <c r="H662" s="160">
        <f t="shared" si="33"/>
        <v>67757.08</v>
      </c>
      <c r="I662" s="160"/>
      <c r="J662" s="161"/>
      <c r="K662" s="160"/>
      <c r="L662" s="160">
        <f>+'FACP$'!$H662-'FACP$'!$I662-'FACP$'!$K662</f>
        <v>67757.08</v>
      </c>
      <c r="M662" s="157" t="s">
        <v>812</v>
      </c>
      <c r="N662" s="162" t="s">
        <v>554</v>
      </c>
      <c r="O662" s="163">
        <v>43276.0</v>
      </c>
      <c r="P662" s="164">
        <f t="shared" si="13"/>
        <v>43231</v>
      </c>
      <c r="Q662" s="165">
        <f t="shared" si="2"/>
        <v>0</v>
      </c>
      <c r="R662" s="166"/>
      <c r="S662" s="167"/>
      <c r="T662" s="168">
        <f t="shared" si="3"/>
        <v>67757.08</v>
      </c>
      <c r="U662" s="168">
        <f t="shared" si="4"/>
        <v>0</v>
      </c>
      <c r="V662" s="168">
        <f t="shared" si="5"/>
        <v>0</v>
      </c>
      <c r="W662" s="168">
        <f t="shared" si="6"/>
        <v>0</v>
      </c>
      <c r="X662" s="168">
        <f t="shared" si="7"/>
        <v>0</v>
      </c>
      <c r="Y662" s="168">
        <f t="shared" si="8"/>
        <v>0</v>
      </c>
      <c r="Z662" s="168">
        <f t="shared" si="9"/>
        <v>0</v>
      </c>
    </row>
    <row r="663" ht="15.75" customHeight="1">
      <c r="A663" s="157">
        <v>1191.0</v>
      </c>
      <c r="B663" s="158" t="s">
        <v>712</v>
      </c>
      <c r="C663" s="158" t="s">
        <v>845</v>
      </c>
      <c r="D663" s="159">
        <v>43191.0</v>
      </c>
      <c r="E663" s="157" t="s">
        <v>8</v>
      </c>
      <c r="F663" s="160">
        <v>116692.68</v>
      </c>
      <c r="G663" s="160">
        <v>18670.83</v>
      </c>
      <c r="H663" s="160">
        <f t="shared" si="33"/>
        <v>135363.51</v>
      </c>
      <c r="I663" s="160"/>
      <c r="J663" s="161"/>
      <c r="K663" s="160"/>
      <c r="L663" s="160">
        <f>+'FACP$'!$H663-'FACP$'!$I663-'FACP$'!$K663</f>
        <v>135363.51</v>
      </c>
      <c r="M663" s="157" t="s">
        <v>712</v>
      </c>
      <c r="N663" s="162" t="s">
        <v>127</v>
      </c>
      <c r="O663" s="163" t="s">
        <v>846</v>
      </c>
      <c r="P663" s="164">
        <f t="shared" si="13"/>
        <v>43201</v>
      </c>
      <c r="Q663" s="165">
        <f t="shared" si="2"/>
        <v>0</v>
      </c>
      <c r="R663" s="166"/>
      <c r="S663" s="167"/>
      <c r="T663" s="168">
        <f t="shared" si="3"/>
        <v>135363.51</v>
      </c>
      <c r="U663" s="168">
        <f t="shared" si="4"/>
        <v>0</v>
      </c>
      <c r="V663" s="168">
        <f t="shared" si="5"/>
        <v>0</v>
      </c>
      <c r="W663" s="168">
        <f t="shared" si="6"/>
        <v>0</v>
      </c>
      <c r="X663" s="168">
        <f t="shared" si="7"/>
        <v>0</v>
      </c>
      <c r="Y663" s="168">
        <f t="shared" si="8"/>
        <v>0</v>
      </c>
      <c r="Z663" s="168">
        <f t="shared" si="9"/>
        <v>0</v>
      </c>
    </row>
    <row r="664" ht="15.75" customHeight="1">
      <c r="A664" s="157">
        <v>1197.0</v>
      </c>
      <c r="B664" s="158" t="s">
        <v>82</v>
      </c>
      <c r="C664" s="158" t="s">
        <v>847</v>
      </c>
      <c r="D664" s="159">
        <v>43250.0</v>
      </c>
      <c r="E664" s="157" t="s">
        <v>8</v>
      </c>
      <c r="F664" s="160">
        <v>175821.66</v>
      </c>
      <c r="G664" s="160">
        <v>28131.47</v>
      </c>
      <c r="H664" s="160">
        <f t="shared" si="33"/>
        <v>203953.13</v>
      </c>
      <c r="I664" s="160"/>
      <c r="J664" s="161"/>
      <c r="K664" s="160"/>
      <c r="L664" s="160">
        <f>+'FACP$'!$H664-'FACP$'!$I664-'FACP$'!$K664</f>
        <v>203953.13</v>
      </c>
      <c r="M664" s="157" t="s">
        <v>714</v>
      </c>
      <c r="N664" s="202" t="s">
        <v>848</v>
      </c>
      <c r="O664" s="163"/>
      <c r="P664" s="164">
        <f t="shared" si="13"/>
        <v>43260</v>
      </c>
      <c r="Q664" s="165" t="b">
        <f t="shared" si="2"/>
        <v>0</v>
      </c>
      <c r="R664" s="166"/>
      <c r="S664" s="167"/>
      <c r="T664" s="168">
        <f t="shared" si="3"/>
        <v>0</v>
      </c>
      <c r="U664" s="168">
        <f t="shared" si="4"/>
        <v>0</v>
      </c>
      <c r="V664" s="168">
        <f t="shared" si="5"/>
        <v>0</v>
      </c>
      <c r="W664" s="168">
        <f t="shared" si="6"/>
        <v>0</v>
      </c>
      <c r="X664" s="168">
        <f t="shared" si="7"/>
        <v>0</v>
      </c>
      <c r="Y664" s="168">
        <f t="shared" si="8"/>
        <v>0</v>
      </c>
      <c r="Z664" s="168">
        <f t="shared" si="9"/>
        <v>203953.13</v>
      </c>
    </row>
    <row r="665" ht="15.75" customHeight="1">
      <c r="A665" s="157">
        <v>1198.0</v>
      </c>
      <c r="B665" s="170" t="s">
        <v>722</v>
      </c>
      <c r="C665" s="158" t="s">
        <v>87</v>
      </c>
      <c r="D665" s="159">
        <v>43235.0</v>
      </c>
      <c r="E665" s="157" t="s">
        <v>8</v>
      </c>
      <c r="F665" s="160">
        <v>8746938.6</v>
      </c>
      <c r="G665" s="160">
        <v>1399510.18</v>
      </c>
      <c r="H665" s="160">
        <f t="shared" si="33"/>
        <v>10146448.78</v>
      </c>
      <c r="I665" s="160"/>
      <c r="J665" s="161"/>
      <c r="K665" s="160"/>
      <c r="L665" s="160">
        <f>+'FACP$'!$H665-'FACP$'!$I665-'FACP$'!$K665</f>
        <v>10146448.78</v>
      </c>
      <c r="M665" s="157" t="s">
        <v>93</v>
      </c>
      <c r="N665" s="162" t="s">
        <v>554</v>
      </c>
      <c r="O665" s="163">
        <v>43266.0</v>
      </c>
      <c r="P665" s="164">
        <f t="shared" si="13"/>
        <v>43245</v>
      </c>
      <c r="Q665" s="165">
        <f t="shared" si="2"/>
        <v>0</v>
      </c>
      <c r="R665" s="166"/>
      <c r="S665" s="167"/>
      <c r="T665" s="168">
        <f t="shared" si="3"/>
        <v>10146448.78</v>
      </c>
      <c r="U665" s="168">
        <f t="shared" si="4"/>
        <v>0</v>
      </c>
      <c r="V665" s="168">
        <f t="shared" si="5"/>
        <v>0</v>
      </c>
      <c r="W665" s="168">
        <f t="shared" si="6"/>
        <v>0</v>
      </c>
      <c r="X665" s="168">
        <f t="shared" si="7"/>
        <v>0</v>
      </c>
      <c r="Y665" s="168">
        <f t="shared" si="8"/>
        <v>0</v>
      </c>
      <c r="Z665" s="168">
        <f t="shared" si="9"/>
        <v>0</v>
      </c>
    </row>
    <row r="666" ht="15.75" customHeight="1">
      <c r="A666" s="157">
        <v>1199.0</v>
      </c>
      <c r="B666" s="158" t="s">
        <v>24</v>
      </c>
      <c r="C666" s="158" t="s">
        <v>87</v>
      </c>
      <c r="D666" s="159">
        <v>43235.0</v>
      </c>
      <c r="E666" s="157" t="s">
        <v>8</v>
      </c>
      <c r="F666" s="160">
        <v>157449.4</v>
      </c>
      <c r="G666" s="160">
        <v>25191.9</v>
      </c>
      <c r="H666" s="160">
        <f t="shared" si="33"/>
        <v>182641.3</v>
      </c>
      <c r="I666" s="160"/>
      <c r="J666" s="161"/>
      <c r="K666" s="160"/>
      <c r="L666" s="160">
        <f>+'FACP$'!$H666-'FACP$'!$I666-'FACP$'!$K666</f>
        <v>182641.3</v>
      </c>
      <c r="M666" s="157" t="s">
        <v>91</v>
      </c>
      <c r="N666" s="162" t="s">
        <v>554</v>
      </c>
      <c r="O666" s="163">
        <v>43276.0</v>
      </c>
      <c r="P666" s="164">
        <f t="shared" si="13"/>
        <v>43245</v>
      </c>
      <c r="Q666" s="165">
        <f t="shared" si="2"/>
        <v>0</v>
      </c>
      <c r="R666" s="166"/>
      <c r="S666" s="167"/>
      <c r="T666" s="168">
        <f t="shared" si="3"/>
        <v>182641.3</v>
      </c>
      <c r="U666" s="168">
        <f t="shared" si="4"/>
        <v>0</v>
      </c>
      <c r="V666" s="168">
        <f t="shared" si="5"/>
        <v>0</v>
      </c>
      <c r="W666" s="168">
        <f t="shared" si="6"/>
        <v>0</v>
      </c>
      <c r="X666" s="168">
        <f t="shared" si="7"/>
        <v>0</v>
      </c>
      <c r="Y666" s="168">
        <f t="shared" si="8"/>
        <v>0</v>
      </c>
      <c r="Z666" s="168">
        <f t="shared" si="9"/>
        <v>0</v>
      </c>
    </row>
    <row r="667" ht="15.75" customHeight="1">
      <c r="A667" s="157">
        <v>1201.0</v>
      </c>
      <c r="B667" s="158" t="s">
        <v>101</v>
      </c>
      <c r="C667" s="158" t="s">
        <v>87</v>
      </c>
      <c r="D667" s="159">
        <v>43235.0</v>
      </c>
      <c r="E667" s="157" t="s">
        <v>8</v>
      </c>
      <c r="F667" s="160">
        <v>153290.67</v>
      </c>
      <c r="G667" s="160">
        <v>24526.51</v>
      </c>
      <c r="H667" s="160">
        <f t="shared" si="33"/>
        <v>177817.18</v>
      </c>
      <c r="I667" s="160"/>
      <c r="J667" s="161"/>
      <c r="K667" s="160"/>
      <c r="L667" s="160">
        <f>+'FACP$'!$H667-'FACP$'!$I667-'FACP$'!$K667</f>
        <v>177817.18</v>
      </c>
      <c r="M667" s="157" t="s">
        <v>732</v>
      </c>
      <c r="N667" s="162" t="s">
        <v>554</v>
      </c>
      <c r="O667" s="163">
        <v>43279.0</v>
      </c>
      <c r="P667" s="164">
        <f t="shared" si="13"/>
        <v>43245</v>
      </c>
      <c r="Q667" s="165">
        <f t="shared" si="2"/>
        <v>0</v>
      </c>
      <c r="R667" s="166"/>
      <c r="S667" s="167"/>
      <c r="T667" s="168">
        <f t="shared" si="3"/>
        <v>177817.18</v>
      </c>
      <c r="U667" s="168">
        <f t="shared" si="4"/>
        <v>0</v>
      </c>
      <c r="V667" s="168">
        <f t="shared" si="5"/>
        <v>0</v>
      </c>
      <c r="W667" s="168">
        <f t="shared" si="6"/>
        <v>0</v>
      </c>
      <c r="X667" s="168">
        <f t="shared" si="7"/>
        <v>0</v>
      </c>
      <c r="Y667" s="168">
        <f t="shared" si="8"/>
        <v>0</v>
      </c>
      <c r="Z667" s="168">
        <f t="shared" si="9"/>
        <v>0</v>
      </c>
    </row>
    <row r="668" ht="15.75" customHeight="1">
      <c r="A668" s="157">
        <v>1203.0</v>
      </c>
      <c r="B668" s="158" t="s">
        <v>37</v>
      </c>
      <c r="C668" s="158" t="s">
        <v>87</v>
      </c>
      <c r="D668" s="159">
        <v>43235.0</v>
      </c>
      <c r="E668" s="157" t="s">
        <v>8</v>
      </c>
      <c r="F668" s="160">
        <v>1857739.76</v>
      </c>
      <c r="G668" s="160">
        <v>297238.36</v>
      </c>
      <c r="H668" s="160">
        <f t="shared" si="33"/>
        <v>2154978.12</v>
      </c>
      <c r="I668" s="160"/>
      <c r="J668" s="161"/>
      <c r="K668" s="160"/>
      <c r="L668" s="160">
        <f>+'FACP$'!$H668-'FACP$'!$I668-'FACP$'!$K668</f>
        <v>2154978.12</v>
      </c>
      <c r="M668" s="157" t="s">
        <v>718</v>
      </c>
      <c r="N668" s="162" t="s">
        <v>554</v>
      </c>
      <c r="O668" s="163">
        <v>43263.0</v>
      </c>
      <c r="P668" s="164">
        <f t="shared" si="13"/>
        <v>43245</v>
      </c>
      <c r="Q668" s="165">
        <f t="shared" si="2"/>
        <v>0</v>
      </c>
      <c r="R668" s="166"/>
      <c r="S668" s="167"/>
      <c r="T668" s="168">
        <f t="shared" si="3"/>
        <v>2154978.12</v>
      </c>
      <c r="U668" s="168">
        <f t="shared" si="4"/>
        <v>0</v>
      </c>
      <c r="V668" s="168">
        <f t="shared" si="5"/>
        <v>0</v>
      </c>
      <c r="W668" s="168">
        <f t="shared" si="6"/>
        <v>0</v>
      </c>
      <c r="X668" s="168">
        <f t="shared" si="7"/>
        <v>0</v>
      </c>
      <c r="Y668" s="168">
        <f t="shared" si="8"/>
        <v>0</v>
      </c>
      <c r="Z668" s="168">
        <f t="shared" si="9"/>
        <v>0</v>
      </c>
    </row>
    <row r="669" ht="15.75" customHeight="1">
      <c r="A669" s="157">
        <v>1205.0</v>
      </c>
      <c r="B669" s="158" t="s">
        <v>720</v>
      </c>
      <c r="C669" s="158" t="s">
        <v>87</v>
      </c>
      <c r="D669" s="159">
        <v>43235.0</v>
      </c>
      <c r="E669" s="157" t="s">
        <v>8</v>
      </c>
      <c r="F669" s="160">
        <v>644748.94</v>
      </c>
      <c r="G669" s="160">
        <v>103159.83</v>
      </c>
      <c r="H669" s="160">
        <f t="shared" si="33"/>
        <v>747908.77</v>
      </c>
      <c r="I669" s="160"/>
      <c r="J669" s="161"/>
      <c r="K669" s="160"/>
      <c r="L669" s="160">
        <f>+'FACP$'!$H669-'FACP$'!$I669-'FACP$'!$K669</f>
        <v>747908.77</v>
      </c>
      <c r="M669" s="157" t="s">
        <v>777</v>
      </c>
      <c r="N669" s="162" t="s">
        <v>554</v>
      </c>
      <c r="O669" s="163">
        <v>43264.0</v>
      </c>
      <c r="P669" s="164">
        <f t="shared" si="13"/>
        <v>43245</v>
      </c>
      <c r="Q669" s="165">
        <f t="shared" si="2"/>
        <v>0</v>
      </c>
      <c r="R669" s="166"/>
      <c r="S669" s="167"/>
      <c r="T669" s="168">
        <f t="shared" si="3"/>
        <v>747908.77</v>
      </c>
      <c r="U669" s="168">
        <f t="shared" si="4"/>
        <v>0</v>
      </c>
      <c r="V669" s="168">
        <f t="shared" si="5"/>
        <v>0</v>
      </c>
      <c r="W669" s="168">
        <f t="shared" si="6"/>
        <v>0</v>
      </c>
      <c r="X669" s="168">
        <f t="shared" si="7"/>
        <v>0</v>
      </c>
      <c r="Y669" s="168">
        <f t="shared" si="8"/>
        <v>0</v>
      </c>
      <c r="Z669" s="168">
        <f t="shared" si="9"/>
        <v>0</v>
      </c>
    </row>
    <row r="670" ht="15.75" customHeight="1">
      <c r="A670" s="157">
        <v>1207.0</v>
      </c>
      <c r="B670" s="158" t="s">
        <v>79</v>
      </c>
      <c r="C670" s="158" t="s">
        <v>87</v>
      </c>
      <c r="D670" s="159">
        <v>43221.0</v>
      </c>
      <c r="E670" s="157" t="s">
        <v>8</v>
      </c>
      <c r="F670" s="160">
        <v>75582.78</v>
      </c>
      <c r="G670" s="160">
        <v>12093.24</v>
      </c>
      <c r="H670" s="160">
        <f t="shared" si="33"/>
        <v>87676.02</v>
      </c>
      <c r="I670" s="160"/>
      <c r="J670" s="161"/>
      <c r="K670" s="160"/>
      <c r="L670" s="160">
        <f>+'FACP$'!$H670-'FACP$'!$I670-'FACP$'!$K670</f>
        <v>87676.02</v>
      </c>
      <c r="M670" s="157" t="s">
        <v>712</v>
      </c>
      <c r="N670" s="162" t="s">
        <v>127</v>
      </c>
      <c r="O670" s="163" t="s">
        <v>846</v>
      </c>
      <c r="P670" s="164">
        <f t="shared" si="13"/>
        <v>43231</v>
      </c>
      <c r="Q670" s="165">
        <f t="shared" si="2"/>
        <v>0</v>
      </c>
      <c r="R670" s="166"/>
      <c r="S670" s="167"/>
      <c r="T670" s="168">
        <f t="shared" si="3"/>
        <v>87676.02</v>
      </c>
      <c r="U670" s="168">
        <f t="shared" si="4"/>
        <v>0</v>
      </c>
      <c r="V670" s="168">
        <f t="shared" si="5"/>
        <v>0</v>
      </c>
      <c r="W670" s="168">
        <f t="shared" si="6"/>
        <v>0</v>
      </c>
      <c r="X670" s="168">
        <f t="shared" si="7"/>
        <v>0</v>
      </c>
      <c r="Y670" s="168">
        <f t="shared" si="8"/>
        <v>0</v>
      </c>
      <c r="Z670" s="168">
        <f t="shared" si="9"/>
        <v>0</v>
      </c>
    </row>
    <row r="671" ht="15.75" customHeight="1">
      <c r="A671" s="157">
        <v>1208.0</v>
      </c>
      <c r="B671" s="158" t="s">
        <v>79</v>
      </c>
      <c r="C671" s="158" t="s">
        <v>87</v>
      </c>
      <c r="D671" s="159">
        <v>43235.0</v>
      </c>
      <c r="E671" s="157" t="s">
        <v>8</v>
      </c>
      <c r="F671" s="160">
        <v>583977.84</v>
      </c>
      <c r="G671" s="160">
        <v>93436.45</v>
      </c>
      <c r="H671" s="160">
        <f t="shared" si="33"/>
        <v>677414.29</v>
      </c>
      <c r="I671" s="160"/>
      <c r="J671" s="161"/>
      <c r="K671" s="160"/>
      <c r="L671" s="160">
        <f>+'FACP$'!$H671-'FACP$'!$I671-'FACP$'!$K671</f>
        <v>677414.29</v>
      </c>
      <c r="M671" s="157" t="s">
        <v>712</v>
      </c>
      <c r="N671" s="162" t="s">
        <v>554</v>
      </c>
      <c r="O671" s="163">
        <v>43294.0</v>
      </c>
      <c r="P671" s="164">
        <f t="shared" si="13"/>
        <v>43245</v>
      </c>
      <c r="Q671" s="165">
        <f t="shared" si="2"/>
        <v>0</v>
      </c>
      <c r="R671" s="166"/>
      <c r="S671" s="167"/>
      <c r="T671" s="168">
        <f t="shared" si="3"/>
        <v>677414.29</v>
      </c>
      <c r="U671" s="168">
        <f t="shared" si="4"/>
        <v>0</v>
      </c>
      <c r="V671" s="168">
        <f t="shared" si="5"/>
        <v>0</v>
      </c>
      <c r="W671" s="168">
        <f t="shared" si="6"/>
        <v>0</v>
      </c>
      <c r="X671" s="168">
        <f t="shared" si="7"/>
        <v>0</v>
      </c>
      <c r="Y671" s="168">
        <f t="shared" si="8"/>
        <v>0</v>
      </c>
      <c r="Z671" s="168">
        <f t="shared" si="9"/>
        <v>0</v>
      </c>
    </row>
    <row r="672" ht="15.75" customHeight="1">
      <c r="A672" s="157">
        <v>1211.0</v>
      </c>
      <c r="B672" s="158" t="s">
        <v>722</v>
      </c>
      <c r="C672" s="158" t="s">
        <v>87</v>
      </c>
      <c r="D672" s="159">
        <v>43252.0</v>
      </c>
      <c r="E672" s="157" t="s">
        <v>8</v>
      </c>
      <c r="F672" s="160">
        <v>7512912.0</v>
      </c>
      <c r="G672" s="160">
        <v>1202065.92</v>
      </c>
      <c r="H672" s="160">
        <f t="shared" si="33"/>
        <v>8714977.92</v>
      </c>
      <c r="I672" s="160"/>
      <c r="J672" s="161"/>
      <c r="K672" s="160"/>
      <c r="L672" s="160">
        <f>+'FACP$'!$H672-'FACP$'!$I672-'FACP$'!$K672</f>
        <v>8714977.92</v>
      </c>
      <c r="M672" s="157" t="s">
        <v>93</v>
      </c>
      <c r="N672" s="162" t="s">
        <v>554</v>
      </c>
      <c r="O672" s="163">
        <v>43286.0</v>
      </c>
      <c r="P672" s="164">
        <f t="shared" si="13"/>
        <v>43262</v>
      </c>
      <c r="Q672" s="165">
        <f t="shared" si="2"/>
        <v>0</v>
      </c>
      <c r="R672" s="166"/>
      <c r="S672" s="167"/>
      <c r="T672" s="168">
        <f t="shared" si="3"/>
        <v>8714977.92</v>
      </c>
      <c r="U672" s="168">
        <f t="shared" si="4"/>
        <v>0</v>
      </c>
      <c r="V672" s="168">
        <f t="shared" si="5"/>
        <v>0</v>
      </c>
      <c r="W672" s="168">
        <f t="shared" si="6"/>
        <v>0</v>
      </c>
      <c r="X672" s="168">
        <f t="shared" si="7"/>
        <v>0</v>
      </c>
      <c r="Y672" s="168">
        <f t="shared" si="8"/>
        <v>0</v>
      </c>
      <c r="Z672" s="168">
        <f t="shared" si="9"/>
        <v>0</v>
      </c>
    </row>
    <row r="673" ht="15.75" customHeight="1">
      <c r="A673" s="157">
        <v>1212.0</v>
      </c>
      <c r="B673" s="158" t="s">
        <v>29</v>
      </c>
      <c r="C673" s="158" t="s">
        <v>87</v>
      </c>
      <c r="D673" s="159">
        <v>43252.0</v>
      </c>
      <c r="E673" s="157" t="s">
        <v>8</v>
      </c>
      <c r="F673" s="160">
        <v>5600.1</v>
      </c>
      <c r="G673" s="160">
        <v>896.02</v>
      </c>
      <c r="H673" s="160">
        <f t="shared" si="33"/>
        <v>6496.12</v>
      </c>
      <c r="I673" s="160"/>
      <c r="J673" s="161"/>
      <c r="K673" s="160"/>
      <c r="L673" s="160">
        <f>+'FACP$'!$H673-'FACP$'!$I673-'FACP$'!$K673</f>
        <v>6496.12</v>
      </c>
      <c r="M673" s="157" t="s">
        <v>825</v>
      </c>
      <c r="N673" s="162" t="s">
        <v>554</v>
      </c>
      <c r="O673" s="163">
        <v>43283.0</v>
      </c>
      <c r="P673" s="164">
        <f t="shared" si="13"/>
        <v>43262</v>
      </c>
      <c r="Q673" s="165">
        <f t="shared" si="2"/>
        <v>0</v>
      </c>
      <c r="R673" s="166"/>
      <c r="S673" s="167"/>
      <c r="T673" s="168">
        <f t="shared" si="3"/>
        <v>6496.12</v>
      </c>
      <c r="U673" s="168">
        <f t="shared" si="4"/>
        <v>0</v>
      </c>
      <c r="V673" s="168">
        <f t="shared" si="5"/>
        <v>0</v>
      </c>
      <c r="W673" s="168">
        <f t="shared" si="6"/>
        <v>0</v>
      </c>
      <c r="X673" s="168">
        <f t="shared" si="7"/>
        <v>0</v>
      </c>
      <c r="Y673" s="168">
        <f t="shared" si="8"/>
        <v>0</v>
      </c>
      <c r="Z673" s="168">
        <f t="shared" si="9"/>
        <v>0</v>
      </c>
    </row>
    <row r="674" ht="15.75" customHeight="1">
      <c r="A674" s="157">
        <v>1214.0</v>
      </c>
      <c r="B674" s="158" t="s">
        <v>712</v>
      </c>
      <c r="C674" s="158" t="s">
        <v>87</v>
      </c>
      <c r="D674" s="159">
        <v>43252.0</v>
      </c>
      <c r="E674" s="157" t="s">
        <v>8</v>
      </c>
      <c r="F674" s="160">
        <v>254821.84</v>
      </c>
      <c r="G674" s="160">
        <v>40771.49</v>
      </c>
      <c r="H674" s="160">
        <f t="shared" si="33"/>
        <v>295593.33</v>
      </c>
      <c r="I674" s="160"/>
      <c r="J674" s="161"/>
      <c r="K674" s="160"/>
      <c r="L674" s="160">
        <f>+'FACP$'!$H674-'FACP$'!$I674-'FACP$'!$K674</f>
        <v>295593.33</v>
      </c>
      <c r="M674" s="157" t="s">
        <v>79</v>
      </c>
      <c r="N674" s="162" t="s">
        <v>127</v>
      </c>
      <c r="O674" s="163"/>
      <c r="P674" s="164">
        <f t="shared" si="13"/>
        <v>43262</v>
      </c>
      <c r="Q674" s="165">
        <f t="shared" si="2"/>
        <v>0</v>
      </c>
      <c r="R674" s="166"/>
      <c r="S674" s="167"/>
      <c r="T674" s="168">
        <f t="shared" si="3"/>
        <v>295593.33</v>
      </c>
      <c r="U674" s="168">
        <f t="shared" si="4"/>
        <v>0</v>
      </c>
      <c r="V674" s="168">
        <f t="shared" si="5"/>
        <v>0</v>
      </c>
      <c r="W674" s="168">
        <f t="shared" si="6"/>
        <v>0</v>
      </c>
      <c r="X674" s="168">
        <f t="shared" si="7"/>
        <v>0</v>
      </c>
      <c r="Y674" s="168">
        <f t="shared" si="8"/>
        <v>0</v>
      </c>
      <c r="Z674" s="168">
        <f t="shared" si="9"/>
        <v>0</v>
      </c>
    </row>
    <row r="675" ht="15.75" customHeight="1">
      <c r="A675" s="157">
        <v>1215.0</v>
      </c>
      <c r="B675" s="158"/>
      <c r="C675" s="158"/>
      <c r="D675" s="159"/>
      <c r="E675" s="157"/>
      <c r="F675" s="160"/>
      <c r="G675" s="160"/>
      <c r="H675" s="160"/>
      <c r="I675" s="160"/>
      <c r="J675" s="161"/>
      <c r="K675" s="160"/>
      <c r="L675" s="160">
        <f>+'FACP$'!$H675-'FACP$'!$I675-'FACP$'!$K675</f>
        <v>0</v>
      </c>
      <c r="M675" s="157"/>
      <c r="N675" s="162" t="s">
        <v>127</v>
      </c>
      <c r="O675" s="163"/>
      <c r="P675" s="164">
        <f t="shared" si="13"/>
        <v>10</v>
      </c>
      <c r="Q675" s="165">
        <f t="shared" si="2"/>
        <v>0</v>
      </c>
      <c r="R675" s="166"/>
      <c r="S675" s="167"/>
      <c r="T675" s="168">
        <f t="shared" si="3"/>
        <v>0</v>
      </c>
      <c r="U675" s="168">
        <f t="shared" si="4"/>
        <v>0</v>
      </c>
      <c r="V675" s="168">
        <f t="shared" si="5"/>
        <v>0</v>
      </c>
      <c r="W675" s="168">
        <f t="shared" si="6"/>
        <v>0</v>
      </c>
      <c r="X675" s="168">
        <f t="shared" si="7"/>
        <v>0</v>
      </c>
      <c r="Y675" s="168">
        <f t="shared" si="8"/>
        <v>0</v>
      </c>
      <c r="Z675" s="168">
        <f t="shared" si="9"/>
        <v>0</v>
      </c>
    </row>
    <row r="676" ht="15.75" customHeight="1">
      <c r="A676" s="157">
        <v>1216.0</v>
      </c>
      <c r="B676" s="158" t="s">
        <v>712</v>
      </c>
      <c r="C676" s="158" t="s">
        <v>87</v>
      </c>
      <c r="D676" s="159">
        <v>43252.0</v>
      </c>
      <c r="E676" s="157" t="s">
        <v>8</v>
      </c>
      <c r="F676" s="160">
        <v>516241.18</v>
      </c>
      <c r="G676" s="160">
        <v>82598.59</v>
      </c>
      <c r="H676" s="160">
        <f t="shared" ref="H676:H724" si="34">F676+G676</f>
        <v>598839.77</v>
      </c>
      <c r="I676" s="160"/>
      <c r="J676" s="161"/>
      <c r="K676" s="160"/>
      <c r="L676" s="160">
        <f>+'FACP$'!$H676-'FACP$'!$I676-'FACP$'!$K676</f>
        <v>598839.77</v>
      </c>
      <c r="M676" s="157" t="s">
        <v>712</v>
      </c>
      <c r="N676" s="162" t="s">
        <v>554</v>
      </c>
      <c r="O676" s="163">
        <v>43288.0</v>
      </c>
      <c r="P676" s="164">
        <f t="shared" si="13"/>
        <v>43262</v>
      </c>
      <c r="Q676" s="165">
        <f t="shared" si="2"/>
        <v>0</v>
      </c>
      <c r="R676" s="166"/>
      <c r="S676" s="167"/>
      <c r="T676" s="168">
        <f t="shared" si="3"/>
        <v>598839.77</v>
      </c>
      <c r="U676" s="168">
        <f t="shared" si="4"/>
        <v>0</v>
      </c>
      <c r="V676" s="168">
        <f t="shared" si="5"/>
        <v>0</v>
      </c>
      <c r="W676" s="168">
        <f t="shared" si="6"/>
        <v>0</v>
      </c>
      <c r="X676" s="168">
        <f t="shared" si="7"/>
        <v>0</v>
      </c>
      <c r="Y676" s="168">
        <f t="shared" si="8"/>
        <v>0</v>
      </c>
      <c r="Z676" s="168">
        <f t="shared" si="9"/>
        <v>0</v>
      </c>
    </row>
    <row r="677" ht="15.75" customHeight="1">
      <c r="A677" s="157">
        <v>1217.0</v>
      </c>
      <c r="B677" s="158" t="s">
        <v>720</v>
      </c>
      <c r="C677" s="158" t="s">
        <v>87</v>
      </c>
      <c r="D677" s="159">
        <v>43252.0</v>
      </c>
      <c r="E677" s="157" t="s">
        <v>8</v>
      </c>
      <c r="F677" s="160">
        <v>551457.12</v>
      </c>
      <c r="G677" s="160">
        <v>88233.14</v>
      </c>
      <c r="H677" s="160">
        <f t="shared" si="34"/>
        <v>639690.26</v>
      </c>
      <c r="I677" s="160"/>
      <c r="J677" s="161"/>
      <c r="K677" s="160"/>
      <c r="L677" s="160">
        <f>+'FACP$'!$H677-'FACP$'!$I677-'FACP$'!$K677</f>
        <v>639690.26</v>
      </c>
      <c r="M677" s="157" t="s">
        <v>777</v>
      </c>
      <c r="N677" s="162" t="s">
        <v>554</v>
      </c>
      <c r="O677" s="163">
        <v>43293.0</v>
      </c>
      <c r="P677" s="164">
        <f t="shared" si="13"/>
        <v>43262</v>
      </c>
      <c r="Q677" s="165">
        <f t="shared" si="2"/>
        <v>0</v>
      </c>
      <c r="R677" s="166"/>
      <c r="S677" s="167"/>
      <c r="T677" s="168">
        <f t="shared" si="3"/>
        <v>639690.26</v>
      </c>
      <c r="U677" s="168">
        <f t="shared" si="4"/>
        <v>0</v>
      </c>
      <c r="V677" s="168">
        <f t="shared" si="5"/>
        <v>0</v>
      </c>
      <c r="W677" s="168">
        <f t="shared" si="6"/>
        <v>0</v>
      </c>
      <c r="X677" s="168">
        <f t="shared" si="7"/>
        <v>0</v>
      </c>
      <c r="Y677" s="168">
        <f t="shared" si="8"/>
        <v>0</v>
      </c>
      <c r="Z677" s="168">
        <f t="shared" si="9"/>
        <v>0</v>
      </c>
    </row>
    <row r="678" ht="15.75" customHeight="1">
      <c r="A678" s="157">
        <v>1219.0</v>
      </c>
      <c r="B678" s="158" t="s">
        <v>37</v>
      </c>
      <c r="C678" s="158" t="s">
        <v>87</v>
      </c>
      <c r="D678" s="159">
        <v>43252.0</v>
      </c>
      <c r="E678" s="157" t="s">
        <v>8</v>
      </c>
      <c r="F678" s="160">
        <v>1704830.38</v>
      </c>
      <c r="G678" s="160">
        <v>272772.86</v>
      </c>
      <c r="H678" s="160">
        <f t="shared" si="34"/>
        <v>1977603.24</v>
      </c>
      <c r="I678" s="160"/>
      <c r="J678" s="161"/>
      <c r="K678" s="160"/>
      <c r="L678" s="160">
        <f>+'FACP$'!$H678-'FACP$'!$I678-'FACP$'!$K678</f>
        <v>1977603.24</v>
      </c>
      <c r="M678" s="157" t="s">
        <v>718</v>
      </c>
      <c r="N678" s="162" t="s">
        <v>554</v>
      </c>
      <c r="O678" s="163">
        <v>43285.0</v>
      </c>
      <c r="P678" s="164">
        <f t="shared" si="13"/>
        <v>43262</v>
      </c>
      <c r="Q678" s="165">
        <f t="shared" si="2"/>
        <v>0</v>
      </c>
      <c r="R678" s="166"/>
      <c r="S678" s="167"/>
      <c r="T678" s="168">
        <f t="shared" si="3"/>
        <v>1977603.24</v>
      </c>
      <c r="U678" s="168">
        <f t="shared" si="4"/>
        <v>0</v>
      </c>
      <c r="V678" s="168">
        <f t="shared" si="5"/>
        <v>0</v>
      </c>
      <c r="W678" s="168">
        <f t="shared" si="6"/>
        <v>0</v>
      </c>
      <c r="X678" s="168">
        <f t="shared" si="7"/>
        <v>0</v>
      </c>
      <c r="Y678" s="168">
        <f t="shared" si="8"/>
        <v>0</v>
      </c>
      <c r="Z678" s="168">
        <f t="shared" si="9"/>
        <v>0</v>
      </c>
    </row>
    <row r="679" ht="15.75" customHeight="1">
      <c r="A679" s="157">
        <v>1221.0</v>
      </c>
      <c r="B679" s="158" t="s">
        <v>101</v>
      </c>
      <c r="C679" s="158" t="s">
        <v>87</v>
      </c>
      <c r="D679" s="159">
        <v>43252.0</v>
      </c>
      <c r="E679" s="157" t="s">
        <v>8</v>
      </c>
      <c r="F679" s="160">
        <v>116976.75</v>
      </c>
      <c r="G679" s="160">
        <v>18716.28</v>
      </c>
      <c r="H679" s="160">
        <f t="shared" si="34"/>
        <v>135693.03</v>
      </c>
      <c r="I679" s="160"/>
      <c r="J679" s="161"/>
      <c r="K679" s="160"/>
      <c r="L679" s="160">
        <f>+'FACP$'!$H679-'FACP$'!$I679-'FACP$'!$K679</f>
        <v>135693.03</v>
      </c>
      <c r="M679" s="157" t="s">
        <v>586</v>
      </c>
      <c r="N679" s="162" t="s">
        <v>554</v>
      </c>
      <c r="O679" s="163">
        <v>43279.0</v>
      </c>
      <c r="P679" s="164">
        <f t="shared" si="13"/>
        <v>43262</v>
      </c>
      <c r="Q679" s="165">
        <f t="shared" si="2"/>
        <v>0</v>
      </c>
      <c r="R679" s="166"/>
      <c r="S679" s="167"/>
      <c r="T679" s="168">
        <f t="shared" si="3"/>
        <v>135693.03</v>
      </c>
      <c r="U679" s="168">
        <f t="shared" si="4"/>
        <v>0</v>
      </c>
      <c r="V679" s="168">
        <f t="shared" si="5"/>
        <v>0</v>
      </c>
      <c r="W679" s="168">
        <f t="shared" si="6"/>
        <v>0</v>
      </c>
      <c r="X679" s="168">
        <f t="shared" si="7"/>
        <v>0</v>
      </c>
      <c r="Y679" s="168">
        <f t="shared" si="8"/>
        <v>0</v>
      </c>
      <c r="Z679" s="168">
        <f t="shared" si="9"/>
        <v>0</v>
      </c>
    </row>
    <row r="680" ht="15.75" customHeight="1">
      <c r="A680" s="157">
        <v>1223.0</v>
      </c>
      <c r="B680" s="158" t="s">
        <v>101</v>
      </c>
      <c r="C680" s="158" t="s">
        <v>87</v>
      </c>
      <c r="D680" s="159">
        <v>43252.0</v>
      </c>
      <c r="E680" s="157" t="s">
        <v>8</v>
      </c>
      <c r="F680" s="160">
        <v>102366.0</v>
      </c>
      <c r="G680" s="160">
        <v>16378.56</v>
      </c>
      <c r="H680" s="160">
        <f t="shared" si="34"/>
        <v>118744.56</v>
      </c>
      <c r="I680" s="160"/>
      <c r="J680" s="161"/>
      <c r="K680" s="160"/>
      <c r="L680" s="160">
        <f>+'FACP$'!$H680-'FACP$'!$I680-'FACP$'!$K680</f>
        <v>118744.56</v>
      </c>
      <c r="M680" s="157" t="s">
        <v>732</v>
      </c>
      <c r="N680" s="162" t="s">
        <v>554</v>
      </c>
      <c r="O680" s="163">
        <v>43279.0</v>
      </c>
      <c r="P680" s="164">
        <f t="shared" si="13"/>
        <v>43262</v>
      </c>
      <c r="Q680" s="165">
        <f t="shared" si="2"/>
        <v>0</v>
      </c>
      <c r="R680" s="166"/>
      <c r="S680" s="167"/>
      <c r="T680" s="168">
        <f t="shared" si="3"/>
        <v>118744.56</v>
      </c>
      <c r="U680" s="168">
        <f t="shared" si="4"/>
        <v>0</v>
      </c>
      <c r="V680" s="168">
        <f t="shared" si="5"/>
        <v>0</v>
      </c>
      <c r="W680" s="168">
        <f t="shared" si="6"/>
        <v>0</v>
      </c>
      <c r="X680" s="168">
        <f t="shared" si="7"/>
        <v>0</v>
      </c>
      <c r="Y680" s="168">
        <f t="shared" si="8"/>
        <v>0</v>
      </c>
      <c r="Z680" s="168">
        <f t="shared" si="9"/>
        <v>0</v>
      </c>
    </row>
    <row r="681" ht="15.75" customHeight="1">
      <c r="A681" s="157">
        <v>1225.0</v>
      </c>
      <c r="B681" s="158" t="s">
        <v>24</v>
      </c>
      <c r="C681" s="158" t="s">
        <v>87</v>
      </c>
      <c r="D681" s="159">
        <v>43252.0</v>
      </c>
      <c r="E681" s="157" t="s">
        <v>8</v>
      </c>
      <c r="F681" s="160">
        <v>129804.18</v>
      </c>
      <c r="G681" s="160">
        <v>20768.67</v>
      </c>
      <c r="H681" s="160">
        <f t="shared" si="34"/>
        <v>150572.85</v>
      </c>
      <c r="I681" s="160"/>
      <c r="J681" s="161"/>
      <c r="K681" s="160"/>
      <c r="L681" s="160">
        <f>+'FACP$'!$H681-'FACP$'!$I681-'FACP$'!$K681</f>
        <v>150572.85</v>
      </c>
      <c r="M681" s="157" t="s">
        <v>91</v>
      </c>
      <c r="N681" s="162" t="s">
        <v>554</v>
      </c>
      <c r="O681" s="163">
        <v>43301.0</v>
      </c>
      <c r="P681" s="164">
        <f t="shared" si="13"/>
        <v>43262</v>
      </c>
      <c r="Q681" s="165">
        <f t="shared" si="2"/>
        <v>0</v>
      </c>
      <c r="R681" s="166"/>
      <c r="S681" s="167"/>
      <c r="T681" s="168">
        <f t="shared" si="3"/>
        <v>150572.85</v>
      </c>
      <c r="U681" s="168">
        <f t="shared" si="4"/>
        <v>0</v>
      </c>
      <c r="V681" s="168">
        <f t="shared" si="5"/>
        <v>0</v>
      </c>
      <c r="W681" s="168">
        <f t="shared" si="6"/>
        <v>0</v>
      </c>
      <c r="X681" s="168">
        <f t="shared" si="7"/>
        <v>0</v>
      </c>
      <c r="Y681" s="168">
        <f t="shared" si="8"/>
        <v>0</v>
      </c>
      <c r="Z681" s="168">
        <f t="shared" si="9"/>
        <v>0</v>
      </c>
    </row>
    <row r="682" ht="15.75" customHeight="1">
      <c r="A682" s="157">
        <v>1227.0</v>
      </c>
      <c r="B682" s="158" t="s">
        <v>849</v>
      </c>
      <c r="C682" s="158" t="s">
        <v>87</v>
      </c>
      <c r="D682" s="159">
        <v>43255.0</v>
      </c>
      <c r="E682" s="157" t="s">
        <v>8</v>
      </c>
      <c r="F682" s="160">
        <v>673506.0</v>
      </c>
      <c r="G682" s="160">
        <v>107760.96</v>
      </c>
      <c r="H682" s="160">
        <f t="shared" si="34"/>
        <v>781266.96</v>
      </c>
      <c r="I682" s="160"/>
      <c r="J682" s="161"/>
      <c r="K682" s="160"/>
      <c r="L682" s="160">
        <f>+'FACP$'!$H682-'FACP$'!$I682-'FACP$'!$K682</f>
        <v>781266.96</v>
      </c>
      <c r="M682" s="157" t="s">
        <v>850</v>
      </c>
      <c r="N682" s="162" t="s">
        <v>554</v>
      </c>
      <c r="O682" s="163">
        <v>43305.0</v>
      </c>
      <c r="P682" s="164">
        <f t="shared" si="13"/>
        <v>43265</v>
      </c>
      <c r="Q682" s="165">
        <f t="shared" si="2"/>
        <v>0</v>
      </c>
      <c r="R682" s="166"/>
      <c r="S682" s="167"/>
      <c r="T682" s="168">
        <f t="shared" si="3"/>
        <v>781266.96</v>
      </c>
      <c r="U682" s="168">
        <f t="shared" si="4"/>
        <v>0</v>
      </c>
      <c r="V682" s="168">
        <f t="shared" si="5"/>
        <v>0</v>
      </c>
      <c r="W682" s="168">
        <f t="shared" si="6"/>
        <v>0</v>
      </c>
      <c r="X682" s="168">
        <f t="shared" si="7"/>
        <v>0</v>
      </c>
      <c r="Y682" s="168">
        <f t="shared" si="8"/>
        <v>0</v>
      </c>
      <c r="Z682" s="168">
        <f t="shared" si="9"/>
        <v>0</v>
      </c>
    </row>
    <row r="683" ht="15.75" customHeight="1">
      <c r="A683" s="157">
        <v>1228.0</v>
      </c>
      <c r="B683" s="158" t="s">
        <v>849</v>
      </c>
      <c r="C683" s="158" t="s">
        <v>724</v>
      </c>
      <c r="D683" s="159">
        <v>43255.0</v>
      </c>
      <c r="E683" s="157" t="s">
        <v>8</v>
      </c>
      <c r="F683" s="160">
        <v>564975.0</v>
      </c>
      <c r="G683" s="160">
        <v>90396.0</v>
      </c>
      <c r="H683" s="160">
        <f t="shared" si="34"/>
        <v>655371</v>
      </c>
      <c r="I683" s="160"/>
      <c r="J683" s="161"/>
      <c r="K683" s="160"/>
      <c r="L683" s="160">
        <f>+'FACP$'!$H683-'FACP$'!$I683-'FACP$'!$K683</f>
        <v>655371</v>
      </c>
      <c r="M683" s="157" t="s">
        <v>850</v>
      </c>
      <c r="N683" s="162" t="s">
        <v>554</v>
      </c>
      <c r="O683" s="163">
        <v>43301.0</v>
      </c>
      <c r="P683" s="164">
        <f t="shared" si="13"/>
        <v>43265</v>
      </c>
      <c r="Q683" s="165">
        <f t="shared" si="2"/>
        <v>0</v>
      </c>
      <c r="R683" s="166"/>
      <c r="S683" s="167"/>
      <c r="T683" s="168">
        <f t="shared" si="3"/>
        <v>655371</v>
      </c>
      <c r="U683" s="168">
        <f t="shared" si="4"/>
        <v>0</v>
      </c>
      <c r="V683" s="168">
        <f t="shared" si="5"/>
        <v>0</v>
      </c>
      <c r="W683" s="168">
        <f t="shared" si="6"/>
        <v>0</v>
      </c>
      <c r="X683" s="168">
        <f t="shared" si="7"/>
        <v>0</v>
      </c>
      <c r="Y683" s="168">
        <f t="shared" si="8"/>
        <v>0</v>
      </c>
      <c r="Z683" s="168">
        <f t="shared" si="9"/>
        <v>0</v>
      </c>
    </row>
    <row r="684" ht="15.75" customHeight="1">
      <c r="A684" s="157">
        <v>1229.0</v>
      </c>
      <c r="B684" s="158" t="s">
        <v>851</v>
      </c>
      <c r="C684" s="158" t="s">
        <v>852</v>
      </c>
      <c r="D684" s="159">
        <v>43252.0</v>
      </c>
      <c r="E684" s="157" t="s">
        <v>8</v>
      </c>
      <c r="F684" s="160">
        <v>459000.0</v>
      </c>
      <c r="G684" s="160">
        <v>73440.0</v>
      </c>
      <c r="H684" s="160">
        <f t="shared" si="34"/>
        <v>532440</v>
      </c>
      <c r="I684" s="160"/>
      <c r="J684" s="161"/>
      <c r="K684" s="160"/>
      <c r="L684" s="160">
        <f>+'FACP$'!$H684-'FACP$'!$I684-'FACP$'!$K684</f>
        <v>532440</v>
      </c>
      <c r="M684" s="157" t="s">
        <v>728</v>
      </c>
      <c r="N684" s="162" t="s">
        <v>554</v>
      </c>
      <c r="O684" s="163">
        <v>43287.0</v>
      </c>
      <c r="P684" s="164">
        <f t="shared" si="13"/>
        <v>43262</v>
      </c>
      <c r="Q684" s="165">
        <f t="shared" si="2"/>
        <v>0</v>
      </c>
      <c r="R684" s="166"/>
      <c r="S684" s="167"/>
      <c r="T684" s="168">
        <f t="shared" si="3"/>
        <v>532440</v>
      </c>
      <c r="U684" s="168">
        <f t="shared" si="4"/>
        <v>0</v>
      </c>
      <c r="V684" s="168">
        <f t="shared" si="5"/>
        <v>0</v>
      </c>
      <c r="W684" s="168">
        <f t="shared" si="6"/>
        <v>0</v>
      </c>
      <c r="X684" s="168">
        <f t="shared" si="7"/>
        <v>0</v>
      </c>
      <c r="Y684" s="168">
        <f t="shared" si="8"/>
        <v>0</v>
      </c>
      <c r="Z684" s="168">
        <f t="shared" si="9"/>
        <v>0</v>
      </c>
    </row>
    <row r="685" ht="15.75" customHeight="1">
      <c r="A685" s="157">
        <v>1232.0</v>
      </c>
      <c r="B685" s="158" t="s">
        <v>101</v>
      </c>
      <c r="C685" s="158" t="s">
        <v>87</v>
      </c>
      <c r="D685" s="159">
        <v>43235.0</v>
      </c>
      <c r="E685" s="157" t="s">
        <v>8</v>
      </c>
      <c r="F685" s="160">
        <v>155270.28</v>
      </c>
      <c r="G685" s="160">
        <v>24843.24</v>
      </c>
      <c r="H685" s="160">
        <f t="shared" si="34"/>
        <v>180113.52</v>
      </c>
      <c r="I685" s="160"/>
      <c r="J685" s="161"/>
      <c r="K685" s="160"/>
      <c r="L685" s="160">
        <f>+'FACP$'!$H685-'FACP$'!$I685-'FACP$'!$K685</f>
        <v>180113.52</v>
      </c>
      <c r="M685" s="157" t="s">
        <v>586</v>
      </c>
      <c r="N685" s="162" t="s">
        <v>554</v>
      </c>
      <c r="O685" s="163">
        <v>43279.0</v>
      </c>
      <c r="P685" s="164">
        <f t="shared" si="13"/>
        <v>43245</v>
      </c>
      <c r="Q685" s="165">
        <f t="shared" si="2"/>
        <v>0</v>
      </c>
      <c r="R685" s="166"/>
      <c r="S685" s="167"/>
      <c r="T685" s="168">
        <f t="shared" si="3"/>
        <v>180113.52</v>
      </c>
      <c r="U685" s="168">
        <f t="shared" si="4"/>
        <v>0</v>
      </c>
      <c r="V685" s="168">
        <f t="shared" si="5"/>
        <v>0</v>
      </c>
      <c r="W685" s="168">
        <f t="shared" si="6"/>
        <v>0</v>
      </c>
      <c r="X685" s="168">
        <f t="shared" si="7"/>
        <v>0</v>
      </c>
      <c r="Y685" s="168">
        <f t="shared" si="8"/>
        <v>0</v>
      </c>
      <c r="Z685" s="168">
        <f t="shared" si="9"/>
        <v>0</v>
      </c>
    </row>
    <row r="686" ht="15.75" customHeight="1">
      <c r="A686" s="157">
        <v>1236.0</v>
      </c>
      <c r="B686" s="158" t="s">
        <v>722</v>
      </c>
      <c r="C686" s="158" t="s">
        <v>87</v>
      </c>
      <c r="D686" s="159">
        <v>43266.0</v>
      </c>
      <c r="E686" s="157" t="s">
        <v>8</v>
      </c>
      <c r="F686" s="160">
        <v>9111430.35</v>
      </c>
      <c r="G686" s="160">
        <v>1457828.86</v>
      </c>
      <c r="H686" s="160">
        <f t="shared" si="34"/>
        <v>10569259.21</v>
      </c>
      <c r="I686" s="160"/>
      <c r="J686" s="161"/>
      <c r="K686" s="160"/>
      <c r="L686" s="160">
        <f>+'FACP$'!$H686-'FACP$'!$I686-'FACP$'!$K686</f>
        <v>10569259.21</v>
      </c>
      <c r="M686" s="157" t="s">
        <v>93</v>
      </c>
      <c r="N686" s="162" t="s">
        <v>554</v>
      </c>
      <c r="O686" s="163">
        <v>43293.0</v>
      </c>
      <c r="P686" s="164">
        <f t="shared" si="13"/>
        <v>43276</v>
      </c>
      <c r="Q686" s="165">
        <f t="shared" si="2"/>
        <v>0</v>
      </c>
      <c r="R686" s="166"/>
      <c r="S686" s="167"/>
      <c r="T686" s="168">
        <f t="shared" si="3"/>
        <v>10569259.21</v>
      </c>
      <c r="U686" s="168">
        <f t="shared" si="4"/>
        <v>0</v>
      </c>
      <c r="V686" s="168">
        <f t="shared" si="5"/>
        <v>0</v>
      </c>
      <c r="W686" s="168">
        <f t="shared" si="6"/>
        <v>0</v>
      </c>
      <c r="X686" s="168">
        <f t="shared" si="7"/>
        <v>0</v>
      </c>
      <c r="Y686" s="168">
        <f t="shared" si="8"/>
        <v>0</v>
      </c>
      <c r="Z686" s="168">
        <f t="shared" si="9"/>
        <v>0</v>
      </c>
    </row>
    <row r="687" ht="15.75" customHeight="1">
      <c r="A687" s="157">
        <v>1237.0</v>
      </c>
      <c r="B687" s="158" t="s">
        <v>720</v>
      </c>
      <c r="C687" s="158" t="s">
        <v>87</v>
      </c>
      <c r="D687" s="159">
        <v>43266.0</v>
      </c>
      <c r="E687" s="157" t="s">
        <v>8</v>
      </c>
      <c r="F687" s="160">
        <v>854167.98</v>
      </c>
      <c r="G687" s="160">
        <v>136666.88</v>
      </c>
      <c r="H687" s="160">
        <f t="shared" si="34"/>
        <v>990834.86</v>
      </c>
      <c r="I687" s="160"/>
      <c r="J687" s="161"/>
      <c r="K687" s="160"/>
      <c r="L687" s="160">
        <f>+'FACP$'!$H687-'FACP$'!$I687-'FACP$'!$K687</f>
        <v>990834.86</v>
      </c>
      <c r="M687" s="157" t="s">
        <v>777</v>
      </c>
      <c r="N687" s="162" t="s">
        <v>554</v>
      </c>
      <c r="O687" s="163">
        <v>43299.0</v>
      </c>
      <c r="P687" s="164">
        <f t="shared" si="13"/>
        <v>43276</v>
      </c>
      <c r="Q687" s="165">
        <f t="shared" si="2"/>
        <v>0</v>
      </c>
      <c r="R687" s="166"/>
      <c r="S687" s="167"/>
      <c r="T687" s="168">
        <f t="shared" si="3"/>
        <v>990834.86</v>
      </c>
      <c r="U687" s="168">
        <f t="shared" si="4"/>
        <v>0</v>
      </c>
      <c r="V687" s="168">
        <f t="shared" si="5"/>
        <v>0</v>
      </c>
      <c r="W687" s="168">
        <f t="shared" si="6"/>
        <v>0</v>
      </c>
      <c r="X687" s="168">
        <f t="shared" si="7"/>
        <v>0</v>
      </c>
      <c r="Y687" s="168">
        <f t="shared" si="8"/>
        <v>0</v>
      </c>
      <c r="Z687" s="168">
        <f t="shared" si="9"/>
        <v>0</v>
      </c>
    </row>
    <row r="688" ht="15.75" customHeight="1">
      <c r="A688" s="157">
        <v>1239.0</v>
      </c>
      <c r="B688" s="161" t="s">
        <v>29</v>
      </c>
      <c r="C688" s="158" t="s">
        <v>87</v>
      </c>
      <c r="D688" s="159">
        <v>43266.0</v>
      </c>
      <c r="E688" s="157" t="s">
        <v>8</v>
      </c>
      <c r="F688" s="160">
        <v>93470.76</v>
      </c>
      <c r="G688" s="160">
        <v>14955.32</v>
      </c>
      <c r="H688" s="160">
        <f t="shared" si="34"/>
        <v>108426.08</v>
      </c>
      <c r="I688" s="160"/>
      <c r="J688" s="161"/>
      <c r="K688" s="160"/>
      <c r="L688" s="160">
        <f>+'FACP$'!$H688-'FACP$'!$I688-'FACP$'!$K688</f>
        <v>108426.08</v>
      </c>
      <c r="M688" s="157" t="s">
        <v>825</v>
      </c>
      <c r="N688" s="162" t="s">
        <v>554</v>
      </c>
      <c r="O688" s="163">
        <v>43294.0</v>
      </c>
      <c r="P688" s="164">
        <f t="shared" si="13"/>
        <v>43276</v>
      </c>
      <c r="Q688" s="165">
        <f t="shared" si="2"/>
        <v>0</v>
      </c>
      <c r="R688" s="166"/>
      <c r="S688" s="167"/>
      <c r="T688" s="168">
        <f t="shared" si="3"/>
        <v>108426.08</v>
      </c>
      <c r="U688" s="168">
        <f t="shared" si="4"/>
        <v>0</v>
      </c>
      <c r="V688" s="168">
        <f t="shared" si="5"/>
        <v>0</v>
      </c>
      <c r="W688" s="168">
        <f t="shared" si="6"/>
        <v>0</v>
      </c>
      <c r="X688" s="168">
        <f t="shared" si="7"/>
        <v>0</v>
      </c>
      <c r="Y688" s="168">
        <f t="shared" si="8"/>
        <v>0</v>
      </c>
      <c r="Z688" s="168">
        <f t="shared" si="9"/>
        <v>0</v>
      </c>
    </row>
    <row r="689" ht="15.75" customHeight="1">
      <c r="A689" s="157">
        <v>1242.0</v>
      </c>
      <c r="B689" s="158" t="s">
        <v>37</v>
      </c>
      <c r="C689" s="158" t="s">
        <v>87</v>
      </c>
      <c r="D689" s="159">
        <v>43266.0</v>
      </c>
      <c r="E689" s="157" t="s">
        <v>8</v>
      </c>
      <c r="F689" s="160">
        <v>1863795.34</v>
      </c>
      <c r="G689" s="160">
        <v>298207.25</v>
      </c>
      <c r="H689" s="160">
        <f t="shared" si="34"/>
        <v>2162002.59</v>
      </c>
      <c r="I689" s="160"/>
      <c r="J689" s="161"/>
      <c r="K689" s="160"/>
      <c r="L689" s="160">
        <f>+'FACP$'!$H689-'FACP$'!$I689-'FACP$'!$K689</f>
        <v>2162002.59</v>
      </c>
      <c r="M689" s="157" t="s">
        <v>718</v>
      </c>
      <c r="N689" s="162" t="s">
        <v>554</v>
      </c>
      <c r="O689" s="163">
        <v>43298.0</v>
      </c>
      <c r="P689" s="164">
        <f t="shared" si="13"/>
        <v>43276</v>
      </c>
      <c r="Q689" s="165">
        <f t="shared" si="2"/>
        <v>0</v>
      </c>
      <c r="R689" s="166"/>
      <c r="S689" s="167"/>
      <c r="T689" s="168">
        <f t="shared" si="3"/>
        <v>2162002.59</v>
      </c>
      <c r="U689" s="168">
        <f t="shared" si="4"/>
        <v>0</v>
      </c>
      <c r="V689" s="168">
        <f t="shared" si="5"/>
        <v>0</v>
      </c>
      <c r="W689" s="168">
        <f t="shared" si="6"/>
        <v>0</v>
      </c>
      <c r="X689" s="168">
        <f t="shared" si="7"/>
        <v>0</v>
      </c>
      <c r="Y689" s="168">
        <f t="shared" si="8"/>
        <v>0</v>
      </c>
      <c r="Z689" s="168">
        <f t="shared" si="9"/>
        <v>0</v>
      </c>
    </row>
    <row r="690" ht="15.75" customHeight="1">
      <c r="A690" s="157">
        <v>1245.0</v>
      </c>
      <c r="B690" s="158" t="s">
        <v>24</v>
      </c>
      <c r="C690" s="158" t="s">
        <v>87</v>
      </c>
      <c r="D690" s="159">
        <v>43287.0</v>
      </c>
      <c r="E690" s="157" t="s">
        <v>8</v>
      </c>
      <c r="F690" s="160">
        <v>137804.04</v>
      </c>
      <c r="G690" s="160">
        <v>22048.65</v>
      </c>
      <c r="H690" s="160">
        <f t="shared" si="34"/>
        <v>159852.69</v>
      </c>
      <c r="I690" s="160"/>
      <c r="J690" s="161"/>
      <c r="K690" s="160"/>
      <c r="L690" s="160">
        <f>+'FACP$'!$H690-'FACP$'!$I690-'FACP$'!$K690</f>
        <v>159852.69</v>
      </c>
      <c r="M690" s="157" t="s">
        <v>91</v>
      </c>
      <c r="N690" s="162" t="s">
        <v>554</v>
      </c>
      <c r="O690" s="163">
        <v>43301.0</v>
      </c>
      <c r="P690" s="164">
        <f t="shared" si="13"/>
        <v>43297</v>
      </c>
      <c r="Q690" s="165">
        <f t="shared" si="2"/>
        <v>0</v>
      </c>
      <c r="R690" s="166"/>
      <c r="S690" s="167"/>
      <c r="T690" s="168">
        <f t="shared" si="3"/>
        <v>159852.69</v>
      </c>
      <c r="U690" s="168">
        <f t="shared" si="4"/>
        <v>0</v>
      </c>
      <c r="V690" s="168">
        <f t="shared" si="5"/>
        <v>0</v>
      </c>
      <c r="W690" s="168">
        <f t="shared" si="6"/>
        <v>0</v>
      </c>
      <c r="X690" s="168">
        <f t="shared" si="7"/>
        <v>0</v>
      </c>
      <c r="Y690" s="168">
        <f t="shared" si="8"/>
        <v>0</v>
      </c>
      <c r="Z690" s="168">
        <f t="shared" si="9"/>
        <v>0</v>
      </c>
    </row>
    <row r="691" ht="15.75" customHeight="1">
      <c r="A691" s="157">
        <v>1247.0</v>
      </c>
      <c r="B691" s="158" t="s">
        <v>101</v>
      </c>
      <c r="C691" s="158" t="s">
        <v>87</v>
      </c>
      <c r="D691" s="159">
        <v>43266.0</v>
      </c>
      <c r="E691" s="157" t="s">
        <v>8</v>
      </c>
      <c r="F691" s="160">
        <v>129863.25</v>
      </c>
      <c r="G691" s="160">
        <v>20778.12</v>
      </c>
      <c r="H691" s="160">
        <f t="shared" si="34"/>
        <v>150641.37</v>
      </c>
      <c r="I691" s="160"/>
      <c r="J691" s="161"/>
      <c r="K691" s="160"/>
      <c r="L691" s="160">
        <f>+'FACP$'!$H691-'FACP$'!$I691-'FACP$'!$K691</f>
        <v>150641.37</v>
      </c>
      <c r="M691" s="157" t="s">
        <v>586</v>
      </c>
      <c r="N691" s="162" t="s">
        <v>554</v>
      </c>
      <c r="O691" s="163">
        <v>43312.0</v>
      </c>
      <c r="P691" s="164">
        <f t="shared" si="13"/>
        <v>43276</v>
      </c>
      <c r="Q691" s="165">
        <f t="shared" si="2"/>
        <v>0</v>
      </c>
      <c r="R691" s="166"/>
      <c r="S691" s="167"/>
      <c r="T691" s="168">
        <f t="shared" si="3"/>
        <v>150641.37</v>
      </c>
      <c r="U691" s="168">
        <f t="shared" si="4"/>
        <v>0</v>
      </c>
      <c r="V691" s="168">
        <f t="shared" si="5"/>
        <v>0</v>
      </c>
      <c r="W691" s="168">
        <f t="shared" si="6"/>
        <v>0</v>
      </c>
      <c r="X691" s="168">
        <f t="shared" si="7"/>
        <v>0</v>
      </c>
      <c r="Y691" s="168">
        <f t="shared" si="8"/>
        <v>0</v>
      </c>
      <c r="Z691" s="168">
        <f t="shared" si="9"/>
        <v>0</v>
      </c>
    </row>
    <row r="692" ht="15.75" customHeight="1">
      <c r="A692" s="157">
        <v>1249.0</v>
      </c>
      <c r="B692" s="158" t="s">
        <v>101</v>
      </c>
      <c r="C692" s="158" t="s">
        <v>87</v>
      </c>
      <c r="D692" s="159">
        <v>43266.0</v>
      </c>
      <c r="E692" s="157" t="s">
        <v>8</v>
      </c>
      <c r="F692" s="160">
        <v>167978.25</v>
      </c>
      <c r="G692" s="160">
        <v>26876.52</v>
      </c>
      <c r="H692" s="160">
        <f t="shared" si="34"/>
        <v>194854.77</v>
      </c>
      <c r="I692" s="160"/>
      <c r="J692" s="161"/>
      <c r="K692" s="160"/>
      <c r="L692" s="160">
        <f>+'FACP$'!$H692-'FACP$'!$I692-'FACP$'!$K692</f>
        <v>194854.77</v>
      </c>
      <c r="M692" s="157" t="s">
        <v>732</v>
      </c>
      <c r="N692" s="162" t="s">
        <v>554</v>
      </c>
      <c r="O692" s="163">
        <v>43312.0</v>
      </c>
      <c r="P692" s="164">
        <f t="shared" si="13"/>
        <v>43276</v>
      </c>
      <c r="Q692" s="165">
        <f t="shared" si="2"/>
        <v>0</v>
      </c>
      <c r="R692" s="166"/>
      <c r="S692" s="167"/>
      <c r="T692" s="168">
        <f t="shared" si="3"/>
        <v>194854.77</v>
      </c>
      <c r="U692" s="168">
        <f t="shared" si="4"/>
        <v>0</v>
      </c>
      <c r="V692" s="168">
        <f t="shared" si="5"/>
        <v>0</v>
      </c>
      <c r="W692" s="168">
        <f t="shared" si="6"/>
        <v>0</v>
      </c>
      <c r="X692" s="168">
        <f t="shared" si="7"/>
        <v>0</v>
      </c>
      <c r="Y692" s="168">
        <f t="shared" si="8"/>
        <v>0</v>
      </c>
      <c r="Z692" s="168">
        <f t="shared" si="9"/>
        <v>0</v>
      </c>
    </row>
    <row r="693" ht="15.75" customHeight="1">
      <c r="A693" s="157">
        <v>1251.0</v>
      </c>
      <c r="B693" s="158" t="s">
        <v>712</v>
      </c>
      <c r="C693" s="158" t="s">
        <v>87</v>
      </c>
      <c r="D693" s="159">
        <v>43252.0</v>
      </c>
      <c r="E693" s="157" t="s">
        <v>8</v>
      </c>
      <c r="F693" s="160">
        <v>289004.08</v>
      </c>
      <c r="G693" s="160">
        <v>46240.65</v>
      </c>
      <c r="H693" s="160">
        <f t="shared" si="34"/>
        <v>335244.73</v>
      </c>
      <c r="I693" s="160"/>
      <c r="J693" s="161"/>
      <c r="K693" s="160"/>
      <c r="L693" s="160">
        <f>+'FACP$'!$H693-'FACP$'!$I693-'FACP$'!$K693</f>
        <v>335244.73</v>
      </c>
      <c r="M693" s="157" t="s">
        <v>712</v>
      </c>
      <c r="N693" s="162" t="s">
        <v>127</v>
      </c>
      <c r="O693" s="163"/>
      <c r="P693" s="164">
        <f t="shared" si="13"/>
        <v>43262</v>
      </c>
      <c r="Q693" s="165">
        <f t="shared" si="2"/>
        <v>0</v>
      </c>
      <c r="R693" s="166"/>
      <c r="S693" s="167"/>
      <c r="T693" s="168">
        <f t="shared" si="3"/>
        <v>335244.73</v>
      </c>
      <c r="U693" s="168">
        <f t="shared" si="4"/>
        <v>0</v>
      </c>
      <c r="V693" s="168">
        <f t="shared" si="5"/>
        <v>0</v>
      </c>
      <c r="W693" s="168">
        <f t="shared" si="6"/>
        <v>0</v>
      </c>
      <c r="X693" s="168">
        <f t="shared" si="7"/>
        <v>0</v>
      </c>
      <c r="Y693" s="168">
        <f t="shared" si="8"/>
        <v>0</v>
      </c>
      <c r="Z693" s="168">
        <f t="shared" si="9"/>
        <v>0</v>
      </c>
    </row>
    <row r="694" ht="15.75" customHeight="1">
      <c r="A694" s="157">
        <v>1252.0</v>
      </c>
      <c r="B694" s="158" t="s">
        <v>712</v>
      </c>
      <c r="C694" s="158" t="s">
        <v>87</v>
      </c>
      <c r="D694" s="159">
        <v>43266.0</v>
      </c>
      <c r="E694" s="157" t="s">
        <v>8</v>
      </c>
      <c r="F694" s="160">
        <v>296486.58</v>
      </c>
      <c r="G694" s="160">
        <v>47437.85</v>
      </c>
      <c r="H694" s="160">
        <f t="shared" si="34"/>
        <v>343924.43</v>
      </c>
      <c r="I694" s="160"/>
      <c r="J694" s="161"/>
      <c r="K694" s="160"/>
      <c r="L694" s="160">
        <f>+'FACP$'!$H694-'FACP$'!$I694-'FACP$'!$K694</f>
        <v>343924.43</v>
      </c>
      <c r="M694" s="157" t="s">
        <v>712</v>
      </c>
      <c r="N694" s="162" t="s">
        <v>127</v>
      </c>
      <c r="O694" s="163"/>
      <c r="P694" s="164">
        <f t="shared" si="13"/>
        <v>43276</v>
      </c>
      <c r="Q694" s="165">
        <f t="shared" si="2"/>
        <v>0</v>
      </c>
      <c r="R694" s="166"/>
      <c r="S694" s="167"/>
      <c r="T694" s="168">
        <f t="shared" si="3"/>
        <v>343924.43</v>
      </c>
      <c r="U694" s="168">
        <f t="shared" si="4"/>
        <v>0</v>
      </c>
      <c r="V694" s="168">
        <f t="shared" si="5"/>
        <v>0</v>
      </c>
      <c r="W694" s="168">
        <f t="shared" si="6"/>
        <v>0</v>
      </c>
      <c r="X694" s="168">
        <f t="shared" si="7"/>
        <v>0</v>
      </c>
      <c r="Y694" s="168">
        <f t="shared" si="8"/>
        <v>0</v>
      </c>
      <c r="Z694" s="168">
        <f t="shared" si="9"/>
        <v>0</v>
      </c>
    </row>
    <row r="695" ht="15.75" customHeight="1">
      <c r="A695" s="157">
        <v>1253.0</v>
      </c>
      <c r="B695" s="158" t="s">
        <v>849</v>
      </c>
      <c r="C695" s="158" t="s">
        <v>87</v>
      </c>
      <c r="D695" s="159">
        <v>43266.0</v>
      </c>
      <c r="E695" s="157" t="s">
        <v>8</v>
      </c>
      <c r="F695" s="160">
        <v>2074611.04</v>
      </c>
      <c r="G695" s="160">
        <v>331937.77</v>
      </c>
      <c r="H695" s="160">
        <f t="shared" si="34"/>
        <v>2406548.81</v>
      </c>
      <c r="I695" s="160"/>
      <c r="J695" s="161"/>
      <c r="K695" s="160"/>
      <c r="L695" s="160">
        <f>+'FACP$'!$H695-'FACP$'!$I695-'FACP$'!$K695</f>
        <v>2406548.81</v>
      </c>
      <c r="M695" s="157" t="s">
        <v>850</v>
      </c>
      <c r="N695" s="162" t="s">
        <v>127</v>
      </c>
      <c r="O695" s="163"/>
      <c r="P695" s="164">
        <f t="shared" si="13"/>
        <v>43276</v>
      </c>
      <c r="Q695" s="165">
        <f t="shared" si="2"/>
        <v>0</v>
      </c>
      <c r="R695" s="166"/>
      <c r="S695" s="167"/>
      <c r="T695" s="168">
        <f t="shared" si="3"/>
        <v>2406548.81</v>
      </c>
      <c r="U695" s="168">
        <f t="shared" si="4"/>
        <v>0</v>
      </c>
      <c r="V695" s="168">
        <f t="shared" si="5"/>
        <v>0</v>
      </c>
      <c r="W695" s="168">
        <f t="shared" si="6"/>
        <v>0</v>
      </c>
      <c r="X695" s="168">
        <f t="shared" si="7"/>
        <v>0</v>
      </c>
      <c r="Y695" s="168">
        <f t="shared" si="8"/>
        <v>0</v>
      </c>
      <c r="Z695" s="168">
        <f t="shared" si="9"/>
        <v>0</v>
      </c>
    </row>
    <row r="696" ht="15.75" customHeight="1">
      <c r="A696" s="157">
        <v>1254.0</v>
      </c>
      <c r="B696" s="158"/>
      <c r="C696" s="158"/>
      <c r="D696" s="159"/>
      <c r="E696" s="157"/>
      <c r="F696" s="160"/>
      <c r="G696" s="160"/>
      <c r="H696" s="160">
        <f t="shared" si="34"/>
        <v>0</v>
      </c>
      <c r="I696" s="160"/>
      <c r="J696" s="161"/>
      <c r="K696" s="160"/>
      <c r="L696" s="160">
        <f>+'FACP$'!$H696-'FACP$'!$I696-'FACP$'!$K696</f>
        <v>0</v>
      </c>
      <c r="M696" s="157"/>
      <c r="N696" s="162" t="s">
        <v>127</v>
      </c>
      <c r="O696" s="163"/>
      <c r="P696" s="164">
        <f t="shared" si="13"/>
        <v>10</v>
      </c>
      <c r="Q696" s="165">
        <f t="shared" si="2"/>
        <v>0</v>
      </c>
      <c r="R696" s="166"/>
      <c r="S696" s="167"/>
      <c r="T696" s="168">
        <f t="shared" si="3"/>
        <v>0</v>
      </c>
      <c r="U696" s="168">
        <f t="shared" si="4"/>
        <v>0</v>
      </c>
      <c r="V696" s="168">
        <f t="shared" si="5"/>
        <v>0</v>
      </c>
      <c r="W696" s="168">
        <f t="shared" si="6"/>
        <v>0</v>
      </c>
      <c r="X696" s="168">
        <f t="shared" si="7"/>
        <v>0</v>
      </c>
      <c r="Y696" s="168">
        <f t="shared" si="8"/>
        <v>0</v>
      </c>
      <c r="Z696" s="168">
        <f t="shared" si="9"/>
        <v>0</v>
      </c>
    </row>
    <row r="697" ht="15.75" customHeight="1">
      <c r="A697" s="157">
        <v>1255.0</v>
      </c>
      <c r="B697" s="158" t="s">
        <v>712</v>
      </c>
      <c r="C697" s="158" t="s">
        <v>87</v>
      </c>
      <c r="D697" s="159">
        <v>43266.0</v>
      </c>
      <c r="E697" s="157" t="s">
        <v>8</v>
      </c>
      <c r="F697" s="160">
        <v>585490.66</v>
      </c>
      <c r="G697" s="160">
        <v>93678.51</v>
      </c>
      <c r="H697" s="160">
        <f t="shared" si="34"/>
        <v>679169.17</v>
      </c>
      <c r="I697" s="160"/>
      <c r="J697" s="161"/>
      <c r="K697" s="160"/>
      <c r="L697" s="160">
        <f>+'FACP$'!$H697-'FACP$'!$I697-'FACP$'!$K697</f>
        <v>679169.17</v>
      </c>
      <c r="M697" s="157" t="s">
        <v>712</v>
      </c>
      <c r="N697" s="162" t="s">
        <v>554</v>
      </c>
      <c r="O697" s="163">
        <v>43364.0</v>
      </c>
      <c r="P697" s="164">
        <f t="shared" si="13"/>
        <v>43276</v>
      </c>
      <c r="Q697" s="165">
        <f t="shared" si="2"/>
        <v>0</v>
      </c>
      <c r="R697" s="166" t="s">
        <v>853</v>
      </c>
      <c r="S697" s="167"/>
      <c r="T697" s="168">
        <f t="shared" si="3"/>
        <v>679169.17</v>
      </c>
      <c r="U697" s="168">
        <f t="shared" si="4"/>
        <v>0</v>
      </c>
      <c r="V697" s="168">
        <f t="shared" si="5"/>
        <v>0</v>
      </c>
      <c r="W697" s="168">
        <f t="shared" si="6"/>
        <v>0</v>
      </c>
      <c r="X697" s="168">
        <f t="shared" si="7"/>
        <v>0</v>
      </c>
      <c r="Y697" s="168">
        <f t="shared" si="8"/>
        <v>0</v>
      </c>
      <c r="Z697" s="168">
        <f t="shared" si="9"/>
        <v>0</v>
      </c>
    </row>
    <row r="698" ht="15.75" customHeight="1">
      <c r="A698" s="157">
        <v>1256.0</v>
      </c>
      <c r="B698" s="158"/>
      <c r="C698" s="158"/>
      <c r="D698" s="159"/>
      <c r="E698" s="157"/>
      <c r="F698" s="160"/>
      <c r="G698" s="160"/>
      <c r="H698" s="160">
        <f t="shared" si="34"/>
        <v>0</v>
      </c>
      <c r="I698" s="160"/>
      <c r="J698" s="161"/>
      <c r="K698" s="160"/>
      <c r="L698" s="160">
        <f>+'FACP$'!$H698-'FACP$'!$I698-'FACP$'!$K698</f>
        <v>0</v>
      </c>
      <c r="M698" s="157"/>
      <c r="N698" s="162" t="s">
        <v>127</v>
      </c>
      <c r="O698" s="163"/>
      <c r="P698" s="164">
        <f t="shared" si="13"/>
        <v>10</v>
      </c>
      <c r="Q698" s="165">
        <f t="shared" si="2"/>
        <v>0</v>
      </c>
      <c r="R698" s="166"/>
      <c r="S698" s="167"/>
      <c r="T698" s="168">
        <f t="shared" si="3"/>
        <v>0</v>
      </c>
      <c r="U698" s="168">
        <f t="shared" si="4"/>
        <v>0</v>
      </c>
      <c r="V698" s="168">
        <f t="shared" si="5"/>
        <v>0</v>
      </c>
      <c r="W698" s="168">
        <f t="shared" si="6"/>
        <v>0</v>
      </c>
      <c r="X698" s="168">
        <f t="shared" si="7"/>
        <v>0</v>
      </c>
      <c r="Y698" s="168">
        <f t="shared" si="8"/>
        <v>0</v>
      </c>
      <c r="Z698" s="168">
        <f t="shared" si="9"/>
        <v>0</v>
      </c>
    </row>
    <row r="699" ht="15.75" customHeight="1">
      <c r="A699" s="157">
        <v>1257.0</v>
      </c>
      <c r="B699" s="158" t="s">
        <v>712</v>
      </c>
      <c r="C699" s="158" t="s">
        <v>87</v>
      </c>
      <c r="D699" s="159">
        <v>43252.0</v>
      </c>
      <c r="E699" s="157" t="s">
        <v>8</v>
      </c>
      <c r="F699" s="160">
        <v>75582.78</v>
      </c>
      <c r="G699" s="160">
        <v>12093.24</v>
      </c>
      <c r="H699" s="160">
        <f t="shared" si="34"/>
        <v>87676.02</v>
      </c>
      <c r="I699" s="160"/>
      <c r="J699" s="161"/>
      <c r="K699" s="160"/>
      <c r="L699" s="160">
        <f>+'FACP$'!$H699-'FACP$'!$I699-'FACP$'!$K699</f>
        <v>87676.02</v>
      </c>
      <c r="M699" s="157" t="s">
        <v>712</v>
      </c>
      <c r="N699" s="162" t="s">
        <v>127</v>
      </c>
      <c r="O699" s="163" t="s">
        <v>854</v>
      </c>
      <c r="P699" s="164">
        <f t="shared" si="13"/>
        <v>43262</v>
      </c>
      <c r="Q699" s="165">
        <f t="shared" si="2"/>
        <v>0</v>
      </c>
      <c r="R699" s="166"/>
      <c r="S699" s="167"/>
      <c r="T699" s="168">
        <f t="shared" si="3"/>
        <v>87676.02</v>
      </c>
      <c r="U699" s="168">
        <f t="shared" si="4"/>
        <v>0</v>
      </c>
      <c r="V699" s="168">
        <f t="shared" si="5"/>
        <v>0</v>
      </c>
      <c r="W699" s="168">
        <f t="shared" si="6"/>
        <v>0</v>
      </c>
      <c r="X699" s="168">
        <f t="shared" si="7"/>
        <v>0</v>
      </c>
      <c r="Y699" s="168">
        <f t="shared" si="8"/>
        <v>0</v>
      </c>
      <c r="Z699" s="168">
        <f t="shared" si="9"/>
        <v>0</v>
      </c>
    </row>
    <row r="700" ht="15.75" customHeight="1">
      <c r="A700" s="157">
        <v>1258.0</v>
      </c>
      <c r="B700" s="158" t="s">
        <v>722</v>
      </c>
      <c r="C700" s="158" t="s">
        <v>87</v>
      </c>
      <c r="D700" s="159">
        <v>43282.0</v>
      </c>
      <c r="E700" s="157" t="s">
        <v>8</v>
      </c>
      <c r="F700" s="160">
        <v>7064496.0</v>
      </c>
      <c r="G700" s="160">
        <v>1130319.36</v>
      </c>
      <c r="H700" s="160">
        <f t="shared" si="34"/>
        <v>8194815.36</v>
      </c>
      <c r="I700" s="160"/>
      <c r="J700" s="161"/>
      <c r="K700" s="160"/>
      <c r="L700" s="160">
        <f>+'FACP$'!$H700-'FACP$'!$I700-'FACP$'!$K700</f>
        <v>8194815.36</v>
      </c>
      <c r="M700" s="157" t="s">
        <v>93</v>
      </c>
      <c r="N700" s="162" t="s">
        <v>554</v>
      </c>
      <c r="O700" s="163">
        <v>43307.0</v>
      </c>
      <c r="P700" s="164">
        <f t="shared" si="13"/>
        <v>43292</v>
      </c>
      <c r="Q700" s="165">
        <f t="shared" si="2"/>
        <v>0</v>
      </c>
      <c r="R700" s="166"/>
      <c r="S700" s="167"/>
      <c r="T700" s="168">
        <f t="shared" si="3"/>
        <v>8194815.36</v>
      </c>
      <c r="U700" s="168">
        <f t="shared" si="4"/>
        <v>0</v>
      </c>
      <c r="V700" s="168">
        <f t="shared" si="5"/>
        <v>0</v>
      </c>
      <c r="W700" s="168">
        <f t="shared" si="6"/>
        <v>0</v>
      </c>
      <c r="X700" s="168">
        <f t="shared" si="7"/>
        <v>0</v>
      </c>
      <c r="Y700" s="168">
        <f t="shared" si="8"/>
        <v>0</v>
      </c>
      <c r="Z700" s="168">
        <f t="shared" si="9"/>
        <v>0</v>
      </c>
    </row>
    <row r="701" ht="15.75" customHeight="1">
      <c r="A701" s="157">
        <v>1259.0</v>
      </c>
      <c r="B701" s="158" t="s">
        <v>720</v>
      </c>
      <c r="C701" s="158" t="s">
        <v>87</v>
      </c>
      <c r="D701" s="159">
        <v>43282.0</v>
      </c>
      <c r="E701" s="157" t="s">
        <v>8</v>
      </c>
      <c r="F701" s="160">
        <v>724869.91</v>
      </c>
      <c r="G701" s="160">
        <v>115979.19</v>
      </c>
      <c r="H701" s="160">
        <f t="shared" si="34"/>
        <v>840849.1</v>
      </c>
      <c r="I701" s="160"/>
      <c r="J701" s="161"/>
      <c r="K701" s="160"/>
      <c r="L701" s="160">
        <f>+'FACP$'!$H701-'FACP$'!$I701-'FACP$'!$K701</f>
        <v>840849.1</v>
      </c>
      <c r="M701" s="157" t="s">
        <v>777</v>
      </c>
      <c r="N701" s="162" t="s">
        <v>554</v>
      </c>
      <c r="O701" s="163">
        <v>43313.0</v>
      </c>
      <c r="P701" s="164">
        <f t="shared" si="13"/>
        <v>43292</v>
      </c>
      <c r="Q701" s="165">
        <f t="shared" si="2"/>
        <v>0</v>
      </c>
      <c r="R701" s="166"/>
      <c r="S701" s="167"/>
      <c r="T701" s="168">
        <f t="shared" si="3"/>
        <v>840849.1</v>
      </c>
      <c r="U701" s="168">
        <f t="shared" si="4"/>
        <v>0</v>
      </c>
      <c r="V701" s="168">
        <f t="shared" si="5"/>
        <v>0</v>
      </c>
      <c r="W701" s="168">
        <f t="shared" si="6"/>
        <v>0</v>
      </c>
      <c r="X701" s="168">
        <f t="shared" si="7"/>
        <v>0</v>
      </c>
      <c r="Y701" s="168">
        <f t="shared" si="8"/>
        <v>0</v>
      </c>
      <c r="Z701" s="168">
        <f t="shared" si="9"/>
        <v>0</v>
      </c>
    </row>
    <row r="702" ht="15.75" customHeight="1">
      <c r="A702" s="157">
        <v>1261.0</v>
      </c>
      <c r="B702" s="161" t="s">
        <v>29</v>
      </c>
      <c r="C702" s="158" t="s">
        <v>87</v>
      </c>
      <c r="D702" s="159">
        <v>43282.0</v>
      </c>
      <c r="E702" s="157" t="s">
        <v>8</v>
      </c>
      <c r="F702" s="160">
        <v>86659.66</v>
      </c>
      <c r="G702" s="160">
        <v>13865.55</v>
      </c>
      <c r="H702" s="160">
        <f t="shared" si="34"/>
        <v>100525.21</v>
      </c>
      <c r="I702" s="160"/>
      <c r="J702" s="161"/>
      <c r="K702" s="160"/>
      <c r="L702" s="160">
        <f>+'FACP$'!$H702-'FACP$'!$I702-'FACP$'!$K702</f>
        <v>100525.21</v>
      </c>
      <c r="M702" s="157" t="s">
        <v>825</v>
      </c>
      <c r="N702" s="162" t="s">
        <v>554</v>
      </c>
      <c r="O702" s="163">
        <v>43311.0</v>
      </c>
      <c r="P702" s="164">
        <f t="shared" si="13"/>
        <v>43292</v>
      </c>
      <c r="Q702" s="165">
        <f t="shared" si="2"/>
        <v>0</v>
      </c>
      <c r="R702" s="166"/>
      <c r="S702" s="167"/>
      <c r="T702" s="168">
        <f t="shared" si="3"/>
        <v>100525.21</v>
      </c>
      <c r="U702" s="168">
        <f t="shared" si="4"/>
        <v>0</v>
      </c>
      <c r="V702" s="168">
        <f t="shared" si="5"/>
        <v>0</v>
      </c>
      <c r="W702" s="168">
        <f t="shared" si="6"/>
        <v>0</v>
      </c>
      <c r="X702" s="168">
        <f t="shared" si="7"/>
        <v>0</v>
      </c>
      <c r="Y702" s="168">
        <f t="shared" si="8"/>
        <v>0</v>
      </c>
      <c r="Z702" s="168">
        <f t="shared" si="9"/>
        <v>0</v>
      </c>
    </row>
    <row r="703" ht="15.75" customHeight="1">
      <c r="A703" s="157">
        <v>1262.0</v>
      </c>
      <c r="B703" s="161" t="s">
        <v>29</v>
      </c>
      <c r="C703" s="158" t="s">
        <v>87</v>
      </c>
      <c r="D703" s="159">
        <v>43282.0</v>
      </c>
      <c r="E703" s="157" t="s">
        <v>8</v>
      </c>
      <c r="F703" s="160">
        <v>4341.4</v>
      </c>
      <c r="G703" s="160">
        <v>694.62</v>
      </c>
      <c r="H703" s="160">
        <f t="shared" si="34"/>
        <v>5036.02</v>
      </c>
      <c r="I703" s="160"/>
      <c r="J703" s="161"/>
      <c r="K703" s="160"/>
      <c r="L703" s="160">
        <f>+'FACP$'!$H703-'FACP$'!$I703-'FACP$'!$K703</f>
        <v>5036.02</v>
      </c>
      <c r="M703" s="157" t="s">
        <v>825</v>
      </c>
      <c r="N703" s="162" t="s">
        <v>554</v>
      </c>
      <c r="O703" s="163">
        <v>43319.0</v>
      </c>
      <c r="P703" s="164">
        <f t="shared" si="13"/>
        <v>43292</v>
      </c>
      <c r="Q703" s="165">
        <f t="shared" si="2"/>
        <v>0</v>
      </c>
      <c r="R703" s="166"/>
      <c r="S703" s="167"/>
      <c r="T703" s="168">
        <f t="shared" si="3"/>
        <v>5036.02</v>
      </c>
      <c r="U703" s="168">
        <f t="shared" si="4"/>
        <v>0</v>
      </c>
      <c r="V703" s="168">
        <f t="shared" si="5"/>
        <v>0</v>
      </c>
      <c r="W703" s="168">
        <f t="shared" si="6"/>
        <v>0</v>
      </c>
      <c r="X703" s="168">
        <f t="shared" si="7"/>
        <v>0</v>
      </c>
      <c r="Y703" s="168">
        <f t="shared" si="8"/>
        <v>0</v>
      </c>
      <c r="Z703" s="168">
        <f t="shared" si="9"/>
        <v>0</v>
      </c>
    </row>
    <row r="704" ht="15.75" customHeight="1">
      <c r="A704" s="157">
        <v>1263.0</v>
      </c>
      <c r="B704" s="158" t="s">
        <v>712</v>
      </c>
      <c r="C704" s="158" t="s">
        <v>87</v>
      </c>
      <c r="D704" s="159">
        <v>43252.0</v>
      </c>
      <c r="E704" s="157" t="s">
        <v>8</v>
      </c>
      <c r="F704" s="160">
        <v>422191.42</v>
      </c>
      <c r="G704" s="160">
        <v>67550.63</v>
      </c>
      <c r="H704" s="160">
        <f t="shared" si="34"/>
        <v>489742.05</v>
      </c>
      <c r="I704" s="160"/>
      <c r="J704" s="161"/>
      <c r="K704" s="160"/>
      <c r="L704" s="160">
        <f>+'FACP$'!$H704-'FACP$'!$I704-'FACP$'!$K704</f>
        <v>489742.05</v>
      </c>
      <c r="M704" s="157" t="s">
        <v>712</v>
      </c>
      <c r="N704" s="162" t="s">
        <v>127</v>
      </c>
      <c r="O704" s="163"/>
      <c r="P704" s="164">
        <f t="shared" si="13"/>
        <v>43262</v>
      </c>
      <c r="Q704" s="165">
        <f t="shared" si="2"/>
        <v>0</v>
      </c>
      <c r="R704" s="166"/>
      <c r="S704" s="167"/>
      <c r="T704" s="168">
        <f t="shared" si="3"/>
        <v>489742.05</v>
      </c>
      <c r="U704" s="168">
        <f t="shared" si="4"/>
        <v>0</v>
      </c>
      <c r="V704" s="168">
        <f t="shared" si="5"/>
        <v>0</v>
      </c>
      <c r="W704" s="168">
        <f t="shared" si="6"/>
        <v>0</v>
      </c>
      <c r="X704" s="168">
        <f t="shared" si="7"/>
        <v>0</v>
      </c>
      <c r="Y704" s="168">
        <f t="shared" si="8"/>
        <v>0</v>
      </c>
      <c r="Z704" s="168">
        <f t="shared" si="9"/>
        <v>0</v>
      </c>
    </row>
    <row r="705" ht="15.75" customHeight="1">
      <c r="A705" s="157">
        <v>1264.0</v>
      </c>
      <c r="B705" s="158" t="s">
        <v>849</v>
      </c>
      <c r="C705" s="158" t="s">
        <v>87</v>
      </c>
      <c r="D705" s="159">
        <v>43252.0</v>
      </c>
      <c r="E705" s="157" t="s">
        <v>8</v>
      </c>
      <c r="F705" s="160">
        <v>1758347.08</v>
      </c>
      <c r="G705" s="160">
        <v>281335.53</v>
      </c>
      <c r="H705" s="160">
        <f t="shared" si="34"/>
        <v>2039682.61</v>
      </c>
      <c r="I705" s="160"/>
      <c r="J705" s="161"/>
      <c r="K705" s="160"/>
      <c r="L705" s="160">
        <f>+'FACP$'!$H705-'FACP$'!$I705-'FACP$'!$K705</f>
        <v>2039682.61</v>
      </c>
      <c r="M705" s="157" t="s">
        <v>850</v>
      </c>
      <c r="N705" s="162" t="s">
        <v>127</v>
      </c>
      <c r="O705" s="163"/>
      <c r="P705" s="164">
        <f t="shared" si="13"/>
        <v>43262</v>
      </c>
      <c r="Q705" s="165">
        <f t="shared" si="2"/>
        <v>0</v>
      </c>
      <c r="R705" s="166"/>
      <c r="S705" s="167"/>
      <c r="T705" s="168">
        <f t="shared" si="3"/>
        <v>2039682.61</v>
      </c>
      <c r="U705" s="168">
        <f t="shared" si="4"/>
        <v>0</v>
      </c>
      <c r="V705" s="168">
        <f t="shared" si="5"/>
        <v>0</v>
      </c>
      <c r="W705" s="168">
        <f t="shared" si="6"/>
        <v>0</v>
      </c>
      <c r="X705" s="168">
        <f t="shared" si="7"/>
        <v>0</v>
      </c>
      <c r="Y705" s="168">
        <f t="shared" si="8"/>
        <v>0</v>
      </c>
      <c r="Z705" s="168">
        <f t="shared" si="9"/>
        <v>0</v>
      </c>
    </row>
    <row r="706" ht="15.75" customHeight="1">
      <c r="A706" s="157">
        <v>1265.0</v>
      </c>
      <c r="B706" s="158" t="s">
        <v>37</v>
      </c>
      <c r="C706" s="158" t="s">
        <v>87</v>
      </c>
      <c r="D706" s="159">
        <v>43282.0</v>
      </c>
      <c r="E706" s="157" t="s">
        <v>8</v>
      </c>
      <c r="F706" s="160">
        <v>1752447.04</v>
      </c>
      <c r="G706" s="160">
        <v>280391.53</v>
      </c>
      <c r="H706" s="160">
        <f t="shared" si="34"/>
        <v>2032838.57</v>
      </c>
      <c r="I706" s="160"/>
      <c r="J706" s="161"/>
      <c r="K706" s="160"/>
      <c r="L706" s="160">
        <f>+'FACP$'!$H706-'FACP$'!$I706-'FACP$'!$K706</f>
        <v>2032838.57</v>
      </c>
      <c r="M706" s="157" t="s">
        <v>718</v>
      </c>
      <c r="N706" s="162" t="s">
        <v>554</v>
      </c>
      <c r="O706" s="163">
        <v>43312.0</v>
      </c>
      <c r="P706" s="164">
        <f t="shared" si="13"/>
        <v>43292</v>
      </c>
      <c r="Q706" s="165">
        <f t="shared" si="2"/>
        <v>0</v>
      </c>
      <c r="R706" s="166"/>
      <c r="S706" s="167"/>
      <c r="T706" s="168">
        <f t="shared" si="3"/>
        <v>2032838.57</v>
      </c>
      <c r="U706" s="168">
        <f t="shared" si="4"/>
        <v>0</v>
      </c>
      <c r="V706" s="168">
        <f t="shared" si="5"/>
        <v>0</v>
      </c>
      <c r="W706" s="168">
        <f t="shared" si="6"/>
        <v>0</v>
      </c>
      <c r="X706" s="168">
        <f t="shared" si="7"/>
        <v>0</v>
      </c>
      <c r="Y706" s="168">
        <f t="shared" si="8"/>
        <v>0</v>
      </c>
      <c r="Z706" s="168">
        <f t="shared" si="9"/>
        <v>0</v>
      </c>
    </row>
    <row r="707" ht="15.75" customHeight="1">
      <c r="A707" s="157">
        <v>1267.0</v>
      </c>
      <c r="B707" s="158" t="s">
        <v>24</v>
      </c>
      <c r="C707" s="158" t="s">
        <v>87</v>
      </c>
      <c r="D707" s="159">
        <v>43282.0</v>
      </c>
      <c r="E707" s="157" t="s">
        <v>8</v>
      </c>
      <c r="F707" s="160">
        <v>129832.4</v>
      </c>
      <c r="G707" s="160">
        <v>20773.18</v>
      </c>
      <c r="H707" s="160">
        <f t="shared" si="34"/>
        <v>150605.58</v>
      </c>
      <c r="I707" s="160"/>
      <c r="J707" s="161"/>
      <c r="K707" s="160"/>
      <c r="L707" s="160">
        <f>+'FACP$'!$H707-'FACP$'!$I707-'FACP$'!$K707</f>
        <v>150605.58</v>
      </c>
      <c r="M707" s="157" t="s">
        <v>91</v>
      </c>
      <c r="N707" s="162" t="s">
        <v>554</v>
      </c>
      <c r="O707" s="163">
        <v>43335.0</v>
      </c>
      <c r="P707" s="164">
        <f t="shared" si="13"/>
        <v>43292</v>
      </c>
      <c r="Q707" s="165">
        <f t="shared" si="2"/>
        <v>0</v>
      </c>
      <c r="R707" s="166"/>
      <c r="S707" s="167"/>
      <c r="T707" s="168">
        <f t="shared" si="3"/>
        <v>150605.58</v>
      </c>
      <c r="U707" s="168">
        <f t="shared" si="4"/>
        <v>0</v>
      </c>
      <c r="V707" s="168">
        <f t="shared" si="5"/>
        <v>0</v>
      </c>
      <c r="W707" s="168">
        <f t="shared" si="6"/>
        <v>0</v>
      </c>
      <c r="X707" s="168">
        <f t="shared" si="7"/>
        <v>0</v>
      </c>
      <c r="Y707" s="168">
        <f t="shared" si="8"/>
        <v>0</v>
      </c>
      <c r="Z707" s="168">
        <f t="shared" si="9"/>
        <v>0</v>
      </c>
    </row>
    <row r="708" ht="15.75" customHeight="1">
      <c r="A708" s="157">
        <v>1269.0</v>
      </c>
      <c r="B708" s="158" t="s">
        <v>101</v>
      </c>
      <c r="C708" s="158" t="s">
        <v>87</v>
      </c>
      <c r="D708" s="159">
        <v>43282.0</v>
      </c>
      <c r="E708" s="157" t="s">
        <v>8</v>
      </c>
      <c r="F708" s="160">
        <v>107924.49</v>
      </c>
      <c r="G708" s="160">
        <v>17267.92</v>
      </c>
      <c r="H708" s="160">
        <f t="shared" si="34"/>
        <v>125192.41</v>
      </c>
      <c r="I708" s="160"/>
      <c r="J708" s="161"/>
      <c r="K708" s="160"/>
      <c r="L708" s="160">
        <f>+'FACP$'!$H708-'FACP$'!$I708-'FACP$'!$K708</f>
        <v>125192.41</v>
      </c>
      <c r="M708" s="157" t="s">
        <v>101</v>
      </c>
      <c r="N708" s="162" t="s">
        <v>554</v>
      </c>
      <c r="O708" s="163">
        <v>43312.0</v>
      </c>
      <c r="P708" s="164">
        <f t="shared" si="13"/>
        <v>43292</v>
      </c>
      <c r="Q708" s="165">
        <f t="shared" si="2"/>
        <v>0</v>
      </c>
      <c r="R708" s="166"/>
      <c r="S708" s="167"/>
      <c r="T708" s="168">
        <f t="shared" si="3"/>
        <v>125192.41</v>
      </c>
      <c r="U708" s="168">
        <f t="shared" si="4"/>
        <v>0</v>
      </c>
      <c r="V708" s="168">
        <f t="shared" si="5"/>
        <v>0</v>
      </c>
      <c r="W708" s="168">
        <f t="shared" si="6"/>
        <v>0</v>
      </c>
      <c r="X708" s="168">
        <f t="shared" si="7"/>
        <v>0</v>
      </c>
      <c r="Y708" s="168">
        <f t="shared" si="8"/>
        <v>0</v>
      </c>
      <c r="Z708" s="168">
        <f t="shared" si="9"/>
        <v>0</v>
      </c>
    </row>
    <row r="709" ht="15.75" customHeight="1">
      <c r="A709" s="157">
        <v>1271.0</v>
      </c>
      <c r="B709" s="158" t="s">
        <v>101</v>
      </c>
      <c r="C709" s="158" t="s">
        <v>87</v>
      </c>
      <c r="D709" s="159">
        <v>43282.0</v>
      </c>
      <c r="E709" s="157" t="s">
        <v>8</v>
      </c>
      <c r="F709" s="160">
        <v>132257.83</v>
      </c>
      <c r="G709" s="160">
        <v>21161.25</v>
      </c>
      <c r="H709" s="160">
        <f t="shared" si="34"/>
        <v>153419.08</v>
      </c>
      <c r="I709" s="160"/>
      <c r="J709" s="161"/>
      <c r="K709" s="160"/>
      <c r="L709" s="160">
        <f>+'FACP$'!$H709-'FACP$'!$I709-'FACP$'!$K709</f>
        <v>153419.08</v>
      </c>
      <c r="M709" s="157" t="s">
        <v>101</v>
      </c>
      <c r="N709" s="162" t="s">
        <v>554</v>
      </c>
      <c r="O709" s="163">
        <v>43312.0</v>
      </c>
      <c r="P709" s="164">
        <f t="shared" si="13"/>
        <v>43292</v>
      </c>
      <c r="Q709" s="165">
        <f t="shared" si="2"/>
        <v>0</v>
      </c>
      <c r="R709" s="166"/>
      <c r="S709" s="167"/>
      <c r="T709" s="168">
        <f t="shared" si="3"/>
        <v>153419.08</v>
      </c>
      <c r="U709" s="168">
        <f t="shared" si="4"/>
        <v>0</v>
      </c>
      <c r="V709" s="168">
        <f t="shared" si="5"/>
        <v>0</v>
      </c>
      <c r="W709" s="168">
        <f t="shared" si="6"/>
        <v>0</v>
      </c>
      <c r="X709" s="168">
        <f t="shared" si="7"/>
        <v>0</v>
      </c>
      <c r="Y709" s="168">
        <f t="shared" si="8"/>
        <v>0</v>
      </c>
      <c r="Z709" s="168">
        <f t="shared" si="9"/>
        <v>0</v>
      </c>
    </row>
    <row r="710" ht="15.75" customHeight="1">
      <c r="A710" s="157">
        <v>1273.0</v>
      </c>
      <c r="B710" s="158" t="s">
        <v>712</v>
      </c>
      <c r="C710" s="158" t="s">
        <v>87</v>
      </c>
      <c r="D710" s="159">
        <v>43282.0</v>
      </c>
      <c r="E710" s="157" t="s">
        <v>8</v>
      </c>
      <c r="F710" s="160">
        <v>422191.42</v>
      </c>
      <c r="G710" s="160">
        <v>67550.63</v>
      </c>
      <c r="H710" s="160">
        <f t="shared" si="34"/>
        <v>489742.05</v>
      </c>
      <c r="I710" s="160"/>
      <c r="J710" s="161"/>
      <c r="K710" s="160"/>
      <c r="L710" s="160">
        <f>+'FACP$'!$H710-'FACP$'!$I710-'FACP$'!$K710</f>
        <v>489742.05</v>
      </c>
      <c r="M710" s="157" t="s">
        <v>712</v>
      </c>
      <c r="N710" s="162" t="s">
        <v>554</v>
      </c>
      <c r="O710" s="163">
        <v>43348.0</v>
      </c>
      <c r="P710" s="164">
        <f t="shared" si="13"/>
        <v>43292</v>
      </c>
      <c r="Q710" s="165">
        <f t="shared" si="2"/>
        <v>0</v>
      </c>
      <c r="R710" s="166"/>
      <c r="S710" s="167"/>
      <c r="T710" s="168">
        <f t="shared" si="3"/>
        <v>489742.05</v>
      </c>
      <c r="U710" s="168">
        <f t="shared" si="4"/>
        <v>0</v>
      </c>
      <c r="V710" s="168">
        <f t="shared" si="5"/>
        <v>0</v>
      </c>
      <c r="W710" s="168">
        <f t="shared" si="6"/>
        <v>0</v>
      </c>
      <c r="X710" s="168">
        <f t="shared" si="7"/>
        <v>0</v>
      </c>
      <c r="Y710" s="168">
        <f t="shared" si="8"/>
        <v>0</v>
      </c>
      <c r="Z710" s="168">
        <f t="shared" si="9"/>
        <v>0</v>
      </c>
    </row>
    <row r="711" ht="15.75" customHeight="1">
      <c r="A711" s="157">
        <v>1274.0</v>
      </c>
      <c r="B711" s="158" t="s">
        <v>849</v>
      </c>
      <c r="C711" s="158" t="s">
        <v>87</v>
      </c>
      <c r="D711" s="159">
        <v>43282.0</v>
      </c>
      <c r="E711" s="157" t="s">
        <v>8</v>
      </c>
      <c r="F711" s="160">
        <v>1758347.08</v>
      </c>
      <c r="G711" s="160">
        <v>281335.53</v>
      </c>
      <c r="H711" s="160">
        <f t="shared" si="34"/>
        <v>2039682.61</v>
      </c>
      <c r="I711" s="160"/>
      <c r="J711" s="161"/>
      <c r="K711" s="160"/>
      <c r="L711" s="160">
        <f>+'FACP$'!$H711-'FACP$'!$I711-'FACP$'!$K711</f>
        <v>2039682.61</v>
      </c>
      <c r="M711" s="157" t="s">
        <v>850</v>
      </c>
      <c r="N711" s="162" t="s">
        <v>554</v>
      </c>
      <c r="O711" s="163">
        <v>43322.0</v>
      </c>
      <c r="P711" s="164">
        <f t="shared" si="13"/>
        <v>43292</v>
      </c>
      <c r="Q711" s="165">
        <f t="shared" si="2"/>
        <v>0</v>
      </c>
      <c r="R711" s="166"/>
      <c r="S711" s="167"/>
      <c r="T711" s="168">
        <f t="shared" si="3"/>
        <v>2039682.61</v>
      </c>
      <c r="U711" s="168">
        <f t="shared" si="4"/>
        <v>0</v>
      </c>
      <c r="V711" s="168">
        <f t="shared" si="5"/>
        <v>0</v>
      </c>
      <c r="W711" s="168">
        <f t="shared" si="6"/>
        <v>0</v>
      </c>
      <c r="X711" s="168">
        <f t="shared" si="7"/>
        <v>0</v>
      </c>
      <c r="Y711" s="168">
        <f t="shared" si="8"/>
        <v>0</v>
      </c>
      <c r="Z711" s="168">
        <f t="shared" si="9"/>
        <v>0</v>
      </c>
    </row>
    <row r="712" ht="15.75" customHeight="1">
      <c r="A712" s="157">
        <v>1275.0</v>
      </c>
      <c r="B712" s="158" t="s">
        <v>728</v>
      </c>
      <c r="C712" s="158" t="s">
        <v>855</v>
      </c>
      <c r="D712" s="159">
        <v>43305.0</v>
      </c>
      <c r="E712" s="157" t="s">
        <v>8</v>
      </c>
      <c r="F712" s="160">
        <v>459000.0</v>
      </c>
      <c r="G712" s="160">
        <v>73440.0</v>
      </c>
      <c r="H712" s="160">
        <f t="shared" si="34"/>
        <v>532440</v>
      </c>
      <c r="I712" s="160"/>
      <c r="J712" s="161"/>
      <c r="K712" s="160"/>
      <c r="L712" s="160">
        <f>+'FACP$'!$H712-'FACP$'!$I712-'FACP$'!$K712</f>
        <v>532440</v>
      </c>
      <c r="M712" s="157" t="s">
        <v>728</v>
      </c>
      <c r="N712" s="162" t="s">
        <v>554</v>
      </c>
      <c r="O712" s="163">
        <v>43314.0</v>
      </c>
      <c r="P712" s="164">
        <f t="shared" si="13"/>
        <v>43315</v>
      </c>
      <c r="Q712" s="165">
        <f t="shared" si="2"/>
        <v>0</v>
      </c>
      <c r="R712" s="166"/>
      <c r="S712" s="167"/>
      <c r="T712" s="168">
        <f t="shared" si="3"/>
        <v>532440</v>
      </c>
      <c r="U712" s="168">
        <f t="shared" si="4"/>
        <v>0</v>
      </c>
      <c r="V712" s="168">
        <f t="shared" si="5"/>
        <v>0</v>
      </c>
      <c r="W712" s="168">
        <f t="shared" si="6"/>
        <v>0</v>
      </c>
      <c r="X712" s="168">
        <f t="shared" si="7"/>
        <v>0</v>
      </c>
      <c r="Y712" s="168">
        <f t="shared" si="8"/>
        <v>0</v>
      </c>
      <c r="Z712" s="168">
        <f t="shared" si="9"/>
        <v>0</v>
      </c>
    </row>
    <row r="713" ht="15.75" customHeight="1">
      <c r="A713" s="157">
        <v>1276.0</v>
      </c>
      <c r="B713" s="158" t="s">
        <v>856</v>
      </c>
      <c r="C713" s="158" t="s">
        <v>857</v>
      </c>
      <c r="D713" s="159">
        <v>43306.0</v>
      </c>
      <c r="E713" s="157" t="s">
        <v>8</v>
      </c>
      <c r="F713" s="160">
        <v>2000.0</v>
      </c>
      <c r="G713" s="160">
        <v>320.0</v>
      </c>
      <c r="H713" s="160">
        <f t="shared" si="34"/>
        <v>2320</v>
      </c>
      <c r="I713" s="160"/>
      <c r="J713" s="161"/>
      <c r="K713" s="160"/>
      <c r="L713" s="160">
        <f>+'FACP$'!$H713-'FACP$'!$I713-'FACP$'!$K713</f>
        <v>2320</v>
      </c>
      <c r="M713" s="157" t="s">
        <v>858</v>
      </c>
      <c r="N713" s="162" t="s">
        <v>554</v>
      </c>
      <c r="O713" s="163">
        <v>43332.0</v>
      </c>
      <c r="P713" s="164">
        <f t="shared" si="13"/>
        <v>43316</v>
      </c>
      <c r="Q713" s="165">
        <f t="shared" si="2"/>
        <v>0</v>
      </c>
      <c r="R713" s="166"/>
      <c r="S713" s="167"/>
      <c r="T713" s="168">
        <f t="shared" si="3"/>
        <v>2320</v>
      </c>
      <c r="U713" s="168">
        <f t="shared" si="4"/>
        <v>0</v>
      </c>
      <c r="V713" s="168">
        <f t="shared" si="5"/>
        <v>0</v>
      </c>
      <c r="W713" s="168">
        <f t="shared" si="6"/>
        <v>0</v>
      </c>
      <c r="X713" s="168">
        <f t="shared" si="7"/>
        <v>0</v>
      </c>
      <c r="Y713" s="168">
        <f t="shared" si="8"/>
        <v>0</v>
      </c>
      <c r="Z713" s="168">
        <f t="shared" si="9"/>
        <v>0</v>
      </c>
    </row>
    <row r="714" ht="15.75" customHeight="1">
      <c r="A714" s="157">
        <v>1277.0</v>
      </c>
      <c r="B714" s="158" t="s">
        <v>37</v>
      </c>
      <c r="C714" s="158" t="s">
        <v>87</v>
      </c>
      <c r="D714" s="159">
        <v>43174.0</v>
      </c>
      <c r="E714" s="157" t="s">
        <v>8</v>
      </c>
      <c r="F714" s="160">
        <v>1819654.2</v>
      </c>
      <c r="G714" s="160">
        <v>291144.67</v>
      </c>
      <c r="H714" s="160">
        <f t="shared" si="34"/>
        <v>2110798.87</v>
      </c>
      <c r="I714" s="160"/>
      <c r="J714" s="161"/>
      <c r="K714" s="160"/>
      <c r="L714" s="160">
        <f>+'FACP$'!$H714-'FACP$'!$I714-'FACP$'!$K714</f>
        <v>2110798.87</v>
      </c>
      <c r="M714" s="157" t="s">
        <v>718</v>
      </c>
      <c r="N714" s="162" t="s">
        <v>554</v>
      </c>
      <c r="O714" s="163">
        <v>43319.0</v>
      </c>
      <c r="P714" s="164">
        <f t="shared" si="13"/>
        <v>43184</v>
      </c>
      <c r="Q714" s="165">
        <f t="shared" si="2"/>
        <v>0</v>
      </c>
      <c r="R714" s="166"/>
      <c r="S714" s="167"/>
      <c r="T714" s="168">
        <f t="shared" si="3"/>
        <v>2110798.87</v>
      </c>
      <c r="U714" s="168">
        <f t="shared" si="4"/>
        <v>0</v>
      </c>
      <c r="V714" s="168">
        <f t="shared" si="5"/>
        <v>0</v>
      </c>
      <c r="W714" s="168">
        <f t="shared" si="6"/>
        <v>0</v>
      </c>
      <c r="X714" s="168">
        <f t="shared" si="7"/>
        <v>0</v>
      </c>
      <c r="Y714" s="168">
        <f t="shared" si="8"/>
        <v>0</v>
      </c>
      <c r="Z714" s="168">
        <f t="shared" si="9"/>
        <v>0</v>
      </c>
    </row>
    <row r="715" ht="15.75" customHeight="1">
      <c r="A715" s="157">
        <v>1290.0</v>
      </c>
      <c r="B715" s="158" t="s">
        <v>722</v>
      </c>
      <c r="C715" s="158" t="s">
        <v>87</v>
      </c>
      <c r="D715" s="159">
        <v>43296.0</v>
      </c>
      <c r="E715" s="157" t="s">
        <v>8</v>
      </c>
      <c r="F715" s="160">
        <v>8371947.54</v>
      </c>
      <c r="G715" s="160">
        <v>1339511.61</v>
      </c>
      <c r="H715" s="160">
        <f t="shared" si="34"/>
        <v>9711459.15</v>
      </c>
      <c r="I715" s="160"/>
      <c r="J715" s="161"/>
      <c r="K715" s="160"/>
      <c r="L715" s="160">
        <f>+'FACP$'!$H715-'FACP$'!$I715-'FACP$'!$K715</f>
        <v>9711459.15</v>
      </c>
      <c r="M715" s="157" t="s">
        <v>93</v>
      </c>
      <c r="N715" s="162" t="s">
        <v>554</v>
      </c>
      <c r="O715" s="163">
        <v>43321.0</v>
      </c>
      <c r="P715" s="164">
        <f t="shared" si="13"/>
        <v>43306</v>
      </c>
      <c r="Q715" s="165">
        <f t="shared" si="2"/>
        <v>0</v>
      </c>
      <c r="R715" s="166"/>
      <c r="S715" s="167"/>
      <c r="T715" s="168">
        <f t="shared" si="3"/>
        <v>9711459.15</v>
      </c>
      <c r="U715" s="168">
        <f t="shared" si="4"/>
        <v>0</v>
      </c>
      <c r="V715" s="168">
        <f t="shared" si="5"/>
        <v>0</v>
      </c>
      <c r="W715" s="168">
        <f t="shared" si="6"/>
        <v>0</v>
      </c>
      <c r="X715" s="168">
        <f t="shared" si="7"/>
        <v>0</v>
      </c>
      <c r="Y715" s="168">
        <f t="shared" si="8"/>
        <v>0</v>
      </c>
      <c r="Z715" s="168">
        <f t="shared" si="9"/>
        <v>0</v>
      </c>
    </row>
    <row r="716" ht="15.75" customHeight="1">
      <c r="A716" s="157">
        <v>1291.0</v>
      </c>
      <c r="B716" s="158" t="s">
        <v>720</v>
      </c>
      <c r="C716" s="158" t="s">
        <v>87</v>
      </c>
      <c r="D716" s="159">
        <v>43296.0</v>
      </c>
      <c r="E716" s="157" t="s">
        <v>8</v>
      </c>
      <c r="F716" s="160">
        <v>905524.98</v>
      </c>
      <c r="G716" s="160">
        <v>144884.0</v>
      </c>
      <c r="H716" s="160">
        <f t="shared" si="34"/>
        <v>1050408.98</v>
      </c>
      <c r="I716" s="160"/>
      <c r="J716" s="161"/>
      <c r="K716" s="160"/>
      <c r="L716" s="160">
        <f>+'FACP$'!$H716-'FACP$'!$I716-'FACP$'!$K716</f>
        <v>1050408.98</v>
      </c>
      <c r="M716" s="157" t="s">
        <v>777</v>
      </c>
      <c r="N716" s="162" t="s">
        <v>554</v>
      </c>
      <c r="O716" s="163">
        <v>43320.0</v>
      </c>
      <c r="P716" s="164">
        <f t="shared" si="13"/>
        <v>43306</v>
      </c>
      <c r="Q716" s="165">
        <f t="shared" si="2"/>
        <v>0</v>
      </c>
      <c r="R716" s="166"/>
      <c r="S716" s="167"/>
      <c r="T716" s="168">
        <f t="shared" si="3"/>
        <v>1050408.98</v>
      </c>
      <c r="U716" s="168">
        <f t="shared" si="4"/>
        <v>0</v>
      </c>
      <c r="V716" s="168">
        <f t="shared" si="5"/>
        <v>0</v>
      </c>
      <c r="W716" s="168">
        <f t="shared" si="6"/>
        <v>0</v>
      </c>
      <c r="X716" s="168">
        <f t="shared" si="7"/>
        <v>0</v>
      </c>
      <c r="Y716" s="168">
        <f t="shared" si="8"/>
        <v>0</v>
      </c>
      <c r="Z716" s="168">
        <f t="shared" si="9"/>
        <v>0</v>
      </c>
    </row>
    <row r="717" ht="15.75" customHeight="1">
      <c r="A717" s="157">
        <v>1293.0</v>
      </c>
      <c r="B717" s="158" t="s">
        <v>24</v>
      </c>
      <c r="C717" s="158" t="s">
        <v>87</v>
      </c>
      <c r="D717" s="159">
        <v>43296.0</v>
      </c>
      <c r="E717" s="157" t="s">
        <v>8</v>
      </c>
      <c r="F717" s="160">
        <v>129931.58</v>
      </c>
      <c r="G717" s="160">
        <v>20789.05</v>
      </c>
      <c r="H717" s="160">
        <f t="shared" si="34"/>
        <v>150720.63</v>
      </c>
      <c r="I717" s="160"/>
      <c r="J717" s="161"/>
      <c r="K717" s="160"/>
      <c r="L717" s="160">
        <f>+'FACP$'!$H717-'FACP$'!$I717-'FACP$'!$K717</f>
        <v>150720.63</v>
      </c>
      <c r="M717" s="157" t="s">
        <v>91</v>
      </c>
      <c r="N717" s="162" t="s">
        <v>554</v>
      </c>
      <c r="O717" s="163">
        <v>43335.0</v>
      </c>
      <c r="P717" s="164">
        <f t="shared" si="13"/>
        <v>43306</v>
      </c>
      <c r="Q717" s="165">
        <f t="shared" si="2"/>
        <v>0</v>
      </c>
      <c r="R717" s="166"/>
      <c r="S717" s="167"/>
      <c r="T717" s="168">
        <f t="shared" si="3"/>
        <v>150720.63</v>
      </c>
      <c r="U717" s="168">
        <f t="shared" si="4"/>
        <v>0</v>
      </c>
      <c r="V717" s="168">
        <f t="shared" si="5"/>
        <v>0</v>
      </c>
      <c r="W717" s="168">
        <f t="shared" si="6"/>
        <v>0</v>
      </c>
      <c r="X717" s="168">
        <f t="shared" si="7"/>
        <v>0</v>
      </c>
      <c r="Y717" s="168">
        <f t="shared" si="8"/>
        <v>0</v>
      </c>
      <c r="Z717" s="168">
        <f t="shared" si="9"/>
        <v>0</v>
      </c>
    </row>
    <row r="718" ht="15.75" customHeight="1">
      <c r="A718" s="157">
        <v>1295.0</v>
      </c>
      <c r="B718" s="161" t="s">
        <v>29</v>
      </c>
      <c r="C718" s="158" t="s">
        <v>87</v>
      </c>
      <c r="D718" s="159">
        <v>43282.0</v>
      </c>
      <c r="E718" s="157" t="s">
        <v>8</v>
      </c>
      <c r="F718" s="160">
        <v>138498.96</v>
      </c>
      <c r="G718" s="160">
        <v>22159.83</v>
      </c>
      <c r="H718" s="160">
        <f t="shared" si="34"/>
        <v>160658.79</v>
      </c>
      <c r="I718" s="160"/>
      <c r="J718" s="161"/>
      <c r="K718" s="160"/>
      <c r="L718" s="160">
        <f>+'FACP$'!$H718-'FACP$'!$I718-'FACP$'!$K718</f>
        <v>160658.79</v>
      </c>
      <c r="M718" s="157" t="s">
        <v>825</v>
      </c>
      <c r="N718" s="162" t="s">
        <v>554</v>
      </c>
      <c r="O718" s="163">
        <v>43325.0</v>
      </c>
      <c r="P718" s="164">
        <f t="shared" si="13"/>
        <v>43292</v>
      </c>
      <c r="Q718" s="165">
        <f t="shared" si="2"/>
        <v>0</v>
      </c>
      <c r="R718" s="166"/>
      <c r="S718" s="167"/>
      <c r="T718" s="168">
        <f t="shared" si="3"/>
        <v>160658.79</v>
      </c>
      <c r="U718" s="168">
        <f t="shared" si="4"/>
        <v>0</v>
      </c>
      <c r="V718" s="168">
        <f t="shared" si="5"/>
        <v>0</v>
      </c>
      <c r="W718" s="168">
        <f t="shared" si="6"/>
        <v>0</v>
      </c>
      <c r="X718" s="168">
        <f t="shared" si="7"/>
        <v>0</v>
      </c>
      <c r="Y718" s="168">
        <f t="shared" si="8"/>
        <v>0</v>
      </c>
      <c r="Z718" s="168">
        <f t="shared" si="9"/>
        <v>0</v>
      </c>
    </row>
    <row r="719" ht="15.75" customHeight="1">
      <c r="A719" s="157">
        <v>1301.0</v>
      </c>
      <c r="B719" s="158" t="s">
        <v>24</v>
      </c>
      <c r="C719" s="158" t="s">
        <v>87</v>
      </c>
      <c r="D719" s="159">
        <v>43296.0</v>
      </c>
      <c r="E719" s="157" t="s">
        <v>8</v>
      </c>
      <c r="F719" s="160">
        <v>5966.62</v>
      </c>
      <c r="G719" s="160">
        <v>954.66</v>
      </c>
      <c r="H719" s="160">
        <f t="shared" si="34"/>
        <v>6921.28</v>
      </c>
      <c r="I719" s="160"/>
      <c r="J719" s="161"/>
      <c r="K719" s="160"/>
      <c r="L719" s="160">
        <f>+'FACP$'!$H719-'FACP$'!$I719-'FACP$'!$K719</f>
        <v>6921.28</v>
      </c>
      <c r="M719" s="157" t="s">
        <v>91</v>
      </c>
      <c r="N719" s="162" t="s">
        <v>127</v>
      </c>
      <c r="O719" s="163"/>
      <c r="P719" s="164">
        <f t="shared" si="13"/>
        <v>43306</v>
      </c>
      <c r="Q719" s="165">
        <f t="shared" si="2"/>
        <v>0</v>
      </c>
      <c r="R719" s="166"/>
      <c r="S719" s="167"/>
      <c r="T719" s="168">
        <f t="shared" si="3"/>
        <v>6921.28</v>
      </c>
      <c r="U719" s="168">
        <f t="shared" si="4"/>
        <v>0</v>
      </c>
      <c r="V719" s="168">
        <f t="shared" si="5"/>
        <v>0</v>
      </c>
      <c r="W719" s="168">
        <f t="shared" si="6"/>
        <v>0</v>
      </c>
      <c r="X719" s="168">
        <f t="shared" si="7"/>
        <v>0</v>
      </c>
      <c r="Y719" s="168">
        <f t="shared" si="8"/>
        <v>0</v>
      </c>
      <c r="Z719" s="168">
        <f t="shared" si="9"/>
        <v>0</v>
      </c>
    </row>
    <row r="720" ht="15.75" customHeight="1">
      <c r="A720" s="157">
        <v>1302.0</v>
      </c>
      <c r="B720" s="158" t="s">
        <v>82</v>
      </c>
      <c r="C720" s="158" t="s">
        <v>87</v>
      </c>
      <c r="D720" s="159">
        <v>43296.0</v>
      </c>
      <c r="E720" s="157" t="s">
        <v>8</v>
      </c>
      <c r="F720" s="160">
        <v>539188.86</v>
      </c>
      <c r="G720" s="160">
        <v>86270.22</v>
      </c>
      <c r="H720" s="160">
        <f t="shared" si="34"/>
        <v>625459.08</v>
      </c>
      <c r="I720" s="160"/>
      <c r="J720" s="161"/>
      <c r="K720" s="160"/>
      <c r="L720" s="160">
        <f>+'FACP$'!$H720-'FACP$'!$I720-'FACP$'!$K720</f>
        <v>625459.08</v>
      </c>
      <c r="M720" s="157" t="s">
        <v>96</v>
      </c>
      <c r="N720" s="162" t="s">
        <v>127</v>
      </c>
      <c r="O720" s="163"/>
      <c r="P720" s="164">
        <f t="shared" si="13"/>
        <v>43306</v>
      </c>
      <c r="Q720" s="165">
        <f t="shared" si="2"/>
        <v>0</v>
      </c>
      <c r="R720" s="166"/>
      <c r="S720" s="167"/>
      <c r="T720" s="168">
        <f t="shared" si="3"/>
        <v>625459.08</v>
      </c>
      <c r="U720" s="168">
        <f t="shared" si="4"/>
        <v>0</v>
      </c>
      <c r="V720" s="168">
        <f t="shared" si="5"/>
        <v>0</v>
      </c>
      <c r="W720" s="168">
        <f t="shared" si="6"/>
        <v>0</v>
      </c>
      <c r="X720" s="168">
        <f t="shared" si="7"/>
        <v>0</v>
      </c>
      <c r="Y720" s="168">
        <f t="shared" si="8"/>
        <v>0</v>
      </c>
      <c r="Z720" s="168">
        <f t="shared" si="9"/>
        <v>0</v>
      </c>
    </row>
    <row r="721" ht="15.75" customHeight="1">
      <c r="A721" s="157">
        <v>1303.0</v>
      </c>
      <c r="B721" s="158" t="s">
        <v>82</v>
      </c>
      <c r="C721" s="158" t="s">
        <v>87</v>
      </c>
      <c r="D721" s="159">
        <v>43296.0</v>
      </c>
      <c r="E721" s="157" t="s">
        <v>8</v>
      </c>
      <c r="F721" s="160">
        <v>2128011.48</v>
      </c>
      <c r="G721" s="160">
        <v>340481.84</v>
      </c>
      <c r="H721" s="160">
        <f t="shared" si="34"/>
        <v>2468493.32</v>
      </c>
      <c r="I721" s="160"/>
      <c r="J721" s="161"/>
      <c r="K721" s="160"/>
      <c r="L721" s="160">
        <f>+'FACP$'!$H721-'FACP$'!$I721-'FACP$'!$K721</f>
        <v>2468493.32</v>
      </c>
      <c r="M721" s="157" t="s">
        <v>96</v>
      </c>
      <c r="N721" s="162" t="s">
        <v>127</v>
      </c>
      <c r="O721" s="163"/>
      <c r="P721" s="164">
        <f t="shared" si="13"/>
        <v>43306</v>
      </c>
      <c r="Q721" s="165">
        <f t="shared" si="2"/>
        <v>0</v>
      </c>
      <c r="R721" s="166"/>
      <c r="S721" s="167"/>
      <c r="T721" s="168">
        <f t="shared" si="3"/>
        <v>2468493.32</v>
      </c>
      <c r="U721" s="168">
        <f t="shared" si="4"/>
        <v>0</v>
      </c>
      <c r="V721" s="168">
        <f t="shared" si="5"/>
        <v>0</v>
      </c>
      <c r="W721" s="168">
        <f t="shared" si="6"/>
        <v>0</v>
      </c>
      <c r="X721" s="168">
        <f t="shared" si="7"/>
        <v>0</v>
      </c>
      <c r="Y721" s="168">
        <f t="shared" si="8"/>
        <v>0</v>
      </c>
      <c r="Z721" s="168">
        <f t="shared" si="9"/>
        <v>0</v>
      </c>
    </row>
    <row r="722" ht="15.75" customHeight="1">
      <c r="A722" s="157">
        <v>1306.0</v>
      </c>
      <c r="B722" s="158" t="s">
        <v>37</v>
      </c>
      <c r="C722" s="158" t="s">
        <v>87</v>
      </c>
      <c r="D722" s="159">
        <v>43296.0</v>
      </c>
      <c r="E722" s="157" t="s">
        <v>8</v>
      </c>
      <c r="F722" s="160">
        <v>1947651.92</v>
      </c>
      <c r="G722" s="160">
        <v>311624.31</v>
      </c>
      <c r="H722" s="160">
        <f t="shared" si="34"/>
        <v>2259276.23</v>
      </c>
      <c r="I722" s="160"/>
      <c r="J722" s="161"/>
      <c r="K722" s="160"/>
      <c r="L722" s="160">
        <f>+'FACP$'!$H722-'FACP$'!$I722-'FACP$'!$K722</f>
        <v>2259276.23</v>
      </c>
      <c r="M722" s="157" t="s">
        <v>718</v>
      </c>
      <c r="N722" s="162" t="s">
        <v>554</v>
      </c>
      <c r="O722" s="163">
        <v>43326.0</v>
      </c>
      <c r="P722" s="164">
        <f t="shared" si="13"/>
        <v>43306</v>
      </c>
      <c r="Q722" s="165">
        <f t="shared" si="2"/>
        <v>0</v>
      </c>
      <c r="R722" s="166"/>
      <c r="S722" s="167"/>
      <c r="T722" s="168">
        <f t="shared" si="3"/>
        <v>2259276.23</v>
      </c>
      <c r="U722" s="168">
        <f t="shared" si="4"/>
        <v>0</v>
      </c>
      <c r="V722" s="168">
        <f t="shared" si="5"/>
        <v>0</v>
      </c>
      <c r="W722" s="168">
        <f t="shared" si="6"/>
        <v>0</v>
      </c>
      <c r="X722" s="168">
        <f t="shared" si="7"/>
        <v>0</v>
      </c>
      <c r="Y722" s="168">
        <f t="shared" si="8"/>
        <v>0</v>
      </c>
      <c r="Z722" s="168">
        <f t="shared" si="9"/>
        <v>0</v>
      </c>
    </row>
    <row r="723" ht="15.75" customHeight="1">
      <c r="A723" s="157">
        <v>1308.0</v>
      </c>
      <c r="B723" s="158" t="s">
        <v>101</v>
      </c>
      <c r="C723" s="158" t="s">
        <v>87</v>
      </c>
      <c r="D723" s="159">
        <v>43282.0</v>
      </c>
      <c r="E723" s="157" t="s">
        <v>8</v>
      </c>
      <c r="F723" s="160">
        <v>141448.48</v>
      </c>
      <c r="G723" s="160">
        <v>22631.76</v>
      </c>
      <c r="H723" s="160">
        <f t="shared" si="34"/>
        <v>164080.24</v>
      </c>
      <c r="I723" s="160"/>
      <c r="J723" s="161"/>
      <c r="K723" s="160"/>
      <c r="L723" s="160">
        <f>+'FACP$'!$H723-'FACP$'!$I723-'FACP$'!$K723</f>
        <v>164080.24</v>
      </c>
      <c r="M723" s="157" t="s">
        <v>586</v>
      </c>
      <c r="N723" s="162" t="s">
        <v>554</v>
      </c>
      <c r="O723" s="163">
        <v>43353.0</v>
      </c>
      <c r="P723" s="164">
        <f t="shared" si="13"/>
        <v>43292</v>
      </c>
      <c r="Q723" s="165">
        <f t="shared" si="2"/>
        <v>0</v>
      </c>
      <c r="R723" s="166"/>
      <c r="S723" s="167"/>
      <c r="T723" s="168">
        <f t="shared" si="3"/>
        <v>164080.24</v>
      </c>
      <c r="U723" s="168">
        <f t="shared" si="4"/>
        <v>0</v>
      </c>
      <c r="V723" s="168">
        <f t="shared" si="5"/>
        <v>0</v>
      </c>
      <c r="W723" s="168">
        <f t="shared" si="6"/>
        <v>0</v>
      </c>
      <c r="X723" s="168">
        <f t="shared" si="7"/>
        <v>0</v>
      </c>
      <c r="Y723" s="168">
        <f t="shared" si="8"/>
        <v>0</v>
      </c>
      <c r="Z723" s="168">
        <f t="shared" si="9"/>
        <v>0</v>
      </c>
    </row>
    <row r="724" ht="15.75" customHeight="1">
      <c r="A724" s="157">
        <v>1310.0</v>
      </c>
      <c r="B724" s="158" t="s">
        <v>101</v>
      </c>
      <c r="C724" s="158" t="s">
        <v>87</v>
      </c>
      <c r="D724" s="159">
        <v>43296.0</v>
      </c>
      <c r="E724" s="157" t="s">
        <v>8</v>
      </c>
      <c r="F724" s="160">
        <v>117902.91</v>
      </c>
      <c r="G724" s="160">
        <v>18864.47</v>
      </c>
      <c r="H724" s="160">
        <f t="shared" si="34"/>
        <v>136767.38</v>
      </c>
      <c r="I724" s="160"/>
      <c r="J724" s="161"/>
      <c r="K724" s="160"/>
      <c r="L724" s="160">
        <f>+'FACP$'!$H724-'FACP$'!$I724-'FACP$'!$K724</f>
        <v>136767.38</v>
      </c>
      <c r="M724" s="157" t="s">
        <v>732</v>
      </c>
      <c r="N724" s="162" t="s">
        <v>554</v>
      </c>
      <c r="O724" s="163">
        <v>43353.0</v>
      </c>
      <c r="P724" s="164">
        <f t="shared" si="13"/>
        <v>43306</v>
      </c>
      <c r="Q724" s="165">
        <f t="shared" si="2"/>
        <v>0</v>
      </c>
      <c r="R724" s="166"/>
      <c r="S724" s="167"/>
      <c r="T724" s="168">
        <f t="shared" si="3"/>
        <v>136767.38</v>
      </c>
      <c r="U724" s="168">
        <f t="shared" si="4"/>
        <v>0</v>
      </c>
      <c r="V724" s="168">
        <f t="shared" si="5"/>
        <v>0</v>
      </c>
      <c r="W724" s="168">
        <f t="shared" si="6"/>
        <v>0</v>
      </c>
      <c r="X724" s="168">
        <f t="shared" si="7"/>
        <v>0</v>
      </c>
      <c r="Y724" s="168">
        <f t="shared" si="8"/>
        <v>0</v>
      </c>
      <c r="Z724" s="168">
        <f t="shared" si="9"/>
        <v>0</v>
      </c>
    </row>
    <row r="725" ht="15.75" customHeight="1">
      <c r="A725" s="157">
        <v>1312.0</v>
      </c>
      <c r="B725" s="158"/>
      <c r="C725" s="158"/>
      <c r="D725" s="159"/>
      <c r="E725" s="157"/>
      <c r="F725" s="160"/>
      <c r="G725" s="160"/>
      <c r="H725" s="160"/>
      <c r="I725" s="160"/>
      <c r="J725" s="161"/>
      <c r="K725" s="160"/>
      <c r="L725" s="160">
        <f>+'FACP$'!$H725-'FACP$'!$I725-'FACP$'!$K725</f>
        <v>0</v>
      </c>
      <c r="M725" s="157"/>
      <c r="N725" s="162" t="s">
        <v>127</v>
      </c>
      <c r="O725" s="163"/>
      <c r="P725" s="164">
        <f t="shared" si="13"/>
        <v>10</v>
      </c>
      <c r="Q725" s="165">
        <f t="shared" si="2"/>
        <v>0</v>
      </c>
      <c r="R725" s="166"/>
      <c r="S725" s="167"/>
      <c r="T725" s="168">
        <f t="shared" si="3"/>
        <v>0</v>
      </c>
      <c r="U725" s="168">
        <f t="shared" si="4"/>
        <v>0</v>
      </c>
      <c r="V725" s="168">
        <f t="shared" si="5"/>
        <v>0</v>
      </c>
      <c r="W725" s="168">
        <f t="shared" si="6"/>
        <v>0</v>
      </c>
      <c r="X725" s="168">
        <f t="shared" si="7"/>
        <v>0</v>
      </c>
      <c r="Y725" s="168">
        <f t="shared" si="8"/>
        <v>0</v>
      </c>
      <c r="Z725" s="168">
        <f t="shared" si="9"/>
        <v>0</v>
      </c>
    </row>
    <row r="726" ht="15.75" customHeight="1">
      <c r="A726" s="157">
        <v>1313.0</v>
      </c>
      <c r="B726" s="158" t="s">
        <v>24</v>
      </c>
      <c r="C726" s="158" t="s">
        <v>87</v>
      </c>
      <c r="D726" s="159">
        <v>43296.0</v>
      </c>
      <c r="E726" s="157" t="s">
        <v>8</v>
      </c>
      <c r="F726" s="160">
        <v>242906.88</v>
      </c>
      <c r="G726" s="160">
        <v>38865.1</v>
      </c>
      <c r="H726" s="160">
        <f>F726+G726</f>
        <v>281771.98</v>
      </c>
      <c r="I726" s="160"/>
      <c r="J726" s="161"/>
      <c r="K726" s="160"/>
      <c r="L726" s="160">
        <f>+'FACP$'!$H726-'FACP$'!$I726-'FACP$'!$K726</f>
        <v>281771.98</v>
      </c>
      <c r="M726" s="157" t="s">
        <v>91</v>
      </c>
      <c r="N726" s="162" t="s">
        <v>554</v>
      </c>
      <c r="O726" s="163">
        <v>43335.0</v>
      </c>
      <c r="P726" s="164">
        <f t="shared" si="13"/>
        <v>43306</v>
      </c>
      <c r="Q726" s="165">
        <f t="shared" si="2"/>
        <v>0</v>
      </c>
      <c r="R726" s="166"/>
      <c r="S726" s="167"/>
      <c r="T726" s="168">
        <f t="shared" si="3"/>
        <v>281771.98</v>
      </c>
      <c r="U726" s="168">
        <f t="shared" si="4"/>
        <v>0</v>
      </c>
      <c r="V726" s="168">
        <f t="shared" si="5"/>
        <v>0</v>
      </c>
      <c r="W726" s="168">
        <f t="shared" si="6"/>
        <v>0</v>
      </c>
      <c r="X726" s="168">
        <f t="shared" si="7"/>
        <v>0</v>
      </c>
      <c r="Y726" s="168">
        <f t="shared" si="8"/>
        <v>0</v>
      </c>
      <c r="Z726" s="168">
        <f t="shared" si="9"/>
        <v>0</v>
      </c>
    </row>
    <row r="727" ht="15.75" customHeight="1">
      <c r="A727" s="157">
        <v>1314.0</v>
      </c>
      <c r="B727" s="158"/>
      <c r="C727" s="158"/>
      <c r="D727" s="159"/>
      <c r="E727" s="157"/>
      <c r="F727" s="160"/>
      <c r="G727" s="160"/>
      <c r="H727" s="160"/>
      <c r="I727" s="160"/>
      <c r="J727" s="161"/>
      <c r="K727" s="160"/>
      <c r="L727" s="160">
        <f>+'FACP$'!$H727-'FACP$'!$I727-'FACP$'!$K727</f>
        <v>0</v>
      </c>
      <c r="M727" s="157"/>
      <c r="N727" s="162" t="s">
        <v>127</v>
      </c>
      <c r="O727" s="163"/>
      <c r="P727" s="164">
        <f t="shared" si="13"/>
        <v>10</v>
      </c>
      <c r="Q727" s="165">
        <f t="shared" si="2"/>
        <v>0</v>
      </c>
      <c r="R727" s="166"/>
      <c r="S727" s="167"/>
      <c r="T727" s="168">
        <f t="shared" si="3"/>
        <v>0</v>
      </c>
      <c r="U727" s="168">
        <f t="shared" si="4"/>
        <v>0</v>
      </c>
      <c r="V727" s="168">
        <f t="shared" si="5"/>
        <v>0</v>
      </c>
      <c r="W727" s="168">
        <f t="shared" si="6"/>
        <v>0</v>
      </c>
      <c r="X727" s="168">
        <f t="shared" si="7"/>
        <v>0</v>
      </c>
      <c r="Y727" s="168">
        <f t="shared" si="8"/>
        <v>0</v>
      </c>
      <c r="Z727" s="168">
        <f t="shared" si="9"/>
        <v>0</v>
      </c>
    </row>
    <row r="728" ht="15.75" customHeight="1">
      <c r="A728" s="157">
        <v>1315.0</v>
      </c>
      <c r="B728" s="158"/>
      <c r="C728" s="158"/>
      <c r="D728" s="159"/>
      <c r="E728" s="157"/>
      <c r="F728" s="160"/>
      <c r="G728" s="160"/>
      <c r="H728" s="160"/>
      <c r="I728" s="160"/>
      <c r="J728" s="161"/>
      <c r="K728" s="160"/>
      <c r="L728" s="160">
        <f>+'FACP$'!$H728-'FACP$'!$I728-'FACP$'!$K728</f>
        <v>0</v>
      </c>
      <c r="M728" s="157"/>
      <c r="N728" s="162" t="s">
        <v>127</v>
      </c>
      <c r="O728" s="163"/>
      <c r="P728" s="164">
        <f t="shared" si="13"/>
        <v>10</v>
      </c>
      <c r="Q728" s="165">
        <f t="shared" si="2"/>
        <v>0</v>
      </c>
      <c r="R728" s="166"/>
      <c r="S728" s="167"/>
      <c r="T728" s="168">
        <f t="shared" si="3"/>
        <v>0</v>
      </c>
      <c r="U728" s="168">
        <f t="shared" si="4"/>
        <v>0</v>
      </c>
      <c r="V728" s="168">
        <f t="shared" si="5"/>
        <v>0</v>
      </c>
      <c r="W728" s="168">
        <f t="shared" si="6"/>
        <v>0</v>
      </c>
      <c r="X728" s="168">
        <f t="shared" si="7"/>
        <v>0</v>
      </c>
      <c r="Y728" s="168">
        <f t="shared" si="8"/>
        <v>0</v>
      </c>
      <c r="Z728" s="168">
        <f t="shared" si="9"/>
        <v>0</v>
      </c>
    </row>
    <row r="729" ht="15.75" customHeight="1">
      <c r="A729" s="157">
        <v>1318.0</v>
      </c>
      <c r="B729" s="158" t="s">
        <v>79</v>
      </c>
      <c r="C729" s="158" t="s">
        <v>87</v>
      </c>
      <c r="D729" s="159">
        <v>43296.0</v>
      </c>
      <c r="E729" s="157" t="s">
        <v>8</v>
      </c>
      <c r="F729" s="160">
        <v>539188.86</v>
      </c>
      <c r="G729" s="160">
        <v>86270.22</v>
      </c>
      <c r="H729" s="160">
        <f t="shared" ref="H729:H746" si="35">F729+G729</f>
        <v>625459.08</v>
      </c>
      <c r="I729" s="160"/>
      <c r="J729" s="161"/>
      <c r="K729" s="160"/>
      <c r="L729" s="160">
        <f>+'FACP$'!$H729-'FACP$'!$I729-'FACP$'!$K729</f>
        <v>625459.08</v>
      </c>
      <c r="M729" s="157" t="s">
        <v>712</v>
      </c>
      <c r="N729" s="162" t="s">
        <v>554</v>
      </c>
      <c r="O729" s="163">
        <v>43382.0</v>
      </c>
      <c r="P729" s="164">
        <f t="shared" si="13"/>
        <v>43306</v>
      </c>
      <c r="Q729" s="165">
        <f t="shared" si="2"/>
        <v>0</v>
      </c>
      <c r="R729" s="166"/>
      <c r="S729" s="167"/>
      <c r="T729" s="168">
        <f t="shared" si="3"/>
        <v>625459.08</v>
      </c>
      <c r="U729" s="168">
        <f t="shared" si="4"/>
        <v>0</v>
      </c>
      <c r="V729" s="168">
        <f t="shared" si="5"/>
        <v>0</v>
      </c>
      <c r="W729" s="168">
        <f t="shared" si="6"/>
        <v>0</v>
      </c>
      <c r="X729" s="168">
        <f t="shared" si="7"/>
        <v>0</v>
      </c>
      <c r="Y729" s="168">
        <f t="shared" si="8"/>
        <v>0</v>
      </c>
      <c r="Z729" s="168">
        <f t="shared" si="9"/>
        <v>0</v>
      </c>
    </row>
    <row r="730" ht="15.75" customHeight="1">
      <c r="A730" s="157">
        <v>1319.0</v>
      </c>
      <c r="B730" s="158" t="s">
        <v>849</v>
      </c>
      <c r="C730" s="158" t="s">
        <v>87</v>
      </c>
      <c r="D730" s="159">
        <v>43296.0</v>
      </c>
      <c r="E730" s="157" t="s">
        <v>8</v>
      </c>
      <c r="F730" s="160">
        <v>2128011.48</v>
      </c>
      <c r="G730" s="160">
        <v>340481.84</v>
      </c>
      <c r="H730" s="160">
        <f t="shared" si="35"/>
        <v>2468493.32</v>
      </c>
      <c r="I730" s="160"/>
      <c r="J730" s="161"/>
      <c r="K730" s="160"/>
      <c r="L730" s="160">
        <f>+'FACP$'!$H730-'FACP$'!$I730-'FACP$'!$K730</f>
        <v>2468493.32</v>
      </c>
      <c r="M730" s="157" t="s">
        <v>850</v>
      </c>
      <c r="N730" s="162" t="s">
        <v>554</v>
      </c>
      <c r="O730" s="163">
        <v>43336.0</v>
      </c>
      <c r="P730" s="164">
        <f t="shared" si="13"/>
        <v>43306</v>
      </c>
      <c r="Q730" s="165">
        <f t="shared" si="2"/>
        <v>0</v>
      </c>
      <c r="R730" s="166"/>
      <c r="S730" s="167"/>
      <c r="T730" s="168">
        <f t="shared" si="3"/>
        <v>2468493.32</v>
      </c>
      <c r="U730" s="168">
        <f t="shared" si="4"/>
        <v>0</v>
      </c>
      <c r="V730" s="168">
        <f t="shared" si="5"/>
        <v>0</v>
      </c>
      <c r="W730" s="168">
        <f t="shared" si="6"/>
        <v>0</v>
      </c>
      <c r="X730" s="168">
        <f t="shared" si="7"/>
        <v>0</v>
      </c>
      <c r="Y730" s="168">
        <f t="shared" si="8"/>
        <v>0</v>
      </c>
      <c r="Z730" s="168">
        <f t="shared" si="9"/>
        <v>0</v>
      </c>
    </row>
    <row r="731" ht="15.75" customHeight="1">
      <c r="A731" s="157">
        <v>1320.0</v>
      </c>
      <c r="B731" s="158" t="s">
        <v>728</v>
      </c>
      <c r="C731" s="158" t="s">
        <v>859</v>
      </c>
      <c r="D731" s="159">
        <v>43266.0</v>
      </c>
      <c r="E731" s="157" t="s">
        <v>8</v>
      </c>
      <c r="F731" s="160">
        <v>575904.0</v>
      </c>
      <c r="G731" s="160">
        <v>92144.64</v>
      </c>
      <c r="H731" s="160">
        <f t="shared" si="35"/>
        <v>668048.64</v>
      </c>
      <c r="I731" s="160"/>
      <c r="J731" s="161"/>
      <c r="K731" s="160"/>
      <c r="L731" s="160">
        <f>+'FACP$'!$H731-'FACP$'!$I731-'FACP$'!$K731</f>
        <v>668048.64</v>
      </c>
      <c r="M731" s="157" t="s">
        <v>728</v>
      </c>
      <c r="N731" s="162" t="s">
        <v>554</v>
      </c>
      <c r="O731" s="163">
        <v>42949.0</v>
      </c>
      <c r="P731" s="164">
        <f t="shared" si="13"/>
        <v>43276</v>
      </c>
      <c r="Q731" s="165">
        <f t="shared" si="2"/>
        <v>0</v>
      </c>
      <c r="R731" s="166"/>
      <c r="S731" s="167"/>
      <c r="T731" s="168">
        <f t="shared" si="3"/>
        <v>668048.64</v>
      </c>
      <c r="U731" s="168">
        <f t="shared" si="4"/>
        <v>0</v>
      </c>
      <c r="V731" s="168">
        <f t="shared" si="5"/>
        <v>0</v>
      </c>
      <c r="W731" s="168">
        <f t="shared" si="6"/>
        <v>0</v>
      </c>
      <c r="X731" s="168">
        <f t="shared" si="7"/>
        <v>0</v>
      </c>
      <c r="Y731" s="168">
        <f t="shared" si="8"/>
        <v>0</v>
      </c>
      <c r="Z731" s="168">
        <f t="shared" si="9"/>
        <v>0</v>
      </c>
    </row>
    <row r="732" ht="15.75" customHeight="1">
      <c r="A732" s="157">
        <v>1321.0</v>
      </c>
      <c r="B732" s="158" t="s">
        <v>82</v>
      </c>
      <c r="C732" s="158" t="s">
        <v>860</v>
      </c>
      <c r="D732" s="159">
        <v>43327.0</v>
      </c>
      <c r="E732" s="157" t="s">
        <v>8</v>
      </c>
      <c r="F732" s="160">
        <v>146851.31</v>
      </c>
      <c r="G732" s="160">
        <v>23496.21</v>
      </c>
      <c r="H732" s="160">
        <f t="shared" si="35"/>
        <v>170347.52</v>
      </c>
      <c r="I732" s="160"/>
      <c r="J732" s="161"/>
      <c r="K732" s="160"/>
      <c r="L732" s="160">
        <f>+'FACP$'!$H732-'FACP$'!$I732-'FACP$'!$K732</f>
        <v>170347.52</v>
      </c>
      <c r="M732" s="157" t="s">
        <v>96</v>
      </c>
      <c r="N732" s="162" t="s">
        <v>554</v>
      </c>
      <c r="O732" s="163">
        <v>43342.0</v>
      </c>
      <c r="P732" s="164">
        <f t="shared" si="13"/>
        <v>43337</v>
      </c>
      <c r="Q732" s="165">
        <f t="shared" si="2"/>
        <v>0</v>
      </c>
      <c r="R732" s="166"/>
      <c r="S732" s="167"/>
      <c r="T732" s="168">
        <f t="shared" si="3"/>
        <v>170347.52</v>
      </c>
      <c r="U732" s="168">
        <f t="shared" si="4"/>
        <v>0</v>
      </c>
      <c r="V732" s="168">
        <f t="shared" si="5"/>
        <v>0</v>
      </c>
      <c r="W732" s="168">
        <f t="shared" si="6"/>
        <v>0</v>
      </c>
      <c r="X732" s="168">
        <f t="shared" si="7"/>
        <v>0</v>
      </c>
      <c r="Y732" s="168">
        <f t="shared" si="8"/>
        <v>0</v>
      </c>
      <c r="Z732" s="168">
        <f t="shared" si="9"/>
        <v>0</v>
      </c>
    </row>
    <row r="733" ht="15.75" customHeight="1">
      <c r="A733" s="157">
        <v>1322.0</v>
      </c>
      <c r="B733" s="158" t="s">
        <v>82</v>
      </c>
      <c r="C733" s="158" t="s">
        <v>861</v>
      </c>
      <c r="D733" s="159">
        <v>43327.0</v>
      </c>
      <c r="E733" s="157" t="s">
        <v>8</v>
      </c>
      <c r="F733" s="160">
        <v>320343.0</v>
      </c>
      <c r="G733" s="160">
        <v>51254.88</v>
      </c>
      <c r="H733" s="160">
        <f t="shared" si="35"/>
        <v>371597.88</v>
      </c>
      <c r="I733" s="160"/>
      <c r="J733" s="161"/>
      <c r="K733" s="160"/>
      <c r="L733" s="160">
        <f>+'FACP$'!$H733-'FACP$'!$I733-'FACP$'!$K733</f>
        <v>371597.88</v>
      </c>
      <c r="M733" s="157" t="s">
        <v>96</v>
      </c>
      <c r="N733" s="162" t="s">
        <v>554</v>
      </c>
      <c r="O733" s="163">
        <v>43342.0</v>
      </c>
      <c r="P733" s="164">
        <f t="shared" si="13"/>
        <v>43337</v>
      </c>
      <c r="Q733" s="165">
        <f t="shared" si="2"/>
        <v>0</v>
      </c>
      <c r="R733" s="166"/>
      <c r="S733" s="167"/>
      <c r="T733" s="168">
        <f t="shared" si="3"/>
        <v>371597.88</v>
      </c>
      <c r="U733" s="168">
        <f t="shared" si="4"/>
        <v>0</v>
      </c>
      <c r="V733" s="168">
        <f t="shared" si="5"/>
        <v>0</v>
      </c>
      <c r="W733" s="168">
        <f t="shared" si="6"/>
        <v>0</v>
      </c>
      <c r="X733" s="168">
        <f t="shared" si="7"/>
        <v>0</v>
      </c>
      <c r="Y733" s="168">
        <f t="shared" si="8"/>
        <v>0</v>
      </c>
      <c r="Z733" s="168">
        <f t="shared" si="9"/>
        <v>0</v>
      </c>
    </row>
    <row r="734" ht="15.75" customHeight="1">
      <c r="A734" s="157">
        <v>1323.0</v>
      </c>
      <c r="B734" s="158" t="s">
        <v>82</v>
      </c>
      <c r="C734" s="158" t="s">
        <v>862</v>
      </c>
      <c r="D734" s="159">
        <v>43327.0</v>
      </c>
      <c r="E734" s="157" t="s">
        <v>8</v>
      </c>
      <c r="F734" s="160">
        <v>145316.53</v>
      </c>
      <c r="G734" s="160">
        <v>23250.64</v>
      </c>
      <c r="H734" s="160">
        <f t="shared" si="35"/>
        <v>168567.17</v>
      </c>
      <c r="I734" s="160"/>
      <c r="J734" s="161"/>
      <c r="K734" s="160"/>
      <c r="L734" s="160">
        <f>+'FACP$'!$H734-'FACP$'!$I734-'FACP$'!$K734</f>
        <v>168567.17</v>
      </c>
      <c r="M734" s="157" t="s">
        <v>96</v>
      </c>
      <c r="N734" s="162" t="s">
        <v>554</v>
      </c>
      <c r="O734" s="163">
        <v>43342.0</v>
      </c>
      <c r="P734" s="164">
        <f t="shared" si="13"/>
        <v>43337</v>
      </c>
      <c r="Q734" s="165">
        <f t="shared" si="2"/>
        <v>0</v>
      </c>
      <c r="R734" s="166"/>
      <c r="S734" s="167"/>
      <c r="T734" s="168">
        <f t="shared" si="3"/>
        <v>168567.17</v>
      </c>
      <c r="U734" s="168">
        <f t="shared" si="4"/>
        <v>0</v>
      </c>
      <c r="V734" s="168">
        <f t="shared" si="5"/>
        <v>0</v>
      </c>
      <c r="W734" s="168">
        <f t="shared" si="6"/>
        <v>0</v>
      </c>
      <c r="X734" s="168">
        <f t="shared" si="7"/>
        <v>0</v>
      </c>
      <c r="Y734" s="168">
        <f t="shared" si="8"/>
        <v>0</v>
      </c>
      <c r="Z734" s="168">
        <f t="shared" si="9"/>
        <v>0</v>
      </c>
    </row>
    <row r="735" ht="15.75" customHeight="1">
      <c r="A735" s="157">
        <v>1324.0</v>
      </c>
      <c r="B735" s="158" t="s">
        <v>849</v>
      </c>
      <c r="C735" s="158" t="s">
        <v>87</v>
      </c>
      <c r="D735" s="159">
        <v>43266.0</v>
      </c>
      <c r="E735" s="157" t="s">
        <v>8</v>
      </c>
      <c r="F735" s="160">
        <v>2074611.04</v>
      </c>
      <c r="G735" s="160">
        <v>331937.77</v>
      </c>
      <c r="H735" s="160">
        <f t="shared" si="35"/>
        <v>2406548.81</v>
      </c>
      <c r="I735" s="160"/>
      <c r="J735" s="161"/>
      <c r="K735" s="160"/>
      <c r="L735" s="160">
        <f>+'FACP$'!$H735-'FACP$'!$I735-'FACP$'!$K735</f>
        <v>2406548.81</v>
      </c>
      <c r="M735" s="157" t="s">
        <v>850</v>
      </c>
      <c r="N735" s="162" t="s">
        <v>554</v>
      </c>
      <c r="O735" s="163">
        <v>43311.0</v>
      </c>
      <c r="P735" s="164">
        <f t="shared" si="13"/>
        <v>43276</v>
      </c>
      <c r="Q735" s="165">
        <f t="shared" si="2"/>
        <v>0</v>
      </c>
      <c r="R735" s="166"/>
      <c r="S735" s="167"/>
      <c r="T735" s="168">
        <f t="shared" si="3"/>
        <v>2406548.81</v>
      </c>
      <c r="U735" s="168">
        <f t="shared" si="4"/>
        <v>0</v>
      </c>
      <c r="V735" s="168">
        <f t="shared" si="5"/>
        <v>0</v>
      </c>
      <c r="W735" s="168">
        <f t="shared" si="6"/>
        <v>0</v>
      </c>
      <c r="X735" s="168">
        <f t="shared" si="7"/>
        <v>0</v>
      </c>
      <c r="Y735" s="168">
        <f t="shared" si="8"/>
        <v>0</v>
      </c>
      <c r="Z735" s="168">
        <f t="shared" si="9"/>
        <v>0</v>
      </c>
    </row>
    <row r="736" ht="15.75" customHeight="1">
      <c r="A736" s="157">
        <v>1325.0</v>
      </c>
      <c r="B736" s="158" t="s">
        <v>720</v>
      </c>
      <c r="C736" s="158" t="s">
        <v>87</v>
      </c>
      <c r="D736" s="159">
        <v>43313.0</v>
      </c>
      <c r="E736" s="157" t="s">
        <v>8</v>
      </c>
      <c r="F736" s="160">
        <v>700350.7</v>
      </c>
      <c r="G736" s="160">
        <v>112056.11</v>
      </c>
      <c r="H736" s="160">
        <f t="shared" si="35"/>
        <v>812406.81</v>
      </c>
      <c r="I736" s="160"/>
      <c r="J736" s="161"/>
      <c r="K736" s="160"/>
      <c r="L736" s="160">
        <f>+'FACP$'!$H736-'FACP$'!$I736-'FACP$'!$K736</f>
        <v>812406.81</v>
      </c>
      <c r="M736" s="157" t="s">
        <v>777</v>
      </c>
      <c r="N736" s="162" t="s">
        <v>554</v>
      </c>
      <c r="O736" s="163">
        <v>43334.0</v>
      </c>
      <c r="P736" s="164">
        <f t="shared" si="13"/>
        <v>43323</v>
      </c>
      <c r="Q736" s="165">
        <f t="shared" si="2"/>
        <v>0</v>
      </c>
      <c r="R736" s="166"/>
      <c r="S736" s="167"/>
      <c r="T736" s="168">
        <f t="shared" si="3"/>
        <v>812406.81</v>
      </c>
      <c r="U736" s="168">
        <f t="shared" si="4"/>
        <v>0</v>
      </c>
      <c r="V736" s="168">
        <f t="shared" si="5"/>
        <v>0</v>
      </c>
      <c r="W736" s="168">
        <f t="shared" si="6"/>
        <v>0</v>
      </c>
      <c r="X736" s="168">
        <f t="shared" si="7"/>
        <v>0</v>
      </c>
      <c r="Y736" s="168">
        <f t="shared" si="8"/>
        <v>0</v>
      </c>
      <c r="Z736" s="168">
        <f t="shared" si="9"/>
        <v>0</v>
      </c>
    </row>
    <row r="737" ht="15.75" customHeight="1">
      <c r="A737" s="157">
        <v>1327.0</v>
      </c>
      <c r="B737" s="158" t="s">
        <v>722</v>
      </c>
      <c r="C737" s="158" t="s">
        <v>87</v>
      </c>
      <c r="D737" s="159">
        <v>43313.0</v>
      </c>
      <c r="E737" s="157" t="s">
        <v>8</v>
      </c>
      <c r="F737" s="160">
        <v>6638063.44</v>
      </c>
      <c r="G737" s="160">
        <v>1062090.15</v>
      </c>
      <c r="H737" s="160">
        <f t="shared" si="35"/>
        <v>7700153.59</v>
      </c>
      <c r="I737" s="160"/>
      <c r="J737" s="161"/>
      <c r="K737" s="160"/>
      <c r="L737" s="160">
        <f>+'FACP$'!$H737-'FACP$'!$I737-'FACP$'!$K737</f>
        <v>7700153.59</v>
      </c>
      <c r="M737" s="157" t="s">
        <v>93</v>
      </c>
      <c r="N737" s="162" t="s">
        <v>554</v>
      </c>
      <c r="O737" s="163">
        <v>43335.0</v>
      </c>
      <c r="P737" s="164">
        <f t="shared" si="13"/>
        <v>43323</v>
      </c>
      <c r="Q737" s="165">
        <f t="shared" si="2"/>
        <v>0</v>
      </c>
      <c r="R737" s="166"/>
      <c r="S737" s="167"/>
      <c r="T737" s="168">
        <f t="shared" si="3"/>
        <v>7700153.59</v>
      </c>
      <c r="U737" s="168">
        <f t="shared" si="4"/>
        <v>0</v>
      </c>
      <c r="V737" s="168">
        <f t="shared" si="5"/>
        <v>0</v>
      </c>
      <c r="W737" s="168">
        <f t="shared" si="6"/>
        <v>0</v>
      </c>
      <c r="X737" s="168">
        <f t="shared" si="7"/>
        <v>0</v>
      </c>
      <c r="Y737" s="168">
        <f t="shared" si="8"/>
        <v>0</v>
      </c>
      <c r="Z737" s="168">
        <f t="shared" si="9"/>
        <v>0</v>
      </c>
    </row>
    <row r="738" ht="15.75" customHeight="1">
      <c r="A738" s="157">
        <v>1328.0</v>
      </c>
      <c r="B738" s="158" t="s">
        <v>29</v>
      </c>
      <c r="C738" s="158" t="s">
        <v>87</v>
      </c>
      <c r="D738" s="159">
        <v>43313.0</v>
      </c>
      <c r="E738" s="157" t="s">
        <v>8</v>
      </c>
      <c r="F738" s="160">
        <v>160920.55</v>
      </c>
      <c r="G738" s="160">
        <v>25747.29</v>
      </c>
      <c r="H738" s="160">
        <f t="shared" si="35"/>
        <v>186667.84</v>
      </c>
      <c r="I738" s="160"/>
      <c r="J738" s="161"/>
      <c r="K738" s="160"/>
      <c r="L738" s="160">
        <f>+'FACP$'!$H738-'FACP$'!$I738-'FACP$'!$K738</f>
        <v>186667.84</v>
      </c>
      <c r="M738" s="157" t="s">
        <v>825</v>
      </c>
      <c r="N738" s="162" t="s">
        <v>554</v>
      </c>
      <c r="O738" s="163">
        <v>43339.0</v>
      </c>
      <c r="P738" s="164">
        <f t="shared" si="13"/>
        <v>43323</v>
      </c>
      <c r="Q738" s="165">
        <f t="shared" si="2"/>
        <v>0</v>
      </c>
      <c r="R738" s="166"/>
      <c r="S738" s="167"/>
      <c r="T738" s="168">
        <f t="shared" si="3"/>
        <v>186667.84</v>
      </c>
      <c r="U738" s="168">
        <f t="shared" si="4"/>
        <v>0</v>
      </c>
      <c r="V738" s="168">
        <f t="shared" si="5"/>
        <v>0</v>
      </c>
      <c r="W738" s="168">
        <f t="shared" si="6"/>
        <v>0</v>
      </c>
      <c r="X738" s="168">
        <f t="shared" si="7"/>
        <v>0</v>
      </c>
      <c r="Y738" s="168">
        <f t="shared" si="8"/>
        <v>0</v>
      </c>
      <c r="Z738" s="168">
        <f t="shared" si="9"/>
        <v>0</v>
      </c>
    </row>
    <row r="739" ht="15.75" customHeight="1">
      <c r="A739" s="157">
        <v>1329.0</v>
      </c>
      <c r="B739" s="158" t="s">
        <v>29</v>
      </c>
      <c r="C739" s="158" t="s">
        <v>87</v>
      </c>
      <c r="D739" s="159">
        <v>43313.0</v>
      </c>
      <c r="E739" s="157" t="s">
        <v>2</v>
      </c>
      <c r="F739" s="160">
        <v>8766.1</v>
      </c>
      <c r="G739" s="160">
        <v>1402.58</v>
      </c>
      <c r="H739" s="160">
        <f t="shared" si="35"/>
        <v>10168.68</v>
      </c>
      <c r="I739" s="160"/>
      <c r="J739" s="161"/>
      <c r="K739" s="160"/>
      <c r="L739" s="160">
        <f>+'FACP$'!$H739-'FACP$'!$I739-'FACP$'!$K739</f>
        <v>10168.68</v>
      </c>
      <c r="M739" s="157" t="s">
        <v>825</v>
      </c>
      <c r="N739" s="162" t="s">
        <v>554</v>
      </c>
      <c r="O739" s="163">
        <v>43333.0</v>
      </c>
      <c r="P739" s="164">
        <f t="shared" si="13"/>
        <v>43323</v>
      </c>
      <c r="Q739" s="165">
        <f t="shared" si="2"/>
        <v>0</v>
      </c>
      <c r="R739" s="166"/>
      <c r="S739" s="167"/>
      <c r="T739" s="168">
        <f t="shared" si="3"/>
        <v>10168.68</v>
      </c>
      <c r="U739" s="168">
        <f t="shared" si="4"/>
        <v>0</v>
      </c>
      <c r="V739" s="168">
        <f t="shared" si="5"/>
        <v>0</v>
      </c>
      <c r="W739" s="168">
        <f t="shared" si="6"/>
        <v>0</v>
      </c>
      <c r="X739" s="168">
        <f t="shared" si="7"/>
        <v>0</v>
      </c>
      <c r="Y739" s="168">
        <f t="shared" si="8"/>
        <v>0</v>
      </c>
      <c r="Z739" s="168">
        <f t="shared" si="9"/>
        <v>0</v>
      </c>
    </row>
    <row r="740" ht="15.75" customHeight="1">
      <c r="A740" s="157">
        <v>1330.0</v>
      </c>
      <c r="B740" s="158" t="s">
        <v>849</v>
      </c>
      <c r="C740" s="158" t="s">
        <v>87</v>
      </c>
      <c r="D740" s="159">
        <v>43313.0</v>
      </c>
      <c r="E740" s="157" t="s">
        <v>8</v>
      </c>
      <c r="F740" s="160">
        <v>1576971.68</v>
      </c>
      <c r="G740" s="160">
        <v>252315.47</v>
      </c>
      <c r="H740" s="160">
        <f t="shared" si="35"/>
        <v>1829287.15</v>
      </c>
      <c r="I740" s="179"/>
      <c r="J740" s="177"/>
      <c r="K740" s="179"/>
      <c r="L740" s="179">
        <f>+'FACP$'!$H740-'FACP$'!$I740-'FACP$'!$K740</f>
        <v>1829287.15</v>
      </c>
      <c r="M740" s="157" t="s">
        <v>850</v>
      </c>
      <c r="N740" s="162" t="s">
        <v>554</v>
      </c>
      <c r="O740" s="163">
        <v>43350.0</v>
      </c>
      <c r="P740" s="164">
        <f t="shared" si="13"/>
        <v>43323</v>
      </c>
      <c r="Q740" s="165">
        <f t="shared" si="2"/>
        <v>0</v>
      </c>
      <c r="R740" s="166"/>
      <c r="S740" s="167"/>
      <c r="T740" s="168">
        <f t="shared" si="3"/>
        <v>1829287.15</v>
      </c>
      <c r="U740" s="168">
        <f t="shared" si="4"/>
        <v>0</v>
      </c>
      <c r="V740" s="168">
        <f t="shared" si="5"/>
        <v>0</v>
      </c>
      <c r="W740" s="168">
        <f t="shared" si="6"/>
        <v>0</v>
      </c>
      <c r="X740" s="168">
        <f t="shared" si="7"/>
        <v>0</v>
      </c>
      <c r="Y740" s="168">
        <f t="shared" si="8"/>
        <v>0</v>
      </c>
      <c r="Z740" s="168">
        <f t="shared" si="9"/>
        <v>0</v>
      </c>
    </row>
    <row r="741" ht="15.75" customHeight="1">
      <c r="A741" s="157">
        <v>1331.0</v>
      </c>
      <c r="B741" s="158" t="s">
        <v>712</v>
      </c>
      <c r="C741" s="158" t="s">
        <v>87</v>
      </c>
      <c r="D741" s="159">
        <v>43313.0</v>
      </c>
      <c r="E741" s="157" t="s">
        <v>8</v>
      </c>
      <c r="F741" s="160">
        <v>417134.4</v>
      </c>
      <c r="G741" s="160">
        <v>66741.5</v>
      </c>
      <c r="H741" s="160">
        <f t="shared" si="35"/>
        <v>483875.9</v>
      </c>
      <c r="I741" s="160"/>
      <c r="J741" s="161"/>
      <c r="K741" s="160"/>
      <c r="L741" s="160">
        <f>+'FACP$'!$H741-'FACP$'!$I741-'FACP$'!$K741</f>
        <v>483875.9</v>
      </c>
      <c r="M741" s="157" t="s">
        <v>712</v>
      </c>
      <c r="N741" s="162" t="s">
        <v>554</v>
      </c>
      <c r="O741" s="163">
        <v>43390.0</v>
      </c>
      <c r="P741" s="164">
        <f t="shared" si="13"/>
        <v>43323</v>
      </c>
      <c r="Q741" s="165">
        <f t="shared" si="2"/>
        <v>0</v>
      </c>
      <c r="R741" s="166"/>
      <c r="S741" s="167"/>
      <c r="T741" s="168">
        <f t="shared" si="3"/>
        <v>483875.9</v>
      </c>
      <c r="U741" s="168">
        <f t="shared" si="4"/>
        <v>0</v>
      </c>
      <c r="V741" s="168">
        <f t="shared" si="5"/>
        <v>0</v>
      </c>
      <c r="W741" s="168">
        <f t="shared" si="6"/>
        <v>0</v>
      </c>
      <c r="X741" s="168">
        <f t="shared" si="7"/>
        <v>0</v>
      </c>
      <c r="Y741" s="168">
        <f t="shared" si="8"/>
        <v>0</v>
      </c>
      <c r="Z741" s="168">
        <f t="shared" si="9"/>
        <v>0</v>
      </c>
    </row>
    <row r="742" ht="15.75" customHeight="1">
      <c r="A742" s="157">
        <v>1332.0</v>
      </c>
      <c r="B742" s="158" t="s">
        <v>712</v>
      </c>
      <c r="C742" s="158" t="s">
        <v>87</v>
      </c>
      <c r="D742" s="159">
        <v>43282.0</v>
      </c>
      <c r="E742" s="157" t="s">
        <v>8</v>
      </c>
      <c r="F742" s="160">
        <v>151363.68</v>
      </c>
      <c r="G742" s="160">
        <v>24218.19</v>
      </c>
      <c r="H742" s="160">
        <f t="shared" si="35"/>
        <v>175581.87</v>
      </c>
      <c r="I742" s="160"/>
      <c r="J742" s="161"/>
      <c r="K742" s="160"/>
      <c r="L742" s="160">
        <f>+'FACP$'!$H742-'FACP$'!$I742-'FACP$'!$K742</f>
        <v>175581.87</v>
      </c>
      <c r="M742" s="157" t="s">
        <v>712</v>
      </c>
      <c r="N742" s="162" t="s">
        <v>127</v>
      </c>
      <c r="O742" s="163"/>
      <c r="P742" s="164">
        <f t="shared" si="13"/>
        <v>43292</v>
      </c>
      <c r="Q742" s="165">
        <f t="shared" si="2"/>
        <v>0</v>
      </c>
      <c r="R742" s="166"/>
      <c r="S742" s="167"/>
      <c r="T742" s="168">
        <f t="shared" si="3"/>
        <v>175581.87</v>
      </c>
      <c r="U742" s="168">
        <f t="shared" si="4"/>
        <v>0</v>
      </c>
      <c r="V742" s="168">
        <f t="shared" si="5"/>
        <v>0</v>
      </c>
      <c r="W742" s="168">
        <f t="shared" si="6"/>
        <v>0</v>
      </c>
      <c r="X742" s="168">
        <f t="shared" si="7"/>
        <v>0</v>
      </c>
      <c r="Y742" s="168">
        <f t="shared" si="8"/>
        <v>0</v>
      </c>
      <c r="Z742" s="168">
        <f t="shared" si="9"/>
        <v>0</v>
      </c>
    </row>
    <row r="743" ht="15.75" customHeight="1">
      <c r="A743" s="157">
        <v>1333.0</v>
      </c>
      <c r="B743" s="158" t="s">
        <v>37</v>
      </c>
      <c r="C743" s="158" t="s">
        <v>87</v>
      </c>
      <c r="D743" s="159">
        <v>43313.0</v>
      </c>
      <c r="E743" s="157" t="s">
        <v>8</v>
      </c>
      <c r="F743" s="160">
        <v>1362902.8</v>
      </c>
      <c r="G743" s="160">
        <v>218064.45</v>
      </c>
      <c r="H743" s="160">
        <f t="shared" si="35"/>
        <v>1580967.25</v>
      </c>
      <c r="I743" s="160"/>
      <c r="J743" s="161"/>
      <c r="K743" s="160"/>
      <c r="L743" s="160">
        <f>+'FACP$'!$H743-'FACP$'!$I743-'FACP$'!$K743</f>
        <v>1580967.25</v>
      </c>
      <c r="M743" s="157" t="s">
        <v>718</v>
      </c>
      <c r="N743" s="162" t="s">
        <v>554</v>
      </c>
      <c r="O743" s="163">
        <v>43348.0</v>
      </c>
      <c r="P743" s="164">
        <f t="shared" si="13"/>
        <v>43323</v>
      </c>
      <c r="Q743" s="165">
        <f t="shared" si="2"/>
        <v>0</v>
      </c>
      <c r="R743" s="166"/>
      <c r="S743" s="167"/>
      <c r="T743" s="168">
        <f t="shared" si="3"/>
        <v>1580967.25</v>
      </c>
      <c r="U743" s="168">
        <f t="shared" si="4"/>
        <v>0</v>
      </c>
      <c r="V743" s="168">
        <f t="shared" si="5"/>
        <v>0</v>
      </c>
      <c r="W743" s="168">
        <f t="shared" si="6"/>
        <v>0</v>
      </c>
      <c r="X743" s="168">
        <f t="shared" si="7"/>
        <v>0</v>
      </c>
      <c r="Y743" s="168">
        <f t="shared" si="8"/>
        <v>0</v>
      </c>
      <c r="Z743" s="168">
        <f t="shared" si="9"/>
        <v>0</v>
      </c>
    </row>
    <row r="744" ht="15.75" customHeight="1">
      <c r="A744" s="157">
        <v>1335.0</v>
      </c>
      <c r="B744" s="158" t="s">
        <v>101</v>
      </c>
      <c r="C744" s="158" t="s">
        <v>87</v>
      </c>
      <c r="D744" s="159">
        <v>43313.0</v>
      </c>
      <c r="E744" s="157" t="s">
        <v>8</v>
      </c>
      <c r="F744" s="160">
        <v>110661.63</v>
      </c>
      <c r="G744" s="160">
        <v>17705.86</v>
      </c>
      <c r="H744" s="160">
        <f t="shared" si="35"/>
        <v>128367.49</v>
      </c>
      <c r="I744" s="160"/>
      <c r="J744" s="161"/>
      <c r="K744" s="160"/>
      <c r="L744" s="160">
        <f>+'FACP$'!$H744-'FACP$'!$I744-'FACP$'!$K744</f>
        <v>128367.49</v>
      </c>
      <c r="M744" s="157" t="s">
        <v>101</v>
      </c>
      <c r="N744" s="162" t="s">
        <v>554</v>
      </c>
      <c r="O744" s="163">
        <v>43353.0</v>
      </c>
      <c r="P744" s="164">
        <f t="shared" si="13"/>
        <v>43323</v>
      </c>
      <c r="Q744" s="165">
        <f t="shared" si="2"/>
        <v>0</v>
      </c>
      <c r="R744" s="166"/>
      <c r="S744" s="167"/>
      <c r="T744" s="168">
        <f t="shared" si="3"/>
        <v>128367.49</v>
      </c>
      <c r="U744" s="168">
        <f t="shared" si="4"/>
        <v>0</v>
      </c>
      <c r="V744" s="168">
        <f t="shared" si="5"/>
        <v>0</v>
      </c>
      <c r="W744" s="168">
        <f t="shared" si="6"/>
        <v>0</v>
      </c>
      <c r="X744" s="168">
        <f t="shared" si="7"/>
        <v>0</v>
      </c>
      <c r="Y744" s="168">
        <f t="shared" si="8"/>
        <v>0</v>
      </c>
      <c r="Z744" s="168">
        <f t="shared" si="9"/>
        <v>0</v>
      </c>
    </row>
    <row r="745" ht="15.75" customHeight="1">
      <c r="A745" s="157">
        <v>1337.0</v>
      </c>
      <c r="B745" s="158" t="s">
        <v>101</v>
      </c>
      <c r="C745" s="158" t="s">
        <v>87</v>
      </c>
      <c r="D745" s="159">
        <v>43313.0</v>
      </c>
      <c r="E745" s="157" t="s">
        <v>8</v>
      </c>
      <c r="F745" s="160">
        <v>4461.52</v>
      </c>
      <c r="G745" s="160">
        <v>713.84</v>
      </c>
      <c r="H745" s="160">
        <f t="shared" si="35"/>
        <v>5175.36</v>
      </c>
      <c r="I745" s="160"/>
      <c r="J745" s="161"/>
      <c r="K745" s="160"/>
      <c r="L745" s="160">
        <f>+'FACP$'!$H745-'FACP$'!$I745-'FACP$'!$K745</f>
        <v>5175.36</v>
      </c>
      <c r="M745" s="157" t="s">
        <v>732</v>
      </c>
      <c r="N745" s="162" t="s">
        <v>554</v>
      </c>
      <c r="O745" s="163">
        <v>43353.0</v>
      </c>
      <c r="P745" s="164">
        <f t="shared" si="13"/>
        <v>43323</v>
      </c>
      <c r="Q745" s="165">
        <f t="shared" si="2"/>
        <v>0</v>
      </c>
      <c r="R745" s="166"/>
      <c r="S745" s="167"/>
      <c r="T745" s="168">
        <f t="shared" si="3"/>
        <v>5175.36</v>
      </c>
      <c r="U745" s="168">
        <f t="shared" si="4"/>
        <v>0</v>
      </c>
      <c r="V745" s="168">
        <f t="shared" si="5"/>
        <v>0</v>
      </c>
      <c r="W745" s="168">
        <f t="shared" si="6"/>
        <v>0</v>
      </c>
      <c r="X745" s="168">
        <f t="shared" si="7"/>
        <v>0</v>
      </c>
      <c r="Y745" s="168">
        <f t="shared" si="8"/>
        <v>0</v>
      </c>
      <c r="Z745" s="168">
        <f t="shared" si="9"/>
        <v>0</v>
      </c>
    </row>
    <row r="746" ht="15.75" customHeight="1">
      <c r="A746" s="157">
        <v>1339.0</v>
      </c>
      <c r="B746" s="158" t="s">
        <v>24</v>
      </c>
      <c r="C746" s="158" t="s">
        <v>87</v>
      </c>
      <c r="D746" s="159">
        <v>43313.0</v>
      </c>
      <c r="E746" s="157" t="s">
        <v>8</v>
      </c>
      <c r="F746" s="160">
        <v>104003.72</v>
      </c>
      <c r="G746" s="160">
        <v>16640.6</v>
      </c>
      <c r="H746" s="160">
        <f t="shared" si="35"/>
        <v>120644.32</v>
      </c>
      <c r="I746" s="160"/>
      <c r="J746" s="161"/>
      <c r="K746" s="160"/>
      <c r="L746" s="160">
        <f>+'FACP$'!$H746-'FACP$'!$I746-'FACP$'!$K746</f>
        <v>120644.32</v>
      </c>
      <c r="M746" s="157" t="s">
        <v>91</v>
      </c>
      <c r="N746" s="162" t="s">
        <v>554</v>
      </c>
      <c r="O746" s="163">
        <v>43434.0</v>
      </c>
      <c r="P746" s="164">
        <f t="shared" si="13"/>
        <v>43323</v>
      </c>
      <c r="Q746" s="165">
        <f t="shared" si="2"/>
        <v>0</v>
      </c>
      <c r="R746" s="166"/>
      <c r="S746" s="167"/>
      <c r="T746" s="168">
        <f t="shared" si="3"/>
        <v>120644.32</v>
      </c>
      <c r="U746" s="168">
        <f t="shared" si="4"/>
        <v>0</v>
      </c>
      <c r="V746" s="168">
        <f t="shared" si="5"/>
        <v>0</v>
      </c>
      <c r="W746" s="168">
        <f t="shared" si="6"/>
        <v>0</v>
      </c>
      <c r="X746" s="168">
        <f t="shared" si="7"/>
        <v>0</v>
      </c>
      <c r="Y746" s="168">
        <f t="shared" si="8"/>
        <v>0</v>
      </c>
      <c r="Z746" s="168">
        <f t="shared" si="9"/>
        <v>0</v>
      </c>
    </row>
    <row r="747" ht="15.75" customHeight="1">
      <c r="A747" s="157">
        <v>1340.0</v>
      </c>
      <c r="B747" s="158"/>
      <c r="C747" s="158"/>
      <c r="D747" s="159"/>
      <c r="E747" s="157"/>
      <c r="F747" s="160"/>
      <c r="G747" s="160"/>
      <c r="H747" s="160"/>
      <c r="I747" s="160"/>
      <c r="J747" s="161"/>
      <c r="K747" s="160"/>
      <c r="L747" s="160">
        <f>+'FACP$'!$H747-'FACP$'!$I747-'FACP$'!$K747</f>
        <v>0</v>
      </c>
      <c r="M747" s="157"/>
      <c r="N747" s="162" t="s">
        <v>127</v>
      </c>
      <c r="O747" s="163"/>
      <c r="P747" s="164">
        <f t="shared" si="13"/>
        <v>10</v>
      </c>
      <c r="Q747" s="165">
        <f t="shared" si="2"/>
        <v>0</v>
      </c>
      <c r="R747" s="166"/>
      <c r="S747" s="167"/>
      <c r="T747" s="168">
        <f t="shared" si="3"/>
        <v>0</v>
      </c>
      <c r="U747" s="168">
        <f t="shared" si="4"/>
        <v>0</v>
      </c>
      <c r="V747" s="168">
        <f t="shared" si="5"/>
        <v>0</v>
      </c>
      <c r="W747" s="168">
        <f t="shared" si="6"/>
        <v>0</v>
      </c>
      <c r="X747" s="168">
        <f t="shared" si="7"/>
        <v>0</v>
      </c>
      <c r="Y747" s="168">
        <f t="shared" si="8"/>
        <v>0</v>
      </c>
      <c r="Z747" s="168">
        <f t="shared" si="9"/>
        <v>0</v>
      </c>
    </row>
    <row r="748" ht="15.75" customHeight="1">
      <c r="A748" s="157">
        <v>1341.0</v>
      </c>
      <c r="B748" s="158"/>
      <c r="C748" s="158"/>
      <c r="D748" s="159"/>
      <c r="E748" s="157"/>
      <c r="F748" s="160"/>
      <c r="G748" s="160"/>
      <c r="H748" s="160"/>
      <c r="I748" s="160"/>
      <c r="J748" s="161"/>
      <c r="K748" s="160"/>
      <c r="L748" s="160">
        <f>+'FACP$'!$H748-'FACP$'!$I748-'FACP$'!$K748</f>
        <v>0</v>
      </c>
      <c r="M748" s="157"/>
      <c r="N748" s="162" t="s">
        <v>127</v>
      </c>
      <c r="O748" s="163"/>
      <c r="P748" s="164">
        <f t="shared" si="13"/>
        <v>10</v>
      </c>
      <c r="Q748" s="165">
        <f t="shared" si="2"/>
        <v>0</v>
      </c>
      <c r="R748" s="166"/>
      <c r="S748" s="167"/>
      <c r="T748" s="168">
        <f t="shared" si="3"/>
        <v>0</v>
      </c>
      <c r="U748" s="168">
        <f t="shared" si="4"/>
        <v>0</v>
      </c>
      <c r="V748" s="168">
        <f t="shared" si="5"/>
        <v>0</v>
      </c>
      <c r="W748" s="168">
        <f t="shared" si="6"/>
        <v>0</v>
      </c>
      <c r="X748" s="168">
        <f t="shared" si="7"/>
        <v>0</v>
      </c>
      <c r="Y748" s="168">
        <f t="shared" si="8"/>
        <v>0</v>
      </c>
      <c r="Z748" s="168">
        <f t="shared" si="9"/>
        <v>0</v>
      </c>
    </row>
    <row r="749" ht="15.75" customHeight="1">
      <c r="A749" s="157">
        <v>1342.0</v>
      </c>
      <c r="B749" s="158"/>
      <c r="C749" s="158"/>
      <c r="D749" s="159"/>
      <c r="E749" s="157"/>
      <c r="F749" s="160"/>
      <c r="G749" s="160"/>
      <c r="H749" s="160"/>
      <c r="I749" s="160"/>
      <c r="J749" s="161"/>
      <c r="K749" s="160"/>
      <c r="L749" s="160">
        <f>+'FACP$'!$H749-'FACP$'!$I749-'FACP$'!$K749</f>
        <v>0</v>
      </c>
      <c r="M749" s="157"/>
      <c r="N749" s="162" t="s">
        <v>127</v>
      </c>
      <c r="O749" s="163"/>
      <c r="P749" s="164">
        <f t="shared" si="13"/>
        <v>10</v>
      </c>
      <c r="Q749" s="165">
        <f t="shared" si="2"/>
        <v>0</v>
      </c>
      <c r="R749" s="166"/>
      <c r="S749" s="167"/>
      <c r="T749" s="168">
        <f t="shared" si="3"/>
        <v>0</v>
      </c>
      <c r="U749" s="168">
        <f t="shared" si="4"/>
        <v>0</v>
      </c>
      <c r="V749" s="168">
        <f t="shared" si="5"/>
        <v>0</v>
      </c>
      <c r="W749" s="168">
        <f t="shared" si="6"/>
        <v>0</v>
      </c>
      <c r="X749" s="168">
        <f t="shared" si="7"/>
        <v>0</v>
      </c>
      <c r="Y749" s="168">
        <f t="shared" si="8"/>
        <v>0</v>
      </c>
      <c r="Z749" s="168">
        <f t="shared" si="9"/>
        <v>0</v>
      </c>
    </row>
    <row r="750" ht="15.75" customHeight="1">
      <c r="A750" s="157">
        <v>1344.0</v>
      </c>
      <c r="B750" s="158" t="s">
        <v>856</v>
      </c>
      <c r="C750" s="158" t="s">
        <v>87</v>
      </c>
      <c r="D750" s="159">
        <v>43298.0</v>
      </c>
      <c r="E750" s="157" t="s">
        <v>8</v>
      </c>
      <c r="F750" s="160">
        <v>1724.14</v>
      </c>
      <c r="G750" s="160">
        <v>275.86</v>
      </c>
      <c r="H750" s="160">
        <f t="shared" ref="H750:H754" si="36">F750+G750</f>
        <v>2000</v>
      </c>
      <c r="I750" s="160"/>
      <c r="J750" s="161"/>
      <c r="K750" s="160"/>
      <c r="L750" s="160">
        <f>+'FACP$'!$H750-'FACP$'!$I750-'FACP$'!$K750</f>
        <v>2000</v>
      </c>
      <c r="M750" s="157" t="s">
        <v>858</v>
      </c>
      <c r="N750" s="162" t="s">
        <v>554</v>
      </c>
      <c r="O750" s="163"/>
      <c r="P750" s="164">
        <f t="shared" si="13"/>
        <v>43308</v>
      </c>
      <c r="Q750" s="165">
        <f t="shared" si="2"/>
        <v>0</v>
      </c>
      <c r="R750" s="166"/>
      <c r="S750" s="167"/>
      <c r="T750" s="168">
        <f t="shared" si="3"/>
        <v>2000</v>
      </c>
      <c r="U750" s="168">
        <f t="shared" si="4"/>
        <v>0</v>
      </c>
      <c r="V750" s="168">
        <f t="shared" si="5"/>
        <v>0</v>
      </c>
      <c r="W750" s="168">
        <f t="shared" si="6"/>
        <v>0</v>
      </c>
      <c r="X750" s="168">
        <f t="shared" si="7"/>
        <v>0</v>
      </c>
      <c r="Y750" s="168">
        <f t="shared" si="8"/>
        <v>0</v>
      </c>
      <c r="Z750" s="168">
        <f t="shared" si="9"/>
        <v>0</v>
      </c>
    </row>
    <row r="751" ht="15.75" customHeight="1">
      <c r="A751" s="157">
        <v>1345.0</v>
      </c>
      <c r="B751" s="158" t="s">
        <v>720</v>
      </c>
      <c r="C751" s="158" t="s">
        <v>87</v>
      </c>
      <c r="D751" s="159">
        <v>43340.0</v>
      </c>
      <c r="E751" s="157" t="s">
        <v>8</v>
      </c>
      <c r="F751" s="160">
        <v>17241.38</v>
      </c>
      <c r="G751" s="160">
        <v>2758.62</v>
      </c>
      <c r="H751" s="160">
        <f t="shared" si="36"/>
        <v>20000</v>
      </c>
      <c r="I751" s="160"/>
      <c r="J751" s="161"/>
      <c r="K751" s="160"/>
      <c r="L751" s="160">
        <f>+'FACP$'!$H751-'FACP$'!$I751-'FACP$'!$K751</f>
        <v>20000</v>
      </c>
      <c r="M751" s="157" t="s">
        <v>777</v>
      </c>
      <c r="N751" s="162" t="s">
        <v>554</v>
      </c>
      <c r="O751" s="163">
        <v>43376.0</v>
      </c>
      <c r="P751" s="164">
        <f t="shared" si="13"/>
        <v>43350</v>
      </c>
      <c r="Q751" s="165">
        <f t="shared" si="2"/>
        <v>0</v>
      </c>
      <c r="R751" s="166"/>
      <c r="S751" s="167"/>
      <c r="T751" s="168">
        <f t="shared" si="3"/>
        <v>20000</v>
      </c>
      <c r="U751" s="168">
        <f t="shared" si="4"/>
        <v>0</v>
      </c>
      <c r="V751" s="168">
        <f t="shared" si="5"/>
        <v>0</v>
      </c>
      <c r="W751" s="168">
        <f t="shared" si="6"/>
        <v>0</v>
      </c>
      <c r="X751" s="168">
        <f t="shared" si="7"/>
        <v>0</v>
      </c>
      <c r="Y751" s="168">
        <f t="shared" si="8"/>
        <v>0</v>
      </c>
      <c r="Z751" s="168">
        <f t="shared" si="9"/>
        <v>0</v>
      </c>
    </row>
    <row r="752" ht="15.75" customHeight="1">
      <c r="A752" s="157">
        <v>1346.0</v>
      </c>
      <c r="B752" s="158" t="s">
        <v>720</v>
      </c>
      <c r="C752" s="158" t="s">
        <v>87</v>
      </c>
      <c r="D752" s="159">
        <v>43340.0</v>
      </c>
      <c r="E752" s="157" t="s">
        <v>863</v>
      </c>
      <c r="F752" s="160">
        <v>13260.0</v>
      </c>
      <c r="G752" s="160">
        <v>2121.6</v>
      </c>
      <c r="H752" s="160">
        <f t="shared" si="36"/>
        <v>15381.6</v>
      </c>
      <c r="I752" s="160"/>
      <c r="J752" s="161"/>
      <c r="K752" s="160"/>
      <c r="L752" s="160">
        <f>+'FACP$'!$H752-'FACP$'!$I752-'FACP$'!$K752</f>
        <v>15381.6</v>
      </c>
      <c r="M752" s="157" t="s">
        <v>777</v>
      </c>
      <c r="N752" s="162" t="s">
        <v>554</v>
      </c>
      <c r="O752" s="163">
        <v>43376.0</v>
      </c>
      <c r="P752" s="164">
        <f t="shared" si="13"/>
        <v>43350</v>
      </c>
      <c r="Q752" s="165">
        <f t="shared" si="2"/>
        <v>0</v>
      </c>
      <c r="R752" s="166"/>
      <c r="S752" s="167"/>
      <c r="T752" s="168">
        <f t="shared" si="3"/>
        <v>15381.6</v>
      </c>
      <c r="U752" s="168">
        <f t="shared" si="4"/>
        <v>0</v>
      </c>
      <c r="V752" s="168">
        <f t="shared" si="5"/>
        <v>0</v>
      </c>
      <c r="W752" s="168">
        <f t="shared" si="6"/>
        <v>0</v>
      </c>
      <c r="X752" s="168">
        <f t="shared" si="7"/>
        <v>0</v>
      </c>
      <c r="Y752" s="168">
        <f t="shared" si="8"/>
        <v>0</v>
      </c>
      <c r="Z752" s="168">
        <f t="shared" si="9"/>
        <v>0</v>
      </c>
    </row>
    <row r="753" ht="15.75" customHeight="1">
      <c r="A753" s="157">
        <v>1347.0</v>
      </c>
      <c r="B753" s="158" t="s">
        <v>722</v>
      </c>
      <c r="C753" s="158" t="s">
        <v>87</v>
      </c>
      <c r="D753" s="159">
        <v>43327.0</v>
      </c>
      <c r="E753" s="157" t="s">
        <v>8</v>
      </c>
      <c r="F753" s="160">
        <v>8191596.51</v>
      </c>
      <c r="G753" s="160">
        <v>1310655.44</v>
      </c>
      <c r="H753" s="160">
        <f t="shared" si="36"/>
        <v>9502251.95</v>
      </c>
      <c r="I753" s="160"/>
      <c r="J753" s="161"/>
      <c r="K753" s="160"/>
      <c r="L753" s="160">
        <f>+'FACP$'!$H753-'FACP$'!$I753-'FACP$'!$K753</f>
        <v>9502251.95</v>
      </c>
      <c r="M753" s="157" t="s">
        <v>93</v>
      </c>
      <c r="N753" s="162" t="s">
        <v>554</v>
      </c>
      <c r="O753" s="163"/>
      <c r="P753" s="164">
        <f t="shared" si="13"/>
        <v>43337</v>
      </c>
      <c r="Q753" s="165">
        <f t="shared" si="2"/>
        <v>0</v>
      </c>
      <c r="R753" s="166"/>
      <c r="S753" s="167"/>
      <c r="T753" s="168">
        <f t="shared" si="3"/>
        <v>9502251.95</v>
      </c>
      <c r="U753" s="168">
        <f t="shared" si="4"/>
        <v>0</v>
      </c>
      <c r="V753" s="168">
        <f t="shared" si="5"/>
        <v>0</v>
      </c>
      <c r="W753" s="168">
        <f t="shared" si="6"/>
        <v>0</v>
      </c>
      <c r="X753" s="168">
        <f t="shared" si="7"/>
        <v>0</v>
      </c>
      <c r="Y753" s="168">
        <f t="shared" si="8"/>
        <v>0</v>
      </c>
      <c r="Z753" s="168">
        <f t="shared" si="9"/>
        <v>0</v>
      </c>
    </row>
    <row r="754" ht="15.75" customHeight="1">
      <c r="A754" s="157">
        <v>1348.0</v>
      </c>
      <c r="B754" s="158" t="s">
        <v>24</v>
      </c>
      <c r="C754" s="158" t="s">
        <v>87</v>
      </c>
      <c r="D754" s="159">
        <v>43327.0</v>
      </c>
      <c r="E754" s="157" t="s">
        <v>8</v>
      </c>
      <c r="F754" s="160">
        <v>177528.96</v>
      </c>
      <c r="G754" s="160">
        <v>28404.63</v>
      </c>
      <c r="H754" s="160">
        <f t="shared" si="36"/>
        <v>205933.59</v>
      </c>
      <c r="I754" s="160"/>
      <c r="J754" s="161"/>
      <c r="K754" s="160"/>
      <c r="L754" s="160">
        <f>+'FACP$'!$H754-'FACP$'!$I754-'FACP$'!$K754</f>
        <v>205933.59</v>
      </c>
      <c r="M754" s="157" t="s">
        <v>91</v>
      </c>
      <c r="N754" s="162" t="s">
        <v>554</v>
      </c>
      <c r="O754" s="163">
        <v>43434.0</v>
      </c>
      <c r="P754" s="164">
        <f t="shared" si="13"/>
        <v>43337</v>
      </c>
      <c r="Q754" s="165">
        <f t="shared" si="2"/>
        <v>0</v>
      </c>
      <c r="R754" s="166"/>
      <c r="S754" s="167"/>
      <c r="T754" s="168">
        <f t="shared" si="3"/>
        <v>205933.59</v>
      </c>
      <c r="U754" s="168">
        <f t="shared" si="4"/>
        <v>0</v>
      </c>
      <c r="V754" s="168">
        <f t="shared" si="5"/>
        <v>0</v>
      </c>
      <c r="W754" s="168">
        <f t="shared" si="6"/>
        <v>0</v>
      </c>
      <c r="X754" s="168">
        <f t="shared" si="7"/>
        <v>0</v>
      </c>
      <c r="Y754" s="168">
        <f t="shared" si="8"/>
        <v>0</v>
      </c>
      <c r="Z754" s="168">
        <f t="shared" si="9"/>
        <v>0</v>
      </c>
    </row>
    <row r="755" ht="15.75" customHeight="1">
      <c r="A755" s="157">
        <v>1349.0</v>
      </c>
      <c r="B755" s="158"/>
      <c r="C755" s="158"/>
      <c r="D755" s="159"/>
      <c r="E755" s="157"/>
      <c r="F755" s="160"/>
      <c r="G755" s="160"/>
      <c r="H755" s="160"/>
      <c r="I755" s="160"/>
      <c r="J755" s="161"/>
      <c r="K755" s="160"/>
      <c r="L755" s="160">
        <f>+'FACP$'!$H755-'FACP$'!$I755-'FACP$'!$K755</f>
        <v>0</v>
      </c>
      <c r="M755" s="157"/>
      <c r="N755" s="162" t="s">
        <v>127</v>
      </c>
      <c r="O755" s="163"/>
      <c r="P755" s="164">
        <f t="shared" si="13"/>
        <v>10</v>
      </c>
      <c r="Q755" s="165">
        <f t="shared" si="2"/>
        <v>0</v>
      </c>
      <c r="R755" s="166"/>
      <c r="S755" s="167"/>
      <c r="T755" s="168">
        <f t="shared" si="3"/>
        <v>0</v>
      </c>
      <c r="U755" s="168">
        <f t="shared" si="4"/>
        <v>0</v>
      </c>
      <c r="V755" s="168">
        <f t="shared" si="5"/>
        <v>0</v>
      </c>
      <c r="W755" s="168">
        <f t="shared" si="6"/>
        <v>0</v>
      </c>
      <c r="X755" s="168">
        <f t="shared" si="7"/>
        <v>0</v>
      </c>
      <c r="Y755" s="168">
        <f t="shared" si="8"/>
        <v>0</v>
      </c>
      <c r="Z755" s="168">
        <f t="shared" si="9"/>
        <v>0</v>
      </c>
    </row>
    <row r="756" ht="15.75" customHeight="1">
      <c r="A756" s="157">
        <v>1351.0</v>
      </c>
      <c r="B756" s="158" t="s">
        <v>29</v>
      </c>
      <c r="C756" s="158" t="s">
        <v>87</v>
      </c>
      <c r="D756" s="159">
        <v>43327.0</v>
      </c>
      <c r="E756" s="157" t="s">
        <v>8</v>
      </c>
      <c r="F756" s="160">
        <v>211742.3</v>
      </c>
      <c r="G756" s="160">
        <v>33878.77</v>
      </c>
      <c r="H756" s="160">
        <f>F756+G756</f>
        <v>245621.07</v>
      </c>
      <c r="I756" s="160"/>
      <c r="J756" s="161"/>
      <c r="K756" s="160"/>
      <c r="L756" s="160">
        <f>+'FACP$'!$H756-'FACP$'!$I756-'FACP$'!$K756</f>
        <v>245621.07</v>
      </c>
      <c r="M756" s="157" t="s">
        <v>825</v>
      </c>
      <c r="N756" s="162" t="s">
        <v>554</v>
      </c>
      <c r="O756" s="163">
        <v>43360.0</v>
      </c>
      <c r="P756" s="164">
        <f t="shared" si="13"/>
        <v>43337</v>
      </c>
      <c r="Q756" s="165">
        <f t="shared" si="2"/>
        <v>0</v>
      </c>
      <c r="R756" s="166"/>
      <c r="S756" s="167"/>
      <c r="T756" s="168">
        <f t="shared" si="3"/>
        <v>245621.07</v>
      </c>
      <c r="U756" s="168">
        <f t="shared" si="4"/>
        <v>0</v>
      </c>
      <c r="V756" s="168">
        <f t="shared" si="5"/>
        <v>0</v>
      </c>
      <c r="W756" s="168">
        <f t="shared" si="6"/>
        <v>0</v>
      </c>
      <c r="X756" s="168">
        <f t="shared" si="7"/>
        <v>0</v>
      </c>
      <c r="Y756" s="168">
        <f t="shared" si="8"/>
        <v>0</v>
      </c>
      <c r="Z756" s="168">
        <f t="shared" si="9"/>
        <v>0</v>
      </c>
    </row>
    <row r="757" ht="15.75" customHeight="1">
      <c r="A757" s="157">
        <v>1352.0</v>
      </c>
      <c r="B757" s="158"/>
      <c r="C757" s="158"/>
      <c r="D757" s="159"/>
      <c r="E757" s="157"/>
      <c r="F757" s="160"/>
      <c r="G757" s="160"/>
      <c r="H757" s="160"/>
      <c r="I757" s="160"/>
      <c r="J757" s="161"/>
      <c r="K757" s="160"/>
      <c r="L757" s="160">
        <f>+'FACP$'!$H757-'FACP$'!$I757-'FACP$'!$K757</f>
        <v>0</v>
      </c>
      <c r="M757" s="157"/>
      <c r="N757" s="162" t="s">
        <v>127</v>
      </c>
      <c r="O757" s="163"/>
      <c r="P757" s="164">
        <f t="shared" si="13"/>
        <v>10</v>
      </c>
      <c r="Q757" s="165">
        <f t="shared" si="2"/>
        <v>0</v>
      </c>
      <c r="R757" s="166"/>
      <c r="S757" s="167"/>
      <c r="T757" s="168">
        <f t="shared" si="3"/>
        <v>0</v>
      </c>
      <c r="U757" s="168">
        <f t="shared" si="4"/>
        <v>0</v>
      </c>
      <c r="V757" s="168">
        <f t="shared" si="5"/>
        <v>0</v>
      </c>
      <c r="W757" s="168">
        <f t="shared" si="6"/>
        <v>0</v>
      </c>
      <c r="X757" s="168">
        <f t="shared" si="7"/>
        <v>0</v>
      </c>
      <c r="Y757" s="168">
        <f t="shared" si="8"/>
        <v>0</v>
      </c>
      <c r="Z757" s="168">
        <f t="shared" si="9"/>
        <v>0</v>
      </c>
    </row>
    <row r="758" ht="15.75" customHeight="1">
      <c r="A758" s="157">
        <v>1355.0</v>
      </c>
      <c r="B758" s="158" t="s">
        <v>720</v>
      </c>
      <c r="C758" s="158" t="s">
        <v>87</v>
      </c>
      <c r="D758" s="159">
        <v>43327.0</v>
      </c>
      <c r="E758" s="157" t="s">
        <v>8</v>
      </c>
      <c r="F758" s="160">
        <v>495534.55</v>
      </c>
      <c r="G758" s="160">
        <v>79285.53</v>
      </c>
      <c r="H758" s="160">
        <f t="shared" ref="H758:H762" si="37">F758+G758</f>
        <v>574820.08</v>
      </c>
      <c r="I758" s="160"/>
      <c r="J758" s="161"/>
      <c r="K758" s="160"/>
      <c r="L758" s="160">
        <f>+'FACP$'!$H758-'FACP$'!$I758-'FACP$'!$K758</f>
        <v>574820.08</v>
      </c>
      <c r="M758" s="157" t="s">
        <v>777</v>
      </c>
      <c r="N758" s="162" t="s">
        <v>554</v>
      </c>
      <c r="O758" s="163">
        <v>43355.0</v>
      </c>
      <c r="P758" s="164">
        <f t="shared" si="13"/>
        <v>43337</v>
      </c>
      <c r="Q758" s="165">
        <f t="shared" si="2"/>
        <v>0</v>
      </c>
      <c r="R758" s="166"/>
      <c r="S758" s="167"/>
      <c r="T758" s="168">
        <f t="shared" si="3"/>
        <v>574820.08</v>
      </c>
      <c r="U758" s="168">
        <f t="shared" si="4"/>
        <v>0</v>
      </c>
      <c r="V758" s="168">
        <f t="shared" si="5"/>
        <v>0</v>
      </c>
      <c r="W758" s="168">
        <f t="shared" si="6"/>
        <v>0</v>
      </c>
      <c r="X758" s="168">
        <f t="shared" si="7"/>
        <v>0</v>
      </c>
      <c r="Y758" s="168">
        <f t="shared" si="8"/>
        <v>0</v>
      </c>
      <c r="Z758" s="168">
        <f t="shared" si="9"/>
        <v>0</v>
      </c>
    </row>
    <row r="759" ht="15.75" customHeight="1">
      <c r="A759" s="157">
        <v>1357.0</v>
      </c>
      <c r="B759" s="158" t="s">
        <v>82</v>
      </c>
      <c r="C759" s="158" t="s">
        <v>864</v>
      </c>
      <c r="D759" s="159">
        <v>43347.0</v>
      </c>
      <c r="E759" s="157" t="s">
        <v>8</v>
      </c>
      <c r="F759" s="160">
        <v>220475.78</v>
      </c>
      <c r="G759" s="160">
        <v>35276.12</v>
      </c>
      <c r="H759" s="160">
        <f t="shared" si="37"/>
        <v>255751.9</v>
      </c>
      <c r="I759" s="179"/>
      <c r="J759" s="177"/>
      <c r="K759" s="179"/>
      <c r="L759" s="179">
        <f>+'FACP$'!$H759-'FACP$'!$I759-'FACP$'!$K759</f>
        <v>255751.9</v>
      </c>
      <c r="M759" s="157" t="s">
        <v>96</v>
      </c>
      <c r="N759" s="162" t="s">
        <v>554</v>
      </c>
      <c r="O759" s="163">
        <v>43350.0</v>
      </c>
      <c r="P759" s="164">
        <f t="shared" si="13"/>
        <v>43357</v>
      </c>
      <c r="Q759" s="165">
        <f t="shared" si="2"/>
        <v>0</v>
      </c>
      <c r="R759" s="166"/>
      <c r="S759" s="167"/>
      <c r="T759" s="168">
        <f t="shared" si="3"/>
        <v>255751.9</v>
      </c>
      <c r="U759" s="168">
        <f t="shared" si="4"/>
        <v>0</v>
      </c>
      <c r="V759" s="168">
        <f t="shared" si="5"/>
        <v>0</v>
      </c>
      <c r="W759" s="168">
        <f t="shared" si="6"/>
        <v>0</v>
      </c>
      <c r="X759" s="168">
        <f t="shared" si="7"/>
        <v>0</v>
      </c>
      <c r="Y759" s="168">
        <f t="shared" si="8"/>
        <v>0</v>
      </c>
      <c r="Z759" s="168">
        <f t="shared" si="9"/>
        <v>0</v>
      </c>
    </row>
    <row r="760" ht="15.75" customHeight="1">
      <c r="A760" s="157">
        <v>1358.0</v>
      </c>
      <c r="B760" s="158" t="s">
        <v>712</v>
      </c>
      <c r="C760" s="158" t="s">
        <v>87</v>
      </c>
      <c r="D760" s="159">
        <v>43327.0</v>
      </c>
      <c r="E760" s="157" t="s">
        <v>8</v>
      </c>
      <c r="F760" s="160">
        <v>486471.9</v>
      </c>
      <c r="G760" s="160">
        <v>77835.5</v>
      </c>
      <c r="H760" s="160">
        <f t="shared" si="37"/>
        <v>564307.4</v>
      </c>
      <c r="I760" s="160"/>
      <c r="J760" s="161"/>
      <c r="K760" s="160"/>
      <c r="L760" s="160">
        <f>+'FACP$'!$H760-'FACP$'!$I760-'FACP$'!$K760</f>
        <v>564307.4</v>
      </c>
      <c r="M760" s="157" t="s">
        <v>712</v>
      </c>
      <c r="N760" s="162" t="s">
        <v>554</v>
      </c>
      <c r="O760" s="163">
        <v>43405.0</v>
      </c>
      <c r="P760" s="164">
        <f t="shared" si="13"/>
        <v>43337</v>
      </c>
      <c r="Q760" s="165">
        <f t="shared" si="2"/>
        <v>0</v>
      </c>
      <c r="R760" s="166"/>
      <c r="S760" s="167"/>
      <c r="T760" s="168">
        <f t="shared" si="3"/>
        <v>564307.4</v>
      </c>
      <c r="U760" s="168">
        <f t="shared" si="4"/>
        <v>0</v>
      </c>
      <c r="V760" s="168">
        <f t="shared" si="5"/>
        <v>0</v>
      </c>
      <c r="W760" s="168">
        <f t="shared" si="6"/>
        <v>0</v>
      </c>
      <c r="X760" s="168">
        <f t="shared" si="7"/>
        <v>0</v>
      </c>
      <c r="Y760" s="168">
        <f t="shared" si="8"/>
        <v>0</v>
      </c>
      <c r="Z760" s="168">
        <f t="shared" si="9"/>
        <v>0</v>
      </c>
    </row>
    <row r="761" ht="15.75" customHeight="1">
      <c r="A761" s="157">
        <v>1359.0</v>
      </c>
      <c r="B761" s="158" t="s">
        <v>712</v>
      </c>
      <c r="C761" s="158" t="s">
        <v>87</v>
      </c>
      <c r="D761" s="159">
        <v>43313.0</v>
      </c>
      <c r="E761" s="157" t="s">
        <v>8</v>
      </c>
      <c r="F761" s="160">
        <v>271433.2</v>
      </c>
      <c r="G761" s="160">
        <v>43429.31</v>
      </c>
      <c r="H761" s="160">
        <f t="shared" si="37"/>
        <v>314862.51</v>
      </c>
      <c r="I761" s="160"/>
      <c r="J761" s="161"/>
      <c r="K761" s="160"/>
      <c r="L761" s="160">
        <f>+'FACP$'!$H761-'FACP$'!$I761-'FACP$'!$K761</f>
        <v>314862.51</v>
      </c>
      <c r="M761" s="157" t="s">
        <v>712</v>
      </c>
      <c r="N761" s="162" t="s">
        <v>127</v>
      </c>
      <c r="O761" s="163"/>
      <c r="P761" s="164">
        <f t="shared" si="13"/>
        <v>43323</v>
      </c>
      <c r="Q761" s="165">
        <f t="shared" si="2"/>
        <v>0</v>
      </c>
      <c r="R761" s="166"/>
      <c r="S761" s="167"/>
      <c r="T761" s="168">
        <f t="shared" si="3"/>
        <v>314862.51</v>
      </c>
      <c r="U761" s="168">
        <f t="shared" si="4"/>
        <v>0</v>
      </c>
      <c r="V761" s="168">
        <f t="shared" si="5"/>
        <v>0</v>
      </c>
      <c r="W761" s="168">
        <f t="shared" si="6"/>
        <v>0</v>
      </c>
      <c r="X761" s="168">
        <f t="shared" si="7"/>
        <v>0</v>
      </c>
      <c r="Y761" s="168">
        <f t="shared" si="8"/>
        <v>0</v>
      </c>
      <c r="Z761" s="168">
        <f t="shared" si="9"/>
        <v>0</v>
      </c>
    </row>
    <row r="762" ht="15.75" customHeight="1">
      <c r="A762" s="157">
        <v>1360.0</v>
      </c>
      <c r="B762" s="158" t="s">
        <v>849</v>
      </c>
      <c r="C762" s="158" t="s">
        <v>87</v>
      </c>
      <c r="D762" s="159">
        <v>43327.0</v>
      </c>
      <c r="E762" s="157" t="s">
        <v>8</v>
      </c>
      <c r="F762" s="160">
        <v>2049295.72</v>
      </c>
      <c r="G762" s="160">
        <v>327887.32</v>
      </c>
      <c r="H762" s="160">
        <f t="shared" si="37"/>
        <v>2377183.04</v>
      </c>
      <c r="I762" s="160"/>
      <c r="J762" s="161"/>
      <c r="K762" s="160"/>
      <c r="L762" s="160">
        <f>+'FACP$'!$H762-'FACP$'!$I762-'FACP$'!$K762</f>
        <v>2377183.04</v>
      </c>
      <c r="M762" s="157" t="s">
        <v>850</v>
      </c>
      <c r="N762" s="162" t="s">
        <v>554</v>
      </c>
      <c r="O762" s="163">
        <v>43364.0</v>
      </c>
      <c r="P762" s="164">
        <f t="shared" si="13"/>
        <v>43337</v>
      </c>
      <c r="Q762" s="165">
        <f t="shared" si="2"/>
        <v>0</v>
      </c>
      <c r="R762" s="166"/>
      <c r="S762" s="167"/>
      <c r="T762" s="168">
        <f t="shared" si="3"/>
        <v>2377183.04</v>
      </c>
      <c r="U762" s="168">
        <f t="shared" si="4"/>
        <v>0</v>
      </c>
      <c r="V762" s="168">
        <f t="shared" si="5"/>
        <v>0</v>
      </c>
      <c r="W762" s="168">
        <f t="shared" si="6"/>
        <v>0</v>
      </c>
      <c r="X762" s="168">
        <f t="shared" si="7"/>
        <v>0</v>
      </c>
      <c r="Y762" s="168">
        <f t="shared" si="8"/>
        <v>0</v>
      </c>
      <c r="Z762" s="168">
        <f t="shared" si="9"/>
        <v>0</v>
      </c>
    </row>
    <row r="763" ht="15.75" customHeight="1">
      <c r="A763" s="157">
        <v>1361.0</v>
      </c>
      <c r="B763" s="158"/>
      <c r="C763" s="158"/>
      <c r="D763" s="159"/>
      <c r="E763" s="157"/>
      <c r="F763" s="160"/>
      <c r="G763" s="160"/>
      <c r="H763" s="160"/>
      <c r="I763" s="160"/>
      <c r="J763" s="161"/>
      <c r="K763" s="160"/>
      <c r="L763" s="160">
        <f>+'FACP$'!$H763-'FACP$'!$I763-'FACP$'!$K763</f>
        <v>0</v>
      </c>
      <c r="M763" s="157"/>
      <c r="N763" s="162" t="s">
        <v>127</v>
      </c>
      <c r="O763" s="163"/>
      <c r="P763" s="164">
        <f t="shared" si="13"/>
        <v>10</v>
      </c>
      <c r="Q763" s="165">
        <f t="shared" si="2"/>
        <v>0</v>
      </c>
      <c r="R763" s="166"/>
      <c r="S763" s="167"/>
      <c r="T763" s="168">
        <f t="shared" si="3"/>
        <v>0</v>
      </c>
      <c r="U763" s="168">
        <f t="shared" si="4"/>
        <v>0</v>
      </c>
      <c r="V763" s="168">
        <f t="shared" si="5"/>
        <v>0</v>
      </c>
      <c r="W763" s="168">
        <f t="shared" si="6"/>
        <v>0</v>
      </c>
      <c r="X763" s="168">
        <f t="shared" si="7"/>
        <v>0</v>
      </c>
      <c r="Y763" s="168">
        <f t="shared" si="8"/>
        <v>0</v>
      </c>
      <c r="Z763" s="168">
        <f t="shared" si="9"/>
        <v>0</v>
      </c>
    </row>
    <row r="764" ht="15.75" customHeight="1">
      <c r="A764" s="157">
        <v>1362.0</v>
      </c>
      <c r="B764" s="158" t="s">
        <v>37</v>
      </c>
      <c r="C764" s="158" t="s">
        <v>87</v>
      </c>
      <c r="D764" s="159"/>
      <c r="E764" s="157" t="s">
        <v>8</v>
      </c>
      <c r="F764" s="160"/>
      <c r="G764" s="160"/>
      <c r="H764" s="160">
        <f t="shared" ref="H764:H873" si="38">F764+G764</f>
        <v>0</v>
      </c>
      <c r="I764" s="160"/>
      <c r="J764" s="161"/>
      <c r="K764" s="160"/>
      <c r="L764" s="160">
        <f>+'FACP$'!$H764-'FACP$'!$I764-'FACP$'!$K764</f>
        <v>0</v>
      </c>
      <c r="M764" s="157"/>
      <c r="N764" s="162" t="s">
        <v>554</v>
      </c>
      <c r="O764" s="163">
        <v>43364.0</v>
      </c>
      <c r="P764" s="164">
        <f t="shared" si="13"/>
        <v>10</v>
      </c>
      <c r="Q764" s="165">
        <f t="shared" si="2"/>
        <v>0</v>
      </c>
      <c r="R764" s="166"/>
      <c r="S764" s="167"/>
      <c r="T764" s="168">
        <f t="shared" si="3"/>
        <v>0</v>
      </c>
      <c r="U764" s="168">
        <f t="shared" si="4"/>
        <v>0</v>
      </c>
      <c r="V764" s="168">
        <f t="shared" si="5"/>
        <v>0</v>
      </c>
      <c r="W764" s="168">
        <f t="shared" si="6"/>
        <v>0</v>
      </c>
      <c r="X764" s="168">
        <f t="shared" si="7"/>
        <v>0</v>
      </c>
      <c r="Y764" s="168">
        <f t="shared" si="8"/>
        <v>0</v>
      </c>
      <c r="Z764" s="168">
        <f t="shared" si="9"/>
        <v>0</v>
      </c>
    </row>
    <row r="765" ht="15.75" customHeight="1">
      <c r="A765" s="157">
        <v>1364.0</v>
      </c>
      <c r="B765" s="158"/>
      <c r="C765" s="158"/>
      <c r="D765" s="159"/>
      <c r="E765" s="157"/>
      <c r="F765" s="160"/>
      <c r="G765" s="160"/>
      <c r="H765" s="160">
        <f t="shared" si="38"/>
        <v>0</v>
      </c>
      <c r="I765" s="160"/>
      <c r="J765" s="161"/>
      <c r="K765" s="160"/>
      <c r="L765" s="160">
        <f>+'FACP$'!$H765-'FACP$'!$I765-'FACP$'!$K765</f>
        <v>0</v>
      </c>
      <c r="M765" s="157"/>
      <c r="N765" s="162" t="s">
        <v>127</v>
      </c>
      <c r="O765" s="163"/>
      <c r="P765" s="164">
        <f t="shared" si="13"/>
        <v>10</v>
      </c>
      <c r="Q765" s="165">
        <f t="shared" si="2"/>
        <v>0</v>
      </c>
      <c r="R765" s="166"/>
      <c r="S765" s="167"/>
      <c r="T765" s="168">
        <f t="shared" si="3"/>
        <v>0</v>
      </c>
      <c r="U765" s="168">
        <f t="shared" si="4"/>
        <v>0</v>
      </c>
      <c r="V765" s="168">
        <f t="shared" si="5"/>
        <v>0</v>
      </c>
      <c r="W765" s="168">
        <f t="shared" si="6"/>
        <v>0</v>
      </c>
      <c r="X765" s="168">
        <f t="shared" si="7"/>
        <v>0</v>
      </c>
      <c r="Y765" s="168">
        <f t="shared" si="8"/>
        <v>0</v>
      </c>
      <c r="Z765" s="168">
        <f t="shared" si="9"/>
        <v>0</v>
      </c>
    </row>
    <row r="766" ht="15.75" customHeight="1">
      <c r="A766" s="157">
        <v>1365.0</v>
      </c>
      <c r="B766" s="158" t="s">
        <v>101</v>
      </c>
      <c r="C766" s="158" t="s">
        <v>87</v>
      </c>
      <c r="D766" s="159">
        <v>43327.0</v>
      </c>
      <c r="E766" s="157" t="s">
        <v>8</v>
      </c>
      <c r="F766" s="160">
        <v>173441.59</v>
      </c>
      <c r="G766" s="160">
        <v>27750.65</v>
      </c>
      <c r="H766" s="160">
        <f t="shared" si="38"/>
        <v>201192.24</v>
      </c>
      <c r="I766" s="160"/>
      <c r="J766" s="161"/>
      <c r="K766" s="160"/>
      <c r="L766" s="160">
        <f>+'FACP$'!$H766-'FACP$'!$I766-'FACP$'!$K766</f>
        <v>201192.24</v>
      </c>
      <c r="M766" s="157" t="s">
        <v>732</v>
      </c>
      <c r="N766" s="162" t="s">
        <v>554</v>
      </c>
      <c r="O766" s="163">
        <v>43367.0</v>
      </c>
      <c r="P766" s="164">
        <f t="shared" si="13"/>
        <v>43337</v>
      </c>
      <c r="Q766" s="165">
        <f t="shared" si="2"/>
        <v>0</v>
      </c>
      <c r="R766" s="166"/>
      <c r="S766" s="167"/>
      <c r="T766" s="168">
        <f t="shared" si="3"/>
        <v>201192.24</v>
      </c>
      <c r="U766" s="168">
        <f t="shared" si="4"/>
        <v>0</v>
      </c>
      <c r="V766" s="168">
        <f t="shared" si="5"/>
        <v>0</v>
      </c>
      <c r="W766" s="168">
        <f t="shared" si="6"/>
        <v>0</v>
      </c>
      <c r="X766" s="168">
        <f t="shared" si="7"/>
        <v>0</v>
      </c>
      <c r="Y766" s="168">
        <f t="shared" si="8"/>
        <v>0</v>
      </c>
      <c r="Z766" s="168">
        <f t="shared" si="9"/>
        <v>0</v>
      </c>
    </row>
    <row r="767" ht="15.75" customHeight="1">
      <c r="A767" s="157">
        <v>1367.0</v>
      </c>
      <c r="B767" s="158" t="s">
        <v>101</v>
      </c>
      <c r="C767" s="158" t="s">
        <v>87</v>
      </c>
      <c r="D767" s="159">
        <v>43327.0</v>
      </c>
      <c r="E767" s="157" t="s">
        <v>8</v>
      </c>
      <c r="F767" s="160">
        <v>133367.58</v>
      </c>
      <c r="G767" s="160">
        <v>21338.81</v>
      </c>
      <c r="H767" s="160">
        <f t="shared" si="38"/>
        <v>154706.39</v>
      </c>
      <c r="I767" s="160"/>
      <c r="J767" s="161"/>
      <c r="K767" s="160"/>
      <c r="L767" s="160">
        <f>+'FACP$'!$H767-'FACP$'!$I767-'FACP$'!$K767</f>
        <v>154706.39</v>
      </c>
      <c r="M767" s="157" t="s">
        <v>586</v>
      </c>
      <c r="N767" s="162" t="s">
        <v>554</v>
      </c>
      <c r="O767" s="163">
        <v>43367.0</v>
      </c>
      <c r="P767" s="164">
        <f t="shared" si="13"/>
        <v>43337</v>
      </c>
      <c r="Q767" s="165">
        <f t="shared" si="2"/>
        <v>0</v>
      </c>
      <c r="R767" s="166"/>
      <c r="S767" s="167"/>
      <c r="T767" s="168">
        <f t="shared" si="3"/>
        <v>154706.39</v>
      </c>
      <c r="U767" s="168">
        <f t="shared" si="4"/>
        <v>0</v>
      </c>
      <c r="V767" s="168">
        <f t="shared" si="5"/>
        <v>0</v>
      </c>
      <c r="W767" s="168">
        <f t="shared" si="6"/>
        <v>0</v>
      </c>
      <c r="X767" s="168">
        <f t="shared" si="7"/>
        <v>0</v>
      </c>
      <c r="Y767" s="168">
        <f t="shared" si="8"/>
        <v>0</v>
      </c>
      <c r="Z767" s="168">
        <f t="shared" si="9"/>
        <v>0</v>
      </c>
    </row>
    <row r="768" ht="15.75" customHeight="1">
      <c r="A768" s="157">
        <v>1379.0</v>
      </c>
      <c r="B768" s="158" t="s">
        <v>24</v>
      </c>
      <c r="C768" s="158" t="s">
        <v>87</v>
      </c>
      <c r="D768" s="159">
        <v>43327.0</v>
      </c>
      <c r="E768" s="157" t="s">
        <v>8</v>
      </c>
      <c r="F768" s="160">
        <v>96288.0</v>
      </c>
      <c r="G768" s="160">
        <v>15406.08</v>
      </c>
      <c r="H768" s="160">
        <f t="shared" si="38"/>
        <v>111694.08</v>
      </c>
      <c r="I768" s="160"/>
      <c r="J768" s="161"/>
      <c r="K768" s="160"/>
      <c r="L768" s="160">
        <f>+'FACP$'!$H768-'FACP$'!$I768-'FACP$'!$K768</f>
        <v>111694.08</v>
      </c>
      <c r="M768" s="157" t="s">
        <v>91</v>
      </c>
      <c r="N768" s="162" t="s">
        <v>554</v>
      </c>
      <c r="O768" s="163">
        <v>43434.0</v>
      </c>
      <c r="P768" s="164">
        <f t="shared" si="13"/>
        <v>43337</v>
      </c>
      <c r="Q768" s="165">
        <f t="shared" si="2"/>
        <v>0</v>
      </c>
      <c r="R768" s="166"/>
      <c r="S768" s="167"/>
      <c r="T768" s="168">
        <f t="shared" si="3"/>
        <v>111694.08</v>
      </c>
      <c r="U768" s="168">
        <f t="shared" si="4"/>
        <v>0</v>
      </c>
      <c r="V768" s="168">
        <f t="shared" si="5"/>
        <v>0</v>
      </c>
      <c r="W768" s="168">
        <f t="shared" si="6"/>
        <v>0</v>
      </c>
      <c r="X768" s="168">
        <f t="shared" si="7"/>
        <v>0</v>
      </c>
      <c r="Y768" s="168">
        <f t="shared" si="8"/>
        <v>0</v>
      </c>
      <c r="Z768" s="168">
        <f t="shared" si="9"/>
        <v>0</v>
      </c>
    </row>
    <row r="769" ht="15.75" customHeight="1">
      <c r="A769" s="157">
        <v>1382.0</v>
      </c>
      <c r="B769" s="158" t="s">
        <v>101</v>
      </c>
      <c r="C769" s="158" t="s">
        <v>87</v>
      </c>
      <c r="D769" s="159">
        <v>43344.0</v>
      </c>
      <c r="E769" s="157" t="s">
        <v>8</v>
      </c>
      <c r="F769" s="160">
        <v>111686.1</v>
      </c>
      <c r="G769" s="160">
        <v>17869.78</v>
      </c>
      <c r="H769" s="160">
        <f t="shared" si="38"/>
        <v>129555.88</v>
      </c>
      <c r="I769" s="160"/>
      <c r="J769" s="161"/>
      <c r="K769" s="160"/>
      <c r="L769" s="160">
        <f>+'FACP$'!$H769-'FACP$'!$I769-'FACP$'!$K769</f>
        <v>129555.88</v>
      </c>
      <c r="M769" s="157" t="s">
        <v>732</v>
      </c>
      <c r="N769" s="162" t="s">
        <v>554</v>
      </c>
      <c r="O769" s="163">
        <v>43397.0</v>
      </c>
      <c r="P769" s="164">
        <f t="shared" si="13"/>
        <v>43354</v>
      </c>
      <c r="Q769" s="165">
        <f t="shared" si="2"/>
        <v>0</v>
      </c>
      <c r="R769" s="166"/>
      <c r="S769" s="167"/>
      <c r="T769" s="168">
        <f t="shared" si="3"/>
        <v>129555.88</v>
      </c>
      <c r="U769" s="168">
        <f t="shared" si="4"/>
        <v>0</v>
      </c>
      <c r="V769" s="168">
        <f t="shared" si="5"/>
        <v>0</v>
      </c>
      <c r="W769" s="168">
        <f t="shared" si="6"/>
        <v>0</v>
      </c>
      <c r="X769" s="168">
        <f t="shared" si="7"/>
        <v>0</v>
      </c>
      <c r="Y769" s="168">
        <f t="shared" si="8"/>
        <v>0</v>
      </c>
      <c r="Z769" s="168">
        <f t="shared" si="9"/>
        <v>0</v>
      </c>
    </row>
    <row r="770" ht="15.75" customHeight="1">
      <c r="A770" s="157">
        <v>1384.0</v>
      </c>
      <c r="B770" s="158" t="s">
        <v>101</v>
      </c>
      <c r="C770" s="158" t="s">
        <v>87</v>
      </c>
      <c r="D770" s="159">
        <v>43344.0</v>
      </c>
      <c r="E770" s="157" t="s">
        <v>8</v>
      </c>
      <c r="F770" s="160">
        <v>113777.6</v>
      </c>
      <c r="G770" s="160">
        <v>18204.42</v>
      </c>
      <c r="H770" s="160">
        <f t="shared" si="38"/>
        <v>131982.02</v>
      </c>
      <c r="I770" s="160"/>
      <c r="J770" s="161"/>
      <c r="K770" s="160"/>
      <c r="L770" s="160">
        <f>+'FACP$'!$H770-'FACP$'!$I770-'FACP$'!$K770</f>
        <v>131982.02</v>
      </c>
      <c r="M770" s="157" t="s">
        <v>586</v>
      </c>
      <c r="N770" s="162" t="s">
        <v>554</v>
      </c>
      <c r="O770" s="163">
        <v>43397.0</v>
      </c>
      <c r="P770" s="164">
        <f t="shared" si="13"/>
        <v>43354</v>
      </c>
      <c r="Q770" s="165">
        <f t="shared" si="2"/>
        <v>0</v>
      </c>
      <c r="R770" s="166"/>
      <c r="S770" s="167"/>
      <c r="T770" s="168">
        <f t="shared" si="3"/>
        <v>131982.02</v>
      </c>
      <c r="U770" s="168">
        <f t="shared" si="4"/>
        <v>0</v>
      </c>
      <c r="V770" s="168">
        <f t="shared" si="5"/>
        <v>0</v>
      </c>
      <c r="W770" s="168">
        <f t="shared" si="6"/>
        <v>0</v>
      </c>
      <c r="X770" s="168">
        <f t="shared" si="7"/>
        <v>0</v>
      </c>
      <c r="Y770" s="168">
        <f t="shared" si="8"/>
        <v>0</v>
      </c>
      <c r="Z770" s="168">
        <f t="shared" si="9"/>
        <v>0</v>
      </c>
    </row>
    <row r="771" ht="15.75" customHeight="1">
      <c r="A771" s="157">
        <v>1386.0</v>
      </c>
      <c r="B771" s="158" t="s">
        <v>37</v>
      </c>
      <c r="C771" s="158" t="s">
        <v>87</v>
      </c>
      <c r="D771" s="159">
        <v>43344.0</v>
      </c>
      <c r="E771" s="157" t="s">
        <v>8</v>
      </c>
      <c r="F771" s="160">
        <v>1689565.8</v>
      </c>
      <c r="G771" s="160">
        <v>270330.53</v>
      </c>
      <c r="H771" s="160">
        <f t="shared" si="38"/>
        <v>1959896.33</v>
      </c>
      <c r="I771" s="160"/>
      <c r="J771" s="161"/>
      <c r="K771" s="160"/>
      <c r="L771" s="160">
        <f>+'FACP$'!$H771-'FACP$'!$I771-'FACP$'!$K771</f>
        <v>1959896.33</v>
      </c>
      <c r="M771" s="157" t="s">
        <v>718</v>
      </c>
      <c r="N771" s="162" t="s">
        <v>554</v>
      </c>
      <c r="O771" s="163">
        <v>43402.0</v>
      </c>
      <c r="P771" s="164">
        <f t="shared" si="13"/>
        <v>43354</v>
      </c>
      <c r="Q771" s="165">
        <f t="shared" si="2"/>
        <v>0</v>
      </c>
      <c r="R771" s="166"/>
      <c r="S771" s="167"/>
      <c r="T771" s="168">
        <f t="shared" si="3"/>
        <v>1959896.33</v>
      </c>
      <c r="U771" s="168">
        <f t="shared" si="4"/>
        <v>0</v>
      </c>
      <c r="V771" s="168">
        <f t="shared" si="5"/>
        <v>0</v>
      </c>
      <c r="W771" s="168">
        <f t="shared" si="6"/>
        <v>0</v>
      </c>
      <c r="X771" s="168">
        <f t="shared" si="7"/>
        <v>0</v>
      </c>
      <c r="Y771" s="168">
        <f t="shared" si="8"/>
        <v>0</v>
      </c>
      <c r="Z771" s="168">
        <f t="shared" si="9"/>
        <v>0</v>
      </c>
    </row>
    <row r="772" ht="15.75" customHeight="1">
      <c r="A772" s="157">
        <v>1388.0</v>
      </c>
      <c r="B772" s="158" t="s">
        <v>24</v>
      </c>
      <c r="C772" s="158" t="s">
        <v>87</v>
      </c>
      <c r="D772" s="159">
        <v>43344.0</v>
      </c>
      <c r="E772" s="157" t="s">
        <v>8</v>
      </c>
      <c r="F772" s="160">
        <v>90232.02</v>
      </c>
      <c r="G772" s="160">
        <v>14437.12</v>
      </c>
      <c r="H772" s="160">
        <f t="shared" si="38"/>
        <v>104669.14</v>
      </c>
      <c r="I772" s="160"/>
      <c r="J772" s="161"/>
      <c r="K772" s="160"/>
      <c r="L772" s="160">
        <f>+'FACP$'!$H772-'FACP$'!$I772-'FACP$'!$K772</f>
        <v>104669.14</v>
      </c>
      <c r="M772" s="157" t="s">
        <v>91</v>
      </c>
      <c r="N772" s="162" t="s">
        <v>554</v>
      </c>
      <c r="O772" s="163">
        <v>43434.0</v>
      </c>
      <c r="P772" s="164">
        <f t="shared" si="13"/>
        <v>43354</v>
      </c>
      <c r="Q772" s="165">
        <f t="shared" si="2"/>
        <v>0</v>
      </c>
      <c r="R772" s="166"/>
      <c r="S772" s="167"/>
      <c r="T772" s="168">
        <f t="shared" si="3"/>
        <v>104669.14</v>
      </c>
      <c r="U772" s="168">
        <f t="shared" si="4"/>
        <v>0</v>
      </c>
      <c r="V772" s="168">
        <f t="shared" si="5"/>
        <v>0</v>
      </c>
      <c r="W772" s="168">
        <f t="shared" si="6"/>
        <v>0</v>
      </c>
      <c r="X772" s="168">
        <f t="shared" si="7"/>
        <v>0</v>
      </c>
      <c r="Y772" s="168">
        <f t="shared" si="8"/>
        <v>0</v>
      </c>
      <c r="Z772" s="168">
        <f t="shared" si="9"/>
        <v>0</v>
      </c>
    </row>
    <row r="773" ht="15.75" customHeight="1">
      <c r="A773" s="157">
        <v>1390.0</v>
      </c>
      <c r="B773" s="158" t="s">
        <v>722</v>
      </c>
      <c r="C773" s="158" t="s">
        <v>87</v>
      </c>
      <c r="D773" s="159">
        <v>43344.0</v>
      </c>
      <c r="E773" s="157" t="s">
        <v>8</v>
      </c>
      <c r="F773" s="160">
        <v>6746451.6</v>
      </c>
      <c r="G773" s="160">
        <v>1079432.26</v>
      </c>
      <c r="H773" s="160">
        <f t="shared" si="38"/>
        <v>7825883.86</v>
      </c>
      <c r="I773" s="160"/>
      <c r="J773" s="161"/>
      <c r="K773" s="160"/>
      <c r="L773" s="160">
        <f>+'FACP$'!$H773-'FACP$'!$I773-'FACP$'!$K773</f>
        <v>7825883.86</v>
      </c>
      <c r="M773" s="157" t="s">
        <v>93</v>
      </c>
      <c r="N773" s="162" t="s">
        <v>554</v>
      </c>
      <c r="O773" s="163">
        <v>43377.0</v>
      </c>
      <c r="P773" s="164">
        <f t="shared" si="13"/>
        <v>43354</v>
      </c>
      <c r="Q773" s="165">
        <f t="shared" si="2"/>
        <v>0</v>
      </c>
      <c r="R773" s="166"/>
      <c r="S773" s="167"/>
      <c r="T773" s="168">
        <f t="shared" si="3"/>
        <v>7825883.86</v>
      </c>
      <c r="U773" s="168">
        <f t="shared" si="4"/>
        <v>0</v>
      </c>
      <c r="V773" s="168">
        <f t="shared" si="5"/>
        <v>0</v>
      </c>
      <c r="W773" s="168">
        <f t="shared" si="6"/>
        <v>0</v>
      </c>
      <c r="X773" s="168">
        <f t="shared" si="7"/>
        <v>0</v>
      </c>
      <c r="Y773" s="168">
        <f t="shared" si="8"/>
        <v>0</v>
      </c>
      <c r="Z773" s="168">
        <f t="shared" si="9"/>
        <v>0</v>
      </c>
    </row>
    <row r="774" ht="15.75" customHeight="1">
      <c r="A774" s="157">
        <v>1391.0</v>
      </c>
      <c r="B774" s="158" t="s">
        <v>24</v>
      </c>
      <c r="C774" s="158" t="s">
        <v>87</v>
      </c>
      <c r="D774" s="159">
        <v>43344.0</v>
      </c>
      <c r="E774" s="157" t="s">
        <v>8</v>
      </c>
      <c r="F774" s="160">
        <v>155596.87</v>
      </c>
      <c r="G774" s="160">
        <v>24895.5</v>
      </c>
      <c r="H774" s="160">
        <f t="shared" si="38"/>
        <v>180492.37</v>
      </c>
      <c r="I774" s="160"/>
      <c r="J774" s="161"/>
      <c r="K774" s="160"/>
      <c r="L774" s="160">
        <f>+'FACP$'!$H774-'FACP$'!$I774-'FACP$'!$K774</f>
        <v>180492.37</v>
      </c>
      <c r="M774" s="157" t="s">
        <v>91</v>
      </c>
      <c r="N774" s="162" t="s">
        <v>554</v>
      </c>
      <c r="O774" s="163">
        <v>43395.0</v>
      </c>
      <c r="P774" s="164">
        <f t="shared" si="13"/>
        <v>43354</v>
      </c>
      <c r="Q774" s="165">
        <f t="shared" si="2"/>
        <v>0</v>
      </c>
      <c r="R774" s="166"/>
      <c r="S774" s="167"/>
      <c r="T774" s="168">
        <f t="shared" si="3"/>
        <v>180492.37</v>
      </c>
      <c r="U774" s="168">
        <f t="shared" si="4"/>
        <v>0</v>
      </c>
      <c r="V774" s="168">
        <f t="shared" si="5"/>
        <v>0</v>
      </c>
      <c r="W774" s="168">
        <f t="shared" si="6"/>
        <v>0</v>
      </c>
      <c r="X774" s="168">
        <f t="shared" si="7"/>
        <v>0</v>
      </c>
      <c r="Y774" s="168">
        <f t="shared" si="8"/>
        <v>0</v>
      </c>
      <c r="Z774" s="168">
        <f t="shared" si="9"/>
        <v>0</v>
      </c>
    </row>
    <row r="775" ht="15.75" customHeight="1">
      <c r="A775" s="157">
        <v>1393.0</v>
      </c>
      <c r="B775" s="158" t="s">
        <v>722</v>
      </c>
      <c r="C775" s="158" t="s">
        <v>87</v>
      </c>
      <c r="D775" s="159">
        <v>43358.0</v>
      </c>
      <c r="E775" s="157" t="s">
        <v>8</v>
      </c>
      <c r="F775" s="160">
        <v>8221810.7</v>
      </c>
      <c r="G775" s="160">
        <v>1315489.71</v>
      </c>
      <c r="H775" s="160">
        <f t="shared" si="38"/>
        <v>9537300.41</v>
      </c>
      <c r="I775" s="160"/>
      <c r="J775" s="161"/>
      <c r="K775" s="160"/>
      <c r="L775" s="160">
        <f>+'FACP$'!$H775-'FACP$'!$I775-'FACP$'!$K775</f>
        <v>9537300.41</v>
      </c>
      <c r="M775" s="157" t="s">
        <v>93</v>
      </c>
      <c r="N775" s="162" t="s">
        <v>554</v>
      </c>
      <c r="O775" s="163">
        <v>43384.0</v>
      </c>
      <c r="P775" s="164">
        <f t="shared" si="13"/>
        <v>43368</v>
      </c>
      <c r="Q775" s="165">
        <f t="shared" si="2"/>
        <v>0</v>
      </c>
      <c r="R775" s="166"/>
      <c r="S775" s="167"/>
      <c r="T775" s="168">
        <f t="shared" si="3"/>
        <v>9537300.41</v>
      </c>
      <c r="U775" s="168">
        <f t="shared" si="4"/>
        <v>0</v>
      </c>
      <c r="V775" s="168">
        <f t="shared" si="5"/>
        <v>0</v>
      </c>
      <c r="W775" s="168">
        <f t="shared" si="6"/>
        <v>0</v>
      </c>
      <c r="X775" s="168">
        <f t="shared" si="7"/>
        <v>0</v>
      </c>
      <c r="Y775" s="168">
        <f t="shared" si="8"/>
        <v>0</v>
      </c>
      <c r="Z775" s="168">
        <f t="shared" si="9"/>
        <v>0</v>
      </c>
    </row>
    <row r="776" ht="15.75" customHeight="1">
      <c r="A776" s="157">
        <v>1394.0</v>
      </c>
      <c r="B776" s="158" t="s">
        <v>29</v>
      </c>
      <c r="C776" s="158" t="s">
        <v>87</v>
      </c>
      <c r="D776" s="159">
        <v>43358.0</v>
      </c>
      <c r="E776" s="157" t="s">
        <v>8</v>
      </c>
      <c r="F776" s="160">
        <v>281068.48</v>
      </c>
      <c r="G776" s="160">
        <v>44970.96</v>
      </c>
      <c r="H776" s="160">
        <f t="shared" si="38"/>
        <v>326039.44</v>
      </c>
      <c r="I776" s="160"/>
      <c r="J776" s="161"/>
      <c r="K776" s="160"/>
      <c r="L776" s="160">
        <f>+'FACP$'!$H776-'FACP$'!$I776-'FACP$'!$K776</f>
        <v>326039.44</v>
      </c>
      <c r="M776" s="157" t="s">
        <v>825</v>
      </c>
      <c r="N776" s="162" t="s">
        <v>554</v>
      </c>
      <c r="O776" s="163">
        <v>43402.0</v>
      </c>
      <c r="P776" s="164">
        <f t="shared" si="13"/>
        <v>43368</v>
      </c>
      <c r="Q776" s="165">
        <f t="shared" si="2"/>
        <v>0</v>
      </c>
      <c r="R776" s="166"/>
      <c r="S776" s="167"/>
      <c r="T776" s="168">
        <f t="shared" si="3"/>
        <v>326039.44</v>
      </c>
      <c r="U776" s="168">
        <f t="shared" si="4"/>
        <v>0</v>
      </c>
      <c r="V776" s="168">
        <f t="shared" si="5"/>
        <v>0</v>
      </c>
      <c r="W776" s="168">
        <f t="shared" si="6"/>
        <v>0</v>
      </c>
      <c r="X776" s="168">
        <f t="shared" si="7"/>
        <v>0</v>
      </c>
      <c r="Y776" s="168">
        <f t="shared" si="8"/>
        <v>0</v>
      </c>
      <c r="Z776" s="168">
        <f t="shared" si="9"/>
        <v>0</v>
      </c>
    </row>
    <row r="777" ht="15.75" customHeight="1">
      <c r="A777" s="157">
        <v>1396.0</v>
      </c>
      <c r="B777" s="158" t="s">
        <v>24</v>
      </c>
      <c r="C777" s="158" t="s">
        <v>87</v>
      </c>
      <c r="D777" s="159">
        <v>43358.0</v>
      </c>
      <c r="E777" s="157" t="s">
        <v>8</v>
      </c>
      <c r="F777" s="160">
        <v>165222.2</v>
      </c>
      <c r="G777" s="160">
        <v>26435.55</v>
      </c>
      <c r="H777" s="160">
        <f t="shared" si="38"/>
        <v>191657.75</v>
      </c>
      <c r="I777" s="160"/>
      <c r="J777" s="161"/>
      <c r="K777" s="160"/>
      <c r="L777" s="160">
        <f>+'FACP$'!$H777-'FACP$'!$I777-'FACP$'!$K777</f>
        <v>191657.75</v>
      </c>
      <c r="M777" s="157" t="s">
        <v>91</v>
      </c>
      <c r="N777" s="162" t="s">
        <v>554</v>
      </c>
      <c r="O777" s="163">
        <v>43395.0</v>
      </c>
      <c r="P777" s="164">
        <f t="shared" si="13"/>
        <v>43368</v>
      </c>
      <c r="Q777" s="165">
        <f t="shared" si="2"/>
        <v>0</v>
      </c>
      <c r="R777" s="166"/>
      <c r="S777" s="167"/>
      <c r="T777" s="168">
        <f t="shared" si="3"/>
        <v>191657.75</v>
      </c>
      <c r="U777" s="168">
        <f t="shared" si="4"/>
        <v>0</v>
      </c>
      <c r="V777" s="168">
        <f t="shared" si="5"/>
        <v>0</v>
      </c>
      <c r="W777" s="168">
        <f t="shared" si="6"/>
        <v>0</v>
      </c>
      <c r="X777" s="168">
        <f t="shared" si="7"/>
        <v>0</v>
      </c>
      <c r="Y777" s="168">
        <f t="shared" si="8"/>
        <v>0</v>
      </c>
      <c r="Z777" s="168">
        <f t="shared" si="9"/>
        <v>0</v>
      </c>
    </row>
    <row r="778" ht="15.75" customHeight="1">
      <c r="A778" s="157">
        <v>1398.0</v>
      </c>
      <c r="B778" s="158" t="s">
        <v>43</v>
      </c>
      <c r="C778" s="158" t="s">
        <v>87</v>
      </c>
      <c r="D778" s="159">
        <v>43354.0</v>
      </c>
      <c r="E778" s="157" t="s">
        <v>8</v>
      </c>
      <c r="F778" s="160">
        <v>223643.36</v>
      </c>
      <c r="G778" s="160">
        <v>35782.94</v>
      </c>
      <c r="H778" s="160">
        <f t="shared" si="38"/>
        <v>259426.3</v>
      </c>
      <c r="I778" s="160"/>
      <c r="J778" s="161"/>
      <c r="K778" s="160"/>
      <c r="L778" s="160">
        <f>+'FACP$'!$H778-'FACP$'!$I778-'FACP$'!$K778</f>
        <v>259426.3</v>
      </c>
      <c r="M778" s="157" t="s">
        <v>43</v>
      </c>
      <c r="N778" s="162" t="s">
        <v>554</v>
      </c>
      <c r="O778" s="163">
        <v>43405.0</v>
      </c>
      <c r="P778" s="164">
        <f t="shared" si="13"/>
        <v>43364</v>
      </c>
      <c r="Q778" s="165">
        <f t="shared" si="2"/>
        <v>0</v>
      </c>
      <c r="R778" s="166"/>
      <c r="S778" s="167"/>
      <c r="T778" s="168">
        <f t="shared" si="3"/>
        <v>259426.3</v>
      </c>
      <c r="U778" s="168">
        <f t="shared" si="4"/>
        <v>0</v>
      </c>
      <c r="V778" s="168">
        <f t="shared" si="5"/>
        <v>0</v>
      </c>
      <c r="W778" s="168">
        <f t="shared" si="6"/>
        <v>0</v>
      </c>
      <c r="X778" s="168">
        <f t="shared" si="7"/>
        <v>0</v>
      </c>
      <c r="Y778" s="168">
        <f t="shared" si="8"/>
        <v>0</v>
      </c>
      <c r="Z778" s="168">
        <f t="shared" si="9"/>
        <v>0</v>
      </c>
    </row>
    <row r="779" ht="15.75" customHeight="1">
      <c r="A779" s="157">
        <v>1398.0</v>
      </c>
      <c r="B779" s="158" t="s">
        <v>43</v>
      </c>
      <c r="C779" s="158" t="s">
        <v>87</v>
      </c>
      <c r="D779" s="159">
        <v>43719.0</v>
      </c>
      <c r="E779" s="157" t="s">
        <v>8</v>
      </c>
      <c r="F779" s="160">
        <v>223643.36</v>
      </c>
      <c r="G779" s="160">
        <v>35782.94</v>
      </c>
      <c r="H779" s="160">
        <f t="shared" si="38"/>
        <v>259426.3</v>
      </c>
      <c r="I779" s="160"/>
      <c r="J779" s="161"/>
      <c r="K779" s="160"/>
      <c r="L779" s="160">
        <f>+'FACP$'!$H779-'FACP$'!$I779-'FACP$'!$K779</f>
        <v>259426.3</v>
      </c>
      <c r="M779" s="157" t="s">
        <v>103</v>
      </c>
      <c r="N779" s="162" t="s">
        <v>554</v>
      </c>
      <c r="O779" s="163"/>
      <c r="P779" s="164">
        <f t="shared" si="13"/>
        <v>43729</v>
      </c>
      <c r="Q779" s="165">
        <f t="shared" si="2"/>
        <v>0</v>
      </c>
      <c r="R779" s="166"/>
      <c r="S779" s="167"/>
      <c r="T779" s="168">
        <f t="shared" si="3"/>
        <v>259426.3</v>
      </c>
      <c r="U779" s="168">
        <f t="shared" si="4"/>
        <v>0</v>
      </c>
      <c r="V779" s="168">
        <f t="shared" si="5"/>
        <v>0</v>
      </c>
      <c r="W779" s="168">
        <f t="shared" si="6"/>
        <v>0</v>
      </c>
      <c r="X779" s="168">
        <f t="shared" si="7"/>
        <v>0</v>
      </c>
      <c r="Y779" s="168">
        <f t="shared" si="8"/>
        <v>0</v>
      </c>
      <c r="Z779" s="168">
        <f t="shared" si="9"/>
        <v>0</v>
      </c>
    </row>
    <row r="780" ht="15.75" customHeight="1">
      <c r="A780" s="157">
        <v>1400.0</v>
      </c>
      <c r="B780" s="158" t="s">
        <v>29</v>
      </c>
      <c r="C780" s="158" t="s">
        <v>87</v>
      </c>
      <c r="D780" s="159">
        <v>43344.0</v>
      </c>
      <c r="E780" s="157" t="s">
        <v>8</v>
      </c>
      <c r="F780" s="160">
        <v>86659.66</v>
      </c>
      <c r="G780" s="160">
        <v>13865.55</v>
      </c>
      <c r="H780" s="160">
        <f t="shared" si="38"/>
        <v>100525.21</v>
      </c>
      <c r="I780" s="160"/>
      <c r="J780" s="161"/>
      <c r="K780" s="160"/>
      <c r="L780" s="160">
        <f>+'FACP$'!$H780-'FACP$'!$I780-'FACP$'!$K780</f>
        <v>100525.21</v>
      </c>
      <c r="M780" s="157" t="s">
        <v>91</v>
      </c>
      <c r="N780" s="162" t="s">
        <v>127</v>
      </c>
      <c r="O780" s="163"/>
      <c r="P780" s="164">
        <f t="shared" si="13"/>
        <v>43354</v>
      </c>
      <c r="Q780" s="165">
        <f t="shared" si="2"/>
        <v>0</v>
      </c>
      <c r="R780" s="166"/>
      <c r="S780" s="167"/>
      <c r="T780" s="168">
        <f t="shared" si="3"/>
        <v>100525.21</v>
      </c>
      <c r="U780" s="168">
        <f t="shared" si="4"/>
        <v>0</v>
      </c>
      <c r="V780" s="168">
        <f t="shared" si="5"/>
        <v>0</v>
      </c>
      <c r="W780" s="168">
        <f t="shared" si="6"/>
        <v>0</v>
      </c>
      <c r="X780" s="168">
        <f t="shared" si="7"/>
        <v>0</v>
      </c>
      <c r="Y780" s="168">
        <f t="shared" si="8"/>
        <v>0</v>
      </c>
      <c r="Z780" s="168">
        <f t="shared" si="9"/>
        <v>0</v>
      </c>
    </row>
    <row r="781" ht="15.75" customHeight="1">
      <c r="A781" s="157">
        <v>1402.0</v>
      </c>
      <c r="B781" s="158" t="s">
        <v>29</v>
      </c>
      <c r="C781" s="158" t="s">
        <v>87</v>
      </c>
      <c r="D781" s="159">
        <v>43344.0</v>
      </c>
      <c r="E781" s="157" t="s">
        <v>8</v>
      </c>
      <c r="F781" s="160">
        <v>342411.3</v>
      </c>
      <c r="G781" s="160">
        <v>54785.81</v>
      </c>
      <c r="H781" s="160">
        <f t="shared" si="38"/>
        <v>397197.11</v>
      </c>
      <c r="I781" s="160"/>
      <c r="J781" s="161"/>
      <c r="K781" s="160"/>
      <c r="L781" s="160">
        <f>+'FACP$'!$H781-'FACP$'!$I781-'FACP$'!$K781</f>
        <v>397197.11</v>
      </c>
      <c r="M781" s="157" t="s">
        <v>825</v>
      </c>
      <c r="N781" s="162" t="s">
        <v>554</v>
      </c>
      <c r="O781" s="163">
        <v>43388.0</v>
      </c>
      <c r="P781" s="164">
        <f t="shared" si="13"/>
        <v>43354</v>
      </c>
      <c r="Q781" s="165">
        <f t="shared" si="2"/>
        <v>0</v>
      </c>
      <c r="R781" s="166"/>
      <c r="S781" s="167"/>
      <c r="T781" s="168">
        <f t="shared" si="3"/>
        <v>397197.11</v>
      </c>
      <c r="U781" s="168">
        <f t="shared" si="4"/>
        <v>0</v>
      </c>
      <c r="V781" s="168">
        <f t="shared" si="5"/>
        <v>0</v>
      </c>
      <c r="W781" s="168">
        <f t="shared" si="6"/>
        <v>0</v>
      </c>
      <c r="X781" s="168">
        <f t="shared" si="7"/>
        <v>0</v>
      </c>
      <c r="Y781" s="168">
        <f t="shared" si="8"/>
        <v>0</v>
      </c>
      <c r="Z781" s="168">
        <f t="shared" si="9"/>
        <v>0</v>
      </c>
    </row>
    <row r="782" ht="15.75" customHeight="1">
      <c r="A782" s="157">
        <v>1402.0</v>
      </c>
      <c r="B782" s="158" t="s">
        <v>29</v>
      </c>
      <c r="C782" s="158" t="s">
        <v>87</v>
      </c>
      <c r="D782" s="159">
        <v>43344.0</v>
      </c>
      <c r="E782" s="157" t="s">
        <v>8</v>
      </c>
      <c r="F782" s="160">
        <v>342411.3</v>
      </c>
      <c r="G782" s="160">
        <v>54785.81</v>
      </c>
      <c r="H782" s="160">
        <f t="shared" si="38"/>
        <v>397197.11</v>
      </c>
      <c r="I782" s="160"/>
      <c r="J782" s="161"/>
      <c r="K782" s="160"/>
      <c r="L782" s="160">
        <f>+'FACP$'!$H782-'FACP$'!$I782-'FACP$'!$K782</f>
        <v>397197.11</v>
      </c>
      <c r="M782" s="157" t="s">
        <v>825</v>
      </c>
      <c r="N782" s="162" t="s">
        <v>554</v>
      </c>
      <c r="O782" s="163"/>
      <c r="P782" s="164">
        <f t="shared" si="13"/>
        <v>43354</v>
      </c>
      <c r="Q782" s="165">
        <f t="shared" si="2"/>
        <v>0</v>
      </c>
      <c r="R782" s="166"/>
      <c r="S782" s="167"/>
      <c r="T782" s="168">
        <f t="shared" si="3"/>
        <v>397197.11</v>
      </c>
      <c r="U782" s="168">
        <f t="shared" si="4"/>
        <v>0</v>
      </c>
      <c r="V782" s="168">
        <f t="shared" si="5"/>
        <v>0</v>
      </c>
      <c r="W782" s="168">
        <f t="shared" si="6"/>
        <v>0</v>
      </c>
      <c r="X782" s="168">
        <f t="shared" si="7"/>
        <v>0</v>
      </c>
      <c r="Y782" s="168">
        <f t="shared" si="8"/>
        <v>0</v>
      </c>
      <c r="Z782" s="168">
        <f t="shared" si="9"/>
        <v>0</v>
      </c>
    </row>
    <row r="783" ht="15.75" customHeight="1">
      <c r="A783" s="157">
        <v>1404.0</v>
      </c>
      <c r="B783" s="158" t="s">
        <v>37</v>
      </c>
      <c r="C783" s="158" t="s">
        <v>87</v>
      </c>
      <c r="D783" s="159">
        <v>43358.0</v>
      </c>
      <c r="E783" s="157" t="s">
        <v>8</v>
      </c>
      <c r="F783" s="160">
        <v>1232718.5</v>
      </c>
      <c r="G783" s="160">
        <v>197234.96</v>
      </c>
      <c r="H783" s="160">
        <f t="shared" si="38"/>
        <v>1429953.46</v>
      </c>
      <c r="I783" s="160"/>
      <c r="J783" s="161"/>
      <c r="K783" s="160"/>
      <c r="L783" s="160">
        <f>+'FACP$'!$H783-'FACP$'!$I783-'FACP$'!$K783</f>
        <v>1429953.46</v>
      </c>
      <c r="M783" s="157" t="s">
        <v>718</v>
      </c>
      <c r="N783" s="162" t="s">
        <v>554</v>
      </c>
      <c r="O783" s="163">
        <v>43402.0</v>
      </c>
      <c r="P783" s="164">
        <f t="shared" si="13"/>
        <v>43368</v>
      </c>
      <c r="Q783" s="165">
        <f t="shared" si="2"/>
        <v>0</v>
      </c>
      <c r="R783" s="166"/>
      <c r="S783" s="167"/>
      <c r="T783" s="168">
        <f t="shared" si="3"/>
        <v>1429953.46</v>
      </c>
      <c r="U783" s="168">
        <f t="shared" si="4"/>
        <v>0</v>
      </c>
      <c r="V783" s="168">
        <f t="shared" si="5"/>
        <v>0</v>
      </c>
      <c r="W783" s="168">
        <f t="shared" si="6"/>
        <v>0</v>
      </c>
      <c r="X783" s="168">
        <f t="shared" si="7"/>
        <v>0</v>
      </c>
      <c r="Y783" s="168">
        <f t="shared" si="8"/>
        <v>0</v>
      </c>
      <c r="Z783" s="168">
        <f t="shared" si="9"/>
        <v>0</v>
      </c>
    </row>
    <row r="784" ht="15.75" customHeight="1">
      <c r="A784" s="157">
        <v>1404.0</v>
      </c>
      <c r="B784" s="158" t="s">
        <v>37</v>
      </c>
      <c r="C784" s="158" t="s">
        <v>87</v>
      </c>
      <c r="D784" s="159">
        <v>43723.0</v>
      </c>
      <c r="E784" s="157" t="s">
        <v>8</v>
      </c>
      <c r="F784" s="160">
        <v>1232718.5</v>
      </c>
      <c r="G784" s="160">
        <v>197234.96</v>
      </c>
      <c r="H784" s="160">
        <f t="shared" si="38"/>
        <v>1429953.46</v>
      </c>
      <c r="I784" s="160"/>
      <c r="J784" s="161"/>
      <c r="K784" s="160"/>
      <c r="L784" s="160">
        <f>+'FACP$'!$H784-'FACP$'!$I784-'FACP$'!$K784</f>
        <v>1429953.46</v>
      </c>
      <c r="M784" s="157" t="s">
        <v>718</v>
      </c>
      <c r="N784" s="162" t="s">
        <v>554</v>
      </c>
      <c r="O784" s="163"/>
      <c r="P784" s="164">
        <f t="shared" si="13"/>
        <v>43733</v>
      </c>
      <c r="Q784" s="165">
        <f t="shared" si="2"/>
        <v>0</v>
      </c>
      <c r="R784" s="166"/>
      <c r="S784" s="167"/>
      <c r="T784" s="168">
        <f t="shared" si="3"/>
        <v>1429953.46</v>
      </c>
      <c r="U784" s="168">
        <f t="shared" si="4"/>
        <v>0</v>
      </c>
      <c r="V784" s="168">
        <f t="shared" si="5"/>
        <v>0</v>
      </c>
      <c r="W784" s="168">
        <f t="shared" si="6"/>
        <v>0</v>
      </c>
      <c r="X784" s="168">
        <f t="shared" si="7"/>
        <v>0</v>
      </c>
      <c r="Y784" s="168">
        <f t="shared" si="8"/>
        <v>0</v>
      </c>
      <c r="Z784" s="168">
        <f t="shared" si="9"/>
        <v>0</v>
      </c>
    </row>
    <row r="785" ht="15.75" customHeight="1">
      <c r="A785" s="157">
        <v>1406.0</v>
      </c>
      <c r="B785" s="158" t="s">
        <v>101</v>
      </c>
      <c r="C785" s="158" t="s">
        <v>87</v>
      </c>
      <c r="D785" s="159">
        <v>43358.0</v>
      </c>
      <c r="E785" s="157" t="s">
        <v>8</v>
      </c>
      <c r="F785" s="160">
        <v>124318.76</v>
      </c>
      <c r="G785" s="160">
        <v>19891.0</v>
      </c>
      <c r="H785" s="160">
        <f t="shared" si="38"/>
        <v>144209.76</v>
      </c>
      <c r="I785" s="160"/>
      <c r="J785" s="161"/>
      <c r="K785" s="160"/>
      <c r="L785" s="160">
        <f>+'FACP$'!$H785-'FACP$'!$I785-'FACP$'!$K785</f>
        <v>144209.76</v>
      </c>
      <c r="M785" s="157" t="s">
        <v>586</v>
      </c>
      <c r="N785" s="162" t="s">
        <v>554</v>
      </c>
      <c r="O785" s="163">
        <v>43397.0</v>
      </c>
      <c r="P785" s="164">
        <f t="shared" si="13"/>
        <v>43368</v>
      </c>
      <c r="Q785" s="165">
        <f t="shared" si="2"/>
        <v>0</v>
      </c>
      <c r="R785" s="166"/>
      <c r="S785" s="167"/>
      <c r="T785" s="168">
        <f t="shared" si="3"/>
        <v>144209.76</v>
      </c>
      <c r="U785" s="168">
        <f t="shared" si="4"/>
        <v>0</v>
      </c>
      <c r="V785" s="168">
        <f t="shared" si="5"/>
        <v>0</v>
      </c>
      <c r="W785" s="168">
        <f t="shared" si="6"/>
        <v>0</v>
      </c>
      <c r="X785" s="168">
        <f t="shared" si="7"/>
        <v>0</v>
      </c>
      <c r="Y785" s="168">
        <f t="shared" si="8"/>
        <v>0</v>
      </c>
      <c r="Z785" s="168">
        <f t="shared" si="9"/>
        <v>0</v>
      </c>
    </row>
    <row r="786" ht="15.75" customHeight="1">
      <c r="A786" s="157">
        <v>1406.0</v>
      </c>
      <c r="B786" s="158" t="s">
        <v>101</v>
      </c>
      <c r="C786" s="158" t="s">
        <v>87</v>
      </c>
      <c r="D786" s="159">
        <v>43358.0</v>
      </c>
      <c r="E786" s="157" t="s">
        <v>8</v>
      </c>
      <c r="F786" s="160">
        <v>124318.76</v>
      </c>
      <c r="G786" s="160">
        <v>19891.0</v>
      </c>
      <c r="H786" s="160">
        <f t="shared" si="38"/>
        <v>144209.76</v>
      </c>
      <c r="I786" s="160"/>
      <c r="J786" s="161"/>
      <c r="K786" s="160"/>
      <c r="L786" s="160">
        <f>+'FACP$'!$H786-'FACP$'!$I786-'FACP$'!$K786</f>
        <v>144209.76</v>
      </c>
      <c r="M786" s="157" t="s">
        <v>586</v>
      </c>
      <c r="N786" s="162" t="s">
        <v>554</v>
      </c>
      <c r="O786" s="163">
        <v>43397.0</v>
      </c>
      <c r="P786" s="164">
        <f t="shared" si="13"/>
        <v>43368</v>
      </c>
      <c r="Q786" s="165">
        <f t="shared" si="2"/>
        <v>0</v>
      </c>
      <c r="R786" s="166"/>
      <c r="S786" s="167"/>
      <c r="T786" s="168">
        <f t="shared" si="3"/>
        <v>144209.76</v>
      </c>
      <c r="U786" s="168">
        <f t="shared" si="4"/>
        <v>0</v>
      </c>
      <c r="V786" s="168">
        <f t="shared" si="5"/>
        <v>0</v>
      </c>
      <c r="W786" s="168">
        <f t="shared" si="6"/>
        <v>0</v>
      </c>
      <c r="X786" s="168">
        <f t="shared" si="7"/>
        <v>0</v>
      </c>
      <c r="Y786" s="168">
        <f t="shared" si="8"/>
        <v>0</v>
      </c>
      <c r="Z786" s="168">
        <f t="shared" si="9"/>
        <v>0</v>
      </c>
    </row>
    <row r="787" ht="15.75" customHeight="1">
      <c r="A787" s="157">
        <v>1408.0</v>
      </c>
      <c r="B787" s="158" t="s">
        <v>101</v>
      </c>
      <c r="C787" s="158" t="s">
        <v>87</v>
      </c>
      <c r="D787" s="159">
        <v>43358.0</v>
      </c>
      <c r="E787" s="157" t="s">
        <v>8</v>
      </c>
      <c r="F787" s="160">
        <v>108758.0</v>
      </c>
      <c r="G787" s="160">
        <v>17401.28</v>
      </c>
      <c r="H787" s="160">
        <f t="shared" si="38"/>
        <v>126159.28</v>
      </c>
      <c r="I787" s="160"/>
      <c r="J787" s="161"/>
      <c r="K787" s="160"/>
      <c r="L787" s="160">
        <f>+'FACP$'!$H787-'FACP$'!$I787-'FACP$'!$K787</f>
        <v>126159.28</v>
      </c>
      <c r="M787" s="157" t="s">
        <v>732</v>
      </c>
      <c r="N787" s="162" t="s">
        <v>554</v>
      </c>
      <c r="O787" s="163">
        <v>43397.0</v>
      </c>
      <c r="P787" s="164">
        <f t="shared" si="13"/>
        <v>43368</v>
      </c>
      <c r="Q787" s="165">
        <f t="shared" si="2"/>
        <v>0</v>
      </c>
      <c r="R787" s="166"/>
      <c r="S787" s="167"/>
      <c r="T787" s="168">
        <f t="shared" si="3"/>
        <v>126159.28</v>
      </c>
      <c r="U787" s="168">
        <f t="shared" si="4"/>
        <v>0</v>
      </c>
      <c r="V787" s="168">
        <f t="shared" si="5"/>
        <v>0</v>
      </c>
      <c r="W787" s="168">
        <f t="shared" si="6"/>
        <v>0</v>
      </c>
      <c r="X787" s="168">
        <f t="shared" si="7"/>
        <v>0</v>
      </c>
      <c r="Y787" s="168">
        <f t="shared" si="8"/>
        <v>0</v>
      </c>
      <c r="Z787" s="168">
        <f t="shared" si="9"/>
        <v>0</v>
      </c>
    </row>
    <row r="788" ht="15.75" customHeight="1">
      <c r="A788" s="157">
        <v>1408.0</v>
      </c>
      <c r="B788" s="158" t="s">
        <v>101</v>
      </c>
      <c r="C788" s="158" t="s">
        <v>87</v>
      </c>
      <c r="D788" s="159">
        <v>43358.0</v>
      </c>
      <c r="E788" s="157" t="s">
        <v>8</v>
      </c>
      <c r="F788" s="160">
        <v>108758.0</v>
      </c>
      <c r="G788" s="160">
        <v>17401.28</v>
      </c>
      <c r="H788" s="160">
        <f t="shared" si="38"/>
        <v>126159.28</v>
      </c>
      <c r="I788" s="160"/>
      <c r="J788" s="161"/>
      <c r="K788" s="160"/>
      <c r="L788" s="160">
        <f>+'FACP$'!$H788-'FACP$'!$I788-'FACP$'!$K788</f>
        <v>126159.28</v>
      </c>
      <c r="M788" s="157" t="s">
        <v>732</v>
      </c>
      <c r="N788" s="162" t="s">
        <v>554</v>
      </c>
      <c r="O788" s="163">
        <v>43397.0</v>
      </c>
      <c r="P788" s="164">
        <f t="shared" si="13"/>
        <v>43368</v>
      </c>
      <c r="Q788" s="165">
        <f t="shared" si="2"/>
        <v>0</v>
      </c>
      <c r="R788" s="166"/>
      <c r="S788" s="167"/>
      <c r="T788" s="168">
        <f t="shared" si="3"/>
        <v>126159.28</v>
      </c>
      <c r="U788" s="168">
        <f t="shared" si="4"/>
        <v>0</v>
      </c>
      <c r="V788" s="168">
        <f t="shared" si="5"/>
        <v>0</v>
      </c>
      <c r="W788" s="168">
        <f t="shared" si="6"/>
        <v>0</v>
      </c>
      <c r="X788" s="168">
        <f t="shared" si="7"/>
        <v>0</v>
      </c>
      <c r="Y788" s="168">
        <f t="shared" si="8"/>
        <v>0</v>
      </c>
      <c r="Z788" s="168">
        <f t="shared" si="9"/>
        <v>0</v>
      </c>
    </row>
    <row r="789" ht="15.75" customHeight="1">
      <c r="A789" s="157">
        <v>1411.0</v>
      </c>
      <c r="B789" s="158" t="s">
        <v>43</v>
      </c>
      <c r="C789" s="158" t="s">
        <v>87</v>
      </c>
      <c r="D789" s="159">
        <v>43374.0</v>
      </c>
      <c r="E789" s="157" t="s">
        <v>8</v>
      </c>
      <c r="F789" s="160">
        <v>245052.35</v>
      </c>
      <c r="G789" s="160">
        <v>39208.38</v>
      </c>
      <c r="H789" s="160">
        <f t="shared" si="38"/>
        <v>284260.73</v>
      </c>
      <c r="I789" s="160"/>
      <c r="J789" s="161"/>
      <c r="K789" s="160"/>
      <c r="L789" s="160">
        <f>+'FACP$'!$H789-'FACP$'!$I789-'FACP$'!$K789</f>
        <v>284260.73</v>
      </c>
      <c r="M789" s="157" t="s">
        <v>43</v>
      </c>
      <c r="N789" s="162" t="s">
        <v>554</v>
      </c>
      <c r="O789" s="163">
        <v>43413.0</v>
      </c>
      <c r="P789" s="164">
        <f t="shared" si="13"/>
        <v>43384</v>
      </c>
      <c r="Q789" s="165">
        <f t="shared" si="2"/>
        <v>0</v>
      </c>
      <c r="R789" s="166"/>
      <c r="S789" s="167"/>
      <c r="T789" s="168">
        <f t="shared" si="3"/>
        <v>284260.73</v>
      </c>
      <c r="U789" s="168">
        <f t="shared" si="4"/>
        <v>0</v>
      </c>
      <c r="V789" s="168">
        <f t="shared" si="5"/>
        <v>0</v>
      </c>
      <c r="W789" s="168">
        <f t="shared" si="6"/>
        <v>0</v>
      </c>
      <c r="X789" s="168">
        <f t="shared" si="7"/>
        <v>0</v>
      </c>
      <c r="Y789" s="168">
        <f t="shared" si="8"/>
        <v>0</v>
      </c>
      <c r="Z789" s="168">
        <f t="shared" si="9"/>
        <v>0</v>
      </c>
    </row>
    <row r="790" ht="15.75" customHeight="1">
      <c r="A790" s="157">
        <v>1415.0</v>
      </c>
      <c r="B790" s="158" t="s">
        <v>24</v>
      </c>
      <c r="C790" s="158" t="s">
        <v>87</v>
      </c>
      <c r="D790" s="159">
        <v>43374.0</v>
      </c>
      <c r="E790" s="157" t="s">
        <v>8</v>
      </c>
      <c r="F790" s="160">
        <v>155668.6</v>
      </c>
      <c r="G790" s="160">
        <v>24906.98</v>
      </c>
      <c r="H790" s="160">
        <f t="shared" si="38"/>
        <v>180575.58</v>
      </c>
      <c r="I790" s="160"/>
      <c r="J790" s="161"/>
      <c r="K790" s="160"/>
      <c r="L790" s="160">
        <f>+'FACP$'!$H790-'FACP$'!$I790-'FACP$'!$K790</f>
        <v>180575.58</v>
      </c>
      <c r="M790" s="157" t="s">
        <v>91</v>
      </c>
      <c r="N790" s="162" t="s">
        <v>554</v>
      </c>
      <c r="O790" s="163">
        <v>43426.0</v>
      </c>
      <c r="P790" s="164">
        <f t="shared" si="13"/>
        <v>43384</v>
      </c>
      <c r="Q790" s="165">
        <f t="shared" si="2"/>
        <v>0</v>
      </c>
      <c r="R790" s="166"/>
      <c r="S790" s="167"/>
      <c r="T790" s="168">
        <f t="shared" si="3"/>
        <v>180575.58</v>
      </c>
      <c r="U790" s="168">
        <f t="shared" si="4"/>
        <v>0</v>
      </c>
      <c r="V790" s="168">
        <f t="shared" si="5"/>
        <v>0</v>
      </c>
      <c r="W790" s="168">
        <f t="shared" si="6"/>
        <v>0</v>
      </c>
      <c r="X790" s="168">
        <f t="shared" si="7"/>
        <v>0</v>
      </c>
      <c r="Y790" s="168">
        <f t="shared" si="8"/>
        <v>0</v>
      </c>
      <c r="Z790" s="168">
        <f t="shared" si="9"/>
        <v>0</v>
      </c>
    </row>
    <row r="791" ht="15.75" customHeight="1">
      <c r="A791" s="157">
        <v>1418.0</v>
      </c>
      <c r="B791" s="158" t="s">
        <v>29</v>
      </c>
      <c r="C791" s="158" t="s">
        <v>87</v>
      </c>
      <c r="D791" s="159">
        <v>43374.0</v>
      </c>
      <c r="E791" s="157" t="s">
        <v>8</v>
      </c>
      <c r="F791" s="160">
        <v>340129.75</v>
      </c>
      <c r="G791" s="160">
        <v>54420.76</v>
      </c>
      <c r="H791" s="160">
        <f t="shared" si="38"/>
        <v>394550.51</v>
      </c>
      <c r="I791" s="160"/>
      <c r="J791" s="161"/>
      <c r="K791" s="160"/>
      <c r="L791" s="160">
        <f>+'FACP$'!$H791-'FACP$'!$I791-'FACP$'!$K791</f>
        <v>394550.51</v>
      </c>
      <c r="M791" s="157" t="s">
        <v>825</v>
      </c>
      <c r="N791" s="162" t="s">
        <v>554</v>
      </c>
      <c r="O791" s="163">
        <v>43402.0</v>
      </c>
      <c r="P791" s="164">
        <f t="shared" si="13"/>
        <v>43384</v>
      </c>
      <c r="Q791" s="165">
        <f t="shared" si="2"/>
        <v>0</v>
      </c>
      <c r="R791" s="166"/>
      <c r="S791" s="167"/>
      <c r="T791" s="168">
        <f t="shared" si="3"/>
        <v>394550.51</v>
      </c>
      <c r="U791" s="168">
        <f t="shared" si="4"/>
        <v>0</v>
      </c>
      <c r="V791" s="168">
        <f t="shared" si="5"/>
        <v>0</v>
      </c>
      <c r="W791" s="168">
        <f t="shared" si="6"/>
        <v>0</v>
      </c>
      <c r="X791" s="168">
        <f t="shared" si="7"/>
        <v>0</v>
      </c>
      <c r="Y791" s="168">
        <f t="shared" si="8"/>
        <v>0</v>
      </c>
      <c r="Z791" s="168">
        <f t="shared" si="9"/>
        <v>0</v>
      </c>
    </row>
    <row r="792" ht="15.75" customHeight="1">
      <c r="A792" s="157">
        <v>1420.0</v>
      </c>
      <c r="B792" s="158" t="s">
        <v>722</v>
      </c>
      <c r="C792" s="158" t="s">
        <v>87</v>
      </c>
      <c r="D792" s="159">
        <v>43374.0</v>
      </c>
      <c r="E792" s="157" t="s">
        <v>8</v>
      </c>
      <c r="F792" s="160">
        <v>5122481.0</v>
      </c>
      <c r="G792" s="160">
        <v>819596.96</v>
      </c>
      <c r="H792" s="160">
        <f t="shared" si="38"/>
        <v>5942077.96</v>
      </c>
      <c r="I792" s="160"/>
      <c r="J792" s="161"/>
      <c r="K792" s="160"/>
      <c r="L792" s="160">
        <f>+'FACP$'!$H792-'FACP$'!$I792-'FACP$'!$K792</f>
        <v>5942077.96</v>
      </c>
      <c r="M792" s="157" t="s">
        <v>93</v>
      </c>
      <c r="N792" s="162" t="s">
        <v>554</v>
      </c>
      <c r="O792" s="163">
        <v>43434.0</v>
      </c>
      <c r="P792" s="164">
        <f t="shared" si="13"/>
        <v>43384</v>
      </c>
      <c r="Q792" s="165">
        <f t="shared" si="2"/>
        <v>0</v>
      </c>
      <c r="R792" s="166"/>
      <c r="S792" s="167"/>
      <c r="T792" s="168">
        <f t="shared" si="3"/>
        <v>5942077.96</v>
      </c>
      <c r="U792" s="168">
        <f t="shared" si="4"/>
        <v>0</v>
      </c>
      <c r="V792" s="168">
        <f t="shared" si="5"/>
        <v>0</v>
      </c>
      <c r="W792" s="168">
        <f t="shared" si="6"/>
        <v>0</v>
      </c>
      <c r="X792" s="168">
        <f t="shared" si="7"/>
        <v>0</v>
      </c>
      <c r="Y792" s="168">
        <f t="shared" si="8"/>
        <v>0</v>
      </c>
      <c r="Z792" s="168">
        <f t="shared" si="9"/>
        <v>0</v>
      </c>
    </row>
    <row r="793" ht="15.75" customHeight="1">
      <c r="A793" s="157">
        <v>1424.0</v>
      </c>
      <c r="B793" s="158" t="s">
        <v>24</v>
      </c>
      <c r="C793" s="158" t="s">
        <v>87</v>
      </c>
      <c r="D793" s="159">
        <v>43358.0</v>
      </c>
      <c r="E793" s="157" t="s">
        <v>8</v>
      </c>
      <c r="F793" s="160">
        <v>17364.51</v>
      </c>
      <c r="G793" s="160">
        <v>2778.32</v>
      </c>
      <c r="H793" s="160">
        <f t="shared" si="38"/>
        <v>20142.83</v>
      </c>
      <c r="I793" s="160"/>
      <c r="J793" s="161"/>
      <c r="K793" s="160"/>
      <c r="L793" s="160">
        <f>+'FACP$'!$H793-'FACP$'!$I793-'FACP$'!$K793</f>
        <v>20142.83</v>
      </c>
      <c r="M793" s="157" t="s">
        <v>91</v>
      </c>
      <c r="N793" s="162" t="s">
        <v>554</v>
      </c>
      <c r="O793" s="163">
        <v>43434.0</v>
      </c>
      <c r="P793" s="164">
        <f t="shared" si="13"/>
        <v>43368</v>
      </c>
      <c r="Q793" s="165">
        <f t="shared" si="2"/>
        <v>0</v>
      </c>
      <c r="R793" s="166"/>
      <c r="S793" s="167"/>
      <c r="T793" s="168">
        <f t="shared" si="3"/>
        <v>20142.83</v>
      </c>
      <c r="U793" s="168">
        <f t="shared" si="4"/>
        <v>0</v>
      </c>
      <c r="V793" s="168">
        <f t="shared" si="5"/>
        <v>0</v>
      </c>
      <c r="W793" s="168">
        <f t="shared" si="6"/>
        <v>0</v>
      </c>
      <c r="X793" s="168">
        <f t="shared" si="7"/>
        <v>0</v>
      </c>
      <c r="Y793" s="168">
        <f t="shared" si="8"/>
        <v>0</v>
      </c>
      <c r="Z793" s="168">
        <f t="shared" si="9"/>
        <v>0</v>
      </c>
    </row>
    <row r="794" ht="15.75" customHeight="1">
      <c r="A794" s="157">
        <v>1426.0</v>
      </c>
      <c r="B794" s="158" t="s">
        <v>82</v>
      </c>
      <c r="C794" s="158" t="s">
        <v>865</v>
      </c>
      <c r="D794" s="159">
        <v>43397.0</v>
      </c>
      <c r="E794" s="157" t="s">
        <v>8</v>
      </c>
      <c r="F794" s="160">
        <v>323478.03</v>
      </c>
      <c r="G794" s="160">
        <v>51756.48</v>
      </c>
      <c r="H794" s="160">
        <f t="shared" si="38"/>
        <v>375234.51</v>
      </c>
      <c r="I794" s="160"/>
      <c r="J794" s="161"/>
      <c r="K794" s="160"/>
      <c r="L794" s="160">
        <f>+'FACP$'!$H794-'FACP$'!$I794-'FACP$'!$K794</f>
        <v>375234.51</v>
      </c>
      <c r="M794" s="157" t="s">
        <v>96</v>
      </c>
      <c r="N794" s="162" t="s">
        <v>127</v>
      </c>
      <c r="O794" s="163" t="s">
        <v>866</v>
      </c>
      <c r="P794" s="164">
        <f t="shared" si="13"/>
        <v>43407</v>
      </c>
      <c r="Q794" s="165">
        <f t="shared" si="2"/>
        <v>0</v>
      </c>
      <c r="R794" s="166"/>
      <c r="S794" s="167"/>
      <c r="T794" s="168">
        <f t="shared" si="3"/>
        <v>375234.51</v>
      </c>
      <c r="U794" s="168">
        <f t="shared" si="4"/>
        <v>0</v>
      </c>
      <c r="V794" s="168">
        <f t="shared" si="5"/>
        <v>0</v>
      </c>
      <c r="W794" s="168">
        <f t="shared" si="6"/>
        <v>0</v>
      </c>
      <c r="X794" s="168">
        <f t="shared" si="7"/>
        <v>0</v>
      </c>
      <c r="Y794" s="168">
        <f t="shared" si="8"/>
        <v>0</v>
      </c>
      <c r="Z794" s="168">
        <f t="shared" si="9"/>
        <v>0</v>
      </c>
    </row>
    <row r="795" ht="15.75" customHeight="1">
      <c r="A795" s="157">
        <v>1427.0</v>
      </c>
      <c r="B795" s="158" t="s">
        <v>82</v>
      </c>
      <c r="C795" s="158" t="s">
        <v>867</v>
      </c>
      <c r="D795" s="159">
        <v>43397.0</v>
      </c>
      <c r="E795" s="157" t="s">
        <v>8</v>
      </c>
      <c r="F795" s="160">
        <v>13712.76</v>
      </c>
      <c r="G795" s="160">
        <v>2194.04</v>
      </c>
      <c r="H795" s="160">
        <f t="shared" si="38"/>
        <v>15906.8</v>
      </c>
      <c r="I795" s="160"/>
      <c r="J795" s="161"/>
      <c r="K795" s="160"/>
      <c r="L795" s="160">
        <f>+'FACP$'!$H795-'FACP$'!$I795-'FACP$'!$K795</f>
        <v>15906.8</v>
      </c>
      <c r="M795" s="157" t="s">
        <v>96</v>
      </c>
      <c r="N795" s="162" t="s">
        <v>127</v>
      </c>
      <c r="O795" s="163" t="s">
        <v>866</v>
      </c>
      <c r="P795" s="164">
        <f t="shared" si="13"/>
        <v>43407</v>
      </c>
      <c r="Q795" s="165">
        <f t="shared" si="2"/>
        <v>0</v>
      </c>
      <c r="R795" s="166"/>
      <c r="S795" s="167"/>
      <c r="T795" s="168">
        <f t="shared" si="3"/>
        <v>15906.8</v>
      </c>
      <c r="U795" s="168">
        <f t="shared" si="4"/>
        <v>0</v>
      </c>
      <c r="V795" s="168">
        <f t="shared" si="5"/>
        <v>0</v>
      </c>
      <c r="W795" s="168">
        <f t="shared" si="6"/>
        <v>0</v>
      </c>
      <c r="X795" s="168">
        <f t="shared" si="7"/>
        <v>0</v>
      </c>
      <c r="Y795" s="168">
        <f t="shared" si="8"/>
        <v>0</v>
      </c>
      <c r="Z795" s="168">
        <f t="shared" si="9"/>
        <v>0</v>
      </c>
    </row>
    <row r="796" ht="15.75" customHeight="1">
      <c r="A796" s="157">
        <v>1428.0</v>
      </c>
      <c r="B796" s="158" t="s">
        <v>101</v>
      </c>
      <c r="C796" s="158" t="s">
        <v>87</v>
      </c>
      <c r="D796" s="159">
        <v>43374.0</v>
      </c>
      <c r="E796" s="157" t="s">
        <v>8</v>
      </c>
      <c r="F796" s="160">
        <v>130671.27</v>
      </c>
      <c r="G796" s="160">
        <v>20907.4</v>
      </c>
      <c r="H796" s="160">
        <f t="shared" si="38"/>
        <v>151578.67</v>
      </c>
      <c r="I796" s="160"/>
      <c r="J796" s="161"/>
      <c r="K796" s="160"/>
      <c r="L796" s="160">
        <f>+'FACP$'!$H796-'FACP$'!$I796-'FACP$'!$K796</f>
        <v>151578.67</v>
      </c>
      <c r="M796" s="157" t="s">
        <v>586</v>
      </c>
      <c r="N796" s="162" t="s">
        <v>554</v>
      </c>
      <c r="O796" s="163">
        <v>43409.0</v>
      </c>
      <c r="P796" s="164">
        <f t="shared" si="13"/>
        <v>43384</v>
      </c>
      <c r="Q796" s="165">
        <f t="shared" si="2"/>
        <v>0</v>
      </c>
      <c r="R796" s="166"/>
      <c r="S796" s="167"/>
      <c r="T796" s="168">
        <f t="shared" si="3"/>
        <v>151578.67</v>
      </c>
      <c r="U796" s="168">
        <f t="shared" si="4"/>
        <v>0</v>
      </c>
      <c r="V796" s="168">
        <f t="shared" si="5"/>
        <v>0</v>
      </c>
      <c r="W796" s="168">
        <f t="shared" si="6"/>
        <v>0</v>
      </c>
      <c r="X796" s="168">
        <f t="shared" si="7"/>
        <v>0</v>
      </c>
      <c r="Y796" s="168">
        <f t="shared" si="8"/>
        <v>0</v>
      </c>
      <c r="Z796" s="168">
        <f t="shared" si="9"/>
        <v>0</v>
      </c>
    </row>
    <row r="797" ht="15.75" customHeight="1">
      <c r="A797" s="157">
        <v>1430.0</v>
      </c>
      <c r="B797" s="158" t="s">
        <v>37</v>
      </c>
      <c r="C797" s="158" t="s">
        <v>87</v>
      </c>
      <c r="D797" s="159">
        <v>43374.0</v>
      </c>
      <c r="E797" s="157" t="s">
        <v>8</v>
      </c>
      <c r="F797" s="160">
        <v>924575.6</v>
      </c>
      <c r="G797" s="160">
        <v>147932.1</v>
      </c>
      <c r="H797" s="160">
        <f t="shared" si="38"/>
        <v>1072507.7</v>
      </c>
      <c r="I797" s="160"/>
      <c r="J797" s="161"/>
      <c r="K797" s="160"/>
      <c r="L797" s="160">
        <f>+'FACP$'!$H797-'FACP$'!$I797-'FACP$'!$K797</f>
        <v>1072507.7</v>
      </c>
      <c r="M797" s="157" t="s">
        <v>718</v>
      </c>
      <c r="N797" s="162" t="s">
        <v>554</v>
      </c>
      <c r="O797" s="163">
        <v>43410.0</v>
      </c>
      <c r="P797" s="164">
        <f t="shared" si="13"/>
        <v>43384</v>
      </c>
      <c r="Q797" s="165">
        <f t="shared" si="2"/>
        <v>0</v>
      </c>
      <c r="R797" s="166"/>
      <c r="S797" s="167"/>
      <c r="T797" s="168">
        <f t="shared" si="3"/>
        <v>1072507.7</v>
      </c>
      <c r="U797" s="168">
        <f t="shared" si="4"/>
        <v>0</v>
      </c>
      <c r="V797" s="168">
        <f t="shared" si="5"/>
        <v>0</v>
      </c>
      <c r="W797" s="168">
        <f t="shared" si="6"/>
        <v>0</v>
      </c>
      <c r="X797" s="168">
        <f t="shared" si="7"/>
        <v>0</v>
      </c>
      <c r="Y797" s="168">
        <f t="shared" si="8"/>
        <v>0</v>
      </c>
      <c r="Z797" s="168">
        <f t="shared" si="9"/>
        <v>0</v>
      </c>
    </row>
    <row r="798" ht="15.75" customHeight="1">
      <c r="A798" s="157">
        <v>1432.0</v>
      </c>
      <c r="B798" s="158" t="s">
        <v>82</v>
      </c>
      <c r="C798" s="158" t="s">
        <v>868</v>
      </c>
      <c r="D798" s="159">
        <v>43403.0</v>
      </c>
      <c r="E798" s="157" t="s">
        <v>8</v>
      </c>
      <c r="F798" s="160">
        <v>25000.0</v>
      </c>
      <c r="G798" s="160">
        <v>4000.0</v>
      </c>
      <c r="H798" s="160">
        <f t="shared" si="38"/>
        <v>29000</v>
      </c>
      <c r="I798" s="160"/>
      <c r="J798" s="161"/>
      <c r="K798" s="160"/>
      <c r="L798" s="160">
        <f>+'FACP$'!$H798-'FACP$'!$I798-'FACP$'!$K798</f>
        <v>29000</v>
      </c>
      <c r="M798" s="157" t="s">
        <v>96</v>
      </c>
      <c r="N798" s="202" t="s">
        <v>848</v>
      </c>
      <c r="O798" s="163"/>
      <c r="P798" s="164">
        <f t="shared" si="13"/>
        <v>43413</v>
      </c>
      <c r="Q798" s="165" t="b">
        <f t="shared" si="2"/>
        <v>0</v>
      </c>
      <c r="R798" s="166"/>
      <c r="S798" s="167"/>
      <c r="T798" s="168">
        <f t="shared" si="3"/>
        <v>0</v>
      </c>
      <c r="U798" s="168">
        <f t="shared" si="4"/>
        <v>0</v>
      </c>
      <c r="V798" s="168">
        <f t="shared" si="5"/>
        <v>0</v>
      </c>
      <c r="W798" s="168">
        <f t="shared" si="6"/>
        <v>0</v>
      </c>
      <c r="X798" s="168">
        <f t="shared" si="7"/>
        <v>0</v>
      </c>
      <c r="Y798" s="168">
        <f t="shared" si="8"/>
        <v>0</v>
      </c>
      <c r="Z798" s="168">
        <f t="shared" si="9"/>
        <v>29000</v>
      </c>
    </row>
    <row r="799" ht="15.75" customHeight="1">
      <c r="A799" s="157">
        <v>1433.0</v>
      </c>
      <c r="B799" s="158" t="s">
        <v>82</v>
      </c>
      <c r="C799" s="158" t="s">
        <v>869</v>
      </c>
      <c r="D799" s="159">
        <v>43403.0</v>
      </c>
      <c r="E799" s="157" t="s">
        <v>8</v>
      </c>
      <c r="F799" s="160">
        <v>50000.0</v>
      </c>
      <c r="G799" s="160">
        <v>8000.0</v>
      </c>
      <c r="H799" s="160">
        <f t="shared" si="38"/>
        <v>58000</v>
      </c>
      <c r="I799" s="160"/>
      <c r="J799" s="161"/>
      <c r="K799" s="160"/>
      <c r="L799" s="160">
        <f>+'FACP$'!$H799-'FACP$'!$I799-'FACP$'!$K799</f>
        <v>58000</v>
      </c>
      <c r="M799" s="157" t="s">
        <v>96</v>
      </c>
      <c r="N799" s="162" t="s">
        <v>127</v>
      </c>
      <c r="O799" s="163"/>
      <c r="P799" s="164">
        <f t="shared" si="13"/>
        <v>43413</v>
      </c>
      <c r="Q799" s="165">
        <f t="shared" si="2"/>
        <v>0</v>
      </c>
      <c r="R799" s="166"/>
      <c r="S799" s="167"/>
      <c r="T799" s="168">
        <f t="shared" si="3"/>
        <v>58000</v>
      </c>
      <c r="U799" s="168">
        <f t="shared" si="4"/>
        <v>0</v>
      </c>
      <c r="V799" s="168">
        <f t="shared" si="5"/>
        <v>0</v>
      </c>
      <c r="W799" s="168">
        <f t="shared" si="6"/>
        <v>0</v>
      </c>
      <c r="X799" s="168">
        <f t="shared" si="7"/>
        <v>0</v>
      </c>
      <c r="Y799" s="168">
        <f t="shared" si="8"/>
        <v>0</v>
      </c>
      <c r="Z799" s="168">
        <f t="shared" si="9"/>
        <v>0</v>
      </c>
    </row>
    <row r="800" ht="15.75" customHeight="1">
      <c r="A800" s="157">
        <v>1434.0</v>
      </c>
      <c r="B800" s="158" t="s">
        <v>82</v>
      </c>
      <c r="C800" s="158" t="s">
        <v>870</v>
      </c>
      <c r="D800" s="159">
        <v>43403.0</v>
      </c>
      <c r="E800" s="157" t="s">
        <v>8</v>
      </c>
      <c r="F800" s="160">
        <v>12500.0</v>
      </c>
      <c r="G800" s="160">
        <v>2000.0</v>
      </c>
      <c r="H800" s="160">
        <f t="shared" si="38"/>
        <v>14500</v>
      </c>
      <c r="I800" s="160"/>
      <c r="J800" s="161"/>
      <c r="K800" s="160"/>
      <c r="L800" s="160">
        <f>+'FACP$'!$H800-'FACP$'!$I800-'FACP$'!$K800</f>
        <v>14500</v>
      </c>
      <c r="M800" s="157" t="s">
        <v>96</v>
      </c>
      <c r="N800" s="162" t="s">
        <v>127</v>
      </c>
      <c r="O800" s="163"/>
      <c r="P800" s="164">
        <f t="shared" si="13"/>
        <v>43413</v>
      </c>
      <c r="Q800" s="165">
        <f t="shared" si="2"/>
        <v>0</v>
      </c>
      <c r="R800" s="166"/>
      <c r="S800" s="167"/>
      <c r="T800" s="168">
        <f t="shared" si="3"/>
        <v>14500</v>
      </c>
      <c r="U800" s="168">
        <f t="shared" si="4"/>
        <v>0</v>
      </c>
      <c r="V800" s="168">
        <f t="shared" si="5"/>
        <v>0</v>
      </c>
      <c r="W800" s="168">
        <f t="shared" si="6"/>
        <v>0</v>
      </c>
      <c r="X800" s="168">
        <f t="shared" si="7"/>
        <v>0</v>
      </c>
      <c r="Y800" s="168">
        <f t="shared" si="8"/>
        <v>0</v>
      </c>
      <c r="Z800" s="168">
        <f t="shared" si="9"/>
        <v>0</v>
      </c>
    </row>
    <row r="801" ht="15.75" customHeight="1">
      <c r="A801" s="157">
        <v>1435.0</v>
      </c>
      <c r="B801" s="158" t="s">
        <v>82</v>
      </c>
      <c r="C801" s="158" t="s">
        <v>871</v>
      </c>
      <c r="D801" s="159">
        <v>43403.0</v>
      </c>
      <c r="E801" s="157" t="s">
        <v>8</v>
      </c>
      <c r="F801" s="160">
        <v>60000.0</v>
      </c>
      <c r="G801" s="160">
        <v>9600.0</v>
      </c>
      <c r="H801" s="160">
        <f t="shared" si="38"/>
        <v>69600</v>
      </c>
      <c r="I801" s="160"/>
      <c r="J801" s="161"/>
      <c r="K801" s="160"/>
      <c r="L801" s="160">
        <f>+'FACP$'!$H801-'FACP$'!$I801-'FACP$'!$K801</f>
        <v>69600</v>
      </c>
      <c r="M801" s="157"/>
      <c r="N801" s="162" t="s">
        <v>127</v>
      </c>
      <c r="O801" s="163"/>
      <c r="P801" s="164">
        <f t="shared" si="13"/>
        <v>43413</v>
      </c>
      <c r="Q801" s="165">
        <f t="shared" si="2"/>
        <v>0</v>
      </c>
      <c r="R801" s="166"/>
      <c r="S801" s="167"/>
      <c r="T801" s="168">
        <f t="shared" si="3"/>
        <v>69600</v>
      </c>
      <c r="U801" s="168">
        <f t="shared" si="4"/>
        <v>0</v>
      </c>
      <c r="V801" s="168">
        <f t="shared" si="5"/>
        <v>0</v>
      </c>
      <c r="W801" s="168">
        <f t="shared" si="6"/>
        <v>0</v>
      </c>
      <c r="X801" s="168">
        <f t="shared" si="7"/>
        <v>0</v>
      </c>
      <c r="Y801" s="168">
        <f t="shared" si="8"/>
        <v>0</v>
      </c>
      <c r="Z801" s="168">
        <f t="shared" si="9"/>
        <v>0</v>
      </c>
    </row>
    <row r="802" ht="15.75" customHeight="1">
      <c r="A802" s="157">
        <v>1436.0</v>
      </c>
      <c r="B802" s="158" t="s">
        <v>82</v>
      </c>
      <c r="C802" s="158" t="s">
        <v>871</v>
      </c>
      <c r="D802" s="159">
        <v>43403.0</v>
      </c>
      <c r="E802" s="157" t="s">
        <v>8</v>
      </c>
      <c r="F802" s="160">
        <v>60000.0</v>
      </c>
      <c r="G802" s="160">
        <v>9600.0</v>
      </c>
      <c r="H802" s="160">
        <f t="shared" si="38"/>
        <v>69600</v>
      </c>
      <c r="I802" s="160"/>
      <c r="J802" s="161"/>
      <c r="K802" s="160"/>
      <c r="L802" s="160">
        <f>+'FACP$'!$H802-'FACP$'!$I802-'FACP$'!$K802</f>
        <v>69600</v>
      </c>
      <c r="M802" s="157" t="s">
        <v>96</v>
      </c>
      <c r="N802" s="162" t="s">
        <v>127</v>
      </c>
      <c r="O802" s="163"/>
      <c r="P802" s="164">
        <f t="shared" si="13"/>
        <v>43413</v>
      </c>
      <c r="Q802" s="165">
        <f t="shared" si="2"/>
        <v>0</v>
      </c>
      <c r="R802" s="166"/>
      <c r="S802" s="167"/>
      <c r="T802" s="168">
        <f t="shared" si="3"/>
        <v>69600</v>
      </c>
      <c r="U802" s="168">
        <f t="shared" si="4"/>
        <v>0</v>
      </c>
      <c r="V802" s="168">
        <f t="shared" si="5"/>
        <v>0</v>
      </c>
      <c r="W802" s="168">
        <f t="shared" si="6"/>
        <v>0</v>
      </c>
      <c r="X802" s="168">
        <f t="shared" si="7"/>
        <v>0</v>
      </c>
      <c r="Y802" s="168">
        <f t="shared" si="8"/>
        <v>0</v>
      </c>
      <c r="Z802" s="168">
        <f t="shared" si="9"/>
        <v>0</v>
      </c>
    </row>
    <row r="803" ht="15.75" customHeight="1">
      <c r="A803" s="157">
        <v>1437.0</v>
      </c>
      <c r="B803" s="158" t="s">
        <v>82</v>
      </c>
      <c r="C803" s="158" t="s">
        <v>872</v>
      </c>
      <c r="D803" s="159">
        <v>43410.0</v>
      </c>
      <c r="E803" s="157" t="s">
        <v>8</v>
      </c>
      <c r="F803" s="160">
        <v>169150.14</v>
      </c>
      <c r="G803" s="160">
        <v>27064.02</v>
      </c>
      <c r="H803" s="160">
        <f t="shared" si="38"/>
        <v>196214.16</v>
      </c>
      <c r="I803" s="160"/>
      <c r="J803" s="161"/>
      <c r="K803" s="160"/>
      <c r="L803" s="160">
        <f>+'FACP$'!$H803-'FACP$'!$I803-'FACP$'!$K803</f>
        <v>196214.16</v>
      </c>
      <c r="M803" s="157" t="s">
        <v>96</v>
      </c>
      <c r="N803" s="162" t="s">
        <v>127</v>
      </c>
      <c r="O803" s="163"/>
      <c r="P803" s="164">
        <f t="shared" si="13"/>
        <v>43420</v>
      </c>
      <c r="Q803" s="165">
        <f t="shared" si="2"/>
        <v>0</v>
      </c>
      <c r="R803" s="166"/>
      <c r="S803" s="167"/>
      <c r="T803" s="168">
        <f t="shared" si="3"/>
        <v>196214.16</v>
      </c>
      <c r="U803" s="168">
        <f t="shared" si="4"/>
        <v>0</v>
      </c>
      <c r="V803" s="168">
        <f t="shared" si="5"/>
        <v>0</v>
      </c>
      <c r="W803" s="168">
        <f t="shared" si="6"/>
        <v>0</v>
      </c>
      <c r="X803" s="168">
        <f t="shared" si="7"/>
        <v>0</v>
      </c>
      <c r="Y803" s="168">
        <f t="shared" si="8"/>
        <v>0</v>
      </c>
      <c r="Z803" s="168">
        <f t="shared" si="9"/>
        <v>0</v>
      </c>
    </row>
    <row r="804" ht="15.75" customHeight="1">
      <c r="A804" s="157">
        <v>1438.0</v>
      </c>
      <c r="B804" s="158" t="s">
        <v>82</v>
      </c>
      <c r="C804" s="158" t="s">
        <v>873</v>
      </c>
      <c r="D804" s="159">
        <v>43410.0</v>
      </c>
      <c r="E804" s="157" t="s">
        <v>8</v>
      </c>
      <c r="F804" s="160">
        <v>58548.48</v>
      </c>
      <c r="G804" s="160">
        <v>9367.76</v>
      </c>
      <c r="H804" s="160">
        <f t="shared" si="38"/>
        <v>67916.24</v>
      </c>
      <c r="I804" s="160"/>
      <c r="J804" s="161"/>
      <c r="K804" s="160"/>
      <c r="L804" s="160">
        <f>+'FACP$'!$H804-'FACP$'!$I804-'FACP$'!$K804</f>
        <v>67916.24</v>
      </c>
      <c r="M804" s="157" t="s">
        <v>96</v>
      </c>
      <c r="N804" s="162" t="s">
        <v>127</v>
      </c>
      <c r="O804" s="163"/>
      <c r="P804" s="164">
        <f t="shared" si="13"/>
        <v>43420</v>
      </c>
      <c r="Q804" s="165">
        <f t="shared" si="2"/>
        <v>0</v>
      </c>
      <c r="R804" s="166"/>
      <c r="S804" s="167"/>
      <c r="T804" s="168">
        <f t="shared" si="3"/>
        <v>67916.24</v>
      </c>
      <c r="U804" s="168">
        <f t="shared" si="4"/>
        <v>0</v>
      </c>
      <c r="V804" s="168">
        <f t="shared" si="5"/>
        <v>0</v>
      </c>
      <c r="W804" s="168">
        <f t="shared" si="6"/>
        <v>0</v>
      </c>
      <c r="X804" s="168">
        <f t="shared" si="7"/>
        <v>0</v>
      </c>
      <c r="Y804" s="168">
        <f t="shared" si="8"/>
        <v>0</v>
      </c>
      <c r="Z804" s="168">
        <f t="shared" si="9"/>
        <v>0</v>
      </c>
    </row>
    <row r="805" ht="15.75" customHeight="1">
      <c r="A805" s="157">
        <v>1439.0</v>
      </c>
      <c r="B805" s="158" t="s">
        <v>37</v>
      </c>
      <c r="C805" s="158" t="s">
        <v>87</v>
      </c>
      <c r="D805" s="159">
        <v>43388.0</v>
      </c>
      <c r="E805" s="157" t="s">
        <v>8</v>
      </c>
      <c r="F805" s="160">
        <v>990875.6</v>
      </c>
      <c r="G805" s="160">
        <v>158540.1</v>
      </c>
      <c r="H805" s="160">
        <f t="shared" si="38"/>
        <v>1149415.7</v>
      </c>
      <c r="I805" s="160"/>
      <c r="J805" s="161"/>
      <c r="K805" s="160"/>
      <c r="L805" s="160">
        <f>+'FACP$'!$H805-'FACP$'!$I805-'FACP$'!$K805</f>
        <v>1149415.7</v>
      </c>
      <c r="M805" s="157" t="s">
        <v>718</v>
      </c>
      <c r="N805" s="162" t="s">
        <v>554</v>
      </c>
      <c r="O805" s="163">
        <v>43424.0</v>
      </c>
      <c r="P805" s="164">
        <f t="shared" si="13"/>
        <v>43398</v>
      </c>
      <c r="Q805" s="165">
        <f t="shared" si="2"/>
        <v>0</v>
      </c>
      <c r="R805" s="166"/>
      <c r="S805" s="167"/>
      <c r="T805" s="168">
        <f t="shared" si="3"/>
        <v>1149415.7</v>
      </c>
      <c r="U805" s="168">
        <f t="shared" si="4"/>
        <v>0</v>
      </c>
      <c r="V805" s="168">
        <f t="shared" si="5"/>
        <v>0</v>
      </c>
      <c r="W805" s="168">
        <f t="shared" si="6"/>
        <v>0</v>
      </c>
      <c r="X805" s="168">
        <f t="shared" si="7"/>
        <v>0</v>
      </c>
      <c r="Y805" s="168">
        <f t="shared" si="8"/>
        <v>0</v>
      </c>
      <c r="Z805" s="168">
        <f t="shared" si="9"/>
        <v>0</v>
      </c>
    </row>
    <row r="806" ht="15.75" customHeight="1">
      <c r="A806" s="157">
        <v>1441.0</v>
      </c>
      <c r="B806" s="158" t="s">
        <v>24</v>
      </c>
      <c r="C806" s="158" t="s">
        <v>87</v>
      </c>
      <c r="D806" s="159">
        <v>43388.0</v>
      </c>
      <c r="E806" s="157" t="s">
        <v>8</v>
      </c>
      <c r="F806" s="160">
        <v>158324.4</v>
      </c>
      <c r="G806" s="160">
        <v>25331.9</v>
      </c>
      <c r="H806" s="160">
        <f t="shared" si="38"/>
        <v>183656.3</v>
      </c>
      <c r="I806" s="160"/>
      <c r="J806" s="161"/>
      <c r="K806" s="160"/>
      <c r="L806" s="160">
        <f>+'FACP$'!$H806-'FACP$'!$I806-'FACP$'!$K806</f>
        <v>183656.3</v>
      </c>
      <c r="M806" s="157" t="s">
        <v>91</v>
      </c>
      <c r="N806" s="162" t="s">
        <v>554</v>
      </c>
      <c r="O806" s="163">
        <v>43426.0</v>
      </c>
      <c r="P806" s="164">
        <f t="shared" si="13"/>
        <v>43398</v>
      </c>
      <c r="Q806" s="165">
        <f t="shared" si="2"/>
        <v>0</v>
      </c>
      <c r="R806" s="166"/>
      <c r="S806" s="167"/>
      <c r="T806" s="168">
        <f t="shared" si="3"/>
        <v>183656.3</v>
      </c>
      <c r="U806" s="168">
        <f t="shared" si="4"/>
        <v>0</v>
      </c>
      <c r="V806" s="168">
        <f t="shared" si="5"/>
        <v>0</v>
      </c>
      <c r="W806" s="168">
        <f t="shared" si="6"/>
        <v>0</v>
      </c>
      <c r="X806" s="168">
        <f t="shared" si="7"/>
        <v>0</v>
      </c>
      <c r="Y806" s="168">
        <f t="shared" si="8"/>
        <v>0</v>
      </c>
      <c r="Z806" s="168">
        <f t="shared" si="9"/>
        <v>0</v>
      </c>
    </row>
    <row r="807" ht="15.75" customHeight="1">
      <c r="A807" s="157">
        <v>1443.0</v>
      </c>
      <c r="B807" s="158" t="s">
        <v>101</v>
      </c>
      <c r="C807" s="158" t="s">
        <v>87</v>
      </c>
      <c r="D807" s="159">
        <v>43388.0</v>
      </c>
      <c r="E807" s="157" t="s">
        <v>8</v>
      </c>
      <c r="F807" s="160">
        <v>168165.81</v>
      </c>
      <c r="G807" s="160">
        <v>26906.53</v>
      </c>
      <c r="H807" s="160">
        <f t="shared" si="38"/>
        <v>195072.34</v>
      </c>
      <c r="I807" s="160"/>
      <c r="J807" s="161"/>
      <c r="K807" s="160"/>
      <c r="L807" s="160">
        <f>+'FACP$'!$H807-'FACP$'!$I807-'FACP$'!$K807</f>
        <v>195072.34</v>
      </c>
      <c r="M807" s="157" t="s">
        <v>586</v>
      </c>
      <c r="N807" s="162" t="s">
        <v>554</v>
      </c>
      <c r="O807" s="163">
        <v>43431.0</v>
      </c>
      <c r="P807" s="164">
        <f t="shared" si="13"/>
        <v>43398</v>
      </c>
      <c r="Q807" s="165">
        <f t="shared" si="2"/>
        <v>0</v>
      </c>
      <c r="R807" s="166"/>
      <c r="S807" s="167"/>
      <c r="T807" s="168">
        <f t="shared" si="3"/>
        <v>195072.34</v>
      </c>
      <c r="U807" s="168">
        <f t="shared" si="4"/>
        <v>0</v>
      </c>
      <c r="V807" s="168">
        <f t="shared" si="5"/>
        <v>0</v>
      </c>
      <c r="W807" s="168">
        <f t="shared" si="6"/>
        <v>0</v>
      </c>
      <c r="X807" s="168">
        <f t="shared" si="7"/>
        <v>0</v>
      </c>
      <c r="Y807" s="168">
        <f t="shared" si="8"/>
        <v>0</v>
      </c>
      <c r="Z807" s="168">
        <f t="shared" si="9"/>
        <v>0</v>
      </c>
    </row>
    <row r="808" ht="15.75" customHeight="1">
      <c r="A808" s="157">
        <v>1445.0</v>
      </c>
      <c r="B808" s="158" t="s">
        <v>101</v>
      </c>
      <c r="C808" s="158" t="s">
        <v>87</v>
      </c>
      <c r="D808" s="159">
        <v>43388.0</v>
      </c>
      <c r="E808" s="157" t="s">
        <v>8</v>
      </c>
      <c r="F808" s="160">
        <v>15389.55</v>
      </c>
      <c r="G808" s="160">
        <v>2462.33</v>
      </c>
      <c r="H808" s="160">
        <f t="shared" si="38"/>
        <v>17851.88</v>
      </c>
      <c r="I808" s="160"/>
      <c r="J808" s="161"/>
      <c r="K808" s="160"/>
      <c r="L808" s="160">
        <f>+'FACP$'!$H808-'FACP$'!$I808-'FACP$'!$K808</f>
        <v>17851.88</v>
      </c>
      <c r="M808" s="157" t="s">
        <v>732</v>
      </c>
      <c r="N808" s="162" t="s">
        <v>554</v>
      </c>
      <c r="O808" s="163">
        <v>43431.0</v>
      </c>
      <c r="P808" s="164">
        <f t="shared" si="13"/>
        <v>43398</v>
      </c>
      <c r="Q808" s="165">
        <f t="shared" si="2"/>
        <v>0</v>
      </c>
      <c r="R808" s="166"/>
      <c r="S808" s="167"/>
      <c r="T808" s="168">
        <f t="shared" si="3"/>
        <v>17851.88</v>
      </c>
      <c r="U808" s="168">
        <f t="shared" si="4"/>
        <v>0</v>
      </c>
      <c r="V808" s="168">
        <f t="shared" si="5"/>
        <v>0</v>
      </c>
      <c r="W808" s="168">
        <f t="shared" si="6"/>
        <v>0</v>
      </c>
      <c r="X808" s="168">
        <f t="shared" si="7"/>
        <v>0</v>
      </c>
      <c r="Y808" s="168">
        <f t="shared" si="8"/>
        <v>0</v>
      </c>
      <c r="Z808" s="168">
        <f t="shared" si="9"/>
        <v>0</v>
      </c>
    </row>
    <row r="809" ht="15.75" customHeight="1">
      <c r="A809" s="157">
        <v>1447.0</v>
      </c>
      <c r="B809" s="158" t="s">
        <v>93</v>
      </c>
      <c r="C809" s="158" t="s">
        <v>87</v>
      </c>
      <c r="D809" s="159">
        <v>43388.0</v>
      </c>
      <c r="E809" s="157" t="s">
        <v>8</v>
      </c>
      <c r="F809" s="160">
        <v>6322704.12</v>
      </c>
      <c r="G809" s="160">
        <v>1011632.66</v>
      </c>
      <c r="H809" s="160">
        <f t="shared" si="38"/>
        <v>7334336.78</v>
      </c>
      <c r="I809" s="160"/>
      <c r="J809" s="161"/>
      <c r="K809" s="160"/>
      <c r="L809" s="160">
        <f>+'FACP$'!$H809-'FACP$'!$I809-'FACP$'!$K809</f>
        <v>7334336.78</v>
      </c>
      <c r="M809" s="157" t="s">
        <v>93</v>
      </c>
      <c r="N809" s="162" t="s">
        <v>554</v>
      </c>
      <c r="O809" s="163">
        <v>43419.0</v>
      </c>
      <c r="P809" s="164">
        <f t="shared" si="13"/>
        <v>43398</v>
      </c>
      <c r="Q809" s="165">
        <f t="shared" si="2"/>
        <v>0</v>
      </c>
      <c r="R809" s="166"/>
      <c r="S809" s="167"/>
      <c r="T809" s="168">
        <f t="shared" si="3"/>
        <v>7334336.78</v>
      </c>
      <c r="U809" s="168">
        <f t="shared" si="4"/>
        <v>0</v>
      </c>
      <c r="V809" s="168">
        <f t="shared" si="5"/>
        <v>0</v>
      </c>
      <c r="W809" s="168">
        <f t="shared" si="6"/>
        <v>0</v>
      </c>
      <c r="X809" s="168">
        <f t="shared" si="7"/>
        <v>0</v>
      </c>
      <c r="Y809" s="168">
        <f t="shared" si="8"/>
        <v>0</v>
      </c>
      <c r="Z809" s="168">
        <f t="shared" si="9"/>
        <v>0</v>
      </c>
    </row>
    <row r="810" ht="15.75" customHeight="1">
      <c r="A810" s="157">
        <v>1448.0</v>
      </c>
      <c r="B810" s="158" t="s">
        <v>24</v>
      </c>
      <c r="C810" s="158" t="s">
        <v>87</v>
      </c>
      <c r="D810" s="159">
        <v>43313.0</v>
      </c>
      <c r="E810" s="157" t="s">
        <v>8</v>
      </c>
      <c r="F810" s="160">
        <v>173850.05</v>
      </c>
      <c r="G810" s="160">
        <v>27816.01</v>
      </c>
      <c r="H810" s="160">
        <f t="shared" si="38"/>
        <v>201666.06</v>
      </c>
      <c r="I810" s="160"/>
      <c r="J810" s="161"/>
      <c r="K810" s="160"/>
      <c r="L810" s="160">
        <f>+'FACP$'!$H810-'FACP$'!$I810-'FACP$'!$K810</f>
        <v>201666.06</v>
      </c>
      <c r="M810" s="157" t="s">
        <v>91</v>
      </c>
      <c r="N810" s="162" t="s">
        <v>554</v>
      </c>
      <c r="O810" s="163">
        <v>43517.0</v>
      </c>
      <c r="P810" s="164">
        <f t="shared" si="13"/>
        <v>43323</v>
      </c>
      <c r="Q810" s="165">
        <f t="shared" si="2"/>
        <v>0</v>
      </c>
      <c r="R810" s="166"/>
      <c r="S810" s="167"/>
      <c r="T810" s="168">
        <f t="shared" si="3"/>
        <v>201666.06</v>
      </c>
      <c r="U810" s="168">
        <f t="shared" si="4"/>
        <v>0</v>
      </c>
      <c r="V810" s="168">
        <f t="shared" si="5"/>
        <v>0</v>
      </c>
      <c r="W810" s="168">
        <f t="shared" si="6"/>
        <v>0</v>
      </c>
      <c r="X810" s="168">
        <f t="shared" si="7"/>
        <v>0</v>
      </c>
      <c r="Y810" s="168">
        <f t="shared" si="8"/>
        <v>0</v>
      </c>
      <c r="Z810" s="168">
        <f t="shared" si="9"/>
        <v>0</v>
      </c>
    </row>
    <row r="811" ht="15.75" customHeight="1">
      <c r="A811" s="157">
        <v>1450.0</v>
      </c>
      <c r="B811" s="158" t="s">
        <v>29</v>
      </c>
      <c r="C811" s="158" t="s">
        <v>87</v>
      </c>
      <c r="D811" s="159">
        <v>43388.0</v>
      </c>
      <c r="E811" s="157" t="s">
        <v>8</v>
      </c>
      <c r="F811" s="160">
        <v>349277.88</v>
      </c>
      <c r="G811" s="160">
        <v>55884.46</v>
      </c>
      <c r="H811" s="160">
        <f t="shared" si="38"/>
        <v>405162.34</v>
      </c>
      <c r="I811" s="160"/>
      <c r="J811" s="161"/>
      <c r="K811" s="160"/>
      <c r="L811" s="160">
        <f>+'FACP$'!$H811-'FACP$'!$I811-'FACP$'!$K811</f>
        <v>405162.34</v>
      </c>
      <c r="M811" s="157" t="s">
        <v>825</v>
      </c>
      <c r="N811" s="162" t="s">
        <v>127</v>
      </c>
      <c r="O811" s="163"/>
      <c r="P811" s="164">
        <f t="shared" si="13"/>
        <v>43398</v>
      </c>
      <c r="Q811" s="165">
        <f t="shared" si="2"/>
        <v>0</v>
      </c>
      <c r="R811" s="166"/>
      <c r="S811" s="167"/>
      <c r="T811" s="168">
        <f t="shared" si="3"/>
        <v>405162.34</v>
      </c>
      <c r="U811" s="168">
        <f t="shared" si="4"/>
        <v>0</v>
      </c>
      <c r="V811" s="168">
        <f t="shared" si="5"/>
        <v>0</v>
      </c>
      <c r="W811" s="168">
        <f t="shared" si="6"/>
        <v>0</v>
      </c>
      <c r="X811" s="168">
        <f t="shared" si="7"/>
        <v>0</v>
      </c>
      <c r="Y811" s="168">
        <f t="shared" si="8"/>
        <v>0</v>
      </c>
      <c r="Z811" s="168">
        <f t="shared" si="9"/>
        <v>0</v>
      </c>
    </row>
    <row r="812" ht="15.75" customHeight="1">
      <c r="A812" s="157">
        <v>1454.0</v>
      </c>
      <c r="B812" s="158" t="s">
        <v>43</v>
      </c>
      <c r="C812" s="158" t="s">
        <v>87</v>
      </c>
      <c r="D812" s="159">
        <v>43388.0</v>
      </c>
      <c r="E812" s="157" t="s">
        <v>8</v>
      </c>
      <c r="F812" s="160">
        <v>359985.18</v>
      </c>
      <c r="G812" s="160">
        <v>57597.63</v>
      </c>
      <c r="H812" s="160">
        <f t="shared" si="38"/>
        <v>417582.81</v>
      </c>
      <c r="I812" s="160"/>
      <c r="J812" s="161"/>
      <c r="K812" s="160"/>
      <c r="L812" s="160">
        <f>+'FACP$'!$H812-'FACP$'!$I812-'FACP$'!$K812</f>
        <v>417582.81</v>
      </c>
      <c r="M812" s="157" t="s">
        <v>43</v>
      </c>
      <c r="N812" s="162" t="s">
        <v>554</v>
      </c>
      <c r="O812" s="163">
        <v>43441.0</v>
      </c>
      <c r="P812" s="164">
        <f t="shared" si="13"/>
        <v>43398</v>
      </c>
      <c r="Q812" s="165">
        <f t="shared" si="2"/>
        <v>0</v>
      </c>
      <c r="R812" s="166"/>
      <c r="S812" s="167"/>
      <c r="T812" s="168">
        <f t="shared" si="3"/>
        <v>417582.81</v>
      </c>
      <c r="U812" s="168">
        <f t="shared" si="4"/>
        <v>0</v>
      </c>
      <c r="V812" s="168">
        <f t="shared" si="5"/>
        <v>0</v>
      </c>
      <c r="W812" s="168">
        <f t="shared" si="6"/>
        <v>0</v>
      </c>
      <c r="X812" s="168">
        <f t="shared" si="7"/>
        <v>0</v>
      </c>
      <c r="Y812" s="168">
        <f t="shared" si="8"/>
        <v>0</v>
      </c>
      <c r="Z812" s="168">
        <f t="shared" si="9"/>
        <v>0</v>
      </c>
    </row>
    <row r="813" ht="15.75" customHeight="1">
      <c r="A813" s="157">
        <v>1456.0</v>
      </c>
      <c r="B813" s="158" t="s">
        <v>24</v>
      </c>
      <c r="C813" s="158" t="s">
        <v>87</v>
      </c>
      <c r="D813" s="159">
        <v>43388.0</v>
      </c>
      <c r="E813" s="157" t="s">
        <v>8</v>
      </c>
      <c r="F813" s="160">
        <v>210031.36</v>
      </c>
      <c r="G813" s="160">
        <v>33605.02</v>
      </c>
      <c r="H813" s="160">
        <f t="shared" si="38"/>
        <v>243636.38</v>
      </c>
      <c r="I813" s="160"/>
      <c r="J813" s="161"/>
      <c r="K813" s="160"/>
      <c r="L813" s="160">
        <f>+'FACP$'!$H813-'FACP$'!$I813-'FACP$'!$K813</f>
        <v>243636.38</v>
      </c>
      <c r="M813" s="157" t="s">
        <v>91</v>
      </c>
      <c r="N813" s="162" t="s">
        <v>554</v>
      </c>
      <c r="O813" s="163">
        <v>43434.0</v>
      </c>
      <c r="P813" s="164">
        <f t="shared" si="13"/>
        <v>43398</v>
      </c>
      <c r="Q813" s="165">
        <f t="shared" si="2"/>
        <v>0</v>
      </c>
      <c r="R813" s="166"/>
      <c r="S813" s="167"/>
      <c r="T813" s="168">
        <f t="shared" si="3"/>
        <v>243636.38</v>
      </c>
      <c r="U813" s="168">
        <f t="shared" si="4"/>
        <v>0</v>
      </c>
      <c r="V813" s="168">
        <f t="shared" si="5"/>
        <v>0</v>
      </c>
      <c r="W813" s="168">
        <f t="shared" si="6"/>
        <v>0</v>
      </c>
      <c r="X813" s="168">
        <f t="shared" si="7"/>
        <v>0</v>
      </c>
      <c r="Y813" s="168">
        <f t="shared" si="8"/>
        <v>0</v>
      </c>
      <c r="Z813" s="168">
        <f t="shared" si="9"/>
        <v>0</v>
      </c>
    </row>
    <row r="814" ht="15.75" customHeight="1">
      <c r="A814" s="157">
        <v>1459.0</v>
      </c>
      <c r="B814" s="158" t="s">
        <v>41</v>
      </c>
      <c r="C814" s="158" t="s">
        <v>874</v>
      </c>
      <c r="D814" s="159">
        <v>43388.0</v>
      </c>
      <c r="E814" s="157" t="s">
        <v>8</v>
      </c>
      <c r="F814" s="160">
        <v>339170.16</v>
      </c>
      <c r="G814" s="160">
        <v>54267.23</v>
      </c>
      <c r="H814" s="160">
        <f t="shared" si="38"/>
        <v>393437.39</v>
      </c>
      <c r="I814" s="160"/>
      <c r="J814" s="161"/>
      <c r="K814" s="160"/>
      <c r="L814" s="160">
        <f>+'FACP$'!$H814-'FACP$'!$I814-'FACP$'!$K814</f>
        <v>393437.39</v>
      </c>
      <c r="M814" s="157" t="s">
        <v>875</v>
      </c>
      <c r="N814" s="162" t="s">
        <v>127</v>
      </c>
      <c r="O814" s="163" t="s">
        <v>876</v>
      </c>
      <c r="P814" s="164">
        <f t="shared" si="13"/>
        <v>43398</v>
      </c>
      <c r="Q814" s="165">
        <f t="shared" si="2"/>
        <v>0</v>
      </c>
      <c r="R814" s="166"/>
      <c r="S814" s="167"/>
      <c r="T814" s="168">
        <f t="shared" si="3"/>
        <v>393437.39</v>
      </c>
      <c r="U814" s="168">
        <f t="shared" si="4"/>
        <v>0</v>
      </c>
      <c r="V814" s="168">
        <f t="shared" si="5"/>
        <v>0</v>
      </c>
      <c r="W814" s="168">
        <f t="shared" si="6"/>
        <v>0</v>
      </c>
      <c r="X814" s="168">
        <f t="shared" si="7"/>
        <v>0</v>
      </c>
      <c r="Y814" s="168">
        <f t="shared" si="8"/>
        <v>0</v>
      </c>
      <c r="Z814" s="168">
        <f t="shared" si="9"/>
        <v>0</v>
      </c>
    </row>
    <row r="815" ht="15.75" customHeight="1">
      <c r="A815" s="157">
        <v>1461.0</v>
      </c>
      <c r="B815" s="158" t="s">
        <v>29</v>
      </c>
      <c r="C815" s="158" t="s">
        <v>87</v>
      </c>
      <c r="D815" s="159">
        <v>43388.0</v>
      </c>
      <c r="E815" s="157" t="s">
        <v>8</v>
      </c>
      <c r="F815" s="160">
        <v>371365.12</v>
      </c>
      <c r="G815" s="160">
        <v>59418.42</v>
      </c>
      <c r="H815" s="160">
        <f t="shared" si="38"/>
        <v>430783.54</v>
      </c>
      <c r="I815" s="160"/>
      <c r="J815" s="161"/>
      <c r="K815" s="160"/>
      <c r="L815" s="160">
        <f>+'FACP$'!$H815-'FACP$'!$I815-'FACP$'!$K815</f>
        <v>430783.54</v>
      </c>
      <c r="M815" s="157" t="s">
        <v>825</v>
      </c>
      <c r="N815" s="162" t="s">
        <v>127</v>
      </c>
      <c r="O815" s="163" t="s">
        <v>877</v>
      </c>
      <c r="P815" s="164">
        <f t="shared" si="13"/>
        <v>43398</v>
      </c>
      <c r="Q815" s="165">
        <f t="shared" si="2"/>
        <v>0</v>
      </c>
      <c r="R815" s="166"/>
      <c r="S815" s="167"/>
      <c r="T815" s="168">
        <f t="shared" si="3"/>
        <v>430783.54</v>
      </c>
      <c r="U815" s="168">
        <f t="shared" si="4"/>
        <v>0</v>
      </c>
      <c r="V815" s="168">
        <f t="shared" si="5"/>
        <v>0</v>
      </c>
      <c r="W815" s="168">
        <f t="shared" si="6"/>
        <v>0</v>
      </c>
      <c r="X815" s="168">
        <f t="shared" si="7"/>
        <v>0</v>
      </c>
      <c r="Y815" s="168">
        <f t="shared" si="8"/>
        <v>0</v>
      </c>
      <c r="Z815" s="168">
        <f t="shared" si="9"/>
        <v>0</v>
      </c>
    </row>
    <row r="816" ht="15.75" customHeight="1">
      <c r="A816" s="157">
        <v>1463.0</v>
      </c>
      <c r="B816" s="158" t="s">
        <v>29</v>
      </c>
      <c r="C816" s="158" t="s">
        <v>87</v>
      </c>
      <c r="D816" s="159">
        <v>43388.0</v>
      </c>
      <c r="E816" s="157" t="s">
        <v>8</v>
      </c>
      <c r="F816" s="160">
        <v>393824.0</v>
      </c>
      <c r="G816" s="160">
        <v>63011.84</v>
      </c>
      <c r="H816" s="160">
        <f t="shared" si="38"/>
        <v>456835.84</v>
      </c>
      <c r="I816" s="160"/>
      <c r="J816" s="161"/>
      <c r="K816" s="160"/>
      <c r="L816" s="160">
        <f>+'FACP$'!$H816-'FACP$'!$I816-'FACP$'!$K816</f>
        <v>456835.84</v>
      </c>
      <c r="M816" s="157" t="s">
        <v>825</v>
      </c>
      <c r="N816" s="162" t="s">
        <v>554</v>
      </c>
      <c r="O816" s="163">
        <v>43453.0</v>
      </c>
      <c r="P816" s="164">
        <f t="shared" si="13"/>
        <v>43398</v>
      </c>
      <c r="Q816" s="165">
        <f t="shared" si="2"/>
        <v>0</v>
      </c>
      <c r="R816" s="166"/>
      <c r="S816" s="167"/>
      <c r="T816" s="168">
        <f t="shared" si="3"/>
        <v>456835.84</v>
      </c>
      <c r="U816" s="168">
        <f t="shared" si="4"/>
        <v>0</v>
      </c>
      <c r="V816" s="168">
        <f t="shared" si="5"/>
        <v>0</v>
      </c>
      <c r="W816" s="168">
        <f t="shared" si="6"/>
        <v>0</v>
      </c>
      <c r="X816" s="168">
        <f t="shared" si="7"/>
        <v>0</v>
      </c>
      <c r="Y816" s="168">
        <f t="shared" si="8"/>
        <v>0</v>
      </c>
      <c r="Z816" s="168">
        <f t="shared" si="9"/>
        <v>0</v>
      </c>
    </row>
    <row r="817" ht="15.75" customHeight="1">
      <c r="A817" s="157">
        <v>1465.0</v>
      </c>
      <c r="B817" s="158" t="s">
        <v>37</v>
      </c>
      <c r="C817" s="158" t="s">
        <v>87</v>
      </c>
      <c r="D817" s="159">
        <v>43405.0</v>
      </c>
      <c r="E817" s="157" t="s">
        <v>8</v>
      </c>
      <c r="F817" s="160">
        <v>1523689.2</v>
      </c>
      <c r="G817" s="160">
        <v>243790.27</v>
      </c>
      <c r="H817" s="160">
        <f t="shared" si="38"/>
        <v>1767479.47</v>
      </c>
      <c r="I817" s="160"/>
      <c r="J817" s="161"/>
      <c r="K817" s="160"/>
      <c r="L817" s="160">
        <f>+'FACP$'!$H817-'FACP$'!$I817-'FACP$'!$K817</f>
        <v>1767479.47</v>
      </c>
      <c r="M817" s="157" t="s">
        <v>718</v>
      </c>
      <c r="N817" s="162" t="s">
        <v>554</v>
      </c>
      <c r="O817" s="163">
        <v>43445.0</v>
      </c>
      <c r="P817" s="164">
        <f t="shared" si="13"/>
        <v>43415</v>
      </c>
      <c r="Q817" s="165">
        <f t="shared" si="2"/>
        <v>0</v>
      </c>
      <c r="R817" s="166"/>
      <c r="S817" s="167"/>
      <c r="T817" s="168">
        <f t="shared" si="3"/>
        <v>1767479.47</v>
      </c>
      <c r="U817" s="168">
        <f t="shared" si="4"/>
        <v>0</v>
      </c>
      <c r="V817" s="168">
        <f t="shared" si="5"/>
        <v>0</v>
      </c>
      <c r="W817" s="168">
        <f t="shared" si="6"/>
        <v>0</v>
      </c>
      <c r="X817" s="168">
        <f t="shared" si="7"/>
        <v>0</v>
      </c>
      <c r="Y817" s="168">
        <f t="shared" si="8"/>
        <v>0</v>
      </c>
      <c r="Z817" s="168">
        <f t="shared" si="9"/>
        <v>0</v>
      </c>
    </row>
    <row r="818" ht="15.75" customHeight="1">
      <c r="A818" s="157">
        <v>1467.0</v>
      </c>
      <c r="B818" s="158" t="s">
        <v>101</v>
      </c>
      <c r="C818" s="158" t="s">
        <v>87</v>
      </c>
      <c r="D818" s="159">
        <v>43405.0</v>
      </c>
      <c r="E818" s="157" t="s">
        <v>8</v>
      </c>
      <c r="F818" s="160">
        <v>110236.0</v>
      </c>
      <c r="G818" s="160">
        <v>17637.76</v>
      </c>
      <c r="H818" s="160">
        <f t="shared" si="38"/>
        <v>127873.76</v>
      </c>
      <c r="I818" s="160"/>
      <c r="J818" s="161"/>
      <c r="K818" s="160"/>
      <c r="L818" s="160">
        <f>+'FACP$'!$H818-'FACP$'!$I818-'FACP$'!$K818</f>
        <v>127873.76</v>
      </c>
      <c r="M818" s="157" t="s">
        <v>732</v>
      </c>
      <c r="N818" s="162" t="s">
        <v>554</v>
      </c>
      <c r="O818" s="163">
        <v>43453.0</v>
      </c>
      <c r="P818" s="164">
        <f t="shared" si="13"/>
        <v>43415</v>
      </c>
      <c r="Q818" s="165">
        <f t="shared" si="2"/>
        <v>0</v>
      </c>
      <c r="R818" s="166"/>
      <c r="S818" s="167"/>
      <c r="T818" s="168">
        <f t="shared" si="3"/>
        <v>127873.76</v>
      </c>
      <c r="U818" s="168">
        <f t="shared" si="4"/>
        <v>0</v>
      </c>
      <c r="V818" s="168">
        <f t="shared" si="5"/>
        <v>0</v>
      </c>
      <c r="W818" s="168">
        <f t="shared" si="6"/>
        <v>0</v>
      </c>
      <c r="X818" s="168">
        <f t="shared" si="7"/>
        <v>0</v>
      </c>
      <c r="Y818" s="168">
        <f t="shared" si="8"/>
        <v>0</v>
      </c>
      <c r="Z818" s="168">
        <f t="shared" si="9"/>
        <v>0</v>
      </c>
    </row>
    <row r="819" ht="15.75" customHeight="1">
      <c r="A819" s="157">
        <v>1469.0</v>
      </c>
      <c r="B819" s="158" t="s">
        <v>101</v>
      </c>
      <c r="C819" s="158" t="s">
        <v>87</v>
      </c>
      <c r="D819" s="159">
        <v>43405.0</v>
      </c>
      <c r="E819" s="157" t="s">
        <v>8</v>
      </c>
      <c r="F819" s="160">
        <v>141732.0</v>
      </c>
      <c r="G819" s="160">
        <v>22677.12</v>
      </c>
      <c r="H819" s="160">
        <f t="shared" si="38"/>
        <v>164409.12</v>
      </c>
      <c r="I819" s="160"/>
      <c r="J819" s="161"/>
      <c r="K819" s="160"/>
      <c r="L819" s="160">
        <f>+'FACP$'!$H819-'FACP$'!$I819-'FACP$'!$K819</f>
        <v>164409.12</v>
      </c>
      <c r="M819" s="157" t="s">
        <v>586</v>
      </c>
      <c r="N819" s="162" t="s">
        <v>554</v>
      </c>
      <c r="O819" s="163">
        <v>43453.0</v>
      </c>
      <c r="P819" s="164">
        <f t="shared" si="13"/>
        <v>43415</v>
      </c>
      <c r="Q819" s="165">
        <f t="shared" si="2"/>
        <v>0</v>
      </c>
      <c r="R819" s="166"/>
      <c r="S819" s="167"/>
      <c r="T819" s="168">
        <f t="shared" si="3"/>
        <v>164409.12</v>
      </c>
      <c r="U819" s="168">
        <f t="shared" si="4"/>
        <v>0</v>
      </c>
      <c r="V819" s="168">
        <f t="shared" si="5"/>
        <v>0</v>
      </c>
      <c r="W819" s="168">
        <f t="shared" si="6"/>
        <v>0</v>
      </c>
      <c r="X819" s="168">
        <f t="shared" si="7"/>
        <v>0</v>
      </c>
      <c r="Y819" s="168">
        <f t="shared" si="8"/>
        <v>0</v>
      </c>
      <c r="Z819" s="168">
        <f t="shared" si="9"/>
        <v>0</v>
      </c>
    </row>
    <row r="820" ht="15.75" customHeight="1">
      <c r="A820" s="157">
        <v>1473.0</v>
      </c>
      <c r="B820" s="158" t="s">
        <v>24</v>
      </c>
      <c r="C820" s="158" t="s">
        <v>87</v>
      </c>
      <c r="D820" s="159">
        <v>43405.0</v>
      </c>
      <c r="E820" s="157" t="s">
        <v>8</v>
      </c>
      <c r="F820" s="160">
        <v>72417.6</v>
      </c>
      <c r="G820" s="160">
        <v>11586.82</v>
      </c>
      <c r="H820" s="160">
        <f t="shared" si="38"/>
        <v>84004.42</v>
      </c>
      <c r="I820" s="160"/>
      <c r="J820" s="161"/>
      <c r="K820" s="160"/>
      <c r="L820" s="160">
        <f>+'FACP$'!$H820-'FACP$'!$I820-'FACP$'!$K820</f>
        <v>84004.42</v>
      </c>
      <c r="M820" s="157" t="s">
        <v>91</v>
      </c>
      <c r="N820" s="162" t="s">
        <v>554</v>
      </c>
      <c r="O820" s="163">
        <v>43454.0</v>
      </c>
      <c r="P820" s="164">
        <f t="shared" si="13"/>
        <v>43415</v>
      </c>
      <c r="Q820" s="165">
        <f t="shared" si="2"/>
        <v>0</v>
      </c>
      <c r="R820" s="166"/>
      <c r="S820" s="167"/>
      <c r="T820" s="168">
        <f t="shared" si="3"/>
        <v>84004.42</v>
      </c>
      <c r="U820" s="168">
        <f t="shared" si="4"/>
        <v>0</v>
      </c>
      <c r="V820" s="168">
        <f t="shared" si="5"/>
        <v>0</v>
      </c>
      <c r="W820" s="168">
        <f t="shared" si="6"/>
        <v>0</v>
      </c>
      <c r="X820" s="168">
        <f t="shared" si="7"/>
        <v>0</v>
      </c>
      <c r="Y820" s="168">
        <f t="shared" si="8"/>
        <v>0</v>
      </c>
      <c r="Z820" s="168">
        <f t="shared" si="9"/>
        <v>0</v>
      </c>
    </row>
    <row r="821" ht="15.75" customHeight="1">
      <c r="A821" s="157">
        <v>1474.0</v>
      </c>
      <c r="B821" s="158" t="s">
        <v>93</v>
      </c>
      <c r="C821" s="158" t="s">
        <v>87</v>
      </c>
      <c r="D821" s="159">
        <v>43405.0</v>
      </c>
      <c r="E821" s="157" t="s">
        <v>8</v>
      </c>
      <c r="F821" s="160">
        <v>5325184.89</v>
      </c>
      <c r="G821" s="160">
        <v>852029.58</v>
      </c>
      <c r="H821" s="160">
        <f t="shared" si="38"/>
        <v>6177214.47</v>
      </c>
      <c r="I821" s="160"/>
      <c r="J821" s="161"/>
      <c r="K821" s="160"/>
      <c r="L821" s="160">
        <f>+'FACP$'!$H821-'FACP$'!$I821-'FACP$'!$K821</f>
        <v>6177214.47</v>
      </c>
      <c r="M821" s="157" t="s">
        <v>93</v>
      </c>
      <c r="N821" s="162" t="s">
        <v>554</v>
      </c>
      <c r="O821" s="163">
        <v>43433.0</v>
      </c>
      <c r="P821" s="164">
        <f t="shared" si="13"/>
        <v>43415</v>
      </c>
      <c r="Q821" s="165">
        <f t="shared" si="2"/>
        <v>0</v>
      </c>
      <c r="R821" s="166"/>
      <c r="S821" s="167"/>
      <c r="T821" s="168">
        <f t="shared" si="3"/>
        <v>6177214.47</v>
      </c>
      <c r="U821" s="168">
        <f t="shared" si="4"/>
        <v>0</v>
      </c>
      <c r="V821" s="168">
        <f t="shared" si="5"/>
        <v>0</v>
      </c>
      <c r="W821" s="168">
        <f t="shared" si="6"/>
        <v>0</v>
      </c>
      <c r="X821" s="168">
        <f t="shared" si="7"/>
        <v>0</v>
      </c>
      <c r="Y821" s="168">
        <f t="shared" si="8"/>
        <v>0</v>
      </c>
      <c r="Z821" s="168">
        <f t="shared" si="9"/>
        <v>0</v>
      </c>
    </row>
    <row r="822" ht="15.75" customHeight="1">
      <c r="A822" s="157">
        <v>1475.0</v>
      </c>
      <c r="B822" s="158" t="s">
        <v>43</v>
      </c>
      <c r="C822" s="158" t="s">
        <v>87</v>
      </c>
      <c r="D822" s="159">
        <v>43405.0</v>
      </c>
      <c r="E822" s="157" t="s">
        <v>8</v>
      </c>
      <c r="F822" s="160">
        <v>383155.26</v>
      </c>
      <c r="G822" s="160">
        <v>61304.84</v>
      </c>
      <c r="H822" s="160">
        <f t="shared" si="38"/>
        <v>444460.1</v>
      </c>
      <c r="I822" s="160"/>
      <c r="J822" s="161"/>
      <c r="K822" s="160"/>
      <c r="L822" s="160">
        <f>+'FACP$'!$H822-'FACP$'!$I822-'FACP$'!$K822</f>
        <v>444460.1</v>
      </c>
      <c r="M822" s="157" t="s">
        <v>103</v>
      </c>
      <c r="N822" s="162" t="s">
        <v>554</v>
      </c>
      <c r="O822" s="163">
        <v>43448.0</v>
      </c>
      <c r="P822" s="164">
        <f t="shared" si="13"/>
        <v>43415</v>
      </c>
      <c r="Q822" s="165">
        <f t="shared" si="2"/>
        <v>0</v>
      </c>
      <c r="R822" s="166"/>
      <c r="S822" s="167"/>
      <c r="T822" s="168">
        <f t="shared" si="3"/>
        <v>444460.1</v>
      </c>
      <c r="U822" s="168">
        <f t="shared" si="4"/>
        <v>0</v>
      </c>
      <c r="V822" s="168">
        <f t="shared" si="5"/>
        <v>0</v>
      </c>
      <c r="W822" s="168">
        <f t="shared" si="6"/>
        <v>0</v>
      </c>
      <c r="X822" s="168">
        <f t="shared" si="7"/>
        <v>0</v>
      </c>
      <c r="Y822" s="168">
        <f t="shared" si="8"/>
        <v>0</v>
      </c>
      <c r="Z822" s="168">
        <f t="shared" si="9"/>
        <v>0</v>
      </c>
    </row>
    <row r="823" ht="15.75" customHeight="1">
      <c r="A823" s="157">
        <v>1479.0</v>
      </c>
      <c r="B823" s="158" t="s">
        <v>24</v>
      </c>
      <c r="C823" s="158" t="s">
        <v>87</v>
      </c>
      <c r="D823" s="159">
        <v>43405.0</v>
      </c>
      <c r="E823" s="157" t="s">
        <v>8</v>
      </c>
      <c r="F823" s="160">
        <v>199763.85</v>
      </c>
      <c r="G823" s="160">
        <v>31962.22</v>
      </c>
      <c r="H823" s="160">
        <f t="shared" si="38"/>
        <v>231726.07</v>
      </c>
      <c r="I823" s="160"/>
      <c r="J823" s="161"/>
      <c r="K823" s="160"/>
      <c r="L823" s="160">
        <f>+'FACP$'!$H823-'FACP$'!$I823-'FACP$'!$K823</f>
        <v>231726.07</v>
      </c>
      <c r="M823" s="157" t="s">
        <v>878</v>
      </c>
      <c r="N823" s="162" t="s">
        <v>554</v>
      </c>
      <c r="O823" s="163">
        <v>43454.0</v>
      </c>
      <c r="P823" s="164">
        <f t="shared" si="13"/>
        <v>43415</v>
      </c>
      <c r="Q823" s="165">
        <f t="shared" si="2"/>
        <v>0</v>
      </c>
      <c r="R823" s="166"/>
      <c r="S823" s="167"/>
      <c r="T823" s="168">
        <f t="shared" si="3"/>
        <v>231726.07</v>
      </c>
      <c r="U823" s="168">
        <f t="shared" si="4"/>
        <v>0</v>
      </c>
      <c r="V823" s="168">
        <f t="shared" si="5"/>
        <v>0</v>
      </c>
      <c r="W823" s="168">
        <f t="shared" si="6"/>
        <v>0</v>
      </c>
      <c r="X823" s="168">
        <f t="shared" si="7"/>
        <v>0</v>
      </c>
      <c r="Y823" s="168">
        <f t="shared" si="8"/>
        <v>0</v>
      </c>
      <c r="Z823" s="168">
        <f t="shared" si="9"/>
        <v>0</v>
      </c>
    </row>
    <row r="824" ht="15.75" customHeight="1">
      <c r="A824" s="157">
        <v>1480.0</v>
      </c>
      <c r="B824" s="158" t="s">
        <v>82</v>
      </c>
      <c r="C824" s="158" t="s">
        <v>879</v>
      </c>
      <c r="D824" s="159">
        <v>43434.0</v>
      </c>
      <c r="E824" s="157" t="s">
        <v>8</v>
      </c>
      <c r="F824" s="160">
        <v>176250.48</v>
      </c>
      <c r="G824" s="160">
        <v>28200.08</v>
      </c>
      <c r="H824" s="160">
        <f t="shared" si="38"/>
        <v>204450.56</v>
      </c>
      <c r="I824" s="160"/>
      <c r="J824" s="161"/>
      <c r="K824" s="160"/>
      <c r="L824" s="160">
        <f>+'FACP$'!$H824-'FACP$'!$I824-'FACP$'!$K824</f>
        <v>204450.56</v>
      </c>
      <c r="M824" s="157" t="s">
        <v>96</v>
      </c>
      <c r="N824" s="162" t="s">
        <v>554</v>
      </c>
      <c r="O824" s="163">
        <v>43438.0</v>
      </c>
      <c r="P824" s="164">
        <f t="shared" si="13"/>
        <v>43444</v>
      </c>
      <c r="Q824" s="165">
        <f t="shared" si="2"/>
        <v>0</v>
      </c>
      <c r="R824" s="166"/>
      <c r="S824" s="167"/>
      <c r="T824" s="168">
        <f t="shared" si="3"/>
        <v>204450.56</v>
      </c>
      <c r="U824" s="168">
        <f t="shared" si="4"/>
        <v>0</v>
      </c>
      <c r="V824" s="168">
        <f t="shared" si="5"/>
        <v>0</v>
      </c>
      <c r="W824" s="168">
        <f t="shared" si="6"/>
        <v>0</v>
      </c>
      <c r="X824" s="168">
        <f t="shared" si="7"/>
        <v>0</v>
      </c>
      <c r="Y824" s="168">
        <f t="shared" si="8"/>
        <v>0</v>
      </c>
      <c r="Z824" s="168">
        <f t="shared" si="9"/>
        <v>0</v>
      </c>
    </row>
    <row r="825" ht="15.75" customHeight="1">
      <c r="A825" s="157">
        <v>1481.0</v>
      </c>
      <c r="B825" s="158" t="s">
        <v>82</v>
      </c>
      <c r="C825" s="158" t="s">
        <v>880</v>
      </c>
      <c r="D825" s="159">
        <v>43434.0</v>
      </c>
      <c r="E825" s="157" t="s">
        <v>8</v>
      </c>
      <c r="F825" s="160">
        <v>13712.76</v>
      </c>
      <c r="G825" s="160">
        <v>2194.04</v>
      </c>
      <c r="H825" s="160">
        <f t="shared" si="38"/>
        <v>15906.8</v>
      </c>
      <c r="I825" s="160"/>
      <c r="J825" s="161"/>
      <c r="K825" s="160"/>
      <c r="L825" s="160">
        <f>+'FACP$'!$H825-'FACP$'!$I825-'FACP$'!$K825</f>
        <v>15906.8</v>
      </c>
      <c r="M825" s="157" t="s">
        <v>96</v>
      </c>
      <c r="N825" s="162" t="s">
        <v>554</v>
      </c>
      <c r="O825" s="163">
        <v>43438.0</v>
      </c>
      <c r="P825" s="164">
        <f t="shared" si="13"/>
        <v>43444</v>
      </c>
      <c r="Q825" s="165">
        <f t="shared" si="2"/>
        <v>0</v>
      </c>
      <c r="R825" s="166"/>
      <c r="S825" s="167"/>
      <c r="T825" s="168">
        <f t="shared" si="3"/>
        <v>15906.8</v>
      </c>
      <c r="U825" s="168">
        <f t="shared" si="4"/>
        <v>0</v>
      </c>
      <c r="V825" s="168">
        <f t="shared" si="5"/>
        <v>0</v>
      </c>
      <c r="W825" s="168">
        <f t="shared" si="6"/>
        <v>0</v>
      </c>
      <c r="X825" s="168">
        <f t="shared" si="7"/>
        <v>0</v>
      </c>
      <c r="Y825" s="168">
        <f t="shared" si="8"/>
        <v>0</v>
      </c>
      <c r="Z825" s="168">
        <f t="shared" si="9"/>
        <v>0</v>
      </c>
    </row>
    <row r="826" ht="15.75" customHeight="1">
      <c r="A826" s="157">
        <v>1482.0</v>
      </c>
      <c r="B826" s="158" t="s">
        <v>41</v>
      </c>
      <c r="C826" s="158" t="s">
        <v>874</v>
      </c>
      <c r="D826" s="159">
        <v>43388.0</v>
      </c>
      <c r="E826" s="157" t="s">
        <v>8</v>
      </c>
      <c r="F826" s="160">
        <v>343127.52</v>
      </c>
      <c r="G826" s="160">
        <v>54900.4</v>
      </c>
      <c r="H826" s="160">
        <f t="shared" si="38"/>
        <v>398027.92</v>
      </c>
      <c r="I826" s="160"/>
      <c r="J826" s="161"/>
      <c r="K826" s="160"/>
      <c r="L826" s="160">
        <f>+'FACP$'!$H826-'FACP$'!$I826-'FACP$'!$K826</f>
        <v>398027.92</v>
      </c>
      <c r="M826" s="157" t="s">
        <v>875</v>
      </c>
      <c r="N826" s="162" t="s">
        <v>554</v>
      </c>
      <c r="O826" s="163">
        <v>43452.0</v>
      </c>
      <c r="P826" s="164">
        <f t="shared" si="13"/>
        <v>43398</v>
      </c>
      <c r="Q826" s="165">
        <f t="shared" si="2"/>
        <v>0</v>
      </c>
      <c r="R826" s="166"/>
      <c r="S826" s="167"/>
      <c r="T826" s="168">
        <f t="shared" si="3"/>
        <v>398027.92</v>
      </c>
      <c r="U826" s="168">
        <f t="shared" si="4"/>
        <v>0</v>
      </c>
      <c r="V826" s="168">
        <f t="shared" si="5"/>
        <v>0</v>
      </c>
      <c r="W826" s="168">
        <f t="shared" si="6"/>
        <v>0</v>
      </c>
      <c r="X826" s="168">
        <f t="shared" si="7"/>
        <v>0</v>
      </c>
      <c r="Y826" s="168">
        <f t="shared" si="8"/>
        <v>0</v>
      </c>
      <c r="Z826" s="168">
        <f t="shared" si="9"/>
        <v>0</v>
      </c>
    </row>
    <row r="827" ht="15.75" customHeight="1">
      <c r="A827" s="157">
        <v>1484.0</v>
      </c>
      <c r="B827" s="158" t="s">
        <v>41</v>
      </c>
      <c r="C827" s="158" t="s">
        <v>874</v>
      </c>
      <c r="D827" s="159">
        <v>43405.0</v>
      </c>
      <c r="E827" s="157" t="s">
        <v>8</v>
      </c>
      <c r="F827" s="160">
        <v>714437.36</v>
      </c>
      <c r="G827" s="160">
        <v>114309.98</v>
      </c>
      <c r="H827" s="160">
        <f t="shared" si="38"/>
        <v>828747.34</v>
      </c>
      <c r="I827" s="160"/>
      <c r="J827" s="161"/>
      <c r="K827" s="160"/>
      <c r="L827" s="160">
        <f>+'FACP$'!$H827-'FACP$'!$I827-'FACP$'!$K827</f>
        <v>828747.34</v>
      </c>
      <c r="M827" s="157" t="s">
        <v>875</v>
      </c>
      <c r="N827" s="162" t="s">
        <v>554</v>
      </c>
      <c r="O827" s="163">
        <v>43475.0</v>
      </c>
      <c r="P827" s="164">
        <f t="shared" si="13"/>
        <v>43415</v>
      </c>
      <c r="Q827" s="165">
        <f t="shared" si="2"/>
        <v>0</v>
      </c>
      <c r="R827" s="166"/>
      <c r="S827" s="167"/>
      <c r="T827" s="168">
        <f t="shared" si="3"/>
        <v>828747.34</v>
      </c>
      <c r="U827" s="168">
        <f t="shared" si="4"/>
        <v>0</v>
      </c>
      <c r="V827" s="168">
        <f t="shared" si="5"/>
        <v>0</v>
      </c>
      <c r="W827" s="168">
        <f t="shared" si="6"/>
        <v>0</v>
      </c>
      <c r="X827" s="168">
        <f t="shared" si="7"/>
        <v>0</v>
      </c>
      <c r="Y827" s="168">
        <f t="shared" si="8"/>
        <v>0</v>
      </c>
      <c r="Z827" s="168">
        <f t="shared" si="9"/>
        <v>0</v>
      </c>
    </row>
    <row r="828" ht="15.75" customHeight="1">
      <c r="A828" s="157">
        <v>1486.0</v>
      </c>
      <c r="B828" s="158" t="s">
        <v>41</v>
      </c>
      <c r="C828" s="158" t="s">
        <v>874</v>
      </c>
      <c r="D828" s="159">
        <v>43388.0</v>
      </c>
      <c r="E828" s="157" t="s">
        <v>8</v>
      </c>
      <c r="F828" s="160">
        <v>343127.52</v>
      </c>
      <c r="G828" s="160">
        <v>54900.4</v>
      </c>
      <c r="H828" s="160">
        <f t="shared" si="38"/>
        <v>398027.92</v>
      </c>
      <c r="I828" s="160"/>
      <c r="J828" s="161"/>
      <c r="K828" s="160"/>
      <c r="L828" s="160">
        <f>+'FACP$'!$H828-'FACP$'!$I828-'FACP$'!$K828</f>
        <v>398027.92</v>
      </c>
      <c r="M828" s="157" t="s">
        <v>33</v>
      </c>
      <c r="N828" s="162" t="s">
        <v>127</v>
      </c>
      <c r="O828" s="163" t="s">
        <v>881</v>
      </c>
      <c r="P828" s="164">
        <f t="shared" si="13"/>
        <v>43398</v>
      </c>
      <c r="Q828" s="165">
        <f t="shared" si="2"/>
        <v>0</v>
      </c>
      <c r="R828" s="166"/>
      <c r="S828" s="167"/>
      <c r="T828" s="168">
        <f t="shared" si="3"/>
        <v>398027.92</v>
      </c>
      <c r="U828" s="168">
        <f t="shared" si="4"/>
        <v>0</v>
      </c>
      <c r="V828" s="168">
        <f t="shared" si="5"/>
        <v>0</v>
      </c>
      <c r="W828" s="168">
        <f t="shared" si="6"/>
        <v>0</v>
      </c>
      <c r="X828" s="168">
        <f t="shared" si="7"/>
        <v>0</v>
      </c>
      <c r="Y828" s="168">
        <f t="shared" si="8"/>
        <v>0</v>
      </c>
      <c r="Z828" s="168">
        <f t="shared" si="9"/>
        <v>0</v>
      </c>
    </row>
    <row r="829" ht="15.75" customHeight="1">
      <c r="A829" s="157">
        <v>1488.0</v>
      </c>
      <c r="B829" s="158" t="s">
        <v>82</v>
      </c>
      <c r="C829" s="158" t="s">
        <v>882</v>
      </c>
      <c r="D829" s="159">
        <v>43438.0</v>
      </c>
      <c r="E829" s="157" t="s">
        <v>8</v>
      </c>
      <c r="F829" s="160">
        <v>169150.14</v>
      </c>
      <c r="G829" s="160">
        <v>27064.02</v>
      </c>
      <c r="H829" s="160">
        <f t="shared" si="38"/>
        <v>196214.16</v>
      </c>
      <c r="I829" s="160"/>
      <c r="J829" s="161"/>
      <c r="K829" s="160"/>
      <c r="L829" s="160">
        <f>+'FACP$'!$H829-'FACP$'!$I829-'FACP$'!$K829</f>
        <v>196214.16</v>
      </c>
      <c r="M829" s="157" t="s">
        <v>96</v>
      </c>
      <c r="N829" s="162" t="s">
        <v>554</v>
      </c>
      <c r="O829" s="163" t="s">
        <v>883</v>
      </c>
      <c r="P829" s="164">
        <f t="shared" si="13"/>
        <v>43448</v>
      </c>
      <c r="Q829" s="165">
        <f t="shared" si="2"/>
        <v>0</v>
      </c>
      <c r="R829" s="166"/>
      <c r="S829" s="167"/>
      <c r="T829" s="168">
        <f t="shared" si="3"/>
        <v>196214.16</v>
      </c>
      <c r="U829" s="168">
        <f t="shared" si="4"/>
        <v>0</v>
      </c>
      <c r="V829" s="168">
        <f t="shared" si="5"/>
        <v>0</v>
      </c>
      <c r="W829" s="168">
        <f t="shared" si="6"/>
        <v>0</v>
      </c>
      <c r="X829" s="168">
        <f t="shared" si="7"/>
        <v>0</v>
      </c>
      <c r="Y829" s="168">
        <f t="shared" si="8"/>
        <v>0</v>
      </c>
      <c r="Z829" s="168">
        <f t="shared" si="9"/>
        <v>0</v>
      </c>
    </row>
    <row r="830" ht="15.75" customHeight="1">
      <c r="A830" s="157">
        <v>1489.0</v>
      </c>
      <c r="B830" s="158" t="s">
        <v>82</v>
      </c>
      <c r="C830" s="158" t="s">
        <v>884</v>
      </c>
      <c r="D830" s="159">
        <v>43438.0</v>
      </c>
      <c r="E830" s="157" t="s">
        <v>8</v>
      </c>
      <c r="F830" s="160">
        <v>58548.48</v>
      </c>
      <c r="G830" s="160">
        <v>9367.76</v>
      </c>
      <c r="H830" s="160">
        <f t="shared" si="38"/>
        <v>67916.24</v>
      </c>
      <c r="I830" s="160"/>
      <c r="J830" s="161"/>
      <c r="K830" s="160"/>
      <c r="L830" s="160">
        <f>+'FACP$'!$H830-'FACP$'!$I830-'FACP$'!$K830</f>
        <v>67916.24</v>
      </c>
      <c r="M830" s="157" t="s">
        <v>96</v>
      </c>
      <c r="N830" s="162" t="s">
        <v>554</v>
      </c>
      <c r="O830" s="163" t="s">
        <v>885</v>
      </c>
      <c r="P830" s="164">
        <f t="shared" si="13"/>
        <v>43448</v>
      </c>
      <c r="Q830" s="165">
        <f t="shared" si="2"/>
        <v>0</v>
      </c>
      <c r="R830" s="166"/>
      <c r="S830" s="167"/>
      <c r="T830" s="168">
        <f t="shared" si="3"/>
        <v>67916.24</v>
      </c>
      <c r="U830" s="168">
        <f t="shared" si="4"/>
        <v>0</v>
      </c>
      <c r="V830" s="168">
        <f t="shared" si="5"/>
        <v>0</v>
      </c>
      <c r="W830" s="168">
        <f t="shared" si="6"/>
        <v>0</v>
      </c>
      <c r="X830" s="168">
        <f t="shared" si="7"/>
        <v>0</v>
      </c>
      <c r="Y830" s="168">
        <f t="shared" si="8"/>
        <v>0</v>
      </c>
      <c r="Z830" s="168">
        <f t="shared" si="9"/>
        <v>0</v>
      </c>
    </row>
    <row r="831" ht="15.75" customHeight="1">
      <c r="A831" s="157">
        <v>1490.0</v>
      </c>
      <c r="B831" s="158" t="s">
        <v>886</v>
      </c>
      <c r="C831" s="158" t="s">
        <v>887</v>
      </c>
      <c r="D831" s="159">
        <v>43438.0</v>
      </c>
      <c r="E831" s="157" t="s">
        <v>8</v>
      </c>
      <c r="F831" s="160">
        <v>991.8</v>
      </c>
      <c r="G831" s="160">
        <v>158.62</v>
      </c>
      <c r="H831" s="160">
        <f t="shared" si="38"/>
        <v>1150.42</v>
      </c>
      <c r="I831" s="160"/>
      <c r="J831" s="161"/>
      <c r="K831" s="160"/>
      <c r="L831" s="160">
        <f>+'FACP$'!$H831-'FACP$'!$I831-'FACP$'!$K831</f>
        <v>1150.42</v>
      </c>
      <c r="M831" s="157" t="s">
        <v>888</v>
      </c>
      <c r="N831" s="162" t="s">
        <v>554</v>
      </c>
      <c r="O831" s="163">
        <v>43441.0</v>
      </c>
      <c r="P831" s="164">
        <f t="shared" si="13"/>
        <v>43448</v>
      </c>
      <c r="Q831" s="165">
        <f t="shared" si="2"/>
        <v>0</v>
      </c>
      <c r="R831" s="166"/>
      <c r="S831" s="167"/>
      <c r="T831" s="168">
        <f t="shared" si="3"/>
        <v>1150.42</v>
      </c>
      <c r="U831" s="168">
        <f t="shared" si="4"/>
        <v>0</v>
      </c>
      <c r="V831" s="168">
        <f t="shared" si="5"/>
        <v>0</v>
      </c>
      <c r="W831" s="168">
        <f t="shared" si="6"/>
        <v>0</v>
      </c>
      <c r="X831" s="168">
        <f t="shared" si="7"/>
        <v>0</v>
      </c>
      <c r="Y831" s="168">
        <f t="shared" si="8"/>
        <v>0</v>
      </c>
      <c r="Z831" s="168">
        <f t="shared" si="9"/>
        <v>0</v>
      </c>
    </row>
    <row r="832" ht="15.75" customHeight="1">
      <c r="A832" s="157">
        <v>1491.0</v>
      </c>
      <c r="B832" s="158" t="s">
        <v>29</v>
      </c>
      <c r="C832" s="158" t="s">
        <v>87</v>
      </c>
      <c r="D832" s="159">
        <v>43405.0</v>
      </c>
      <c r="E832" s="157" t="s">
        <v>8</v>
      </c>
      <c r="F832" s="160">
        <v>625483.04</v>
      </c>
      <c r="G832" s="160">
        <v>100077.29</v>
      </c>
      <c r="H832" s="160">
        <f t="shared" si="38"/>
        <v>725560.33</v>
      </c>
      <c r="I832" s="160"/>
      <c r="J832" s="161"/>
      <c r="K832" s="160"/>
      <c r="L832" s="160">
        <f>+'FACP$'!$H832-'FACP$'!$I832-'FACP$'!$K832</f>
        <v>725560.33</v>
      </c>
      <c r="M832" s="157" t="s">
        <v>825</v>
      </c>
      <c r="N832" s="162" t="s">
        <v>554</v>
      </c>
      <c r="O832" s="163">
        <v>43453.0</v>
      </c>
      <c r="P832" s="164">
        <f t="shared" si="13"/>
        <v>43415</v>
      </c>
      <c r="Q832" s="165">
        <f t="shared" si="2"/>
        <v>0</v>
      </c>
      <c r="R832" s="166"/>
      <c r="S832" s="167"/>
      <c r="T832" s="168">
        <f t="shared" si="3"/>
        <v>725560.33</v>
      </c>
      <c r="U832" s="168">
        <f t="shared" si="4"/>
        <v>0</v>
      </c>
      <c r="V832" s="168">
        <f t="shared" si="5"/>
        <v>0</v>
      </c>
      <c r="W832" s="168">
        <f t="shared" si="6"/>
        <v>0</v>
      </c>
      <c r="X832" s="168">
        <f t="shared" si="7"/>
        <v>0</v>
      </c>
      <c r="Y832" s="168">
        <f t="shared" si="8"/>
        <v>0</v>
      </c>
      <c r="Z832" s="168">
        <f t="shared" si="9"/>
        <v>0</v>
      </c>
    </row>
    <row r="833" ht="15.75" customHeight="1">
      <c r="A833" s="157">
        <v>1493.0</v>
      </c>
      <c r="B833" s="158" t="s">
        <v>93</v>
      </c>
      <c r="C833" s="158" t="s">
        <v>87</v>
      </c>
      <c r="D833" s="159">
        <v>43419.0</v>
      </c>
      <c r="E833" s="157" t="s">
        <v>8</v>
      </c>
      <c r="F833" s="160">
        <v>5434424.5</v>
      </c>
      <c r="G833" s="160">
        <v>869507.85</v>
      </c>
      <c r="H833" s="160">
        <f t="shared" si="38"/>
        <v>6303932.35</v>
      </c>
      <c r="I833" s="160"/>
      <c r="J833" s="161"/>
      <c r="K833" s="160"/>
      <c r="L833" s="160">
        <f>+'FACP$'!$H833-'FACP$'!$I833-'FACP$'!$K833</f>
        <v>6303932.35</v>
      </c>
      <c r="M833" s="157" t="s">
        <v>93</v>
      </c>
      <c r="N833" s="162" t="s">
        <v>554</v>
      </c>
      <c r="O833" s="163">
        <v>43447.0</v>
      </c>
      <c r="P833" s="164">
        <f t="shared" si="13"/>
        <v>43429</v>
      </c>
      <c r="Q833" s="165">
        <f t="shared" si="2"/>
        <v>0</v>
      </c>
      <c r="R833" s="166"/>
      <c r="S833" s="167"/>
      <c r="T833" s="168">
        <f t="shared" si="3"/>
        <v>6303932.35</v>
      </c>
      <c r="U833" s="168">
        <f t="shared" si="4"/>
        <v>0</v>
      </c>
      <c r="V833" s="168">
        <f t="shared" si="5"/>
        <v>0</v>
      </c>
      <c r="W833" s="168">
        <f t="shared" si="6"/>
        <v>0</v>
      </c>
      <c r="X833" s="168">
        <f t="shared" si="7"/>
        <v>0</v>
      </c>
      <c r="Y833" s="168">
        <f t="shared" si="8"/>
        <v>0</v>
      </c>
      <c r="Z833" s="168">
        <f t="shared" si="9"/>
        <v>0</v>
      </c>
    </row>
    <row r="834" ht="15.75" customHeight="1">
      <c r="A834" s="157">
        <v>1494.0</v>
      </c>
      <c r="B834" s="158" t="s">
        <v>43</v>
      </c>
      <c r="C834" s="158" t="s">
        <v>87</v>
      </c>
      <c r="D834" s="159">
        <v>43419.0</v>
      </c>
      <c r="E834" s="157" t="s">
        <v>8</v>
      </c>
      <c r="F834" s="160">
        <v>877701.85</v>
      </c>
      <c r="G834" s="160">
        <v>140432.3</v>
      </c>
      <c r="H834" s="160">
        <f t="shared" si="38"/>
        <v>1018134.15</v>
      </c>
      <c r="I834" s="160"/>
      <c r="J834" s="161"/>
      <c r="K834" s="160"/>
      <c r="L834" s="160">
        <f>+'FACP$'!$H834-'FACP$'!$I834-'FACP$'!$K834</f>
        <v>1018134.15</v>
      </c>
      <c r="M834" s="157" t="s">
        <v>103</v>
      </c>
      <c r="N834" s="162" t="s">
        <v>554</v>
      </c>
      <c r="O834" s="163">
        <v>43451.0</v>
      </c>
      <c r="P834" s="164">
        <f t="shared" si="13"/>
        <v>43429</v>
      </c>
      <c r="Q834" s="165">
        <f t="shared" si="2"/>
        <v>0</v>
      </c>
      <c r="R834" s="166"/>
      <c r="S834" s="167"/>
      <c r="T834" s="168">
        <f t="shared" si="3"/>
        <v>1018134.15</v>
      </c>
      <c r="U834" s="168">
        <f t="shared" si="4"/>
        <v>0</v>
      </c>
      <c r="V834" s="168">
        <f t="shared" si="5"/>
        <v>0</v>
      </c>
      <c r="W834" s="168">
        <f t="shared" si="6"/>
        <v>0</v>
      </c>
      <c r="X834" s="168">
        <f t="shared" si="7"/>
        <v>0</v>
      </c>
      <c r="Y834" s="168">
        <f t="shared" si="8"/>
        <v>0</v>
      </c>
      <c r="Z834" s="168">
        <f t="shared" si="9"/>
        <v>0</v>
      </c>
    </row>
    <row r="835" ht="15.75" customHeight="1">
      <c r="A835" s="157">
        <v>1496.0</v>
      </c>
      <c r="B835" s="158" t="s">
        <v>29</v>
      </c>
      <c r="C835" s="158" t="s">
        <v>87</v>
      </c>
      <c r="D835" s="159">
        <v>43419.0</v>
      </c>
      <c r="E835" s="157" t="s">
        <v>8</v>
      </c>
      <c r="F835" s="160">
        <v>1029697.76</v>
      </c>
      <c r="G835" s="160">
        <v>164751.64</v>
      </c>
      <c r="H835" s="160">
        <f t="shared" si="38"/>
        <v>1194449.4</v>
      </c>
      <c r="I835" s="160"/>
      <c r="J835" s="161"/>
      <c r="K835" s="160"/>
      <c r="L835" s="160">
        <f>+'FACP$'!$H835-'FACP$'!$I835-'FACP$'!$K835</f>
        <v>1194449.4</v>
      </c>
      <c r="M835" s="157" t="s">
        <v>825</v>
      </c>
      <c r="N835" s="162" t="s">
        <v>554</v>
      </c>
      <c r="O835" s="163">
        <v>43453.0</v>
      </c>
      <c r="P835" s="164">
        <f t="shared" si="13"/>
        <v>43429</v>
      </c>
      <c r="Q835" s="165">
        <f t="shared" si="2"/>
        <v>0</v>
      </c>
      <c r="R835" s="166"/>
      <c r="S835" s="167"/>
      <c r="T835" s="168">
        <f t="shared" si="3"/>
        <v>1194449.4</v>
      </c>
      <c r="U835" s="168">
        <f t="shared" si="4"/>
        <v>0</v>
      </c>
      <c r="V835" s="168">
        <f t="shared" si="5"/>
        <v>0</v>
      </c>
      <c r="W835" s="168">
        <f t="shared" si="6"/>
        <v>0</v>
      </c>
      <c r="X835" s="168">
        <f t="shared" si="7"/>
        <v>0</v>
      </c>
      <c r="Y835" s="168">
        <f t="shared" si="8"/>
        <v>0</v>
      </c>
      <c r="Z835" s="168">
        <f t="shared" si="9"/>
        <v>0</v>
      </c>
    </row>
    <row r="836" ht="15.75" customHeight="1">
      <c r="A836" s="157">
        <v>1498.0</v>
      </c>
      <c r="B836" s="158" t="s">
        <v>82</v>
      </c>
      <c r="C836" s="158" t="s">
        <v>889</v>
      </c>
      <c r="D836" s="159">
        <v>43440.0</v>
      </c>
      <c r="E836" s="157" t="s">
        <v>8</v>
      </c>
      <c r="F836" s="160">
        <v>72500.0</v>
      </c>
      <c r="G836" s="160">
        <v>11600.0</v>
      </c>
      <c r="H836" s="160">
        <f t="shared" si="38"/>
        <v>84100</v>
      </c>
      <c r="I836" s="160"/>
      <c r="J836" s="161"/>
      <c r="K836" s="160"/>
      <c r="L836" s="160">
        <f>+'FACP$'!$H836-'FACP$'!$I836-'FACP$'!$K836</f>
        <v>84100</v>
      </c>
      <c r="M836" s="157" t="s">
        <v>96</v>
      </c>
      <c r="N836" s="162" t="s">
        <v>554</v>
      </c>
      <c r="O836" s="163">
        <v>43452.0</v>
      </c>
      <c r="P836" s="164">
        <f t="shared" si="13"/>
        <v>43450</v>
      </c>
      <c r="Q836" s="165">
        <f t="shared" si="2"/>
        <v>0</v>
      </c>
      <c r="R836" s="166"/>
      <c r="S836" s="167"/>
      <c r="T836" s="168">
        <f t="shared" si="3"/>
        <v>84100</v>
      </c>
      <c r="U836" s="168">
        <f t="shared" si="4"/>
        <v>0</v>
      </c>
      <c r="V836" s="168">
        <f t="shared" si="5"/>
        <v>0</v>
      </c>
      <c r="W836" s="168">
        <f t="shared" si="6"/>
        <v>0</v>
      </c>
      <c r="X836" s="168">
        <f t="shared" si="7"/>
        <v>0</v>
      </c>
      <c r="Y836" s="168">
        <f t="shared" si="8"/>
        <v>0</v>
      </c>
      <c r="Z836" s="168">
        <f t="shared" si="9"/>
        <v>0</v>
      </c>
    </row>
    <row r="837" ht="15.75" customHeight="1">
      <c r="A837" s="157">
        <v>1502.0</v>
      </c>
      <c r="B837" s="161" t="s">
        <v>24</v>
      </c>
      <c r="C837" s="158" t="s">
        <v>87</v>
      </c>
      <c r="D837" s="159">
        <v>43419.0</v>
      </c>
      <c r="E837" s="157" t="s">
        <v>8</v>
      </c>
      <c r="F837" s="160">
        <v>126634.5</v>
      </c>
      <c r="G837" s="160">
        <v>20261.52</v>
      </c>
      <c r="H837" s="160">
        <f t="shared" si="38"/>
        <v>146896.02</v>
      </c>
      <c r="I837" s="160"/>
      <c r="J837" s="161"/>
      <c r="K837" s="160"/>
      <c r="L837" s="160">
        <f>+'FACP$'!$H837-'FACP$'!$I837-'FACP$'!$K837</f>
        <v>146896.02</v>
      </c>
      <c r="M837" s="157" t="s">
        <v>91</v>
      </c>
      <c r="N837" s="162" t="s">
        <v>554</v>
      </c>
      <c r="O837" s="163">
        <v>43454.0</v>
      </c>
      <c r="P837" s="164">
        <f t="shared" si="13"/>
        <v>43429</v>
      </c>
      <c r="Q837" s="165">
        <f t="shared" si="2"/>
        <v>0</v>
      </c>
      <c r="R837" s="166"/>
      <c r="S837" s="167"/>
      <c r="T837" s="168">
        <f t="shared" si="3"/>
        <v>146896.02</v>
      </c>
      <c r="U837" s="168">
        <f t="shared" si="4"/>
        <v>0</v>
      </c>
      <c r="V837" s="168">
        <f t="shared" si="5"/>
        <v>0</v>
      </c>
      <c r="W837" s="168">
        <f t="shared" si="6"/>
        <v>0</v>
      </c>
      <c r="X837" s="168">
        <f t="shared" si="7"/>
        <v>0</v>
      </c>
      <c r="Y837" s="168">
        <f t="shared" si="8"/>
        <v>0</v>
      </c>
      <c r="Z837" s="168">
        <f t="shared" si="9"/>
        <v>0</v>
      </c>
    </row>
    <row r="838" ht="15.75" customHeight="1">
      <c r="A838" s="157">
        <v>1504.0</v>
      </c>
      <c r="B838" s="158" t="s">
        <v>37</v>
      </c>
      <c r="C838" s="158" t="s">
        <v>87</v>
      </c>
      <c r="D838" s="159">
        <v>43419.0</v>
      </c>
      <c r="E838" s="157" t="s">
        <v>8</v>
      </c>
      <c r="F838" s="160">
        <v>1272411.9</v>
      </c>
      <c r="G838" s="160">
        <v>203585.9</v>
      </c>
      <c r="H838" s="160">
        <f t="shared" si="38"/>
        <v>1475997.8</v>
      </c>
      <c r="I838" s="160"/>
      <c r="J838" s="161"/>
      <c r="K838" s="160"/>
      <c r="L838" s="160">
        <f>+'FACP$'!$H838-'FACP$'!$I838-'FACP$'!$K838</f>
        <v>1475997.8</v>
      </c>
      <c r="M838" s="157" t="s">
        <v>718</v>
      </c>
      <c r="N838" s="162" t="s">
        <v>554</v>
      </c>
      <c r="O838" s="163">
        <v>43451.0</v>
      </c>
      <c r="P838" s="164">
        <f t="shared" si="13"/>
        <v>43429</v>
      </c>
      <c r="Q838" s="165">
        <f t="shared" si="2"/>
        <v>0</v>
      </c>
      <c r="R838" s="166"/>
      <c r="S838" s="167"/>
      <c r="T838" s="168">
        <f t="shared" si="3"/>
        <v>1475997.8</v>
      </c>
      <c r="U838" s="168">
        <f t="shared" si="4"/>
        <v>0</v>
      </c>
      <c r="V838" s="168">
        <f t="shared" si="5"/>
        <v>0</v>
      </c>
      <c r="W838" s="168">
        <f t="shared" si="6"/>
        <v>0</v>
      </c>
      <c r="X838" s="168">
        <f t="shared" si="7"/>
        <v>0</v>
      </c>
      <c r="Y838" s="168">
        <f t="shared" si="8"/>
        <v>0</v>
      </c>
      <c r="Z838" s="168">
        <f t="shared" si="9"/>
        <v>0</v>
      </c>
    </row>
    <row r="839" ht="15.75" customHeight="1">
      <c r="A839" s="157">
        <v>1506.0</v>
      </c>
      <c r="B839" s="158" t="s">
        <v>101</v>
      </c>
      <c r="C839" s="158" t="s">
        <v>87</v>
      </c>
      <c r="D839" s="159">
        <v>43419.0</v>
      </c>
      <c r="E839" s="157" t="s">
        <v>8</v>
      </c>
      <c r="F839" s="160">
        <v>199948.8</v>
      </c>
      <c r="G839" s="160">
        <v>31991.81</v>
      </c>
      <c r="H839" s="160">
        <f t="shared" si="38"/>
        <v>231940.61</v>
      </c>
      <c r="I839" s="160"/>
      <c r="J839" s="161"/>
      <c r="K839" s="160"/>
      <c r="L839" s="160">
        <f>+'FACP$'!$H839-'FACP$'!$I839-'FACP$'!$K839</f>
        <v>231940.61</v>
      </c>
      <c r="M839" s="157" t="s">
        <v>586</v>
      </c>
      <c r="N839" s="162" t="s">
        <v>554</v>
      </c>
      <c r="O839" s="163">
        <v>43496.0</v>
      </c>
      <c r="P839" s="164">
        <f t="shared" si="13"/>
        <v>43429</v>
      </c>
      <c r="Q839" s="165">
        <f t="shared" si="2"/>
        <v>0</v>
      </c>
      <c r="R839" s="166"/>
      <c r="S839" s="167"/>
      <c r="T839" s="168">
        <f t="shared" si="3"/>
        <v>231940.61</v>
      </c>
      <c r="U839" s="168">
        <f t="shared" si="4"/>
        <v>0</v>
      </c>
      <c r="V839" s="168">
        <f t="shared" si="5"/>
        <v>0</v>
      </c>
      <c r="W839" s="168">
        <f t="shared" si="6"/>
        <v>0</v>
      </c>
      <c r="X839" s="168">
        <f t="shared" si="7"/>
        <v>0</v>
      </c>
      <c r="Y839" s="168">
        <f t="shared" si="8"/>
        <v>0</v>
      </c>
      <c r="Z839" s="168">
        <f t="shared" si="9"/>
        <v>0</v>
      </c>
    </row>
    <row r="840" ht="15.75" customHeight="1">
      <c r="A840" s="157">
        <v>1508.0</v>
      </c>
      <c r="B840" s="158" t="s">
        <v>101</v>
      </c>
      <c r="C840" s="158" t="s">
        <v>87</v>
      </c>
      <c r="D840" s="159">
        <v>43419.0</v>
      </c>
      <c r="E840" s="157" t="s">
        <v>8</v>
      </c>
      <c r="F840" s="160">
        <v>98653.6</v>
      </c>
      <c r="G840" s="160">
        <v>15784.58</v>
      </c>
      <c r="H840" s="160">
        <f t="shared" si="38"/>
        <v>114438.18</v>
      </c>
      <c r="I840" s="160"/>
      <c r="J840" s="161"/>
      <c r="K840" s="160"/>
      <c r="L840" s="160">
        <f>+'FACP$'!$H840-'FACP$'!$I840-'FACP$'!$K840</f>
        <v>114438.18</v>
      </c>
      <c r="M840" s="157" t="s">
        <v>732</v>
      </c>
      <c r="N840" s="162" t="s">
        <v>554</v>
      </c>
      <c r="O840" s="163">
        <v>43496.0</v>
      </c>
      <c r="P840" s="164">
        <f t="shared" si="13"/>
        <v>43429</v>
      </c>
      <c r="Q840" s="165">
        <f t="shared" si="2"/>
        <v>0</v>
      </c>
      <c r="R840" s="166"/>
      <c r="S840" s="167"/>
      <c r="T840" s="168">
        <f t="shared" si="3"/>
        <v>114438.18</v>
      </c>
      <c r="U840" s="168">
        <f t="shared" si="4"/>
        <v>0</v>
      </c>
      <c r="V840" s="168">
        <f t="shared" si="5"/>
        <v>0</v>
      </c>
      <c r="W840" s="168">
        <f t="shared" si="6"/>
        <v>0</v>
      </c>
      <c r="X840" s="168">
        <f t="shared" si="7"/>
        <v>0</v>
      </c>
      <c r="Y840" s="168">
        <f t="shared" si="8"/>
        <v>0</v>
      </c>
      <c r="Z840" s="168">
        <f t="shared" si="9"/>
        <v>0</v>
      </c>
    </row>
    <row r="841" ht="15.75" customHeight="1">
      <c r="A841" s="157">
        <v>1510.0</v>
      </c>
      <c r="B841" s="158" t="s">
        <v>37</v>
      </c>
      <c r="C841" s="158" t="s">
        <v>87</v>
      </c>
      <c r="D841" s="159">
        <v>43282.0</v>
      </c>
      <c r="E841" s="157" t="s">
        <v>8</v>
      </c>
      <c r="F841" s="160">
        <v>2243331.23</v>
      </c>
      <c r="G841" s="160">
        <v>358933.0</v>
      </c>
      <c r="H841" s="160">
        <f t="shared" si="38"/>
        <v>2602264.23</v>
      </c>
      <c r="I841" s="160"/>
      <c r="J841" s="161"/>
      <c r="K841" s="160"/>
      <c r="L841" s="160">
        <f>+'FACP$'!$H841-'FACP$'!$I841-'FACP$'!$K841</f>
        <v>2602264.23</v>
      </c>
      <c r="M841" s="157" t="s">
        <v>718</v>
      </c>
      <c r="N841" s="162" t="s">
        <v>554</v>
      </c>
      <c r="O841" s="163">
        <v>43469.0</v>
      </c>
      <c r="P841" s="164">
        <f t="shared" si="13"/>
        <v>43292</v>
      </c>
      <c r="Q841" s="165">
        <f t="shared" si="2"/>
        <v>0</v>
      </c>
      <c r="R841" s="166"/>
      <c r="S841" s="220"/>
      <c r="T841" s="168">
        <f t="shared" si="3"/>
        <v>2602264.23</v>
      </c>
      <c r="U841" s="168">
        <f t="shared" si="4"/>
        <v>0</v>
      </c>
      <c r="V841" s="168">
        <f t="shared" si="5"/>
        <v>0</v>
      </c>
      <c r="W841" s="168">
        <f t="shared" si="6"/>
        <v>0</v>
      </c>
      <c r="X841" s="168">
        <f t="shared" si="7"/>
        <v>0</v>
      </c>
      <c r="Y841" s="168">
        <f t="shared" si="8"/>
        <v>0</v>
      </c>
      <c r="Z841" s="168">
        <f t="shared" si="9"/>
        <v>0</v>
      </c>
    </row>
    <row r="842" ht="15.75" customHeight="1">
      <c r="A842" s="157">
        <v>1512.0</v>
      </c>
      <c r="B842" s="158" t="s">
        <v>41</v>
      </c>
      <c r="C842" s="158" t="s">
        <v>874</v>
      </c>
      <c r="D842" s="159">
        <v>43419.0</v>
      </c>
      <c r="E842" s="157" t="s">
        <v>8</v>
      </c>
      <c r="F842" s="160">
        <v>1007392.96</v>
      </c>
      <c r="G842" s="160">
        <v>161182.87</v>
      </c>
      <c r="H842" s="160">
        <f t="shared" si="38"/>
        <v>1168575.83</v>
      </c>
      <c r="I842" s="160"/>
      <c r="J842" s="161"/>
      <c r="K842" s="160"/>
      <c r="L842" s="160">
        <f>+'FACP$'!$H842-'FACP$'!$I842-'FACP$'!$K842</f>
        <v>1168575.83</v>
      </c>
      <c r="M842" s="157" t="s">
        <v>875</v>
      </c>
      <c r="N842" s="162" t="s">
        <v>554</v>
      </c>
      <c r="O842" s="163">
        <v>43480.0</v>
      </c>
      <c r="P842" s="164">
        <f t="shared" si="13"/>
        <v>43429</v>
      </c>
      <c r="Q842" s="165">
        <f t="shared" si="2"/>
        <v>0</v>
      </c>
      <c r="R842" s="166"/>
      <c r="S842" s="167"/>
      <c r="T842" s="168">
        <f t="shared" si="3"/>
        <v>1168575.83</v>
      </c>
      <c r="U842" s="168">
        <f t="shared" si="4"/>
        <v>0</v>
      </c>
      <c r="V842" s="168">
        <f t="shared" si="5"/>
        <v>0</v>
      </c>
      <c r="W842" s="168">
        <f t="shared" si="6"/>
        <v>0</v>
      </c>
      <c r="X842" s="168">
        <f t="shared" si="7"/>
        <v>0</v>
      </c>
      <c r="Y842" s="168">
        <f t="shared" si="8"/>
        <v>0</v>
      </c>
      <c r="Z842" s="168">
        <f t="shared" si="9"/>
        <v>0</v>
      </c>
    </row>
    <row r="843" ht="15.75" customHeight="1">
      <c r="A843" s="157">
        <v>1514.0</v>
      </c>
      <c r="B843" s="158" t="s">
        <v>890</v>
      </c>
      <c r="C843" s="158" t="s">
        <v>874</v>
      </c>
      <c r="D843" s="159">
        <v>43419.0</v>
      </c>
      <c r="E843" s="157" t="s">
        <v>8</v>
      </c>
      <c r="F843" s="160">
        <v>484037.61</v>
      </c>
      <c r="G843" s="160">
        <v>77446.02</v>
      </c>
      <c r="H843" s="160">
        <f t="shared" si="38"/>
        <v>561483.63</v>
      </c>
      <c r="I843" s="160"/>
      <c r="J843" s="161"/>
      <c r="K843" s="160"/>
      <c r="L843" s="160">
        <f>+'FACP$'!$H843-'FACP$'!$I843-'FACP$'!$K843</f>
        <v>561483.63</v>
      </c>
      <c r="M843" s="157" t="s">
        <v>33</v>
      </c>
      <c r="N843" s="162" t="s">
        <v>554</v>
      </c>
      <c r="O843" s="163">
        <v>43455.0</v>
      </c>
      <c r="P843" s="164">
        <f t="shared" si="13"/>
        <v>43429</v>
      </c>
      <c r="Q843" s="165">
        <f t="shared" si="2"/>
        <v>0</v>
      </c>
      <c r="R843" s="166"/>
      <c r="S843" s="167"/>
      <c r="T843" s="168">
        <f t="shared" si="3"/>
        <v>561483.63</v>
      </c>
      <c r="U843" s="168">
        <f t="shared" si="4"/>
        <v>0</v>
      </c>
      <c r="V843" s="168">
        <f t="shared" si="5"/>
        <v>0</v>
      </c>
      <c r="W843" s="168">
        <f t="shared" si="6"/>
        <v>0</v>
      </c>
      <c r="X843" s="168">
        <f t="shared" si="7"/>
        <v>0</v>
      </c>
      <c r="Y843" s="168">
        <f t="shared" si="8"/>
        <v>0</v>
      </c>
      <c r="Z843" s="168">
        <f t="shared" si="9"/>
        <v>0</v>
      </c>
    </row>
    <row r="844" ht="15.75" customHeight="1">
      <c r="A844" s="157">
        <v>1516.0</v>
      </c>
      <c r="B844" s="158" t="s">
        <v>30</v>
      </c>
      <c r="C844" s="158" t="s">
        <v>874</v>
      </c>
      <c r="D844" s="159">
        <v>43405.0</v>
      </c>
      <c r="E844" s="157" t="s">
        <v>8</v>
      </c>
      <c r="F844" s="160">
        <v>60486.58</v>
      </c>
      <c r="G844" s="160">
        <v>9677.85</v>
      </c>
      <c r="H844" s="160">
        <f t="shared" si="38"/>
        <v>70164.43</v>
      </c>
      <c r="I844" s="160"/>
      <c r="J844" s="161"/>
      <c r="K844" s="160"/>
      <c r="L844" s="160">
        <f>+'FACP$'!$H844-'FACP$'!$I844-'FACP$'!$K844</f>
        <v>70164.43</v>
      </c>
      <c r="M844" s="162" t="s">
        <v>891</v>
      </c>
      <c r="N844" s="162" t="s">
        <v>554</v>
      </c>
      <c r="O844" s="163">
        <v>43455.0</v>
      </c>
      <c r="P844" s="164">
        <f t="shared" si="13"/>
        <v>43415</v>
      </c>
      <c r="Q844" s="165">
        <f t="shared" si="2"/>
        <v>0</v>
      </c>
      <c r="R844" s="166"/>
      <c r="S844" s="167"/>
      <c r="T844" s="168">
        <f t="shared" si="3"/>
        <v>70164.43</v>
      </c>
      <c r="U844" s="168">
        <f t="shared" si="4"/>
        <v>0</v>
      </c>
      <c r="V844" s="168">
        <f t="shared" si="5"/>
        <v>0</v>
      </c>
      <c r="W844" s="168">
        <f t="shared" si="6"/>
        <v>0</v>
      </c>
      <c r="X844" s="168">
        <f t="shared" si="7"/>
        <v>0</v>
      </c>
      <c r="Y844" s="168">
        <f t="shared" si="8"/>
        <v>0</v>
      </c>
      <c r="Z844" s="168">
        <f t="shared" si="9"/>
        <v>0</v>
      </c>
    </row>
    <row r="845" ht="15.75" customHeight="1">
      <c r="A845" s="157">
        <v>1518.0</v>
      </c>
      <c r="B845" s="158" t="s">
        <v>890</v>
      </c>
      <c r="C845" s="158" t="s">
        <v>874</v>
      </c>
      <c r="D845" s="159">
        <v>43419.0</v>
      </c>
      <c r="E845" s="157" t="s">
        <v>8</v>
      </c>
      <c r="F845" s="160">
        <v>35693.7</v>
      </c>
      <c r="G845" s="160">
        <v>5710.99</v>
      </c>
      <c r="H845" s="160">
        <f t="shared" si="38"/>
        <v>41404.69</v>
      </c>
      <c r="I845" s="160"/>
      <c r="J845" s="161"/>
      <c r="K845" s="160"/>
      <c r="L845" s="160">
        <f>+'FACP$'!$H845-'FACP$'!$I845-'FACP$'!$K845</f>
        <v>41404.69</v>
      </c>
      <c r="M845" s="157" t="s">
        <v>33</v>
      </c>
      <c r="N845" s="162" t="s">
        <v>554</v>
      </c>
      <c r="O845" s="163">
        <v>43455.0</v>
      </c>
      <c r="P845" s="164">
        <f t="shared" si="13"/>
        <v>43429</v>
      </c>
      <c r="Q845" s="165">
        <f t="shared" si="2"/>
        <v>0</v>
      </c>
      <c r="R845" s="166"/>
      <c r="S845" s="167"/>
      <c r="T845" s="168">
        <f t="shared" si="3"/>
        <v>41404.69</v>
      </c>
      <c r="U845" s="168">
        <f t="shared" si="4"/>
        <v>0</v>
      </c>
      <c r="V845" s="168">
        <f t="shared" si="5"/>
        <v>0</v>
      </c>
      <c r="W845" s="168">
        <f t="shared" si="6"/>
        <v>0</v>
      </c>
      <c r="X845" s="168">
        <f t="shared" si="7"/>
        <v>0</v>
      </c>
      <c r="Y845" s="168">
        <f t="shared" si="8"/>
        <v>0</v>
      </c>
      <c r="Z845" s="168">
        <f t="shared" si="9"/>
        <v>0</v>
      </c>
    </row>
    <row r="846" ht="15.75" customHeight="1">
      <c r="A846" s="157">
        <v>1519.0</v>
      </c>
      <c r="B846" s="158" t="s">
        <v>30</v>
      </c>
      <c r="C846" s="158" t="s">
        <v>874</v>
      </c>
      <c r="D846" s="159">
        <v>43405.0</v>
      </c>
      <c r="E846" s="157" t="s">
        <v>8</v>
      </c>
      <c r="F846" s="160">
        <v>4460.28</v>
      </c>
      <c r="G846" s="160">
        <v>713.64</v>
      </c>
      <c r="H846" s="160">
        <f t="shared" si="38"/>
        <v>5173.92</v>
      </c>
      <c r="I846" s="160"/>
      <c r="J846" s="161"/>
      <c r="K846" s="160"/>
      <c r="L846" s="160">
        <f>+'FACP$'!$H846-'FACP$'!$I846-'FACP$'!$K846</f>
        <v>5173.92</v>
      </c>
      <c r="M846" s="162" t="s">
        <v>891</v>
      </c>
      <c r="N846" s="162" t="s">
        <v>554</v>
      </c>
      <c r="O846" s="163">
        <v>43455.0</v>
      </c>
      <c r="P846" s="164">
        <f t="shared" si="13"/>
        <v>43415</v>
      </c>
      <c r="Q846" s="165">
        <f t="shared" si="2"/>
        <v>0</v>
      </c>
      <c r="R846" s="166"/>
      <c r="S846" s="167"/>
      <c r="T846" s="168">
        <f t="shared" si="3"/>
        <v>5173.92</v>
      </c>
      <c r="U846" s="168">
        <f t="shared" si="4"/>
        <v>0</v>
      </c>
      <c r="V846" s="168">
        <f t="shared" si="5"/>
        <v>0</v>
      </c>
      <c r="W846" s="168">
        <f t="shared" si="6"/>
        <v>0</v>
      </c>
      <c r="X846" s="168">
        <f t="shared" si="7"/>
        <v>0</v>
      </c>
      <c r="Y846" s="168">
        <f t="shared" si="8"/>
        <v>0</v>
      </c>
      <c r="Z846" s="168">
        <f t="shared" si="9"/>
        <v>0</v>
      </c>
    </row>
    <row r="847" ht="15.75" customHeight="1">
      <c r="A847" s="157">
        <v>1520.0</v>
      </c>
      <c r="B847" s="158" t="s">
        <v>93</v>
      </c>
      <c r="C847" s="158" t="s">
        <v>87</v>
      </c>
      <c r="D847" s="159">
        <v>43435.0</v>
      </c>
      <c r="E847" s="157" t="s">
        <v>8</v>
      </c>
      <c r="F847" s="160">
        <v>638760.32</v>
      </c>
      <c r="G847" s="160">
        <v>102201.65</v>
      </c>
      <c r="H847" s="160">
        <f t="shared" si="38"/>
        <v>740961.97</v>
      </c>
      <c r="I847" s="160"/>
      <c r="J847" s="161"/>
      <c r="K847" s="160"/>
      <c r="L847" s="160">
        <f>+'FACP$'!$H847-'FACP$'!$I847-'FACP$'!$K847</f>
        <v>740961.97</v>
      </c>
      <c r="M847" s="157" t="s">
        <v>93</v>
      </c>
      <c r="N847" s="162" t="s">
        <v>554</v>
      </c>
      <c r="O847" s="163">
        <v>43454.0</v>
      </c>
      <c r="P847" s="164">
        <f t="shared" si="13"/>
        <v>43445</v>
      </c>
      <c r="Q847" s="165">
        <f t="shared" si="2"/>
        <v>0</v>
      </c>
      <c r="R847" s="166"/>
      <c r="S847" s="167"/>
      <c r="T847" s="168">
        <f t="shared" si="3"/>
        <v>740961.97</v>
      </c>
      <c r="U847" s="168">
        <f t="shared" si="4"/>
        <v>0</v>
      </c>
      <c r="V847" s="168">
        <f t="shared" si="5"/>
        <v>0</v>
      </c>
      <c r="W847" s="168">
        <f t="shared" si="6"/>
        <v>0</v>
      </c>
      <c r="X847" s="168">
        <f t="shared" si="7"/>
        <v>0</v>
      </c>
      <c r="Y847" s="168">
        <f t="shared" si="8"/>
        <v>0</v>
      </c>
      <c r="Z847" s="168">
        <f t="shared" si="9"/>
        <v>0</v>
      </c>
    </row>
    <row r="848" ht="15.75" customHeight="1">
      <c r="A848" s="157">
        <v>1521.0</v>
      </c>
      <c r="B848" s="158" t="s">
        <v>93</v>
      </c>
      <c r="C848" s="158" t="s">
        <v>87</v>
      </c>
      <c r="D848" s="159">
        <v>43344.0</v>
      </c>
      <c r="E848" s="157" t="s">
        <v>8</v>
      </c>
      <c r="F848" s="160">
        <v>313183.76</v>
      </c>
      <c r="G848" s="160">
        <v>50109.4</v>
      </c>
      <c r="H848" s="160">
        <f t="shared" si="38"/>
        <v>363293.16</v>
      </c>
      <c r="I848" s="160"/>
      <c r="J848" s="161"/>
      <c r="K848" s="160"/>
      <c r="L848" s="160">
        <f>+'FACP$'!$H848-'FACP$'!$I848-'FACP$'!$K848</f>
        <v>363293.16</v>
      </c>
      <c r="M848" s="157" t="s">
        <v>93</v>
      </c>
      <c r="N848" s="162" t="s">
        <v>127</v>
      </c>
      <c r="O848" s="163" t="s">
        <v>876</v>
      </c>
      <c r="P848" s="164">
        <f t="shared" si="13"/>
        <v>43354</v>
      </c>
      <c r="Q848" s="165">
        <f t="shared" si="2"/>
        <v>0</v>
      </c>
      <c r="R848" s="166"/>
      <c r="S848" s="167"/>
      <c r="T848" s="168">
        <f t="shared" si="3"/>
        <v>363293.16</v>
      </c>
      <c r="U848" s="168">
        <f t="shared" si="4"/>
        <v>0</v>
      </c>
      <c r="V848" s="168">
        <f t="shared" si="5"/>
        <v>0</v>
      </c>
      <c r="W848" s="168">
        <f t="shared" si="6"/>
        <v>0</v>
      </c>
      <c r="X848" s="168">
        <f t="shared" si="7"/>
        <v>0</v>
      </c>
      <c r="Y848" s="168">
        <f t="shared" si="8"/>
        <v>0</v>
      </c>
      <c r="Z848" s="168">
        <f t="shared" si="9"/>
        <v>0</v>
      </c>
    </row>
    <row r="849" ht="15.75" customHeight="1">
      <c r="A849" s="157">
        <v>1522.0</v>
      </c>
      <c r="B849" s="158" t="s">
        <v>43</v>
      </c>
      <c r="C849" s="158" t="s">
        <v>87</v>
      </c>
      <c r="D849" s="159">
        <v>43354.0</v>
      </c>
      <c r="E849" s="157" t="s">
        <v>8</v>
      </c>
      <c r="F849" s="160">
        <v>1482393.23</v>
      </c>
      <c r="G849" s="160">
        <v>237182.92</v>
      </c>
      <c r="H849" s="160">
        <f t="shared" si="38"/>
        <v>1719576.15</v>
      </c>
      <c r="I849" s="160"/>
      <c r="J849" s="161"/>
      <c r="K849" s="160"/>
      <c r="L849" s="160">
        <f>+'FACP$'!$H849-'FACP$'!$I849-'FACP$'!$K849</f>
        <v>1719576.15</v>
      </c>
      <c r="M849" s="157" t="s">
        <v>43</v>
      </c>
      <c r="N849" s="162" t="s">
        <v>127</v>
      </c>
      <c r="O849" s="163" t="s">
        <v>876</v>
      </c>
      <c r="P849" s="164">
        <f t="shared" si="13"/>
        <v>43364</v>
      </c>
      <c r="Q849" s="165">
        <f t="shared" si="2"/>
        <v>0</v>
      </c>
      <c r="R849" s="166"/>
      <c r="S849" s="167"/>
      <c r="T849" s="168">
        <f t="shared" si="3"/>
        <v>1719576.15</v>
      </c>
      <c r="U849" s="168">
        <f t="shared" si="4"/>
        <v>0</v>
      </c>
      <c r="V849" s="168">
        <f t="shared" si="5"/>
        <v>0</v>
      </c>
      <c r="W849" s="168">
        <f t="shared" si="6"/>
        <v>0</v>
      </c>
      <c r="X849" s="168">
        <f t="shared" si="7"/>
        <v>0</v>
      </c>
      <c r="Y849" s="168">
        <f t="shared" si="8"/>
        <v>0</v>
      </c>
      <c r="Z849" s="168">
        <f t="shared" si="9"/>
        <v>0</v>
      </c>
    </row>
    <row r="850" ht="15.75" customHeight="1">
      <c r="A850" s="157">
        <v>1524.0</v>
      </c>
      <c r="B850" s="161" t="s">
        <v>24</v>
      </c>
      <c r="C850" s="158" t="s">
        <v>87</v>
      </c>
      <c r="D850" s="159">
        <v>43435.0</v>
      </c>
      <c r="E850" s="157" t="s">
        <v>8</v>
      </c>
      <c r="F850" s="160">
        <v>306819.97</v>
      </c>
      <c r="G850" s="160">
        <v>49091.2</v>
      </c>
      <c r="H850" s="160">
        <f t="shared" si="38"/>
        <v>355911.17</v>
      </c>
      <c r="I850" s="160"/>
      <c r="J850" s="161"/>
      <c r="K850" s="160"/>
      <c r="L850" s="160">
        <f>+'FACP$'!$H850-'FACP$'!$I850-'FACP$'!$K850</f>
        <v>355911.17</v>
      </c>
      <c r="M850" s="157" t="s">
        <v>91</v>
      </c>
      <c r="N850" s="162" t="s">
        <v>554</v>
      </c>
      <c r="O850" s="163">
        <v>43489.0</v>
      </c>
      <c r="P850" s="164">
        <f t="shared" si="13"/>
        <v>43445</v>
      </c>
      <c r="Q850" s="165">
        <f t="shared" si="2"/>
        <v>0</v>
      </c>
      <c r="R850" s="166"/>
      <c r="S850" s="167"/>
      <c r="T850" s="168">
        <f t="shared" si="3"/>
        <v>355911.17</v>
      </c>
      <c r="U850" s="168">
        <f t="shared" si="4"/>
        <v>0</v>
      </c>
      <c r="V850" s="168">
        <f t="shared" si="5"/>
        <v>0</v>
      </c>
      <c r="W850" s="168">
        <f t="shared" si="6"/>
        <v>0</v>
      </c>
      <c r="X850" s="168">
        <f t="shared" si="7"/>
        <v>0</v>
      </c>
      <c r="Y850" s="168">
        <f t="shared" si="8"/>
        <v>0</v>
      </c>
      <c r="Z850" s="168">
        <f t="shared" si="9"/>
        <v>0</v>
      </c>
    </row>
    <row r="851" ht="15.75" customHeight="1">
      <c r="A851" s="157">
        <v>1526.0</v>
      </c>
      <c r="B851" s="158" t="s">
        <v>29</v>
      </c>
      <c r="C851" s="158" t="s">
        <v>87</v>
      </c>
      <c r="D851" s="159">
        <v>43435.0</v>
      </c>
      <c r="E851" s="157" t="s">
        <v>8</v>
      </c>
      <c r="F851" s="160">
        <v>1238409.92</v>
      </c>
      <c r="G851" s="160">
        <v>198145.59</v>
      </c>
      <c r="H851" s="160">
        <f t="shared" si="38"/>
        <v>1436555.51</v>
      </c>
      <c r="I851" s="160"/>
      <c r="J851" s="161"/>
      <c r="K851" s="160"/>
      <c r="L851" s="160">
        <f>+'FACP$'!$H851-'FACP$'!$I851-'FACP$'!$K851</f>
        <v>1436555.51</v>
      </c>
      <c r="M851" s="157" t="s">
        <v>825</v>
      </c>
      <c r="N851" s="162" t="s">
        <v>554</v>
      </c>
      <c r="O851" s="163">
        <v>43472.0</v>
      </c>
      <c r="P851" s="164">
        <f t="shared" si="13"/>
        <v>43445</v>
      </c>
      <c r="Q851" s="165">
        <f t="shared" si="2"/>
        <v>0</v>
      </c>
      <c r="R851" s="166"/>
      <c r="S851" s="167"/>
      <c r="T851" s="168">
        <f t="shared" si="3"/>
        <v>1436555.51</v>
      </c>
      <c r="U851" s="168">
        <f t="shared" si="4"/>
        <v>0</v>
      </c>
      <c r="V851" s="168">
        <f t="shared" si="5"/>
        <v>0</v>
      </c>
      <c r="W851" s="168">
        <f t="shared" si="6"/>
        <v>0</v>
      </c>
      <c r="X851" s="168">
        <f t="shared" si="7"/>
        <v>0</v>
      </c>
      <c r="Y851" s="168">
        <f t="shared" si="8"/>
        <v>0</v>
      </c>
      <c r="Z851" s="168">
        <f t="shared" si="9"/>
        <v>0</v>
      </c>
    </row>
    <row r="852" ht="15.75" customHeight="1">
      <c r="A852" s="157">
        <v>1528.0</v>
      </c>
      <c r="B852" s="158" t="s">
        <v>890</v>
      </c>
      <c r="C852" s="158" t="s">
        <v>874</v>
      </c>
      <c r="D852" s="159">
        <v>43435.0</v>
      </c>
      <c r="E852" s="157" t="s">
        <v>8</v>
      </c>
      <c r="F852" s="160">
        <v>1038093.76</v>
      </c>
      <c r="G852" s="160">
        <v>166095.0</v>
      </c>
      <c r="H852" s="160">
        <f t="shared" si="38"/>
        <v>1204188.76</v>
      </c>
      <c r="I852" s="160"/>
      <c r="J852" s="161"/>
      <c r="K852" s="160"/>
      <c r="L852" s="160">
        <f>+'FACP$'!$H852-'FACP$'!$I852-'FACP$'!$K852</f>
        <v>1204188.76</v>
      </c>
      <c r="M852" s="157" t="s">
        <v>33</v>
      </c>
      <c r="N852" s="162" t="s">
        <v>554</v>
      </c>
      <c r="O852" s="163">
        <v>43474.0</v>
      </c>
      <c r="P852" s="164">
        <f t="shared" si="13"/>
        <v>43445</v>
      </c>
      <c r="Q852" s="165">
        <f t="shared" si="2"/>
        <v>0</v>
      </c>
      <c r="R852" s="166"/>
      <c r="S852" s="167"/>
      <c r="T852" s="168">
        <f t="shared" si="3"/>
        <v>1204188.76</v>
      </c>
      <c r="U852" s="168">
        <f t="shared" si="4"/>
        <v>0</v>
      </c>
      <c r="V852" s="168">
        <f t="shared" si="5"/>
        <v>0</v>
      </c>
      <c r="W852" s="168">
        <f t="shared" si="6"/>
        <v>0</v>
      </c>
      <c r="X852" s="168">
        <f t="shared" si="7"/>
        <v>0</v>
      </c>
      <c r="Y852" s="168">
        <f t="shared" si="8"/>
        <v>0</v>
      </c>
      <c r="Z852" s="168">
        <f t="shared" si="9"/>
        <v>0</v>
      </c>
    </row>
    <row r="853" ht="15.75" customHeight="1">
      <c r="A853" s="157">
        <v>1530.0</v>
      </c>
      <c r="B853" s="158" t="s">
        <v>30</v>
      </c>
      <c r="C853" s="158" t="s">
        <v>874</v>
      </c>
      <c r="D853" s="159">
        <v>43435.0</v>
      </c>
      <c r="E853" s="157" t="s">
        <v>8</v>
      </c>
      <c r="F853" s="160">
        <v>37480.46</v>
      </c>
      <c r="G853" s="160">
        <v>5996.87</v>
      </c>
      <c r="H853" s="160">
        <f t="shared" si="38"/>
        <v>43477.33</v>
      </c>
      <c r="I853" s="160"/>
      <c r="J853" s="161"/>
      <c r="K853" s="160"/>
      <c r="L853" s="160">
        <f>+'FACP$'!$H853-'FACP$'!$I853-'FACP$'!$K853</f>
        <v>43477.33</v>
      </c>
      <c r="M853" s="162" t="s">
        <v>891</v>
      </c>
      <c r="N853" s="162" t="s">
        <v>554</v>
      </c>
      <c r="O853" s="163">
        <v>43455.0</v>
      </c>
      <c r="P853" s="164">
        <f t="shared" si="13"/>
        <v>43445</v>
      </c>
      <c r="Q853" s="165">
        <f t="shared" si="2"/>
        <v>0</v>
      </c>
      <c r="R853" s="166"/>
      <c r="S853" s="167"/>
      <c r="T853" s="168">
        <f t="shared" si="3"/>
        <v>43477.33</v>
      </c>
      <c r="U853" s="168">
        <f t="shared" si="4"/>
        <v>0</v>
      </c>
      <c r="V853" s="168">
        <f t="shared" si="5"/>
        <v>0</v>
      </c>
      <c r="W853" s="168">
        <f t="shared" si="6"/>
        <v>0</v>
      </c>
      <c r="X853" s="168">
        <f t="shared" si="7"/>
        <v>0</v>
      </c>
      <c r="Y853" s="168">
        <f t="shared" si="8"/>
        <v>0</v>
      </c>
      <c r="Z853" s="168">
        <f t="shared" si="9"/>
        <v>0</v>
      </c>
    </row>
    <row r="854" ht="15.75" customHeight="1">
      <c r="A854" s="157">
        <v>1532.0</v>
      </c>
      <c r="B854" s="158" t="s">
        <v>93</v>
      </c>
      <c r="C854" s="158" t="s">
        <v>87</v>
      </c>
      <c r="D854" s="159">
        <v>43435.0</v>
      </c>
      <c r="E854" s="157" t="s">
        <v>8</v>
      </c>
      <c r="F854" s="160">
        <v>313183.76</v>
      </c>
      <c r="G854" s="160">
        <v>50109.4</v>
      </c>
      <c r="H854" s="160">
        <f t="shared" si="38"/>
        <v>363293.16</v>
      </c>
      <c r="I854" s="160"/>
      <c r="J854" s="161"/>
      <c r="K854" s="160"/>
      <c r="L854" s="160">
        <f>+'FACP$'!$H854-'FACP$'!$I854-'FACP$'!$K854</f>
        <v>363293.16</v>
      </c>
      <c r="M854" s="157" t="s">
        <v>93</v>
      </c>
      <c r="N854" s="162" t="s">
        <v>554</v>
      </c>
      <c r="O854" s="163">
        <v>43454.0</v>
      </c>
      <c r="P854" s="164">
        <f t="shared" si="13"/>
        <v>43445</v>
      </c>
      <c r="Q854" s="165">
        <f t="shared" si="2"/>
        <v>0</v>
      </c>
      <c r="R854" s="166"/>
      <c r="S854" s="167"/>
      <c r="T854" s="168">
        <f t="shared" si="3"/>
        <v>363293.16</v>
      </c>
      <c r="U854" s="168">
        <f t="shared" si="4"/>
        <v>0</v>
      </c>
      <c r="V854" s="168">
        <f t="shared" si="5"/>
        <v>0</v>
      </c>
      <c r="W854" s="168">
        <f t="shared" si="6"/>
        <v>0</v>
      </c>
      <c r="X854" s="168">
        <f t="shared" si="7"/>
        <v>0</v>
      </c>
      <c r="Y854" s="168">
        <f t="shared" si="8"/>
        <v>0</v>
      </c>
      <c r="Z854" s="168">
        <f t="shared" si="9"/>
        <v>0</v>
      </c>
    </row>
    <row r="855" ht="15.75" customHeight="1">
      <c r="A855" s="157">
        <v>1533.0</v>
      </c>
      <c r="B855" s="158" t="s">
        <v>103</v>
      </c>
      <c r="C855" s="158" t="s">
        <v>87</v>
      </c>
      <c r="D855" s="159">
        <v>43435.0</v>
      </c>
      <c r="E855" s="157" t="s">
        <v>8</v>
      </c>
      <c r="F855" s="160">
        <v>1482393.23</v>
      </c>
      <c r="G855" s="160">
        <v>237182.92</v>
      </c>
      <c r="H855" s="160">
        <f t="shared" si="38"/>
        <v>1719576.15</v>
      </c>
      <c r="I855" s="160"/>
      <c r="J855" s="161"/>
      <c r="K855" s="160"/>
      <c r="L855" s="160">
        <f>+'FACP$'!$H855-'FACP$'!$I855-'FACP$'!$K855</f>
        <v>1719576.15</v>
      </c>
      <c r="M855" s="157" t="s">
        <v>103</v>
      </c>
      <c r="N855" s="162" t="s">
        <v>554</v>
      </c>
      <c r="O855" s="163">
        <v>43465.0</v>
      </c>
      <c r="P855" s="164">
        <f t="shared" si="13"/>
        <v>43445</v>
      </c>
      <c r="Q855" s="165">
        <f t="shared" si="2"/>
        <v>0</v>
      </c>
      <c r="R855" s="166"/>
      <c r="S855" s="167"/>
      <c r="T855" s="168">
        <f t="shared" si="3"/>
        <v>1719576.15</v>
      </c>
      <c r="U855" s="168">
        <f t="shared" si="4"/>
        <v>0</v>
      </c>
      <c r="V855" s="168">
        <f t="shared" si="5"/>
        <v>0</v>
      </c>
      <c r="W855" s="168">
        <f t="shared" si="6"/>
        <v>0</v>
      </c>
      <c r="X855" s="168">
        <f t="shared" si="7"/>
        <v>0</v>
      </c>
      <c r="Y855" s="168">
        <f t="shared" si="8"/>
        <v>0</v>
      </c>
      <c r="Z855" s="168">
        <f t="shared" si="9"/>
        <v>0</v>
      </c>
    </row>
    <row r="856" ht="15.75" customHeight="1">
      <c r="A856" s="157">
        <v>1535.0</v>
      </c>
      <c r="B856" s="158" t="s">
        <v>41</v>
      </c>
      <c r="C856" s="158" t="s">
        <v>874</v>
      </c>
      <c r="D856" s="159">
        <v>43435.0</v>
      </c>
      <c r="E856" s="157" t="s">
        <v>8</v>
      </c>
      <c r="F856" s="160">
        <v>1187986.38</v>
      </c>
      <c r="G856" s="160">
        <v>190077.82</v>
      </c>
      <c r="H856" s="160">
        <f t="shared" si="38"/>
        <v>1378064.2</v>
      </c>
      <c r="I856" s="160"/>
      <c r="J856" s="161"/>
      <c r="K856" s="160"/>
      <c r="L856" s="160">
        <f>+'FACP$'!$H856-'FACP$'!$I856-'FACP$'!$K856</f>
        <v>1378064.2</v>
      </c>
      <c r="M856" s="157" t="s">
        <v>875</v>
      </c>
      <c r="N856" s="162" t="s">
        <v>554</v>
      </c>
      <c r="O856" s="163">
        <v>43490.0</v>
      </c>
      <c r="P856" s="164">
        <f t="shared" si="13"/>
        <v>43445</v>
      </c>
      <c r="Q856" s="165">
        <f t="shared" si="2"/>
        <v>0</v>
      </c>
      <c r="R856" s="166"/>
      <c r="S856" s="167"/>
      <c r="T856" s="168">
        <f t="shared" si="3"/>
        <v>1378064.2</v>
      </c>
      <c r="U856" s="168">
        <f t="shared" si="4"/>
        <v>0</v>
      </c>
      <c r="V856" s="168">
        <f t="shared" si="5"/>
        <v>0</v>
      </c>
      <c r="W856" s="168">
        <f t="shared" si="6"/>
        <v>0</v>
      </c>
      <c r="X856" s="168">
        <f t="shared" si="7"/>
        <v>0</v>
      </c>
      <c r="Y856" s="168">
        <f t="shared" si="8"/>
        <v>0</v>
      </c>
      <c r="Z856" s="168">
        <f t="shared" si="9"/>
        <v>0</v>
      </c>
    </row>
    <row r="857" ht="15.75" customHeight="1">
      <c r="A857" s="157">
        <v>1537.0</v>
      </c>
      <c r="B857" s="158" t="s">
        <v>82</v>
      </c>
      <c r="C857" s="158" t="s">
        <v>892</v>
      </c>
      <c r="D857" s="159">
        <v>43453.0</v>
      </c>
      <c r="E857" s="157" t="s">
        <v>8</v>
      </c>
      <c r="F857" s="160">
        <v>260296.68</v>
      </c>
      <c r="G857" s="160">
        <v>41647.47</v>
      </c>
      <c r="H857" s="160">
        <f t="shared" si="38"/>
        <v>301944.15</v>
      </c>
      <c r="I857" s="160"/>
      <c r="J857" s="161"/>
      <c r="K857" s="160"/>
      <c r="L857" s="160">
        <f>+'FACP$'!$H857-'FACP$'!$I857-'FACP$'!$K857</f>
        <v>301944.15</v>
      </c>
      <c r="M857" s="157" t="s">
        <v>96</v>
      </c>
      <c r="N857" s="162" t="s">
        <v>554</v>
      </c>
      <c r="O857" s="163">
        <v>43452.0</v>
      </c>
      <c r="P857" s="164">
        <f t="shared" si="13"/>
        <v>43463</v>
      </c>
      <c r="Q857" s="165">
        <f t="shared" si="2"/>
        <v>0</v>
      </c>
      <c r="R857" s="166"/>
      <c r="S857" s="167"/>
      <c r="T857" s="168">
        <f t="shared" si="3"/>
        <v>301944.15</v>
      </c>
      <c r="U857" s="168">
        <f t="shared" si="4"/>
        <v>0</v>
      </c>
      <c r="V857" s="168">
        <f t="shared" si="5"/>
        <v>0</v>
      </c>
      <c r="W857" s="168">
        <f t="shared" si="6"/>
        <v>0</v>
      </c>
      <c r="X857" s="168">
        <f t="shared" si="7"/>
        <v>0</v>
      </c>
      <c r="Y857" s="168">
        <f t="shared" si="8"/>
        <v>0</v>
      </c>
      <c r="Z857" s="168">
        <f t="shared" si="9"/>
        <v>0</v>
      </c>
    </row>
    <row r="858" ht="15.75" customHeight="1">
      <c r="A858" s="157">
        <v>1538.0</v>
      </c>
      <c r="B858" s="158" t="s">
        <v>82</v>
      </c>
      <c r="C858" s="158" t="s">
        <v>893</v>
      </c>
      <c r="D858" s="159">
        <v>43453.0</v>
      </c>
      <c r="E858" s="157" t="s">
        <v>8</v>
      </c>
      <c r="F858" s="160">
        <v>14240.77</v>
      </c>
      <c r="G858" s="160">
        <v>2278.52</v>
      </c>
      <c r="H858" s="160">
        <f t="shared" si="38"/>
        <v>16519.29</v>
      </c>
      <c r="I858" s="160"/>
      <c r="J858" s="161"/>
      <c r="K858" s="160"/>
      <c r="L858" s="160">
        <f>+'FACP$'!$H858-'FACP$'!$I858-'FACP$'!$K858</f>
        <v>16519.29</v>
      </c>
      <c r="M858" s="157" t="s">
        <v>96</v>
      </c>
      <c r="N858" s="162" t="s">
        <v>554</v>
      </c>
      <c r="O858" s="163">
        <v>43452.0</v>
      </c>
      <c r="P858" s="164">
        <f t="shared" si="13"/>
        <v>43463</v>
      </c>
      <c r="Q858" s="165">
        <f t="shared" si="2"/>
        <v>0</v>
      </c>
      <c r="R858" s="166"/>
      <c r="S858" s="167"/>
      <c r="T858" s="168">
        <f t="shared" si="3"/>
        <v>16519.29</v>
      </c>
      <c r="U858" s="168">
        <f t="shared" si="4"/>
        <v>0</v>
      </c>
      <c r="V858" s="168">
        <f t="shared" si="5"/>
        <v>0</v>
      </c>
      <c r="W858" s="168">
        <f t="shared" si="6"/>
        <v>0</v>
      </c>
      <c r="X858" s="168">
        <f t="shared" si="7"/>
        <v>0</v>
      </c>
      <c r="Y858" s="168">
        <f t="shared" si="8"/>
        <v>0</v>
      </c>
      <c r="Z858" s="168">
        <f t="shared" si="9"/>
        <v>0</v>
      </c>
    </row>
    <row r="859" ht="15.75" customHeight="1">
      <c r="A859" s="157">
        <v>1539.0</v>
      </c>
      <c r="B859" s="158" t="s">
        <v>37</v>
      </c>
      <c r="C859" s="158" t="s">
        <v>87</v>
      </c>
      <c r="D859" s="159">
        <v>43435.0</v>
      </c>
      <c r="E859" s="157" t="s">
        <v>8</v>
      </c>
      <c r="F859" s="160">
        <v>2661512.7</v>
      </c>
      <c r="G859" s="160">
        <v>425842.03</v>
      </c>
      <c r="H859" s="160">
        <f t="shared" si="38"/>
        <v>3087354.73</v>
      </c>
      <c r="I859" s="160"/>
      <c r="J859" s="161"/>
      <c r="K859" s="160"/>
      <c r="L859" s="160">
        <f>+'FACP$'!$H859-'FACP$'!$I859-'FACP$'!$K859</f>
        <v>3087354.73</v>
      </c>
      <c r="M859" s="157" t="s">
        <v>718</v>
      </c>
      <c r="N859" s="162" t="s">
        <v>554</v>
      </c>
      <c r="O859" s="163">
        <v>43469.0</v>
      </c>
      <c r="P859" s="164">
        <f t="shared" si="13"/>
        <v>43445</v>
      </c>
      <c r="Q859" s="165">
        <f t="shared" si="2"/>
        <v>0</v>
      </c>
      <c r="R859" s="166"/>
      <c r="S859" s="220"/>
      <c r="T859" s="168">
        <f t="shared" si="3"/>
        <v>3087354.73</v>
      </c>
      <c r="U859" s="168">
        <f t="shared" si="4"/>
        <v>0</v>
      </c>
      <c r="V859" s="168">
        <f t="shared" si="5"/>
        <v>0</v>
      </c>
      <c r="W859" s="168">
        <f t="shared" si="6"/>
        <v>0</v>
      </c>
      <c r="X859" s="168">
        <f t="shared" si="7"/>
        <v>0</v>
      </c>
      <c r="Y859" s="168">
        <f t="shared" si="8"/>
        <v>0</v>
      </c>
      <c r="Z859" s="168">
        <f t="shared" si="9"/>
        <v>0</v>
      </c>
    </row>
    <row r="860" ht="15.75" customHeight="1">
      <c r="A860" s="157">
        <v>1541.0</v>
      </c>
      <c r="B860" s="161" t="s">
        <v>101</v>
      </c>
      <c r="C860" s="161" t="s">
        <v>724</v>
      </c>
      <c r="D860" s="159">
        <v>43435.0</v>
      </c>
      <c r="E860" s="157" t="s">
        <v>8</v>
      </c>
      <c r="F860" s="160">
        <v>86223.5</v>
      </c>
      <c r="G860" s="160">
        <v>13795.76</v>
      </c>
      <c r="H860" s="160">
        <f t="shared" si="38"/>
        <v>100019.26</v>
      </c>
      <c r="I860" s="160"/>
      <c r="J860" s="161"/>
      <c r="K860" s="160"/>
      <c r="L860" s="160">
        <f>+'FACP$'!$H860-'FACP$'!$I860-'FACP$'!$K860</f>
        <v>100019.26</v>
      </c>
      <c r="M860" s="157" t="s">
        <v>732</v>
      </c>
      <c r="N860" s="162" t="s">
        <v>554</v>
      </c>
      <c r="O860" s="163">
        <v>43502.0</v>
      </c>
      <c r="P860" s="164">
        <f t="shared" si="13"/>
        <v>43445</v>
      </c>
      <c r="Q860" s="165">
        <f t="shared" si="2"/>
        <v>0</v>
      </c>
      <c r="R860" s="166"/>
      <c r="S860" s="167"/>
      <c r="T860" s="168">
        <f t="shared" si="3"/>
        <v>100019.26</v>
      </c>
      <c r="U860" s="168">
        <f t="shared" si="4"/>
        <v>0</v>
      </c>
      <c r="V860" s="168">
        <f t="shared" si="5"/>
        <v>0</v>
      </c>
      <c r="W860" s="168">
        <f t="shared" si="6"/>
        <v>0</v>
      </c>
      <c r="X860" s="168">
        <f t="shared" si="7"/>
        <v>0</v>
      </c>
      <c r="Y860" s="168">
        <f t="shared" si="8"/>
        <v>0</v>
      </c>
      <c r="Z860" s="168">
        <f t="shared" si="9"/>
        <v>0</v>
      </c>
    </row>
    <row r="861" ht="15.75" customHeight="1">
      <c r="A861" s="157">
        <v>1543.0</v>
      </c>
      <c r="B861" s="161" t="s">
        <v>101</v>
      </c>
      <c r="C861" s="161" t="s">
        <v>724</v>
      </c>
      <c r="D861" s="159">
        <v>43435.0</v>
      </c>
      <c r="E861" s="157" t="s">
        <v>8</v>
      </c>
      <c r="F861" s="160">
        <v>244394.15</v>
      </c>
      <c r="G861" s="160">
        <v>39103.06</v>
      </c>
      <c r="H861" s="160">
        <f t="shared" si="38"/>
        <v>283497.21</v>
      </c>
      <c r="I861" s="160"/>
      <c r="J861" s="161"/>
      <c r="K861" s="160"/>
      <c r="L861" s="160">
        <f>+'FACP$'!$H861-'FACP$'!$I861-'FACP$'!$K861</f>
        <v>283497.21</v>
      </c>
      <c r="M861" s="157" t="s">
        <v>732</v>
      </c>
      <c r="N861" s="162" t="s">
        <v>554</v>
      </c>
      <c r="O861" s="163">
        <v>43502.0</v>
      </c>
      <c r="P861" s="164">
        <f t="shared" si="13"/>
        <v>43445</v>
      </c>
      <c r="Q861" s="165">
        <f t="shared" si="2"/>
        <v>0</v>
      </c>
      <c r="R861" s="166"/>
      <c r="S861" s="167"/>
      <c r="T861" s="168">
        <f t="shared" si="3"/>
        <v>283497.21</v>
      </c>
      <c r="U861" s="168">
        <f t="shared" si="4"/>
        <v>0</v>
      </c>
      <c r="V861" s="168">
        <f t="shared" si="5"/>
        <v>0</v>
      </c>
      <c r="W861" s="168">
        <f t="shared" si="6"/>
        <v>0</v>
      </c>
      <c r="X861" s="168">
        <f t="shared" si="7"/>
        <v>0</v>
      </c>
      <c r="Y861" s="168">
        <f t="shared" si="8"/>
        <v>0</v>
      </c>
      <c r="Z861" s="168">
        <f t="shared" si="9"/>
        <v>0</v>
      </c>
    </row>
    <row r="862" ht="15.75" customHeight="1">
      <c r="A862" s="157">
        <v>1545.0</v>
      </c>
      <c r="B862" s="161" t="s">
        <v>24</v>
      </c>
      <c r="C862" s="158" t="s">
        <v>87</v>
      </c>
      <c r="D862" s="159">
        <v>43435.0</v>
      </c>
      <c r="E862" s="157" t="s">
        <v>8</v>
      </c>
      <c r="F862" s="160">
        <v>143090.64</v>
      </c>
      <c r="G862" s="160">
        <v>22894.5</v>
      </c>
      <c r="H862" s="160">
        <f t="shared" si="38"/>
        <v>165985.14</v>
      </c>
      <c r="I862" s="160"/>
      <c r="J862" s="161"/>
      <c r="K862" s="160"/>
      <c r="L862" s="160">
        <f>+'FACP$'!$H862-'FACP$'!$I862-'FACP$'!$K862</f>
        <v>165985.14</v>
      </c>
      <c r="M862" s="157" t="s">
        <v>91</v>
      </c>
      <c r="N862" s="162" t="s">
        <v>554</v>
      </c>
      <c r="O862" s="163">
        <v>43489.0</v>
      </c>
      <c r="P862" s="164">
        <f t="shared" si="13"/>
        <v>43445</v>
      </c>
      <c r="Q862" s="165">
        <f t="shared" si="2"/>
        <v>0</v>
      </c>
      <c r="R862" s="166"/>
      <c r="S862" s="167"/>
      <c r="T862" s="168">
        <f t="shared" si="3"/>
        <v>165985.14</v>
      </c>
      <c r="U862" s="168">
        <f t="shared" si="4"/>
        <v>0</v>
      </c>
      <c r="V862" s="168">
        <f t="shared" si="5"/>
        <v>0</v>
      </c>
      <c r="W862" s="168">
        <f t="shared" si="6"/>
        <v>0</v>
      </c>
      <c r="X862" s="168">
        <f t="shared" si="7"/>
        <v>0</v>
      </c>
      <c r="Y862" s="168">
        <f t="shared" si="8"/>
        <v>0</v>
      </c>
      <c r="Z862" s="168">
        <f t="shared" si="9"/>
        <v>0</v>
      </c>
    </row>
    <row r="863" ht="15.75" customHeight="1">
      <c r="A863" s="157">
        <v>1547.0</v>
      </c>
      <c r="B863" s="158" t="s">
        <v>93</v>
      </c>
      <c r="C863" s="158" t="s">
        <v>87</v>
      </c>
      <c r="D863" s="159">
        <v>43449.0</v>
      </c>
      <c r="E863" s="157" t="s">
        <v>8</v>
      </c>
      <c r="F863" s="160">
        <v>1198443.6</v>
      </c>
      <c r="G863" s="160">
        <v>191750.98</v>
      </c>
      <c r="H863" s="160">
        <f t="shared" si="38"/>
        <v>1390194.58</v>
      </c>
      <c r="I863" s="160"/>
      <c r="J863" s="161"/>
      <c r="K863" s="160"/>
      <c r="L863" s="160">
        <f>+'FACP$'!$H863-'FACP$'!$I863-'FACP$'!$K863</f>
        <v>1390194.58</v>
      </c>
      <c r="M863" s="157" t="s">
        <v>93</v>
      </c>
      <c r="N863" s="162" t="s">
        <v>554</v>
      </c>
      <c r="O863" s="163">
        <v>43475.0</v>
      </c>
      <c r="P863" s="164">
        <f t="shared" si="13"/>
        <v>43459</v>
      </c>
      <c r="Q863" s="165">
        <f t="shared" si="2"/>
        <v>0</v>
      </c>
      <c r="R863" s="166"/>
      <c r="S863" s="167"/>
      <c r="T863" s="168">
        <f t="shared" si="3"/>
        <v>1390194.58</v>
      </c>
      <c r="U863" s="168">
        <f t="shared" si="4"/>
        <v>0</v>
      </c>
      <c r="V863" s="168">
        <f t="shared" si="5"/>
        <v>0</v>
      </c>
      <c r="W863" s="168">
        <f t="shared" si="6"/>
        <v>0</v>
      </c>
      <c r="X863" s="168">
        <f t="shared" si="7"/>
        <v>0</v>
      </c>
      <c r="Y863" s="168">
        <f t="shared" si="8"/>
        <v>0</v>
      </c>
      <c r="Z863" s="168">
        <f t="shared" si="9"/>
        <v>0</v>
      </c>
    </row>
    <row r="864" ht="15.75" customHeight="1">
      <c r="A864" s="157">
        <v>1548.0</v>
      </c>
      <c r="B864" s="158" t="s">
        <v>82</v>
      </c>
      <c r="C864" s="158" t="s">
        <v>894</v>
      </c>
      <c r="D864" s="159">
        <v>43468.0</v>
      </c>
      <c r="E864" s="157" t="s">
        <v>8</v>
      </c>
      <c r="F864" s="160">
        <v>72500.0</v>
      </c>
      <c r="G864" s="160">
        <v>11600.0</v>
      </c>
      <c r="H864" s="160">
        <f t="shared" si="38"/>
        <v>84100</v>
      </c>
      <c r="I864" s="160"/>
      <c r="J864" s="161"/>
      <c r="K864" s="160"/>
      <c r="L864" s="160">
        <f>+'FACP$'!$H864-'FACP$'!$I864-'FACP$'!$K864</f>
        <v>84100</v>
      </c>
      <c r="M864" s="157" t="s">
        <v>96</v>
      </c>
      <c r="N864" s="162" t="s">
        <v>554</v>
      </c>
      <c r="O864" s="163">
        <v>43494.0</v>
      </c>
      <c r="P864" s="164">
        <f t="shared" si="13"/>
        <v>43478</v>
      </c>
      <c r="Q864" s="165">
        <f t="shared" si="2"/>
        <v>0</v>
      </c>
      <c r="R864" s="166"/>
      <c r="S864" s="167"/>
      <c r="T864" s="168">
        <f t="shared" si="3"/>
        <v>84100</v>
      </c>
      <c r="U864" s="168">
        <f t="shared" si="4"/>
        <v>0</v>
      </c>
      <c r="V864" s="168">
        <f t="shared" si="5"/>
        <v>0</v>
      </c>
      <c r="W864" s="168">
        <f t="shared" si="6"/>
        <v>0</v>
      </c>
      <c r="X864" s="168">
        <f t="shared" si="7"/>
        <v>0</v>
      </c>
      <c r="Y864" s="168">
        <f t="shared" si="8"/>
        <v>0</v>
      </c>
      <c r="Z864" s="168">
        <f t="shared" si="9"/>
        <v>0</v>
      </c>
    </row>
    <row r="865" ht="15.75" customHeight="1">
      <c r="A865" s="157">
        <v>1552.0</v>
      </c>
      <c r="B865" s="158" t="s">
        <v>29</v>
      </c>
      <c r="C865" s="158" t="s">
        <v>87</v>
      </c>
      <c r="D865" s="159">
        <v>43449.0</v>
      </c>
      <c r="E865" s="157" t="s">
        <v>8</v>
      </c>
      <c r="F865" s="160">
        <v>1202041.28</v>
      </c>
      <c r="G865" s="160">
        <v>192326.6</v>
      </c>
      <c r="H865" s="160">
        <f t="shared" si="38"/>
        <v>1394367.88</v>
      </c>
      <c r="I865" s="160"/>
      <c r="J865" s="161"/>
      <c r="K865" s="160"/>
      <c r="L865" s="160">
        <f>+'FACP$'!$H865-'FACP$'!$I865-'FACP$'!$K865</f>
        <v>1394367.88</v>
      </c>
      <c r="M865" s="157" t="s">
        <v>825</v>
      </c>
      <c r="N865" s="162" t="s">
        <v>554</v>
      </c>
      <c r="O865" s="163">
        <v>43486.0</v>
      </c>
      <c r="P865" s="164">
        <f t="shared" si="13"/>
        <v>43459</v>
      </c>
      <c r="Q865" s="165">
        <f t="shared" si="2"/>
        <v>0</v>
      </c>
      <c r="R865" s="166"/>
      <c r="S865" s="167"/>
      <c r="T865" s="168">
        <f t="shared" si="3"/>
        <v>1394367.88</v>
      </c>
      <c r="U865" s="168">
        <f t="shared" si="4"/>
        <v>0</v>
      </c>
      <c r="V865" s="168">
        <f t="shared" si="5"/>
        <v>0</v>
      </c>
      <c r="W865" s="168">
        <f t="shared" si="6"/>
        <v>0</v>
      </c>
      <c r="X865" s="168">
        <f t="shared" si="7"/>
        <v>0</v>
      </c>
      <c r="Y865" s="168">
        <f t="shared" si="8"/>
        <v>0</v>
      </c>
      <c r="Z865" s="168">
        <f t="shared" si="9"/>
        <v>0</v>
      </c>
    </row>
    <row r="866" ht="15.75" customHeight="1">
      <c r="A866" s="157">
        <v>1554.0</v>
      </c>
      <c r="B866" s="158" t="s">
        <v>890</v>
      </c>
      <c r="C866" s="158" t="s">
        <v>874</v>
      </c>
      <c r="D866" s="159">
        <v>43449.0</v>
      </c>
      <c r="E866" s="157" t="s">
        <v>8</v>
      </c>
      <c r="F866" s="160">
        <v>1392110.72</v>
      </c>
      <c r="G866" s="160">
        <v>222737.72</v>
      </c>
      <c r="H866" s="160">
        <f t="shared" si="38"/>
        <v>1614848.44</v>
      </c>
      <c r="I866" s="160"/>
      <c r="J866" s="161"/>
      <c r="K866" s="160"/>
      <c r="L866" s="160">
        <f>+'FACP$'!$H866-'FACP$'!$I866-'FACP$'!$K866</f>
        <v>1614848.44</v>
      </c>
      <c r="M866" s="157" t="s">
        <v>33</v>
      </c>
      <c r="N866" s="162" t="s">
        <v>554</v>
      </c>
      <c r="O866" s="163">
        <v>43483.0</v>
      </c>
      <c r="P866" s="164">
        <f t="shared" si="13"/>
        <v>43459</v>
      </c>
      <c r="Q866" s="165">
        <f t="shared" si="2"/>
        <v>0</v>
      </c>
      <c r="R866" s="166"/>
      <c r="S866" s="167"/>
      <c r="T866" s="168">
        <f t="shared" si="3"/>
        <v>1614848.44</v>
      </c>
      <c r="U866" s="168">
        <f t="shared" si="4"/>
        <v>0</v>
      </c>
      <c r="V866" s="168">
        <f t="shared" si="5"/>
        <v>0</v>
      </c>
      <c r="W866" s="168">
        <f t="shared" si="6"/>
        <v>0</v>
      </c>
      <c r="X866" s="168">
        <f t="shared" si="7"/>
        <v>0</v>
      </c>
      <c r="Y866" s="168">
        <f t="shared" si="8"/>
        <v>0</v>
      </c>
      <c r="Z866" s="168">
        <f t="shared" si="9"/>
        <v>0</v>
      </c>
    </row>
    <row r="867" ht="15.75" customHeight="1">
      <c r="A867" s="157">
        <v>1556.0</v>
      </c>
      <c r="B867" s="158" t="s">
        <v>103</v>
      </c>
      <c r="C867" s="158" t="s">
        <v>87</v>
      </c>
      <c r="D867" s="159">
        <v>43449.0</v>
      </c>
      <c r="E867" s="157" t="s">
        <v>8</v>
      </c>
      <c r="F867" s="160">
        <v>2727592.6</v>
      </c>
      <c r="G867" s="160">
        <v>436414.82</v>
      </c>
      <c r="H867" s="160">
        <f t="shared" si="38"/>
        <v>3164007.42</v>
      </c>
      <c r="I867" s="160"/>
      <c r="J867" s="161"/>
      <c r="K867" s="160"/>
      <c r="L867" s="160">
        <f>+'FACP$'!$H867-'FACP$'!$I867-'FACP$'!$K867</f>
        <v>3164007.42</v>
      </c>
      <c r="M867" s="157" t="s">
        <v>103</v>
      </c>
      <c r="N867" s="162" t="s">
        <v>127</v>
      </c>
      <c r="O867" s="163"/>
      <c r="P867" s="164">
        <f t="shared" si="13"/>
        <v>43459</v>
      </c>
      <c r="Q867" s="165">
        <f t="shared" si="2"/>
        <v>0</v>
      </c>
      <c r="R867" s="166" t="s">
        <v>895</v>
      </c>
      <c r="S867" s="167"/>
      <c r="T867" s="168">
        <f t="shared" si="3"/>
        <v>3164007.42</v>
      </c>
      <c r="U867" s="168">
        <f t="shared" si="4"/>
        <v>0</v>
      </c>
      <c r="V867" s="168">
        <f t="shared" si="5"/>
        <v>0</v>
      </c>
      <c r="W867" s="168">
        <f t="shared" si="6"/>
        <v>0</v>
      </c>
      <c r="X867" s="168">
        <f t="shared" si="7"/>
        <v>0</v>
      </c>
      <c r="Y867" s="168">
        <f t="shared" si="8"/>
        <v>0</v>
      </c>
      <c r="Z867" s="168">
        <f t="shared" si="9"/>
        <v>0</v>
      </c>
    </row>
    <row r="868" ht="15.75" customHeight="1">
      <c r="A868" s="157">
        <v>1558.0</v>
      </c>
      <c r="B868" s="161" t="s">
        <v>24</v>
      </c>
      <c r="C868" s="158" t="s">
        <v>87</v>
      </c>
      <c r="D868" s="159">
        <v>43449.0</v>
      </c>
      <c r="E868" s="157" t="s">
        <v>8</v>
      </c>
      <c r="F868" s="160">
        <v>389714.71</v>
      </c>
      <c r="G868" s="160">
        <v>62354.35</v>
      </c>
      <c r="H868" s="160">
        <f t="shared" si="38"/>
        <v>452069.06</v>
      </c>
      <c r="I868" s="160"/>
      <c r="J868" s="161"/>
      <c r="K868" s="160"/>
      <c r="L868" s="160">
        <f>+'FACP$'!$H868-'FACP$'!$I868-'FACP$'!$K868</f>
        <v>452069.06</v>
      </c>
      <c r="M868" s="157" t="s">
        <v>91</v>
      </c>
      <c r="N868" s="162" t="s">
        <v>554</v>
      </c>
      <c r="O868" s="163">
        <v>43489.0</v>
      </c>
      <c r="P868" s="164">
        <f t="shared" si="13"/>
        <v>43459</v>
      </c>
      <c r="Q868" s="165">
        <f t="shared" si="2"/>
        <v>0</v>
      </c>
      <c r="R868" s="166"/>
      <c r="S868" s="167"/>
      <c r="T868" s="168">
        <f t="shared" si="3"/>
        <v>452069.06</v>
      </c>
      <c r="U868" s="168">
        <f t="shared" si="4"/>
        <v>0</v>
      </c>
      <c r="V868" s="168">
        <f t="shared" si="5"/>
        <v>0</v>
      </c>
      <c r="W868" s="168">
        <f t="shared" si="6"/>
        <v>0</v>
      </c>
      <c r="X868" s="168">
        <f t="shared" si="7"/>
        <v>0</v>
      </c>
      <c r="Y868" s="168">
        <f t="shared" si="8"/>
        <v>0</v>
      </c>
      <c r="Z868" s="168">
        <f t="shared" si="9"/>
        <v>0</v>
      </c>
    </row>
    <row r="869" ht="15.75" customHeight="1">
      <c r="A869" s="157">
        <v>1560.0</v>
      </c>
      <c r="B869" s="158" t="s">
        <v>41</v>
      </c>
      <c r="C869" s="158" t="s">
        <v>874</v>
      </c>
      <c r="D869" s="159">
        <v>43449.0</v>
      </c>
      <c r="E869" s="157" t="s">
        <v>8</v>
      </c>
      <c r="F869" s="160">
        <v>1210033.92</v>
      </c>
      <c r="G869" s="160">
        <v>193605.43</v>
      </c>
      <c r="H869" s="160">
        <f t="shared" si="38"/>
        <v>1403639.35</v>
      </c>
      <c r="I869" s="160"/>
      <c r="J869" s="161"/>
      <c r="K869" s="160"/>
      <c r="L869" s="160">
        <f>+'FACP$'!$H869-'FACP$'!$I869-'FACP$'!$K869</f>
        <v>1403639.35</v>
      </c>
      <c r="M869" s="157" t="s">
        <v>875</v>
      </c>
      <c r="N869" s="162" t="s">
        <v>554</v>
      </c>
      <c r="O869" s="163">
        <v>43497.0</v>
      </c>
      <c r="P869" s="164">
        <f t="shared" si="13"/>
        <v>43459</v>
      </c>
      <c r="Q869" s="165">
        <f t="shared" si="2"/>
        <v>0</v>
      </c>
      <c r="R869" s="166"/>
      <c r="S869" s="167"/>
      <c r="T869" s="168">
        <f t="shared" si="3"/>
        <v>1403639.35</v>
      </c>
      <c r="U869" s="168">
        <f t="shared" si="4"/>
        <v>0</v>
      </c>
      <c r="V869" s="168">
        <f t="shared" si="5"/>
        <v>0</v>
      </c>
      <c r="W869" s="168">
        <f t="shared" si="6"/>
        <v>0</v>
      </c>
      <c r="X869" s="168">
        <f t="shared" si="7"/>
        <v>0</v>
      </c>
      <c r="Y869" s="168">
        <f t="shared" si="8"/>
        <v>0</v>
      </c>
      <c r="Z869" s="168">
        <f t="shared" si="9"/>
        <v>0</v>
      </c>
    </row>
    <row r="870" ht="15.75" customHeight="1">
      <c r="A870" s="157">
        <v>1562.0</v>
      </c>
      <c r="B870" s="158" t="s">
        <v>896</v>
      </c>
      <c r="C870" s="158" t="s">
        <v>874</v>
      </c>
      <c r="D870" s="159">
        <v>43449.0</v>
      </c>
      <c r="E870" s="157" t="s">
        <v>8</v>
      </c>
      <c r="F870" s="160">
        <v>300474.24</v>
      </c>
      <c r="G870" s="160">
        <v>48075.88</v>
      </c>
      <c r="H870" s="160">
        <f t="shared" si="38"/>
        <v>348550.12</v>
      </c>
      <c r="I870" s="160"/>
      <c r="J870" s="161"/>
      <c r="K870" s="160"/>
      <c r="L870" s="160">
        <f>+'FACP$'!$H870-'FACP$'!$I870-'FACP$'!$K870</f>
        <v>348550.12</v>
      </c>
      <c r="M870" s="157" t="s">
        <v>897</v>
      </c>
      <c r="N870" s="162" t="s">
        <v>127</v>
      </c>
      <c r="O870" s="163" t="s">
        <v>876</v>
      </c>
      <c r="P870" s="164">
        <f t="shared" si="13"/>
        <v>43459</v>
      </c>
      <c r="Q870" s="165">
        <f t="shared" si="2"/>
        <v>0</v>
      </c>
      <c r="R870" s="166"/>
      <c r="S870" s="167"/>
      <c r="T870" s="168">
        <f t="shared" si="3"/>
        <v>348550.12</v>
      </c>
      <c r="U870" s="168">
        <f t="shared" si="4"/>
        <v>0</v>
      </c>
      <c r="V870" s="168">
        <f t="shared" si="5"/>
        <v>0</v>
      </c>
      <c r="W870" s="168">
        <f t="shared" si="6"/>
        <v>0</v>
      </c>
      <c r="X870" s="168">
        <f t="shared" si="7"/>
        <v>0</v>
      </c>
      <c r="Y870" s="168">
        <f t="shared" si="8"/>
        <v>0</v>
      </c>
      <c r="Z870" s="168">
        <f t="shared" si="9"/>
        <v>0</v>
      </c>
    </row>
    <row r="871" ht="15.75" customHeight="1">
      <c r="A871" s="157">
        <v>1564.0</v>
      </c>
      <c r="B871" s="158" t="s">
        <v>37</v>
      </c>
      <c r="C871" s="158" t="s">
        <v>87</v>
      </c>
      <c r="D871" s="159">
        <v>43449.0</v>
      </c>
      <c r="E871" s="157" t="s">
        <v>8</v>
      </c>
      <c r="F871" s="160">
        <v>3190197.78</v>
      </c>
      <c r="G871" s="160">
        <v>510431.64</v>
      </c>
      <c r="H871" s="160">
        <f t="shared" si="38"/>
        <v>3700629.42</v>
      </c>
      <c r="I871" s="160"/>
      <c r="J871" s="161"/>
      <c r="K871" s="160"/>
      <c r="L871" s="160">
        <f>+'FACP$'!$H871-'FACP$'!$I871-'FACP$'!$K871</f>
        <v>3700629.42</v>
      </c>
      <c r="M871" s="157" t="s">
        <v>718</v>
      </c>
      <c r="N871" s="162" t="s">
        <v>554</v>
      </c>
      <c r="O871" s="163">
        <v>43494.0</v>
      </c>
      <c r="P871" s="164">
        <f t="shared" si="13"/>
        <v>43459</v>
      </c>
      <c r="Q871" s="165">
        <f t="shared" si="2"/>
        <v>0</v>
      </c>
      <c r="R871" s="166"/>
      <c r="S871" s="220"/>
      <c r="T871" s="168">
        <f t="shared" si="3"/>
        <v>3700629.42</v>
      </c>
      <c r="U871" s="168">
        <f t="shared" si="4"/>
        <v>0</v>
      </c>
      <c r="V871" s="168">
        <f t="shared" si="5"/>
        <v>0</v>
      </c>
      <c r="W871" s="168">
        <f t="shared" si="6"/>
        <v>0</v>
      </c>
      <c r="X871" s="168">
        <f t="shared" si="7"/>
        <v>0</v>
      </c>
      <c r="Y871" s="168">
        <f t="shared" si="8"/>
        <v>0</v>
      </c>
      <c r="Z871" s="168">
        <f t="shared" si="9"/>
        <v>0</v>
      </c>
    </row>
    <row r="872" ht="15.75" customHeight="1">
      <c r="A872" s="157">
        <v>1566.0</v>
      </c>
      <c r="B872" s="161" t="s">
        <v>24</v>
      </c>
      <c r="C872" s="158" t="s">
        <v>87</v>
      </c>
      <c r="D872" s="159">
        <v>43449.0</v>
      </c>
      <c r="E872" s="157" t="s">
        <v>8</v>
      </c>
      <c r="F872" s="160">
        <v>173638.08</v>
      </c>
      <c r="G872" s="160">
        <v>27782.09</v>
      </c>
      <c r="H872" s="160">
        <f t="shared" si="38"/>
        <v>201420.17</v>
      </c>
      <c r="I872" s="160"/>
      <c r="J872" s="161"/>
      <c r="K872" s="160"/>
      <c r="L872" s="160">
        <f>+'FACP$'!$H872-'FACP$'!$I872-'FACP$'!$K872</f>
        <v>201420.17</v>
      </c>
      <c r="M872" s="157" t="s">
        <v>91</v>
      </c>
      <c r="N872" s="162" t="s">
        <v>554</v>
      </c>
      <c r="O872" s="163">
        <v>43489.0</v>
      </c>
      <c r="P872" s="164">
        <f t="shared" si="13"/>
        <v>43459</v>
      </c>
      <c r="Q872" s="165">
        <f t="shared" si="2"/>
        <v>0</v>
      </c>
      <c r="R872" s="166"/>
      <c r="S872" s="167"/>
      <c r="T872" s="168">
        <f t="shared" si="3"/>
        <v>201420.17</v>
      </c>
      <c r="U872" s="168">
        <f t="shared" si="4"/>
        <v>0</v>
      </c>
      <c r="V872" s="168">
        <f t="shared" si="5"/>
        <v>0</v>
      </c>
      <c r="W872" s="168">
        <f t="shared" si="6"/>
        <v>0</v>
      </c>
      <c r="X872" s="168">
        <f t="shared" si="7"/>
        <v>0</v>
      </c>
      <c r="Y872" s="168">
        <f t="shared" si="8"/>
        <v>0</v>
      </c>
      <c r="Z872" s="168">
        <f t="shared" si="9"/>
        <v>0</v>
      </c>
    </row>
    <row r="873" ht="15.75" customHeight="1">
      <c r="A873" s="157">
        <v>1568.0</v>
      </c>
      <c r="B873" s="161" t="s">
        <v>101</v>
      </c>
      <c r="C873" s="161" t="s">
        <v>724</v>
      </c>
      <c r="D873" s="159">
        <v>43449.0</v>
      </c>
      <c r="E873" s="157" t="s">
        <v>8</v>
      </c>
      <c r="F873" s="160">
        <v>247927.9</v>
      </c>
      <c r="G873" s="160">
        <v>39668.46</v>
      </c>
      <c r="H873" s="160">
        <f t="shared" si="38"/>
        <v>287596.36</v>
      </c>
      <c r="I873" s="160"/>
      <c r="J873" s="161"/>
      <c r="K873" s="160"/>
      <c r="L873" s="160">
        <f>+'FACP$'!$H873-'FACP$'!$I873-'FACP$'!$K873</f>
        <v>287596.36</v>
      </c>
      <c r="M873" s="157" t="s">
        <v>586</v>
      </c>
      <c r="N873" s="162" t="s">
        <v>554</v>
      </c>
      <c r="O873" s="163">
        <v>43507.0</v>
      </c>
      <c r="P873" s="164">
        <f t="shared" si="13"/>
        <v>43459</v>
      </c>
      <c r="Q873" s="165">
        <f t="shared" si="2"/>
        <v>0</v>
      </c>
      <c r="R873" s="166"/>
      <c r="S873" s="167"/>
      <c r="T873" s="168">
        <f t="shared" si="3"/>
        <v>287596.36</v>
      </c>
      <c r="U873" s="168">
        <f t="shared" si="4"/>
        <v>0</v>
      </c>
      <c r="V873" s="168">
        <f t="shared" si="5"/>
        <v>0</v>
      </c>
      <c r="W873" s="168">
        <f t="shared" si="6"/>
        <v>0</v>
      </c>
      <c r="X873" s="168">
        <f t="shared" si="7"/>
        <v>0</v>
      </c>
      <c r="Y873" s="168">
        <f t="shared" si="8"/>
        <v>0</v>
      </c>
      <c r="Z873" s="168">
        <f t="shared" si="9"/>
        <v>0</v>
      </c>
    </row>
    <row r="874" ht="15.75" customHeight="1">
      <c r="A874" s="157">
        <v>1569.0</v>
      </c>
      <c r="B874" s="161" t="s">
        <v>127</v>
      </c>
      <c r="C874" s="158"/>
      <c r="D874" s="159"/>
      <c r="E874" s="157"/>
      <c r="F874" s="160"/>
      <c r="G874" s="160"/>
      <c r="H874" s="160"/>
      <c r="I874" s="160"/>
      <c r="J874" s="161"/>
      <c r="K874" s="160"/>
      <c r="L874" s="160">
        <f>+'FACP$'!$H874-'FACP$'!$I874-'FACP$'!$K874</f>
        <v>0</v>
      </c>
      <c r="M874" s="157"/>
      <c r="N874" s="162" t="s">
        <v>127</v>
      </c>
      <c r="O874" s="163"/>
      <c r="P874" s="164">
        <f t="shared" si="13"/>
        <v>10</v>
      </c>
      <c r="Q874" s="165">
        <f t="shared" si="2"/>
        <v>0</v>
      </c>
      <c r="R874" s="166"/>
      <c r="S874" s="167"/>
      <c r="T874" s="168">
        <f t="shared" si="3"/>
        <v>0</v>
      </c>
      <c r="U874" s="168">
        <f t="shared" si="4"/>
        <v>0</v>
      </c>
      <c r="V874" s="168">
        <f t="shared" si="5"/>
        <v>0</v>
      </c>
      <c r="W874" s="168">
        <f t="shared" si="6"/>
        <v>0</v>
      </c>
      <c r="X874" s="168">
        <f t="shared" si="7"/>
        <v>0</v>
      </c>
      <c r="Y874" s="168">
        <f t="shared" si="8"/>
        <v>0</v>
      </c>
      <c r="Z874" s="168">
        <f t="shared" si="9"/>
        <v>0</v>
      </c>
    </row>
    <row r="875" ht="15.75" customHeight="1">
      <c r="A875" s="157">
        <v>1572.0</v>
      </c>
      <c r="B875" s="158" t="s">
        <v>24</v>
      </c>
      <c r="C875" s="158" t="s">
        <v>87</v>
      </c>
      <c r="D875" s="159">
        <v>43449.0</v>
      </c>
      <c r="E875" s="157" t="s">
        <v>8</v>
      </c>
      <c r="F875" s="160">
        <v>208518.07</v>
      </c>
      <c r="G875" s="160">
        <v>33362.89</v>
      </c>
      <c r="H875" s="160">
        <f t="shared" ref="H875:H882" si="39">F875+G875</f>
        <v>241880.96</v>
      </c>
      <c r="I875" s="160"/>
      <c r="J875" s="161"/>
      <c r="K875" s="160"/>
      <c r="L875" s="160">
        <f>+'FACP$'!$H875-'FACP$'!$I875-'FACP$'!$K875</f>
        <v>241880.96</v>
      </c>
      <c r="M875" s="157" t="s">
        <v>91</v>
      </c>
      <c r="N875" s="202" t="s">
        <v>554</v>
      </c>
      <c r="O875" s="163">
        <v>43601.0</v>
      </c>
      <c r="P875" s="164">
        <f t="shared" si="13"/>
        <v>43459</v>
      </c>
      <c r="Q875" s="165">
        <f t="shared" si="2"/>
        <v>0</v>
      </c>
      <c r="R875" s="166"/>
      <c r="S875" s="167"/>
      <c r="T875" s="168">
        <f t="shared" si="3"/>
        <v>241880.96</v>
      </c>
      <c r="U875" s="168">
        <f t="shared" si="4"/>
        <v>0</v>
      </c>
      <c r="V875" s="168">
        <f t="shared" si="5"/>
        <v>0</v>
      </c>
      <c r="W875" s="168">
        <f t="shared" si="6"/>
        <v>0</v>
      </c>
      <c r="X875" s="168">
        <f t="shared" si="7"/>
        <v>0</v>
      </c>
      <c r="Y875" s="168">
        <f t="shared" si="8"/>
        <v>0</v>
      </c>
      <c r="Z875" s="168">
        <f t="shared" si="9"/>
        <v>0</v>
      </c>
    </row>
    <row r="876" ht="15.75" customHeight="1">
      <c r="A876" s="157">
        <v>1574.0</v>
      </c>
      <c r="B876" s="158" t="s">
        <v>21</v>
      </c>
      <c r="C876" s="158" t="s">
        <v>874</v>
      </c>
      <c r="D876" s="159">
        <v>43449.0</v>
      </c>
      <c r="E876" s="157" t="s">
        <v>8</v>
      </c>
      <c r="F876" s="160">
        <v>300474.24</v>
      </c>
      <c r="G876" s="160">
        <v>48075.88</v>
      </c>
      <c r="H876" s="160">
        <f t="shared" si="39"/>
        <v>348550.12</v>
      </c>
      <c r="I876" s="160"/>
      <c r="J876" s="161"/>
      <c r="K876" s="160"/>
      <c r="L876" s="160">
        <f>+'FACP$'!$H876-'FACP$'!$I876-'FACP$'!$K876</f>
        <v>348550.12</v>
      </c>
      <c r="M876" s="157" t="s">
        <v>898</v>
      </c>
      <c r="N876" s="162" t="s">
        <v>127</v>
      </c>
      <c r="O876" s="163" t="s">
        <v>876</v>
      </c>
      <c r="P876" s="164">
        <f t="shared" si="13"/>
        <v>43459</v>
      </c>
      <c r="Q876" s="165">
        <f t="shared" si="2"/>
        <v>0</v>
      </c>
      <c r="R876" s="166"/>
      <c r="S876" s="167"/>
      <c r="T876" s="168">
        <f t="shared" si="3"/>
        <v>348550.12</v>
      </c>
      <c r="U876" s="168">
        <f t="shared" si="4"/>
        <v>0</v>
      </c>
      <c r="V876" s="168">
        <f t="shared" si="5"/>
        <v>0</v>
      </c>
      <c r="W876" s="168">
        <f t="shared" si="6"/>
        <v>0</v>
      </c>
      <c r="X876" s="168">
        <f t="shared" si="7"/>
        <v>0</v>
      </c>
      <c r="Y876" s="168">
        <f t="shared" si="8"/>
        <v>0</v>
      </c>
      <c r="Z876" s="168">
        <f t="shared" si="9"/>
        <v>0</v>
      </c>
    </row>
    <row r="877" ht="15.75" customHeight="1">
      <c r="A877" s="157">
        <v>1576.0</v>
      </c>
      <c r="B877" s="158" t="s">
        <v>29</v>
      </c>
      <c r="C877" s="158" t="s">
        <v>87</v>
      </c>
      <c r="D877" s="159">
        <v>43466.0</v>
      </c>
      <c r="E877" s="157" t="s">
        <v>8</v>
      </c>
      <c r="F877" s="160">
        <v>742214.1</v>
      </c>
      <c r="G877" s="160">
        <v>118754.26</v>
      </c>
      <c r="H877" s="160">
        <f t="shared" si="39"/>
        <v>860968.36</v>
      </c>
      <c r="I877" s="160"/>
      <c r="J877" s="161"/>
      <c r="K877" s="160"/>
      <c r="L877" s="160">
        <f>+'FACP$'!$H877-'FACP$'!$I877-'FACP$'!$K877</f>
        <v>860968.36</v>
      </c>
      <c r="M877" s="157" t="s">
        <v>825</v>
      </c>
      <c r="N877" s="162" t="s">
        <v>554</v>
      </c>
      <c r="O877" s="163">
        <v>43493.0</v>
      </c>
      <c r="P877" s="164">
        <f t="shared" si="13"/>
        <v>43476</v>
      </c>
      <c r="Q877" s="165">
        <f t="shared" si="2"/>
        <v>0</v>
      </c>
      <c r="R877" s="166"/>
      <c r="S877" s="167"/>
      <c r="T877" s="168">
        <f t="shared" si="3"/>
        <v>860968.36</v>
      </c>
      <c r="U877" s="168">
        <f t="shared" si="4"/>
        <v>0</v>
      </c>
      <c r="V877" s="168">
        <f t="shared" si="5"/>
        <v>0</v>
      </c>
      <c r="W877" s="168">
        <f t="shared" si="6"/>
        <v>0</v>
      </c>
      <c r="X877" s="168">
        <f t="shared" si="7"/>
        <v>0</v>
      </c>
      <c r="Y877" s="168">
        <f t="shared" si="8"/>
        <v>0</v>
      </c>
      <c r="Z877" s="168">
        <f t="shared" si="9"/>
        <v>0</v>
      </c>
    </row>
    <row r="878" ht="15.75" customHeight="1">
      <c r="A878" s="157">
        <v>1578.0</v>
      </c>
      <c r="B878" s="158" t="s">
        <v>41</v>
      </c>
      <c r="C878" s="158" t="s">
        <v>874</v>
      </c>
      <c r="D878" s="159">
        <v>43466.0</v>
      </c>
      <c r="E878" s="157" t="s">
        <v>8</v>
      </c>
      <c r="F878" s="160">
        <v>702852.0</v>
      </c>
      <c r="G878" s="160">
        <v>112456.32</v>
      </c>
      <c r="H878" s="160">
        <f t="shared" si="39"/>
        <v>815308.32</v>
      </c>
      <c r="I878" s="160"/>
      <c r="J878" s="161"/>
      <c r="K878" s="160"/>
      <c r="L878" s="160">
        <f>+'FACP$'!$H878-'FACP$'!$I878-'FACP$'!$K878</f>
        <v>815308.32</v>
      </c>
      <c r="M878" s="157" t="s">
        <v>121</v>
      </c>
      <c r="N878" s="162" t="s">
        <v>554</v>
      </c>
      <c r="O878" s="163">
        <v>43511.0</v>
      </c>
      <c r="P878" s="164">
        <f t="shared" si="13"/>
        <v>43476</v>
      </c>
      <c r="Q878" s="165">
        <f t="shared" si="2"/>
        <v>0</v>
      </c>
      <c r="R878" s="166"/>
      <c r="S878" s="167"/>
      <c r="T878" s="168">
        <f t="shared" si="3"/>
        <v>815308.32</v>
      </c>
      <c r="U878" s="168">
        <f t="shared" si="4"/>
        <v>0</v>
      </c>
      <c r="V878" s="168">
        <f t="shared" si="5"/>
        <v>0</v>
      </c>
      <c r="W878" s="168">
        <f t="shared" si="6"/>
        <v>0</v>
      </c>
      <c r="X878" s="168">
        <f t="shared" si="7"/>
        <v>0</v>
      </c>
      <c r="Y878" s="168">
        <f t="shared" si="8"/>
        <v>0</v>
      </c>
      <c r="Z878" s="168">
        <f t="shared" si="9"/>
        <v>0</v>
      </c>
    </row>
    <row r="879" ht="15.75" customHeight="1">
      <c r="A879" s="157">
        <v>1580.0</v>
      </c>
      <c r="B879" s="158" t="s">
        <v>103</v>
      </c>
      <c r="C879" s="158" t="s">
        <v>87</v>
      </c>
      <c r="D879" s="159">
        <v>43466.0</v>
      </c>
      <c r="E879" s="157" t="s">
        <v>8</v>
      </c>
      <c r="F879" s="160">
        <v>1481065.2</v>
      </c>
      <c r="G879" s="160">
        <v>236970.43</v>
      </c>
      <c r="H879" s="160">
        <f t="shared" si="39"/>
        <v>1718035.63</v>
      </c>
      <c r="I879" s="160"/>
      <c r="J879" s="161"/>
      <c r="K879" s="160"/>
      <c r="L879" s="160">
        <f>+'FACP$'!$H879-'FACP$'!$I879-'FACP$'!$K879</f>
        <v>1718035.63</v>
      </c>
      <c r="M879" s="157" t="s">
        <v>43</v>
      </c>
      <c r="N879" s="202" t="s">
        <v>127</v>
      </c>
      <c r="O879" s="163"/>
      <c r="P879" s="164">
        <f t="shared" si="13"/>
        <v>43476</v>
      </c>
      <c r="Q879" s="165">
        <f t="shared" si="2"/>
        <v>0</v>
      </c>
      <c r="R879" s="166" t="s">
        <v>899</v>
      </c>
      <c r="S879" s="167"/>
      <c r="T879" s="168">
        <f t="shared" si="3"/>
        <v>1718035.63</v>
      </c>
      <c r="U879" s="168">
        <f t="shared" si="4"/>
        <v>0</v>
      </c>
      <c r="V879" s="168">
        <f t="shared" si="5"/>
        <v>0</v>
      </c>
      <c r="W879" s="168">
        <f t="shared" si="6"/>
        <v>0</v>
      </c>
      <c r="X879" s="168">
        <f t="shared" si="7"/>
        <v>0</v>
      </c>
      <c r="Y879" s="168">
        <f t="shared" si="8"/>
        <v>0</v>
      </c>
      <c r="Z879" s="168">
        <f t="shared" si="9"/>
        <v>0</v>
      </c>
    </row>
    <row r="880" ht="15.75" customHeight="1">
      <c r="A880" s="157">
        <v>1582.0</v>
      </c>
      <c r="B880" s="158" t="s">
        <v>21</v>
      </c>
      <c r="C880" s="158" t="s">
        <v>87</v>
      </c>
      <c r="D880" s="159">
        <v>43466.0</v>
      </c>
      <c r="E880" s="157" t="s">
        <v>8</v>
      </c>
      <c r="F880" s="160">
        <v>18160.2</v>
      </c>
      <c r="G880" s="160">
        <v>2905.63</v>
      </c>
      <c r="H880" s="160">
        <f t="shared" si="39"/>
        <v>21065.83</v>
      </c>
      <c r="I880" s="160"/>
      <c r="J880" s="161"/>
      <c r="K880" s="160"/>
      <c r="L880" s="160">
        <f>+'FACP$'!$H880-'FACP$'!$I880-'FACP$'!$K880</f>
        <v>21065.83</v>
      </c>
      <c r="M880" s="157" t="s">
        <v>898</v>
      </c>
      <c r="N880" s="162" t="s">
        <v>127</v>
      </c>
      <c r="O880" s="163" t="s">
        <v>876</v>
      </c>
      <c r="P880" s="164">
        <f t="shared" si="13"/>
        <v>43476</v>
      </c>
      <c r="Q880" s="165">
        <f t="shared" si="2"/>
        <v>0</v>
      </c>
      <c r="R880" s="166"/>
      <c r="S880" s="167"/>
      <c r="T880" s="168">
        <f t="shared" si="3"/>
        <v>21065.83</v>
      </c>
      <c r="U880" s="168">
        <f t="shared" si="4"/>
        <v>0</v>
      </c>
      <c r="V880" s="168">
        <f t="shared" si="5"/>
        <v>0</v>
      </c>
      <c r="W880" s="168">
        <f t="shared" si="6"/>
        <v>0</v>
      </c>
      <c r="X880" s="168">
        <f t="shared" si="7"/>
        <v>0</v>
      </c>
      <c r="Y880" s="168">
        <f t="shared" si="8"/>
        <v>0</v>
      </c>
      <c r="Z880" s="168">
        <f t="shared" si="9"/>
        <v>0</v>
      </c>
    </row>
    <row r="881" ht="15.75" customHeight="1">
      <c r="A881" s="157">
        <v>1584.0</v>
      </c>
      <c r="B881" s="158" t="s">
        <v>93</v>
      </c>
      <c r="C881" s="158" t="s">
        <v>87</v>
      </c>
      <c r="D881" s="159">
        <v>43466.0</v>
      </c>
      <c r="E881" s="157" t="s">
        <v>8</v>
      </c>
      <c r="F881" s="160">
        <v>884109.48</v>
      </c>
      <c r="G881" s="160">
        <v>141457.52</v>
      </c>
      <c r="H881" s="160">
        <f t="shared" si="39"/>
        <v>1025567</v>
      </c>
      <c r="I881" s="160"/>
      <c r="J881" s="161"/>
      <c r="K881" s="160"/>
      <c r="L881" s="160">
        <f>+'FACP$'!$H881-'FACP$'!$I881-'FACP$'!$K881</f>
        <v>1025567</v>
      </c>
      <c r="M881" s="157" t="s">
        <v>93</v>
      </c>
      <c r="N881" s="162" t="s">
        <v>554</v>
      </c>
      <c r="O881" s="163">
        <v>43489.0</v>
      </c>
      <c r="P881" s="164">
        <f t="shared" si="13"/>
        <v>43476</v>
      </c>
      <c r="Q881" s="165">
        <f t="shared" si="2"/>
        <v>0</v>
      </c>
      <c r="R881" s="166"/>
      <c r="S881" s="167"/>
      <c r="T881" s="168">
        <f t="shared" si="3"/>
        <v>1025567</v>
      </c>
      <c r="U881" s="168">
        <f t="shared" si="4"/>
        <v>0</v>
      </c>
      <c r="V881" s="168">
        <f t="shared" si="5"/>
        <v>0</v>
      </c>
      <c r="W881" s="168">
        <f t="shared" si="6"/>
        <v>0</v>
      </c>
      <c r="X881" s="168">
        <f t="shared" si="7"/>
        <v>0</v>
      </c>
      <c r="Y881" s="168">
        <f t="shared" si="8"/>
        <v>0</v>
      </c>
      <c r="Z881" s="168">
        <f t="shared" si="9"/>
        <v>0</v>
      </c>
    </row>
    <row r="882" ht="15.75" customHeight="1">
      <c r="A882" s="157">
        <v>1585.0</v>
      </c>
      <c r="B882" s="158" t="s">
        <v>890</v>
      </c>
      <c r="C882" s="158" t="s">
        <v>87</v>
      </c>
      <c r="D882" s="159">
        <v>43466.0</v>
      </c>
      <c r="E882" s="157" t="s">
        <v>8</v>
      </c>
      <c r="F882" s="160">
        <v>832809.48</v>
      </c>
      <c r="G882" s="160">
        <v>133249.52</v>
      </c>
      <c r="H882" s="160">
        <f t="shared" si="39"/>
        <v>966059</v>
      </c>
      <c r="I882" s="160"/>
      <c r="J882" s="161"/>
      <c r="K882" s="160"/>
      <c r="L882" s="160">
        <f>+'FACP$'!$H882-'FACP$'!$I882-'FACP$'!$K882</f>
        <v>966059</v>
      </c>
      <c r="M882" s="157" t="s">
        <v>33</v>
      </c>
      <c r="N882" s="162" t="s">
        <v>554</v>
      </c>
      <c r="O882" s="163">
        <v>43497.0</v>
      </c>
      <c r="P882" s="164">
        <f t="shared" si="13"/>
        <v>43476</v>
      </c>
      <c r="Q882" s="165">
        <f t="shared" si="2"/>
        <v>0</v>
      </c>
      <c r="R882" s="166"/>
      <c r="S882" s="167"/>
      <c r="T882" s="168">
        <f t="shared" si="3"/>
        <v>966059</v>
      </c>
      <c r="U882" s="168">
        <f t="shared" si="4"/>
        <v>0</v>
      </c>
      <c r="V882" s="168">
        <f t="shared" si="5"/>
        <v>0</v>
      </c>
      <c r="W882" s="168">
        <f t="shared" si="6"/>
        <v>0</v>
      </c>
      <c r="X882" s="168">
        <f t="shared" si="7"/>
        <v>0</v>
      </c>
      <c r="Y882" s="168">
        <f t="shared" si="8"/>
        <v>0</v>
      </c>
      <c r="Z882" s="168">
        <f t="shared" si="9"/>
        <v>0</v>
      </c>
    </row>
    <row r="883" ht="15.75" customHeight="1">
      <c r="A883" s="157">
        <v>1587.0</v>
      </c>
      <c r="B883" s="158" t="s">
        <v>890</v>
      </c>
      <c r="C883" s="158"/>
      <c r="D883" s="159"/>
      <c r="E883" s="157"/>
      <c r="F883" s="160"/>
      <c r="G883" s="160"/>
      <c r="H883" s="160"/>
      <c r="I883" s="160"/>
      <c r="J883" s="161"/>
      <c r="K883" s="160"/>
      <c r="L883" s="160">
        <f>+'FACP$'!$H883-'FACP$'!$I883-'FACP$'!$K883</f>
        <v>0</v>
      </c>
      <c r="M883" s="157"/>
      <c r="N883" s="162" t="s">
        <v>127</v>
      </c>
      <c r="O883" s="163"/>
      <c r="P883" s="164">
        <f t="shared" si="13"/>
        <v>10</v>
      </c>
      <c r="Q883" s="165">
        <f t="shared" si="2"/>
        <v>0</v>
      </c>
      <c r="R883" s="166"/>
      <c r="S883" s="167"/>
      <c r="T883" s="168">
        <f t="shared" si="3"/>
        <v>0</v>
      </c>
      <c r="U883" s="168">
        <f t="shared" si="4"/>
        <v>0</v>
      </c>
      <c r="V883" s="168">
        <f t="shared" si="5"/>
        <v>0</v>
      </c>
      <c r="W883" s="168">
        <f t="shared" si="6"/>
        <v>0</v>
      </c>
      <c r="X883" s="168">
        <f t="shared" si="7"/>
        <v>0</v>
      </c>
      <c r="Y883" s="168">
        <f t="shared" si="8"/>
        <v>0</v>
      </c>
      <c r="Z883" s="168">
        <f t="shared" si="9"/>
        <v>0</v>
      </c>
    </row>
    <row r="884" ht="15.75" customHeight="1">
      <c r="A884" s="157">
        <v>1588.0</v>
      </c>
      <c r="B884" s="158" t="s">
        <v>101</v>
      </c>
      <c r="C884" s="158" t="s">
        <v>87</v>
      </c>
      <c r="D884" s="159">
        <v>43466.0</v>
      </c>
      <c r="E884" s="157" t="s">
        <v>8</v>
      </c>
      <c r="F884" s="160">
        <v>181780.41</v>
      </c>
      <c r="G884" s="160">
        <v>29084.87</v>
      </c>
      <c r="H884" s="160">
        <f t="shared" ref="H884:H948" si="40">F884+G884</f>
        <v>210865.28</v>
      </c>
      <c r="I884" s="160"/>
      <c r="J884" s="161"/>
      <c r="K884" s="160"/>
      <c r="L884" s="160">
        <f>+'FACP$'!$H884-'FACP$'!$I884-'FACP$'!$K884</f>
        <v>210865.28</v>
      </c>
      <c r="M884" s="157" t="s">
        <v>586</v>
      </c>
      <c r="N884" s="162" t="s">
        <v>554</v>
      </c>
      <c r="O884" s="163">
        <v>43507.0</v>
      </c>
      <c r="P884" s="164">
        <f t="shared" si="13"/>
        <v>43476</v>
      </c>
      <c r="Q884" s="165">
        <f t="shared" si="2"/>
        <v>0</v>
      </c>
      <c r="R884" s="166"/>
      <c r="S884" s="167"/>
      <c r="T884" s="168">
        <f t="shared" si="3"/>
        <v>210865.28</v>
      </c>
      <c r="U884" s="168">
        <f t="shared" si="4"/>
        <v>0</v>
      </c>
      <c r="V884" s="168">
        <f t="shared" si="5"/>
        <v>0</v>
      </c>
      <c r="W884" s="168">
        <f t="shared" si="6"/>
        <v>0</v>
      </c>
      <c r="X884" s="168">
        <f t="shared" si="7"/>
        <v>0</v>
      </c>
      <c r="Y884" s="168">
        <f t="shared" si="8"/>
        <v>0</v>
      </c>
      <c r="Z884" s="168">
        <f t="shared" si="9"/>
        <v>0</v>
      </c>
    </row>
    <row r="885" ht="15.75" customHeight="1">
      <c r="A885" s="157">
        <v>1590.0</v>
      </c>
      <c r="B885" s="158" t="s">
        <v>37</v>
      </c>
      <c r="C885" s="158" t="s">
        <v>87</v>
      </c>
      <c r="D885" s="159">
        <v>43466.0</v>
      </c>
      <c r="E885" s="157" t="s">
        <v>8</v>
      </c>
      <c r="F885" s="160">
        <v>2243409.52</v>
      </c>
      <c r="G885" s="160">
        <v>358945.52</v>
      </c>
      <c r="H885" s="160">
        <f t="shared" si="40"/>
        <v>2602355.04</v>
      </c>
      <c r="I885" s="160"/>
      <c r="J885" s="161"/>
      <c r="K885" s="160"/>
      <c r="L885" s="160">
        <f>+'FACP$'!$H885-'FACP$'!$I885-'FACP$'!$K885</f>
        <v>2602355.04</v>
      </c>
      <c r="M885" s="157" t="s">
        <v>718</v>
      </c>
      <c r="N885" s="162" t="s">
        <v>554</v>
      </c>
      <c r="O885" s="163">
        <v>43502.0</v>
      </c>
      <c r="P885" s="164">
        <f t="shared" si="13"/>
        <v>43476</v>
      </c>
      <c r="Q885" s="165">
        <f t="shared" si="2"/>
        <v>0</v>
      </c>
      <c r="R885" s="166"/>
      <c r="S885" s="220"/>
      <c r="T885" s="168">
        <f t="shared" si="3"/>
        <v>2602355.04</v>
      </c>
      <c r="U885" s="168">
        <f t="shared" si="4"/>
        <v>0</v>
      </c>
      <c r="V885" s="168">
        <f t="shared" si="5"/>
        <v>0</v>
      </c>
      <c r="W885" s="168">
        <f t="shared" si="6"/>
        <v>0</v>
      </c>
      <c r="X885" s="168">
        <f t="shared" si="7"/>
        <v>0</v>
      </c>
      <c r="Y885" s="168">
        <f t="shared" si="8"/>
        <v>0</v>
      </c>
      <c r="Z885" s="168">
        <f t="shared" si="9"/>
        <v>0</v>
      </c>
    </row>
    <row r="886" ht="15.75" customHeight="1">
      <c r="A886" s="157">
        <v>1592.0</v>
      </c>
      <c r="B886" s="161" t="s">
        <v>24</v>
      </c>
      <c r="C886" s="158" t="s">
        <v>87</v>
      </c>
      <c r="D886" s="159">
        <v>43466.0</v>
      </c>
      <c r="E886" s="157" t="s">
        <v>8</v>
      </c>
      <c r="F886" s="160">
        <v>27746.51</v>
      </c>
      <c r="G886" s="160">
        <v>4439.44</v>
      </c>
      <c r="H886" s="160">
        <f t="shared" si="40"/>
        <v>32185.95</v>
      </c>
      <c r="I886" s="160"/>
      <c r="J886" s="161"/>
      <c r="K886" s="160"/>
      <c r="L886" s="160">
        <f>+'FACP$'!$H886-'FACP$'!$I886-'FACP$'!$K886</f>
        <v>32185.95</v>
      </c>
      <c r="M886" s="157" t="s">
        <v>91</v>
      </c>
      <c r="N886" s="162" t="s">
        <v>554</v>
      </c>
      <c r="O886" s="163">
        <v>43517.0</v>
      </c>
      <c r="P886" s="164">
        <f t="shared" si="13"/>
        <v>43476</v>
      </c>
      <c r="Q886" s="165">
        <f t="shared" si="2"/>
        <v>0</v>
      </c>
      <c r="R886" s="166"/>
      <c r="S886" s="167"/>
      <c r="T886" s="168">
        <f t="shared" si="3"/>
        <v>32185.95</v>
      </c>
      <c r="U886" s="168">
        <f t="shared" si="4"/>
        <v>0</v>
      </c>
      <c r="V886" s="168">
        <f t="shared" si="5"/>
        <v>0</v>
      </c>
      <c r="W886" s="168">
        <f t="shared" si="6"/>
        <v>0</v>
      </c>
      <c r="X886" s="168">
        <f t="shared" si="7"/>
        <v>0</v>
      </c>
      <c r="Y886" s="168">
        <f t="shared" si="8"/>
        <v>0</v>
      </c>
      <c r="Z886" s="168">
        <f t="shared" si="9"/>
        <v>0</v>
      </c>
    </row>
    <row r="887" ht="15.75" customHeight="1">
      <c r="A887" s="157">
        <v>1594.0</v>
      </c>
      <c r="B887" s="158" t="s">
        <v>21</v>
      </c>
      <c r="C887" s="158" t="s">
        <v>87</v>
      </c>
      <c r="D887" s="159">
        <v>43814.0</v>
      </c>
      <c r="E887" s="157" t="s">
        <v>8</v>
      </c>
      <c r="F887" s="160">
        <v>300474.24</v>
      </c>
      <c r="G887" s="160">
        <v>48075.88</v>
      </c>
      <c r="H887" s="160">
        <f t="shared" si="40"/>
        <v>348550.12</v>
      </c>
      <c r="I887" s="160"/>
      <c r="J887" s="161"/>
      <c r="K887" s="160"/>
      <c r="L887" s="160">
        <f>+'FACP$'!$H887-'FACP$'!$I887-'FACP$'!$K887</f>
        <v>348550.12</v>
      </c>
      <c r="M887" s="157" t="s">
        <v>898</v>
      </c>
      <c r="N887" s="162" t="s">
        <v>554</v>
      </c>
      <c r="O887" s="163">
        <v>43495.0</v>
      </c>
      <c r="P887" s="164">
        <f t="shared" si="13"/>
        <v>43824</v>
      </c>
      <c r="Q887" s="165">
        <f t="shared" si="2"/>
        <v>0</v>
      </c>
      <c r="R887" s="166"/>
      <c r="S887" s="167"/>
      <c r="T887" s="168">
        <f t="shared" si="3"/>
        <v>348550.12</v>
      </c>
      <c r="U887" s="168">
        <f t="shared" si="4"/>
        <v>0</v>
      </c>
      <c r="V887" s="168">
        <f t="shared" si="5"/>
        <v>0</v>
      </c>
      <c r="W887" s="168">
        <f t="shared" si="6"/>
        <v>0</v>
      </c>
      <c r="X887" s="168">
        <f t="shared" si="7"/>
        <v>0</v>
      </c>
      <c r="Y887" s="168">
        <f t="shared" si="8"/>
        <v>0</v>
      </c>
      <c r="Z887" s="168">
        <f t="shared" si="9"/>
        <v>0</v>
      </c>
    </row>
    <row r="888" ht="15.75" customHeight="1">
      <c r="A888" s="157">
        <v>1596.0</v>
      </c>
      <c r="B888" s="158" t="s">
        <v>21</v>
      </c>
      <c r="C888" s="158" t="s">
        <v>87</v>
      </c>
      <c r="D888" s="159">
        <v>43466.0</v>
      </c>
      <c r="E888" s="157" t="s">
        <v>8</v>
      </c>
      <c r="F888" s="160">
        <v>18160.2</v>
      </c>
      <c r="G888" s="160">
        <v>2905.63</v>
      </c>
      <c r="H888" s="160">
        <f t="shared" si="40"/>
        <v>21065.83</v>
      </c>
      <c r="I888" s="160"/>
      <c r="J888" s="161"/>
      <c r="K888" s="160"/>
      <c r="L888" s="160">
        <f>+'FACP$'!$H888-'FACP$'!$I888-'FACP$'!$K888</f>
        <v>21065.83</v>
      </c>
      <c r="M888" s="157" t="s">
        <v>898</v>
      </c>
      <c r="N888" s="162" t="s">
        <v>554</v>
      </c>
      <c r="O888" s="163">
        <v>43495.0</v>
      </c>
      <c r="P888" s="164">
        <f t="shared" si="13"/>
        <v>43476</v>
      </c>
      <c r="Q888" s="165">
        <f t="shared" si="2"/>
        <v>0</v>
      </c>
      <c r="R888" s="166"/>
      <c r="S888" s="167"/>
      <c r="T888" s="168">
        <f t="shared" si="3"/>
        <v>21065.83</v>
      </c>
      <c r="U888" s="168">
        <f t="shared" si="4"/>
        <v>0</v>
      </c>
      <c r="V888" s="168">
        <f t="shared" si="5"/>
        <v>0</v>
      </c>
      <c r="W888" s="168">
        <f t="shared" si="6"/>
        <v>0</v>
      </c>
      <c r="X888" s="168">
        <f t="shared" si="7"/>
        <v>0</v>
      </c>
      <c r="Y888" s="168">
        <f t="shared" si="8"/>
        <v>0</v>
      </c>
      <c r="Z888" s="168">
        <f t="shared" si="9"/>
        <v>0</v>
      </c>
    </row>
    <row r="889" ht="15.75" customHeight="1">
      <c r="A889" s="157">
        <v>1598.0</v>
      </c>
      <c r="B889" s="158" t="s">
        <v>82</v>
      </c>
      <c r="C889" s="158" t="s">
        <v>894</v>
      </c>
      <c r="D889" s="159">
        <v>43488.0</v>
      </c>
      <c r="E889" s="157" t="s">
        <v>8</v>
      </c>
      <c r="F889" s="160">
        <v>7500.0</v>
      </c>
      <c r="G889" s="160">
        <v>1200.0</v>
      </c>
      <c r="H889" s="160">
        <f t="shared" si="40"/>
        <v>8700</v>
      </c>
      <c r="I889" s="160"/>
      <c r="J889" s="161"/>
      <c r="K889" s="160"/>
      <c r="L889" s="160">
        <f>+'FACP$'!$H889-'FACP$'!$I889-'FACP$'!$K889</f>
        <v>8700</v>
      </c>
      <c r="M889" s="157" t="s">
        <v>714</v>
      </c>
      <c r="N889" s="162" t="s">
        <v>554</v>
      </c>
      <c r="O889" s="163">
        <v>43494.0</v>
      </c>
      <c r="P889" s="164">
        <f t="shared" si="13"/>
        <v>43498</v>
      </c>
      <c r="Q889" s="165">
        <f t="shared" si="2"/>
        <v>0</v>
      </c>
      <c r="R889" s="166"/>
      <c r="S889" s="167"/>
      <c r="T889" s="168">
        <f t="shared" si="3"/>
        <v>8700</v>
      </c>
      <c r="U889" s="168">
        <f t="shared" si="4"/>
        <v>0</v>
      </c>
      <c r="V889" s="168">
        <f t="shared" si="5"/>
        <v>0</v>
      </c>
      <c r="W889" s="168">
        <f t="shared" si="6"/>
        <v>0</v>
      </c>
      <c r="X889" s="168">
        <f t="shared" si="7"/>
        <v>0</v>
      </c>
      <c r="Y889" s="168">
        <f t="shared" si="8"/>
        <v>0</v>
      </c>
      <c r="Z889" s="168">
        <f t="shared" si="9"/>
        <v>0</v>
      </c>
    </row>
    <row r="890" ht="15.75" customHeight="1">
      <c r="A890" s="157">
        <v>1600.0</v>
      </c>
      <c r="B890" s="158" t="s">
        <v>82</v>
      </c>
      <c r="C890" s="158" t="s">
        <v>900</v>
      </c>
      <c r="D890" s="159">
        <v>43501.0</v>
      </c>
      <c r="E890" s="157" t="s">
        <v>8</v>
      </c>
      <c r="F890" s="160">
        <v>72500.0</v>
      </c>
      <c r="G890" s="160">
        <v>11600.0</v>
      </c>
      <c r="H890" s="160">
        <f t="shared" si="40"/>
        <v>84100</v>
      </c>
      <c r="I890" s="160"/>
      <c r="J890" s="161"/>
      <c r="K890" s="160"/>
      <c r="L890" s="160">
        <f>+'FACP$'!$H890-'FACP$'!$I890-'FACP$'!$K890</f>
        <v>84100</v>
      </c>
      <c r="M890" s="157" t="s">
        <v>96</v>
      </c>
      <c r="N890" s="162" t="s">
        <v>127</v>
      </c>
      <c r="O890" s="163"/>
      <c r="P890" s="164">
        <f t="shared" si="13"/>
        <v>43511</v>
      </c>
      <c r="Q890" s="165">
        <f t="shared" si="2"/>
        <v>0</v>
      </c>
      <c r="R890" s="166"/>
      <c r="S890" s="167"/>
      <c r="T890" s="168">
        <f t="shared" si="3"/>
        <v>84100</v>
      </c>
      <c r="U890" s="168">
        <f t="shared" si="4"/>
        <v>0</v>
      </c>
      <c r="V890" s="168">
        <f t="shared" si="5"/>
        <v>0</v>
      </c>
      <c r="W890" s="168">
        <f t="shared" si="6"/>
        <v>0</v>
      </c>
      <c r="X890" s="168">
        <f t="shared" si="7"/>
        <v>0</v>
      </c>
      <c r="Y890" s="168">
        <f t="shared" si="8"/>
        <v>0</v>
      </c>
      <c r="Z890" s="168">
        <f t="shared" si="9"/>
        <v>0</v>
      </c>
    </row>
    <row r="891" ht="15.75" customHeight="1">
      <c r="A891" s="157">
        <v>1605.0</v>
      </c>
      <c r="B891" s="158" t="s">
        <v>82</v>
      </c>
      <c r="C891" s="158" t="s">
        <v>901</v>
      </c>
      <c r="D891" s="159">
        <v>43501.0</v>
      </c>
      <c r="E891" s="157" t="s">
        <v>8</v>
      </c>
      <c r="F891" s="160">
        <v>80000.0</v>
      </c>
      <c r="G891" s="160">
        <v>12800.0</v>
      </c>
      <c r="H891" s="160">
        <f t="shared" si="40"/>
        <v>92800</v>
      </c>
      <c r="I891" s="160"/>
      <c r="J891" s="161"/>
      <c r="K891" s="160"/>
      <c r="L891" s="160">
        <f>+'FACP$'!$H891-'FACP$'!$I891-'FACP$'!$K891</f>
        <v>92800</v>
      </c>
      <c r="M891" s="157" t="s">
        <v>96</v>
      </c>
      <c r="N891" s="162" t="s">
        <v>554</v>
      </c>
      <c r="O891" s="163">
        <v>43509.0</v>
      </c>
      <c r="P891" s="164">
        <f t="shared" si="13"/>
        <v>43511</v>
      </c>
      <c r="Q891" s="165">
        <f t="shared" si="2"/>
        <v>0</v>
      </c>
      <c r="R891" s="166"/>
      <c r="S891" s="167"/>
      <c r="T891" s="168">
        <f t="shared" si="3"/>
        <v>92800</v>
      </c>
      <c r="U891" s="168">
        <f t="shared" si="4"/>
        <v>0</v>
      </c>
      <c r="V891" s="168">
        <f t="shared" si="5"/>
        <v>0</v>
      </c>
      <c r="W891" s="168">
        <f t="shared" si="6"/>
        <v>0</v>
      </c>
      <c r="X891" s="168">
        <f t="shared" si="7"/>
        <v>0</v>
      </c>
      <c r="Y891" s="168">
        <f t="shared" si="8"/>
        <v>0</v>
      </c>
      <c r="Z891" s="168">
        <f t="shared" si="9"/>
        <v>0</v>
      </c>
    </row>
    <row r="892" ht="15.75" customHeight="1">
      <c r="A892" s="157">
        <v>1606.0</v>
      </c>
      <c r="B892" s="158" t="s">
        <v>29</v>
      </c>
      <c r="C892" s="158" t="s">
        <v>87</v>
      </c>
      <c r="D892" s="159">
        <v>43480.0</v>
      </c>
      <c r="E892" s="157" t="s">
        <v>8</v>
      </c>
      <c r="F892" s="160">
        <v>1495295.76</v>
      </c>
      <c r="G892" s="160">
        <v>239247.32</v>
      </c>
      <c r="H892" s="160">
        <f t="shared" si="40"/>
        <v>1734543.08</v>
      </c>
      <c r="I892" s="160"/>
      <c r="J892" s="161"/>
      <c r="K892" s="160"/>
      <c r="L892" s="160">
        <f>+'FACP$'!$H892-'FACP$'!$I892-'FACP$'!$K892</f>
        <v>1734543.08</v>
      </c>
      <c r="M892" s="157" t="s">
        <v>825</v>
      </c>
      <c r="N892" s="162" t="s">
        <v>554</v>
      </c>
      <c r="O892" s="163">
        <v>43517.0</v>
      </c>
      <c r="P892" s="164">
        <f t="shared" si="13"/>
        <v>43490</v>
      </c>
      <c r="Q892" s="165">
        <f t="shared" si="2"/>
        <v>0</v>
      </c>
      <c r="R892" s="166"/>
      <c r="S892" s="167"/>
      <c r="T892" s="168">
        <f t="shared" si="3"/>
        <v>1734543.08</v>
      </c>
      <c r="U892" s="168">
        <f t="shared" si="4"/>
        <v>0</v>
      </c>
      <c r="V892" s="168">
        <f t="shared" si="5"/>
        <v>0</v>
      </c>
      <c r="W892" s="168">
        <f t="shared" si="6"/>
        <v>0</v>
      </c>
      <c r="X892" s="168">
        <f t="shared" si="7"/>
        <v>0</v>
      </c>
      <c r="Y892" s="168">
        <f t="shared" si="8"/>
        <v>0</v>
      </c>
      <c r="Z892" s="168">
        <f t="shared" si="9"/>
        <v>0</v>
      </c>
    </row>
    <row r="893" ht="15.75" customHeight="1">
      <c r="A893" s="157">
        <v>1608.0</v>
      </c>
      <c r="B893" s="158" t="s">
        <v>41</v>
      </c>
      <c r="C893" s="158" t="s">
        <v>874</v>
      </c>
      <c r="D893" s="159">
        <v>43480.0</v>
      </c>
      <c r="E893" s="157" t="s">
        <v>8</v>
      </c>
      <c r="F893" s="160">
        <v>1032906.88</v>
      </c>
      <c r="G893" s="160">
        <v>165265.1</v>
      </c>
      <c r="H893" s="160">
        <f t="shared" si="40"/>
        <v>1198171.98</v>
      </c>
      <c r="I893" s="160"/>
      <c r="J893" s="161"/>
      <c r="K893" s="160"/>
      <c r="L893" s="160">
        <f>+'FACP$'!$H893-'FACP$'!$I893-'FACP$'!$K893</f>
        <v>1198171.98</v>
      </c>
      <c r="M893" s="157" t="s">
        <v>121</v>
      </c>
      <c r="N893" s="162" t="s">
        <v>554</v>
      </c>
      <c r="O893" s="163">
        <v>43525.0</v>
      </c>
      <c r="P893" s="164">
        <f t="shared" si="13"/>
        <v>43490</v>
      </c>
      <c r="Q893" s="165">
        <f t="shared" si="2"/>
        <v>0</v>
      </c>
      <c r="R893" s="166"/>
      <c r="S893" s="167"/>
      <c r="T893" s="168">
        <f t="shared" si="3"/>
        <v>1198171.98</v>
      </c>
      <c r="U893" s="168">
        <f t="shared" si="4"/>
        <v>0</v>
      </c>
      <c r="V893" s="168">
        <f t="shared" si="5"/>
        <v>0</v>
      </c>
      <c r="W893" s="168">
        <f t="shared" si="6"/>
        <v>0</v>
      </c>
      <c r="X893" s="168">
        <f t="shared" si="7"/>
        <v>0</v>
      </c>
      <c r="Y893" s="168">
        <f t="shared" si="8"/>
        <v>0</v>
      </c>
      <c r="Z893" s="168">
        <f t="shared" si="9"/>
        <v>0</v>
      </c>
    </row>
    <row r="894" ht="15.75" customHeight="1">
      <c r="A894" s="157">
        <v>1610.0</v>
      </c>
      <c r="B894" s="158" t="s">
        <v>890</v>
      </c>
      <c r="C894" s="158" t="s">
        <v>87</v>
      </c>
      <c r="D894" s="159">
        <v>43480.0</v>
      </c>
      <c r="E894" s="157" t="s">
        <v>8</v>
      </c>
      <c r="F894" s="160">
        <v>926842.08</v>
      </c>
      <c r="G894" s="160">
        <v>148294.73</v>
      </c>
      <c r="H894" s="160">
        <f t="shared" si="40"/>
        <v>1075136.81</v>
      </c>
      <c r="I894" s="160"/>
      <c r="J894" s="161"/>
      <c r="K894" s="160"/>
      <c r="L894" s="160">
        <f>+'FACP$'!$H894-'FACP$'!$I894-'FACP$'!$K894</f>
        <v>1075136.81</v>
      </c>
      <c r="M894" s="157" t="s">
        <v>33</v>
      </c>
      <c r="N894" s="162" t="s">
        <v>554</v>
      </c>
      <c r="O894" s="163">
        <v>43518.0</v>
      </c>
      <c r="P894" s="164">
        <f t="shared" si="13"/>
        <v>43490</v>
      </c>
      <c r="Q894" s="165">
        <f t="shared" si="2"/>
        <v>0</v>
      </c>
      <c r="R894" s="166"/>
      <c r="S894" s="167"/>
      <c r="T894" s="168">
        <f t="shared" si="3"/>
        <v>1075136.81</v>
      </c>
      <c r="U894" s="168">
        <f t="shared" si="4"/>
        <v>0</v>
      </c>
      <c r="V894" s="168">
        <f t="shared" si="5"/>
        <v>0</v>
      </c>
      <c r="W894" s="168">
        <f t="shared" si="6"/>
        <v>0</v>
      </c>
      <c r="X894" s="168">
        <f t="shared" si="7"/>
        <v>0</v>
      </c>
      <c r="Y894" s="168">
        <f t="shared" si="8"/>
        <v>0</v>
      </c>
      <c r="Z894" s="168">
        <f t="shared" si="9"/>
        <v>0</v>
      </c>
    </row>
    <row r="895" ht="15.75" customHeight="1">
      <c r="A895" s="157">
        <v>1612.0</v>
      </c>
      <c r="B895" s="158" t="s">
        <v>93</v>
      </c>
      <c r="C895" s="158" t="s">
        <v>87</v>
      </c>
      <c r="D895" s="159">
        <v>43480.0</v>
      </c>
      <c r="E895" s="157" t="s">
        <v>8</v>
      </c>
      <c r="F895" s="160">
        <v>1205656.32</v>
      </c>
      <c r="G895" s="160">
        <v>192905.01</v>
      </c>
      <c r="H895" s="160">
        <f t="shared" si="40"/>
        <v>1398561.33</v>
      </c>
      <c r="I895" s="160"/>
      <c r="J895" s="161"/>
      <c r="K895" s="160"/>
      <c r="L895" s="160">
        <f>+'FACP$'!$H895-'FACP$'!$I895-'FACP$'!$K895</f>
        <v>1398561.33</v>
      </c>
      <c r="M895" s="157" t="s">
        <v>93</v>
      </c>
      <c r="N895" s="162" t="s">
        <v>554</v>
      </c>
      <c r="O895" s="163">
        <v>43511.0</v>
      </c>
      <c r="P895" s="164">
        <f t="shared" si="13"/>
        <v>43490</v>
      </c>
      <c r="Q895" s="165">
        <f t="shared" si="2"/>
        <v>0</v>
      </c>
      <c r="R895" s="166"/>
      <c r="S895" s="167"/>
      <c r="T895" s="168">
        <f t="shared" si="3"/>
        <v>1398561.33</v>
      </c>
      <c r="U895" s="168">
        <f t="shared" si="4"/>
        <v>0</v>
      </c>
      <c r="V895" s="168">
        <f t="shared" si="5"/>
        <v>0</v>
      </c>
      <c r="W895" s="168">
        <f t="shared" si="6"/>
        <v>0</v>
      </c>
      <c r="X895" s="168">
        <f t="shared" si="7"/>
        <v>0</v>
      </c>
      <c r="Y895" s="168">
        <f t="shared" si="8"/>
        <v>0</v>
      </c>
      <c r="Z895" s="168">
        <f t="shared" si="9"/>
        <v>0</v>
      </c>
    </row>
    <row r="896" ht="15.75" customHeight="1">
      <c r="A896" s="157">
        <v>1613.0</v>
      </c>
      <c r="B896" s="158" t="s">
        <v>103</v>
      </c>
      <c r="C896" s="158" t="s">
        <v>902</v>
      </c>
      <c r="D896" s="159">
        <v>43503.0</v>
      </c>
      <c r="E896" s="157" t="s">
        <v>8</v>
      </c>
      <c r="F896" s="160">
        <v>1706498.3</v>
      </c>
      <c r="G896" s="160">
        <v>273039.73</v>
      </c>
      <c r="H896" s="160">
        <f t="shared" si="40"/>
        <v>1979538.03</v>
      </c>
      <c r="I896" s="160"/>
      <c r="J896" s="161"/>
      <c r="K896" s="160"/>
      <c r="L896" s="160">
        <f>+'FACP$'!$H896-'FACP$'!$I896-'FACP$'!$K896</f>
        <v>1979538.03</v>
      </c>
      <c r="M896" s="157" t="s">
        <v>103</v>
      </c>
      <c r="N896" s="162" t="s">
        <v>127</v>
      </c>
      <c r="O896" s="163"/>
      <c r="P896" s="164">
        <f t="shared" si="13"/>
        <v>43513</v>
      </c>
      <c r="Q896" s="165">
        <f t="shared" si="2"/>
        <v>0</v>
      </c>
      <c r="R896" s="166" t="s">
        <v>903</v>
      </c>
      <c r="S896" s="167"/>
      <c r="T896" s="168">
        <f t="shared" si="3"/>
        <v>1979538.03</v>
      </c>
      <c r="U896" s="168">
        <f t="shared" si="4"/>
        <v>0</v>
      </c>
      <c r="V896" s="168">
        <f t="shared" si="5"/>
        <v>0</v>
      </c>
      <c r="W896" s="168">
        <f t="shared" si="6"/>
        <v>0</v>
      </c>
      <c r="X896" s="168">
        <f t="shared" si="7"/>
        <v>0</v>
      </c>
      <c r="Y896" s="168">
        <f t="shared" si="8"/>
        <v>0</v>
      </c>
      <c r="Z896" s="168">
        <f t="shared" si="9"/>
        <v>0</v>
      </c>
    </row>
    <row r="897" ht="15.75" customHeight="1">
      <c r="A897" s="157">
        <v>1615.0</v>
      </c>
      <c r="B897" s="158" t="s">
        <v>37</v>
      </c>
      <c r="C897" s="158" t="s">
        <v>902</v>
      </c>
      <c r="D897" s="159">
        <v>43509.0</v>
      </c>
      <c r="E897" s="157" t="s">
        <v>8</v>
      </c>
      <c r="F897" s="160">
        <v>2734950.46</v>
      </c>
      <c r="G897" s="160">
        <v>437592.07</v>
      </c>
      <c r="H897" s="160">
        <f t="shared" si="40"/>
        <v>3172542.53</v>
      </c>
      <c r="I897" s="160"/>
      <c r="J897" s="161"/>
      <c r="K897" s="160"/>
      <c r="L897" s="160">
        <f>+'FACP$'!$H897-'FACP$'!$I897-'FACP$'!$K897</f>
        <v>3172542.53</v>
      </c>
      <c r="M897" s="157" t="s">
        <v>718</v>
      </c>
      <c r="N897" s="162" t="s">
        <v>554</v>
      </c>
      <c r="O897" s="163">
        <v>43535.0</v>
      </c>
      <c r="P897" s="164">
        <f t="shared" si="13"/>
        <v>43519</v>
      </c>
      <c r="Q897" s="165">
        <f t="shared" si="2"/>
        <v>0</v>
      </c>
      <c r="R897" s="166"/>
      <c r="S897" s="220"/>
      <c r="T897" s="168">
        <f t="shared" si="3"/>
        <v>3172542.53</v>
      </c>
      <c r="U897" s="168">
        <f t="shared" si="4"/>
        <v>0</v>
      </c>
      <c r="V897" s="168">
        <f t="shared" si="5"/>
        <v>0</v>
      </c>
      <c r="W897" s="168">
        <f t="shared" si="6"/>
        <v>0</v>
      </c>
      <c r="X897" s="168">
        <f t="shared" si="7"/>
        <v>0</v>
      </c>
      <c r="Y897" s="168">
        <f t="shared" si="8"/>
        <v>0</v>
      </c>
      <c r="Z897" s="168">
        <f t="shared" si="9"/>
        <v>0</v>
      </c>
    </row>
    <row r="898" ht="15.75" customHeight="1">
      <c r="A898" s="157">
        <v>1617.0</v>
      </c>
      <c r="B898" s="158" t="s">
        <v>19</v>
      </c>
      <c r="C898" s="158" t="s">
        <v>902</v>
      </c>
      <c r="D898" s="159">
        <v>43509.0</v>
      </c>
      <c r="E898" s="157" t="s">
        <v>8</v>
      </c>
      <c r="F898" s="160">
        <v>276315.48</v>
      </c>
      <c r="G898" s="160">
        <v>44210.48</v>
      </c>
      <c r="H898" s="160">
        <f t="shared" si="40"/>
        <v>320525.96</v>
      </c>
      <c r="I898" s="160"/>
      <c r="J898" s="161"/>
      <c r="K898" s="160"/>
      <c r="L898" s="160">
        <f>+'FACP$'!$H898-'FACP$'!$I898-'FACP$'!$K898</f>
        <v>320525.96</v>
      </c>
      <c r="M898" s="157" t="s">
        <v>732</v>
      </c>
      <c r="N898" s="162" t="s">
        <v>554</v>
      </c>
      <c r="O898" s="163">
        <v>43532.0</v>
      </c>
      <c r="P898" s="164">
        <f t="shared" si="13"/>
        <v>43519</v>
      </c>
      <c r="Q898" s="165">
        <f t="shared" si="2"/>
        <v>0</v>
      </c>
      <c r="R898" s="166"/>
      <c r="S898" s="167"/>
      <c r="T898" s="168">
        <f t="shared" si="3"/>
        <v>320525.96</v>
      </c>
      <c r="U898" s="168">
        <f t="shared" si="4"/>
        <v>0</v>
      </c>
      <c r="V898" s="168">
        <f t="shared" si="5"/>
        <v>0</v>
      </c>
      <c r="W898" s="168">
        <f t="shared" si="6"/>
        <v>0</v>
      </c>
      <c r="X898" s="168">
        <f t="shared" si="7"/>
        <v>0</v>
      </c>
      <c r="Y898" s="168">
        <f t="shared" si="8"/>
        <v>0</v>
      </c>
      <c r="Z898" s="168">
        <f t="shared" si="9"/>
        <v>0</v>
      </c>
    </row>
    <row r="899" ht="15.75" customHeight="1">
      <c r="A899" s="157">
        <v>1619.0</v>
      </c>
      <c r="B899" s="158" t="s">
        <v>29</v>
      </c>
      <c r="C899" s="158" t="s">
        <v>904</v>
      </c>
      <c r="D899" s="159">
        <v>43510.0</v>
      </c>
      <c r="E899" s="157" t="s">
        <v>8</v>
      </c>
      <c r="F899" s="160">
        <v>40917.78</v>
      </c>
      <c r="G899" s="160">
        <v>6546.84</v>
      </c>
      <c r="H899" s="160">
        <f t="shared" si="40"/>
        <v>47464.62</v>
      </c>
      <c r="I899" s="160"/>
      <c r="J899" s="161"/>
      <c r="K899" s="160"/>
      <c r="L899" s="160">
        <f>+'FACP$'!$H899-'FACP$'!$I899-'FACP$'!$K899</f>
        <v>47464.62</v>
      </c>
      <c r="M899" s="157" t="s">
        <v>825</v>
      </c>
      <c r="N899" s="162" t="s">
        <v>554</v>
      </c>
      <c r="O899" s="163">
        <v>43517.0</v>
      </c>
      <c r="P899" s="164">
        <f t="shared" si="13"/>
        <v>43520</v>
      </c>
      <c r="Q899" s="165">
        <f t="shared" si="2"/>
        <v>0</v>
      </c>
      <c r="R899" s="166"/>
      <c r="S899" s="167"/>
      <c r="T899" s="168">
        <f t="shared" si="3"/>
        <v>47464.62</v>
      </c>
      <c r="U899" s="168">
        <f t="shared" si="4"/>
        <v>0</v>
      </c>
      <c r="V899" s="168">
        <f t="shared" si="5"/>
        <v>0</v>
      </c>
      <c r="W899" s="168">
        <f t="shared" si="6"/>
        <v>0</v>
      </c>
      <c r="X899" s="168">
        <f t="shared" si="7"/>
        <v>0</v>
      </c>
      <c r="Y899" s="168">
        <f t="shared" si="8"/>
        <v>0</v>
      </c>
      <c r="Z899" s="168">
        <f t="shared" si="9"/>
        <v>0</v>
      </c>
    </row>
    <row r="900" ht="15.75" customHeight="1">
      <c r="A900" s="157">
        <v>1620.0</v>
      </c>
      <c r="B900" s="158" t="s">
        <v>29</v>
      </c>
      <c r="C900" s="158" t="s">
        <v>905</v>
      </c>
      <c r="D900" s="159">
        <v>43514.0</v>
      </c>
      <c r="E900" s="157" t="s">
        <v>8</v>
      </c>
      <c r="F900" s="160">
        <v>741731.94</v>
      </c>
      <c r="G900" s="160">
        <v>118677.11</v>
      </c>
      <c r="H900" s="160">
        <f t="shared" si="40"/>
        <v>860409.05</v>
      </c>
      <c r="I900" s="160"/>
      <c r="J900" s="161"/>
      <c r="K900" s="160"/>
      <c r="L900" s="160">
        <f>+'FACP$'!$H900-'FACP$'!$I900-'FACP$'!$K900</f>
        <v>860409.05</v>
      </c>
      <c r="M900" s="157" t="s">
        <v>825</v>
      </c>
      <c r="N900" s="162" t="s">
        <v>554</v>
      </c>
      <c r="O900" s="163">
        <v>43517.0</v>
      </c>
      <c r="P900" s="164">
        <f t="shared" si="13"/>
        <v>43524</v>
      </c>
      <c r="Q900" s="165">
        <f t="shared" si="2"/>
        <v>0</v>
      </c>
      <c r="R900" s="166"/>
      <c r="S900" s="167"/>
      <c r="T900" s="168">
        <f t="shared" si="3"/>
        <v>860409.05</v>
      </c>
      <c r="U900" s="168">
        <f t="shared" si="4"/>
        <v>0</v>
      </c>
      <c r="V900" s="168">
        <f t="shared" si="5"/>
        <v>0</v>
      </c>
      <c r="W900" s="168">
        <f t="shared" si="6"/>
        <v>0</v>
      </c>
      <c r="X900" s="168">
        <f t="shared" si="7"/>
        <v>0</v>
      </c>
      <c r="Y900" s="168">
        <f t="shared" si="8"/>
        <v>0</v>
      </c>
      <c r="Z900" s="168">
        <f t="shared" si="9"/>
        <v>0</v>
      </c>
    </row>
    <row r="901" ht="15.75" customHeight="1">
      <c r="A901" s="157">
        <v>1622.0</v>
      </c>
      <c r="B901" s="158" t="s">
        <v>93</v>
      </c>
      <c r="C901" s="158" t="s">
        <v>906</v>
      </c>
      <c r="D901" s="159">
        <v>43514.0</v>
      </c>
      <c r="E901" s="157" t="s">
        <v>8</v>
      </c>
      <c r="F901" s="160">
        <v>845862.12</v>
      </c>
      <c r="G901" s="160">
        <v>135337.94</v>
      </c>
      <c r="H901" s="160">
        <f t="shared" si="40"/>
        <v>981200.06</v>
      </c>
      <c r="I901" s="160"/>
      <c r="J901" s="161"/>
      <c r="K901" s="160"/>
      <c r="L901" s="160">
        <f>+'FACP$'!$H901-'FACP$'!$I901-'FACP$'!$K901</f>
        <v>981200.06</v>
      </c>
      <c r="M901" s="157" t="s">
        <v>837</v>
      </c>
      <c r="N901" s="162" t="s">
        <v>554</v>
      </c>
      <c r="O901" s="163">
        <v>43517.0</v>
      </c>
      <c r="P901" s="164">
        <f t="shared" si="13"/>
        <v>43524</v>
      </c>
      <c r="Q901" s="165">
        <f t="shared" si="2"/>
        <v>0</v>
      </c>
      <c r="R901" s="166"/>
      <c r="S901" s="167"/>
      <c r="T901" s="168">
        <f t="shared" si="3"/>
        <v>981200.06</v>
      </c>
      <c r="U901" s="168">
        <f t="shared" si="4"/>
        <v>0</v>
      </c>
      <c r="V901" s="168">
        <f t="shared" si="5"/>
        <v>0</v>
      </c>
      <c r="W901" s="168">
        <f t="shared" si="6"/>
        <v>0</v>
      </c>
      <c r="X901" s="168">
        <f t="shared" si="7"/>
        <v>0</v>
      </c>
      <c r="Y901" s="168">
        <f t="shared" si="8"/>
        <v>0</v>
      </c>
      <c r="Z901" s="168">
        <f t="shared" si="9"/>
        <v>0</v>
      </c>
    </row>
    <row r="902" ht="15.75" customHeight="1">
      <c r="A902" s="157">
        <v>1623.0</v>
      </c>
      <c r="B902" s="158" t="s">
        <v>43</v>
      </c>
      <c r="C902" s="158" t="s">
        <v>907</v>
      </c>
      <c r="D902" s="159">
        <v>43514.0</v>
      </c>
      <c r="E902" s="157" t="s">
        <v>8</v>
      </c>
      <c r="F902" s="160">
        <v>1026963.3</v>
      </c>
      <c r="G902" s="160">
        <v>164314.13</v>
      </c>
      <c r="H902" s="160">
        <f t="shared" si="40"/>
        <v>1191277.43</v>
      </c>
      <c r="I902" s="160"/>
      <c r="J902" s="161"/>
      <c r="K902" s="160"/>
      <c r="L902" s="160">
        <f>+'FACP$'!$H902-'FACP$'!$I902-'FACP$'!$K902</f>
        <v>1191277.43</v>
      </c>
      <c r="M902" s="157" t="s">
        <v>43</v>
      </c>
      <c r="N902" s="162" t="s">
        <v>127</v>
      </c>
      <c r="O902" s="163"/>
      <c r="P902" s="164">
        <f t="shared" si="13"/>
        <v>43524</v>
      </c>
      <c r="Q902" s="165">
        <f t="shared" si="2"/>
        <v>0</v>
      </c>
      <c r="R902" s="166" t="s">
        <v>908</v>
      </c>
      <c r="S902" s="167"/>
      <c r="T902" s="168">
        <f t="shared" si="3"/>
        <v>1191277.43</v>
      </c>
      <c r="U902" s="168">
        <f t="shared" si="4"/>
        <v>0</v>
      </c>
      <c r="V902" s="168">
        <f t="shared" si="5"/>
        <v>0</v>
      </c>
      <c r="W902" s="168">
        <f t="shared" si="6"/>
        <v>0</v>
      </c>
      <c r="X902" s="168">
        <f t="shared" si="7"/>
        <v>0</v>
      </c>
      <c r="Y902" s="168">
        <f t="shared" si="8"/>
        <v>0</v>
      </c>
      <c r="Z902" s="168">
        <f t="shared" si="9"/>
        <v>0</v>
      </c>
    </row>
    <row r="903" ht="15.75" customHeight="1">
      <c r="A903" s="157">
        <v>1625.0</v>
      </c>
      <c r="B903" s="158" t="s">
        <v>890</v>
      </c>
      <c r="C903" s="158" t="s">
        <v>905</v>
      </c>
      <c r="D903" s="159">
        <v>43514.0</v>
      </c>
      <c r="E903" s="157" t="s">
        <v>8</v>
      </c>
      <c r="F903" s="160">
        <v>686401.32</v>
      </c>
      <c r="G903" s="160">
        <v>109824.21</v>
      </c>
      <c r="H903" s="160">
        <f t="shared" si="40"/>
        <v>796225.53</v>
      </c>
      <c r="I903" s="160"/>
      <c r="J903" s="161"/>
      <c r="K903" s="160"/>
      <c r="L903" s="160">
        <f>+'FACP$'!$H903-'FACP$'!$I903-'FACP$'!$K903</f>
        <v>796225.53</v>
      </c>
      <c r="M903" s="157" t="s">
        <v>33</v>
      </c>
      <c r="N903" s="162" t="s">
        <v>554</v>
      </c>
      <c r="O903" s="163">
        <v>43536.0</v>
      </c>
      <c r="P903" s="164">
        <f t="shared" si="13"/>
        <v>43524</v>
      </c>
      <c r="Q903" s="165">
        <f t="shared" si="2"/>
        <v>0</v>
      </c>
      <c r="R903" s="166"/>
      <c r="S903" s="167"/>
      <c r="T903" s="168">
        <f t="shared" si="3"/>
        <v>796225.53</v>
      </c>
      <c r="U903" s="168">
        <f t="shared" si="4"/>
        <v>0</v>
      </c>
      <c r="V903" s="168">
        <f t="shared" si="5"/>
        <v>0</v>
      </c>
      <c r="W903" s="168">
        <f t="shared" si="6"/>
        <v>0</v>
      </c>
      <c r="X903" s="168">
        <f t="shared" si="7"/>
        <v>0</v>
      </c>
      <c r="Y903" s="168">
        <f t="shared" si="8"/>
        <v>0</v>
      </c>
      <c r="Z903" s="168">
        <f t="shared" si="9"/>
        <v>0</v>
      </c>
    </row>
    <row r="904" ht="15.75" customHeight="1">
      <c r="A904" s="157">
        <v>1629.0</v>
      </c>
      <c r="B904" s="169" t="s">
        <v>24</v>
      </c>
      <c r="C904" s="158" t="s">
        <v>909</v>
      </c>
      <c r="D904" s="159">
        <v>43514.0</v>
      </c>
      <c r="E904" s="157" t="s">
        <v>8</v>
      </c>
      <c r="F904" s="160">
        <v>23139.06</v>
      </c>
      <c r="G904" s="160">
        <v>3702.25</v>
      </c>
      <c r="H904" s="160">
        <f t="shared" si="40"/>
        <v>26841.31</v>
      </c>
      <c r="I904" s="160"/>
      <c r="J904" s="161"/>
      <c r="K904" s="160"/>
      <c r="L904" s="160">
        <f>+'FACP$'!$H904-'FACP$'!$I904-'FACP$'!$K904</f>
        <v>26841.31</v>
      </c>
      <c r="M904" s="157" t="s">
        <v>91</v>
      </c>
      <c r="N904" s="162" t="s">
        <v>554</v>
      </c>
      <c r="O904" s="163">
        <v>43545.0</v>
      </c>
      <c r="P904" s="164">
        <f t="shared" si="13"/>
        <v>43524</v>
      </c>
      <c r="Q904" s="165">
        <f t="shared" si="2"/>
        <v>0</v>
      </c>
      <c r="R904" s="166"/>
      <c r="S904" s="167"/>
      <c r="T904" s="168">
        <f t="shared" si="3"/>
        <v>26841.31</v>
      </c>
      <c r="U904" s="168">
        <f t="shared" si="4"/>
        <v>0</v>
      </c>
      <c r="V904" s="168">
        <f t="shared" si="5"/>
        <v>0</v>
      </c>
      <c r="W904" s="168">
        <f t="shared" si="6"/>
        <v>0</v>
      </c>
      <c r="X904" s="168">
        <f t="shared" si="7"/>
        <v>0</v>
      </c>
      <c r="Y904" s="168">
        <f t="shared" si="8"/>
        <v>0</v>
      </c>
      <c r="Z904" s="168">
        <f t="shared" si="9"/>
        <v>0</v>
      </c>
    </row>
    <row r="905" ht="15.75" customHeight="1">
      <c r="A905" s="157">
        <v>1630.0</v>
      </c>
      <c r="B905" s="158" t="s">
        <v>37</v>
      </c>
      <c r="C905" s="158" t="s">
        <v>909</v>
      </c>
      <c r="D905" s="159">
        <v>43514.0</v>
      </c>
      <c r="E905" s="157" t="s">
        <v>8</v>
      </c>
      <c r="F905" s="160">
        <v>1854920.13</v>
      </c>
      <c r="G905" s="160">
        <v>296787.22</v>
      </c>
      <c r="H905" s="160">
        <f t="shared" si="40"/>
        <v>2151707.35</v>
      </c>
      <c r="I905" s="160"/>
      <c r="J905" s="161"/>
      <c r="K905" s="160"/>
      <c r="L905" s="160">
        <f>+'FACP$'!$H905-'FACP$'!$I905-'FACP$'!$K905</f>
        <v>2151707.35</v>
      </c>
      <c r="M905" s="157" t="s">
        <v>718</v>
      </c>
      <c r="N905" s="162" t="s">
        <v>554</v>
      </c>
      <c r="O905" s="163">
        <v>43544.0</v>
      </c>
      <c r="P905" s="164">
        <f t="shared" si="13"/>
        <v>43524</v>
      </c>
      <c r="Q905" s="165">
        <f t="shared" si="2"/>
        <v>0</v>
      </c>
      <c r="R905" s="166"/>
      <c r="S905" s="167" t="s">
        <v>910</v>
      </c>
      <c r="T905" s="168">
        <f t="shared" si="3"/>
        <v>2151707.35</v>
      </c>
      <c r="U905" s="168">
        <f t="shared" si="4"/>
        <v>0</v>
      </c>
      <c r="V905" s="168">
        <f t="shared" si="5"/>
        <v>0</v>
      </c>
      <c r="W905" s="168">
        <f t="shared" si="6"/>
        <v>0</v>
      </c>
      <c r="X905" s="168">
        <f t="shared" si="7"/>
        <v>0</v>
      </c>
      <c r="Y905" s="168">
        <f t="shared" si="8"/>
        <v>0</v>
      </c>
      <c r="Z905" s="168">
        <f t="shared" si="9"/>
        <v>0</v>
      </c>
    </row>
    <row r="906" ht="15.75" customHeight="1">
      <c r="A906" s="157">
        <v>1632.0</v>
      </c>
      <c r="B906" s="158" t="s">
        <v>18</v>
      </c>
      <c r="C906" s="158" t="s">
        <v>905</v>
      </c>
      <c r="D906" s="159">
        <v>43514.0</v>
      </c>
      <c r="E906" s="157" t="s">
        <v>8</v>
      </c>
      <c r="F906" s="160">
        <v>168177.8</v>
      </c>
      <c r="G906" s="160">
        <v>26908.45</v>
      </c>
      <c r="H906" s="160">
        <f t="shared" si="40"/>
        <v>195086.25</v>
      </c>
      <c r="I906" s="160"/>
      <c r="J906" s="161"/>
      <c r="K906" s="160"/>
      <c r="L906" s="160">
        <f>+'FACP$'!$H906-'FACP$'!$I906-'FACP$'!$K906</f>
        <v>195086.25</v>
      </c>
      <c r="M906" s="157" t="s">
        <v>586</v>
      </c>
      <c r="N906" s="162" t="s">
        <v>554</v>
      </c>
      <c r="O906" s="163">
        <v>43532.0</v>
      </c>
      <c r="P906" s="164">
        <f t="shared" si="13"/>
        <v>43524</v>
      </c>
      <c r="Q906" s="165">
        <f t="shared" si="2"/>
        <v>0</v>
      </c>
      <c r="R906" s="166"/>
      <c r="S906" s="167"/>
      <c r="T906" s="168">
        <f t="shared" si="3"/>
        <v>195086.25</v>
      </c>
      <c r="U906" s="168">
        <f t="shared" si="4"/>
        <v>0</v>
      </c>
      <c r="V906" s="168">
        <f t="shared" si="5"/>
        <v>0</v>
      </c>
      <c r="W906" s="168">
        <f t="shared" si="6"/>
        <v>0</v>
      </c>
      <c r="X906" s="168">
        <f t="shared" si="7"/>
        <v>0</v>
      </c>
      <c r="Y906" s="168">
        <f t="shared" si="8"/>
        <v>0</v>
      </c>
      <c r="Z906" s="168">
        <f t="shared" si="9"/>
        <v>0</v>
      </c>
    </row>
    <row r="907" ht="15.75" customHeight="1">
      <c r="A907" s="157">
        <v>1634.0</v>
      </c>
      <c r="B907" s="158" t="s">
        <v>19</v>
      </c>
      <c r="C907" s="158" t="s">
        <v>905</v>
      </c>
      <c r="D907" s="159">
        <v>43514.0</v>
      </c>
      <c r="E907" s="157" t="s">
        <v>8</v>
      </c>
      <c r="F907" s="160">
        <v>85831.2</v>
      </c>
      <c r="G907" s="160">
        <v>13732.99</v>
      </c>
      <c r="H907" s="160">
        <f t="shared" si="40"/>
        <v>99564.19</v>
      </c>
      <c r="I907" s="160"/>
      <c r="J907" s="161"/>
      <c r="K907" s="160"/>
      <c r="L907" s="160">
        <f>+'FACP$'!$H907-'FACP$'!$I907-'FACP$'!$K907</f>
        <v>99564.19</v>
      </c>
      <c r="M907" s="157" t="s">
        <v>732</v>
      </c>
      <c r="N907" s="162" t="s">
        <v>554</v>
      </c>
      <c r="O907" s="163">
        <v>43532.0</v>
      </c>
      <c r="P907" s="164">
        <f t="shared" si="13"/>
        <v>43524</v>
      </c>
      <c r="Q907" s="165">
        <f t="shared" si="2"/>
        <v>0</v>
      </c>
      <c r="R907" s="166"/>
      <c r="S907" s="167"/>
      <c r="T907" s="168">
        <f t="shared" si="3"/>
        <v>99564.19</v>
      </c>
      <c r="U907" s="168">
        <f t="shared" si="4"/>
        <v>0</v>
      </c>
      <c r="V907" s="168">
        <f t="shared" si="5"/>
        <v>0</v>
      </c>
      <c r="W907" s="168">
        <f t="shared" si="6"/>
        <v>0</v>
      </c>
      <c r="X907" s="168">
        <f t="shared" si="7"/>
        <v>0</v>
      </c>
      <c r="Y907" s="168">
        <f t="shared" si="8"/>
        <v>0</v>
      </c>
      <c r="Z907" s="168">
        <f t="shared" si="9"/>
        <v>0</v>
      </c>
    </row>
    <row r="908" ht="15.75" customHeight="1">
      <c r="A908" s="157">
        <v>1637.0</v>
      </c>
      <c r="B908" s="169" t="s">
        <v>70</v>
      </c>
      <c r="C908" s="158" t="s">
        <v>911</v>
      </c>
      <c r="D908" s="159">
        <v>43515.0</v>
      </c>
      <c r="E908" s="157" t="s">
        <v>8</v>
      </c>
      <c r="F908" s="160">
        <v>75000.0</v>
      </c>
      <c r="G908" s="160">
        <v>12000.0</v>
      </c>
      <c r="H908" s="160">
        <f t="shared" si="40"/>
        <v>87000</v>
      </c>
      <c r="I908" s="160"/>
      <c r="J908" s="161"/>
      <c r="K908" s="160"/>
      <c r="L908" s="160">
        <f>+'FACP$'!$H908-'FACP$'!$I908-'FACP$'!$K908</f>
        <v>87000</v>
      </c>
      <c r="M908" s="157" t="s">
        <v>753</v>
      </c>
      <c r="N908" s="202" t="s">
        <v>554</v>
      </c>
      <c r="O908" s="163">
        <v>43609.0</v>
      </c>
      <c r="P908" s="164">
        <f t="shared" si="13"/>
        <v>43525</v>
      </c>
      <c r="Q908" s="165">
        <f t="shared" si="2"/>
        <v>0</v>
      </c>
      <c r="R908" s="166"/>
      <c r="S908" s="167"/>
      <c r="T908" s="168">
        <f t="shared" si="3"/>
        <v>87000</v>
      </c>
      <c r="U908" s="168">
        <f t="shared" si="4"/>
        <v>0</v>
      </c>
      <c r="V908" s="168">
        <f t="shared" si="5"/>
        <v>0</v>
      </c>
      <c r="W908" s="168">
        <f t="shared" si="6"/>
        <v>0</v>
      </c>
      <c r="X908" s="168">
        <f t="shared" si="7"/>
        <v>0</v>
      </c>
      <c r="Y908" s="168">
        <f t="shared" si="8"/>
        <v>0</v>
      </c>
      <c r="Z908" s="168">
        <f t="shared" si="9"/>
        <v>0</v>
      </c>
    </row>
    <row r="909" ht="15.75" customHeight="1">
      <c r="A909" s="157">
        <v>1638.0</v>
      </c>
      <c r="B909" s="158" t="s">
        <v>41</v>
      </c>
      <c r="C909" s="158" t="s">
        <v>905</v>
      </c>
      <c r="D909" s="159">
        <v>43516.0</v>
      </c>
      <c r="E909" s="157" t="s">
        <v>8</v>
      </c>
      <c r="F909" s="160">
        <v>638376.22</v>
      </c>
      <c r="G909" s="160">
        <v>102140.2</v>
      </c>
      <c r="H909" s="160">
        <f t="shared" si="40"/>
        <v>740516.42</v>
      </c>
      <c r="I909" s="160"/>
      <c r="J909" s="161"/>
      <c r="K909" s="160"/>
      <c r="L909" s="160">
        <f>+'FACP$'!$H909-'FACP$'!$I909-'FACP$'!$K909</f>
        <v>740516.42</v>
      </c>
      <c r="M909" s="157" t="s">
        <v>121</v>
      </c>
      <c r="N909" s="162" t="s">
        <v>554</v>
      </c>
      <c r="O909" s="163">
        <v>43559.0</v>
      </c>
      <c r="P909" s="164">
        <f t="shared" si="13"/>
        <v>43526</v>
      </c>
      <c r="Q909" s="165">
        <f t="shared" si="2"/>
        <v>0</v>
      </c>
      <c r="R909" s="166"/>
      <c r="S909" s="167"/>
      <c r="T909" s="168">
        <f t="shared" si="3"/>
        <v>740516.42</v>
      </c>
      <c r="U909" s="168">
        <f t="shared" si="4"/>
        <v>0</v>
      </c>
      <c r="V909" s="168">
        <f t="shared" si="5"/>
        <v>0</v>
      </c>
      <c r="W909" s="168">
        <f t="shared" si="6"/>
        <v>0</v>
      </c>
      <c r="X909" s="168">
        <f t="shared" si="7"/>
        <v>0</v>
      </c>
      <c r="Y909" s="168">
        <f t="shared" si="8"/>
        <v>0</v>
      </c>
      <c r="Z909" s="168">
        <f t="shared" si="9"/>
        <v>0</v>
      </c>
    </row>
    <row r="910" ht="15.75" customHeight="1">
      <c r="A910" s="157">
        <v>1645.0</v>
      </c>
      <c r="B910" s="158" t="s">
        <v>29</v>
      </c>
      <c r="C910" s="158" t="s">
        <v>912</v>
      </c>
      <c r="D910" s="159">
        <v>43528.0</v>
      </c>
      <c r="E910" s="157" t="s">
        <v>8</v>
      </c>
      <c r="F910" s="160">
        <v>597042.84</v>
      </c>
      <c r="G910" s="160">
        <v>95526.85</v>
      </c>
      <c r="H910" s="160">
        <f t="shared" si="40"/>
        <v>692569.69</v>
      </c>
      <c r="I910" s="160"/>
      <c r="J910" s="161"/>
      <c r="K910" s="160"/>
      <c r="L910" s="160">
        <f>+'FACP$'!$H910-'FACP$'!$I910-'FACP$'!$K910</f>
        <v>692569.69</v>
      </c>
      <c r="M910" s="157" t="s">
        <v>825</v>
      </c>
      <c r="N910" s="202" t="s">
        <v>554</v>
      </c>
      <c r="O910" s="163">
        <v>43579.0</v>
      </c>
      <c r="P910" s="164">
        <f t="shared" si="13"/>
        <v>43538</v>
      </c>
      <c r="Q910" s="165">
        <f t="shared" si="2"/>
        <v>0</v>
      </c>
      <c r="R910" s="166"/>
      <c r="S910" s="167"/>
      <c r="T910" s="168">
        <f t="shared" si="3"/>
        <v>692569.69</v>
      </c>
      <c r="U910" s="168">
        <f t="shared" si="4"/>
        <v>0</v>
      </c>
      <c r="V910" s="168">
        <f t="shared" si="5"/>
        <v>0</v>
      </c>
      <c r="W910" s="168">
        <f t="shared" si="6"/>
        <v>0</v>
      </c>
      <c r="X910" s="168">
        <f t="shared" si="7"/>
        <v>0</v>
      </c>
      <c r="Y910" s="168">
        <f t="shared" si="8"/>
        <v>0</v>
      </c>
      <c r="Z910" s="168">
        <f t="shared" si="9"/>
        <v>0</v>
      </c>
    </row>
    <row r="911" ht="15.75" customHeight="1">
      <c r="A911" s="157">
        <v>1647.0</v>
      </c>
      <c r="B911" s="158" t="s">
        <v>837</v>
      </c>
      <c r="C911" s="158" t="s">
        <v>912</v>
      </c>
      <c r="D911" s="159">
        <v>43528.0</v>
      </c>
      <c r="E911" s="157" t="s">
        <v>8</v>
      </c>
      <c r="F911" s="160">
        <v>957866.28</v>
      </c>
      <c r="G911" s="160">
        <v>153258.6</v>
      </c>
      <c r="H911" s="160">
        <f t="shared" si="40"/>
        <v>1111124.88</v>
      </c>
      <c r="I911" s="160"/>
      <c r="J911" s="161"/>
      <c r="K911" s="160"/>
      <c r="L911" s="160">
        <f>+'FACP$'!$H911-'FACP$'!$I911-'FACP$'!$K911</f>
        <v>1111124.88</v>
      </c>
      <c r="M911" s="157" t="s">
        <v>837</v>
      </c>
      <c r="N911" s="162" t="s">
        <v>554</v>
      </c>
      <c r="O911" s="163">
        <v>43531.0</v>
      </c>
      <c r="P911" s="164">
        <f t="shared" si="13"/>
        <v>43538</v>
      </c>
      <c r="Q911" s="165">
        <f t="shared" si="2"/>
        <v>0</v>
      </c>
      <c r="R911" s="166"/>
      <c r="S911" s="167"/>
      <c r="T911" s="168">
        <f t="shared" si="3"/>
        <v>1111124.88</v>
      </c>
      <c r="U911" s="168">
        <f t="shared" si="4"/>
        <v>0</v>
      </c>
      <c r="V911" s="168">
        <f t="shared" si="5"/>
        <v>0</v>
      </c>
      <c r="W911" s="168">
        <f t="shared" si="6"/>
        <v>0</v>
      </c>
      <c r="X911" s="168">
        <f t="shared" si="7"/>
        <v>0</v>
      </c>
      <c r="Y911" s="168">
        <f t="shared" si="8"/>
        <v>0</v>
      </c>
      <c r="Z911" s="168">
        <f t="shared" si="9"/>
        <v>0</v>
      </c>
    </row>
    <row r="912" ht="15.75" customHeight="1">
      <c r="A912" s="157">
        <v>1648.0</v>
      </c>
      <c r="B912" s="158" t="s">
        <v>33</v>
      </c>
      <c r="C912" s="158" t="s">
        <v>912</v>
      </c>
      <c r="D912" s="159">
        <v>43528.0</v>
      </c>
      <c r="E912" s="157" t="s">
        <v>8</v>
      </c>
      <c r="F912" s="160">
        <v>628431.42</v>
      </c>
      <c r="G912" s="160">
        <v>100549.03</v>
      </c>
      <c r="H912" s="160">
        <f t="shared" si="40"/>
        <v>728980.45</v>
      </c>
      <c r="I912" s="160"/>
      <c r="J912" s="161"/>
      <c r="K912" s="160"/>
      <c r="L912" s="160">
        <f>+'FACP$'!$H912-'FACP$'!$I912-'FACP$'!$K912</f>
        <v>728980.45</v>
      </c>
      <c r="M912" s="157" t="s">
        <v>33</v>
      </c>
      <c r="N912" s="202" t="s">
        <v>554</v>
      </c>
      <c r="O912" s="163">
        <v>43546.0</v>
      </c>
      <c r="P912" s="164">
        <f t="shared" si="13"/>
        <v>43538</v>
      </c>
      <c r="Q912" s="165">
        <f t="shared" si="2"/>
        <v>0</v>
      </c>
      <c r="R912" s="166"/>
      <c r="S912" s="167"/>
      <c r="T912" s="168">
        <f t="shared" si="3"/>
        <v>728980.45</v>
      </c>
      <c r="U912" s="168">
        <f t="shared" si="4"/>
        <v>0</v>
      </c>
      <c r="V912" s="168">
        <f t="shared" si="5"/>
        <v>0</v>
      </c>
      <c r="W912" s="168">
        <f t="shared" si="6"/>
        <v>0</v>
      </c>
      <c r="X912" s="168">
        <f t="shared" si="7"/>
        <v>0</v>
      </c>
      <c r="Y912" s="168">
        <f t="shared" si="8"/>
        <v>0</v>
      </c>
      <c r="Z912" s="168">
        <f t="shared" si="9"/>
        <v>0</v>
      </c>
    </row>
    <row r="913" ht="15.75" customHeight="1">
      <c r="A913" s="157">
        <v>1650.0</v>
      </c>
      <c r="B913" s="158" t="s">
        <v>43</v>
      </c>
      <c r="C913" s="158" t="s">
        <v>912</v>
      </c>
      <c r="D913" s="159">
        <v>43528.0</v>
      </c>
      <c r="E913" s="157" t="s">
        <v>8</v>
      </c>
      <c r="F913" s="160">
        <v>770557.5</v>
      </c>
      <c r="G913" s="160">
        <v>123289.2</v>
      </c>
      <c r="H913" s="160">
        <f t="shared" si="40"/>
        <v>893846.7</v>
      </c>
      <c r="I913" s="160"/>
      <c r="J913" s="161"/>
      <c r="K913" s="160"/>
      <c r="L913" s="160">
        <f>+'FACP$'!$H913-'FACP$'!$I913-'FACP$'!$K913</f>
        <v>893846.7</v>
      </c>
      <c r="M913" s="157" t="s">
        <v>43</v>
      </c>
      <c r="N913" s="202" t="s">
        <v>127</v>
      </c>
      <c r="O913" s="163"/>
      <c r="P913" s="164">
        <f t="shared" si="13"/>
        <v>43538</v>
      </c>
      <c r="Q913" s="165">
        <f t="shared" si="2"/>
        <v>0</v>
      </c>
      <c r="R913" s="166" t="s">
        <v>913</v>
      </c>
      <c r="S913" s="167"/>
      <c r="T913" s="168">
        <f t="shared" si="3"/>
        <v>893846.7</v>
      </c>
      <c r="U913" s="168">
        <f t="shared" si="4"/>
        <v>0</v>
      </c>
      <c r="V913" s="168">
        <f t="shared" si="5"/>
        <v>0</v>
      </c>
      <c r="W913" s="168">
        <f t="shared" si="6"/>
        <v>0</v>
      </c>
      <c r="X913" s="168">
        <f t="shared" si="7"/>
        <v>0</v>
      </c>
      <c r="Y913" s="168">
        <f t="shared" si="8"/>
        <v>0</v>
      </c>
      <c r="Z913" s="168">
        <f t="shared" si="9"/>
        <v>0</v>
      </c>
    </row>
    <row r="914" ht="15.75" customHeight="1">
      <c r="A914" s="157">
        <v>1652.0</v>
      </c>
      <c r="B914" s="158" t="s">
        <v>838</v>
      </c>
      <c r="C914" s="158" t="s">
        <v>914</v>
      </c>
      <c r="D914" s="159">
        <v>43530.0</v>
      </c>
      <c r="E914" s="157" t="s">
        <v>8</v>
      </c>
      <c r="F914" s="160">
        <v>139842.5</v>
      </c>
      <c r="G914" s="160">
        <v>22374.8</v>
      </c>
      <c r="H914" s="160">
        <f t="shared" si="40"/>
        <v>162217.3</v>
      </c>
      <c r="I914" s="160"/>
      <c r="J914" s="161"/>
      <c r="K914" s="160"/>
      <c r="L914" s="160">
        <f>+'FACP$'!$H914-'FACP$'!$I914-'FACP$'!$K914</f>
        <v>162217.3</v>
      </c>
      <c r="M914" s="157" t="s">
        <v>586</v>
      </c>
      <c r="N914" s="202" t="s">
        <v>554</v>
      </c>
      <c r="O914" s="163">
        <v>43551.0</v>
      </c>
      <c r="P914" s="164">
        <f t="shared" si="13"/>
        <v>43540</v>
      </c>
      <c r="Q914" s="165">
        <f t="shared" si="2"/>
        <v>0</v>
      </c>
      <c r="R914" s="166"/>
      <c r="S914" s="167"/>
      <c r="T914" s="168">
        <f t="shared" si="3"/>
        <v>162217.3</v>
      </c>
      <c r="U914" s="168">
        <f t="shared" si="4"/>
        <v>0</v>
      </c>
      <c r="V914" s="168">
        <f t="shared" si="5"/>
        <v>0</v>
      </c>
      <c r="W914" s="168">
        <f t="shared" si="6"/>
        <v>0</v>
      </c>
      <c r="X914" s="168">
        <f t="shared" si="7"/>
        <v>0</v>
      </c>
      <c r="Y914" s="168">
        <f t="shared" si="8"/>
        <v>0</v>
      </c>
      <c r="Z914" s="168">
        <f t="shared" si="9"/>
        <v>0</v>
      </c>
    </row>
    <row r="915" ht="15.75" customHeight="1">
      <c r="A915" s="157">
        <v>1654.0</v>
      </c>
      <c r="B915" s="158" t="s">
        <v>19</v>
      </c>
      <c r="C915" s="158" t="s">
        <v>914</v>
      </c>
      <c r="D915" s="159">
        <v>43530.0</v>
      </c>
      <c r="E915" s="157" t="s">
        <v>8</v>
      </c>
      <c r="F915" s="160">
        <v>189727.3</v>
      </c>
      <c r="G915" s="160">
        <v>30356.37</v>
      </c>
      <c r="H915" s="160">
        <f t="shared" si="40"/>
        <v>220083.67</v>
      </c>
      <c r="I915" s="160"/>
      <c r="J915" s="161"/>
      <c r="K915" s="160"/>
      <c r="L915" s="160">
        <f>+'FACP$'!$H915-'FACP$'!$I915-'FACP$'!$K915</f>
        <v>220083.67</v>
      </c>
      <c r="M915" s="157" t="s">
        <v>732</v>
      </c>
      <c r="N915" s="202" t="s">
        <v>554</v>
      </c>
      <c r="O915" s="163">
        <v>43572.0</v>
      </c>
      <c r="P915" s="164">
        <f t="shared" si="13"/>
        <v>43540</v>
      </c>
      <c r="Q915" s="165">
        <f t="shared" si="2"/>
        <v>0</v>
      </c>
      <c r="R915" s="166"/>
      <c r="S915" s="167"/>
      <c r="T915" s="168">
        <f t="shared" si="3"/>
        <v>220083.67</v>
      </c>
      <c r="U915" s="168">
        <f t="shared" si="4"/>
        <v>0</v>
      </c>
      <c r="V915" s="168">
        <f t="shared" si="5"/>
        <v>0</v>
      </c>
      <c r="W915" s="168">
        <f t="shared" si="6"/>
        <v>0</v>
      </c>
      <c r="X915" s="168">
        <f t="shared" si="7"/>
        <v>0</v>
      </c>
      <c r="Y915" s="168">
        <f t="shared" si="8"/>
        <v>0</v>
      </c>
      <c r="Z915" s="168">
        <f t="shared" si="9"/>
        <v>0</v>
      </c>
    </row>
    <row r="916" ht="15.75" customHeight="1">
      <c r="A916" s="157">
        <v>1656.0</v>
      </c>
      <c r="B916" s="158" t="s">
        <v>37</v>
      </c>
      <c r="C916" s="158" t="s">
        <v>914</v>
      </c>
      <c r="D916" s="159">
        <v>43530.0</v>
      </c>
      <c r="E916" s="157" t="s">
        <v>8</v>
      </c>
      <c r="F916" s="160">
        <v>1863437.31</v>
      </c>
      <c r="G916" s="160">
        <v>298149.97</v>
      </c>
      <c r="H916" s="160">
        <f t="shared" si="40"/>
        <v>2161587.28</v>
      </c>
      <c r="I916" s="160"/>
      <c r="J916" s="161"/>
      <c r="K916" s="160"/>
      <c r="L916" s="160">
        <f>+'FACP$'!$H916-'FACP$'!$I916-'FACP$'!$K916</f>
        <v>2161587.28</v>
      </c>
      <c r="M916" s="157" t="s">
        <v>116</v>
      </c>
      <c r="N916" s="202" t="s">
        <v>554</v>
      </c>
      <c r="O916" s="163">
        <v>43558.0</v>
      </c>
      <c r="P916" s="164">
        <f t="shared" si="13"/>
        <v>43540</v>
      </c>
      <c r="Q916" s="165">
        <f t="shared" si="2"/>
        <v>0</v>
      </c>
      <c r="R916" s="166"/>
      <c r="S916" s="167" t="s">
        <v>910</v>
      </c>
      <c r="T916" s="168">
        <f t="shared" si="3"/>
        <v>2161587.28</v>
      </c>
      <c r="U916" s="168">
        <f t="shared" si="4"/>
        <v>0</v>
      </c>
      <c r="V916" s="168">
        <f t="shared" si="5"/>
        <v>0</v>
      </c>
      <c r="W916" s="168">
        <f t="shared" si="6"/>
        <v>0</v>
      </c>
      <c r="X916" s="168">
        <f t="shared" si="7"/>
        <v>0</v>
      </c>
      <c r="Y916" s="168">
        <f t="shared" si="8"/>
        <v>0</v>
      </c>
      <c r="Z916" s="168">
        <f t="shared" si="9"/>
        <v>0</v>
      </c>
    </row>
    <row r="917" ht="15.75" customHeight="1">
      <c r="A917" s="157">
        <v>1658.0</v>
      </c>
      <c r="B917" s="158" t="s">
        <v>41</v>
      </c>
      <c r="C917" s="158" t="s">
        <v>914</v>
      </c>
      <c r="D917" s="159">
        <v>43530.0</v>
      </c>
      <c r="E917" s="157" t="s">
        <v>8</v>
      </c>
      <c r="F917" s="160">
        <v>512512.98</v>
      </c>
      <c r="G917" s="160">
        <v>82002.08</v>
      </c>
      <c r="H917" s="160">
        <f t="shared" si="40"/>
        <v>594515.06</v>
      </c>
      <c r="I917" s="160"/>
      <c r="J917" s="161"/>
      <c r="K917" s="160"/>
      <c r="L917" s="160">
        <f>+'FACP$'!$H917-'FACP$'!$I917-'FACP$'!$K917</f>
        <v>594515.06</v>
      </c>
      <c r="M917" s="157" t="s">
        <v>121</v>
      </c>
      <c r="N917" s="202" t="s">
        <v>554</v>
      </c>
      <c r="O917" s="163">
        <v>43602.0</v>
      </c>
      <c r="P917" s="164">
        <f t="shared" si="13"/>
        <v>43540</v>
      </c>
      <c r="Q917" s="165">
        <f t="shared" si="2"/>
        <v>0</v>
      </c>
      <c r="R917" s="166" t="s">
        <v>915</v>
      </c>
      <c r="S917" s="167"/>
      <c r="T917" s="168">
        <f t="shared" si="3"/>
        <v>594515.06</v>
      </c>
      <c r="U917" s="168">
        <f t="shared" si="4"/>
        <v>0</v>
      </c>
      <c r="V917" s="168">
        <f t="shared" si="5"/>
        <v>0</v>
      </c>
      <c r="W917" s="168">
        <f t="shared" si="6"/>
        <v>0</v>
      </c>
      <c r="X917" s="168">
        <f t="shared" si="7"/>
        <v>0</v>
      </c>
      <c r="Y917" s="168">
        <f t="shared" si="8"/>
        <v>0</v>
      </c>
      <c r="Z917" s="168">
        <f t="shared" si="9"/>
        <v>0</v>
      </c>
    </row>
    <row r="918" ht="15.75" customHeight="1">
      <c r="A918" s="157">
        <v>1664.0</v>
      </c>
      <c r="B918" s="158" t="s">
        <v>82</v>
      </c>
      <c r="C918" s="158" t="s">
        <v>916</v>
      </c>
      <c r="D918" s="159">
        <v>43532.0</v>
      </c>
      <c r="E918" s="157" t="s">
        <v>8</v>
      </c>
      <c r="F918" s="160">
        <v>80000.0</v>
      </c>
      <c r="G918" s="160">
        <v>12800.0</v>
      </c>
      <c r="H918" s="160">
        <f t="shared" si="40"/>
        <v>92800</v>
      </c>
      <c r="I918" s="160"/>
      <c r="J918" s="161"/>
      <c r="K918" s="160"/>
      <c r="L918" s="160">
        <f>+'FACP$'!$H918-'FACP$'!$I918-'FACP$'!$K918</f>
        <v>92800</v>
      </c>
      <c r="M918" s="157" t="s">
        <v>714</v>
      </c>
      <c r="N918" s="162" t="s">
        <v>554</v>
      </c>
      <c r="O918" s="163">
        <v>43536.0</v>
      </c>
      <c r="P918" s="164">
        <f t="shared" si="13"/>
        <v>43542</v>
      </c>
      <c r="Q918" s="165">
        <f t="shared" si="2"/>
        <v>0</v>
      </c>
      <c r="R918" s="166"/>
      <c r="S918" s="167"/>
      <c r="T918" s="168">
        <f t="shared" si="3"/>
        <v>92800</v>
      </c>
      <c r="U918" s="168">
        <f t="shared" si="4"/>
        <v>0</v>
      </c>
      <c r="V918" s="168">
        <f t="shared" si="5"/>
        <v>0</v>
      </c>
      <c r="W918" s="168">
        <f t="shared" si="6"/>
        <v>0</v>
      </c>
      <c r="X918" s="168">
        <f t="shared" si="7"/>
        <v>0</v>
      </c>
      <c r="Y918" s="168">
        <f t="shared" si="8"/>
        <v>0</v>
      </c>
      <c r="Z918" s="168">
        <f t="shared" si="9"/>
        <v>0</v>
      </c>
    </row>
    <row r="919" ht="15.75" customHeight="1">
      <c r="A919" s="157">
        <v>1665.0</v>
      </c>
      <c r="B919" s="158" t="s">
        <v>82</v>
      </c>
      <c r="C919" s="158" t="s">
        <v>917</v>
      </c>
      <c r="D919" s="159">
        <v>43532.0</v>
      </c>
      <c r="E919" s="157" t="s">
        <v>8</v>
      </c>
      <c r="F919" s="160">
        <v>314086.42</v>
      </c>
      <c r="G919" s="160">
        <v>50253.83</v>
      </c>
      <c r="H919" s="160">
        <f t="shared" si="40"/>
        <v>364340.25</v>
      </c>
      <c r="I919" s="160"/>
      <c r="J919" s="161"/>
      <c r="K919" s="160"/>
      <c r="L919" s="160">
        <f>+'FACP$'!$H919-'FACP$'!$I919-'FACP$'!$K919</f>
        <v>364340.25</v>
      </c>
      <c r="M919" s="157" t="s">
        <v>714</v>
      </c>
      <c r="N919" s="162" t="s">
        <v>554</v>
      </c>
      <c r="O919" s="163">
        <v>43536.0</v>
      </c>
      <c r="P919" s="164">
        <f t="shared" si="13"/>
        <v>43542</v>
      </c>
      <c r="Q919" s="165">
        <f t="shared" si="2"/>
        <v>0</v>
      </c>
      <c r="R919" s="166"/>
      <c r="S919" s="167"/>
      <c r="T919" s="168">
        <f t="shared" si="3"/>
        <v>364340.25</v>
      </c>
      <c r="U919" s="168">
        <f t="shared" si="4"/>
        <v>0</v>
      </c>
      <c r="V919" s="168">
        <f t="shared" si="5"/>
        <v>0</v>
      </c>
      <c r="W919" s="168">
        <f t="shared" si="6"/>
        <v>0</v>
      </c>
      <c r="X919" s="168">
        <f t="shared" si="7"/>
        <v>0</v>
      </c>
      <c r="Y919" s="168">
        <f t="shared" si="8"/>
        <v>0</v>
      </c>
      <c r="Z919" s="168">
        <f t="shared" si="9"/>
        <v>0</v>
      </c>
    </row>
    <row r="920" ht="15.75" customHeight="1">
      <c r="A920" s="157">
        <v>1666.0</v>
      </c>
      <c r="B920" s="158" t="s">
        <v>82</v>
      </c>
      <c r="C920" s="158" t="s">
        <v>918</v>
      </c>
      <c r="D920" s="159">
        <v>43532.0</v>
      </c>
      <c r="E920" s="157" t="s">
        <v>8</v>
      </c>
      <c r="F920" s="160">
        <v>29536.42</v>
      </c>
      <c r="G920" s="160">
        <v>4725.83</v>
      </c>
      <c r="H920" s="160">
        <f t="shared" si="40"/>
        <v>34262.25</v>
      </c>
      <c r="I920" s="160"/>
      <c r="J920" s="161"/>
      <c r="K920" s="160"/>
      <c r="L920" s="160">
        <f>+'FACP$'!$H920-'FACP$'!$I920-'FACP$'!$K920</f>
        <v>34262.25</v>
      </c>
      <c r="M920" s="157" t="s">
        <v>714</v>
      </c>
      <c r="N920" s="162" t="s">
        <v>554</v>
      </c>
      <c r="O920" s="163">
        <v>43536.0</v>
      </c>
      <c r="P920" s="164">
        <f t="shared" si="13"/>
        <v>43542</v>
      </c>
      <c r="Q920" s="165">
        <f t="shared" si="2"/>
        <v>0</v>
      </c>
      <c r="R920" s="166"/>
      <c r="S920" s="167"/>
      <c r="T920" s="168">
        <f t="shared" si="3"/>
        <v>34262.25</v>
      </c>
      <c r="U920" s="168">
        <f t="shared" si="4"/>
        <v>0</v>
      </c>
      <c r="V920" s="168">
        <f t="shared" si="5"/>
        <v>0</v>
      </c>
      <c r="W920" s="168">
        <f t="shared" si="6"/>
        <v>0</v>
      </c>
      <c r="X920" s="168">
        <f t="shared" si="7"/>
        <v>0</v>
      </c>
      <c r="Y920" s="168">
        <f t="shared" si="8"/>
        <v>0</v>
      </c>
      <c r="Z920" s="168">
        <f t="shared" si="9"/>
        <v>0</v>
      </c>
    </row>
    <row r="921" ht="15.75" customHeight="1">
      <c r="A921" s="157">
        <v>1667.0</v>
      </c>
      <c r="B921" s="158" t="s">
        <v>82</v>
      </c>
      <c r="C921" s="158" t="s">
        <v>919</v>
      </c>
      <c r="D921" s="159">
        <v>43537.0</v>
      </c>
      <c r="E921" s="157" t="s">
        <v>8</v>
      </c>
      <c r="F921" s="160">
        <v>16813.0</v>
      </c>
      <c r="G921" s="160">
        <v>2690.08</v>
      </c>
      <c r="H921" s="160">
        <f t="shared" si="40"/>
        <v>19503.08</v>
      </c>
      <c r="I921" s="160"/>
      <c r="J921" s="161"/>
      <c r="K921" s="160"/>
      <c r="L921" s="160">
        <f>+'FACP$'!$H921-'FACP$'!$I921-'FACP$'!$K921</f>
        <v>19503.08</v>
      </c>
      <c r="M921" s="157" t="s">
        <v>714</v>
      </c>
      <c r="N921" s="202" t="s">
        <v>554</v>
      </c>
      <c r="O921" s="163">
        <v>43564.0</v>
      </c>
      <c r="P921" s="164">
        <f t="shared" si="13"/>
        <v>43547</v>
      </c>
      <c r="Q921" s="165">
        <f t="shared" si="2"/>
        <v>0</v>
      </c>
      <c r="R921" s="166"/>
      <c r="S921" s="167"/>
      <c r="T921" s="168">
        <f t="shared" si="3"/>
        <v>19503.08</v>
      </c>
      <c r="U921" s="168">
        <f t="shared" si="4"/>
        <v>0</v>
      </c>
      <c r="V921" s="168">
        <f t="shared" si="5"/>
        <v>0</v>
      </c>
      <c r="W921" s="168">
        <f t="shared" si="6"/>
        <v>0</v>
      </c>
      <c r="X921" s="168">
        <f t="shared" si="7"/>
        <v>0</v>
      </c>
      <c r="Y921" s="168">
        <f t="shared" si="8"/>
        <v>0</v>
      </c>
      <c r="Z921" s="168">
        <f t="shared" si="9"/>
        <v>0</v>
      </c>
    </row>
    <row r="922" ht="15.75" customHeight="1">
      <c r="A922" s="157">
        <v>1668.0</v>
      </c>
      <c r="B922" s="158" t="s">
        <v>29</v>
      </c>
      <c r="C922" s="158" t="s">
        <v>920</v>
      </c>
      <c r="D922" s="159">
        <v>43538.0</v>
      </c>
      <c r="E922" s="157" t="s">
        <v>731</v>
      </c>
      <c r="F922" s="160">
        <v>272454.76</v>
      </c>
      <c r="G922" s="160">
        <v>43592.76</v>
      </c>
      <c r="H922" s="160">
        <f t="shared" si="40"/>
        <v>316047.52</v>
      </c>
      <c r="I922" s="160"/>
      <c r="J922" s="161"/>
      <c r="K922" s="160"/>
      <c r="L922" s="160">
        <f>+'FACP$'!$H922-'FACP$'!$I922-'FACP$'!$K922</f>
        <v>316047.52</v>
      </c>
      <c r="M922" s="157" t="s">
        <v>921</v>
      </c>
      <c r="N922" s="202" t="s">
        <v>554</v>
      </c>
      <c r="O922" s="163">
        <v>43599.0</v>
      </c>
      <c r="P922" s="164">
        <f t="shared" si="13"/>
        <v>43548</v>
      </c>
      <c r="Q922" s="165">
        <f t="shared" si="2"/>
        <v>0</v>
      </c>
      <c r="R922" s="166"/>
      <c r="S922" s="167"/>
      <c r="T922" s="168">
        <f t="shared" si="3"/>
        <v>316047.52</v>
      </c>
      <c r="U922" s="168">
        <f t="shared" si="4"/>
        <v>0</v>
      </c>
      <c r="V922" s="168">
        <f t="shared" si="5"/>
        <v>0</v>
      </c>
      <c r="W922" s="168">
        <f t="shared" si="6"/>
        <v>0</v>
      </c>
      <c r="X922" s="168">
        <f t="shared" si="7"/>
        <v>0</v>
      </c>
      <c r="Y922" s="168">
        <f t="shared" si="8"/>
        <v>0</v>
      </c>
      <c r="Z922" s="168">
        <f t="shared" si="9"/>
        <v>0</v>
      </c>
    </row>
    <row r="923" ht="15.75" customHeight="1">
      <c r="A923" s="157">
        <v>1669.0</v>
      </c>
      <c r="B923" s="158" t="s">
        <v>29</v>
      </c>
      <c r="C923" s="158" t="s">
        <v>920</v>
      </c>
      <c r="D923" s="159">
        <v>43538.0</v>
      </c>
      <c r="E923" s="157" t="s">
        <v>731</v>
      </c>
      <c r="F923" s="160">
        <v>25668.55</v>
      </c>
      <c r="G923" s="160">
        <v>4106.97</v>
      </c>
      <c r="H923" s="160">
        <f t="shared" si="40"/>
        <v>29775.52</v>
      </c>
      <c r="I923" s="160"/>
      <c r="J923" s="161"/>
      <c r="K923" s="160"/>
      <c r="L923" s="160">
        <f>+'FACP$'!$H923-'FACP$'!$I923-'FACP$'!$K923</f>
        <v>29775.52</v>
      </c>
      <c r="M923" s="157" t="s">
        <v>922</v>
      </c>
      <c r="N923" s="202" t="s">
        <v>554</v>
      </c>
      <c r="O923" s="163">
        <v>43599.0</v>
      </c>
      <c r="P923" s="164">
        <f t="shared" si="13"/>
        <v>43548</v>
      </c>
      <c r="Q923" s="165">
        <f t="shared" si="2"/>
        <v>0</v>
      </c>
      <c r="R923" s="166"/>
      <c r="S923" s="167"/>
      <c r="T923" s="168">
        <f t="shared" si="3"/>
        <v>29775.52</v>
      </c>
      <c r="U923" s="168">
        <f t="shared" si="4"/>
        <v>0</v>
      </c>
      <c r="V923" s="168">
        <f t="shared" si="5"/>
        <v>0</v>
      </c>
      <c r="W923" s="168">
        <f t="shared" si="6"/>
        <v>0</v>
      </c>
      <c r="X923" s="168">
        <f t="shared" si="7"/>
        <v>0</v>
      </c>
      <c r="Y923" s="168">
        <f t="shared" si="8"/>
        <v>0</v>
      </c>
      <c r="Z923" s="168">
        <f t="shared" si="9"/>
        <v>0</v>
      </c>
    </row>
    <row r="924" ht="15.75" customHeight="1">
      <c r="A924" s="157">
        <v>1670.0</v>
      </c>
      <c r="B924" s="169" t="s">
        <v>29</v>
      </c>
      <c r="C924" s="158" t="s">
        <v>923</v>
      </c>
      <c r="D924" s="159">
        <v>43544.0</v>
      </c>
      <c r="E924" s="157" t="s">
        <v>731</v>
      </c>
      <c r="F924" s="160">
        <v>340621.98</v>
      </c>
      <c r="G924" s="160">
        <v>54499.52</v>
      </c>
      <c r="H924" s="160">
        <f t="shared" si="40"/>
        <v>395121.5</v>
      </c>
      <c r="I924" s="160"/>
      <c r="J924" s="161"/>
      <c r="K924" s="160"/>
      <c r="L924" s="160">
        <f>+'FACP$'!$H924-'FACP$'!$I924-'FACP$'!$K924</f>
        <v>395121.5</v>
      </c>
      <c r="M924" s="157" t="s">
        <v>825</v>
      </c>
      <c r="N924" s="162" t="s">
        <v>554</v>
      </c>
      <c r="O924" s="175">
        <v>43579.0</v>
      </c>
      <c r="P924" s="164">
        <f t="shared" si="13"/>
        <v>43554</v>
      </c>
      <c r="Q924" s="165">
        <f t="shared" si="2"/>
        <v>0</v>
      </c>
      <c r="R924" s="166" t="s">
        <v>924</v>
      </c>
      <c r="S924" s="167"/>
      <c r="T924" s="168">
        <f t="shared" si="3"/>
        <v>395121.5</v>
      </c>
      <c r="U924" s="168">
        <f t="shared" si="4"/>
        <v>0</v>
      </c>
      <c r="V924" s="168">
        <f t="shared" si="5"/>
        <v>0</v>
      </c>
      <c r="W924" s="168">
        <f t="shared" si="6"/>
        <v>0</v>
      </c>
      <c r="X924" s="168">
        <f t="shared" si="7"/>
        <v>0</v>
      </c>
      <c r="Y924" s="168">
        <f t="shared" si="8"/>
        <v>0</v>
      </c>
      <c r="Z924" s="168">
        <f t="shared" si="9"/>
        <v>0</v>
      </c>
    </row>
    <row r="925" ht="15.75" customHeight="1">
      <c r="A925" s="157">
        <v>1672.0</v>
      </c>
      <c r="B925" s="158" t="s">
        <v>33</v>
      </c>
      <c r="C925" s="158" t="s">
        <v>923</v>
      </c>
      <c r="D925" s="159">
        <v>43544.0</v>
      </c>
      <c r="E925" s="157" t="s">
        <v>731</v>
      </c>
      <c r="F925" s="160">
        <v>554441.31</v>
      </c>
      <c r="G925" s="160">
        <v>88710.61</v>
      </c>
      <c r="H925" s="160">
        <f t="shared" si="40"/>
        <v>643151.92</v>
      </c>
      <c r="I925" s="160"/>
      <c r="J925" s="161"/>
      <c r="K925" s="160"/>
      <c r="L925" s="160">
        <f>+'FACP$'!$H925-'FACP$'!$I925-'FACP$'!$K925</f>
        <v>643151.92</v>
      </c>
      <c r="M925" s="157" t="s">
        <v>33</v>
      </c>
      <c r="N925" s="162" t="s">
        <v>554</v>
      </c>
      <c r="O925" s="175">
        <v>43563.0</v>
      </c>
      <c r="P925" s="164">
        <f t="shared" si="13"/>
        <v>43554</v>
      </c>
      <c r="Q925" s="165">
        <f t="shared" si="2"/>
        <v>0</v>
      </c>
      <c r="R925" s="166"/>
      <c r="S925" s="167"/>
      <c r="T925" s="168">
        <f t="shared" si="3"/>
        <v>643151.92</v>
      </c>
      <c r="U925" s="168">
        <f t="shared" si="4"/>
        <v>0</v>
      </c>
      <c r="V925" s="168">
        <f t="shared" si="5"/>
        <v>0</v>
      </c>
      <c r="W925" s="168">
        <f t="shared" si="6"/>
        <v>0</v>
      </c>
      <c r="X925" s="168">
        <f t="shared" si="7"/>
        <v>0</v>
      </c>
      <c r="Y925" s="168">
        <f t="shared" si="8"/>
        <v>0</v>
      </c>
      <c r="Z925" s="168">
        <f t="shared" si="9"/>
        <v>0</v>
      </c>
    </row>
    <row r="926" ht="15.75" customHeight="1">
      <c r="A926" s="157">
        <v>1674.0</v>
      </c>
      <c r="B926" s="158" t="s">
        <v>837</v>
      </c>
      <c r="C926" s="158" t="s">
        <v>923</v>
      </c>
      <c r="D926" s="159">
        <v>43544.0</v>
      </c>
      <c r="E926" s="157" t="s">
        <v>731</v>
      </c>
      <c r="F926" s="160">
        <v>744210.37</v>
      </c>
      <c r="G926" s="160">
        <v>119073.66</v>
      </c>
      <c r="H926" s="160">
        <f t="shared" si="40"/>
        <v>863284.03</v>
      </c>
      <c r="I926" s="160"/>
      <c r="J926" s="161"/>
      <c r="K926" s="160"/>
      <c r="L926" s="160">
        <f>+'FACP$'!$H926-'FACP$'!$I926-'FACP$'!$K926</f>
        <v>863284.03</v>
      </c>
      <c r="M926" s="157" t="s">
        <v>837</v>
      </c>
      <c r="N926" s="162" t="s">
        <v>554</v>
      </c>
      <c r="O926" s="175">
        <v>43545.0</v>
      </c>
      <c r="P926" s="164">
        <f t="shared" si="13"/>
        <v>43554</v>
      </c>
      <c r="Q926" s="165">
        <f t="shared" si="2"/>
        <v>0</v>
      </c>
      <c r="R926" s="166"/>
      <c r="S926" s="167"/>
      <c r="T926" s="168">
        <f t="shared" si="3"/>
        <v>863284.03</v>
      </c>
      <c r="U926" s="168">
        <f t="shared" si="4"/>
        <v>0</v>
      </c>
      <c r="V926" s="168">
        <f t="shared" si="5"/>
        <v>0</v>
      </c>
      <c r="W926" s="168">
        <f t="shared" si="6"/>
        <v>0</v>
      </c>
      <c r="X926" s="168">
        <f t="shared" si="7"/>
        <v>0</v>
      </c>
      <c r="Y926" s="168">
        <f t="shared" si="8"/>
        <v>0</v>
      </c>
      <c r="Z926" s="168">
        <f t="shared" si="9"/>
        <v>0</v>
      </c>
    </row>
    <row r="927" ht="15.75" customHeight="1">
      <c r="A927" s="157">
        <v>1676.0</v>
      </c>
      <c r="B927" s="169" t="s">
        <v>41</v>
      </c>
      <c r="C927" s="158" t="s">
        <v>923</v>
      </c>
      <c r="D927" s="159">
        <v>43544.0</v>
      </c>
      <c r="E927" s="157" t="s">
        <v>731</v>
      </c>
      <c r="F927" s="160">
        <v>507078.0</v>
      </c>
      <c r="G927" s="160">
        <v>81132.48</v>
      </c>
      <c r="H927" s="160">
        <f t="shared" si="40"/>
        <v>588210.48</v>
      </c>
      <c r="I927" s="160"/>
      <c r="J927" s="161"/>
      <c r="K927" s="160"/>
      <c r="L927" s="160">
        <f>+'FACP$'!$H927-'FACP$'!$I927-'FACP$'!$K927</f>
        <v>588210.48</v>
      </c>
      <c r="M927" s="157" t="s">
        <v>121</v>
      </c>
      <c r="N927" s="162" t="s">
        <v>554</v>
      </c>
      <c r="O927" s="175">
        <v>43620.0</v>
      </c>
      <c r="P927" s="164">
        <f t="shared" si="13"/>
        <v>43554</v>
      </c>
      <c r="Q927" s="165">
        <f t="shared" si="2"/>
        <v>0</v>
      </c>
      <c r="R927" s="166"/>
      <c r="S927" s="167"/>
      <c r="T927" s="168">
        <f t="shared" si="3"/>
        <v>588210.48</v>
      </c>
      <c r="U927" s="168">
        <f t="shared" si="4"/>
        <v>0</v>
      </c>
      <c r="V927" s="168">
        <f t="shared" si="5"/>
        <v>0</v>
      </c>
      <c r="W927" s="168">
        <f t="shared" si="6"/>
        <v>0</v>
      </c>
      <c r="X927" s="168">
        <f t="shared" si="7"/>
        <v>0</v>
      </c>
      <c r="Y927" s="168">
        <f t="shared" si="8"/>
        <v>0</v>
      </c>
      <c r="Z927" s="168">
        <f t="shared" si="9"/>
        <v>0</v>
      </c>
    </row>
    <row r="928" ht="15.75" customHeight="1">
      <c r="A928" s="157">
        <v>1678.0</v>
      </c>
      <c r="B928" s="169" t="s">
        <v>24</v>
      </c>
      <c r="C928" s="158" t="s">
        <v>923</v>
      </c>
      <c r="D928" s="159">
        <v>43544.0</v>
      </c>
      <c r="E928" s="157" t="s">
        <v>731</v>
      </c>
      <c r="F928" s="160">
        <v>24753.18</v>
      </c>
      <c r="G928" s="160">
        <v>3960.51</v>
      </c>
      <c r="H928" s="160">
        <f t="shared" si="40"/>
        <v>28713.69</v>
      </c>
      <c r="I928" s="160"/>
      <c r="J928" s="161"/>
      <c r="K928" s="160"/>
      <c r="L928" s="160">
        <f>+'FACP$'!$H928-'FACP$'!$I928-'FACP$'!$K928</f>
        <v>28713.69</v>
      </c>
      <c r="M928" s="157" t="s">
        <v>925</v>
      </c>
      <c r="N928" s="162" t="s">
        <v>554</v>
      </c>
      <c r="O928" s="175">
        <v>43608.0</v>
      </c>
      <c r="P928" s="164">
        <f t="shared" si="13"/>
        <v>43554</v>
      </c>
      <c r="Q928" s="165">
        <f t="shared" si="2"/>
        <v>0</v>
      </c>
      <c r="R928" s="166"/>
      <c r="S928" s="167"/>
      <c r="T928" s="168">
        <f t="shared" si="3"/>
        <v>28713.69</v>
      </c>
      <c r="U928" s="168">
        <f t="shared" si="4"/>
        <v>0</v>
      </c>
      <c r="V928" s="168">
        <f t="shared" si="5"/>
        <v>0</v>
      </c>
      <c r="W928" s="168">
        <f t="shared" si="6"/>
        <v>0</v>
      </c>
      <c r="X928" s="168">
        <f t="shared" si="7"/>
        <v>0</v>
      </c>
      <c r="Y928" s="168">
        <f t="shared" si="8"/>
        <v>0</v>
      </c>
      <c r="Z928" s="168">
        <f t="shared" si="9"/>
        <v>0</v>
      </c>
    </row>
    <row r="929" ht="15.75" customHeight="1">
      <c r="A929" s="157">
        <v>1680.0</v>
      </c>
      <c r="B929" s="158" t="s">
        <v>43</v>
      </c>
      <c r="C929" s="158" t="s">
        <v>923</v>
      </c>
      <c r="D929" s="159">
        <v>43544.0</v>
      </c>
      <c r="E929" s="157" t="s">
        <v>731</v>
      </c>
      <c r="F929" s="160">
        <v>499923.12</v>
      </c>
      <c r="G929" s="160">
        <v>79987.7</v>
      </c>
      <c r="H929" s="160">
        <f t="shared" si="40"/>
        <v>579910.82</v>
      </c>
      <c r="I929" s="160"/>
      <c r="J929" s="161"/>
      <c r="K929" s="160"/>
      <c r="L929" s="160">
        <f>+'FACP$'!$H929-'FACP$'!$I929-'FACP$'!$K929</f>
        <v>579910.82</v>
      </c>
      <c r="M929" s="157" t="s">
        <v>43</v>
      </c>
      <c r="N929" s="162" t="s">
        <v>127</v>
      </c>
      <c r="O929" s="175"/>
      <c r="P929" s="164">
        <f t="shared" si="13"/>
        <v>43554</v>
      </c>
      <c r="Q929" s="165">
        <f t="shared" si="2"/>
        <v>0</v>
      </c>
      <c r="R929" s="166" t="s">
        <v>926</v>
      </c>
      <c r="S929" s="167"/>
      <c r="T929" s="168">
        <f t="shared" si="3"/>
        <v>579910.82</v>
      </c>
      <c r="U929" s="168">
        <f t="shared" si="4"/>
        <v>0</v>
      </c>
      <c r="V929" s="168">
        <f t="shared" si="5"/>
        <v>0</v>
      </c>
      <c r="W929" s="168">
        <f t="shared" si="6"/>
        <v>0</v>
      </c>
      <c r="X929" s="168">
        <f t="shared" si="7"/>
        <v>0</v>
      </c>
      <c r="Y929" s="168">
        <f t="shared" si="8"/>
        <v>0</v>
      </c>
      <c r="Z929" s="168">
        <f t="shared" si="9"/>
        <v>0</v>
      </c>
    </row>
    <row r="930" ht="15.75" customHeight="1">
      <c r="A930" s="157">
        <v>1682.0</v>
      </c>
      <c r="B930" s="158" t="s">
        <v>37</v>
      </c>
      <c r="C930" s="158" t="s">
        <v>923</v>
      </c>
      <c r="D930" s="159">
        <v>43544.0</v>
      </c>
      <c r="E930" s="157" t="s">
        <v>731</v>
      </c>
      <c r="F930" s="160">
        <v>1565819.1</v>
      </c>
      <c r="G930" s="160">
        <v>250531.06</v>
      </c>
      <c r="H930" s="160">
        <f t="shared" si="40"/>
        <v>1816350.16</v>
      </c>
      <c r="I930" s="160"/>
      <c r="J930" s="161"/>
      <c r="K930" s="160"/>
      <c r="L930" s="160">
        <f>+'FACP$'!$H930-'FACP$'!$I930-'FACP$'!$K930</f>
        <v>1816350.16</v>
      </c>
      <c r="M930" s="157" t="s">
        <v>116</v>
      </c>
      <c r="N930" s="202" t="s">
        <v>554</v>
      </c>
      <c r="O930" s="163">
        <v>43558.0</v>
      </c>
      <c r="P930" s="164">
        <f t="shared" si="13"/>
        <v>43554</v>
      </c>
      <c r="Q930" s="165">
        <f t="shared" si="2"/>
        <v>0</v>
      </c>
      <c r="R930" s="166"/>
      <c r="S930" s="167" t="s">
        <v>910</v>
      </c>
      <c r="T930" s="168">
        <f t="shared" si="3"/>
        <v>1816350.16</v>
      </c>
      <c r="U930" s="168">
        <f t="shared" si="4"/>
        <v>0</v>
      </c>
      <c r="V930" s="168">
        <f t="shared" si="5"/>
        <v>0</v>
      </c>
      <c r="W930" s="168">
        <f t="shared" si="6"/>
        <v>0</v>
      </c>
      <c r="X930" s="168">
        <f t="shared" si="7"/>
        <v>0</v>
      </c>
      <c r="Y930" s="168">
        <f t="shared" si="8"/>
        <v>0</v>
      </c>
      <c r="Z930" s="168">
        <f t="shared" si="9"/>
        <v>0</v>
      </c>
    </row>
    <row r="931" ht="15.75" customHeight="1">
      <c r="A931" s="157">
        <v>1684.0</v>
      </c>
      <c r="B931" s="158" t="s">
        <v>18</v>
      </c>
      <c r="C931" s="158" t="s">
        <v>923</v>
      </c>
      <c r="D931" s="159">
        <v>43544.0</v>
      </c>
      <c r="E931" s="157" t="s">
        <v>731</v>
      </c>
      <c r="F931" s="160">
        <v>92753.46</v>
      </c>
      <c r="G931" s="160">
        <v>14840.55</v>
      </c>
      <c r="H931" s="160">
        <f t="shared" si="40"/>
        <v>107594.01</v>
      </c>
      <c r="I931" s="160"/>
      <c r="J931" s="161"/>
      <c r="K931" s="160"/>
      <c r="L931" s="160">
        <f>+'FACP$'!$H931-'FACP$'!$I931-'FACP$'!$K931</f>
        <v>107594.01</v>
      </c>
      <c r="M931" s="157" t="s">
        <v>586</v>
      </c>
      <c r="N931" s="202" t="s">
        <v>554</v>
      </c>
      <c r="O931" s="163">
        <v>43585.0</v>
      </c>
      <c r="P931" s="164">
        <f t="shared" si="13"/>
        <v>43554</v>
      </c>
      <c r="Q931" s="165">
        <f t="shared" si="2"/>
        <v>0</v>
      </c>
      <c r="R931" s="166"/>
      <c r="S931" s="167"/>
      <c r="T931" s="168">
        <f t="shared" si="3"/>
        <v>107594.01</v>
      </c>
      <c r="U931" s="168">
        <f t="shared" si="4"/>
        <v>0</v>
      </c>
      <c r="V931" s="168">
        <f t="shared" si="5"/>
        <v>0</v>
      </c>
      <c r="W931" s="168">
        <f t="shared" si="6"/>
        <v>0</v>
      </c>
      <c r="X931" s="168">
        <f t="shared" si="7"/>
        <v>0</v>
      </c>
      <c r="Y931" s="168">
        <f t="shared" si="8"/>
        <v>0</v>
      </c>
      <c r="Z931" s="168">
        <f t="shared" si="9"/>
        <v>0</v>
      </c>
    </row>
    <row r="932" ht="15.75" customHeight="1">
      <c r="A932" s="157">
        <v>1686.0</v>
      </c>
      <c r="B932" s="158" t="s">
        <v>19</v>
      </c>
      <c r="C932" s="158" t="s">
        <v>923</v>
      </c>
      <c r="D932" s="159">
        <v>43544.0</v>
      </c>
      <c r="E932" s="157" t="s">
        <v>731</v>
      </c>
      <c r="F932" s="160">
        <v>194274.66</v>
      </c>
      <c r="G932" s="160">
        <v>31083.95</v>
      </c>
      <c r="H932" s="160">
        <f t="shared" si="40"/>
        <v>225358.61</v>
      </c>
      <c r="I932" s="160"/>
      <c r="J932" s="161"/>
      <c r="K932" s="160"/>
      <c r="L932" s="160">
        <f>+'FACP$'!$H932-'FACP$'!$I932-'FACP$'!$K932</f>
        <v>225358.61</v>
      </c>
      <c r="M932" s="157" t="s">
        <v>732</v>
      </c>
      <c r="N932" s="162" t="s">
        <v>554</v>
      </c>
      <c r="O932" s="164">
        <v>43585.0</v>
      </c>
      <c r="P932" s="164">
        <f t="shared" si="13"/>
        <v>43554</v>
      </c>
      <c r="Q932" s="165">
        <f t="shared" si="2"/>
        <v>0</v>
      </c>
      <c r="R932" s="166"/>
      <c r="S932" s="167"/>
      <c r="T932" s="168">
        <f t="shared" si="3"/>
        <v>225358.61</v>
      </c>
      <c r="U932" s="168">
        <f t="shared" si="4"/>
        <v>0</v>
      </c>
      <c r="V932" s="168">
        <f t="shared" si="5"/>
        <v>0</v>
      </c>
      <c r="W932" s="168">
        <f t="shared" si="6"/>
        <v>0</v>
      </c>
      <c r="X932" s="168">
        <f t="shared" si="7"/>
        <v>0</v>
      </c>
      <c r="Y932" s="168">
        <f t="shared" si="8"/>
        <v>0</v>
      </c>
      <c r="Z932" s="168">
        <f t="shared" si="9"/>
        <v>0</v>
      </c>
    </row>
    <row r="933" ht="15.75" customHeight="1">
      <c r="A933" s="157">
        <v>1688.0</v>
      </c>
      <c r="B933" s="158" t="s">
        <v>927</v>
      </c>
      <c r="C933" s="158" t="s">
        <v>928</v>
      </c>
      <c r="D933" s="159">
        <v>43544.0</v>
      </c>
      <c r="E933" s="157" t="s">
        <v>731</v>
      </c>
      <c r="F933" s="160">
        <v>34482.76</v>
      </c>
      <c r="G933" s="160">
        <v>5517.24</v>
      </c>
      <c r="H933" s="160">
        <f t="shared" si="40"/>
        <v>40000</v>
      </c>
      <c r="I933" s="160"/>
      <c r="J933" s="161"/>
      <c r="K933" s="160"/>
      <c r="L933" s="160">
        <f>+'FACP$'!$H933-'FACP$'!$I933-'FACP$'!$K933</f>
        <v>40000</v>
      </c>
      <c r="M933" s="162" t="s">
        <v>929</v>
      </c>
      <c r="N933" s="162" t="s">
        <v>554</v>
      </c>
      <c r="O933" s="175">
        <v>43558.0</v>
      </c>
      <c r="P933" s="164">
        <f t="shared" si="13"/>
        <v>43554</v>
      </c>
      <c r="Q933" s="165">
        <f t="shared" si="2"/>
        <v>0</v>
      </c>
      <c r="R933" s="167"/>
      <c r="S933" s="167"/>
      <c r="T933" s="168">
        <f t="shared" si="3"/>
        <v>40000</v>
      </c>
      <c r="U933" s="168">
        <f t="shared" si="4"/>
        <v>0</v>
      </c>
      <c r="V933" s="168">
        <f t="shared" si="5"/>
        <v>0</v>
      </c>
      <c r="W933" s="168">
        <f t="shared" si="6"/>
        <v>0</v>
      </c>
      <c r="X933" s="168">
        <f t="shared" si="7"/>
        <v>0</v>
      </c>
      <c r="Y933" s="168">
        <f t="shared" si="8"/>
        <v>0</v>
      </c>
      <c r="Z933" s="168">
        <f t="shared" si="9"/>
        <v>0</v>
      </c>
    </row>
    <row r="934" ht="15.75" customHeight="1">
      <c r="A934" s="157">
        <v>1691.0</v>
      </c>
      <c r="B934" s="158" t="s">
        <v>43</v>
      </c>
      <c r="C934" s="158" t="s">
        <v>930</v>
      </c>
      <c r="D934" s="159">
        <v>43556.0</v>
      </c>
      <c r="E934" s="157" t="s">
        <v>731</v>
      </c>
      <c r="F934" s="160">
        <v>499923.12</v>
      </c>
      <c r="G934" s="160">
        <v>79987.7</v>
      </c>
      <c r="H934" s="160">
        <f t="shared" si="40"/>
        <v>579910.82</v>
      </c>
      <c r="I934" s="160"/>
      <c r="J934" s="161"/>
      <c r="K934" s="160"/>
      <c r="L934" s="160">
        <f>+'FACP$'!$H934-'FACP$'!$I934-'FACP$'!$K934</f>
        <v>579910.82</v>
      </c>
      <c r="M934" s="162" t="s">
        <v>43</v>
      </c>
      <c r="N934" s="162" t="s">
        <v>127</v>
      </c>
      <c r="O934" s="175">
        <v>43556.0</v>
      </c>
      <c r="P934" s="164">
        <f t="shared" si="13"/>
        <v>43566</v>
      </c>
      <c r="Q934" s="165">
        <f t="shared" si="2"/>
        <v>0</v>
      </c>
      <c r="R934" s="167"/>
      <c r="S934" s="167"/>
      <c r="T934" s="168">
        <f t="shared" si="3"/>
        <v>579910.82</v>
      </c>
      <c r="U934" s="168">
        <f t="shared" si="4"/>
        <v>0</v>
      </c>
      <c r="V934" s="168">
        <f t="shared" si="5"/>
        <v>0</v>
      </c>
      <c r="W934" s="168">
        <f t="shared" si="6"/>
        <v>0</v>
      </c>
      <c r="X934" s="168">
        <f t="shared" si="7"/>
        <v>0</v>
      </c>
      <c r="Y934" s="168">
        <f t="shared" si="8"/>
        <v>0</v>
      </c>
      <c r="Z934" s="168">
        <f t="shared" si="9"/>
        <v>0</v>
      </c>
    </row>
    <row r="935" ht="15.75" customHeight="1">
      <c r="A935" s="157">
        <v>1693.0</v>
      </c>
      <c r="B935" s="158" t="s">
        <v>43</v>
      </c>
      <c r="C935" s="158" t="s">
        <v>930</v>
      </c>
      <c r="D935" s="159">
        <v>43556.0</v>
      </c>
      <c r="E935" s="157" t="s">
        <v>731</v>
      </c>
      <c r="F935" s="160">
        <v>562717.23</v>
      </c>
      <c r="G935" s="160">
        <v>90034.76</v>
      </c>
      <c r="H935" s="160">
        <f t="shared" si="40"/>
        <v>652751.99</v>
      </c>
      <c r="I935" s="160"/>
      <c r="J935" s="161"/>
      <c r="K935" s="160"/>
      <c r="L935" s="160">
        <f>+'FACP$'!$H935-'FACP$'!$I935-'FACP$'!$K935</f>
        <v>652751.99</v>
      </c>
      <c r="M935" s="162" t="s">
        <v>43</v>
      </c>
      <c r="N935" s="162" t="s">
        <v>554</v>
      </c>
      <c r="O935" s="175">
        <v>43585.0</v>
      </c>
      <c r="P935" s="164">
        <f t="shared" si="13"/>
        <v>43566</v>
      </c>
      <c r="Q935" s="165">
        <f t="shared" si="2"/>
        <v>0</v>
      </c>
      <c r="R935" s="167"/>
      <c r="S935" s="167"/>
      <c r="T935" s="168">
        <f t="shared" si="3"/>
        <v>652751.99</v>
      </c>
      <c r="U935" s="168">
        <f t="shared" si="4"/>
        <v>0</v>
      </c>
      <c r="V935" s="168">
        <f t="shared" si="5"/>
        <v>0</v>
      </c>
      <c r="W935" s="168">
        <f t="shared" si="6"/>
        <v>0</v>
      </c>
      <c r="X935" s="168">
        <f t="shared" si="7"/>
        <v>0</v>
      </c>
      <c r="Y935" s="168">
        <f t="shared" si="8"/>
        <v>0</v>
      </c>
      <c r="Z935" s="168">
        <f t="shared" si="9"/>
        <v>0</v>
      </c>
    </row>
    <row r="936" ht="15.75" customHeight="1">
      <c r="A936" s="157">
        <v>1700.0</v>
      </c>
      <c r="B936" s="158" t="s">
        <v>29</v>
      </c>
      <c r="C936" s="158" t="s">
        <v>930</v>
      </c>
      <c r="D936" s="159">
        <v>43558.0</v>
      </c>
      <c r="E936" s="157" t="s">
        <v>731</v>
      </c>
      <c r="F936" s="160">
        <v>666995.86</v>
      </c>
      <c r="G936" s="160">
        <v>106719.34</v>
      </c>
      <c r="H936" s="160">
        <f t="shared" si="40"/>
        <v>773715.2</v>
      </c>
      <c r="I936" s="160"/>
      <c r="J936" s="161"/>
      <c r="K936" s="160"/>
      <c r="L936" s="160">
        <f>+'FACP$'!$H936-'FACP$'!$I936-'FACP$'!$K936</f>
        <v>773715.2</v>
      </c>
      <c r="M936" s="162" t="s">
        <v>825</v>
      </c>
      <c r="N936" s="162" t="s">
        <v>554</v>
      </c>
      <c r="O936" s="175">
        <v>43578.0</v>
      </c>
      <c r="P936" s="164">
        <f t="shared" si="13"/>
        <v>43568</v>
      </c>
      <c r="Q936" s="165">
        <f t="shared" si="2"/>
        <v>0</v>
      </c>
      <c r="R936" s="167"/>
      <c r="S936" s="167"/>
      <c r="T936" s="168">
        <f t="shared" si="3"/>
        <v>773715.2</v>
      </c>
      <c r="U936" s="168">
        <f t="shared" si="4"/>
        <v>0</v>
      </c>
      <c r="V936" s="168">
        <f t="shared" si="5"/>
        <v>0</v>
      </c>
      <c r="W936" s="168">
        <f t="shared" si="6"/>
        <v>0</v>
      </c>
      <c r="X936" s="168">
        <f t="shared" si="7"/>
        <v>0</v>
      </c>
      <c r="Y936" s="168">
        <f t="shared" si="8"/>
        <v>0</v>
      </c>
      <c r="Z936" s="168">
        <f t="shared" si="9"/>
        <v>0</v>
      </c>
    </row>
    <row r="937" ht="15.75" customHeight="1">
      <c r="A937" s="157">
        <v>1702.0</v>
      </c>
      <c r="B937" s="158" t="s">
        <v>33</v>
      </c>
      <c r="C937" s="158" t="s">
        <v>930</v>
      </c>
      <c r="D937" s="159">
        <v>43558.0</v>
      </c>
      <c r="E937" s="157" t="s">
        <v>731</v>
      </c>
      <c r="F937" s="160">
        <v>731564.52</v>
      </c>
      <c r="G937" s="160">
        <v>117050.32</v>
      </c>
      <c r="H937" s="160">
        <f t="shared" si="40"/>
        <v>848614.84</v>
      </c>
      <c r="I937" s="160"/>
      <c r="J937" s="161"/>
      <c r="K937" s="160"/>
      <c r="L937" s="160">
        <f>+'FACP$'!$H937-'FACP$'!$I937-'FACP$'!$K937</f>
        <v>848614.84</v>
      </c>
      <c r="M937" s="157" t="s">
        <v>33</v>
      </c>
      <c r="N937" s="162" t="s">
        <v>554</v>
      </c>
      <c r="O937" s="175">
        <v>43619.0</v>
      </c>
      <c r="P937" s="164">
        <f t="shared" si="13"/>
        <v>43568</v>
      </c>
      <c r="Q937" s="165">
        <f t="shared" si="2"/>
        <v>0</v>
      </c>
      <c r="R937" s="167"/>
      <c r="S937" s="167" t="s">
        <v>910</v>
      </c>
      <c r="T937" s="168">
        <f t="shared" si="3"/>
        <v>848614.84</v>
      </c>
      <c r="U937" s="168">
        <f t="shared" si="4"/>
        <v>0</v>
      </c>
      <c r="V937" s="168">
        <f t="shared" si="5"/>
        <v>0</v>
      </c>
      <c r="W937" s="168">
        <f t="shared" si="6"/>
        <v>0</v>
      </c>
      <c r="X937" s="168">
        <f t="shared" si="7"/>
        <v>0</v>
      </c>
      <c r="Y937" s="168">
        <f t="shared" si="8"/>
        <v>0</v>
      </c>
      <c r="Z937" s="168">
        <f t="shared" si="9"/>
        <v>0</v>
      </c>
    </row>
    <row r="938" ht="15.75" customHeight="1">
      <c r="A938" s="157">
        <v>1704.0</v>
      </c>
      <c r="B938" s="158" t="s">
        <v>24</v>
      </c>
      <c r="C938" s="158" t="s">
        <v>930</v>
      </c>
      <c r="D938" s="159">
        <v>43558.0</v>
      </c>
      <c r="E938" s="157" t="s">
        <v>731</v>
      </c>
      <c r="F938" s="160">
        <v>73272.45</v>
      </c>
      <c r="G938" s="160">
        <v>11723.59</v>
      </c>
      <c r="H938" s="160">
        <f t="shared" si="40"/>
        <v>84996.04</v>
      </c>
      <c r="I938" s="160"/>
      <c r="J938" s="161"/>
      <c r="K938" s="160"/>
      <c r="L938" s="160">
        <f>+'FACP$'!$H938-'FACP$'!$I938-'FACP$'!$K938</f>
        <v>84996.04</v>
      </c>
      <c r="M938" s="162" t="s">
        <v>91</v>
      </c>
      <c r="N938" s="162" t="s">
        <v>554</v>
      </c>
      <c r="O938" s="175">
        <v>43608.0</v>
      </c>
      <c r="P938" s="164">
        <f t="shared" si="13"/>
        <v>43568</v>
      </c>
      <c r="Q938" s="165">
        <f t="shared" si="2"/>
        <v>0</v>
      </c>
      <c r="R938" s="167"/>
      <c r="S938" s="167"/>
      <c r="T938" s="168">
        <f t="shared" si="3"/>
        <v>84996.04</v>
      </c>
      <c r="U938" s="168">
        <f t="shared" si="4"/>
        <v>0</v>
      </c>
      <c r="V938" s="168">
        <f t="shared" si="5"/>
        <v>0</v>
      </c>
      <c r="W938" s="168">
        <f t="shared" si="6"/>
        <v>0</v>
      </c>
      <c r="X938" s="168">
        <f t="shared" si="7"/>
        <v>0</v>
      </c>
      <c r="Y938" s="168">
        <f t="shared" si="8"/>
        <v>0</v>
      </c>
      <c r="Z938" s="168">
        <f t="shared" si="9"/>
        <v>0</v>
      </c>
    </row>
    <row r="939" ht="15.75" customHeight="1">
      <c r="A939" s="157">
        <v>1706.0</v>
      </c>
      <c r="B939" s="158" t="s">
        <v>837</v>
      </c>
      <c r="C939" s="158" t="s">
        <v>930</v>
      </c>
      <c r="D939" s="159">
        <v>43558.0</v>
      </c>
      <c r="E939" s="157" t="s">
        <v>731</v>
      </c>
      <c r="F939" s="160">
        <v>1261748.78</v>
      </c>
      <c r="G939" s="160">
        <v>201879.8</v>
      </c>
      <c r="H939" s="160">
        <f t="shared" si="40"/>
        <v>1463628.58</v>
      </c>
      <c r="I939" s="160"/>
      <c r="J939" s="161"/>
      <c r="K939" s="160"/>
      <c r="L939" s="160">
        <f>+'FACP$'!$H939-'FACP$'!$I939-'FACP$'!$K939</f>
        <v>1463628.58</v>
      </c>
      <c r="M939" s="162" t="s">
        <v>837</v>
      </c>
      <c r="N939" s="162" t="s">
        <v>554</v>
      </c>
      <c r="O939" s="175">
        <v>43559.0</v>
      </c>
      <c r="P939" s="164">
        <f t="shared" si="13"/>
        <v>43568</v>
      </c>
      <c r="Q939" s="165">
        <f t="shared" si="2"/>
        <v>0</v>
      </c>
      <c r="R939" s="167"/>
      <c r="S939" s="167"/>
      <c r="T939" s="168">
        <f t="shared" si="3"/>
        <v>1463628.58</v>
      </c>
      <c r="U939" s="168">
        <f t="shared" si="4"/>
        <v>0</v>
      </c>
      <c r="V939" s="168">
        <f t="shared" si="5"/>
        <v>0</v>
      </c>
      <c r="W939" s="168">
        <f t="shared" si="6"/>
        <v>0</v>
      </c>
      <c r="X939" s="168">
        <f t="shared" si="7"/>
        <v>0</v>
      </c>
      <c r="Y939" s="168">
        <f t="shared" si="8"/>
        <v>0</v>
      </c>
      <c r="Z939" s="168">
        <f t="shared" si="9"/>
        <v>0</v>
      </c>
    </row>
    <row r="940" ht="15.75" customHeight="1">
      <c r="A940" s="157">
        <v>1707.0</v>
      </c>
      <c r="B940" s="158" t="s">
        <v>29</v>
      </c>
      <c r="C940" s="158" t="s">
        <v>931</v>
      </c>
      <c r="D940" s="159">
        <v>43558.0</v>
      </c>
      <c r="E940" s="157" t="s">
        <v>731</v>
      </c>
      <c r="F940" s="160">
        <v>18751.48</v>
      </c>
      <c r="G940" s="160">
        <v>3000.24</v>
      </c>
      <c r="H940" s="160">
        <f t="shared" si="40"/>
        <v>21751.72</v>
      </c>
      <c r="I940" s="160"/>
      <c r="J940" s="161"/>
      <c r="K940" s="160"/>
      <c r="L940" s="160">
        <f>+'FACP$'!$H940-'FACP$'!$I940-'FACP$'!$K940</f>
        <v>21751.72</v>
      </c>
      <c r="M940" s="162" t="s">
        <v>825</v>
      </c>
      <c r="N940" s="162" t="s">
        <v>554</v>
      </c>
      <c r="O940" s="175">
        <v>43579.0</v>
      </c>
      <c r="P940" s="164">
        <f t="shared" si="13"/>
        <v>43568</v>
      </c>
      <c r="Q940" s="165">
        <f t="shared" si="2"/>
        <v>0</v>
      </c>
      <c r="R940" s="167"/>
      <c r="S940" s="167"/>
      <c r="T940" s="168">
        <f t="shared" si="3"/>
        <v>21751.72</v>
      </c>
      <c r="U940" s="168">
        <f t="shared" si="4"/>
        <v>0</v>
      </c>
      <c r="V940" s="168">
        <f t="shared" si="5"/>
        <v>0</v>
      </c>
      <c r="W940" s="168">
        <f t="shared" si="6"/>
        <v>0</v>
      </c>
      <c r="X940" s="168">
        <f t="shared" si="7"/>
        <v>0</v>
      </c>
      <c r="Y940" s="168">
        <f t="shared" si="8"/>
        <v>0</v>
      </c>
      <c r="Z940" s="168">
        <f t="shared" si="9"/>
        <v>0</v>
      </c>
    </row>
    <row r="941" ht="15.75" customHeight="1">
      <c r="A941" s="157">
        <v>1708.0</v>
      </c>
      <c r="B941" s="158" t="s">
        <v>41</v>
      </c>
      <c r="C941" s="158" t="s">
        <v>930</v>
      </c>
      <c r="D941" s="159">
        <v>43558.0</v>
      </c>
      <c r="E941" s="157" t="s">
        <v>731</v>
      </c>
      <c r="F941" s="160">
        <v>681455.84</v>
      </c>
      <c r="G941" s="160">
        <v>109032.93</v>
      </c>
      <c r="H941" s="160">
        <f t="shared" si="40"/>
        <v>790488.77</v>
      </c>
      <c r="I941" s="160"/>
      <c r="J941" s="161"/>
      <c r="K941" s="160"/>
      <c r="L941" s="160">
        <f>+'FACP$'!$H941-'FACP$'!$I941-'FACP$'!$K941</f>
        <v>790488.77</v>
      </c>
      <c r="M941" s="162" t="s">
        <v>121</v>
      </c>
      <c r="N941" s="162" t="s">
        <v>554</v>
      </c>
      <c r="O941" s="175">
        <v>43634.0</v>
      </c>
      <c r="P941" s="164">
        <f t="shared" si="13"/>
        <v>43568</v>
      </c>
      <c r="Q941" s="165">
        <f t="shared" si="2"/>
        <v>0</v>
      </c>
      <c r="R941" s="167"/>
      <c r="S941" s="167"/>
      <c r="T941" s="168">
        <f t="shared" si="3"/>
        <v>790488.77</v>
      </c>
      <c r="U941" s="168">
        <f t="shared" si="4"/>
        <v>0</v>
      </c>
      <c r="V941" s="168">
        <f t="shared" si="5"/>
        <v>0</v>
      </c>
      <c r="W941" s="168">
        <f t="shared" si="6"/>
        <v>0</v>
      </c>
      <c r="X941" s="168">
        <f t="shared" si="7"/>
        <v>0</v>
      </c>
      <c r="Y941" s="168">
        <f t="shared" si="8"/>
        <v>0</v>
      </c>
      <c r="Z941" s="168">
        <f t="shared" si="9"/>
        <v>0</v>
      </c>
    </row>
    <row r="942" ht="15.75" customHeight="1">
      <c r="A942" s="157">
        <v>1710.0</v>
      </c>
      <c r="B942" s="158" t="s">
        <v>18</v>
      </c>
      <c r="C942" s="158" t="s">
        <v>930</v>
      </c>
      <c r="D942" s="159">
        <v>43559.0</v>
      </c>
      <c r="E942" s="157" t="s">
        <v>731</v>
      </c>
      <c r="F942" s="160">
        <v>148282.48</v>
      </c>
      <c r="G942" s="160">
        <v>23725.2</v>
      </c>
      <c r="H942" s="160">
        <f t="shared" si="40"/>
        <v>172007.68</v>
      </c>
      <c r="I942" s="160"/>
      <c r="J942" s="161"/>
      <c r="K942" s="160"/>
      <c r="L942" s="160">
        <f>+'FACP$'!$H942-'FACP$'!$I942-'FACP$'!$K942</f>
        <v>172007.68</v>
      </c>
      <c r="M942" s="157" t="s">
        <v>586</v>
      </c>
      <c r="N942" s="162" t="s">
        <v>554</v>
      </c>
      <c r="O942" s="175">
        <v>43607.0</v>
      </c>
      <c r="P942" s="164">
        <f t="shared" si="13"/>
        <v>43569</v>
      </c>
      <c r="Q942" s="165">
        <f t="shared" si="2"/>
        <v>0</v>
      </c>
      <c r="R942" s="167"/>
      <c r="S942" s="220" t="s">
        <v>910</v>
      </c>
      <c r="T942" s="168">
        <f t="shared" si="3"/>
        <v>172007.68</v>
      </c>
      <c r="U942" s="168">
        <f t="shared" si="4"/>
        <v>0</v>
      </c>
      <c r="V942" s="168">
        <f t="shared" si="5"/>
        <v>0</v>
      </c>
      <c r="W942" s="168">
        <f t="shared" si="6"/>
        <v>0</v>
      </c>
      <c r="X942" s="168">
        <f t="shared" si="7"/>
        <v>0</v>
      </c>
      <c r="Y942" s="168">
        <f t="shared" si="8"/>
        <v>0</v>
      </c>
      <c r="Z942" s="168">
        <f t="shared" si="9"/>
        <v>0</v>
      </c>
    </row>
    <row r="943" ht="15.75" customHeight="1">
      <c r="A943" s="157">
        <v>1712.0</v>
      </c>
      <c r="B943" s="158" t="s">
        <v>19</v>
      </c>
      <c r="C943" s="158" t="s">
        <v>930</v>
      </c>
      <c r="D943" s="159">
        <v>43559.0</v>
      </c>
      <c r="E943" s="157" t="s">
        <v>731</v>
      </c>
      <c r="F943" s="160">
        <v>133131.21</v>
      </c>
      <c r="G943" s="160">
        <v>21300.99</v>
      </c>
      <c r="H943" s="160">
        <f t="shared" si="40"/>
        <v>154432.2</v>
      </c>
      <c r="I943" s="160"/>
      <c r="J943" s="161"/>
      <c r="K943" s="160"/>
      <c r="L943" s="160">
        <f>+'FACP$'!$H943-'FACP$'!$I943-'FACP$'!$K943</f>
        <v>154432.2</v>
      </c>
      <c r="M943" s="157" t="s">
        <v>732</v>
      </c>
      <c r="N943" s="162" t="s">
        <v>554</v>
      </c>
      <c r="O943" s="175">
        <v>43607.0</v>
      </c>
      <c r="P943" s="164">
        <f t="shared" si="13"/>
        <v>43569</v>
      </c>
      <c r="Q943" s="165">
        <f t="shared" si="2"/>
        <v>0</v>
      </c>
      <c r="R943" s="167"/>
      <c r="S943" s="220" t="s">
        <v>910</v>
      </c>
      <c r="T943" s="168">
        <f t="shared" si="3"/>
        <v>154432.2</v>
      </c>
      <c r="U943" s="168">
        <f t="shared" si="4"/>
        <v>0</v>
      </c>
      <c r="V943" s="168">
        <f t="shared" si="5"/>
        <v>0</v>
      </c>
      <c r="W943" s="168">
        <f t="shared" si="6"/>
        <v>0</v>
      </c>
      <c r="X943" s="168">
        <f t="shared" si="7"/>
        <v>0</v>
      </c>
      <c r="Y943" s="168">
        <f t="shared" si="8"/>
        <v>0</v>
      </c>
      <c r="Z943" s="168">
        <f t="shared" si="9"/>
        <v>0</v>
      </c>
    </row>
    <row r="944" ht="15.75" customHeight="1">
      <c r="A944" s="157">
        <v>1714.0</v>
      </c>
      <c r="B944" s="158" t="s">
        <v>37</v>
      </c>
      <c r="C944" s="158" t="s">
        <v>930</v>
      </c>
      <c r="D944" s="159">
        <v>43559.0</v>
      </c>
      <c r="E944" s="157" t="s">
        <v>731</v>
      </c>
      <c r="F944" s="160">
        <v>1210796.1</v>
      </c>
      <c r="G944" s="160">
        <v>193727.38</v>
      </c>
      <c r="H944" s="160">
        <f t="shared" si="40"/>
        <v>1404523.48</v>
      </c>
      <c r="I944" s="160"/>
      <c r="J944" s="161"/>
      <c r="K944" s="160"/>
      <c r="L944" s="160">
        <f>+'FACP$'!$H944-'FACP$'!$I944-'FACP$'!$K944</f>
        <v>1404523.48</v>
      </c>
      <c r="M944" s="162" t="s">
        <v>116</v>
      </c>
      <c r="N944" s="162" t="s">
        <v>554</v>
      </c>
      <c r="O944" s="175">
        <v>43571.0</v>
      </c>
      <c r="P944" s="164">
        <f t="shared" si="13"/>
        <v>43569</v>
      </c>
      <c r="Q944" s="165">
        <f t="shared" si="2"/>
        <v>0</v>
      </c>
      <c r="R944" s="167"/>
      <c r="S944" s="220" t="s">
        <v>910</v>
      </c>
      <c r="T944" s="168">
        <f t="shared" si="3"/>
        <v>1404523.48</v>
      </c>
      <c r="U944" s="168">
        <f t="shared" si="4"/>
        <v>0</v>
      </c>
      <c r="V944" s="168">
        <f t="shared" si="5"/>
        <v>0</v>
      </c>
      <c r="W944" s="168">
        <f t="shared" si="6"/>
        <v>0</v>
      </c>
      <c r="X944" s="168">
        <f t="shared" si="7"/>
        <v>0</v>
      </c>
      <c r="Y944" s="168">
        <f t="shared" si="8"/>
        <v>0</v>
      </c>
      <c r="Z944" s="168">
        <f t="shared" si="9"/>
        <v>0</v>
      </c>
    </row>
    <row r="945" ht="15.75" customHeight="1">
      <c r="A945" s="157">
        <v>1716.0</v>
      </c>
      <c r="B945" s="158" t="s">
        <v>837</v>
      </c>
      <c r="C945" s="158" t="s">
        <v>932</v>
      </c>
      <c r="D945" s="159">
        <v>43559.0</v>
      </c>
      <c r="E945" s="157" t="s">
        <v>731</v>
      </c>
      <c r="F945" s="160">
        <v>52016.94</v>
      </c>
      <c r="G945" s="160">
        <v>8322.71</v>
      </c>
      <c r="H945" s="160">
        <f t="shared" si="40"/>
        <v>60339.65</v>
      </c>
      <c r="I945" s="160"/>
      <c r="J945" s="161"/>
      <c r="K945" s="160"/>
      <c r="L945" s="160">
        <f>+'FACP$'!$H945-'FACP$'!$I945-'FACP$'!$K945</f>
        <v>60339.65</v>
      </c>
      <c r="M945" s="162" t="s">
        <v>837</v>
      </c>
      <c r="N945" s="162" t="s">
        <v>554</v>
      </c>
      <c r="O945" s="175">
        <v>43572.0</v>
      </c>
      <c r="P945" s="164">
        <f t="shared" si="13"/>
        <v>43569</v>
      </c>
      <c r="Q945" s="165">
        <f t="shared" si="2"/>
        <v>0</v>
      </c>
      <c r="R945" s="167"/>
      <c r="S945" s="167"/>
      <c r="T945" s="168">
        <f t="shared" si="3"/>
        <v>60339.65</v>
      </c>
      <c r="U945" s="168">
        <f t="shared" si="4"/>
        <v>0</v>
      </c>
      <c r="V945" s="168">
        <f t="shared" si="5"/>
        <v>0</v>
      </c>
      <c r="W945" s="168">
        <f t="shared" si="6"/>
        <v>0</v>
      </c>
      <c r="X945" s="168">
        <f t="shared" si="7"/>
        <v>0</v>
      </c>
      <c r="Y945" s="168">
        <f t="shared" si="8"/>
        <v>0</v>
      </c>
      <c r="Z945" s="168">
        <f t="shared" si="9"/>
        <v>0</v>
      </c>
    </row>
    <row r="946" ht="15.75" customHeight="1">
      <c r="A946" s="157">
        <v>1721.0</v>
      </c>
      <c r="B946" s="158" t="s">
        <v>82</v>
      </c>
      <c r="C946" s="158" t="s">
        <v>933</v>
      </c>
      <c r="D946" s="159">
        <v>43560.0</v>
      </c>
      <c r="E946" s="157" t="s">
        <v>731</v>
      </c>
      <c r="F946" s="160">
        <v>80000.0</v>
      </c>
      <c r="G946" s="160">
        <v>12800.0</v>
      </c>
      <c r="H946" s="160">
        <f t="shared" si="40"/>
        <v>92800</v>
      </c>
      <c r="I946" s="160"/>
      <c r="J946" s="161"/>
      <c r="K946" s="160"/>
      <c r="L946" s="160">
        <f>+'FACP$'!$H946-'FACP$'!$I946-'FACP$'!$K946</f>
        <v>92800</v>
      </c>
      <c r="M946" s="162" t="s">
        <v>714</v>
      </c>
      <c r="N946" s="162" t="s">
        <v>554</v>
      </c>
      <c r="O946" s="175">
        <v>43564.0</v>
      </c>
      <c r="P946" s="164">
        <f t="shared" si="13"/>
        <v>43570</v>
      </c>
      <c r="Q946" s="165">
        <f t="shared" si="2"/>
        <v>0</v>
      </c>
      <c r="R946" s="167"/>
      <c r="S946" s="167"/>
      <c r="T946" s="168">
        <f t="shared" si="3"/>
        <v>92800</v>
      </c>
      <c r="U946" s="168">
        <f t="shared" si="4"/>
        <v>0</v>
      </c>
      <c r="V946" s="168">
        <f t="shared" si="5"/>
        <v>0</v>
      </c>
      <c r="W946" s="168">
        <f t="shared" si="6"/>
        <v>0</v>
      </c>
      <c r="X946" s="168">
        <f t="shared" si="7"/>
        <v>0</v>
      </c>
      <c r="Y946" s="168">
        <f t="shared" si="8"/>
        <v>0</v>
      </c>
      <c r="Z946" s="168">
        <f t="shared" si="9"/>
        <v>0</v>
      </c>
    </row>
    <row r="947" ht="15.75" customHeight="1">
      <c r="A947" s="157">
        <v>1722.0</v>
      </c>
      <c r="B947" s="158" t="s">
        <v>29</v>
      </c>
      <c r="C947" s="158" t="s">
        <v>934</v>
      </c>
      <c r="D947" s="159">
        <v>43563.0</v>
      </c>
      <c r="E947" s="157" t="s">
        <v>731</v>
      </c>
      <c r="F947" s="160">
        <v>173398.89</v>
      </c>
      <c r="G947" s="160">
        <v>27743.82</v>
      </c>
      <c r="H947" s="160">
        <f t="shared" si="40"/>
        <v>201142.71</v>
      </c>
      <c r="I947" s="160"/>
      <c r="J947" s="161"/>
      <c r="K947" s="160"/>
      <c r="L947" s="160">
        <f>+'FACP$'!$H947-'FACP$'!$I947-'FACP$'!$K947</f>
        <v>201142.71</v>
      </c>
      <c r="M947" s="162" t="s">
        <v>712</v>
      </c>
      <c r="N947" s="162" t="s">
        <v>127</v>
      </c>
      <c r="O947" s="175"/>
      <c r="P947" s="164">
        <f t="shared" si="13"/>
        <v>43573</v>
      </c>
      <c r="Q947" s="165">
        <f t="shared" si="2"/>
        <v>0</v>
      </c>
      <c r="R947" s="167"/>
      <c r="S947" s="167"/>
      <c r="T947" s="168">
        <f t="shared" si="3"/>
        <v>201142.71</v>
      </c>
      <c r="U947" s="168">
        <f t="shared" si="4"/>
        <v>0</v>
      </c>
      <c r="V947" s="168">
        <f t="shared" si="5"/>
        <v>0</v>
      </c>
      <c r="W947" s="168">
        <f t="shared" si="6"/>
        <v>0</v>
      </c>
      <c r="X947" s="168">
        <f t="shared" si="7"/>
        <v>0</v>
      </c>
      <c r="Y947" s="168">
        <f t="shared" si="8"/>
        <v>0</v>
      </c>
      <c r="Z947" s="168">
        <f t="shared" si="9"/>
        <v>0</v>
      </c>
    </row>
    <row r="948" ht="15.75" customHeight="1">
      <c r="A948" s="157">
        <v>1723.0</v>
      </c>
      <c r="B948" s="158" t="s">
        <v>29</v>
      </c>
      <c r="C948" s="158" t="s">
        <v>935</v>
      </c>
      <c r="D948" s="159">
        <v>43563.0</v>
      </c>
      <c r="E948" s="157" t="s">
        <v>731</v>
      </c>
      <c r="F948" s="160">
        <v>138534.93</v>
      </c>
      <c r="G948" s="160">
        <v>22165.59</v>
      </c>
      <c r="H948" s="160">
        <f t="shared" si="40"/>
        <v>160700.52</v>
      </c>
      <c r="I948" s="160"/>
      <c r="J948" s="161"/>
      <c r="K948" s="160"/>
      <c r="L948" s="160">
        <f>+'FACP$'!$H948-'FACP$'!$I948-'FACP$'!$K948</f>
        <v>160700.52</v>
      </c>
      <c r="M948" s="162" t="s">
        <v>850</v>
      </c>
      <c r="N948" s="162" t="s">
        <v>127</v>
      </c>
      <c r="O948" s="175"/>
      <c r="P948" s="164">
        <f t="shared" si="13"/>
        <v>43573</v>
      </c>
      <c r="Q948" s="165">
        <f t="shared" si="2"/>
        <v>0</v>
      </c>
      <c r="R948" s="167"/>
      <c r="S948" s="167"/>
      <c r="T948" s="168">
        <f t="shared" si="3"/>
        <v>160700.52</v>
      </c>
      <c r="U948" s="168">
        <f t="shared" si="4"/>
        <v>0</v>
      </c>
      <c r="V948" s="168">
        <f t="shared" si="5"/>
        <v>0</v>
      </c>
      <c r="W948" s="168">
        <f t="shared" si="6"/>
        <v>0</v>
      </c>
      <c r="X948" s="168">
        <f t="shared" si="7"/>
        <v>0</v>
      </c>
      <c r="Y948" s="168">
        <f t="shared" si="8"/>
        <v>0</v>
      </c>
      <c r="Z948" s="168">
        <f t="shared" si="9"/>
        <v>0</v>
      </c>
    </row>
    <row r="949" ht="15.75" customHeight="1">
      <c r="A949" s="157">
        <v>1724.0</v>
      </c>
      <c r="B949" s="158" t="s">
        <v>43</v>
      </c>
      <c r="C949" s="221" t="s">
        <v>936</v>
      </c>
      <c r="D949" s="159">
        <v>43565.0</v>
      </c>
      <c r="E949" s="157" t="s">
        <v>731</v>
      </c>
      <c r="F949" s="160">
        <v>2727592.6</v>
      </c>
      <c r="G949" s="160">
        <v>436414.82</v>
      </c>
      <c r="H949" s="160">
        <v>3164007.42</v>
      </c>
      <c r="I949" s="160"/>
      <c r="J949" s="161"/>
      <c r="K949" s="160"/>
      <c r="L949" s="160">
        <f>+'FACP$'!$H949-'FACP$'!$I949-'FACP$'!$K949</f>
        <v>3164007.42</v>
      </c>
      <c r="M949" s="162" t="s">
        <v>103</v>
      </c>
      <c r="N949" s="162" t="s">
        <v>127</v>
      </c>
      <c r="O949" s="175">
        <v>43496.0</v>
      </c>
      <c r="P949" s="164">
        <f t="shared" si="13"/>
        <v>43575</v>
      </c>
      <c r="Q949" s="165">
        <f t="shared" si="2"/>
        <v>0</v>
      </c>
      <c r="R949" s="167"/>
      <c r="S949" s="167"/>
      <c r="T949" s="168">
        <f t="shared" si="3"/>
        <v>3164007.42</v>
      </c>
      <c r="U949" s="168">
        <f t="shared" si="4"/>
        <v>0</v>
      </c>
      <c r="V949" s="168">
        <f t="shared" si="5"/>
        <v>0</v>
      </c>
      <c r="W949" s="168">
        <f t="shared" si="6"/>
        <v>0</v>
      </c>
      <c r="X949" s="168">
        <f t="shared" si="7"/>
        <v>0</v>
      </c>
      <c r="Y949" s="168">
        <f t="shared" si="8"/>
        <v>0</v>
      </c>
      <c r="Z949" s="168">
        <f t="shared" si="9"/>
        <v>0</v>
      </c>
    </row>
    <row r="950" ht="15.75" customHeight="1">
      <c r="A950" s="157">
        <v>1726.0</v>
      </c>
      <c r="B950" s="158" t="s">
        <v>43</v>
      </c>
      <c r="C950" s="158" t="s">
        <v>937</v>
      </c>
      <c r="D950" s="159">
        <v>43565.0</v>
      </c>
      <c r="E950" s="157" t="s">
        <v>731</v>
      </c>
      <c r="F950" s="160">
        <v>1481065.2</v>
      </c>
      <c r="G950" s="160">
        <v>236970.43</v>
      </c>
      <c r="H950" s="160">
        <v>1718035.63</v>
      </c>
      <c r="I950" s="160"/>
      <c r="J950" s="161"/>
      <c r="K950" s="160"/>
      <c r="L950" s="160">
        <f>+'FACP$'!$H950-'FACP$'!$I950-'FACP$'!$K950</f>
        <v>1718035.63</v>
      </c>
      <c r="M950" s="162" t="s">
        <v>43</v>
      </c>
      <c r="N950" s="162" t="s">
        <v>127</v>
      </c>
      <c r="O950" s="175">
        <v>43524.0</v>
      </c>
      <c r="P950" s="164">
        <f t="shared" si="13"/>
        <v>43575</v>
      </c>
      <c r="Q950" s="165">
        <f t="shared" si="2"/>
        <v>0</v>
      </c>
      <c r="R950" s="167"/>
      <c r="S950" s="167"/>
      <c r="T950" s="168">
        <f t="shared" si="3"/>
        <v>1718035.63</v>
      </c>
      <c r="U950" s="168">
        <f t="shared" si="4"/>
        <v>0</v>
      </c>
      <c r="V950" s="168">
        <f t="shared" si="5"/>
        <v>0</v>
      </c>
      <c r="W950" s="168">
        <f t="shared" si="6"/>
        <v>0</v>
      </c>
      <c r="X950" s="168">
        <f t="shared" si="7"/>
        <v>0</v>
      </c>
      <c r="Y950" s="168">
        <f t="shared" si="8"/>
        <v>0</v>
      </c>
      <c r="Z950" s="168">
        <f t="shared" si="9"/>
        <v>0</v>
      </c>
    </row>
    <row r="951" ht="15.75" customHeight="1">
      <c r="A951" s="157">
        <v>1728.0</v>
      </c>
      <c r="B951" s="158" t="s">
        <v>43</v>
      </c>
      <c r="C951" s="158" t="s">
        <v>938</v>
      </c>
      <c r="D951" s="159">
        <v>43565.0</v>
      </c>
      <c r="E951" s="157" t="s">
        <v>731</v>
      </c>
      <c r="F951" s="160">
        <v>1706498.3</v>
      </c>
      <c r="G951" s="160">
        <v>273039.73</v>
      </c>
      <c r="H951" s="160">
        <v>1979538.03</v>
      </c>
      <c r="I951" s="160"/>
      <c r="J951" s="161"/>
      <c r="K951" s="160"/>
      <c r="L951" s="160">
        <f>+'FACP$'!$H951-'FACP$'!$I951-'FACP$'!$K951</f>
        <v>1979538.03</v>
      </c>
      <c r="M951" s="162" t="s">
        <v>103</v>
      </c>
      <c r="N951" s="162" t="s">
        <v>127</v>
      </c>
      <c r="O951" s="175">
        <v>43521.0</v>
      </c>
      <c r="P951" s="164">
        <f t="shared" si="13"/>
        <v>43575</v>
      </c>
      <c r="Q951" s="165">
        <f t="shared" si="2"/>
        <v>0</v>
      </c>
      <c r="R951" s="167"/>
      <c r="S951" s="167"/>
      <c r="T951" s="168">
        <f t="shared" si="3"/>
        <v>1979538.03</v>
      </c>
      <c r="U951" s="168">
        <f t="shared" si="4"/>
        <v>0</v>
      </c>
      <c r="V951" s="168">
        <f t="shared" si="5"/>
        <v>0</v>
      </c>
      <c r="W951" s="168">
        <f t="shared" si="6"/>
        <v>0</v>
      </c>
      <c r="X951" s="168">
        <f t="shared" si="7"/>
        <v>0</v>
      </c>
      <c r="Y951" s="168">
        <f t="shared" si="8"/>
        <v>0</v>
      </c>
      <c r="Z951" s="168">
        <f t="shared" si="9"/>
        <v>0</v>
      </c>
    </row>
    <row r="952" ht="15.75" customHeight="1">
      <c r="A952" s="157">
        <v>1730.0</v>
      </c>
      <c r="B952" s="158" t="s">
        <v>43</v>
      </c>
      <c r="C952" s="158" t="s">
        <v>939</v>
      </c>
      <c r="D952" s="159">
        <v>43565.0</v>
      </c>
      <c r="E952" s="157" t="s">
        <v>731</v>
      </c>
      <c r="F952" s="160">
        <v>1026963.3</v>
      </c>
      <c r="G952" s="160">
        <v>164314.13</v>
      </c>
      <c r="H952" s="160">
        <v>1191277.4300000002</v>
      </c>
      <c r="I952" s="160"/>
      <c r="J952" s="161"/>
      <c r="K952" s="160"/>
      <c r="L952" s="160">
        <f>+'FACP$'!$H952-'FACP$'!$I952-'FACP$'!$K952</f>
        <v>1191277.43</v>
      </c>
      <c r="M952" s="162" t="s">
        <v>43</v>
      </c>
      <c r="N952" s="162" t="s">
        <v>127</v>
      </c>
      <c r="O952" s="175">
        <v>43524.0</v>
      </c>
      <c r="P952" s="164">
        <f t="shared" si="13"/>
        <v>43575</v>
      </c>
      <c r="Q952" s="165">
        <f t="shared" si="2"/>
        <v>0</v>
      </c>
      <c r="R952" s="167"/>
      <c r="S952" s="167"/>
      <c r="T952" s="168">
        <f t="shared" si="3"/>
        <v>1191277.43</v>
      </c>
      <c r="U952" s="168">
        <f t="shared" si="4"/>
        <v>0</v>
      </c>
      <c r="V952" s="168">
        <f t="shared" si="5"/>
        <v>0</v>
      </c>
      <c r="W952" s="168">
        <f t="shared" si="6"/>
        <v>0</v>
      </c>
      <c r="X952" s="168">
        <f t="shared" si="7"/>
        <v>0</v>
      </c>
      <c r="Y952" s="168">
        <f t="shared" si="8"/>
        <v>0</v>
      </c>
      <c r="Z952" s="168">
        <f t="shared" si="9"/>
        <v>0</v>
      </c>
    </row>
    <row r="953" ht="15.75" customHeight="1">
      <c r="A953" s="157">
        <v>1732.0</v>
      </c>
      <c r="B953" s="158" t="s">
        <v>43</v>
      </c>
      <c r="C953" s="158" t="s">
        <v>940</v>
      </c>
      <c r="D953" s="159">
        <v>43565.0</v>
      </c>
      <c r="E953" s="157" t="s">
        <v>731</v>
      </c>
      <c r="F953" s="160">
        <v>770557.5</v>
      </c>
      <c r="G953" s="160">
        <v>123289.2</v>
      </c>
      <c r="H953" s="160">
        <v>893846.7</v>
      </c>
      <c r="I953" s="160"/>
      <c r="J953" s="161"/>
      <c r="K953" s="160"/>
      <c r="L953" s="160">
        <f>+'FACP$'!$H953-'FACP$'!$I953-'FACP$'!$K953</f>
        <v>893846.7</v>
      </c>
      <c r="M953" s="162" t="s">
        <v>43</v>
      </c>
      <c r="N953" s="162" t="s">
        <v>127</v>
      </c>
      <c r="O953" s="175">
        <v>43551.0</v>
      </c>
      <c r="P953" s="164">
        <f t="shared" si="13"/>
        <v>43575</v>
      </c>
      <c r="Q953" s="165">
        <f t="shared" si="2"/>
        <v>0</v>
      </c>
      <c r="R953" s="167"/>
      <c r="S953" s="167"/>
      <c r="T953" s="168">
        <f t="shared" si="3"/>
        <v>893846.7</v>
      </c>
      <c r="U953" s="168">
        <f t="shared" si="4"/>
        <v>0</v>
      </c>
      <c r="V953" s="168">
        <f t="shared" si="5"/>
        <v>0</v>
      </c>
      <c r="W953" s="168">
        <f t="shared" si="6"/>
        <v>0</v>
      </c>
      <c r="X953" s="168">
        <f t="shared" si="7"/>
        <v>0</v>
      </c>
      <c r="Y953" s="168">
        <f t="shared" si="8"/>
        <v>0</v>
      </c>
      <c r="Z953" s="168">
        <f t="shared" si="9"/>
        <v>0</v>
      </c>
    </row>
    <row r="954" ht="15.75" customHeight="1">
      <c r="A954" s="157">
        <v>1734.0</v>
      </c>
      <c r="B954" s="158" t="s">
        <v>43</v>
      </c>
      <c r="C954" s="158"/>
      <c r="D954" s="159"/>
      <c r="E954" s="157"/>
      <c r="F954" s="160"/>
      <c r="G954" s="160"/>
      <c r="H954" s="160">
        <f>F954+G954</f>
        <v>0</v>
      </c>
      <c r="I954" s="160"/>
      <c r="J954" s="161"/>
      <c r="K954" s="160"/>
      <c r="L954" s="160">
        <f>+'FACP$'!$H954-'FACP$'!$I954-'FACP$'!$K954</f>
        <v>0</v>
      </c>
      <c r="M954" s="162"/>
      <c r="N954" s="162" t="s">
        <v>127</v>
      </c>
      <c r="O954" s="175"/>
      <c r="P954" s="164">
        <f t="shared" si="13"/>
        <v>10</v>
      </c>
      <c r="Q954" s="165">
        <f t="shared" si="2"/>
        <v>0</v>
      </c>
      <c r="R954" s="167"/>
      <c r="S954" s="167"/>
      <c r="T954" s="168">
        <f t="shared" si="3"/>
        <v>0</v>
      </c>
      <c r="U954" s="168">
        <f t="shared" si="4"/>
        <v>0</v>
      </c>
      <c r="V954" s="168">
        <f t="shared" si="5"/>
        <v>0</v>
      </c>
      <c r="W954" s="168">
        <f t="shared" si="6"/>
        <v>0</v>
      </c>
      <c r="X954" s="168">
        <f t="shared" si="7"/>
        <v>0</v>
      </c>
      <c r="Y954" s="168">
        <f t="shared" si="8"/>
        <v>0</v>
      </c>
      <c r="Z954" s="168">
        <f t="shared" si="9"/>
        <v>0</v>
      </c>
    </row>
    <row r="955" ht="15.75" customHeight="1">
      <c r="A955" s="157">
        <v>1735.0</v>
      </c>
      <c r="B955" s="158" t="s">
        <v>43</v>
      </c>
      <c r="C955" s="158" t="s">
        <v>941</v>
      </c>
      <c r="D955" s="159">
        <v>43565.0</v>
      </c>
      <c r="E955" s="157" t="s">
        <v>731</v>
      </c>
      <c r="F955" s="160">
        <v>499923.12</v>
      </c>
      <c r="G955" s="160">
        <v>79987.7</v>
      </c>
      <c r="H955" s="160">
        <v>579910.82</v>
      </c>
      <c r="I955" s="160"/>
      <c r="J955" s="161"/>
      <c r="K955" s="160"/>
      <c r="L955" s="160">
        <f>+'FACP$'!$H955-'FACP$'!$I955-'FACP$'!$K955</f>
        <v>579910.82</v>
      </c>
      <c r="M955" s="162" t="s">
        <v>43</v>
      </c>
      <c r="N955" s="162" t="s">
        <v>127</v>
      </c>
      <c r="O955" s="175">
        <v>43560.0</v>
      </c>
      <c r="P955" s="164">
        <f t="shared" si="13"/>
        <v>43575</v>
      </c>
      <c r="Q955" s="165">
        <f t="shared" si="2"/>
        <v>0</v>
      </c>
      <c r="R955" s="167"/>
      <c r="S955" s="167"/>
      <c r="T955" s="168">
        <f t="shared" si="3"/>
        <v>579910.82</v>
      </c>
      <c r="U955" s="168">
        <f t="shared" si="4"/>
        <v>0</v>
      </c>
      <c r="V955" s="168">
        <f t="shared" si="5"/>
        <v>0</v>
      </c>
      <c r="W955" s="168">
        <f t="shared" si="6"/>
        <v>0</v>
      </c>
      <c r="X955" s="168">
        <f t="shared" si="7"/>
        <v>0</v>
      </c>
      <c r="Y955" s="168">
        <f t="shared" si="8"/>
        <v>0</v>
      </c>
      <c r="Z955" s="168">
        <f t="shared" si="9"/>
        <v>0</v>
      </c>
    </row>
    <row r="956" ht="15.75" customHeight="1">
      <c r="A956" s="157">
        <v>1737.0</v>
      </c>
      <c r="B956" s="158" t="s">
        <v>43</v>
      </c>
      <c r="C956" s="158" t="s">
        <v>936</v>
      </c>
      <c r="D956" s="159">
        <v>43566.0</v>
      </c>
      <c r="E956" s="157" t="s">
        <v>731</v>
      </c>
      <c r="F956" s="160">
        <v>2727592.6</v>
      </c>
      <c r="G956" s="160">
        <v>436414.82</v>
      </c>
      <c r="H956" s="160">
        <v>3164007.42</v>
      </c>
      <c r="I956" s="160"/>
      <c r="J956" s="161"/>
      <c r="K956" s="160"/>
      <c r="L956" s="160">
        <f>+'FACP$'!$H956-'FACP$'!$I956-'FACP$'!$K956</f>
        <v>3164007.42</v>
      </c>
      <c r="M956" s="162" t="s">
        <v>103</v>
      </c>
      <c r="N956" s="162" t="s">
        <v>554</v>
      </c>
      <c r="O956" s="175">
        <v>43496.0</v>
      </c>
      <c r="P956" s="164">
        <f t="shared" si="13"/>
        <v>43576</v>
      </c>
      <c r="Q956" s="165">
        <f t="shared" si="2"/>
        <v>0</v>
      </c>
      <c r="R956" s="167"/>
      <c r="S956" s="167"/>
      <c r="T956" s="168">
        <f t="shared" si="3"/>
        <v>3164007.42</v>
      </c>
      <c r="U956" s="168">
        <f t="shared" si="4"/>
        <v>0</v>
      </c>
      <c r="V956" s="168">
        <f t="shared" si="5"/>
        <v>0</v>
      </c>
      <c r="W956" s="168">
        <f t="shared" si="6"/>
        <v>0</v>
      </c>
      <c r="X956" s="168">
        <f t="shared" si="7"/>
        <v>0</v>
      </c>
      <c r="Y956" s="168">
        <f t="shared" si="8"/>
        <v>0</v>
      </c>
      <c r="Z956" s="168">
        <f t="shared" si="9"/>
        <v>0</v>
      </c>
    </row>
    <row r="957" ht="15.75" customHeight="1">
      <c r="A957" s="157">
        <v>1738.0</v>
      </c>
      <c r="B957" s="158" t="s">
        <v>43</v>
      </c>
      <c r="C957" s="158" t="s">
        <v>937</v>
      </c>
      <c r="D957" s="159">
        <v>43565.0</v>
      </c>
      <c r="E957" s="157" t="s">
        <v>731</v>
      </c>
      <c r="F957" s="160">
        <v>1481065.2</v>
      </c>
      <c r="G957" s="160">
        <v>236970.43</v>
      </c>
      <c r="H957" s="160">
        <v>1718035.63</v>
      </c>
      <c r="I957" s="160"/>
      <c r="J957" s="161"/>
      <c r="K957" s="160"/>
      <c r="L957" s="160">
        <f>+'FACP$'!$H957-'FACP$'!$I957-'FACP$'!$K957</f>
        <v>1718035.63</v>
      </c>
      <c r="M957" s="162" t="s">
        <v>43</v>
      </c>
      <c r="N957" s="162" t="s">
        <v>554</v>
      </c>
      <c r="O957" s="175">
        <v>43524.0</v>
      </c>
      <c r="P957" s="164">
        <f t="shared" si="13"/>
        <v>43575</v>
      </c>
      <c r="Q957" s="165">
        <f t="shared" si="2"/>
        <v>0</v>
      </c>
      <c r="R957" s="167"/>
      <c r="S957" s="167"/>
      <c r="T957" s="168">
        <f t="shared" si="3"/>
        <v>1718035.63</v>
      </c>
      <c r="U957" s="168">
        <f t="shared" si="4"/>
        <v>0</v>
      </c>
      <c r="V957" s="168">
        <f t="shared" si="5"/>
        <v>0</v>
      </c>
      <c r="W957" s="168">
        <f t="shared" si="6"/>
        <v>0</v>
      </c>
      <c r="X957" s="168">
        <f t="shared" si="7"/>
        <v>0</v>
      </c>
      <c r="Y957" s="168">
        <f t="shared" si="8"/>
        <v>0</v>
      </c>
      <c r="Z957" s="168">
        <f t="shared" si="9"/>
        <v>0</v>
      </c>
    </row>
    <row r="958" ht="15.75" customHeight="1">
      <c r="A958" s="157">
        <v>1739.0</v>
      </c>
      <c r="B958" s="158" t="s">
        <v>43</v>
      </c>
      <c r="C958" s="158" t="s">
        <v>938</v>
      </c>
      <c r="D958" s="159">
        <v>43565.0</v>
      </c>
      <c r="E958" s="157" t="s">
        <v>731</v>
      </c>
      <c r="F958" s="160">
        <v>1706498.3</v>
      </c>
      <c r="G958" s="160">
        <v>273039.73</v>
      </c>
      <c r="H958" s="160">
        <v>1979538.03</v>
      </c>
      <c r="I958" s="160"/>
      <c r="J958" s="161"/>
      <c r="K958" s="160"/>
      <c r="L958" s="160">
        <f>+'FACP$'!$H958-'FACP$'!$I958-'FACP$'!$K958</f>
        <v>1979538.03</v>
      </c>
      <c r="M958" s="162" t="s">
        <v>103</v>
      </c>
      <c r="N958" s="162" t="s">
        <v>554</v>
      </c>
      <c r="O958" s="175">
        <v>43521.0</v>
      </c>
      <c r="P958" s="164">
        <f t="shared" si="13"/>
        <v>43575</v>
      </c>
      <c r="Q958" s="165">
        <f t="shared" si="2"/>
        <v>0</v>
      </c>
      <c r="R958" s="167"/>
      <c r="S958" s="167"/>
      <c r="T958" s="168">
        <f t="shared" si="3"/>
        <v>1979538.03</v>
      </c>
      <c r="U958" s="168">
        <f t="shared" si="4"/>
        <v>0</v>
      </c>
      <c r="V958" s="168">
        <f t="shared" si="5"/>
        <v>0</v>
      </c>
      <c r="W958" s="168">
        <f t="shared" si="6"/>
        <v>0</v>
      </c>
      <c r="X958" s="168">
        <f t="shared" si="7"/>
        <v>0</v>
      </c>
      <c r="Y958" s="168">
        <f t="shared" si="8"/>
        <v>0</v>
      </c>
      <c r="Z958" s="168">
        <f t="shared" si="9"/>
        <v>0</v>
      </c>
    </row>
    <row r="959" ht="15.75" customHeight="1">
      <c r="A959" s="157">
        <v>1740.0</v>
      </c>
      <c r="B959" s="158" t="s">
        <v>43</v>
      </c>
      <c r="C959" s="158" t="s">
        <v>939</v>
      </c>
      <c r="D959" s="159">
        <v>43565.0</v>
      </c>
      <c r="E959" s="157" t="s">
        <v>731</v>
      </c>
      <c r="F959" s="160">
        <v>1026963.3</v>
      </c>
      <c r="G959" s="160">
        <v>164314.13</v>
      </c>
      <c r="H959" s="160">
        <v>1191277.4300000002</v>
      </c>
      <c r="I959" s="160"/>
      <c r="J959" s="161"/>
      <c r="K959" s="160"/>
      <c r="L959" s="160">
        <f>+'FACP$'!$H959-'FACP$'!$I959-'FACP$'!$K959</f>
        <v>1191277.43</v>
      </c>
      <c r="M959" s="162" t="s">
        <v>43</v>
      </c>
      <c r="N959" s="162" t="s">
        <v>554</v>
      </c>
      <c r="O959" s="175">
        <v>43524.0</v>
      </c>
      <c r="P959" s="164">
        <f t="shared" si="13"/>
        <v>43575</v>
      </c>
      <c r="Q959" s="165">
        <f t="shared" si="2"/>
        <v>0</v>
      </c>
      <c r="R959" s="167"/>
      <c r="S959" s="167"/>
      <c r="T959" s="168">
        <f t="shared" si="3"/>
        <v>1191277.43</v>
      </c>
      <c r="U959" s="168">
        <f t="shared" si="4"/>
        <v>0</v>
      </c>
      <c r="V959" s="168">
        <f t="shared" si="5"/>
        <v>0</v>
      </c>
      <c r="W959" s="168">
        <f t="shared" si="6"/>
        <v>0</v>
      </c>
      <c r="X959" s="168">
        <f t="shared" si="7"/>
        <v>0</v>
      </c>
      <c r="Y959" s="168">
        <f t="shared" si="8"/>
        <v>0</v>
      </c>
      <c r="Z959" s="168">
        <f t="shared" si="9"/>
        <v>0</v>
      </c>
    </row>
    <row r="960" ht="15.75" customHeight="1">
      <c r="A960" s="157">
        <v>1741.0</v>
      </c>
      <c r="B960" s="158" t="s">
        <v>43</v>
      </c>
      <c r="C960" s="158" t="s">
        <v>942</v>
      </c>
      <c r="D960" s="159">
        <v>43565.0</v>
      </c>
      <c r="E960" s="157" t="s">
        <v>731</v>
      </c>
      <c r="F960" s="160">
        <v>770557.5</v>
      </c>
      <c r="G960" s="160">
        <v>123289.2</v>
      </c>
      <c r="H960" s="160">
        <v>893846.7</v>
      </c>
      <c r="I960" s="160"/>
      <c r="J960" s="161"/>
      <c r="K960" s="160"/>
      <c r="L960" s="160">
        <f>+'FACP$'!$H960-'FACP$'!$I960-'FACP$'!$K960</f>
        <v>893846.7</v>
      </c>
      <c r="M960" s="162" t="s">
        <v>43</v>
      </c>
      <c r="N960" s="162" t="s">
        <v>554</v>
      </c>
      <c r="O960" s="175">
        <v>43551.0</v>
      </c>
      <c r="P960" s="164">
        <f t="shared" si="13"/>
        <v>43575</v>
      </c>
      <c r="Q960" s="165">
        <f t="shared" si="2"/>
        <v>0</v>
      </c>
      <c r="R960" s="167"/>
      <c r="S960" s="167"/>
      <c r="T960" s="168">
        <f t="shared" si="3"/>
        <v>893846.7</v>
      </c>
      <c r="U960" s="168">
        <f t="shared" si="4"/>
        <v>0</v>
      </c>
      <c r="V960" s="168">
        <f t="shared" si="5"/>
        <v>0</v>
      </c>
      <c r="W960" s="168">
        <f t="shared" si="6"/>
        <v>0</v>
      </c>
      <c r="X960" s="168">
        <f t="shared" si="7"/>
        <v>0</v>
      </c>
      <c r="Y960" s="168">
        <f t="shared" si="8"/>
        <v>0</v>
      </c>
      <c r="Z960" s="168">
        <f t="shared" si="9"/>
        <v>0</v>
      </c>
    </row>
    <row r="961" ht="15.75" customHeight="1">
      <c r="A961" s="157">
        <v>1742.0</v>
      </c>
      <c r="B961" s="158" t="s">
        <v>43</v>
      </c>
      <c r="C961" s="158" t="s">
        <v>943</v>
      </c>
      <c r="D961" s="159">
        <v>43544.0</v>
      </c>
      <c r="E961" s="157" t="s">
        <v>731</v>
      </c>
      <c r="F961" s="160">
        <v>499923.12</v>
      </c>
      <c r="G961" s="160">
        <v>79987.7</v>
      </c>
      <c r="H961" s="160">
        <f>F961+G961</f>
        <v>579910.82</v>
      </c>
      <c r="I961" s="160"/>
      <c r="J961" s="161"/>
      <c r="K961" s="160"/>
      <c r="L961" s="160">
        <f>+'FACP$'!$H961-'FACP$'!$I961-'FACP$'!$K961</f>
        <v>579910.82</v>
      </c>
      <c r="M961" s="162" t="s">
        <v>43</v>
      </c>
      <c r="N961" s="162" t="s">
        <v>554</v>
      </c>
      <c r="O961" s="175">
        <v>43560.0</v>
      </c>
      <c r="P961" s="164">
        <f t="shared" si="13"/>
        <v>43554</v>
      </c>
      <c r="Q961" s="165">
        <f t="shared" si="2"/>
        <v>0</v>
      </c>
      <c r="R961" s="167"/>
      <c r="S961" s="167"/>
      <c r="T961" s="168">
        <f t="shared" si="3"/>
        <v>579910.82</v>
      </c>
      <c r="U961" s="168">
        <f t="shared" si="4"/>
        <v>0</v>
      </c>
      <c r="V961" s="168">
        <f t="shared" si="5"/>
        <v>0</v>
      </c>
      <c r="W961" s="168">
        <f t="shared" si="6"/>
        <v>0</v>
      </c>
      <c r="X961" s="168">
        <f t="shared" si="7"/>
        <v>0</v>
      </c>
      <c r="Y961" s="168">
        <f t="shared" si="8"/>
        <v>0</v>
      </c>
      <c r="Z961" s="168">
        <f t="shared" si="9"/>
        <v>0</v>
      </c>
    </row>
    <row r="962" ht="15.75" customHeight="1">
      <c r="A962" s="157">
        <v>1743.0</v>
      </c>
      <c r="B962" s="158" t="s">
        <v>29</v>
      </c>
      <c r="C962" s="158" t="s">
        <v>944</v>
      </c>
      <c r="D962" s="159">
        <v>43571.0</v>
      </c>
      <c r="E962" s="157" t="s">
        <v>731</v>
      </c>
      <c r="F962" s="160">
        <v>540206.79</v>
      </c>
      <c r="G962" s="160">
        <v>86433.09</v>
      </c>
      <c r="H962" s="160">
        <v>626639.88</v>
      </c>
      <c r="I962" s="160"/>
      <c r="J962" s="161"/>
      <c r="K962" s="160"/>
      <c r="L962" s="160">
        <f>+'FACP$'!$H962-'FACP$'!$I962-'FACP$'!$K962</f>
        <v>626639.88</v>
      </c>
      <c r="M962" s="162" t="s">
        <v>825</v>
      </c>
      <c r="N962" s="162" t="s">
        <v>554</v>
      </c>
      <c r="O962" s="175">
        <v>43585.0</v>
      </c>
      <c r="P962" s="164">
        <f t="shared" si="13"/>
        <v>43581</v>
      </c>
      <c r="Q962" s="165">
        <f t="shared" si="2"/>
        <v>0</v>
      </c>
      <c r="R962" s="167"/>
      <c r="S962" s="167"/>
      <c r="T962" s="168">
        <f t="shared" si="3"/>
        <v>626639.88</v>
      </c>
      <c r="U962" s="168">
        <f t="shared" si="4"/>
        <v>0</v>
      </c>
      <c r="V962" s="168">
        <f t="shared" si="5"/>
        <v>0</v>
      </c>
      <c r="W962" s="168">
        <f t="shared" si="6"/>
        <v>0</v>
      </c>
      <c r="X962" s="168">
        <f t="shared" si="7"/>
        <v>0</v>
      </c>
      <c r="Y962" s="168">
        <f t="shared" si="8"/>
        <v>0</v>
      </c>
      <c r="Z962" s="168">
        <f t="shared" si="9"/>
        <v>0</v>
      </c>
    </row>
    <row r="963" ht="15.75" customHeight="1">
      <c r="A963" s="157">
        <v>1745.0</v>
      </c>
      <c r="B963" s="158" t="s">
        <v>837</v>
      </c>
      <c r="C963" s="158" t="s">
        <v>945</v>
      </c>
      <c r="D963" s="159">
        <v>43571.0</v>
      </c>
      <c r="E963" s="157" t="s">
        <v>731</v>
      </c>
      <c r="F963" s="160">
        <v>815341.12</v>
      </c>
      <c r="G963" s="160">
        <v>130454.58</v>
      </c>
      <c r="H963" s="160">
        <f t="shared" ref="H963:H1026" si="41">F963+G963</f>
        <v>945795.7</v>
      </c>
      <c r="I963" s="160"/>
      <c r="J963" s="161"/>
      <c r="K963" s="160"/>
      <c r="L963" s="160">
        <f>+'FACP$'!$H963-'FACP$'!$I963-'FACP$'!$K963</f>
        <v>945795.7</v>
      </c>
      <c r="M963" s="162" t="s">
        <v>837</v>
      </c>
      <c r="N963" s="162" t="s">
        <v>554</v>
      </c>
      <c r="O963" s="175">
        <v>43580.0</v>
      </c>
      <c r="P963" s="164">
        <f t="shared" si="13"/>
        <v>43581</v>
      </c>
      <c r="Q963" s="165">
        <f t="shared" si="2"/>
        <v>0</v>
      </c>
      <c r="R963" s="167"/>
      <c r="S963" s="167"/>
      <c r="T963" s="168">
        <f t="shared" si="3"/>
        <v>945795.7</v>
      </c>
      <c r="U963" s="168">
        <f t="shared" si="4"/>
        <v>0</v>
      </c>
      <c r="V963" s="168">
        <f t="shared" si="5"/>
        <v>0</v>
      </c>
      <c r="W963" s="168">
        <f t="shared" si="6"/>
        <v>0</v>
      </c>
      <c r="X963" s="168">
        <f t="shared" si="7"/>
        <v>0</v>
      </c>
      <c r="Y963" s="168">
        <f t="shared" si="8"/>
        <v>0</v>
      </c>
      <c r="Z963" s="168">
        <f t="shared" si="9"/>
        <v>0</v>
      </c>
    </row>
    <row r="964" ht="15.75" customHeight="1">
      <c r="A964" s="157">
        <v>1746.0</v>
      </c>
      <c r="B964" s="158" t="s">
        <v>33</v>
      </c>
      <c r="C964" s="158" t="s">
        <v>946</v>
      </c>
      <c r="D964" s="159">
        <v>43571.0</v>
      </c>
      <c r="E964" s="157" t="s">
        <v>731</v>
      </c>
      <c r="F964" s="160">
        <v>612891.99</v>
      </c>
      <c r="G964" s="160">
        <v>98062.72</v>
      </c>
      <c r="H964" s="160">
        <f t="shared" si="41"/>
        <v>710954.71</v>
      </c>
      <c r="I964" s="160"/>
      <c r="J964" s="161"/>
      <c r="K964" s="160"/>
      <c r="L964" s="160">
        <f>+'FACP$'!$H964-'FACP$'!$I964-'FACP$'!$K964</f>
        <v>710954.71</v>
      </c>
      <c r="M964" s="162" t="s">
        <v>33</v>
      </c>
      <c r="N964" s="162" t="s">
        <v>554</v>
      </c>
      <c r="O964" s="175">
        <v>43591.0</v>
      </c>
      <c r="P964" s="164">
        <f t="shared" si="13"/>
        <v>43581</v>
      </c>
      <c r="Q964" s="165">
        <f t="shared" si="2"/>
        <v>0</v>
      </c>
      <c r="R964" s="167"/>
      <c r="S964" s="220" t="s">
        <v>910</v>
      </c>
      <c r="T964" s="168">
        <f t="shared" si="3"/>
        <v>710954.71</v>
      </c>
      <c r="U964" s="168">
        <f t="shared" si="4"/>
        <v>0</v>
      </c>
      <c r="V964" s="168">
        <f t="shared" si="5"/>
        <v>0</v>
      </c>
      <c r="W964" s="168">
        <f t="shared" si="6"/>
        <v>0</v>
      </c>
      <c r="X964" s="168">
        <f t="shared" si="7"/>
        <v>0</v>
      </c>
      <c r="Y964" s="168">
        <f t="shared" si="8"/>
        <v>0</v>
      </c>
      <c r="Z964" s="168">
        <f t="shared" si="9"/>
        <v>0</v>
      </c>
    </row>
    <row r="965" ht="15.75" customHeight="1">
      <c r="A965" s="157">
        <v>1748.0</v>
      </c>
      <c r="B965" s="158" t="s">
        <v>127</v>
      </c>
      <c r="C965" s="158"/>
      <c r="D965" s="159"/>
      <c r="E965" s="157"/>
      <c r="F965" s="160"/>
      <c r="G965" s="160"/>
      <c r="H965" s="160">
        <f t="shared" si="41"/>
        <v>0</v>
      </c>
      <c r="I965" s="160"/>
      <c r="J965" s="161"/>
      <c r="K965" s="160"/>
      <c r="L965" s="160">
        <f>+'FACP$'!$H965-'FACP$'!$I965-'FACP$'!$K965</f>
        <v>0</v>
      </c>
      <c r="M965" s="162"/>
      <c r="N965" s="162" t="s">
        <v>127</v>
      </c>
      <c r="O965" s="175"/>
      <c r="P965" s="164">
        <f t="shared" si="13"/>
        <v>10</v>
      </c>
      <c r="Q965" s="165">
        <f t="shared" si="2"/>
        <v>0</v>
      </c>
      <c r="R965" s="167"/>
      <c r="S965" s="167"/>
      <c r="T965" s="168">
        <f t="shared" si="3"/>
        <v>0</v>
      </c>
      <c r="U965" s="168">
        <f t="shared" si="4"/>
        <v>0</v>
      </c>
      <c r="V965" s="168">
        <f t="shared" si="5"/>
        <v>0</v>
      </c>
      <c r="W965" s="168">
        <f t="shared" si="6"/>
        <v>0</v>
      </c>
      <c r="X965" s="168">
        <f t="shared" si="7"/>
        <v>0</v>
      </c>
      <c r="Y965" s="168">
        <f t="shared" si="8"/>
        <v>0</v>
      </c>
      <c r="Z965" s="168">
        <f t="shared" si="9"/>
        <v>0</v>
      </c>
    </row>
    <row r="966" ht="15.75" customHeight="1">
      <c r="A966" s="157">
        <v>1750.0</v>
      </c>
      <c r="B966" s="158" t="s">
        <v>18</v>
      </c>
      <c r="C966" s="158" t="s">
        <v>946</v>
      </c>
      <c r="D966" s="159">
        <v>43572.0</v>
      </c>
      <c r="E966" s="157" t="s">
        <v>731</v>
      </c>
      <c r="F966" s="160">
        <v>133411.33</v>
      </c>
      <c r="G966" s="160">
        <v>21345.81</v>
      </c>
      <c r="H966" s="160">
        <f t="shared" si="41"/>
        <v>154757.14</v>
      </c>
      <c r="I966" s="160"/>
      <c r="J966" s="161"/>
      <c r="K966" s="160"/>
      <c r="L966" s="160">
        <f>+'FACP$'!$H966-'FACP$'!$I966-'FACP$'!$K966</f>
        <v>154757.14</v>
      </c>
      <c r="M966" s="162" t="s">
        <v>586</v>
      </c>
      <c r="N966" s="162" t="s">
        <v>554</v>
      </c>
      <c r="O966" s="175">
        <v>43619.0</v>
      </c>
      <c r="P966" s="164">
        <f t="shared" si="13"/>
        <v>43582</v>
      </c>
      <c r="Q966" s="165">
        <f t="shared" si="2"/>
        <v>0</v>
      </c>
      <c r="R966" s="167"/>
      <c r="S966" s="167" t="s">
        <v>910</v>
      </c>
      <c r="T966" s="168">
        <f t="shared" si="3"/>
        <v>154757.14</v>
      </c>
      <c r="U966" s="168">
        <f t="shared" si="4"/>
        <v>0</v>
      </c>
      <c r="V966" s="168">
        <f t="shared" si="5"/>
        <v>0</v>
      </c>
      <c r="W966" s="168">
        <f t="shared" si="6"/>
        <v>0</v>
      </c>
      <c r="X966" s="168">
        <f t="shared" si="7"/>
        <v>0</v>
      </c>
      <c r="Y966" s="168">
        <f t="shared" si="8"/>
        <v>0</v>
      </c>
      <c r="Z966" s="168">
        <f t="shared" si="9"/>
        <v>0</v>
      </c>
    </row>
    <row r="967" ht="15.75" customHeight="1">
      <c r="A967" s="157">
        <v>1751.0</v>
      </c>
      <c r="B967" s="158" t="s">
        <v>19</v>
      </c>
      <c r="C967" s="158" t="s">
        <v>946</v>
      </c>
      <c r="D967" s="159">
        <v>43572.0</v>
      </c>
      <c r="E967" s="157" t="s">
        <v>731</v>
      </c>
      <c r="F967" s="160">
        <v>81913.39</v>
      </c>
      <c r="G967" s="160">
        <v>13106.14</v>
      </c>
      <c r="H967" s="160">
        <f t="shared" si="41"/>
        <v>95019.53</v>
      </c>
      <c r="I967" s="160"/>
      <c r="J967" s="161"/>
      <c r="K967" s="160"/>
      <c r="L967" s="160">
        <f>+'FACP$'!$H967-'FACP$'!$I967-'FACP$'!$K967</f>
        <v>95019.53</v>
      </c>
      <c r="M967" s="162" t="s">
        <v>732</v>
      </c>
      <c r="N967" s="162" t="s">
        <v>554</v>
      </c>
      <c r="O967" s="175">
        <v>43607.0</v>
      </c>
      <c r="P967" s="164">
        <f t="shared" si="13"/>
        <v>43582</v>
      </c>
      <c r="Q967" s="165">
        <f t="shared" si="2"/>
        <v>0</v>
      </c>
      <c r="R967" s="167"/>
      <c r="S967" s="220" t="s">
        <v>910</v>
      </c>
      <c r="T967" s="168">
        <f t="shared" si="3"/>
        <v>95019.53</v>
      </c>
      <c r="U967" s="168">
        <f t="shared" si="4"/>
        <v>0</v>
      </c>
      <c r="V967" s="168">
        <f t="shared" si="5"/>
        <v>0</v>
      </c>
      <c r="W967" s="168">
        <f t="shared" si="6"/>
        <v>0</v>
      </c>
      <c r="X967" s="168">
        <f t="shared" si="7"/>
        <v>0</v>
      </c>
      <c r="Y967" s="168">
        <f t="shared" si="8"/>
        <v>0</v>
      </c>
      <c r="Z967" s="168">
        <f t="shared" si="9"/>
        <v>0</v>
      </c>
      <c r="AB967" s="12" t="s">
        <v>947</v>
      </c>
    </row>
    <row r="968" ht="15.75" customHeight="1">
      <c r="A968" s="157">
        <v>1753.0</v>
      </c>
      <c r="B968" s="158" t="s">
        <v>127</v>
      </c>
      <c r="C968" s="158"/>
      <c r="D968" s="159"/>
      <c r="E968" s="157"/>
      <c r="F968" s="160"/>
      <c r="G968" s="160"/>
      <c r="H968" s="160">
        <f t="shared" si="41"/>
        <v>0</v>
      </c>
      <c r="I968" s="160"/>
      <c r="J968" s="161"/>
      <c r="K968" s="160"/>
      <c r="L968" s="160">
        <f>+'FACP$'!$H968-'FACP$'!$I968-'FACP$'!$K968</f>
        <v>0</v>
      </c>
      <c r="M968" s="162"/>
      <c r="N968" s="162" t="s">
        <v>127</v>
      </c>
      <c r="O968" s="175"/>
      <c r="P968" s="164">
        <f t="shared" si="13"/>
        <v>10</v>
      </c>
      <c r="Q968" s="165">
        <f t="shared" si="2"/>
        <v>0</v>
      </c>
      <c r="R968" s="167"/>
      <c r="S968" s="167"/>
      <c r="T968" s="168">
        <f t="shared" si="3"/>
        <v>0</v>
      </c>
      <c r="U968" s="168">
        <f t="shared" si="4"/>
        <v>0</v>
      </c>
      <c r="V968" s="168">
        <f t="shared" si="5"/>
        <v>0</v>
      </c>
      <c r="W968" s="168">
        <f t="shared" si="6"/>
        <v>0</v>
      </c>
      <c r="X968" s="168">
        <f t="shared" si="7"/>
        <v>0</v>
      </c>
      <c r="Y968" s="168">
        <f t="shared" si="8"/>
        <v>0</v>
      </c>
      <c r="Z968" s="168">
        <f t="shared" si="9"/>
        <v>0</v>
      </c>
    </row>
    <row r="969" ht="15.75" customHeight="1">
      <c r="A969" s="157">
        <v>1755.0</v>
      </c>
      <c r="B969" s="158" t="s">
        <v>37</v>
      </c>
      <c r="C969" s="158" t="s">
        <v>946</v>
      </c>
      <c r="D969" s="159">
        <v>43572.0</v>
      </c>
      <c r="E969" s="157" t="s">
        <v>731</v>
      </c>
      <c r="F969" s="160">
        <v>1201443.76</v>
      </c>
      <c r="G969" s="160">
        <v>192231.0</v>
      </c>
      <c r="H969" s="160">
        <f t="shared" si="41"/>
        <v>1393674.76</v>
      </c>
      <c r="I969" s="160"/>
      <c r="J969" s="161"/>
      <c r="K969" s="160"/>
      <c r="L969" s="160">
        <f>+'FACP$'!$H969-'FACP$'!$I969-'FACP$'!$K969</f>
        <v>1393674.76</v>
      </c>
      <c r="M969" s="162" t="s">
        <v>116</v>
      </c>
      <c r="N969" s="162" t="s">
        <v>554</v>
      </c>
      <c r="O969" s="175">
        <v>43592.0</v>
      </c>
      <c r="P969" s="164">
        <f t="shared" si="13"/>
        <v>43582</v>
      </c>
      <c r="Q969" s="165">
        <f t="shared" si="2"/>
        <v>0</v>
      </c>
      <c r="R969" s="167"/>
      <c r="S969" s="220" t="s">
        <v>910</v>
      </c>
      <c r="T969" s="168">
        <f t="shared" si="3"/>
        <v>1393674.76</v>
      </c>
      <c r="U969" s="168">
        <f t="shared" si="4"/>
        <v>0</v>
      </c>
      <c r="V969" s="168">
        <f t="shared" si="5"/>
        <v>0</v>
      </c>
      <c r="W969" s="168">
        <f t="shared" si="6"/>
        <v>0</v>
      </c>
      <c r="X969" s="168">
        <f t="shared" si="7"/>
        <v>0</v>
      </c>
      <c r="Y969" s="168">
        <f t="shared" si="8"/>
        <v>0</v>
      </c>
      <c r="Z969" s="168">
        <f t="shared" si="9"/>
        <v>0</v>
      </c>
    </row>
    <row r="970" ht="15.75" customHeight="1">
      <c r="A970" s="157">
        <v>1756.0</v>
      </c>
      <c r="B970" s="158" t="s">
        <v>41</v>
      </c>
      <c r="C970" s="158" t="s">
        <v>946</v>
      </c>
      <c r="D970" s="159">
        <v>43572.0</v>
      </c>
      <c r="E970" s="157" t="s">
        <v>731</v>
      </c>
      <c r="F970" s="160">
        <v>492164.28</v>
      </c>
      <c r="G970" s="160">
        <v>78746.28</v>
      </c>
      <c r="H970" s="160">
        <f t="shared" si="41"/>
        <v>570910.56</v>
      </c>
      <c r="I970" s="160"/>
      <c r="J970" s="161"/>
      <c r="K970" s="160"/>
      <c r="L970" s="160">
        <f>+'FACP$'!$H970-'FACP$'!$I970-'FACP$'!$K970</f>
        <v>570910.56</v>
      </c>
      <c r="M970" s="162" t="s">
        <v>121</v>
      </c>
      <c r="N970" s="162" t="s">
        <v>554</v>
      </c>
      <c r="O970" s="175">
        <v>43634.0</v>
      </c>
      <c r="P970" s="164">
        <f t="shared" si="13"/>
        <v>43582</v>
      </c>
      <c r="Q970" s="165">
        <f t="shared" si="2"/>
        <v>0</v>
      </c>
      <c r="R970" s="167"/>
      <c r="S970" s="167"/>
      <c r="T970" s="168">
        <f t="shared" si="3"/>
        <v>570910.56</v>
      </c>
      <c r="U970" s="168">
        <f t="shared" si="4"/>
        <v>0</v>
      </c>
      <c r="V970" s="168">
        <f t="shared" si="5"/>
        <v>0</v>
      </c>
      <c r="W970" s="168">
        <f t="shared" si="6"/>
        <v>0</v>
      </c>
      <c r="X970" s="168">
        <f t="shared" si="7"/>
        <v>0</v>
      </c>
      <c r="Y970" s="168">
        <f t="shared" si="8"/>
        <v>0</v>
      </c>
      <c r="Z970" s="168">
        <f t="shared" si="9"/>
        <v>0</v>
      </c>
    </row>
    <row r="971" ht="15.75" customHeight="1">
      <c r="A971" s="157">
        <v>1758.0</v>
      </c>
      <c r="B971" s="158" t="s">
        <v>43</v>
      </c>
      <c r="C971" s="158" t="s">
        <v>946</v>
      </c>
      <c r="D971" s="159">
        <v>43572.0</v>
      </c>
      <c r="E971" s="157" t="s">
        <v>731</v>
      </c>
      <c r="F971" s="160">
        <v>382904.69</v>
      </c>
      <c r="G971" s="160">
        <v>61264.75</v>
      </c>
      <c r="H971" s="160">
        <f t="shared" si="41"/>
        <v>444169.44</v>
      </c>
      <c r="I971" s="160"/>
      <c r="J971" s="161"/>
      <c r="K971" s="160"/>
      <c r="L971" s="160">
        <f>+'FACP$'!$H971-'FACP$'!$I971-'FACP$'!$K971</f>
        <v>444169.44</v>
      </c>
      <c r="M971" s="162" t="s">
        <v>43</v>
      </c>
      <c r="N971" s="162" t="s">
        <v>554</v>
      </c>
      <c r="O971" s="175">
        <v>43585.0</v>
      </c>
      <c r="P971" s="164">
        <f t="shared" si="13"/>
        <v>43582</v>
      </c>
      <c r="Q971" s="165">
        <f t="shared" si="2"/>
        <v>0</v>
      </c>
      <c r="R971" s="167"/>
      <c r="S971" s="167"/>
      <c r="T971" s="168">
        <f t="shared" si="3"/>
        <v>444169.44</v>
      </c>
      <c r="U971" s="168">
        <f t="shared" si="4"/>
        <v>0</v>
      </c>
      <c r="V971" s="168">
        <f t="shared" si="5"/>
        <v>0</v>
      </c>
      <c r="W971" s="168">
        <f t="shared" si="6"/>
        <v>0</v>
      </c>
      <c r="X971" s="168">
        <f t="shared" si="7"/>
        <v>0</v>
      </c>
      <c r="Y971" s="168">
        <f t="shared" si="8"/>
        <v>0</v>
      </c>
      <c r="Z971" s="168">
        <f t="shared" si="9"/>
        <v>0</v>
      </c>
    </row>
    <row r="972" ht="15.75" customHeight="1">
      <c r="A972" s="157">
        <v>1760.0</v>
      </c>
      <c r="B972" s="158" t="s">
        <v>29</v>
      </c>
      <c r="C972" s="158" t="s">
        <v>948</v>
      </c>
      <c r="D972" s="159">
        <v>43578.0</v>
      </c>
      <c r="E972" s="157" t="s">
        <v>731</v>
      </c>
      <c r="F972" s="160">
        <v>209435.77</v>
      </c>
      <c r="G972" s="160">
        <v>33509.72</v>
      </c>
      <c r="H972" s="160">
        <f t="shared" si="41"/>
        <v>242945.49</v>
      </c>
      <c r="I972" s="160"/>
      <c r="J972" s="161"/>
      <c r="K972" s="160"/>
      <c r="L972" s="160">
        <f>+'FACP$'!$H972-'FACP$'!$I972-'FACP$'!$K972</f>
        <v>242945.49</v>
      </c>
      <c r="M972" s="162" t="s">
        <v>921</v>
      </c>
      <c r="N972" s="162" t="s">
        <v>554</v>
      </c>
      <c r="O972" s="175">
        <v>43585.0</v>
      </c>
      <c r="P972" s="164">
        <f t="shared" si="13"/>
        <v>43588</v>
      </c>
      <c r="Q972" s="165">
        <f t="shared" si="2"/>
        <v>0</v>
      </c>
      <c r="R972" s="167"/>
      <c r="S972" s="167"/>
      <c r="T972" s="168">
        <f t="shared" si="3"/>
        <v>242945.49</v>
      </c>
      <c r="U972" s="168">
        <f t="shared" si="4"/>
        <v>0</v>
      </c>
      <c r="V972" s="168">
        <f t="shared" si="5"/>
        <v>0</v>
      </c>
      <c r="W972" s="168">
        <f t="shared" si="6"/>
        <v>0</v>
      </c>
      <c r="X972" s="168">
        <f t="shared" si="7"/>
        <v>0</v>
      </c>
      <c r="Y972" s="168">
        <f t="shared" si="8"/>
        <v>0</v>
      </c>
      <c r="Z972" s="168">
        <f t="shared" si="9"/>
        <v>0</v>
      </c>
    </row>
    <row r="973" ht="15.75" customHeight="1">
      <c r="A973" s="157">
        <v>1761.0</v>
      </c>
      <c r="B973" s="158" t="s">
        <v>29</v>
      </c>
      <c r="C973" s="158" t="s">
        <v>935</v>
      </c>
      <c r="D973" s="159">
        <v>43578.0</v>
      </c>
      <c r="E973" s="157" t="s">
        <v>731</v>
      </c>
      <c r="F973" s="160">
        <v>153636.93</v>
      </c>
      <c r="G973" s="160">
        <v>24581.91</v>
      </c>
      <c r="H973" s="160">
        <f t="shared" si="41"/>
        <v>178218.84</v>
      </c>
      <c r="I973" s="160"/>
      <c r="J973" s="161"/>
      <c r="K973" s="160"/>
      <c r="L973" s="160">
        <f>+'FACP$'!$H973-'FACP$'!$I973-'FACP$'!$K973</f>
        <v>178218.84</v>
      </c>
      <c r="M973" s="162" t="s">
        <v>922</v>
      </c>
      <c r="N973" s="162" t="s">
        <v>554</v>
      </c>
      <c r="O973" s="175">
        <v>43585.0</v>
      </c>
      <c r="P973" s="164">
        <f t="shared" si="13"/>
        <v>43588</v>
      </c>
      <c r="Q973" s="165">
        <f t="shared" si="2"/>
        <v>0</v>
      </c>
      <c r="R973" s="167"/>
      <c r="S973" s="167"/>
      <c r="T973" s="168">
        <f t="shared" si="3"/>
        <v>178218.84</v>
      </c>
      <c r="U973" s="168">
        <f t="shared" si="4"/>
        <v>0</v>
      </c>
      <c r="V973" s="168">
        <f t="shared" si="5"/>
        <v>0</v>
      </c>
      <c r="W973" s="168">
        <f t="shared" si="6"/>
        <v>0</v>
      </c>
      <c r="X973" s="168">
        <f t="shared" si="7"/>
        <v>0</v>
      </c>
      <c r="Y973" s="168">
        <f t="shared" si="8"/>
        <v>0</v>
      </c>
      <c r="Z973" s="168">
        <f t="shared" si="9"/>
        <v>0</v>
      </c>
    </row>
    <row r="974" ht="15.75" customHeight="1">
      <c r="A974" s="157">
        <v>1764.0</v>
      </c>
      <c r="B974" s="158" t="s">
        <v>29</v>
      </c>
      <c r="C974" s="158" t="s">
        <v>949</v>
      </c>
      <c r="D974" s="159">
        <v>43588.0</v>
      </c>
      <c r="E974" s="157" t="s">
        <v>731</v>
      </c>
      <c r="F974" s="160">
        <v>470204.02</v>
      </c>
      <c r="G974" s="160">
        <v>75232.64</v>
      </c>
      <c r="H974" s="160">
        <f t="shared" si="41"/>
        <v>545436.66</v>
      </c>
      <c r="I974" s="160"/>
      <c r="J974" s="161"/>
      <c r="K974" s="160"/>
      <c r="L974" s="160">
        <f>+'FACP$'!$H974-'FACP$'!$I974-'FACP$'!$K974</f>
        <v>545436.66</v>
      </c>
      <c r="M974" s="162" t="s">
        <v>825</v>
      </c>
      <c r="N974" s="162" t="s">
        <v>554</v>
      </c>
      <c r="O974" s="175">
        <v>43599.0</v>
      </c>
      <c r="P974" s="164">
        <f t="shared" si="13"/>
        <v>43598</v>
      </c>
      <c r="Q974" s="165">
        <f t="shared" si="2"/>
        <v>0</v>
      </c>
      <c r="R974" s="167"/>
      <c r="S974" s="167"/>
      <c r="T974" s="168">
        <f t="shared" si="3"/>
        <v>545436.66</v>
      </c>
      <c r="U974" s="168">
        <f t="shared" si="4"/>
        <v>0</v>
      </c>
      <c r="V974" s="168">
        <f t="shared" si="5"/>
        <v>0</v>
      </c>
      <c r="W974" s="168">
        <f t="shared" si="6"/>
        <v>0</v>
      </c>
      <c r="X974" s="168">
        <f t="shared" si="7"/>
        <v>0</v>
      </c>
      <c r="Y974" s="168">
        <f t="shared" si="8"/>
        <v>0</v>
      </c>
      <c r="Z974" s="168">
        <f t="shared" si="9"/>
        <v>0</v>
      </c>
    </row>
    <row r="975" ht="15.75" customHeight="1">
      <c r="A975" s="157">
        <v>1766.0</v>
      </c>
      <c r="B975" s="158" t="s">
        <v>33</v>
      </c>
      <c r="C975" s="158" t="s">
        <v>949</v>
      </c>
      <c r="D975" s="159">
        <v>43588.0</v>
      </c>
      <c r="E975" s="157" t="s">
        <v>731</v>
      </c>
      <c r="F975" s="160">
        <v>371819.41</v>
      </c>
      <c r="G975" s="160">
        <v>59491.11</v>
      </c>
      <c r="H975" s="160">
        <f t="shared" si="41"/>
        <v>431310.52</v>
      </c>
      <c r="I975" s="160"/>
      <c r="J975" s="161"/>
      <c r="K975" s="160"/>
      <c r="L975" s="160">
        <f>+'FACP$'!$H975-'FACP$'!$I975-'FACP$'!$K975</f>
        <v>431310.52</v>
      </c>
      <c r="M975" s="162" t="s">
        <v>33</v>
      </c>
      <c r="N975" s="162" t="s">
        <v>554</v>
      </c>
      <c r="O975" s="175">
        <v>43626.0</v>
      </c>
      <c r="P975" s="164">
        <f t="shared" si="13"/>
        <v>43598</v>
      </c>
      <c r="Q975" s="165">
        <f t="shared" si="2"/>
        <v>0</v>
      </c>
      <c r="R975" s="167"/>
      <c r="S975" s="167" t="s">
        <v>910</v>
      </c>
      <c r="T975" s="168">
        <f t="shared" si="3"/>
        <v>431310.52</v>
      </c>
      <c r="U975" s="168">
        <f t="shared" si="4"/>
        <v>0</v>
      </c>
      <c r="V975" s="168">
        <f t="shared" si="5"/>
        <v>0</v>
      </c>
      <c r="W975" s="168">
        <f t="shared" si="6"/>
        <v>0</v>
      </c>
      <c r="X975" s="168">
        <f t="shared" si="7"/>
        <v>0</v>
      </c>
      <c r="Y975" s="168">
        <f t="shared" si="8"/>
        <v>0</v>
      </c>
      <c r="Z975" s="168">
        <f t="shared" si="9"/>
        <v>0</v>
      </c>
    </row>
    <row r="976" ht="15.75" customHeight="1">
      <c r="A976" s="157">
        <v>1768.0</v>
      </c>
      <c r="B976" s="158" t="s">
        <v>43</v>
      </c>
      <c r="C976" s="158" t="s">
        <v>949</v>
      </c>
      <c r="D976" s="159">
        <v>43588.0</v>
      </c>
      <c r="E976" s="157" t="s">
        <v>731</v>
      </c>
      <c r="F976" s="222">
        <v>364452.44</v>
      </c>
      <c r="G976" s="160">
        <v>58312.39</v>
      </c>
      <c r="H976" s="160">
        <f t="shared" si="41"/>
        <v>422764.83</v>
      </c>
      <c r="I976" s="160"/>
      <c r="J976" s="161"/>
      <c r="K976" s="160"/>
      <c r="L976" s="160">
        <f>+'FACP$'!$H976-'FACP$'!$I976-'FACP$'!$K976</f>
        <v>422764.83</v>
      </c>
      <c r="M976" s="162" t="s">
        <v>43</v>
      </c>
      <c r="N976" s="162" t="s">
        <v>554</v>
      </c>
      <c r="O976" s="175">
        <v>43634.0</v>
      </c>
      <c r="P976" s="164">
        <f t="shared" si="13"/>
        <v>43598</v>
      </c>
      <c r="Q976" s="165">
        <f t="shared" si="2"/>
        <v>0</v>
      </c>
      <c r="R976" s="167"/>
      <c r="S976" s="220" t="s">
        <v>910</v>
      </c>
      <c r="T976" s="168">
        <f t="shared" si="3"/>
        <v>422764.83</v>
      </c>
      <c r="U976" s="168">
        <f t="shared" si="4"/>
        <v>0</v>
      </c>
      <c r="V976" s="168">
        <f t="shared" si="5"/>
        <v>0</v>
      </c>
      <c r="W976" s="168">
        <f t="shared" si="6"/>
        <v>0</v>
      </c>
      <c r="X976" s="168">
        <f t="shared" si="7"/>
        <v>0</v>
      </c>
      <c r="Y976" s="168">
        <f t="shared" si="8"/>
        <v>0</v>
      </c>
      <c r="Z976" s="168">
        <f t="shared" si="9"/>
        <v>0</v>
      </c>
    </row>
    <row r="977" ht="15.75" customHeight="1">
      <c r="A977" s="157">
        <v>1770.0</v>
      </c>
      <c r="B977" s="158" t="s">
        <v>30</v>
      </c>
      <c r="C977" s="158" t="s">
        <v>949</v>
      </c>
      <c r="D977" s="159">
        <v>43588.0</v>
      </c>
      <c r="E977" s="157" t="s">
        <v>731</v>
      </c>
      <c r="F977" s="160">
        <v>2050.25</v>
      </c>
      <c r="G977" s="160">
        <v>328.04</v>
      </c>
      <c r="H977" s="160">
        <f t="shared" si="41"/>
        <v>2378.29</v>
      </c>
      <c r="I977" s="160"/>
      <c r="J977" s="161"/>
      <c r="K977" s="160"/>
      <c r="L977" s="160">
        <f>+'FACP$'!$H977-'FACP$'!$I977-'FACP$'!$K977</f>
        <v>2378.29</v>
      </c>
      <c r="M977" s="162" t="s">
        <v>891</v>
      </c>
      <c r="N977" s="162" t="s">
        <v>554</v>
      </c>
      <c r="O977" s="175">
        <v>43595.0</v>
      </c>
      <c r="P977" s="164">
        <f t="shared" si="13"/>
        <v>43598</v>
      </c>
      <c r="Q977" s="165">
        <f t="shared" si="2"/>
        <v>0</v>
      </c>
      <c r="R977" s="167"/>
      <c r="S977" s="223" t="s">
        <v>910</v>
      </c>
      <c r="T977" s="168">
        <f t="shared" si="3"/>
        <v>2378.29</v>
      </c>
      <c r="U977" s="168">
        <f t="shared" si="4"/>
        <v>0</v>
      </c>
      <c r="V977" s="168">
        <f t="shared" si="5"/>
        <v>0</v>
      </c>
      <c r="W977" s="168">
        <f t="shared" si="6"/>
        <v>0</v>
      </c>
      <c r="X977" s="168">
        <f t="shared" si="7"/>
        <v>0</v>
      </c>
      <c r="Y977" s="168">
        <f t="shared" si="8"/>
        <v>0</v>
      </c>
      <c r="Z977" s="168">
        <f t="shared" si="9"/>
        <v>0</v>
      </c>
    </row>
    <row r="978" ht="15.75" customHeight="1">
      <c r="A978" s="157">
        <v>1772.0</v>
      </c>
      <c r="B978" s="158" t="s">
        <v>837</v>
      </c>
      <c r="C978" s="158" t="s">
        <v>949</v>
      </c>
      <c r="D978" s="159">
        <v>43588.0</v>
      </c>
      <c r="E978" s="157" t="s">
        <v>731</v>
      </c>
      <c r="F978" s="160">
        <v>1088330.21</v>
      </c>
      <c r="G978" s="160">
        <v>174132.83</v>
      </c>
      <c r="H978" s="160">
        <f t="shared" si="41"/>
        <v>1262463.04</v>
      </c>
      <c r="I978" s="160"/>
      <c r="J978" s="161"/>
      <c r="K978" s="160"/>
      <c r="L978" s="160">
        <f>+'FACP$'!$H978-'FACP$'!$I978-'FACP$'!$K978</f>
        <v>1262463.04</v>
      </c>
      <c r="M978" s="162" t="s">
        <v>837</v>
      </c>
      <c r="N978" s="162" t="s">
        <v>554</v>
      </c>
      <c r="O978" s="175">
        <v>43594.0</v>
      </c>
      <c r="P978" s="164">
        <f t="shared" si="13"/>
        <v>43598</v>
      </c>
      <c r="Q978" s="165">
        <f t="shared" si="2"/>
        <v>0</v>
      </c>
      <c r="R978" s="167"/>
      <c r="S978" s="167" t="s">
        <v>910</v>
      </c>
      <c r="T978" s="168">
        <f t="shared" si="3"/>
        <v>1262463.04</v>
      </c>
      <c r="U978" s="168">
        <f t="shared" si="4"/>
        <v>0</v>
      </c>
      <c r="V978" s="168">
        <f t="shared" si="5"/>
        <v>0</v>
      </c>
      <c r="W978" s="168">
        <f t="shared" si="6"/>
        <v>0</v>
      </c>
      <c r="X978" s="168">
        <f t="shared" si="7"/>
        <v>0</v>
      </c>
      <c r="Y978" s="168">
        <f t="shared" si="8"/>
        <v>0</v>
      </c>
      <c r="Z978" s="168">
        <f t="shared" si="9"/>
        <v>0</v>
      </c>
    </row>
    <row r="979" ht="15.75" customHeight="1">
      <c r="A979" s="157">
        <v>1777.0</v>
      </c>
      <c r="B979" s="158" t="s">
        <v>82</v>
      </c>
      <c r="C979" s="158" t="s">
        <v>950</v>
      </c>
      <c r="D979" s="159">
        <v>43588.0</v>
      </c>
      <c r="E979" s="157" t="s">
        <v>731</v>
      </c>
      <c r="F979" s="160">
        <v>80000.0</v>
      </c>
      <c r="G979" s="160">
        <v>12800.0</v>
      </c>
      <c r="H979" s="160">
        <f t="shared" si="41"/>
        <v>92800</v>
      </c>
      <c r="I979" s="160"/>
      <c r="J979" s="161"/>
      <c r="K979" s="160"/>
      <c r="L979" s="160">
        <f>+'FACP$'!$H979-'FACP$'!$I979-'FACP$'!$K979</f>
        <v>92800</v>
      </c>
      <c r="M979" s="162" t="s">
        <v>714</v>
      </c>
      <c r="N979" s="162" t="s">
        <v>554</v>
      </c>
      <c r="O979" s="175">
        <v>43599.0</v>
      </c>
      <c r="P979" s="164">
        <f t="shared" si="13"/>
        <v>43598</v>
      </c>
      <c r="Q979" s="165">
        <f t="shared" si="2"/>
        <v>0</v>
      </c>
      <c r="R979" s="167"/>
      <c r="S979" s="167"/>
      <c r="T979" s="168">
        <f t="shared" si="3"/>
        <v>92800</v>
      </c>
      <c r="U979" s="168">
        <f t="shared" si="4"/>
        <v>0</v>
      </c>
      <c r="V979" s="168">
        <f t="shared" si="5"/>
        <v>0</v>
      </c>
      <c r="W979" s="168">
        <f t="shared" si="6"/>
        <v>0</v>
      </c>
      <c r="X979" s="168">
        <f t="shared" si="7"/>
        <v>0</v>
      </c>
      <c r="Y979" s="168">
        <f t="shared" si="8"/>
        <v>0</v>
      </c>
      <c r="Z979" s="168">
        <f t="shared" si="9"/>
        <v>0</v>
      </c>
    </row>
    <row r="980" ht="15.75" customHeight="1">
      <c r="A980" s="157">
        <v>1778.0</v>
      </c>
      <c r="B980" s="158" t="s">
        <v>18</v>
      </c>
      <c r="C980" s="158" t="s">
        <v>949</v>
      </c>
      <c r="D980" s="159">
        <v>43591.0</v>
      </c>
      <c r="E980" s="157" t="s">
        <v>731</v>
      </c>
      <c r="F980" s="160">
        <v>165243.39</v>
      </c>
      <c r="G980" s="160">
        <v>26438.94</v>
      </c>
      <c r="H980" s="160">
        <f t="shared" si="41"/>
        <v>191682.33</v>
      </c>
      <c r="I980" s="160"/>
      <c r="J980" s="161"/>
      <c r="K980" s="160"/>
      <c r="L980" s="160">
        <f>+'FACP$'!$H980-'FACP$'!$I980-'FACP$'!$K980</f>
        <v>191682.33</v>
      </c>
      <c r="M980" s="162" t="s">
        <v>586</v>
      </c>
      <c r="N980" s="162" t="s">
        <v>554</v>
      </c>
      <c r="O980" s="175">
        <v>43633.0</v>
      </c>
      <c r="P980" s="164">
        <f t="shared" si="13"/>
        <v>43601</v>
      </c>
      <c r="Q980" s="165">
        <f t="shared" si="2"/>
        <v>0</v>
      </c>
      <c r="R980" s="167"/>
      <c r="S980" s="220" t="s">
        <v>910</v>
      </c>
      <c r="T980" s="168">
        <f t="shared" si="3"/>
        <v>191682.33</v>
      </c>
      <c r="U980" s="168">
        <f t="shared" si="4"/>
        <v>0</v>
      </c>
      <c r="V980" s="168">
        <f t="shared" si="5"/>
        <v>0</v>
      </c>
      <c r="W980" s="168">
        <f t="shared" si="6"/>
        <v>0</v>
      </c>
      <c r="X980" s="168">
        <f t="shared" si="7"/>
        <v>0</v>
      </c>
      <c r="Y980" s="168">
        <f t="shared" si="8"/>
        <v>0</v>
      </c>
      <c r="Z980" s="168">
        <f t="shared" si="9"/>
        <v>0</v>
      </c>
    </row>
    <row r="981" ht="15.75" customHeight="1">
      <c r="A981" s="157">
        <v>1780.0</v>
      </c>
      <c r="B981" s="158" t="s">
        <v>19</v>
      </c>
      <c r="C981" s="158" t="s">
        <v>949</v>
      </c>
      <c r="D981" s="159">
        <v>43591.0</v>
      </c>
      <c r="E981" s="157" t="s">
        <v>731</v>
      </c>
      <c r="F981" s="160">
        <v>216907.99</v>
      </c>
      <c r="G981" s="160">
        <v>34705.28</v>
      </c>
      <c r="H981" s="160">
        <f t="shared" si="41"/>
        <v>251613.27</v>
      </c>
      <c r="I981" s="160"/>
      <c r="J981" s="161"/>
      <c r="K981" s="160"/>
      <c r="L981" s="160">
        <f>+'FACP$'!$H981-'FACP$'!$I981-'FACP$'!$K981</f>
        <v>251613.27</v>
      </c>
      <c r="M981" s="162" t="s">
        <v>732</v>
      </c>
      <c r="N981" s="162" t="s">
        <v>554</v>
      </c>
      <c r="O981" s="175">
        <v>43633.0</v>
      </c>
      <c r="P981" s="164">
        <f t="shared" si="13"/>
        <v>43601</v>
      </c>
      <c r="Q981" s="165">
        <f t="shared" si="2"/>
        <v>0</v>
      </c>
      <c r="R981" s="167"/>
      <c r="S981" s="220" t="s">
        <v>910</v>
      </c>
      <c r="T981" s="168">
        <f t="shared" si="3"/>
        <v>251613.27</v>
      </c>
      <c r="U981" s="168">
        <f t="shared" si="4"/>
        <v>0</v>
      </c>
      <c r="V981" s="168">
        <f t="shared" si="5"/>
        <v>0</v>
      </c>
      <c r="W981" s="168">
        <f t="shared" si="6"/>
        <v>0</v>
      </c>
      <c r="X981" s="168">
        <f t="shared" si="7"/>
        <v>0</v>
      </c>
      <c r="Y981" s="168">
        <f t="shared" si="8"/>
        <v>0</v>
      </c>
      <c r="Z981" s="168">
        <f t="shared" si="9"/>
        <v>0</v>
      </c>
    </row>
    <row r="982" ht="15.75" customHeight="1">
      <c r="A982" s="157">
        <v>1782.0</v>
      </c>
      <c r="B982" s="158" t="s">
        <v>37</v>
      </c>
      <c r="C982" s="158" t="s">
        <v>949</v>
      </c>
      <c r="D982" s="159">
        <v>43591.0</v>
      </c>
      <c r="E982" s="157" t="s">
        <v>731</v>
      </c>
      <c r="F982" s="160">
        <v>1345345.32</v>
      </c>
      <c r="G982" s="160">
        <v>215255.25</v>
      </c>
      <c r="H982" s="160">
        <f t="shared" si="41"/>
        <v>1560600.57</v>
      </c>
      <c r="I982" s="160"/>
      <c r="J982" s="161"/>
      <c r="K982" s="160"/>
      <c r="L982" s="160">
        <f>+'FACP$'!$H982-'FACP$'!$I982-'FACP$'!$K982</f>
        <v>1560600.57</v>
      </c>
      <c r="M982" s="162" t="s">
        <v>116</v>
      </c>
      <c r="N982" s="162" t="s">
        <v>554</v>
      </c>
      <c r="O982" s="175">
        <v>43613.0</v>
      </c>
      <c r="P982" s="164">
        <f t="shared" si="13"/>
        <v>43601</v>
      </c>
      <c r="Q982" s="165">
        <f t="shared" si="2"/>
        <v>0</v>
      </c>
      <c r="R982" s="167"/>
      <c r="S982" s="220" t="s">
        <v>910</v>
      </c>
      <c r="T982" s="168">
        <f t="shared" si="3"/>
        <v>1560600.57</v>
      </c>
      <c r="U982" s="168">
        <f t="shared" si="4"/>
        <v>0</v>
      </c>
      <c r="V982" s="168">
        <f t="shared" si="5"/>
        <v>0</v>
      </c>
      <c r="W982" s="168">
        <f t="shared" si="6"/>
        <v>0</v>
      </c>
      <c r="X982" s="168">
        <f t="shared" si="7"/>
        <v>0</v>
      </c>
      <c r="Y982" s="168">
        <f t="shared" si="8"/>
        <v>0</v>
      </c>
      <c r="Z982" s="168">
        <f t="shared" si="9"/>
        <v>0</v>
      </c>
    </row>
    <row r="983" ht="15.75" customHeight="1">
      <c r="A983" s="157">
        <v>1785.0</v>
      </c>
      <c r="B983" s="158" t="s">
        <v>41</v>
      </c>
      <c r="C983" s="158" t="s">
        <v>949</v>
      </c>
      <c r="D983" s="159">
        <v>43592.0</v>
      </c>
      <c r="E983" s="157" t="s">
        <v>731</v>
      </c>
      <c r="F983" s="160">
        <v>288874.23</v>
      </c>
      <c r="G983" s="160">
        <v>46219.88</v>
      </c>
      <c r="H983" s="160">
        <f t="shared" si="41"/>
        <v>335094.11</v>
      </c>
      <c r="I983" s="160"/>
      <c r="J983" s="161"/>
      <c r="K983" s="160"/>
      <c r="L983" s="160">
        <f>+'FACP$'!$H983-'FACP$'!$I983-'FACP$'!$K983</f>
        <v>335094.11</v>
      </c>
      <c r="M983" s="162" t="s">
        <v>121</v>
      </c>
      <c r="N983" s="162" t="s">
        <v>554</v>
      </c>
      <c r="O983" s="175">
        <v>43696.0</v>
      </c>
      <c r="P983" s="164">
        <f t="shared" si="13"/>
        <v>43602</v>
      </c>
      <c r="Q983" s="165">
        <f t="shared" si="2"/>
        <v>0</v>
      </c>
      <c r="R983" s="167"/>
      <c r="S983" s="167"/>
      <c r="T983" s="168">
        <f t="shared" si="3"/>
        <v>335094.11</v>
      </c>
      <c r="U983" s="168">
        <f t="shared" si="4"/>
        <v>0</v>
      </c>
      <c r="V983" s="168">
        <f t="shared" si="5"/>
        <v>0</v>
      </c>
      <c r="W983" s="168">
        <f t="shared" si="6"/>
        <v>0</v>
      </c>
      <c r="X983" s="168">
        <f t="shared" si="7"/>
        <v>0</v>
      </c>
      <c r="Y983" s="168">
        <f t="shared" si="8"/>
        <v>0</v>
      </c>
      <c r="Z983" s="168">
        <f t="shared" si="9"/>
        <v>0</v>
      </c>
    </row>
    <row r="984" ht="15.75" customHeight="1">
      <c r="A984" s="157">
        <v>1787.0</v>
      </c>
      <c r="B984" s="158" t="s">
        <v>29</v>
      </c>
      <c r="C984" s="158" t="s">
        <v>951</v>
      </c>
      <c r="D984" s="159">
        <v>43601.0</v>
      </c>
      <c r="E984" s="157" t="s">
        <v>731</v>
      </c>
      <c r="F984" s="160">
        <v>450149.46</v>
      </c>
      <c r="G984" s="160">
        <v>72023.91</v>
      </c>
      <c r="H984" s="160">
        <f t="shared" si="41"/>
        <v>522173.37</v>
      </c>
      <c r="I984" s="160"/>
      <c r="J984" s="161"/>
      <c r="K984" s="160"/>
      <c r="L984" s="160">
        <f>+'FACP$'!$H984-'FACP$'!$I984-'FACP$'!$K984</f>
        <v>522173.37</v>
      </c>
      <c r="M984" s="162" t="s">
        <v>825</v>
      </c>
      <c r="N984" s="162" t="s">
        <v>554</v>
      </c>
      <c r="O984" s="175">
        <v>43608.0</v>
      </c>
      <c r="P984" s="164">
        <f t="shared" si="13"/>
        <v>43611</v>
      </c>
      <c r="Q984" s="165">
        <f t="shared" si="2"/>
        <v>0</v>
      </c>
      <c r="R984" s="167"/>
      <c r="S984" s="167"/>
      <c r="T984" s="168">
        <f t="shared" si="3"/>
        <v>522173.37</v>
      </c>
      <c r="U984" s="168">
        <f t="shared" si="4"/>
        <v>0</v>
      </c>
      <c r="V984" s="168">
        <f t="shared" si="5"/>
        <v>0</v>
      </c>
      <c r="W984" s="168">
        <f t="shared" si="6"/>
        <v>0</v>
      </c>
      <c r="X984" s="168">
        <f t="shared" si="7"/>
        <v>0</v>
      </c>
      <c r="Y984" s="168">
        <f t="shared" si="8"/>
        <v>0</v>
      </c>
      <c r="Z984" s="168">
        <f t="shared" si="9"/>
        <v>0</v>
      </c>
    </row>
    <row r="985" ht="15.75" customHeight="1">
      <c r="A985" s="157">
        <v>1789.0</v>
      </c>
      <c r="B985" s="158" t="s">
        <v>33</v>
      </c>
      <c r="C985" s="158" t="s">
        <v>952</v>
      </c>
      <c r="D985" s="159">
        <v>43601.0</v>
      </c>
      <c r="E985" s="157" t="s">
        <v>731</v>
      </c>
      <c r="F985" s="160">
        <v>378242.01</v>
      </c>
      <c r="G985" s="160">
        <v>60518.72</v>
      </c>
      <c r="H985" s="160">
        <f t="shared" si="41"/>
        <v>438760.73</v>
      </c>
      <c r="I985" s="160"/>
      <c r="J985" s="161"/>
      <c r="K985" s="160"/>
      <c r="L985" s="160">
        <f>+'FACP$'!$H985-'FACP$'!$I985-'FACP$'!$K985</f>
        <v>438760.73</v>
      </c>
      <c r="M985" s="162" t="s">
        <v>33</v>
      </c>
      <c r="N985" s="162" t="s">
        <v>554</v>
      </c>
      <c r="O985" s="175">
        <v>43640.0</v>
      </c>
      <c r="P985" s="164">
        <f t="shared" si="13"/>
        <v>43611</v>
      </c>
      <c r="Q985" s="165">
        <f t="shared" si="2"/>
        <v>0</v>
      </c>
      <c r="R985" s="167"/>
      <c r="S985" s="220" t="s">
        <v>910</v>
      </c>
      <c r="T985" s="168">
        <f t="shared" si="3"/>
        <v>438760.73</v>
      </c>
      <c r="U985" s="168">
        <f t="shared" si="4"/>
        <v>0</v>
      </c>
      <c r="V985" s="168">
        <f t="shared" si="5"/>
        <v>0</v>
      </c>
      <c r="W985" s="168">
        <f t="shared" si="6"/>
        <v>0</v>
      </c>
      <c r="X985" s="168">
        <f t="shared" si="7"/>
        <v>0</v>
      </c>
      <c r="Y985" s="168">
        <f t="shared" si="8"/>
        <v>0</v>
      </c>
      <c r="Z985" s="168">
        <f t="shared" si="9"/>
        <v>0</v>
      </c>
    </row>
    <row r="986" ht="15.75" customHeight="1">
      <c r="A986" s="157">
        <v>1791.0</v>
      </c>
      <c r="B986" s="158" t="s">
        <v>30</v>
      </c>
      <c r="C986" s="158" t="s">
        <v>952</v>
      </c>
      <c r="D986" s="159">
        <v>43601.0</v>
      </c>
      <c r="E986" s="157" t="s">
        <v>731</v>
      </c>
      <c r="F986" s="160">
        <v>75090.76</v>
      </c>
      <c r="G986" s="160">
        <v>12014.52</v>
      </c>
      <c r="H986" s="160">
        <f t="shared" si="41"/>
        <v>87105.28</v>
      </c>
      <c r="I986" s="160"/>
      <c r="J986" s="161"/>
      <c r="K986" s="160"/>
      <c r="L986" s="160">
        <f>+'FACP$'!$H986-'FACP$'!$I986-'FACP$'!$K986</f>
        <v>87105.28</v>
      </c>
      <c r="M986" s="162" t="s">
        <v>891</v>
      </c>
      <c r="N986" s="162" t="s">
        <v>554</v>
      </c>
      <c r="O986" s="175">
        <v>43626.0</v>
      </c>
      <c r="P986" s="164">
        <f t="shared" si="13"/>
        <v>43611</v>
      </c>
      <c r="Q986" s="165">
        <f t="shared" si="2"/>
        <v>0</v>
      </c>
      <c r="R986" s="167"/>
      <c r="S986" s="223" t="s">
        <v>910</v>
      </c>
      <c r="T986" s="168">
        <f t="shared" si="3"/>
        <v>87105.28</v>
      </c>
      <c r="U986" s="168">
        <f t="shared" si="4"/>
        <v>0</v>
      </c>
      <c r="V986" s="168">
        <f t="shared" si="5"/>
        <v>0</v>
      </c>
      <c r="W986" s="168">
        <f t="shared" si="6"/>
        <v>0</v>
      </c>
      <c r="X986" s="168">
        <f t="shared" si="7"/>
        <v>0</v>
      </c>
      <c r="Y986" s="168">
        <f t="shared" si="8"/>
        <v>0</v>
      </c>
      <c r="Z986" s="168">
        <f t="shared" si="9"/>
        <v>0</v>
      </c>
    </row>
    <row r="987" ht="15.75" customHeight="1">
      <c r="A987" s="157">
        <v>1793.0</v>
      </c>
      <c r="B987" s="158" t="s">
        <v>43</v>
      </c>
      <c r="C987" s="158" t="s">
        <v>952</v>
      </c>
      <c r="D987" s="159">
        <v>43601.0</v>
      </c>
      <c r="E987" s="157" t="s">
        <v>731</v>
      </c>
      <c r="F987" s="160">
        <v>352123.82</v>
      </c>
      <c r="G987" s="160">
        <v>56339.81</v>
      </c>
      <c r="H987" s="160">
        <f t="shared" si="41"/>
        <v>408463.63</v>
      </c>
      <c r="I987" s="160"/>
      <c r="J987" s="161"/>
      <c r="K987" s="160"/>
      <c r="L987" s="160">
        <f>+'FACP$'!$H987-'FACP$'!$I987-'FACP$'!$K987</f>
        <v>408463.63</v>
      </c>
      <c r="M987" s="162" t="s">
        <v>43</v>
      </c>
      <c r="N987" s="162" t="s">
        <v>554</v>
      </c>
      <c r="O987" s="175">
        <v>43634.0</v>
      </c>
      <c r="P987" s="164">
        <f t="shared" si="13"/>
        <v>43611</v>
      </c>
      <c r="Q987" s="165">
        <f t="shared" si="2"/>
        <v>0</v>
      </c>
      <c r="R987" s="167"/>
      <c r="S987" s="220" t="s">
        <v>910</v>
      </c>
      <c r="T987" s="168">
        <f t="shared" si="3"/>
        <v>408463.63</v>
      </c>
      <c r="U987" s="168">
        <f t="shared" si="4"/>
        <v>0</v>
      </c>
      <c r="V987" s="168">
        <f t="shared" si="5"/>
        <v>0</v>
      </c>
      <c r="W987" s="168">
        <f t="shared" si="6"/>
        <v>0</v>
      </c>
      <c r="X987" s="168">
        <f t="shared" si="7"/>
        <v>0</v>
      </c>
      <c r="Y987" s="168">
        <f t="shared" si="8"/>
        <v>0</v>
      </c>
      <c r="Z987" s="168">
        <f t="shared" si="9"/>
        <v>0</v>
      </c>
    </row>
    <row r="988" ht="15.75" customHeight="1">
      <c r="A988" s="157">
        <v>1795.0</v>
      </c>
      <c r="B988" s="158" t="s">
        <v>837</v>
      </c>
      <c r="C988" s="158" t="s">
        <v>952</v>
      </c>
      <c r="D988" s="159">
        <v>43602.0</v>
      </c>
      <c r="E988" s="157" t="s">
        <v>731</v>
      </c>
      <c r="F988" s="160">
        <v>1058826.13</v>
      </c>
      <c r="G988" s="160">
        <v>169412.18</v>
      </c>
      <c r="H988" s="160">
        <f t="shared" si="41"/>
        <v>1228238.31</v>
      </c>
      <c r="I988" s="160"/>
      <c r="J988" s="161"/>
      <c r="K988" s="160"/>
      <c r="L988" s="160">
        <f>+'FACP$'!$H988-'FACP$'!$I988-'FACP$'!$K988</f>
        <v>1228238.31</v>
      </c>
      <c r="M988" s="162" t="s">
        <v>837</v>
      </c>
      <c r="N988" s="162" t="s">
        <v>554</v>
      </c>
      <c r="O988" s="175">
        <v>43608.0</v>
      </c>
      <c r="P988" s="164">
        <f t="shared" si="13"/>
        <v>43612</v>
      </c>
      <c r="Q988" s="165">
        <f t="shared" si="2"/>
        <v>0</v>
      </c>
      <c r="R988" s="167"/>
      <c r="S988" s="220" t="s">
        <v>910</v>
      </c>
      <c r="T988" s="168">
        <f t="shared" si="3"/>
        <v>1228238.31</v>
      </c>
      <c r="U988" s="168">
        <f t="shared" si="4"/>
        <v>0</v>
      </c>
      <c r="V988" s="168">
        <f t="shared" si="5"/>
        <v>0</v>
      </c>
      <c r="W988" s="168">
        <f t="shared" si="6"/>
        <v>0</v>
      </c>
      <c r="X988" s="168">
        <f t="shared" si="7"/>
        <v>0</v>
      </c>
      <c r="Y988" s="168">
        <f t="shared" si="8"/>
        <v>0</v>
      </c>
      <c r="Z988" s="168">
        <f t="shared" si="9"/>
        <v>0</v>
      </c>
    </row>
    <row r="989" ht="15.75" customHeight="1">
      <c r="A989" s="157">
        <v>1796.0</v>
      </c>
      <c r="B989" s="158" t="s">
        <v>18</v>
      </c>
      <c r="C989" s="158" t="s">
        <v>952</v>
      </c>
      <c r="D989" s="159">
        <v>43607.0</v>
      </c>
      <c r="E989" s="157" t="s">
        <v>731</v>
      </c>
      <c r="F989" s="160">
        <v>79418.02</v>
      </c>
      <c r="G989" s="160">
        <v>12706.88</v>
      </c>
      <c r="H989" s="160">
        <f t="shared" si="41"/>
        <v>92124.9</v>
      </c>
      <c r="I989" s="160"/>
      <c r="J989" s="161"/>
      <c r="K989" s="160"/>
      <c r="L989" s="160">
        <f>+'FACP$'!$H989-'FACP$'!$I989-'FACP$'!$K989</f>
        <v>92124.9</v>
      </c>
      <c r="M989" s="162" t="s">
        <v>586</v>
      </c>
      <c r="N989" s="162" t="s">
        <v>554</v>
      </c>
      <c r="O989" s="175">
        <v>43633.0</v>
      </c>
      <c r="P989" s="164">
        <f t="shared" si="13"/>
        <v>43617</v>
      </c>
      <c r="Q989" s="165">
        <f t="shared" si="2"/>
        <v>0</v>
      </c>
      <c r="R989" s="167"/>
      <c r="S989" s="220" t="s">
        <v>910</v>
      </c>
      <c r="T989" s="168">
        <f t="shared" si="3"/>
        <v>92124.9</v>
      </c>
      <c r="U989" s="168">
        <f t="shared" si="4"/>
        <v>0</v>
      </c>
      <c r="V989" s="168">
        <f t="shared" si="5"/>
        <v>0</v>
      </c>
      <c r="W989" s="168">
        <f t="shared" si="6"/>
        <v>0</v>
      </c>
      <c r="X989" s="168">
        <f t="shared" si="7"/>
        <v>0</v>
      </c>
      <c r="Y989" s="168">
        <f t="shared" si="8"/>
        <v>0</v>
      </c>
      <c r="Z989" s="168">
        <f t="shared" si="9"/>
        <v>0</v>
      </c>
    </row>
    <row r="990" ht="15.75" customHeight="1">
      <c r="A990" s="157">
        <v>1798.0</v>
      </c>
      <c r="B990" s="158" t="s">
        <v>19</v>
      </c>
      <c r="C990" s="158" t="s">
        <v>952</v>
      </c>
      <c r="D990" s="159">
        <v>43607.0</v>
      </c>
      <c r="E990" s="157" t="s">
        <v>731</v>
      </c>
      <c r="F990" s="160">
        <v>5101.8</v>
      </c>
      <c r="G990" s="160">
        <v>816.29</v>
      </c>
      <c r="H990" s="160">
        <f t="shared" si="41"/>
        <v>5918.09</v>
      </c>
      <c r="I990" s="160"/>
      <c r="J990" s="161"/>
      <c r="K990" s="160"/>
      <c r="L990" s="160">
        <f>+'FACP$'!$H990-'FACP$'!$I990-'FACP$'!$K990</f>
        <v>5918.09</v>
      </c>
      <c r="M990" s="162" t="s">
        <v>732</v>
      </c>
      <c r="N990" s="162" t="s">
        <v>554</v>
      </c>
      <c r="O990" s="175">
        <v>43633.0</v>
      </c>
      <c r="P990" s="164">
        <f t="shared" si="13"/>
        <v>43617</v>
      </c>
      <c r="Q990" s="165">
        <f t="shared" si="2"/>
        <v>0</v>
      </c>
      <c r="R990" s="167"/>
      <c r="S990" s="220" t="s">
        <v>910</v>
      </c>
      <c r="T990" s="168">
        <f t="shared" si="3"/>
        <v>5918.09</v>
      </c>
      <c r="U990" s="168">
        <f t="shared" si="4"/>
        <v>0</v>
      </c>
      <c r="V990" s="168">
        <f t="shared" si="5"/>
        <v>0</v>
      </c>
      <c r="W990" s="168">
        <f t="shared" si="6"/>
        <v>0</v>
      </c>
      <c r="X990" s="168">
        <f t="shared" si="7"/>
        <v>0</v>
      </c>
      <c r="Y990" s="168">
        <f t="shared" si="8"/>
        <v>0</v>
      </c>
      <c r="Z990" s="168">
        <f t="shared" si="9"/>
        <v>0</v>
      </c>
    </row>
    <row r="991" ht="15.75" customHeight="1">
      <c r="A991" s="157">
        <v>1800.0</v>
      </c>
      <c r="B991" s="158" t="s">
        <v>37</v>
      </c>
      <c r="C991" s="158" t="s">
        <v>952</v>
      </c>
      <c r="D991" s="159">
        <v>43607.0</v>
      </c>
      <c r="E991" s="157" t="s">
        <v>8</v>
      </c>
      <c r="F991" s="160">
        <v>993997.06</v>
      </c>
      <c r="G991" s="160">
        <v>159039.53</v>
      </c>
      <c r="H991" s="160">
        <f t="shared" si="41"/>
        <v>1153036.59</v>
      </c>
      <c r="I991" s="160"/>
      <c r="J991" s="161"/>
      <c r="K991" s="160"/>
      <c r="L991" s="160">
        <f>+'FACP$'!$H991-'FACP$'!$I991-'FACP$'!$K991</f>
        <v>1153036.59</v>
      </c>
      <c r="M991" s="162" t="s">
        <v>116</v>
      </c>
      <c r="N991" s="162" t="s">
        <v>554</v>
      </c>
      <c r="O991" s="175">
        <v>43634.0</v>
      </c>
      <c r="P991" s="164">
        <f t="shared" si="13"/>
        <v>43617</v>
      </c>
      <c r="Q991" s="165">
        <f t="shared" si="2"/>
        <v>0</v>
      </c>
      <c r="R991" s="167"/>
      <c r="S991" s="167" t="s">
        <v>910</v>
      </c>
      <c r="T991" s="168">
        <f t="shared" si="3"/>
        <v>1153036.59</v>
      </c>
      <c r="U991" s="168">
        <f t="shared" si="4"/>
        <v>0</v>
      </c>
      <c r="V991" s="168">
        <f t="shared" si="5"/>
        <v>0</v>
      </c>
      <c r="W991" s="168">
        <f t="shared" si="6"/>
        <v>0</v>
      </c>
      <c r="X991" s="168">
        <f t="shared" si="7"/>
        <v>0</v>
      </c>
      <c r="Y991" s="168">
        <f t="shared" si="8"/>
        <v>0</v>
      </c>
      <c r="Z991" s="168">
        <f t="shared" si="9"/>
        <v>0</v>
      </c>
    </row>
    <row r="992" ht="15.75" customHeight="1">
      <c r="A992" s="157">
        <v>1802.0</v>
      </c>
      <c r="B992" s="158" t="s">
        <v>41</v>
      </c>
      <c r="C992" s="158" t="s">
        <v>952</v>
      </c>
      <c r="D992" s="159">
        <v>43612.0</v>
      </c>
      <c r="E992" s="157" t="s">
        <v>731</v>
      </c>
      <c r="F992" s="160">
        <v>202334.52</v>
      </c>
      <c r="G992" s="160">
        <v>32373.52</v>
      </c>
      <c r="H992" s="160">
        <f t="shared" si="41"/>
        <v>234708.04</v>
      </c>
      <c r="I992" s="160"/>
      <c r="J992" s="161"/>
      <c r="K992" s="160"/>
      <c r="L992" s="160">
        <f>+'FACP$'!$H992-'FACP$'!$I992-'FACP$'!$K992</f>
        <v>234708.04</v>
      </c>
      <c r="M992" s="162" t="s">
        <v>121</v>
      </c>
      <c r="N992" s="162" t="s">
        <v>554</v>
      </c>
      <c r="O992" s="175">
        <v>43696.0</v>
      </c>
      <c r="P992" s="164">
        <f t="shared" si="13"/>
        <v>43622</v>
      </c>
      <c r="Q992" s="165">
        <f t="shared" si="2"/>
        <v>0</v>
      </c>
      <c r="R992" s="167"/>
      <c r="S992" s="167"/>
      <c r="T992" s="168">
        <f t="shared" si="3"/>
        <v>234708.04</v>
      </c>
      <c r="U992" s="168">
        <f t="shared" si="4"/>
        <v>0</v>
      </c>
      <c r="V992" s="168">
        <f t="shared" si="5"/>
        <v>0</v>
      </c>
      <c r="W992" s="168">
        <f t="shared" si="6"/>
        <v>0</v>
      </c>
      <c r="X992" s="168">
        <f t="shared" si="7"/>
        <v>0</v>
      </c>
      <c r="Y992" s="168">
        <f t="shared" si="8"/>
        <v>0</v>
      </c>
      <c r="Z992" s="168">
        <f t="shared" si="9"/>
        <v>0</v>
      </c>
    </row>
    <row r="993" ht="15.75" customHeight="1">
      <c r="A993" s="157">
        <v>1804.0</v>
      </c>
      <c r="B993" s="158" t="s">
        <v>953</v>
      </c>
      <c r="C993" s="158" t="s">
        <v>954</v>
      </c>
      <c r="D993" s="159">
        <v>43616.0</v>
      </c>
      <c r="E993" s="157" t="s">
        <v>731</v>
      </c>
      <c r="F993" s="160">
        <v>47381.41</v>
      </c>
      <c r="G993" s="160">
        <v>7581.03</v>
      </c>
      <c r="H993" s="160">
        <f t="shared" si="41"/>
        <v>54962.44</v>
      </c>
      <c r="I993" s="160"/>
      <c r="J993" s="161"/>
      <c r="K993" s="160"/>
      <c r="L993" s="160">
        <f>+'FACP$'!$H993-'FACP$'!$I993-'FACP$'!$K993</f>
        <v>54962.44</v>
      </c>
      <c r="M993" s="162" t="s">
        <v>955</v>
      </c>
      <c r="N993" s="162" t="s">
        <v>554</v>
      </c>
      <c r="O993" s="175">
        <v>43616.0</v>
      </c>
      <c r="P993" s="164">
        <f t="shared" si="13"/>
        <v>43626</v>
      </c>
      <c r="Q993" s="165">
        <f t="shared" si="2"/>
        <v>0</v>
      </c>
      <c r="R993" s="167" t="s">
        <v>956</v>
      </c>
      <c r="S993" s="167"/>
      <c r="T993" s="168">
        <f t="shared" si="3"/>
        <v>54962.44</v>
      </c>
      <c r="U993" s="168">
        <f t="shared" si="4"/>
        <v>0</v>
      </c>
      <c r="V993" s="168">
        <f t="shared" si="5"/>
        <v>0</v>
      </c>
      <c r="W993" s="168">
        <f t="shared" si="6"/>
        <v>0</v>
      </c>
      <c r="X993" s="168">
        <f t="shared" si="7"/>
        <v>0</v>
      </c>
      <c r="Y993" s="168">
        <f t="shared" si="8"/>
        <v>0</v>
      </c>
      <c r="Z993" s="168">
        <f t="shared" si="9"/>
        <v>0</v>
      </c>
    </row>
    <row r="994" ht="15.75" customHeight="1">
      <c r="A994" s="157">
        <v>1805.0</v>
      </c>
      <c r="B994" s="158" t="s">
        <v>18</v>
      </c>
      <c r="C994" s="158" t="s">
        <v>957</v>
      </c>
      <c r="D994" s="159">
        <v>43621.0</v>
      </c>
      <c r="E994" s="157" t="s">
        <v>731</v>
      </c>
      <c r="F994" s="160">
        <v>189616.9</v>
      </c>
      <c r="G994" s="160">
        <v>30338.7</v>
      </c>
      <c r="H994" s="160">
        <f t="shared" si="41"/>
        <v>219955.6</v>
      </c>
      <c r="I994" s="160"/>
      <c r="J994" s="161"/>
      <c r="K994" s="160"/>
      <c r="L994" s="160">
        <f>+'FACP$'!$H994-'FACP$'!$I994-'FACP$'!$K994</f>
        <v>219955.6</v>
      </c>
      <c r="M994" s="162" t="s">
        <v>586</v>
      </c>
      <c r="N994" s="162" t="s">
        <v>554</v>
      </c>
      <c r="O994" s="175">
        <v>43642.0</v>
      </c>
      <c r="P994" s="164">
        <f t="shared" si="13"/>
        <v>43631</v>
      </c>
      <c r="Q994" s="165">
        <f t="shared" si="2"/>
        <v>0</v>
      </c>
      <c r="R994" s="167"/>
      <c r="S994" s="220" t="s">
        <v>910</v>
      </c>
      <c r="T994" s="168">
        <f t="shared" si="3"/>
        <v>219955.6</v>
      </c>
      <c r="U994" s="168">
        <f t="shared" si="4"/>
        <v>0</v>
      </c>
      <c r="V994" s="168">
        <f t="shared" si="5"/>
        <v>0</v>
      </c>
      <c r="W994" s="168">
        <f t="shared" si="6"/>
        <v>0</v>
      </c>
      <c r="X994" s="168">
        <f t="shared" si="7"/>
        <v>0</v>
      </c>
      <c r="Y994" s="168">
        <f t="shared" si="8"/>
        <v>0</v>
      </c>
      <c r="Z994" s="168">
        <f t="shared" si="9"/>
        <v>0</v>
      </c>
    </row>
    <row r="995" ht="15.75" customHeight="1">
      <c r="A995" s="157">
        <v>1807.0</v>
      </c>
      <c r="B995" s="158" t="s">
        <v>29</v>
      </c>
      <c r="C995" s="158" t="s">
        <v>957</v>
      </c>
      <c r="D995" s="159">
        <v>43621.0</v>
      </c>
      <c r="E995" s="157" t="s">
        <v>731</v>
      </c>
      <c r="F995" s="160">
        <v>484647.39</v>
      </c>
      <c r="G995" s="160">
        <v>77543.58</v>
      </c>
      <c r="H995" s="160">
        <f t="shared" si="41"/>
        <v>562190.97</v>
      </c>
      <c r="I995" s="160"/>
      <c r="J995" s="161"/>
      <c r="K995" s="160"/>
      <c r="L995" s="160">
        <f>+'FACP$'!$H995-'FACP$'!$I995-'FACP$'!$K995</f>
        <v>562190.97</v>
      </c>
      <c r="M995" s="162" t="s">
        <v>825</v>
      </c>
      <c r="N995" s="162" t="s">
        <v>554</v>
      </c>
      <c r="O995" s="175">
        <v>43627.0</v>
      </c>
      <c r="P995" s="164">
        <f t="shared" si="13"/>
        <v>43631</v>
      </c>
      <c r="Q995" s="165">
        <f t="shared" si="2"/>
        <v>0</v>
      </c>
      <c r="R995" s="167"/>
      <c r="S995" s="167"/>
      <c r="T995" s="168">
        <f t="shared" si="3"/>
        <v>562190.97</v>
      </c>
      <c r="U995" s="168">
        <f t="shared" si="4"/>
        <v>0</v>
      </c>
      <c r="V995" s="168">
        <f t="shared" si="5"/>
        <v>0</v>
      </c>
      <c r="W995" s="168">
        <f t="shared" si="6"/>
        <v>0</v>
      </c>
      <c r="X995" s="168">
        <f t="shared" si="7"/>
        <v>0</v>
      </c>
      <c r="Y995" s="168">
        <f t="shared" si="8"/>
        <v>0</v>
      </c>
      <c r="Z995" s="168">
        <f t="shared" si="9"/>
        <v>0</v>
      </c>
    </row>
    <row r="996" ht="15.75" customHeight="1">
      <c r="A996" s="157">
        <v>1809.0</v>
      </c>
      <c r="B996" s="158" t="s">
        <v>30</v>
      </c>
      <c r="C996" s="158" t="s">
        <v>957</v>
      </c>
      <c r="D996" s="159">
        <v>43621.0</v>
      </c>
      <c r="E996" s="157" t="s">
        <v>731</v>
      </c>
      <c r="F996" s="160">
        <v>191907.9</v>
      </c>
      <c r="G996" s="160">
        <v>30705.26</v>
      </c>
      <c r="H996" s="160">
        <f t="shared" si="41"/>
        <v>222613.16</v>
      </c>
      <c r="I996" s="160"/>
      <c r="J996" s="161"/>
      <c r="K996" s="160"/>
      <c r="L996" s="160">
        <f>+'FACP$'!$H996-'FACP$'!$I996-'FACP$'!$K996</f>
        <v>222613.16</v>
      </c>
      <c r="M996" s="162" t="s">
        <v>891</v>
      </c>
      <c r="N996" s="162" t="s">
        <v>554</v>
      </c>
      <c r="O996" s="175">
        <v>43640.0</v>
      </c>
      <c r="P996" s="164">
        <f t="shared" si="13"/>
        <v>43631</v>
      </c>
      <c r="Q996" s="165">
        <f t="shared" si="2"/>
        <v>0</v>
      </c>
      <c r="R996" s="167"/>
      <c r="S996" s="223" t="s">
        <v>910</v>
      </c>
      <c r="T996" s="168">
        <f t="shared" si="3"/>
        <v>222613.16</v>
      </c>
      <c r="U996" s="168">
        <f t="shared" si="4"/>
        <v>0</v>
      </c>
      <c r="V996" s="168">
        <f t="shared" si="5"/>
        <v>0</v>
      </c>
      <c r="W996" s="168">
        <f t="shared" si="6"/>
        <v>0</v>
      </c>
      <c r="X996" s="168">
        <f t="shared" si="7"/>
        <v>0</v>
      </c>
      <c r="Y996" s="168">
        <f t="shared" si="8"/>
        <v>0</v>
      </c>
      <c r="Z996" s="168">
        <f t="shared" si="9"/>
        <v>0</v>
      </c>
    </row>
    <row r="997" ht="15.75" customHeight="1">
      <c r="A997" s="157">
        <v>1811.0</v>
      </c>
      <c r="B997" s="158" t="s">
        <v>37</v>
      </c>
      <c r="C997" s="158" t="s">
        <v>957</v>
      </c>
      <c r="D997" s="159">
        <v>43621.0</v>
      </c>
      <c r="E997" s="157" t="s">
        <v>731</v>
      </c>
      <c r="F997" s="160">
        <v>1969216.65</v>
      </c>
      <c r="G997" s="160">
        <v>315074.66</v>
      </c>
      <c r="H997" s="160">
        <f t="shared" si="41"/>
        <v>2284291.31</v>
      </c>
      <c r="I997" s="160"/>
      <c r="J997" s="161"/>
      <c r="K997" s="160"/>
      <c r="L997" s="160">
        <f>+'FACP$'!$H997-'FACP$'!$I997-'FACP$'!$K997</f>
        <v>2284291.31</v>
      </c>
      <c r="M997" s="162" t="s">
        <v>116</v>
      </c>
      <c r="N997" s="162" t="s">
        <v>554</v>
      </c>
      <c r="O997" s="175">
        <v>43634.0</v>
      </c>
      <c r="P997" s="164">
        <f t="shared" si="13"/>
        <v>43631</v>
      </c>
      <c r="Q997" s="165">
        <f t="shared" si="2"/>
        <v>0</v>
      </c>
      <c r="R997" s="167"/>
      <c r="S997" s="167" t="s">
        <v>910</v>
      </c>
      <c r="T997" s="168">
        <f t="shared" si="3"/>
        <v>2284291.31</v>
      </c>
      <c r="U997" s="168">
        <f t="shared" si="4"/>
        <v>0</v>
      </c>
      <c r="V997" s="168">
        <f t="shared" si="5"/>
        <v>0</v>
      </c>
      <c r="W997" s="168">
        <f t="shared" si="6"/>
        <v>0</v>
      </c>
      <c r="X997" s="168">
        <f t="shared" si="7"/>
        <v>0</v>
      </c>
      <c r="Y997" s="168">
        <f t="shared" si="8"/>
        <v>0</v>
      </c>
      <c r="Z997" s="168">
        <f t="shared" si="9"/>
        <v>0</v>
      </c>
    </row>
    <row r="998" ht="15.75" customHeight="1">
      <c r="A998" s="157">
        <v>1813.0</v>
      </c>
      <c r="B998" s="158" t="s">
        <v>33</v>
      </c>
      <c r="C998" s="158" t="s">
        <v>957</v>
      </c>
      <c r="D998" s="159">
        <v>43621.0</v>
      </c>
      <c r="E998" s="157" t="s">
        <v>731</v>
      </c>
      <c r="F998" s="160">
        <v>370124.85</v>
      </c>
      <c r="G998" s="160">
        <v>59219.98</v>
      </c>
      <c r="H998" s="160">
        <f t="shared" si="41"/>
        <v>429344.83</v>
      </c>
      <c r="I998" s="160"/>
      <c r="J998" s="161"/>
      <c r="K998" s="160"/>
      <c r="L998" s="160">
        <f>+'FACP$'!$H998-'FACP$'!$I998-'FACP$'!$K998</f>
        <v>429344.83</v>
      </c>
      <c r="M998" s="162" t="s">
        <v>958</v>
      </c>
      <c r="N998" s="162" t="s">
        <v>554</v>
      </c>
      <c r="O998" s="175">
        <v>43682.0</v>
      </c>
      <c r="P998" s="164">
        <f t="shared" si="13"/>
        <v>43631</v>
      </c>
      <c r="Q998" s="165">
        <f t="shared" si="2"/>
        <v>0</v>
      </c>
      <c r="R998" s="167"/>
      <c r="S998" s="220" t="s">
        <v>910</v>
      </c>
      <c r="T998" s="168">
        <f t="shared" si="3"/>
        <v>429344.83</v>
      </c>
      <c r="U998" s="168">
        <f t="shared" si="4"/>
        <v>0</v>
      </c>
      <c r="V998" s="168">
        <f t="shared" si="5"/>
        <v>0</v>
      </c>
      <c r="W998" s="168">
        <f t="shared" si="6"/>
        <v>0</v>
      </c>
      <c r="X998" s="168">
        <f t="shared" si="7"/>
        <v>0</v>
      </c>
      <c r="Y998" s="168">
        <f t="shared" si="8"/>
        <v>0</v>
      </c>
      <c r="Z998" s="168">
        <f t="shared" si="9"/>
        <v>0</v>
      </c>
    </row>
    <row r="999" ht="15.75" customHeight="1">
      <c r="A999" s="157">
        <v>1815.0</v>
      </c>
      <c r="B999" s="158" t="s">
        <v>837</v>
      </c>
      <c r="C999" s="158" t="s">
        <v>957</v>
      </c>
      <c r="D999" s="159">
        <v>43621.0</v>
      </c>
      <c r="E999" s="157" t="s">
        <v>731</v>
      </c>
      <c r="F999" s="160">
        <v>1335936.87</v>
      </c>
      <c r="G999" s="160">
        <v>213749.9</v>
      </c>
      <c r="H999" s="160">
        <f t="shared" si="41"/>
        <v>1549686.77</v>
      </c>
      <c r="I999" s="160"/>
      <c r="J999" s="161"/>
      <c r="K999" s="160"/>
      <c r="L999" s="160">
        <f>+'FACP$'!$H999-'FACP$'!$I999-'FACP$'!$K999</f>
        <v>1549686.77</v>
      </c>
      <c r="M999" s="162" t="s">
        <v>837</v>
      </c>
      <c r="N999" s="162" t="s">
        <v>554</v>
      </c>
      <c r="O999" s="175">
        <v>43629.0</v>
      </c>
      <c r="P999" s="164">
        <f t="shared" si="13"/>
        <v>43631</v>
      </c>
      <c r="Q999" s="165">
        <f t="shared" si="2"/>
        <v>0</v>
      </c>
      <c r="R999" s="167"/>
      <c r="S999" s="220" t="s">
        <v>910</v>
      </c>
      <c r="T999" s="168">
        <f t="shared" si="3"/>
        <v>1549686.77</v>
      </c>
      <c r="U999" s="168">
        <f t="shared" si="4"/>
        <v>0</v>
      </c>
      <c r="V999" s="168">
        <f t="shared" si="5"/>
        <v>0</v>
      </c>
      <c r="W999" s="168">
        <f t="shared" si="6"/>
        <v>0</v>
      </c>
      <c r="X999" s="168">
        <f t="shared" si="7"/>
        <v>0</v>
      </c>
      <c r="Y999" s="168">
        <f t="shared" si="8"/>
        <v>0</v>
      </c>
      <c r="Z999" s="168">
        <f t="shared" si="9"/>
        <v>0</v>
      </c>
    </row>
    <row r="1000" ht="15.75" customHeight="1">
      <c r="A1000" s="157">
        <v>1816.0</v>
      </c>
      <c r="B1000" s="158" t="s">
        <v>43</v>
      </c>
      <c r="C1000" s="158" t="s">
        <v>957</v>
      </c>
      <c r="D1000" s="159">
        <v>43621.0</v>
      </c>
      <c r="E1000" s="157" t="s">
        <v>731</v>
      </c>
      <c r="F1000" s="160">
        <v>431479.2</v>
      </c>
      <c r="G1000" s="160">
        <v>69036.67</v>
      </c>
      <c r="H1000" s="160">
        <f t="shared" si="41"/>
        <v>500515.87</v>
      </c>
      <c r="I1000" s="160"/>
      <c r="J1000" s="161"/>
      <c r="K1000" s="160"/>
      <c r="L1000" s="160">
        <f>+'FACP$'!$H1000-'FACP$'!$I1000-'FACP$'!$K1000</f>
        <v>500515.87</v>
      </c>
      <c r="M1000" s="162" t="s">
        <v>43</v>
      </c>
      <c r="N1000" s="162" t="s">
        <v>554</v>
      </c>
      <c r="O1000" s="175">
        <v>43686.0</v>
      </c>
      <c r="P1000" s="164">
        <f t="shared" si="13"/>
        <v>43631</v>
      </c>
      <c r="Q1000" s="165">
        <f t="shared" si="2"/>
        <v>0</v>
      </c>
      <c r="R1000" s="167"/>
      <c r="S1000" s="220" t="s">
        <v>910</v>
      </c>
      <c r="T1000" s="168">
        <f t="shared" si="3"/>
        <v>500515.87</v>
      </c>
      <c r="U1000" s="168">
        <f t="shared" si="4"/>
        <v>0</v>
      </c>
      <c r="V1000" s="168">
        <f t="shared" si="5"/>
        <v>0</v>
      </c>
      <c r="W1000" s="168">
        <f t="shared" si="6"/>
        <v>0</v>
      </c>
      <c r="X1000" s="168">
        <f t="shared" si="7"/>
        <v>0</v>
      </c>
      <c r="Y1000" s="168">
        <f t="shared" si="8"/>
        <v>0</v>
      </c>
      <c r="Z1000" s="168">
        <f t="shared" si="9"/>
        <v>0</v>
      </c>
    </row>
    <row r="1001" ht="15.75" customHeight="1">
      <c r="A1001" s="157">
        <v>1822.0</v>
      </c>
      <c r="B1001" s="158" t="s">
        <v>82</v>
      </c>
      <c r="C1001" s="158" t="s">
        <v>959</v>
      </c>
      <c r="D1001" s="159">
        <v>43622.0</v>
      </c>
      <c r="E1001" s="157" t="s">
        <v>731</v>
      </c>
      <c r="F1001" s="160">
        <v>70000.0</v>
      </c>
      <c r="G1001" s="160">
        <v>11200.0</v>
      </c>
      <c r="H1001" s="160">
        <f t="shared" si="41"/>
        <v>81200</v>
      </c>
      <c r="I1001" s="160"/>
      <c r="J1001" s="161"/>
      <c r="K1001" s="160"/>
      <c r="L1001" s="160">
        <f>+'FACP$'!$H1001-'FACP$'!$I1001-'FACP$'!$K1001</f>
        <v>81200</v>
      </c>
      <c r="M1001" s="162" t="s">
        <v>714</v>
      </c>
      <c r="N1001" s="162" t="s">
        <v>127</v>
      </c>
      <c r="O1001" s="175"/>
      <c r="P1001" s="164">
        <f t="shared" si="13"/>
        <v>43632</v>
      </c>
      <c r="Q1001" s="165">
        <f t="shared" si="2"/>
        <v>0</v>
      </c>
      <c r="R1001" s="167"/>
      <c r="S1001" s="167"/>
      <c r="T1001" s="168">
        <f t="shared" si="3"/>
        <v>81200</v>
      </c>
      <c r="U1001" s="168">
        <f t="shared" si="4"/>
        <v>0</v>
      </c>
      <c r="V1001" s="168">
        <f t="shared" si="5"/>
        <v>0</v>
      </c>
      <c r="W1001" s="168">
        <f t="shared" si="6"/>
        <v>0</v>
      </c>
      <c r="X1001" s="168">
        <f t="shared" si="7"/>
        <v>0</v>
      </c>
      <c r="Y1001" s="168">
        <f t="shared" si="8"/>
        <v>0</v>
      </c>
      <c r="Z1001" s="168">
        <f t="shared" si="9"/>
        <v>0</v>
      </c>
    </row>
    <row r="1002" ht="15.75" customHeight="1">
      <c r="A1002" s="157">
        <v>1823.0</v>
      </c>
      <c r="B1002" s="158" t="s">
        <v>960</v>
      </c>
      <c r="C1002" s="158" t="s">
        <v>961</v>
      </c>
      <c r="D1002" s="159">
        <v>43627.0</v>
      </c>
      <c r="E1002" s="157" t="s">
        <v>731</v>
      </c>
      <c r="F1002" s="160">
        <v>204171.92</v>
      </c>
      <c r="G1002" s="160">
        <v>32667.51</v>
      </c>
      <c r="H1002" s="160">
        <f t="shared" si="41"/>
        <v>236839.43</v>
      </c>
      <c r="I1002" s="160"/>
      <c r="J1002" s="161"/>
      <c r="K1002" s="160"/>
      <c r="L1002" s="160">
        <f>+'FACP$'!$H1002-'FACP$'!$I1002-'FACP$'!$K1002</f>
        <v>236839.43</v>
      </c>
      <c r="M1002" s="162" t="s">
        <v>121</v>
      </c>
      <c r="N1002" s="162" t="s">
        <v>127</v>
      </c>
      <c r="O1002" s="175"/>
      <c r="P1002" s="164">
        <f t="shared" si="13"/>
        <v>43637</v>
      </c>
      <c r="Q1002" s="165">
        <f t="shared" si="2"/>
        <v>0</v>
      </c>
      <c r="R1002" s="167" t="s">
        <v>962</v>
      </c>
      <c r="S1002" s="167"/>
      <c r="T1002" s="168">
        <f t="shared" si="3"/>
        <v>236839.43</v>
      </c>
      <c r="U1002" s="168">
        <f t="shared" si="4"/>
        <v>0</v>
      </c>
      <c r="V1002" s="168">
        <f t="shared" si="5"/>
        <v>0</v>
      </c>
      <c r="W1002" s="168">
        <f t="shared" si="6"/>
        <v>0</v>
      </c>
      <c r="X1002" s="168">
        <f t="shared" si="7"/>
        <v>0</v>
      </c>
      <c r="Y1002" s="168">
        <f t="shared" si="8"/>
        <v>0</v>
      </c>
      <c r="Z1002" s="168">
        <f t="shared" si="9"/>
        <v>0</v>
      </c>
    </row>
    <row r="1003" ht="15.75" customHeight="1">
      <c r="A1003" s="157">
        <v>1825.0</v>
      </c>
      <c r="B1003" s="158" t="s">
        <v>837</v>
      </c>
      <c r="C1003" s="158" t="s">
        <v>963</v>
      </c>
      <c r="D1003" s="159">
        <v>43630.0</v>
      </c>
      <c r="E1003" s="157" t="s">
        <v>731</v>
      </c>
      <c r="F1003" s="160">
        <v>443288.43</v>
      </c>
      <c r="G1003" s="160">
        <v>70926.15</v>
      </c>
      <c r="H1003" s="160">
        <f t="shared" si="41"/>
        <v>514214.58</v>
      </c>
      <c r="I1003" s="160"/>
      <c r="J1003" s="161"/>
      <c r="K1003" s="160"/>
      <c r="L1003" s="160">
        <f>+'FACP$'!$H1003-'FACP$'!$I1003-'FACP$'!$K1003</f>
        <v>514214.58</v>
      </c>
      <c r="M1003" s="162" t="s">
        <v>837</v>
      </c>
      <c r="N1003" s="162" t="s">
        <v>554</v>
      </c>
      <c r="O1003" s="175">
        <v>43643.0</v>
      </c>
      <c r="P1003" s="164">
        <f t="shared" si="13"/>
        <v>43640</v>
      </c>
      <c r="Q1003" s="165">
        <f t="shared" si="2"/>
        <v>0</v>
      </c>
      <c r="R1003" s="167"/>
      <c r="S1003" s="220" t="s">
        <v>910</v>
      </c>
      <c r="T1003" s="168">
        <f t="shared" si="3"/>
        <v>514214.58</v>
      </c>
      <c r="U1003" s="168">
        <f t="shared" si="4"/>
        <v>0</v>
      </c>
      <c r="V1003" s="168">
        <f t="shared" si="5"/>
        <v>0</v>
      </c>
      <c r="W1003" s="168">
        <f t="shared" si="6"/>
        <v>0</v>
      </c>
      <c r="X1003" s="168">
        <f t="shared" si="7"/>
        <v>0</v>
      </c>
      <c r="Y1003" s="168">
        <f t="shared" si="8"/>
        <v>0</v>
      </c>
      <c r="Z1003" s="168">
        <f t="shared" si="9"/>
        <v>0</v>
      </c>
    </row>
    <row r="1004" ht="15.75" customHeight="1">
      <c r="A1004" s="157">
        <v>1826.0</v>
      </c>
      <c r="B1004" s="158" t="s">
        <v>837</v>
      </c>
      <c r="C1004" s="158" t="s">
        <v>964</v>
      </c>
      <c r="D1004" s="159">
        <v>43630.0</v>
      </c>
      <c r="E1004" s="157" t="s">
        <v>731</v>
      </c>
      <c r="F1004" s="160">
        <v>3108.58</v>
      </c>
      <c r="G1004" s="160">
        <v>497.37</v>
      </c>
      <c r="H1004" s="160">
        <f t="shared" si="41"/>
        <v>3605.95</v>
      </c>
      <c r="I1004" s="160"/>
      <c r="J1004" s="161"/>
      <c r="K1004" s="160"/>
      <c r="L1004" s="160">
        <f>+'FACP$'!$H1004-'FACP$'!$I1004-'FACP$'!$K1004</f>
        <v>3605.95</v>
      </c>
      <c r="M1004" s="162" t="s">
        <v>837</v>
      </c>
      <c r="N1004" s="162" t="s">
        <v>554</v>
      </c>
      <c r="O1004" s="175">
        <v>43643.0</v>
      </c>
      <c r="P1004" s="164">
        <f t="shared" si="13"/>
        <v>43640</v>
      </c>
      <c r="Q1004" s="165">
        <f t="shared" si="2"/>
        <v>0</v>
      </c>
      <c r="R1004" s="167"/>
      <c r="S1004" s="220" t="s">
        <v>910</v>
      </c>
      <c r="T1004" s="168">
        <f t="shared" si="3"/>
        <v>3605.95</v>
      </c>
      <c r="U1004" s="168">
        <f t="shared" si="4"/>
        <v>0</v>
      </c>
      <c r="V1004" s="168">
        <f t="shared" si="5"/>
        <v>0</v>
      </c>
      <c r="W1004" s="168">
        <f t="shared" si="6"/>
        <v>0</v>
      </c>
      <c r="X1004" s="168">
        <f t="shared" si="7"/>
        <v>0</v>
      </c>
      <c r="Y1004" s="168">
        <f t="shared" si="8"/>
        <v>0</v>
      </c>
      <c r="Z1004" s="168">
        <f t="shared" si="9"/>
        <v>0</v>
      </c>
    </row>
    <row r="1005" ht="15.75" customHeight="1">
      <c r="A1005" s="157">
        <v>1827.0</v>
      </c>
      <c r="B1005" s="158" t="s">
        <v>29</v>
      </c>
      <c r="C1005" s="158" t="s">
        <v>965</v>
      </c>
      <c r="D1005" s="159">
        <v>43634.0</v>
      </c>
      <c r="E1005" s="157" t="s">
        <v>731</v>
      </c>
      <c r="F1005" s="160">
        <v>364133.25</v>
      </c>
      <c r="G1005" s="160">
        <v>58261.32</v>
      </c>
      <c r="H1005" s="160">
        <f t="shared" si="41"/>
        <v>422394.57</v>
      </c>
      <c r="I1005" s="160"/>
      <c r="J1005" s="161"/>
      <c r="K1005" s="160"/>
      <c r="L1005" s="160">
        <f>+'FACP$'!$H1005-'FACP$'!$I1005-'FACP$'!$K1005</f>
        <v>422394.57</v>
      </c>
      <c r="M1005" s="162" t="s">
        <v>825</v>
      </c>
      <c r="N1005" s="162" t="s">
        <v>554</v>
      </c>
      <c r="O1005" s="175">
        <v>43636.0</v>
      </c>
      <c r="P1005" s="164">
        <f t="shared" si="13"/>
        <v>43644</v>
      </c>
      <c r="Q1005" s="165">
        <f t="shared" si="2"/>
        <v>0</v>
      </c>
      <c r="R1005" s="167"/>
      <c r="S1005" s="167"/>
      <c r="T1005" s="168">
        <f t="shared" si="3"/>
        <v>422394.57</v>
      </c>
      <c r="U1005" s="168">
        <f t="shared" si="4"/>
        <v>0</v>
      </c>
      <c r="V1005" s="168">
        <f t="shared" si="5"/>
        <v>0</v>
      </c>
      <c r="W1005" s="168">
        <f t="shared" si="6"/>
        <v>0</v>
      </c>
      <c r="X1005" s="168">
        <f t="shared" si="7"/>
        <v>0</v>
      </c>
      <c r="Y1005" s="168">
        <f t="shared" si="8"/>
        <v>0</v>
      </c>
      <c r="Z1005" s="168">
        <f t="shared" si="9"/>
        <v>0</v>
      </c>
    </row>
    <row r="1006" ht="15.75" customHeight="1">
      <c r="A1006" s="157">
        <v>1829.0</v>
      </c>
      <c r="B1006" s="158" t="s">
        <v>837</v>
      </c>
      <c r="C1006" s="158" t="s">
        <v>965</v>
      </c>
      <c r="D1006" s="159">
        <v>43634.0</v>
      </c>
      <c r="E1006" s="157" t="s">
        <v>731</v>
      </c>
      <c r="F1006" s="160">
        <v>1058621.82</v>
      </c>
      <c r="G1006" s="160">
        <v>169379.49</v>
      </c>
      <c r="H1006" s="160">
        <f t="shared" si="41"/>
        <v>1228001.31</v>
      </c>
      <c r="I1006" s="160"/>
      <c r="J1006" s="161"/>
      <c r="K1006" s="160"/>
      <c r="L1006" s="160">
        <f>+'FACP$'!$H1006-'FACP$'!$I1006-'FACP$'!$K1006</f>
        <v>1228001.31</v>
      </c>
      <c r="M1006" s="162" t="s">
        <v>837</v>
      </c>
      <c r="N1006" s="162" t="s">
        <v>554</v>
      </c>
      <c r="O1006" s="175">
        <v>43636.0</v>
      </c>
      <c r="P1006" s="164">
        <f t="shared" si="13"/>
        <v>43644</v>
      </c>
      <c r="Q1006" s="165">
        <f t="shared" si="2"/>
        <v>0</v>
      </c>
      <c r="R1006" s="167"/>
      <c r="S1006" s="220" t="s">
        <v>910</v>
      </c>
      <c r="T1006" s="168">
        <f t="shared" si="3"/>
        <v>1228001.31</v>
      </c>
      <c r="U1006" s="168">
        <f t="shared" si="4"/>
        <v>0</v>
      </c>
      <c r="V1006" s="168">
        <f t="shared" si="5"/>
        <v>0</v>
      </c>
      <c r="W1006" s="168">
        <f t="shared" si="6"/>
        <v>0</v>
      </c>
      <c r="X1006" s="168">
        <f t="shared" si="7"/>
        <v>0</v>
      </c>
      <c r="Y1006" s="168">
        <f t="shared" si="8"/>
        <v>0</v>
      </c>
      <c r="Z1006" s="168">
        <f t="shared" si="9"/>
        <v>0</v>
      </c>
    </row>
    <row r="1007" ht="15.75" customHeight="1">
      <c r="A1007" s="157">
        <v>1830.0</v>
      </c>
      <c r="B1007" s="158" t="s">
        <v>43</v>
      </c>
      <c r="C1007" s="158" t="s">
        <v>965</v>
      </c>
      <c r="D1007" s="159">
        <v>43634.0</v>
      </c>
      <c r="E1007" s="157" t="s">
        <v>731</v>
      </c>
      <c r="F1007" s="160">
        <v>81187.59</v>
      </c>
      <c r="G1007" s="160">
        <v>12990.01</v>
      </c>
      <c r="H1007" s="160">
        <f t="shared" si="41"/>
        <v>94177.6</v>
      </c>
      <c r="I1007" s="160"/>
      <c r="J1007" s="161"/>
      <c r="K1007" s="160"/>
      <c r="L1007" s="160">
        <f>+'FACP$'!$H1007-'FACP$'!$I1007-'FACP$'!$K1007</f>
        <v>94177.6</v>
      </c>
      <c r="M1007" s="162" t="s">
        <v>43</v>
      </c>
      <c r="N1007" s="162" t="s">
        <v>554</v>
      </c>
      <c r="O1007" s="175">
        <v>43697.0</v>
      </c>
      <c r="P1007" s="164">
        <f t="shared" si="13"/>
        <v>43644</v>
      </c>
      <c r="Q1007" s="165">
        <f t="shared" si="2"/>
        <v>0</v>
      </c>
      <c r="R1007" s="167"/>
      <c r="S1007" s="167" t="s">
        <v>910</v>
      </c>
      <c r="T1007" s="168">
        <f t="shared" si="3"/>
        <v>94177.6</v>
      </c>
      <c r="U1007" s="168">
        <f t="shared" si="4"/>
        <v>0</v>
      </c>
      <c r="V1007" s="168">
        <f t="shared" si="5"/>
        <v>0</v>
      </c>
      <c r="W1007" s="168">
        <f t="shared" si="6"/>
        <v>0</v>
      </c>
      <c r="X1007" s="168">
        <f t="shared" si="7"/>
        <v>0</v>
      </c>
      <c r="Y1007" s="168">
        <f t="shared" si="8"/>
        <v>0</v>
      </c>
      <c r="Z1007" s="168">
        <f t="shared" si="9"/>
        <v>0</v>
      </c>
    </row>
    <row r="1008" ht="15.75" customHeight="1">
      <c r="A1008" s="157">
        <v>1832.0</v>
      </c>
      <c r="B1008" s="158" t="s">
        <v>18</v>
      </c>
      <c r="C1008" s="158" t="s">
        <v>965</v>
      </c>
      <c r="D1008" s="159">
        <v>43635.0</v>
      </c>
      <c r="E1008" s="157" t="s">
        <v>731</v>
      </c>
      <c r="F1008" s="160">
        <v>122510.41</v>
      </c>
      <c r="G1008" s="160">
        <v>19601.67</v>
      </c>
      <c r="H1008" s="160">
        <f t="shared" si="41"/>
        <v>142112.08</v>
      </c>
      <c r="I1008" s="160"/>
      <c r="J1008" s="161"/>
      <c r="K1008" s="160"/>
      <c r="L1008" s="160">
        <f>+'FACP$'!$H1008-'FACP$'!$I1008-'FACP$'!$K1008</f>
        <v>142112.08</v>
      </c>
      <c r="M1008" s="162" t="s">
        <v>586</v>
      </c>
      <c r="N1008" s="162" t="s">
        <v>554</v>
      </c>
      <c r="O1008" s="175">
        <v>43644.0</v>
      </c>
      <c r="P1008" s="164">
        <f t="shared" si="13"/>
        <v>43645</v>
      </c>
      <c r="Q1008" s="165">
        <f t="shared" si="2"/>
        <v>0</v>
      </c>
      <c r="R1008" s="167"/>
      <c r="S1008" s="220" t="s">
        <v>910</v>
      </c>
      <c r="T1008" s="168">
        <f t="shared" si="3"/>
        <v>142112.08</v>
      </c>
      <c r="U1008" s="168">
        <f t="shared" si="4"/>
        <v>0</v>
      </c>
      <c r="V1008" s="168">
        <f t="shared" si="5"/>
        <v>0</v>
      </c>
      <c r="W1008" s="168">
        <f t="shared" si="6"/>
        <v>0</v>
      </c>
      <c r="X1008" s="168">
        <f t="shared" si="7"/>
        <v>0</v>
      </c>
      <c r="Y1008" s="168">
        <f t="shared" si="8"/>
        <v>0</v>
      </c>
      <c r="Z1008" s="168">
        <f t="shared" si="9"/>
        <v>0</v>
      </c>
    </row>
    <row r="1009" ht="15.75" customHeight="1">
      <c r="A1009" s="157">
        <v>1834.0</v>
      </c>
      <c r="B1009" s="158" t="s">
        <v>19</v>
      </c>
      <c r="C1009" s="158" t="s">
        <v>965</v>
      </c>
      <c r="D1009" s="159">
        <v>43635.0</v>
      </c>
      <c r="E1009" s="157" t="s">
        <v>731</v>
      </c>
      <c r="F1009" s="160">
        <v>216390.24</v>
      </c>
      <c r="G1009" s="160">
        <v>34622.44</v>
      </c>
      <c r="H1009" s="160">
        <f t="shared" si="41"/>
        <v>251012.68</v>
      </c>
      <c r="I1009" s="160"/>
      <c r="J1009" s="161"/>
      <c r="K1009" s="160"/>
      <c r="L1009" s="160">
        <f>+'FACP$'!$H1009-'FACP$'!$I1009-'FACP$'!$K1009</f>
        <v>251012.68</v>
      </c>
      <c r="M1009" s="162" t="s">
        <v>732</v>
      </c>
      <c r="N1009" s="162" t="s">
        <v>554</v>
      </c>
      <c r="O1009" s="175">
        <v>43644.0</v>
      </c>
      <c r="P1009" s="164">
        <f t="shared" si="13"/>
        <v>43645</v>
      </c>
      <c r="Q1009" s="165">
        <f t="shared" si="2"/>
        <v>0</v>
      </c>
      <c r="R1009" s="167"/>
      <c r="S1009" s="220" t="s">
        <v>910</v>
      </c>
      <c r="T1009" s="168">
        <f t="shared" si="3"/>
        <v>251012.68</v>
      </c>
      <c r="U1009" s="168">
        <f t="shared" si="4"/>
        <v>0</v>
      </c>
      <c r="V1009" s="168">
        <f t="shared" si="5"/>
        <v>0</v>
      </c>
      <c r="W1009" s="168">
        <f t="shared" si="6"/>
        <v>0</v>
      </c>
      <c r="X1009" s="168">
        <f t="shared" si="7"/>
        <v>0</v>
      </c>
      <c r="Y1009" s="168">
        <f t="shared" si="8"/>
        <v>0</v>
      </c>
      <c r="Z1009" s="168">
        <f t="shared" si="9"/>
        <v>0</v>
      </c>
    </row>
    <row r="1010" ht="15.75" customHeight="1">
      <c r="A1010" s="157">
        <v>1836.0</v>
      </c>
      <c r="B1010" s="158" t="s">
        <v>37</v>
      </c>
      <c r="C1010" s="158" t="s">
        <v>965</v>
      </c>
      <c r="D1010" s="159">
        <v>43635.0</v>
      </c>
      <c r="E1010" s="157" t="s">
        <v>731</v>
      </c>
      <c r="F1010" s="160">
        <v>1753389.36</v>
      </c>
      <c r="G1010" s="160">
        <v>280542.3</v>
      </c>
      <c r="H1010" s="160">
        <f t="shared" si="41"/>
        <v>2033931.66</v>
      </c>
      <c r="I1010" s="160"/>
      <c r="J1010" s="161"/>
      <c r="K1010" s="160"/>
      <c r="L1010" s="160">
        <f>+'FACP$'!$H1010-'FACP$'!$I1010-'FACP$'!$K1010</f>
        <v>2033931.66</v>
      </c>
      <c r="M1010" s="162" t="s">
        <v>116</v>
      </c>
      <c r="N1010" s="162" t="s">
        <v>554</v>
      </c>
      <c r="O1010" s="175">
        <v>43668.0</v>
      </c>
      <c r="P1010" s="164">
        <f t="shared" si="13"/>
        <v>43645</v>
      </c>
      <c r="Q1010" s="165">
        <f t="shared" si="2"/>
        <v>0</v>
      </c>
      <c r="R1010" s="167"/>
      <c r="S1010" s="167" t="s">
        <v>910</v>
      </c>
      <c r="T1010" s="168">
        <f t="shared" si="3"/>
        <v>2033931.66</v>
      </c>
      <c r="U1010" s="168">
        <f t="shared" si="4"/>
        <v>0</v>
      </c>
      <c r="V1010" s="168">
        <f t="shared" si="5"/>
        <v>0</v>
      </c>
      <c r="W1010" s="168">
        <f t="shared" si="6"/>
        <v>0</v>
      </c>
      <c r="X1010" s="168">
        <f t="shared" si="7"/>
        <v>0</v>
      </c>
      <c r="Y1010" s="168">
        <f t="shared" si="8"/>
        <v>0</v>
      </c>
      <c r="Z1010" s="168">
        <f t="shared" si="9"/>
        <v>0</v>
      </c>
    </row>
    <row r="1011" ht="15.75" customHeight="1">
      <c r="A1011" s="157">
        <v>1838.0</v>
      </c>
      <c r="B1011" s="158" t="s">
        <v>127</v>
      </c>
      <c r="C1011" s="158"/>
      <c r="D1011" s="159"/>
      <c r="E1011" s="157"/>
      <c r="F1011" s="160"/>
      <c r="G1011" s="160"/>
      <c r="H1011" s="160">
        <f t="shared" si="41"/>
        <v>0</v>
      </c>
      <c r="I1011" s="160"/>
      <c r="J1011" s="161"/>
      <c r="K1011" s="160"/>
      <c r="L1011" s="160">
        <f>+'FACP$'!$H1011-'FACP$'!$I1011-'FACP$'!$K1011</f>
        <v>0</v>
      </c>
      <c r="M1011" s="162"/>
      <c r="N1011" s="162" t="s">
        <v>127</v>
      </c>
      <c r="O1011" s="175"/>
      <c r="P1011" s="164">
        <f t="shared" si="13"/>
        <v>10</v>
      </c>
      <c r="Q1011" s="165">
        <f t="shared" si="2"/>
        <v>0</v>
      </c>
      <c r="R1011" s="167"/>
      <c r="S1011" s="167"/>
      <c r="T1011" s="168">
        <f t="shared" si="3"/>
        <v>0</v>
      </c>
      <c r="U1011" s="168">
        <f t="shared" si="4"/>
        <v>0</v>
      </c>
      <c r="V1011" s="168">
        <f t="shared" si="5"/>
        <v>0</v>
      </c>
      <c r="W1011" s="168">
        <f t="shared" si="6"/>
        <v>0</v>
      </c>
      <c r="X1011" s="168">
        <f t="shared" si="7"/>
        <v>0</v>
      </c>
      <c r="Y1011" s="168">
        <f t="shared" si="8"/>
        <v>0</v>
      </c>
      <c r="Z1011" s="168">
        <f t="shared" si="9"/>
        <v>0</v>
      </c>
    </row>
    <row r="1012" ht="15.75" customHeight="1">
      <c r="A1012" s="157">
        <v>1839.0</v>
      </c>
      <c r="B1012" s="158" t="s">
        <v>960</v>
      </c>
      <c r="C1012" s="158" t="s">
        <v>965</v>
      </c>
      <c r="D1012" s="159">
        <v>43640.0</v>
      </c>
      <c r="E1012" s="157" t="s">
        <v>731</v>
      </c>
      <c r="F1012" s="160">
        <v>121343.12</v>
      </c>
      <c r="G1012" s="160">
        <v>19414.9</v>
      </c>
      <c r="H1012" s="160">
        <f t="shared" si="41"/>
        <v>140758.02</v>
      </c>
      <c r="I1012" s="160"/>
      <c r="J1012" s="161"/>
      <c r="K1012" s="160"/>
      <c r="L1012" s="160">
        <f>+'FACP$'!$H1012-'FACP$'!$I1012-'FACP$'!$K1012</f>
        <v>140758.02</v>
      </c>
      <c r="M1012" s="162" t="s">
        <v>121</v>
      </c>
      <c r="N1012" s="162" t="s">
        <v>127</v>
      </c>
      <c r="O1012" s="175"/>
      <c r="P1012" s="164">
        <f t="shared" si="13"/>
        <v>43650</v>
      </c>
      <c r="Q1012" s="165">
        <f t="shared" si="2"/>
        <v>0</v>
      </c>
      <c r="R1012" s="167" t="s">
        <v>966</v>
      </c>
      <c r="S1012" s="167"/>
      <c r="T1012" s="168">
        <f t="shared" si="3"/>
        <v>140758.02</v>
      </c>
      <c r="U1012" s="168">
        <f t="shared" si="4"/>
        <v>0</v>
      </c>
      <c r="V1012" s="168">
        <f t="shared" si="5"/>
        <v>0</v>
      </c>
      <c r="W1012" s="168">
        <f t="shared" si="6"/>
        <v>0</v>
      </c>
      <c r="X1012" s="168">
        <f t="shared" si="7"/>
        <v>0</v>
      </c>
      <c r="Y1012" s="168">
        <f t="shared" si="8"/>
        <v>0</v>
      </c>
      <c r="Z1012" s="168">
        <f t="shared" si="9"/>
        <v>0</v>
      </c>
    </row>
    <row r="1013" ht="15.75" customHeight="1">
      <c r="A1013" s="157">
        <v>1841.0</v>
      </c>
      <c r="B1013" s="158" t="s">
        <v>30</v>
      </c>
      <c r="C1013" s="158" t="s">
        <v>965</v>
      </c>
      <c r="D1013" s="159">
        <v>43640.0</v>
      </c>
      <c r="E1013" s="157" t="s">
        <v>731</v>
      </c>
      <c r="F1013" s="160">
        <v>32443.84</v>
      </c>
      <c r="G1013" s="160">
        <v>5191.01</v>
      </c>
      <c r="H1013" s="160">
        <f t="shared" si="41"/>
        <v>37634.85</v>
      </c>
      <c r="I1013" s="160"/>
      <c r="J1013" s="161"/>
      <c r="K1013" s="160"/>
      <c r="L1013" s="160">
        <f>+'FACP$'!$H1013-'FACP$'!$I1013-'FACP$'!$K1013</f>
        <v>37634.85</v>
      </c>
      <c r="M1013" s="162" t="s">
        <v>891</v>
      </c>
      <c r="N1013" s="162" t="s">
        <v>554</v>
      </c>
      <c r="O1013" s="175">
        <v>43647.0</v>
      </c>
      <c r="P1013" s="164">
        <f t="shared" si="13"/>
        <v>43650</v>
      </c>
      <c r="Q1013" s="165">
        <f t="shared" si="2"/>
        <v>0</v>
      </c>
      <c r="R1013" s="167"/>
      <c r="S1013" s="223" t="s">
        <v>910</v>
      </c>
      <c r="T1013" s="168">
        <f t="shared" si="3"/>
        <v>37634.85</v>
      </c>
      <c r="U1013" s="168">
        <f t="shared" si="4"/>
        <v>0</v>
      </c>
      <c r="V1013" s="168">
        <f t="shared" si="5"/>
        <v>0</v>
      </c>
      <c r="W1013" s="168">
        <f t="shared" si="6"/>
        <v>0</v>
      </c>
      <c r="X1013" s="168">
        <f t="shared" si="7"/>
        <v>0</v>
      </c>
      <c r="Y1013" s="168">
        <f t="shared" si="8"/>
        <v>0</v>
      </c>
      <c r="Z1013" s="168">
        <f t="shared" si="9"/>
        <v>0</v>
      </c>
    </row>
    <row r="1014" ht="15.75" customHeight="1">
      <c r="A1014" s="157">
        <v>1843.0</v>
      </c>
      <c r="B1014" s="158" t="s">
        <v>967</v>
      </c>
      <c r="C1014" s="158" t="s">
        <v>968</v>
      </c>
      <c r="D1014" s="159">
        <v>43644.0</v>
      </c>
      <c r="E1014" s="157" t="s">
        <v>731</v>
      </c>
      <c r="F1014" s="160">
        <v>26207.8</v>
      </c>
      <c r="G1014" s="160">
        <v>4193.25</v>
      </c>
      <c r="H1014" s="160">
        <f t="shared" si="41"/>
        <v>30401.05</v>
      </c>
      <c r="I1014" s="160"/>
      <c r="J1014" s="161"/>
      <c r="K1014" s="160"/>
      <c r="L1014" s="160">
        <f>+'FACP$'!$H1014-'FACP$'!$I1014-'FACP$'!$K1014</f>
        <v>30401.05</v>
      </c>
      <c r="M1014" s="162" t="s">
        <v>969</v>
      </c>
      <c r="N1014" s="162" t="s">
        <v>554</v>
      </c>
      <c r="O1014" s="175"/>
      <c r="P1014" s="164">
        <f t="shared" si="13"/>
        <v>43654</v>
      </c>
      <c r="Q1014" s="165">
        <f t="shared" si="2"/>
        <v>0</v>
      </c>
      <c r="R1014" s="167"/>
      <c r="S1014" s="167"/>
      <c r="T1014" s="168">
        <f t="shared" si="3"/>
        <v>30401.05</v>
      </c>
      <c r="U1014" s="168">
        <f t="shared" si="4"/>
        <v>0</v>
      </c>
      <c r="V1014" s="168">
        <f t="shared" si="5"/>
        <v>0</v>
      </c>
      <c r="W1014" s="168">
        <f t="shared" si="6"/>
        <v>0</v>
      </c>
      <c r="X1014" s="168">
        <f t="shared" si="7"/>
        <v>0</v>
      </c>
      <c r="Y1014" s="168">
        <f t="shared" si="8"/>
        <v>0</v>
      </c>
      <c r="Z1014" s="168">
        <f t="shared" si="9"/>
        <v>0</v>
      </c>
    </row>
    <row r="1015" ht="15.75" customHeight="1">
      <c r="A1015" s="157">
        <v>1844.0</v>
      </c>
      <c r="B1015" s="158" t="s">
        <v>967</v>
      </c>
      <c r="C1015" s="158" t="s">
        <v>970</v>
      </c>
      <c r="D1015" s="159">
        <v>43644.0</v>
      </c>
      <c r="E1015" s="157" t="s">
        <v>731</v>
      </c>
      <c r="F1015" s="160">
        <v>25517.24</v>
      </c>
      <c r="G1015" s="160">
        <v>4082.76</v>
      </c>
      <c r="H1015" s="160">
        <f t="shared" si="41"/>
        <v>29600</v>
      </c>
      <c r="I1015" s="160"/>
      <c r="J1015" s="161"/>
      <c r="K1015" s="160"/>
      <c r="L1015" s="160">
        <f>+'FACP$'!$H1015-'FACP$'!$I1015-'FACP$'!$K1015</f>
        <v>29600</v>
      </c>
      <c r="M1015" s="162" t="s">
        <v>969</v>
      </c>
      <c r="N1015" s="162" t="s">
        <v>554</v>
      </c>
      <c r="O1015" s="175"/>
      <c r="P1015" s="164">
        <f t="shared" si="13"/>
        <v>43654</v>
      </c>
      <c r="Q1015" s="165">
        <f t="shared" si="2"/>
        <v>0</v>
      </c>
      <c r="R1015" s="167"/>
      <c r="S1015" s="167"/>
      <c r="T1015" s="168">
        <f t="shared" si="3"/>
        <v>29600</v>
      </c>
      <c r="U1015" s="168">
        <f t="shared" si="4"/>
        <v>0</v>
      </c>
      <c r="V1015" s="168">
        <f t="shared" si="5"/>
        <v>0</v>
      </c>
      <c r="W1015" s="168">
        <f t="shared" si="6"/>
        <v>0</v>
      </c>
      <c r="X1015" s="168">
        <f t="shared" si="7"/>
        <v>0</v>
      </c>
      <c r="Y1015" s="168">
        <f t="shared" si="8"/>
        <v>0</v>
      </c>
      <c r="Z1015" s="168">
        <f t="shared" si="9"/>
        <v>0</v>
      </c>
    </row>
    <row r="1016" ht="15.75" customHeight="1">
      <c r="A1016" s="157">
        <v>1845.0</v>
      </c>
      <c r="B1016" s="158" t="s">
        <v>127</v>
      </c>
      <c r="C1016" s="158"/>
      <c r="D1016" s="159"/>
      <c r="E1016" s="157"/>
      <c r="F1016" s="160"/>
      <c r="G1016" s="160"/>
      <c r="H1016" s="160">
        <f t="shared" si="41"/>
        <v>0</v>
      </c>
      <c r="I1016" s="160"/>
      <c r="J1016" s="161"/>
      <c r="K1016" s="160"/>
      <c r="L1016" s="160">
        <f>+'FACP$'!$H1016-'FACP$'!$I1016-'FACP$'!$K1016</f>
        <v>0</v>
      </c>
      <c r="M1016" s="162"/>
      <c r="N1016" s="162" t="s">
        <v>127</v>
      </c>
      <c r="O1016" s="175"/>
      <c r="P1016" s="164">
        <f t="shared" si="13"/>
        <v>10</v>
      </c>
      <c r="Q1016" s="165">
        <f t="shared" si="2"/>
        <v>0</v>
      </c>
      <c r="R1016" s="167"/>
      <c r="S1016" s="167"/>
      <c r="T1016" s="168">
        <f t="shared" si="3"/>
        <v>0</v>
      </c>
      <c r="U1016" s="168">
        <f t="shared" si="4"/>
        <v>0</v>
      </c>
      <c r="V1016" s="168">
        <f t="shared" si="5"/>
        <v>0</v>
      </c>
      <c r="W1016" s="168">
        <f t="shared" si="6"/>
        <v>0</v>
      </c>
      <c r="X1016" s="168">
        <f t="shared" si="7"/>
        <v>0</v>
      </c>
      <c r="Y1016" s="168">
        <f t="shared" si="8"/>
        <v>0</v>
      </c>
      <c r="Z1016" s="168">
        <f t="shared" si="9"/>
        <v>0</v>
      </c>
    </row>
    <row r="1017" ht="15.75" customHeight="1">
      <c r="A1017" s="157">
        <v>1846.0</v>
      </c>
      <c r="B1017" s="158" t="s">
        <v>127</v>
      </c>
      <c r="C1017" s="158"/>
      <c r="D1017" s="159"/>
      <c r="E1017" s="157"/>
      <c r="F1017" s="160"/>
      <c r="G1017" s="160"/>
      <c r="H1017" s="160">
        <f t="shared" si="41"/>
        <v>0</v>
      </c>
      <c r="I1017" s="160"/>
      <c r="J1017" s="161"/>
      <c r="K1017" s="160"/>
      <c r="L1017" s="160">
        <f>+'FACP$'!$H1017-'FACP$'!$I1017-'FACP$'!$K1017</f>
        <v>0</v>
      </c>
      <c r="M1017" s="162"/>
      <c r="N1017" s="162" t="s">
        <v>127</v>
      </c>
      <c r="O1017" s="175"/>
      <c r="P1017" s="164">
        <f t="shared" si="13"/>
        <v>10</v>
      </c>
      <c r="Q1017" s="165">
        <f t="shared" si="2"/>
        <v>0</v>
      </c>
      <c r="R1017" s="167"/>
      <c r="S1017" s="167"/>
      <c r="T1017" s="168">
        <f t="shared" si="3"/>
        <v>0</v>
      </c>
      <c r="U1017" s="168">
        <f t="shared" si="4"/>
        <v>0</v>
      </c>
      <c r="V1017" s="168">
        <f t="shared" si="5"/>
        <v>0</v>
      </c>
      <c r="W1017" s="168">
        <f t="shared" si="6"/>
        <v>0</v>
      </c>
      <c r="X1017" s="168">
        <f t="shared" si="7"/>
        <v>0</v>
      </c>
      <c r="Y1017" s="168">
        <f t="shared" si="8"/>
        <v>0</v>
      </c>
      <c r="Z1017" s="168">
        <f t="shared" si="9"/>
        <v>0</v>
      </c>
    </row>
    <row r="1018" ht="15.75" customHeight="1">
      <c r="A1018" s="157">
        <v>1847.0</v>
      </c>
      <c r="B1018" s="158" t="s">
        <v>33</v>
      </c>
      <c r="C1018" s="158" t="s">
        <v>971</v>
      </c>
      <c r="D1018" s="159">
        <v>43649.0</v>
      </c>
      <c r="E1018" s="157" t="s">
        <v>731</v>
      </c>
      <c r="F1018" s="160">
        <v>62951.85</v>
      </c>
      <c r="G1018" s="160">
        <v>10072.3</v>
      </c>
      <c r="H1018" s="160">
        <f t="shared" si="41"/>
        <v>73024.15</v>
      </c>
      <c r="I1018" s="160"/>
      <c r="J1018" s="161"/>
      <c r="K1018" s="160"/>
      <c r="L1018" s="160">
        <f>+'FACP$'!$H1018-'FACP$'!$I1018-'FACP$'!$K1018</f>
        <v>73024.15</v>
      </c>
      <c r="M1018" s="162" t="s">
        <v>958</v>
      </c>
      <c r="N1018" s="162" t="s">
        <v>554</v>
      </c>
      <c r="O1018" s="175">
        <v>43696.0</v>
      </c>
      <c r="P1018" s="164">
        <f t="shared" si="13"/>
        <v>43659</v>
      </c>
      <c r="Q1018" s="165">
        <f t="shared" si="2"/>
        <v>0</v>
      </c>
      <c r="R1018" s="167"/>
      <c r="S1018" s="167" t="s">
        <v>910</v>
      </c>
      <c r="T1018" s="168">
        <f t="shared" si="3"/>
        <v>73024.15</v>
      </c>
      <c r="U1018" s="168">
        <f t="shared" si="4"/>
        <v>0</v>
      </c>
      <c r="V1018" s="168">
        <f t="shared" si="5"/>
        <v>0</v>
      </c>
      <c r="W1018" s="168">
        <f t="shared" si="6"/>
        <v>0</v>
      </c>
      <c r="X1018" s="168">
        <f t="shared" si="7"/>
        <v>0</v>
      </c>
      <c r="Y1018" s="168">
        <f t="shared" si="8"/>
        <v>0</v>
      </c>
      <c r="Z1018" s="168">
        <f t="shared" si="9"/>
        <v>0</v>
      </c>
    </row>
    <row r="1019" ht="15.75" customHeight="1">
      <c r="A1019" s="157">
        <v>1849.0</v>
      </c>
      <c r="B1019" s="158" t="s">
        <v>43</v>
      </c>
      <c r="C1019" s="158" t="s">
        <v>971</v>
      </c>
      <c r="D1019" s="159">
        <v>43649.0</v>
      </c>
      <c r="E1019" s="157" t="s">
        <v>731</v>
      </c>
      <c r="F1019" s="160">
        <v>155512.06</v>
      </c>
      <c r="G1019" s="160">
        <v>24881.93</v>
      </c>
      <c r="H1019" s="160">
        <f t="shared" si="41"/>
        <v>180393.99</v>
      </c>
      <c r="I1019" s="160"/>
      <c r="J1019" s="161"/>
      <c r="K1019" s="160"/>
      <c r="L1019" s="160">
        <f>+'FACP$'!$H1019-'FACP$'!$I1019-'FACP$'!$K1019</f>
        <v>180393.99</v>
      </c>
      <c r="M1019" s="162" t="s">
        <v>43</v>
      </c>
      <c r="N1019" s="162" t="s">
        <v>554</v>
      </c>
      <c r="O1019" s="175">
        <v>43697.0</v>
      </c>
      <c r="P1019" s="164">
        <f t="shared" si="13"/>
        <v>43659</v>
      </c>
      <c r="Q1019" s="165">
        <f t="shared" si="2"/>
        <v>0</v>
      </c>
      <c r="R1019" s="167"/>
      <c r="S1019" s="167" t="s">
        <v>910</v>
      </c>
      <c r="T1019" s="168">
        <f t="shared" si="3"/>
        <v>180393.99</v>
      </c>
      <c r="U1019" s="168">
        <f t="shared" si="4"/>
        <v>0</v>
      </c>
      <c r="V1019" s="168">
        <f t="shared" si="5"/>
        <v>0</v>
      </c>
      <c r="W1019" s="168">
        <f t="shared" si="6"/>
        <v>0</v>
      </c>
      <c r="X1019" s="168">
        <f t="shared" si="7"/>
        <v>0</v>
      </c>
      <c r="Y1019" s="168">
        <f t="shared" si="8"/>
        <v>0</v>
      </c>
      <c r="Z1019" s="168">
        <f t="shared" si="9"/>
        <v>0</v>
      </c>
    </row>
    <row r="1020" ht="15.75" customHeight="1">
      <c r="A1020" s="157">
        <v>1851.0</v>
      </c>
      <c r="B1020" s="158" t="s">
        <v>29</v>
      </c>
      <c r="C1020" s="158" t="s">
        <v>971</v>
      </c>
      <c r="D1020" s="159">
        <v>43649.0</v>
      </c>
      <c r="E1020" s="157" t="s">
        <v>731</v>
      </c>
      <c r="F1020" s="160">
        <v>428072.58</v>
      </c>
      <c r="G1020" s="160">
        <v>68491.61</v>
      </c>
      <c r="H1020" s="160">
        <f t="shared" si="41"/>
        <v>496564.19</v>
      </c>
      <c r="I1020" s="160"/>
      <c r="J1020" s="161"/>
      <c r="K1020" s="160"/>
      <c r="L1020" s="160">
        <f>+'FACP$'!$H1020-'FACP$'!$I1020-'FACP$'!$K1020</f>
        <v>496564.19</v>
      </c>
      <c r="M1020" s="162" t="s">
        <v>825</v>
      </c>
      <c r="N1020" s="162" t="s">
        <v>554</v>
      </c>
      <c r="O1020" s="175">
        <v>43656.0</v>
      </c>
      <c r="P1020" s="164">
        <f t="shared" si="13"/>
        <v>43659</v>
      </c>
      <c r="Q1020" s="165">
        <f t="shared" si="2"/>
        <v>0</v>
      </c>
      <c r="R1020" s="167"/>
      <c r="S1020" s="167"/>
      <c r="T1020" s="168">
        <f t="shared" si="3"/>
        <v>496564.19</v>
      </c>
      <c r="U1020" s="168">
        <f t="shared" si="4"/>
        <v>0</v>
      </c>
      <c r="V1020" s="168">
        <f t="shared" si="5"/>
        <v>0</v>
      </c>
      <c r="W1020" s="168">
        <f t="shared" si="6"/>
        <v>0</v>
      </c>
      <c r="X1020" s="168">
        <f t="shared" si="7"/>
        <v>0</v>
      </c>
      <c r="Y1020" s="168">
        <f t="shared" si="8"/>
        <v>0</v>
      </c>
      <c r="Z1020" s="168">
        <f t="shared" si="9"/>
        <v>0</v>
      </c>
    </row>
    <row r="1021" ht="15.75" customHeight="1">
      <c r="A1021" s="157">
        <v>1853.0</v>
      </c>
      <c r="B1021" s="158" t="s">
        <v>30</v>
      </c>
      <c r="C1021" s="158" t="s">
        <v>971</v>
      </c>
      <c r="D1021" s="159">
        <v>43652.0</v>
      </c>
      <c r="E1021" s="157" t="s">
        <v>731</v>
      </c>
      <c r="F1021" s="160">
        <v>105052.53</v>
      </c>
      <c r="G1021" s="160">
        <v>16808.4</v>
      </c>
      <c r="H1021" s="160">
        <f t="shared" si="41"/>
        <v>121860.93</v>
      </c>
      <c r="I1021" s="160"/>
      <c r="J1021" s="161"/>
      <c r="K1021" s="160"/>
      <c r="L1021" s="160">
        <f>+'FACP$'!$H1021-'FACP$'!$I1021-'FACP$'!$K1021</f>
        <v>121860.93</v>
      </c>
      <c r="M1021" s="162" t="s">
        <v>891</v>
      </c>
      <c r="N1021" s="162" t="s">
        <v>554</v>
      </c>
      <c r="O1021" s="175">
        <v>43651.0</v>
      </c>
      <c r="P1021" s="164">
        <f t="shared" si="13"/>
        <v>43662</v>
      </c>
      <c r="Q1021" s="165">
        <f t="shared" si="2"/>
        <v>0</v>
      </c>
      <c r="R1021" s="167" t="s">
        <v>972</v>
      </c>
      <c r="S1021" s="223" t="s">
        <v>910</v>
      </c>
      <c r="T1021" s="168">
        <f t="shared" si="3"/>
        <v>121860.93</v>
      </c>
      <c r="U1021" s="168">
        <f t="shared" si="4"/>
        <v>0</v>
      </c>
      <c r="V1021" s="168">
        <f t="shared" si="5"/>
        <v>0</v>
      </c>
      <c r="W1021" s="168">
        <f t="shared" si="6"/>
        <v>0</v>
      </c>
      <c r="X1021" s="168">
        <f t="shared" si="7"/>
        <v>0</v>
      </c>
      <c r="Y1021" s="168">
        <f t="shared" si="8"/>
        <v>0</v>
      </c>
      <c r="Z1021" s="168">
        <f t="shared" si="9"/>
        <v>0</v>
      </c>
    </row>
    <row r="1022" ht="15.75" customHeight="1">
      <c r="A1022" s="157">
        <v>1855.0</v>
      </c>
      <c r="B1022" s="158" t="s">
        <v>837</v>
      </c>
      <c r="C1022" s="158" t="s">
        <v>971</v>
      </c>
      <c r="D1022" s="159">
        <v>43649.0</v>
      </c>
      <c r="E1022" s="157" t="s">
        <v>731</v>
      </c>
      <c r="F1022" s="160">
        <v>1390857.3</v>
      </c>
      <c r="G1022" s="160">
        <v>222537.17</v>
      </c>
      <c r="H1022" s="160">
        <f t="shared" si="41"/>
        <v>1613394.47</v>
      </c>
      <c r="I1022" s="160"/>
      <c r="J1022" s="161"/>
      <c r="K1022" s="160"/>
      <c r="L1022" s="160">
        <f>+'FACP$'!$H1022-'FACP$'!$I1022-'FACP$'!$K1022</f>
        <v>1613394.47</v>
      </c>
      <c r="M1022" s="162" t="s">
        <v>837</v>
      </c>
      <c r="N1022" s="162" t="s">
        <v>554</v>
      </c>
      <c r="O1022" s="175">
        <v>43650.0</v>
      </c>
      <c r="P1022" s="164">
        <f t="shared" si="13"/>
        <v>43659</v>
      </c>
      <c r="Q1022" s="165">
        <f t="shared" si="2"/>
        <v>0</v>
      </c>
      <c r="R1022" s="167"/>
      <c r="S1022" s="167" t="s">
        <v>910</v>
      </c>
      <c r="T1022" s="168">
        <f t="shared" si="3"/>
        <v>1613394.47</v>
      </c>
      <c r="U1022" s="168">
        <f t="shared" si="4"/>
        <v>0</v>
      </c>
      <c r="V1022" s="168">
        <f t="shared" si="5"/>
        <v>0</v>
      </c>
      <c r="W1022" s="168">
        <f t="shared" si="6"/>
        <v>0</v>
      </c>
      <c r="X1022" s="168">
        <f t="shared" si="7"/>
        <v>0</v>
      </c>
      <c r="Y1022" s="168">
        <f t="shared" si="8"/>
        <v>0</v>
      </c>
      <c r="Z1022" s="168">
        <f t="shared" si="9"/>
        <v>0</v>
      </c>
    </row>
    <row r="1023" ht="15.75" customHeight="1">
      <c r="A1023" s="157">
        <v>1856.0</v>
      </c>
      <c r="B1023" s="158" t="s">
        <v>29</v>
      </c>
      <c r="C1023" s="158" t="s">
        <v>973</v>
      </c>
      <c r="D1023" s="159">
        <v>43651.0</v>
      </c>
      <c r="E1023" s="157" t="s">
        <v>731</v>
      </c>
      <c r="F1023" s="160">
        <v>104290.31</v>
      </c>
      <c r="G1023" s="160">
        <v>16686.45</v>
      </c>
      <c r="H1023" s="160">
        <f t="shared" si="41"/>
        <v>120976.76</v>
      </c>
      <c r="I1023" s="160"/>
      <c r="J1023" s="161"/>
      <c r="K1023" s="160"/>
      <c r="L1023" s="160">
        <f>+'FACP$'!$H1023-'FACP$'!$I1023-'FACP$'!$K1023</f>
        <v>120976.76</v>
      </c>
      <c r="M1023" s="162" t="s">
        <v>850</v>
      </c>
      <c r="N1023" s="162" t="s">
        <v>554</v>
      </c>
      <c r="O1023" s="175">
        <v>43682.0</v>
      </c>
      <c r="P1023" s="164">
        <f t="shared" si="13"/>
        <v>43661</v>
      </c>
      <c r="Q1023" s="165">
        <f t="shared" si="2"/>
        <v>0</v>
      </c>
      <c r="R1023" s="167"/>
      <c r="S1023" s="167"/>
      <c r="T1023" s="168">
        <f t="shared" si="3"/>
        <v>120976.76</v>
      </c>
      <c r="U1023" s="168">
        <f t="shared" si="4"/>
        <v>0</v>
      </c>
      <c r="V1023" s="168">
        <f t="shared" si="5"/>
        <v>0</v>
      </c>
      <c r="W1023" s="168">
        <f t="shared" si="6"/>
        <v>0</v>
      </c>
      <c r="X1023" s="168">
        <f t="shared" si="7"/>
        <v>0</v>
      </c>
      <c r="Y1023" s="168">
        <f t="shared" si="8"/>
        <v>0</v>
      </c>
      <c r="Z1023" s="168">
        <f t="shared" si="9"/>
        <v>0</v>
      </c>
    </row>
    <row r="1024" ht="14.25" customHeight="1">
      <c r="A1024" s="157">
        <v>1857.0</v>
      </c>
      <c r="B1024" s="158" t="s">
        <v>29</v>
      </c>
      <c r="C1024" s="158" t="s">
        <v>974</v>
      </c>
      <c r="D1024" s="159">
        <v>43651.0</v>
      </c>
      <c r="E1024" s="157" t="s">
        <v>731</v>
      </c>
      <c r="F1024" s="160">
        <v>139205.49</v>
      </c>
      <c r="G1024" s="160">
        <v>22272.88</v>
      </c>
      <c r="H1024" s="160">
        <f t="shared" si="41"/>
        <v>161478.37</v>
      </c>
      <c r="I1024" s="160"/>
      <c r="J1024" s="161"/>
      <c r="K1024" s="160"/>
      <c r="L1024" s="160">
        <f>+'FACP$'!$H1024-'FACP$'!$I1024-'FACP$'!$K1024</f>
        <v>161478.37</v>
      </c>
      <c r="M1024" s="162" t="s">
        <v>712</v>
      </c>
      <c r="N1024" s="162" t="s">
        <v>554</v>
      </c>
      <c r="O1024" s="175">
        <v>43682.0</v>
      </c>
      <c r="P1024" s="164">
        <f t="shared" si="13"/>
        <v>43661</v>
      </c>
      <c r="Q1024" s="165">
        <f t="shared" si="2"/>
        <v>0</v>
      </c>
      <c r="R1024" s="167"/>
      <c r="S1024" s="167"/>
      <c r="T1024" s="168">
        <f t="shared" si="3"/>
        <v>161478.37</v>
      </c>
      <c r="U1024" s="168">
        <f t="shared" si="4"/>
        <v>0</v>
      </c>
      <c r="V1024" s="168">
        <f t="shared" si="5"/>
        <v>0</v>
      </c>
      <c r="W1024" s="168">
        <f t="shared" si="6"/>
        <v>0</v>
      </c>
      <c r="X1024" s="168">
        <f t="shared" si="7"/>
        <v>0</v>
      </c>
      <c r="Y1024" s="168">
        <f t="shared" si="8"/>
        <v>0</v>
      </c>
      <c r="Z1024" s="168">
        <f t="shared" si="9"/>
        <v>0</v>
      </c>
    </row>
    <row r="1025" ht="14.25" customHeight="1">
      <c r="A1025" s="157">
        <v>1858.0</v>
      </c>
      <c r="B1025" s="158" t="s">
        <v>29</v>
      </c>
      <c r="C1025" s="158" t="s">
        <v>975</v>
      </c>
      <c r="D1025" s="159">
        <v>43651.0</v>
      </c>
      <c r="E1025" s="157" t="s">
        <v>731</v>
      </c>
      <c r="F1025" s="160">
        <v>135707.55</v>
      </c>
      <c r="G1025" s="160">
        <v>21713.21</v>
      </c>
      <c r="H1025" s="160">
        <f t="shared" si="41"/>
        <v>157420.76</v>
      </c>
      <c r="I1025" s="160"/>
      <c r="J1025" s="161"/>
      <c r="K1025" s="160"/>
      <c r="L1025" s="160">
        <f>+'FACP$'!$H1025-'FACP$'!$I1025-'FACP$'!$K1025</f>
        <v>157420.76</v>
      </c>
      <c r="M1025" s="162" t="s">
        <v>850</v>
      </c>
      <c r="N1025" s="162" t="s">
        <v>554</v>
      </c>
      <c r="O1025" s="175">
        <v>43682.0</v>
      </c>
      <c r="P1025" s="164">
        <f t="shared" si="13"/>
        <v>43661</v>
      </c>
      <c r="Q1025" s="165">
        <f t="shared" si="2"/>
        <v>0</v>
      </c>
      <c r="R1025" s="167"/>
      <c r="S1025" s="167"/>
      <c r="T1025" s="168">
        <f t="shared" si="3"/>
        <v>157420.76</v>
      </c>
      <c r="U1025" s="168">
        <f t="shared" si="4"/>
        <v>0</v>
      </c>
      <c r="V1025" s="168">
        <f t="shared" si="5"/>
        <v>0</v>
      </c>
      <c r="W1025" s="168">
        <f t="shared" si="6"/>
        <v>0</v>
      </c>
      <c r="X1025" s="168">
        <f t="shared" si="7"/>
        <v>0</v>
      </c>
      <c r="Y1025" s="168">
        <f t="shared" si="8"/>
        <v>0</v>
      </c>
      <c r="Z1025" s="168">
        <f t="shared" si="9"/>
        <v>0</v>
      </c>
    </row>
    <row r="1026" ht="14.25" customHeight="1">
      <c r="A1026" s="157">
        <v>1859.0</v>
      </c>
      <c r="B1026" s="158" t="s">
        <v>29</v>
      </c>
      <c r="C1026" s="158" t="s">
        <v>976</v>
      </c>
      <c r="D1026" s="159">
        <v>43651.0</v>
      </c>
      <c r="E1026" s="157" t="s">
        <v>731</v>
      </c>
      <c r="F1026" s="160">
        <v>175511.78</v>
      </c>
      <c r="G1026" s="160">
        <v>28081.88</v>
      </c>
      <c r="H1026" s="160">
        <f t="shared" si="41"/>
        <v>203593.66</v>
      </c>
      <c r="I1026" s="160"/>
      <c r="J1026" s="161"/>
      <c r="K1026" s="160"/>
      <c r="L1026" s="160">
        <f>+'FACP$'!$H1026-'FACP$'!$I1026-'FACP$'!$K1026</f>
        <v>203593.66</v>
      </c>
      <c r="M1026" s="162" t="s">
        <v>712</v>
      </c>
      <c r="N1026" s="162" t="s">
        <v>554</v>
      </c>
      <c r="O1026" s="175">
        <v>43682.0</v>
      </c>
      <c r="P1026" s="164">
        <f t="shared" si="13"/>
        <v>43661</v>
      </c>
      <c r="Q1026" s="165">
        <f t="shared" si="2"/>
        <v>0</v>
      </c>
      <c r="R1026" s="167"/>
      <c r="S1026" s="167"/>
      <c r="T1026" s="168">
        <f t="shared" si="3"/>
        <v>203593.66</v>
      </c>
      <c r="U1026" s="168">
        <f t="shared" si="4"/>
        <v>0</v>
      </c>
      <c r="V1026" s="168">
        <f t="shared" si="5"/>
        <v>0</v>
      </c>
      <c r="W1026" s="168">
        <f t="shared" si="6"/>
        <v>0</v>
      </c>
      <c r="X1026" s="168">
        <f t="shared" si="7"/>
        <v>0</v>
      </c>
      <c r="Y1026" s="168">
        <f t="shared" si="8"/>
        <v>0</v>
      </c>
      <c r="Z1026" s="168">
        <f t="shared" si="9"/>
        <v>0</v>
      </c>
    </row>
    <row r="1027" ht="14.25" customHeight="1">
      <c r="A1027" s="157">
        <v>1861.0</v>
      </c>
      <c r="B1027" s="158" t="s">
        <v>41</v>
      </c>
      <c r="C1027" s="158" t="s">
        <v>961</v>
      </c>
      <c r="D1027" s="159">
        <v>43654.0</v>
      </c>
      <c r="E1027" s="157" t="s">
        <v>731</v>
      </c>
      <c r="F1027" s="160">
        <v>204171.92</v>
      </c>
      <c r="G1027" s="160">
        <v>32667.51</v>
      </c>
      <c r="H1027" s="160">
        <v>236839.43000000002</v>
      </c>
      <c r="I1027" s="160"/>
      <c r="J1027" s="161"/>
      <c r="K1027" s="160"/>
      <c r="L1027" s="160">
        <f>+'FACP$'!$H1027-'FACP$'!$I1027-'FACP$'!$K1027</f>
        <v>236839.43</v>
      </c>
      <c r="M1027" s="162" t="s">
        <v>121</v>
      </c>
      <c r="N1027" s="162" t="s">
        <v>554</v>
      </c>
      <c r="O1027" s="175">
        <v>43696.0</v>
      </c>
      <c r="P1027" s="164">
        <f t="shared" si="13"/>
        <v>43664</v>
      </c>
      <c r="Q1027" s="165">
        <f t="shared" si="2"/>
        <v>0</v>
      </c>
      <c r="R1027" s="167" t="s">
        <v>977</v>
      </c>
      <c r="S1027" s="167"/>
      <c r="T1027" s="168">
        <f t="shared" si="3"/>
        <v>236839.43</v>
      </c>
      <c r="U1027" s="168">
        <f t="shared" si="4"/>
        <v>0</v>
      </c>
      <c r="V1027" s="168">
        <f t="shared" si="5"/>
        <v>0</v>
      </c>
      <c r="W1027" s="168">
        <f t="shared" si="6"/>
        <v>0</v>
      </c>
      <c r="X1027" s="168">
        <f t="shared" si="7"/>
        <v>0</v>
      </c>
      <c r="Y1027" s="168">
        <f t="shared" si="8"/>
        <v>0</v>
      </c>
      <c r="Z1027" s="168">
        <f t="shared" si="9"/>
        <v>0</v>
      </c>
    </row>
    <row r="1028" ht="14.25" customHeight="1">
      <c r="A1028" s="157">
        <v>1863.0</v>
      </c>
      <c r="B1028" s="158" t="s">
        <v>41</v>
      </c>
      <c r="C1028" s="158" t="s">
        <v>965</v>
      </c>
      <c r="D1028" s="159">
        <v>43654.0</v>
      </c>
      <c r="E1028" s="157" t="s">
        <v>731</v>
      </c>
      <c r="F1028" s="160">
        <v>121343.12</v>
      </c>
      <c r="G1028" s="160">
        <v>19414.9</v>
      </c>
      <c r="H1028" s="160">
        <f t="shared" ref="H1028:H1184" si="42">F1028+G1028</f>
        <v>140758.02</v>
      </c>
      <c r="I1028" s="160"/>
      <c r="J1028" s="161"/>
      <c r="K1028" s="160"/>
      <c r="L1028" s="160">
        <f>+'FACP$'!$H1028-'FACP$'!$I1028-'FACP$'!$K1028</f>
        <v>140758.02</v>
      </c>
      <c r="M1028" s="162" t="s">
        <v>121</v>
      </c>
      <c r="N1028" s="162" t="s">
        <v>554</v>
      </c>
      <c r="O1028" s="175">
        <v>43696.0</v>
      </c>
      <c r="P1028" s="164">
        <f t="shared" si="13"/>
        <v>43664</v>
      </c>
      <c r="Q1028" s="165">
        <f t="shared" si="2"/>
        <v>0</v>
      </c>
      <c r="R1028" s="167"/>
      <c r="S1028" s="167"/>
      <c r="T1028" s="168">
        <f t="shared" si="3"/>
        <v>140758.02</v>
      </c>
      <c r="U1028" s="168">
        <f t="shared" si="4"/>
        <v>0</v>
      </c>
      <c r="V1028" s="168">
        <f t="shared" si="5"/>
        <v>0</v>
      </c>
      <c r="W1028" s="168">
        <f t="shared" si="6"/>
        <v>0</v>
      </c>
      <c r="X1028" s="168">
        <f t="shared" si="7"/>
        <v>0</v>
      </c>
      <c r="Y1028" s="168">
        <f t="shared" si="8"/>
        <v>0</v>
      </c>
      <c r="Z1028" s="168">
        <f t="shared" si="9"/>
        <v>0</v>
      </c>
    </row>
    <row r="1029" ht="14.25" customHeight="1">
      <c r="A1029" s="157">
        <v>1865.0</v>
      </c>
      <c r="B1029" s="158" t="s">
        <v>18</v>
      </c>
      <c r="C1029" s="158" t="s">
        <v>971</v>
      </c>
      <c r="D1029" s="159">
        <v>43654.0</v>
      </c>
      <c r="E1029" s="157" t="s">
        <v>731</v>
      </c>
      <c r="F1029" s="160">
        <v>112624.16</v>
      </c>
      <c r="G1029" s="160">
        <v>18019.87</v>
      </c>
      <c r="H1029" s="160">
        <f t="shared" si="42"/>
        <v>130644.03</v>
      </c>
      <c r="I1029" s="160"/>
      <c r="J1029" s="161"/>
      <c r="K1029" s="160"/>
      <c r="L1029" s="160">
        <f>+'FACP$'!$H1029-'FACP$'!$I1029-'FACP$'!$K1029</f>
        <v>130644.03</v>
      </c>
      <c r="M1029" s="162" t="s">
        <v>586</v>
      </c>
      <c r="N1029" s="162" t="s">
        <v>554</v>
      </c>
      <c r="O1029" s="175">
        <v>43713.0</v>
      </c>
      <c r="P1029" s="164">
        <f t="shared" si="13"/>
        <v>43664</v>
      </c>
      <c r="Q1029" s="165">
        <f t="shared" si="2"/>
        <v>0</v>
      </c>
      <c r="R1029" s="167"/>
      <c r="S1029" s="167" t="s">
        <v>910</v>
      </c>
      <c r="T1029" s="168">
        <f t="shared" si="3"/>
        <v>130644.03</v>
      </c>
      <c r="U1029" s="168">
        <f t="shared" si="4"/>
        <v>0</v>
      </c>
      <c r="V1029" s="168">
        <f t="shared" si="5"/>
        <v>0</v>
      </c>
      <c r="W1029" s="168">
        <f t="shared" si="6"/>
        <v>0</v>
      </c>
      <c r="X1029" s="168">
        <f t="shared" si="7"/>
        <v>0</v>
      </c>
      <c r="Y1029" s="168">
        <f t="shared" si="8"/>
        <v>0</v>
      </c>
      <c r="Z1029" s="168">
        <f t="shared" si="9"/>
        <v>0</v>
      </c>
    </row>
    <row r="1030" ht="14.25" customHeight="1">
      <c r="A1030" s="157">
        <v>1867.0</v>
      </c>
      <c r="B1030" s="158" t="s">
        <v>19</v>
      </c>
      <c r="C1030" s="158" t="s">
        <v>971</v>
      </c>
      <c r="D1030" s="159">
        <v>43654.0</v>
      </c>
      <c r="E1030" s="157" t="s">
        <v>731</v>
      </c>
      <c r="F1030" s="160">
        <v>222717.44</v>
      </c>
      <c r="G1030" s="160">
        <v>35634.79</v>
      </c>
      <c r="H1030" s="160">
        <f t="shared" si="42"/>
        <v>258352.23</v>
      </c>
      <c r="I1030" s="160"/>
      <c r="J1030" s="161"/>
      <c r="K1030" s="160"/>
      <c r="L1030" s="160">
        <f>+'FACP$'!$H1030-'FACP$'!$I1030-'FACP$'!$K1030</f>
        <v>258352.23</v>
      </c>
      <c r="M1030" s="162" t="s">
        <v>732</v>
      </c>
      <c r="N1030" s="162" t="s">
        <v>554</v>
      </c>
      <c r="O1030" s="175">
        <v>43713.0</v>
      </c>
      <c r="P1030" s="164">
        <f t="shared" si="13"/>
        <v>43664</v>
      </c>
      <c r="Q1030" s="165">
        <f t="shared" si="2"/>
        <v>0</v>
      </c>
      <c r="R1030" s="167"/>
      <c r="S1030" s="167" t="s">
        <v>910</v>
      </c>
      <c r="T1030" s="168">
        <f t="shared" si="3"/>
        <v>258352.23</v>
      </c>
      <c r="U1030" s="168">
        <f t="shared" si="4"/>
        <v>0</v>
      </c>
      <c r="V1030" s="168">
        <f t="shared" si="5"/>
        <v>0</v>
      </c>
      <c r="W1030" s="168">
        <f t="shared" si="6"/>
        <v>0</v>
      </c>
      <c r="X1030" s="168">
        <f t="shared" si="7"/>
        <v>0</v>
      </c>
      <c r="Y1030" s="168">
        <f t="shared" si="8"/>
        <v>0</v>
      </c>
      <c r="Z1030" s="168">
        <f t="shared" si="9"/>
        <v>0</v>
      </c>
    </row>
    <row r="1031" ht="14.25" customHeight="1">
      <c r="A1031" s="157">
        <v>1869.0</v>
      </c>
      <c r="B1031" s="158" t="s">
        <v>37</v>
      </c>
      <c r="C1031" s="158" t="s">
        <v>971</v>
      </c>
      <c r="D1031" s="159">
        <v>43654.0</v>
      </c>
      <c r="E1031" s="157" t="s">
        <v>731</v>
      </c>
      <c r="F1031" s="160">
        <v>1849638.0</v>
      </c>
      <c r="G1031" s="160">
        <v>295942.08</v>
      </c>
      <c r="H1031" s="160">
        <f t="shared" si="42"/>
        <v>2145580.08</v>
      </c>
      <c r="I1031" s="160"/>
      <c r="J1031" s="161"/>
      <c r="K1031" s="160"/>
      <c r="L1031" s="160">
        <f>+'FACP$'!$H1031-'FACP$'!$I1031-'FACP$'!$K1031</f>
        <v>2145580.08</v>
      </c>
      <c r="M1031" s="162" t="s">
        <v>116</v>
      </c>
      <c r="N1031" s="162" t="s">
        <v>554</v>
      </c>
      <c r="O1031" s="175">
        <v>43675.0</v>
      </c>
      <c r="P1031" s="164">
        <f t="shared" si="13"/>
        <v>43664</v>
      </c>
      <c r="Q1031" s="165">
        <f t="shared" si="2"/>
        <v>0</v>
      </c>
      <c r="R1031" s="167"/>
      <c r="S1031" s="167"/>
      <c r="T1031" s="168">
        <f t="shared" si="3"/>
        <v>2145580.08</v>
      </c>
      <c r="U1031" s="168">
        <f t="shared" si="4"/>
        <v>0</v>
      </c>
      <c r="V1031" s="168">
        <f t="shared" si="5"/>
        <v>0</v>
      </c>
      <c r="W1031" s="168">
        <f t="shared" si="6"/>
        <v>0</v>
      </c>
      <c r="X1031" s="168">
        <f t="shared" si="7"/>
        <v>0</v>
      </c>
      <c r="Y1031" s="168">
        <f t="shared" si="8"/>
        <v>0</v>
      </c>
      <c r="Z1031" s="168">
        <f t="shared" si="9"/>
        <v>0</v>
      </c>
    </row>
    <row r="1032" ht="14.25" customHeight="1">
      <c r="A1032" s="157">
        <v>1871.0</v>
      </c>
      <c r="B1032" s="158" t="s">
        <v>33</v>
      </c>
      <c r="C1032" s="158" t="s">
        <v>978</v>
      </c>
      <c r="D1032" s="159">
        <v>43654.0</v>
      </c>
      <c r="E1032" s="157" t="s">
        <v>731</v>
      </c>
      <c r="F1032" s="160">
        <v>170669.46</v>
      </c>
      <c r="G1032" s="160">
        <v>27307.11</v>
      </c>
      <c r="H1032" s="160">
        <f t="shared" si="42"/>
        <v>197976.57</v>
      </c>
      <c r="I1032" s="160"/>
      <c r="J1032" s="161"/>
      <c r="K1032" s="160"/>
      <c r="L1032" s="160">
        <f>+'FACP$'!$H1032-'FACP$'!$I1032-'FACP$'!$K1032</f>
        <v>197976.57</v>
      </c>
      <c r="M1032" s="162" t="s">
        <v>958</v>
      </c>
      <c r="N1032" s="162" t="s">
        <v>554</v>
      </c>
      <c r="O1032" s="175">
        <v>43710.0</v>
      </c>
      <c r="P1032" s="164">
        <f t="shared" si="13"/>
        <v>43664</v>
      </c>
      <c r="Q1032" s="165">
        <f t="shared" si="2"/>
        <v>0</v>
      </c>
      <c r="R1032" s="167"/>
      <c r="S1032" s="167" t="s">
        <v>910</v>
      </c>
      <c r="T1032" s="168">
        <f t="shared" si="3"/>
        <v>197976.57</v>
      </c>
      <c r="U1032" s="168">
        <f t="shared" si="4"/>
        <v>0</v>
      </c>
      <c r="V1032" s="168">
        <f t="shared" si="5"/>
        <v>0</v>
      </c>
      <c r="W1032" s="168">
        <f t="shared" si="6"/>
        <v>0</v>
      </c>
      <c r="X1032" s="168">
        <f t="shared" si="7"/>
        <v>0</v>
      </c>
      <c r="Y1032" s="168">
        <f t="shared" si="8"/>
        <v>0</v>
      </c>
      <c r="Z1032" s="168">
        <f t="shared" si="9"/>
        <v>0</v>
      </c>
    </row>
    <row r="1033" ht="14.25" customHeight="1">
      <c r="A1033" s="157">
        <v>1873.0</v>
      </c>
      <c r="B1033" s="158" t="s">
        <v>36</v>
      </c>
      <c r="C1033" s="158" t="s">
        <v>965</v>
      </c>
      <c r="D1033" s="159">
        <v>43655.0</v>
      </c>
      <c r="E1033" s="157" t="s">
        <v>731</v>
      </c>
      <c r="F1033" s="160">
        <v>37430.43</v>
      </c>
      <c r="G1033" s="160">
        <v>5988.87</v>
      </c>
      <c r="H1033" s="160">
        <f t="shared" si="42"/>
        <v>43419.3</v>
      </c>
      <c r="I1033" s="160"/>
      <c r="J1033" s="161"/>
      <c r="K1033" s="160"/>
      <c r="L1033" s="160">
        <f>+'FACP$'!$H1033-'FACP$'!$I1033-'FACP$'!$K1033</f>
        <v>43419.3</v>
      </c>
      <c r="M1033" s="162" t="s">
        <v>278</v>
      </c>
      <c r="N1033" s="162" t="s">
        <v>554</v>
      </c>
      <c r="O1033" s="175">
        <v>43686.0</v>
      </c>
      <c r="P1033" s="164">
        <f t="shared" si="13"/>
        <v>43665</v>
      </c>
      <c r="Q1033" s="165">
        <f t="shared" si="2"/>
        <v>0</v>
      </c>
      <c r="R1033" s="167"/>
      <c r="S1033" s="220" t="s">
        <v>910</v>
      </c>
      <c r="T1033" s="168">
        <f t="shared" si="3"/>
        <v>43419.3</v>
      </c>
      <c r="U1033" s="168">
        <f t="shared" si="4"/>
        <v>0</v>
      </c>
      <c r="V1033" s="168">
        <f t="shared" si="5"/>
        <v>0</v>
      </c>
      <c r="W1033" s="168">
        <f t="shared" si="6"/>
        <v>0</v>
      </c>
      <c r="X1033" s="168">
        <f t="shared" si="7"/>
        <v>0</v>
      </c>
      <c r="Y1033" s="168">
        <f t="shared" si="8"/>
        <v>0</v>
      </c>
      <c r="Z1033" s="168">
        <f t="shared" si="9"/>
        <v>0</v>
      </c>
    </row>
    <row r="1034" ht="14.25" customHeight="1">
      <c r="A1034" s="157">
        <v>1875.0</v>
      </c>
      <c r="B1034" s="158" t="s">
        <v>36</v>
      </c>
      <c r="C1034" s="158" t="s">
        <v>971</v>
      </c>
      <c r="D1034" s="159">
        <v>43655.0</v>
      </c>
      <c r="E1034" s="157" t="s">
        <v>731</v>
      </c>
      <c r="F1034" s="160">
        <v>50517.01</v>
      </c>
      <c r="G1034" s="160">
        <v>8082.72</v>
      </c>
      <c r="H1034" s="160">
        <f t="shared" si="42"/>
        <v>58599.73</v>
      </c>
      <c r="I1034" s="160"/>
      <c r="J1034" s="161"/>
      <c r="K1034" s="160"/>
      <c r="L1034" s="160">
        <f>+'FACP$'!$H1034-'FACP$'!$I1034-'FACP$'!$K1034</f>
        <v>58599.73</v>
      </c>
      <c r="M1034" s="162" t="s">
        <v>278</v>
      </c>
      <c r="N1034" s="162" t="s">
        <v>554</v>
      </c>
      <c r="O1034" s="175">
        <v>43686.0</v>
      </c>
      <c r="P1034" s="164">
        <f t="shared" si="13"/>
        <v>43665</v>
      </c>
      <c r="Q1034" s="165">
        <f t="shared" si="2"/>
        <v>0</v>
      </c>
      <c r="R1034" s="167"/>
      <c r="S1034" s="220" t="s">
        <v>910</v>
      </c>
      <c r="T1034" s="168">
        <f t="shared" si="3"/>
        <v>58599.73</v>
      </c>
      <c r="U1034" s="168">
        <f t="shared" si="4"/>
        <v>0</v>
      </c>
      <c r="V1034" s="168">
        <f t="shared" si="5"/>
        <v>0</v>
      </c>
      <c r="W1034" s="168">
        <f t="shared" si="6"/>
        <v>0</v>
      </c>
      <c r="X1034" s="168">
        <f t="shared" si="7"/>
        <v>0</v>
      </c>
      <c r="Y1034" s="168">
        <f t="shared" si="8"/>
        <v>0</v>
      </c>
      <c r="Z1034" s="168">
        <f t="shared" si="9"/>
        <v>0</v>
      </c>
    </row>
    <row r="1035" ht="14.25" customHeight="1">
      <c r="A1035" s="157">
        <v>1877.0</v>
      </c>
      <c r="B1035" s="158" t="s">
        <v>967</v>
      </c>
      <c r="C1035" s="158" t="s">
        <v>979</v>
      </c>
      <c r="D1035" s="159">
        <v>43661.0</v>
      </c>
      <c r="E1035" s="157" t="s">
        <v>731</v>
      </c>
      <c r="F1035" s="160">
        <v>85149.74</v>
      </c>
      <c r="G1035" s="160">
        <v>13623.96</v>
      </c>
      <c r="H1035" s="160">
        <f t="shared" si="42"/>
        <v>98773.7</v>
      </c>
      <c r="I1035" s="160"/>
      <c r="J1035" s="161"/>
      <c r="K1035" s="160"/>
      <c r="L1035" s="160">
        <f>+'FACP$'!$H1035-'FACP$'!$I1035-'FACP$'!$K1035</f>
        <v>98773.7</v>
      </c>
      <c r="M1035" s="162" t="s">
        <v>969</v>
      </c>
      <c r="N1035" s="162" t="s">
        <v>554</v>
      </c>
      <c r="O1035" s="175">
        <v>43698.0</v>
      </c>
      <c r="P1035" s="164">
        <f t="shared" si="13"/>
        <v>43671</v>
      </c>
      <c r="Q1035" s="165">
        <f t="shared" si="2"/>
        <v>0</v>
      </c>
      <c r="R1035" s="167"/>
      <c r="S1035" s="167"/>
      <c r="T1035" s="168">
        <f t="shared" si="3"/>
        <v>98773.7</v>
      </c>
      <c r="U1035" s="168">
        <f t="shared" si="4"/>
        <v>0</v>
      </c>
      <c r="V1035" s="168">
        <f t="shared" si="5"/>
        <v>0</v>
      </c>
      <c r="W1035" s="168">
        <f t="shared" si="6"/>
        <v>0</v>
      </c>
      <c r="X1035" s="168">
        <f t="shared" si="7"/>
        <v>0</v>
      </c>
      <c r="Y1035" s="168">
        <f t="shared" si="8"/>
        <v>0</v>
      </c>
      <c r="Z1035" s="168">
        <f t="shared" si="9"/>
        <v>0</v>
      </c>
    </row>
    <row r="1036" ht="14.25" customHeight="1">
      <c r="A1036" s="157">
        <v>1878.0</v>
      </c>
      <c r="B1036" s="158" t="s">
        <v>967</v>
      </c>
      <c r="C1036" s="158" t="s">
        <v>980</v>
      </c>
      <c r="D1036" s="159">
        <v>43661.0</v>
      </c>
      <c r="E1036" s="157" t="s">
        <v>731</v>
      </c>
      <c r="F1036" s="160">
        <v>42719.19</v>
      </c>
      <c r="G1036" s="160">
        <v>6835.07</v>
      </c>
      <c r="H1036" s="160">
        <f t="shared" si="42"/>
        <v>49554.26</v>
      </c>
      <c r="I1036" s="160"/>
      <c r="J1036" s="161"/>
      <c r="K1036" s="160"/>
      <c r="L1036" s="160">
        <f>+'FACP$'!$H1036-'FACP$'!$I1036-'FACP$'!$K1036</f>
        <v>49554.26</v>
      </c>
      <c r="M1036" s="162" t="s">
        <v>969</v>
      </c>
      <c r="N1036" s="162" t="s">
        <v>554</v>
      </c>
      <c r="O1036" s="175">
        <v>43698.0</v>
      </c>
      <c r="P1036" s="164">
        <f t="shared" si="13"/>
        <v>43671</v>
      </c>
      <c r="Q1036" s="165">
        <f t="shared" si="2"/>
        <v>0</v>
      </c>
      <c r="R1036" s="167"/>
      <c r="S1036" s="167"/>
      <c r="T1036" s="168">
        <f t="shared" si="3"/>
        <v>49554.26</v>
      </c>
      <c r="U1036" s="168">
        <f t="shared" si="4"/>
        <v>0</v>
      </c>
      <c r="V1036" s="168">
        <f t="shared" si="5"/>
        <v>0</v>
      </c>
      <c r="W1036" s="168">
        <f t="shared" si="6"/>
        <v>0</v>
      </c>
      <c r="X1036" s="168">
        <f t="shared" si="7"/>
        <v>0</v>
      </c>
      <c r="Y1036" s="168">
        <f t="shared" si="8"/>
        <v>0</v>
      </c>
      <c r="Z1036" s="168">
        <f t="shared" si="9"/>
        <v>0</v>
      </c>
    </row>
    <row r="1037" ht="14.25" customHeight="1">
      <c r="A1037" s="157">
        <v>1879.0</v>
      </c>
      <c r="B1037" s="158" t="s">
        <v>981</v>
      </c>
      <c r="C1037" s="158" t="s">
        <v>979</v>
      </c>
      <c r="D1037" s="159">
        <v>43661.0</v>
      </c>
      <c r="E1037" s="157" t="s">
        <v>731</v>
      </c>
      <c r="F1037" s="160">
        <v>5215.31</v>
      </c>
      <c r="G1037" s="160">
        <v>834.45</v>
      </c>
      <c r="H1037" s="160">
        <f t="shared" si="42"/>
        <v>6049.76</v>
      </c>
      <c r="I1037" s="160"/>
      <c r="J1037" s="161"/>
      <c r="K1037" s="160"/>
      <c r="L1037" s="160">
        <f>+'FACP$'!$H1037-'FACP$'!$I1037-'FACP$'!$K1037</f>
        <v>6049.76</v>
      </c>
      <c r="M1037" s="162" t="s">
        <v>982</v>
      </c>
      <c r="N1037" s="162" t="s">
        <v>127</v>
      </c>
      <c r="O1037" s="175"/>
      <c r="P1037" s="164">
        <f t="shared" si="13"/>
        <v>43671</v>
      </c>
      <c r="Q1037" s="165">
        <f t="shared" si="2"/>
        <v>0</v>
      </c>
      <c r="R1037" s="167"/>
      <c r="S1037" s="167"/>
      <c r="T1037" s="168">
        <f t="shared" si="3"/>
        <v>6049.76</v>
      </c>
      <c r="U1037" s="168">
        <f t="shared" si="4"/>
        <v>0</v>
      </c>
      <c r="V1037" s="168">
        <f t="shared" si="5"/>
        <v>0</v>
      </c>
      <c r="W1037" s="168">
        <f t="shared" si="6"/>
        <v>0</v>
      </c>
      <c r="X1037" s="168">
        <f t="shared" si="7"/>
        <v>0</v>
      </c>
      <c r="Y1037" s="168">
        <f t="shared" si="8"/>
        <v>0</v>
      </c>
      <c r="Z1037" s="168">
        <f t="shared" si="9"/>
        <v>0</v>
      </c>
    </row>
    <row r="1038" ht="14.25" customHeight="1">
      <c r="A1038" s="157">
        <v>1880.0</v>
      </c>
      <c r="B1038" s="158" t="s">
        <v>981</v>
      </c>
      <c r="C1038" s="158" t="s">
        <v>983</v>
      </c>
      <c r="D1038" s="159">
        <v>43661.0</v>
      </c>
      <c r="E1038" s="157" t="s">
        <v>731</v>
      </c>
      <c r="F1038" s="160">
        <v>2616.49</v>
      </c>
      <c r="G1038" s="160">
        <v>418.64</v>
      </c>
      <c r="H1038" s="160">
        <f t="shared" si="42"/>
        <v>3035.13</v>
      </c>
      <c r="I1038" s="160"/>
      <c r="J1038" s="161"/>
      <c r="K1038" s="160"/>
      <c r="L1038" s="160">
        <f>+'FACP$'!$H1038-'FACP$'!$I1038-'FACP$'!$K1038</f>
        <v>3035.13</v>
      </c>
      <c r="M1038" s="162" t="s">
        <v>982</v>
      </c>
      <c r="N1038" s="162" t="s">
        <v>554</v>
      </c>
      <c r="O1038" s="175">
        <v>43684.0</v>
      </c>
      <c r="P1038" s="164">
        <f t="shared" si="13"/>
        <v>43671</v>
      </c>
      <c r="Q1038" s="165">
        <f t="shared" si="2"/>
        <v>0</v>
      </c>
      <c r="R1038" s="167"/>
      <c r="S1038" s="220" t="s">
        <v>910</v>
      </c>
      <c r="T1038" s="168">
        <f t="shared" si="3"/>
        <v>3035.13</v>
      </c>
      <c r="U1038" s="168">
        <f t="shared" si="4"/>
        <v>0</v>
      </c>
      <c r="V1038" s="168">
        <f t="shared" si="5"/>
        <v>0</v>
      </c>
      <c r="W1038" s="168">
        <f t="shared" si="6"/>
        <v>0</v>
      </c>
      <c r="X1038" s="168">
        <f t="shared" si="7"/>
        <v>0</v>
      </c>
      <c r="Y1038" s="168">
        <f t="shared" si="8"/>
        <v>0</v>
      </c>
      <c r="Z1038" s="168">
        <f t="shared" si="9"/>
        <v>0</v>
      </c>
    </row>
    <row r="1039" ht="14.25" customHeight="1">
      <c r="A1039" s="157">
        <v>1881.0</v>
      </c>
      <c r="B1039" s="158" t="s">
        <v>41</v>
      </c>
      <c r="C1039" s="158" t="s">
        <v>971</v>
      </c>
      <c r="D1039" s="159">
        <v>43663.0</v>
      </c>
      <c r="E1039" s="157" t="s">
        <v>731</v>
      </c>
      <c r="F1039" s="160">
        <v>155034.88</v>
      </c>
      <c r="G1039" s="160">
        <v>24805.58</v>
      </c>
      <c r="H1039" s="160">
        <f t="shared" si="42"/>
        <v>179840.46</v>
      </c>
      <c r="I1039" s="160"/>
      <c r="J1039" s="161"/>
      <c r="K1039" s="160"/>
      <c r="L1039" s="160">
        <f>+'FACP$'!$H1039-'FACP$'!$I1039-'FACP$'!$K1039</f>
        <v>179840.46</v>
      </c>
      <c r="M1039" s="162" t="s">
        <v>121</v>
      </c>
      <c r="N1039" s="162" t="s">
        <v>554</v>
      </c>
      <c r="O1039" s="175">
        <v>43696.0</v>
      </c>
      <c r="P1039" s="164">
        <f t="shared" si="13"/>
        <v>43673</v>
      </c>
      <c r="Q1039" s="165">
        <f t="shared" si="2"/>
        <v>0</v>
      </c>
      <c r="R1039" s="167"/>
      <c r="S1039" s="167"/>
      <c r="T1039" s="168">
        <f t="shared" si="3"/>
        <v>179840.46</v>
      </c>
      <c r="U1039" s="168">
        <f t="shared" si="4"/>
        <v>0</v>
      </c>
      <c r="V1039" s="168">
        <f t="shared" si="5"/>
        <v>0</v>
      </c>
      <c r="W1039" s="168">
        <f t="shared" si="6"/>
        <v>0</v>
      </c>
      <c r="X1039" s="168">
        <f t="shared" si="7"/>
        <v>0</v>
      </c>
      <c r="Y1039" s="168">
        <f t="shared" si="8"/>
        <v>0</v>
      </c>
      <c r="Z1039" s="168">
        <f t="shared" si="9"/>
        <v>0</v>
      </c>
    </row>
    <row r="1040" ht="14.25" customHeight="1">
      <c r="A1040" s="157">
        <v>1883.0</v>
      </c>
      <c r="B1040" s="158" t="s">
        <v>29</v>
      </c>
      <c r="C1040" s="158" t="s">
        <v>984</v>
      </c>
      <c r="D1040" s="159">
        <v>43663.0</v>
      </c>
      <c r="E1040" s="157" t="s">
        <v>731</v>
      </c>
      <c r="F1040" s="160">
        <v>360880.1</v>
      </c>
      <c r="G1040" s="160">
        <v>57740.82</v>
      </c>
      <c r="H1040" s="160">
        <f t="shared" si="42"/>
        <v>418620.92</v>
      </c>
      <c r="I1040" s="160"/>
      <c r="J1040" s="161"/>
      <c r="K1040" s="160"/>
      <c r="L1040" s="160">
        <f>+'FACP$'!$H1040-'FACP$'!$I1040-'FACP$'!$K1040</f>
        <v>418620.92</v>
      </c>
      <c r="M1040" s="162" t="s">
        <v>825</v>
      </c>
      <c r="N1040" s="162" t="s">
        <v>554</v>
      </c>
      <c r="O1040" s="175">
        <v>43671.0</v>
      </c>
      <c r="P1040" s="164">
        <f t="shared" si="13"/>
        <v>43673</v>
      </c>
      <c r="Q1040" s="165">
        <f t="shared" si="2"/>
        <v>0</v>
      </c>
      <c r="R1040" s="167"/>
      <c r="S1040" s="167"/>
      <c r="T1040" s="168">
        <f t="shared" si="3"/>
        <v>418620.92</v>
      </c>
      <c r="U1040" s="168">
        <f t="shared" si="4"/>
        <v>0</v>
      </c>
      <c r="V1040" s="168">
        <f t="shared" si="5"/>
        <v>0</v>
      </c>
      <c r="W1040" s="168">
        <f t="shared" si="6"/>
        <v>0</v>
      </c>
      <c r="X1040" s="168">
        <f t="shared" si="7"/>
        <v>0</v>
      </c>
      <c r="Y1040" s="168">
        <f t="shared" si="8"/>
        <v>0</v>
      </c>
      <c r="Z1040" s="168">
        <f t="shared" si="9"/>
        <v>0</v>
      </c>
    </row>
    <row r="1041" ht="14.25" customHeight="1">
      <c r="A1041" s="157">
        <v>1885.0</v>
      </c>
      <c r="B1041" s="158" t="s">
        <v>30</v>
      </c>
      <c r="C1041" s="158" t="s">
        <v>984</v>
      </c>
      <c r="D1041" s="159">
        <v>43663.0</v>
      </c>
      <c r="E1041" s="157" t="s">
        <v>731</v>
      </c>
      <c r="F1041" s="160">
        <v>147554.62</v>
      </c>
      <c r="G1041" s="160">
        <v>23608.74</v>
      </c>
      <c r="H1041" s="160">
        <f t="shared" si="42"/>
        <v>171163.36</v>
      </c>
      <c r="I1041" s="160"/>
      <c r="J1041" s="161"/>
      <c r="K1041" s="160"/>
      <c r="L1041" s="160">
        <f>+'FACP$'!$H1041-'FACP$'!$I1041-'FACP$'!$K1041</f>
        <v>171163.36</v>
      </c>
      <c r="M1041" s="162" t="s">
        <v>891</v>
      </c>
      <c r="N1041" s="162" t="s">
        <v>554</v>
      </c>
      <c r="O1041" s="175">
        <v>43689.0</v>
      </c>
      <c r="P1041" s="164">
        <f t="shared" si="13"/>
        <v>43673</v>
      </c>
      <c r="Q1041" s="165">
        <f t="shared" si="2"/>
        <v>0</v>
      </c>
      <c r="R1041" s="167"/>
      <c r="S1041" s="223" t="s">
        <v>910</v>
      </c>
      <c r="T1041" s="168">
        <f t="shared" si="3"/>
        <v>171163.36</v>
      </c>
      <c r="U1041" s="168">
        <f t="shared" si="4"/>
        <v>0</v>
      </c>
      <c r="V1041" s="168">
        <f t="shared" si="5"/>
        <v>0</v>
      </c>
      <c r="W1041" s="168">
        <f t="shared" si="6"/>
        <v>0</v>
      </c>
      <c r="X1041" s="168">
        <f t="shared" si="7"/>
        <v>0</v>
      </c>
      <c r="Y1041" s="168">
        <f t="shared" si="8"/>
        <v>0</v>
      </c>
      <c r="Z1041" s="168">
        <f t="shared" si="9"/>
        <v>0</v>
      </c>
    </row>
    <row r="1042" ht="14.25" customHeight="1">
      <c r="A1042" s="157">
        <v>1887.0</v>
      </c>
      <c r="B1042" s="158" t="s">
        <v>41</v>
      </c>
      <c r="C1042" s="158" t="s">
        <v>984</v>
      </c>
      <c r="D1042" s="159">
        <v>43663.0</v>
      </c>
      <c r="E1042" s="157" t="s">
        <v>731</v>
      </c>
      <c r="F1042" s="160">
        <v>190729.86</v>
      </c>
      <c r="G1042" s="160">
        <v>30516.78</v>
      </c>
      <c r="H1042" s="160">
        <f t="shared" si="42"/>
        <v>221246.64</v>
      </c>
      <c r="I1042" s="160"/>
      <c r="J1042" s="161"/>
      <c r="K1042" s="160"/>
      <c r="L1042" s="160">
        <f>+'FACP$'!$H1042-'FACP$'!$I1042-'FACP$'!$K1042</f>
        <v>221246.64</v>
      </c>
      <c r="M1042" s="162" t="s">
        <v>121</v>
      </c>
      <c r="N1042" s="162" t="s">
        <v>554</v>
      </c>
      <c r="O1042" s="175">
        <v>43696.0</v>
      </c>
      <c r="P1042" s="164">
        <f t="shared" si="13"/>
        <v>43673</v>
      </c>
      <c r="Q1042" s="165">
        <f t="shared" si="2"/>
        <v>0</v>
      </c>
      <c r="R1042" s="167"/>
      <c r="S1042" s="167"/>
      <c r="T1042" s="168">
        <f t="shared" si="3"/>
        <v>221246.64</v>
      </c>
      <c r="U1042" s="168">
        <f t="shared" si="4"/>
        <v>0</v>
      </c>
      <c r="V1042" s="168">
        <f t="shared" si="5"/>
        <v>0</v>
      </c>
      <c r="W1042" s="168">
        <f t="shared" si="6"/>
        <v>0</v>
      </c>
      <c r="X1042" s="168">
        <f t="shared" si="7"/>
        <v>0</v>
      </c>
      <c r="Y1042" s="168">
        <f t="shared" si="8"/>
        <v>0</v>
      </c>
      <c r="Z1042" s="168">
        <f t="shared" si="9"/>
        <v>0</v>
      </c>
    </row>
    <row r="1043" ht="14.25" customHeight="1">
      <c r="A1043" s="157">
        <v>1889.0</v>
      </c>
      <c r="B1043" s="158" t="s">
        <v>33</v>
      </c>
      <c r="C1043" s="158" t="s">
        <v>984</v>
      </c>
      <c r="D1043" s="159">
        <v>43663.0</v>
      </c>
      <c r="E1043" s="157" t="s">
        <v>731</v>
      </c>
      <c r="F1043" s="160">
        <v>21859.65</v>
      </c>
      <c r="G1043" s="160">
        <v>3497.54</v>
      </c>
      <c r="H1043" s="160">
        <f t="shared" si="42"/>
        <v>25357.19</v>
      </c>
      <c r="I1043" s="160"/>
      <c r="J1043" s="161"/>
      <c r="K1043" s="160"/>
      <c r="L1043" s="160">
        <f>+'FACP$'!$H1043-'FACP$'!$I1043-'FACP$'!$K1043</f>
        <v>25357.19</v>
      </c>
      <c r="M1043" s="162" t="s">
        <v>958</v>
      </c>
      <c r="N1043" s="162" t="s">
        <v>554</v>
      </c>
      <c r="O1043" s="175">
        <v>43725.0</v>
      </c>
      <c r="P1043" s="164">
        <f t="shared" si="13"/>
        <v>43673</v>
      </c>
      <c r="Q1043" s="165">
        <f t="shared" si="2"/>
        <v>0</v>
      </c>
      <c r="R1043" s="167"/>
      <c r="S1043" s="167" t="s">
        <v>910</v>
      </c>
      <c r="T1043" s="168">
        <f t="shared" si="3"/>
        <v>25357.19</v>
      </c>
      <c r="U1043" s="168">
        <f t="shared" si="4"/>
        <v>0</v>
      </c>
      <c r="V1043" s="168">
        <f t="shared" si="5"/>
        <v>0</v>
      </c>
      <c r="W1043" s="168">
        <f t="shared" si="6"/>
        <v>0</v>
      </c>
      <c r="X1043" s="168">
        <f t="shared" si="7"/>
        <v>0</v>
      </c>
      <c r="Y1043" s="168">
        <f t="shared" si="8"/>
        <v>0</v>
      </c>
      <c r="Z1043" s="168">
        <f t="shared" si="9"/>
        <v>0</v>
      </c>
    </row>
    <row r="1044" ht="14.25" customHeight="1">
      <c r="A1044" s="157">
        <v>1891.0</v>
      </c>
      <c r="B1044" s="158" t="s">
        <v>36</v>
      </c>
      <c r="C1044" s="158" t="s">
        <v>984</v>
      </c>
      <c r="D1044" s="159">
        <v>43663.0</v>
      </c>
      <c r="E1044" s="157" t="s">
        <v>731</v>
      </c>
      <c r="F1044" s="160">
        <v>14495.38</v>
      </c>
      <c r="G1044" s="160">
        <v>2319.26</v>
      </c>
      <c r="H1044" s="160">
        <f t="shared" si="42"/>
        <v>16814.64</v>
      </c>
      <c r="I1044" s="160"/>
      <c r="J1044" s="161"/>
      <c r="K1044" s="160"/>
      <c r="L1044" s="160">
        <f>+'FACP$'!$H1044-'FACP$'!$I1044-'FACP$'!$K1044</f>
        <v>16814.64</v>
      </c>
      <c r="M1044" s="162" t="s">
        <v>278</v>
      </c>
      <c r="N1044" s="162" t="s">
        <v>554</v>
      </c>
      <c r="O1044" s="175">
        <v>43686.0</v>
      </c>
      <c r="P1044" s="164">
        <f t="shared" si="13"/>
        <v>43673</v>
      </c>
      <c r="Q1044" s="165">
        <f t="shared" si="2"/>
        <v>0</v>
      </c>
      <c r="R1044" s="167"/>
      <c r="S1044" s="220" t="s">
        <v>910</v>
      </c>
      <c r="T1044" s="168">
        <f t="shared" si="3"/>
        <v>16814.64</v>
      </c>
      <c r="U1044" s="168">
        <f t="shared" si="4"/>
        <v>0</v>
      </c>
      <c r="V1044" s="168">
        <f t="shared" si="5"/>
        <v>0</v>
      </c>
      <c r="W1044" s="168">
        <f t="shared" si="6"/>
        <v>0</v>
      </c>
      <c r="X1044" s="168">
        <f t="shared" si="7"/>
        <v>0</v>
      </c>
      <c r="Y1044" s="168">
        <f t="shared" si="8"/>
        <v>0</v>
      </c>
      <c r="Z1044" s="168">
        <f t="shared" si="9"/>
        <v>0</v>
      </c>
    </row>
    <row r="1045" ht="14.25" customHeight="1">
      <c r="A1045" s="157">
        <v>1893.0</v>
      </c>
      <c r="B1045" s="158" t="s">
        <v>837</v>
      </c>
      <c r="C1045" s="158" t="s">
        <v>984</v>
      </c>
      <c r="D1045" s="159">
        <v>43663.0</v>
      </c>
      <c r="E1045" s="157" t="s">
        <v>731</v>
      </c>
      <c r="F1045" s="160">
        <v>940500.92</v>
      </c>
      <c r="G1045" s="160">
        <v>150480.15</v>
      </c>
      <c r="H1045" s="160">
        <f t="shared" si="42"/>
        <v>1090981.07</v>
      </c>
      <c r="I1045" s="160"/>
      <c r="J1045" s="161"/>
      <c r="K1045" s="160"/>
      <c r="L1045" s="160">
        <f>+'FACP$'!$H1045-'FACP$'!$I1045-'FACP$'!$K1045</f>
        <v>1090981.07</v>
      </c>
      <c r="M1045" s="162" t="s">
        <v>837</v>
      </c>
      <c r="N1045" s="162" t="s">
        <v>554</v>
      </c>
      <c r="O1045" s="175">
        <v>43671.0</v>
      </c>
      <c r="P1045" s="164">
        <f t="shared" si="13"/>
        <v>43673</v>
      </c>
      <c r="Q1045" s="165">
        <f t="shared" si="2"/>
        <v>0</v>
      </c>
      <c r="R1045" s="167"/>
      <c r="S1045" s="167" t="s">
        <v>910</v>
      </c>
      <c r="T1045" s="168">
        <f t="shared" si="3"/>
        <v>1090981.07</v>
      </c>
      <c r="U1045" s="168">
        <f t="shared" si="4"/>
        <v>0</v>
      </c>
      <c r="V1045" s="168">
        <f t="shared" si="5"/>
        <v>0</v>
      </c>
      <c r="W1045" s="168">
        <f t="shared" si="6"/>
        <v>0</v>
      </c>
      <c r="X1045" s="168">
        <f t="shared" si="7"/>
        <v>0</v>
      </c>
      <c r="Y1045" s="168">
        <f t="shared" si="8"/>
        <v>0</v>
      </c>
      <c r="Z1045" s="168">
        <f t="shared" si="9"/>
        <v>0</v>
      </c>
    </row>
    <row r="1046" ht="14.25" customHeight="1">
      <c r="A1046" s="157">
        <v>1894.0</v>
      </c>
      <c r="B1046" s="158" t="s">
        <v>43</v>
      </c>
      <c r="C1046" s="158" t="s">
        <v>984</v>
      </c>
      <c r="D1046" s="159">
        <v>43663.0</v>
      </c>
      <c r="E1046" s="157" t="s">
        <v>731</v>
      </c>
      <c r="F1046" s="160">
        <v>195081.02</v>
      </c>
      <c r="G1046" s="160">
        <v>31212.96</v>
      </c>
      <c r="H1046" s="160">
        <f t="shared" si="42"/>
        <v>226293.98</v>
      </c>
      <c r="I1046" s="160"/>
      <c r="J1046" s="161"/>
      <c r="K1046" s="160"/>
      <c r="L1046" s="160">
        <f>+'FACP$'!$H1046-'FACP$'!$I1046-'FACP$'!$K1046</f>
        <v>226293.98</v>
      </c>
      <c r="M1046" s="162" t="s">
        <v>43</v>
      </c>
      <c r="N1046" s="162" t="s">
        <v>554</v>
      </c>
      <c r="O1046" s="175">
        <v>43717.0</v>
      </c>
      <c r="P1046" s="164">
        <f t="shared" si="13"/>
        <v>43673</v>
      </c>
      <c r="Q1046" s="165">
        <f t="shared" si="2"/>
        <v>0</v>
      </c>
      <c r="R1046" s="167"/>
      <c r="S1046" s="167" t="s">
        <v>910</v>
      </c>
      <c r="T1046" s="168">
        <f t="shared" si="3"/>
        <v>226293.98</v>
      </c>
      <c r="U1046" s="168">
        <f t="shared" si="4"/>
        <v>0</v>
      </c>
      <c r="V1046" s="168">
        <f t="shared" si="5"/>
        <v>0</v>
      </c>
      <c r="W1046" s="168">
        <f t="shared" si="6"/>
        <v>0</v>
      </c>
      <c r="X1046" s="168">
        <f t="shared" si="7"/>
        <v>0</v>
      </c>
      <c r="Y1046" s="168">
        <f t="shared" si="8"/>
        <v>0</v>
      </c>
      <c r="Z1046" s="168">
        <f t="shared" si="9"/>
        <v>0</v>
      </c>
    </row>
    <row r="1047" ht="14.25" customHeight="1">
      <c r="A1047" s="157">
        <v>1896.0</v>
      </c>
      <c r="B1047" s="158" t="s">
        <v>18</v>
      </c>
      <c r="C1047" s="158" t="s">
        <v>984</v>
      </c>
      <c r="D1047" s="159">
        <v>43665.0</v>
      </c>
      <c r="E1047" s="157" t="s">
        <v>731</v>
      </c>
      <c r="F1047" s="160">
        <v>109253.56</v>
      </c>
      <c r="G1047" s="160">
        <v>17480.57</v>
      </c>
      <c r="H1047" s="160">
        <f t="shared" si="42"/>
        <v>126734.13</v>
      </c>
      <c r="I1047" s="160"/>
      <c r="J1047" s="161"/>
      <c r="K1047" s="160"/>
      <c r="L1047" s="160">
        <f>+'FACP$'!$H1047-'FACP$'!$I1047-'FACP$'!$K1047</f>
        <v>126734.13</v>
      </c>
      <c r="M1047" s="162" t="s">
        <v>586</v>
      </c>
      <c r="N1047" s="162" t="s">
        <v>554</v>
      </c>
      <c r="O1047" s="175">
        <v>43713.0</v>
      </c>
      <c r="P1047" s="164">
        <f t="shared" si="13"/>
        <v>43675</v>
      </c>
      <c r="Q1047" s="165">
        <f t="shared" si="2"/>
        <v>0</v>
      </c>
      <c r="R1047" s="167"/>
      <c r="S1047" s="167" t="s">
        <v>910</v>
      </c>
      <c r="T1047" s="168">
        <f t="shared" si="3"/>
        <v>126734.13</v>
      </c>
      <c r="U1047" s="168">
        <f t="shared" si="4"/>
        <v>0</v>
      </c>
      <c r="V1047" s="168">
        <f t="shared" si="5"/>
        <v>0</v>
      </c>
      <c r="W1047" s="168">
        <f t="shared" si="6"/>
        <v>0</v>
      </c>
      <c r="X1047" s="168">
        <f t="shared" si="7"/>
        <v>0</v>
      </c>
      <c r="Y1047" s="168">
        <f t="shared" si="8"/>
        <v>0</v>
      </c>
      <c r="Z1047" s="168">
        <f t="shared" si="9"/>
        <v>0</v>
      </c>
    </row>
    <row r="1048" ht="14.25" customHeight="1">
      <c r="A1048" s="157">
        <v>1898.0</v>
      </c>
      <c r="B1048" s="158" t="s">
        <v>19</v>
      </c>
      <c r="C1048" s="158" t="s">
        <v>984</v>
      </c>
      <c r="D1048" s="159">
        <v>43665.0</v>
      </c>
      <c r="E1048" s="157" t="s">
        <v>731</v>
      </c>
      <c r="F1048" s="160">
        <v>163354.36</v>
      </c>
      <c r="G1048" s="160">
        <v>26136.7</v>
      </c>
      <c r="H1048" s="160">
        <f t="shared" si="42"/>
        <v>189491.06</v>
      </c>
      <c r="I1048" s="160"/>
      <c r="J1048" s="161"/>
      <c r="K1048" s="160"/>
      <c r="L1048" s="160">
        <f>+'FACP$'!$H1048-'FACP$'!$I1048-'FACP$'!$K1048</f>
        <v>189491.06</v>
      </c>
      <c r="M1048" s="162" t="s">
        <v>732</v>
      </c>
      <c r="N1048" s="162" t="s">
        <v>554</v>
      </c>
      <c r="O1048" s="175">
        <v>43713.0</v>
      </c>
      <c r="P1048" s="164">
        <f t="shared" si="13"/>
        <v>43675</v>
      </c>
      <c r="Q1048" s="165">
        <f t="shared" si="2"/>
        <v>0</v>
      </c>
      <c r="R1048" s="167"/>
      <c r="S1048" s="167" t="s">
        <v>910</v>
      </c>
      <c r="T1048" s="168">
        <f t="shared" si="3"/>
        <v>189491.06</v>
      </c>
      <c r="U1048" s="168">
        <f t="shared" si="4"/>
        <v>0</v>
      </c>
      <c r="V1048" s="168">
        <f t="shared" si="5"/>
        <v>0</v>
      </c>
      <c r="W1048" s="168">
        <f t="shared" si="6"/>
        <v>0</v>
      </c>
      <c r="X1048" s="168">
        <f t="shared" si="7"/>
        <v>0</v>
      </c>
      <c r="Y1048" s="168">
        <f t="shared" si="8"/>
        <v>0</v>
      </c>
      <c r="Z1048" s="168">
        <f t="shared" si="9"/>
        <v>0</v>
      </c>
    </row>
    <row r="1049" ht="14.25" customHeight="1">
      <c r="A1049" s="157">
        <v>1900.0</v>
      </c>
      <c r="B1049" s="158" t="s">
        <v>37</v>
      </c>
      <c r="C1049" s="158" t="s">
        <v>984</v>
      </c>
      <c r="D1049" s="159">
        <v>43665.0</v>
      </c>
      <c r="E1049" s="157" t="s">
        <v>731</v>
      </c>
      <c r="F1049" s="160">
        <v>1561640.94</v>
      </c>
      <c r="G1049" s="160">
        <v>249862.55</v>
      </c>
      <c r="H1049" s="160">
        <f t="shared" si="42"/>
        <v>1811503.49</v>
      </c>
      <c r="I1049" s="160"/>
      <c r="J1049" s="161"/>
      <c r="K1049" s="160"/>
      <c r="L1049" s="160">
        <f>+'FACP$'!$H1049-'FACP$'!$I1049-'FACP$'!$K1049</f>
        <v>1811503.49</v>
      </c>
      <c r="M1049" s="162" t="s">
        <v>116</v>
      </c>
      <c r="N1049" s="162" t="s">
        <v>554</v>
      </c>
      <c r="O1049" s="175">
        <v>43682.0</v>
      </c>
      <c r="P1049" s="164">
        <f t="shared" si="13"/>
        <v>43675</v>
      </c>
      <c r="Q1049" s="165">
        <f t="shared" si="2"/>
        <v>0</v>
      </c>
      <c r="R1049" s="167"/>
      <c r="S1049" s="167" t="s">
        <v>910</v>
      </c>
      <c r="T1049" s="168">
        <f t="shared" si="3"/>
        <v>1811503.49</v>
      </c>
      <c r="U1049" s="168">
        <f t="shared" si="4"/>
        <v>0</v>
      </c>
      <c r="V1049" s="168">
        <f t="shared" si="5"/>
        <v>0</v>
      </c>
      <c r="W1049" s="168">
        <f t="shared" si="6"/>
        <v>0</v>
      </c>
      <c r="X1049" s="168">
        <f t="shared" si="7"/>
        <v>0</v>
      </c>
      <c r="Y1049" s="168">
        <f t="shared" si="8"/>
        <v>0</v>
      </c>
      <c r="Z1049" s="168">
        <f t="shared" si="9"/>
        <v>0</v>
      </c>
    </row>
    <row r="1050" ht="14.25" customHeight="1">
      <c r="A1050" s="157">
        <v>1902.0</v>
      </c>
      <c r="B1050" s="158" t="s">
        <v>16</v>
      </c>
      <c r="C1050" s="158" t="s">
        <v>971</v>
      </c>
      <c r="D1050" s="159">
        <v>43668.0</v>
      </c>
      <c r="E1050" s="157" t="s">
        <v>731</v>
      </c>
      <c r="F1050" s="160">
        <v>23537.44</v>
      </c>
      <c r="G1050" s="160">
        <v>3765.99</v>
      </c>
      <c r="H1050" s="160">
        <f t="shared" si="42"/>
        <v>27303.43</v>
      </c>
      <c r="I1050" s="160"/>
      <c r="J1050" s="161"/>
      <c r="K1050" s="160"/>
      <c r="L1050" s="160">
        <f>+'FACP$'!$H1050-'FACP$'!$I1050-'FACP$'!$K1050</f>
        <v>27303.43</v>
      </c>
      <c r="M1050" s="162" t="s">
        <v>985</v>
      </c>
      <c r="N1050" s="162" t="s">
        <v>554</v>
      </c>
      <c r="O1050" s="175">
        <v>43686.0</v>
      </c>
      <c r="P1050" s="164">
        <f t="shared" si="13"/>
        <v>43678</v>
      </c>
      <c r="Q1050" s="165">
        <f t="shared" si="2"/>
        <v>0</v>
      </c>
      <c r="R1050" s="167"/>
      <c r="S1050" s="167"/>
      <c r="T1050" s="168">
        <f t="shared" si="3"/>
        <v>27303.43</v>
      </c>
      <c r="U1050" s="168">
        <f t="shared" si="4"/>
        <v>0</v>
      </c>
      <c r="V1050" s="168">
        <f t="shared" si="5"/>
        <v>0</v>
      </c>
      <c r="W1050" s="168">
        <f t="shared" si="6"/>
        <v>0</v>
      </c>
      <c r="X1050" s="168">
        <f t="shared" si="7"/>
        <v>0</v>
      </c>
      <c r="Y1050" s="168">
        <f t="shared" si="8"/>
        <v>0</v>
      </c>
      <c r="Z1050" s="168">
        <f t="shared" si="9"/>
        <v>0</v>
      </c>
    </row>
    <row r="1051" ht="14.25" customHeight="1">
      <c r="A1051" s="157">
        <v>1903.0</v>
      </c>
      <c r="B1051" s="158" t="s">
        <v>16</v>
      </c>
      <c r="C1051" s="158" t="s">
        <v>986</v>
      </c>
      <c r="D1051" s="159">
        <v>43668.0</v>
      </c>
      <c r="E1051" s="157" t="s">
        <v>731</v>
      </c>
      <c r="F1051" s="160">
        <v>33013.19</v>
      </c>
      <c r="G1051" s="160">
        <v>5282.11</v>
      </c>
      <c r="H1051" s="160">
        <f t="shared" si="42"/>
        <v>38295.3</v>
      </c>
      <c r="I1051" s="160"/>
      <c r="J1051" s="161"/>
      <c r="K1051" s="160"/>
      <c r="L1051" s="160">
        <f>+'FACP$'!$H1051-'FACP$'!$I1051-'FACP$'!$K1051</f>
        <v>38295.3</v>
      </c>
      <c r="M1051" s="162" t="s">
        <v>985</v>
      </c>
      <c r="N1051" s="162" t="s">
        <v>554</v>
      </c>
      <c r="O1051" s="175">
        <v>43686.0</v>
      </c>
      <c r="P1051" s="164">
        <f t="shared" si="13"/>
        <v>43678</v>
      </c>
      <c r="Q1051" s="165">
        <f t="shared" si="2"/>
        <v>0</v>
      </c>
      <c r="R1051" s="167"/>
      <c r="S1051" s="167"/>
      <c r="T1051" s="168">
        <f t="shared" si="3"/>
        <v>38295.3</v>
      </c>
      <c r="U1051" s="168">
        <f t="shared" si="4"/>
        <v>0</v>
      </c>
      <c r="V1051" s="168">
        <f t="shared" si="5"/>
        <v>0</v>
      </c>
      <c r="W1051" s="168">
        <f t="shared" si="6"/>
        <v>0</v>
      </c>
      <c r="X1051" s="168">
        <f t="shared" si="7"/>
        <v>0</v>
      </c>
      <c r="Y1051" s="168">
        <f t="shared" si="8"/>
        <v>0</v>
      </c>
      <c r="Z1051" s="168">
        <f t="shared" si="9"/>
        <v>0</v>
      </c>
    </row>
    <row r="1052" ht="14.25" customHeight="1">
      <c r="A1052" s="157">
        <v>1904.0</v>
      </c>
      <c r="B1052" s="158" t="s">
        <v>16</v>
      </c>
      <c r="C1052" s="158" t="s">
        <v>984</v>
      </c>
      <c r="D1052" s="159">
        <v>43668.0</v>
      </c>
      <c r="E1052" s="157" t="s">
        <v>731</v>
      </c>
      <c r="F1052" s="160">
        <v>217149.78</v>
      </c>
      <c r="G1052" s="160">
        <v>34743.96</v>
      </c>
      <c r="H1052" s="160">
        <f t="shared" si="42"/>
        <v>251893.74</v>
      </c>
      <c r="I1052" s="160"/>
      <c r="J1052" s="161"/>
      <c r="K1052" s="160"/>
      <c r="L1052" s="160">
        <f>+'FACP$'!$H1052-'FACP$'!$I1052-'FACP$'!$K1052</f>
        <v>251893.74</v>
      </c>
      <c r="M1052" s="162" t="s">
        <v>985</v>
      </c>
      <c r="N1052" s="162" t="s">
        <v>554</v>
      </c>
      <c r="O1052" s="175">
        <v>43691.0</v>
      </c>
      <c r="P1052" s="164">
        <f t="shared" si="13"/>
        <v>43678</v>
      </c>
      <c r="Q1052" s="165">
        <f t="shared" si="2"/>
        <v>0</v>
      </c>
      <c r="R1052" s="167"/>
      <c r="S1052" s="167"/>
      <c r="T1052" s="168">
        <f t="shared" si="3"/>
        <v>251893.74</v>
      </c>
      <c r="U1052" s="168">
        <f t="shared" si="4"/>
        <v>0</v>
      </c>
      <c r="V1052" s="168">
        <f t="shared" si="5"/>
        <v>0</v>
      </c>
      <c r="W1052" s="168">
        <f t="shared" si="6"/>
        <v>0</v>
      </c>
      <c r="X1052" s="168">
        <f t="shared" si="7"/>
        <v>0</v>
      </c>
      <c r="Y1052" s="168">
        <f t="shared" si="8"/>
        <v>0</v>
      </c>
      <c r="Z1052" s="168">
        <f t="shared" si="9"/>
        <v>0</v>
      </c>
    </row>
    <row r="1053" ht="14.25" customHeight="1">
      <c r="A1053" s="157">
        <v>1905.0</v>
      </c>
      <c r="B1053" s="158" t="s">
        <v>16</v>
      </c>
      <c r="C1053" s="158" t="s">
        <v>987</v>
      </c>
      <c r="D1053" s="159">
        <v>43668.0</v>
      </c>
      <c r="E1053" s="157" t="s">
        <v>731</v>
      </c>
      <c r="F1053" s="160">
        <v>320143.61</v>
      </c>
      <c r="G1053" s="160">
        <v>51222.98</v>
      </c>
      <c r="H1053" s="160">
        <f t="shared" si="42"/>
        <v>371366.59</v>
      </c>
      <c r="I1053" s="160"/>
      <c r="J1053" s="161"/>
      <c r="K1053" s="160"/>
      <c r="L1053" s="160">
        <f>+'FACP$'!$H1053-'FACP$'!$I1053-'FACP$'!$K1053</f>
        <v>371366.59</v>
      </c>
      <c r="M1053" s="162" t="s">
        <v>985</v>
      </c>
      <c r="N1053" s="162" t="s">
        <v>554</v>
      </c>
      <c r="O1053" s="175">
        <v>43691.0</v>
      </c>
      <c r="P1053" s="164">
        <f t="shared" si="13"/>
        <v>43678</v>
      </c>
      <c r="Q1053" s="165">
        <f t="shared" si="2"/>
        <v>0</v>
      </c>
      <c r="R1053" s="167"/>
      <c r="S1053" s="167"/>
      <c r="T1053" s="168">
        <f t="shared" si="3"/>
        <v>371366.59</v>
      </c>
      <c r="U1053" s="168">
        <f t="shared" si="4"/>
        <v>0</v>
      </c>
      <c r="V1053" s="168">
        <f t="shared" si="5"/>
        <v>0</v>
      </c>
      <c r="W1053" s="168">
        <f t="shared" si="6"/>
        <v>0</v>
      </c>
      <c r="X1053" s="168">
        <f t="shared" si="7"/>
        <v>0</v>
      </c>
      <c r="Y1053" s="168">
        <f t="shared" si="8"/>
        <v>0</v>
      </c>
      <c r="Z1053" s="168">
        <f t="shared" si="9"/>
        <v>0</v>
      </c>
    </row>
    <row r="1054" ht="14.25" customHeight="1">
      <c r="A1054" s="157">
        <v>1908.0</v>
      </c>
      <c r="B1054" s="158" t="s">
        <v>82</v>
      </c>
      <c r="C1054" s="158" t="s">
        <v>988</v>
      </c>
      <c r="D1054" s="159">
        <v>43671.0</v>
      </c>
      <c r="E1054" s="157" t="s">
        <v>731</v>
      </c>
      <c r="F1054" s="160">
        <v>70000.0</v>
      </c>
      <c r="G1054" s="160">
        <v>11200.0</v>
      </c>
      <c r="H1054" s="160">
        <f t="shared" si="42"/>
        <v>81200</v>
      </c>
      <c r="I1054" s="160"/>
      <c r="J1054" s="161"/>
      <c r="K1054" s="160"/>
      <c r="L1054" s="160">
        <f>+'FACP$'!$H1054-'FACP$'!$I1054-'FACP$'!$K1054</f>
        <v>81200</v>
      </c>
      <c r="M1054" s="162" t="s">
        <v>714</v>
      </c>
      <c r="N1054" s="162" t="s">
        <v>127</v>
      </c>
      <c r="O1054" s="175"/>
      <c r="P1054" s="164">
        <f t="shared" si="13"/>
        <v>43681</v>
      </c>
      <c r="Q1054" s="165">
        <f t="shared" si="2"/>
        <v>0</v>
      </c>
      <c r="R1054" s="167"/>
      <c r="S1054" s="167"/>
      <c r="T1054" s="168">
        <f t="shared" si="3"/>
        <v>81200</v>
      </c>
      <c r="U1054" s="168">
        <f t="shared" si="4"/>
        <v>0</v>
      </c>
      <c r="V1054" s="168">
        <f t="shared" si="5"/>
        <v>0</v>
      </c>
      <c r="W1054" s="168">
        <f t="shared" si="6"/>
        <v>0</v>
      </c>
      <c r="X1054" s="168">
        <f t="shared" si="7"/>
        <v>0</v>
      </c>
      <c r="Y1054" s="168">
        <f t="shared" si="8"/>
        <v>0</v>
      </c>
      <c r="Z1054" s="168">
        <f t="shared" si="9"/>
        <v>0</v>
      </c>
    </row>
    <row r="1055" ht="14.25" customHeight="1">
      <c r="A1055" s="157">
        <v>1911.0</v>
      </c>
      <c r="B1055" s="158" t="s">
        <v>29</v>
      </c>
      <c r="C1055" s="158" t="s">
        <v>989</v>
      </c>
      <c r="D1055" s="159">
        <v>43679.0</v>
      </c>
      <c r="E1055" s="157" t="s">
        <v>731</v>
      </c>
      <c r="F1055" s="160">
        <v>487572.05</v>
      </c>
      <c r="G1055" s="160">
        <v>78011.53</v>
      </c>
      <c r="H1055" s="160">
        <f t="shared" si="42"/>
        <v>565583.58</v>
      </c>
      <c r="I1055" s="160"/>
      <c r="J1055" s="161"/>
      <c r="K1055" s="160"/>
      <c r="L1055" s="160">
        <f>+'FACP$'!$H1055-'FACP$'!$I1055-'FACP$'!$K1055</f>
        <v>565583.58</v>
      </c>
      <c r="M1055" s="162" t="s">
        <v>825</v>
      </c>
      <c r="N1055" s="162" t="s">
        <v>554</v>
      </c>
      <c r="O1055" s="175">
        <v>43685.0</v>
      </c>
      <c r="P1055" s="164">
        <f t="shared" si="13"/>
        <v>43689</v>
      </c>
      <c r="Q1055" s="165">
        <f t="shared" si="2"/>
        <v>0</v>
      </c>
      <c r="R1055" s="167"/>
      <c r="S1055" s="167"/>
      <c r="T1055" s="168">
        <f t="shared" si="3"/>
        <v>565583.58</v>
      </c>
      <c r="U1055" s="168">
        <f t="shared" si="4"/>
        <v>0</v>
      </c>
      <c r="V1055" s="168">
        <f t="shared" si="5"/>
        <v>0</v>
      </c>
      <c r="W1055" s="168">
        <f t="shared" si="6"/>
        <v>0</v>
      </c>
      <c r="X1055" s="168">
        <f t="shared" si="7"/>
        <v>0</v>
      </c>
      <c r="Y1055" s="168">
        <f t="shared" si="8"/>
        <v>0</v>
      </c>
      <c r="Z1055" s="168">
        <f t="shared" si="9"/>
        <v>0</v>
      </c>
    </row>
    <row r="1056" ht="14.25" customHeight="1">
      <c r="A1056" s="157">
        <v>1912.0</v>
      </c>
      <c r="B1056" s="158" t="s">
        <v>30</v>
      </c>
      <c r="C1056" s="158" t="s">
        <v>989</v>
      </c>
      <c r="D1056" s="159">
        <v>43679.0</v>
      </c>
      <c r="E1056" s="157" t="s">
        <v>731</v>
      </c>
      <c r="F1056" s="160">
        <v>164114.6</v>
      </c>
      <c r="G1056" s="160">
        <v>26258.34</v>
      </c>
      <c r="H1056" s="160">
        <f t="shared" si="42"/>
        <v>190372.94</v>
      </c>
      <c r="I1056" s="160"/>
      <c r="J1056" s="161"/>
      <c r="K1056" s="160"/>
      <c r="L1056" s="160">
        <f>+'FACP$'!$H1056-'FACP$'!$I1056-'FACP$'!$K1056</f>
        <v>190372.94</v>
      </c>
      <c r="M1056" s="162" t="s">
        <v>891</v>
      </c>
      <c r="N1056" s="162" t="s">
        <v>554</v>
      </c>
      <c r="O1056" s="175">
        <v>43727.0</v>
      </c>
      <c r="P1056" s="164">
        <f t="shared" si="13"/>
        <v>43689</v>
      </c>
      <c r="Q1056" s="165">
        <f t="shared" si="2"/>
        <v>0</v>
      </c>
      <c r="R1056" s="167"/>
      <c r="S1056" s="223" t="s">
        <v>910</v>
      </c>
      <c r="T1056" s="168">
        <f t="shared" si="3"/>
        <v>190372.94</v>
      </c>
      <c r="U1056" s="168">
        <f t="shared" si="4"/>
        <v>0</v>
      </c>
      <c r="V1056" s="168">
        <f t="shared" si="5"/>
        <v>0</v>
      </c>
      <c r="W1056" s="168">
        <f t="shared" si="6"/>
        <v>0</v>
      </c>
      <c r="X1056" s="168">
        <f t="shared" si="7"/>
        <v>0</v>
      </c>
      <c r="Y1056" s="168">
        <f t="shared" si="8"/>
        <v>0</v>
      </c>
      <c r="Z1056" s="168">
        <f t="shared" si="9"/>
        <v>0</v>
      </c>
    </row>
    <row r="1057" ht="14.25" customHeight="1">
      <c r="A1057" s="157">
        <v>1913.0</v>
      </c>
      <c r="B1057" s="158" t="s">
        <v>36</v>
      </c>
      <c r="C1057" s="158" t="s">
        <v>989</v>
      </c>
      <c r="D1057" s="159">
        <v>43679.0</v>
      </c>
      <c r="E1057" s="157" t="s">
        <v>731</v>
      </c>
      <c r="F1057" s="160">
        <v>43773.36</v>
      </c>
      <c r="G1057" s="160">
        <v>7003.74</v>
      </c>
      <c r="H1057" s="160">
        <f t="shared" si="42"/>
        <v>50777.1</v>
      </c>
      <c r="I1057" s="160"/>
      <c r="J1057" s="161"/>
      <c r="K1057" s="160"/>
      <c r="L1057" s="160">
        <f>+'FACP$'!$H1057-'FACP$'!$I1057-'FACP$'!$K1057</f>
        <v>50777.1</v>
      </c>
      <c r="M1057" s="162" t="s">
        <v>278</v>
      </c>
      <c r="N1057" s="162" t="s">
        <v>554</v>
      </c>
      <c r="O1057" s="175">
        <v>43686.0</v>
      </c>
      <c r="P1057" s="164">
        <f t="shared" si="13"/>
        <v>43689</v>
      </c>
      <c r="Q1057" s="165">
        <f t="shared" si="2"/>
        <v>0</v>
      </c>
      <c r="R1057" s="167"/>
      <c r="S1057" s="220" t="s">
        <v>910</v>
      </c>
      <c r="T1057" s="168">
        <f t="shared" si="3"/>
        <v>50777.1</v>
      </c>
      <c r="U1057" s="168">
        <f t="shared" si="4"/>
        <v>0</v>
      </c>
      <c r="V1057" s="168">
        <f t="shared" si="5"/>
        <v>0</v>
      </c>
      <c r="W1057" s="168">
        <f t="shared" si="6"/>
        <v>0</v>
      </c>
      <c r="X1057" s="168">
        <f t="shared" si="7"/>
        <v>0</v>
      </c>
      <c r="Y1057" s="168">
        <f t="shared" si="8"/>
        <v>0</v>
      </c>
      <c r="Z1057" s="168">
        <f t="shared" si="9"/>
        <v>0</v>
      </c>
    </row>
    <row r="1058" ht="14.25" customHeight="1">
      <c r="A1058" s="157">
        <v>1914.0</v>
      </c>
      <c r="B1058" s="158" t="s">
        <v>837</v>
      </c>
      <c r="C1058" s="158" t="s">
        <v>990</v>
      </c>
      <c r="D1058" s="159">
        <v>43679.0</v>
      </c>
      <c r="E1058" s="157" t="s">
        <v>731</v>
      </c>
      <c r="F1058" s="160">
        <v>1271965.6</v>
      </c>
      <c r="G1058" s="160">
        <v>203514.5</v>
      </c>
      <c r="H1058" s="160">
        <f t="shared" si="42"/>
        <v>1475480.1</v>
      </c>
      <c r="I1058" s="160"/>
      <c r="J1058" s="161"/>
      <c r="K1058" s="160"/>
      <c r="L1058" s="160">
        <f>+'FACP$'!$H1058-'FACP$'!$I1058-'FACP$'!$K1058</f>
        <v>1475480.1</v>
      </c>
      <c r="M1058" s="162" t="s">
        <v>837</v>
      </c>
      <c r="N1058" s="162" t="s">
        <v>554</v>
      </c>
      <c r="O1058" s="175">
        <v>43685.0</v>
      </c>
      <c r="P1058" s="164">
        <f t="shared" si="13"/>
        <v>43689</v>
      </c>
      <c r="Q1058" s="165">
        <f t="shared" si="2"/>
        <v>0</v>
      </c>
      <c r="R1058" s="167"/>
      <c r="S1058" s="220" t="s">
        <v>910</v>
      </c>
      <c r="T1058" s="168">
        <f t="shared" si="3"/>
        <v>1475480.1</v>
      </c>
      <c r="U1058" s="168">
        <f t="shared" si="4"/>
        <v>0</v>
      </c>
      <c r="V1058" s="168">
        <f t="shared" si="5"/>
        <v>0</v>
      </c>
      <c r="W1058" s="168">
        <f t="shared" si="6"/>
        <v>0</v>
      </c>
      <c r="X1058" s="168">
        <f t="shared" si="7"/>
        <v>0</v>
      </c>
      <c r="Y1058" s="168">
        <f t="shared" si="8"/>
        <v>0</v>
      </c>
      <c r="Z1058" s="168">
        <f t="shared" si="9"/>
        <v>0</v>
      </c>
    </row>
    <row r="1059" ht="14.25" customHeight="1">
      <c r="A1059" s="157">
        <v>1915.0</v>
      </c>
      <c r="B1059" s="158" t="s">
        <v>43</v>
      </c>
      <c r="C1059" s="158" t="s">
        <v>989</v>
      </c>
      <c r="D1059" s="159">
        <v>43679.0</v>
      </c>
      <c r="E1059" s="157" t="s">
        <v>731</v>
      </c>
      <c r="F1059" s="160">
        <v>281742.44</v>
      </c>
      <c r="G1059" s="160">
        <v>45078.79</v>
      </c>
      <c r="H1059" s="160">
        <f t="shared" si="42"/>
        <v>326821.23</v>
      </c>
      <c r="I1059" s="160"/>
      <c r="J1059" s="161"/>
      <c r="K1059" s="160"/>
      <c r="L1059" s="160">
        <f>+'FACP$'!$H1059-'FACP$'!$I1059-'FACP$'!$K1059</f>
        <v>326821.23</v>
      </c>
      <c r="M1059" s="162" t="s">
        <v>43</v>
      </c>
      <c r="N1059" s="162" t="s">
        <v>554</v>
      </c>
      <c r="O1059" s="175">
        <v>43725.0</v>
      </c>
      <c r="P1059" s="164">
        <f t="shared" si="13"/>
        <v>43689</v>
      </c>
      <c r="Q1059" s="165">
        <f t="shared" si="2"/>
        <v>0</v>
      </c>
      <c r="R1059" s="167"/>
      <c r="S1059" s="167" t="s">
        <v>910</v>
      </c>
      <c r="T1059" s="168">
        <f t="shared" si="3"/>
        <v>326821.23</v>
      </c>
      <c r="U1059" s="168">
        <f t="shared" si="4"/>
        <v>0</v>
      </c>
      <c r="V1059" s="168">
        <f t="shared" si="5"/>
        <v>0</v>
      </c>
      <c r="W1059" s="168">
        <f t="shared" si="6"/>
        <v>0</v>
      </c>
      <c r="X1059" s="168">
        <f t="shared" si="7"/>
        <v>0</v>
      </c>
      <c r="Y1059" s="168">
        <f t="shared" si="8"/>
        <v>0</v>
      </c>
      <c r="Z1059" s="168">
        <f t="shared" si="9"/>
        <v>0</v>
      </c>
    </row>
    <row r="1060" ht="14.25" customHeight="1">
      <c r="A1060" s="157">
        <v>1921.0</v>
      </c>
      <c r="B1060" s="158" t="s">
        <v>16</v>
      </c>
      <c r="C1060" s="158" t="s">
        <v>989</v>
      </c>
      <c r="D1060" s="159">
        <v>43683.0</v>
      </c>
      <c r="E1060" s="157" t="s">
        <v>731</v>
      </c>
      <c r="F1060" s="160">
        <v>307670.4</v>
      </c>
      <c r="G1060" s="160">
        <v>49227.26</v>
      </c>
      <c r="H1060" s="160">
        <f t="shared" si="42"/>
        <v>356897.66</v>
      </c>
      <c r="I1060" s="160"/>
      <c r="J1060" s="161"/>
      <c r="K1060" s="160"/>
      <c r="L1060" s="160">
        <f>+'FACP$'!$H1060-'FACP$'!$I1060-'FACP$'!$K1060</f>
        <v>356897.66</v>
      </c>
      <c r="M1060" s="162" t="s">
        <v>985</v>
      </c>
      <c r="N1060" s="162" t="s">
        <v>554</v>
      </c>
      <c r="O1060" s="175">
        <v>43707.0</v>
      </c>
      <c r="P1060" s="164">
        <f t="shared" si="13"/>
        <v>43693</v>
      </c>
      <c r="Q1060" s="165">
        <f t="shared" si="2"/>
        <v>0</v>
      </c>
      <c r="R1060" s="167"/>
      <c r="S1060" s="167"/>
      <c r="T1060" s="168">
        <f t="shared" si="3"/>
        <v>356897.66</v>
      </c>
      <c r="U1060" s="168">
        <f t="shared" si="4"/>
        <v>0</v>
      </c>
      <c r="V1060" s="168">
        <f t="shared" si="5"/>
        <v>0</v>
      </c>
      <c r="W1060" s="168">
        <f t="shared" si="6"/>
        <v>0</v>
      </c>
      <c r="X1060" s="168">
        <f t="shared" si="7"/>
        <v>0</v>
      </c>
      <c r="Y1060" s="168">
        <f t="shared" si="8"/>
        <v>0</v>
      </c>
      <c r="Z1060" s="168">
        <f t="shared" si="9"/>
        <v>0</v>
      </c>
    </row>
    <row r="1061" ht="14.25" customHeight="1">
      <c r="A1061" s="157">
        <v>1922.0</v>
      </c>
      <c r="B1061" s="158" t="s">
        <v>16</v>
      </c>
      <c r="C1061" s="158" t="s">
        <v>991</v>
      </c>
      <c r="D1061" s="159">
        <v>43683.0</v>
      </c>
      <c r="E1061" s="157" t="s">
        <v>731</v>
      </c>
      <c r="F1061" s="160">
        <v>453553.8</v>
      </c>
      <c r="G1061" s="160">
        <v>72568.61</v>
      </c>
      <c r="H1061" s="160">
        <f t="shared" si="42"/>
        <v>526122.41</v>
      </c>
      <c r="I1061" s="160"/>
      <c r="J1061" s="161"/>
      <c r="K1061" s="160"/>
      <c r="L1061" s="160">
        <f>+'FACP$'!$H1061-'FACP$'!$I1061-'FACP$'!$K1061</f>
        <v>526122.41</v>
      </c>
      <c r="M1061" s="162" t="s">
        <v>985</v>
      </c>
      <c r="N1061" s="162" t="s">
        <v>554</v>
      </c>
      <c r="O1061" s="175">
        <v>43707.0</v>
      </c>
      <c r="P1061" s="164">
        <f t="shared" si="13"/>
        <v>43693</v>
      </c>
      <c r="Q1061" s="165">
        <f t="shared" si="2"/>
        <v>0</v>
      </c>
      <c r="R1061" s="167"/>
      <c r="S1061" s="167"/>
      <c r="T1061" s="168">
        <f t="shared" si="3"/>
        <v>526122.41</v>
      </c>
      <c r="U1061" s="168">
        <f t="shared" si="4"/>
        <v>0</v>
      </c>
      <c r="V1061" s="168">
        <f t="shared" si="5"/>
        <v>0</v>
      </c>
      <c r="W1061" s="168">
        <f t="shared" si="6"/>
        <v>0</v>
      </c>
      <c r="X1061" s="168">
        <f t="shared" si="7"/>
        <v>0</v>
      </c>
      <c r="Y1061" s="168">
        <f t="shared" si="8"/>
        <v>0</v>
      </c>
      <c r="Z1061" s="168">
        <f t="shared" si="9"/>
        <v>0</v>
      </c>
    </row>
    <row r="1062" ht="14.25" customHeight="1">
      <c r="A1062" s="157">
        <v>1923.0</v>
      </c>
      <c r="B1062" s="158" t="s">
        <v>18</v>
      </c>
      <c r="C1062" s="158" t="s">
        <v>989</v>
      </c>
      <c r="D1062" s="159">
        <v>43683.0</v>
      </c>
      <c r="E1062" s="157" t="s">
        <v>731</v>
      </c>
      <c r="F1062" s="160">
        <v>133598.92</v>
      </c>
      <c r="G1062" s="160">
        <v>21375.83</v>
      </c>
      <c r="H1062" s="160">
        <f t="shared" si="42"/>
        <v>154974.75</v>
      </c>
      <c r="I1062" s="160"/>
      <c r="J1062" s="161"/>
      <c r="K1062" s="160"/>
      <c r="L1062" s="160">
        <f>+'FACP$'!$H1062-'FACP$'!$I1062-'FACP$'!$K1062</f>
        <v>154974.75</v>
      </c>
      <c r="M1062" s="162" t="s">
        <v>586</v>
      </c>
      <c r="N1062" s="162" t="s">
        <v>554</v>
      </c>
      <c r="O1062" s="175">
        <v>43728.0</v>
      </c>
      <c r="P1062" s="164">
        <f t="shared" si="13"/>
        <v>43693</v>
      </c>
      <c r="Q1062" s="165">
        <f t="shared" si="2"/>
        <v>0</v>
      </c>
      <c r="R1062" s="167"/>
      <c r="S1062" s="167" t="s">
        <v>910</v>
      </c>
      <c r="T1062" s="168">
        <f t="shared" si="3"/>
        <v>154974.75</v>
      </c>
      <c r="U1062" s="168">
        <f t="shared" si="4"/>
        <v>0</v>
      </c>
      <c r="V1062" s="168">
        <f t="shared" si="5"/>
        <v>0</v>
      </c>
      <c r="W1062" s="168">
        <f t="shared" si="6"/>
        <v>0</v>
      </c>
      <c r="X1062" s="168">
        <f t="shared" si="7"/>
        <v>0</v>
      </c>
      <c r="Y1062" s="168">
        <f t="shared" si="8"/>
        <v>0</v>
      </c>
      <c r="Z1062" s="168">
        <f t="shared" si="9"/>
        <v>0</v>
      </c>
    </row>
    <row r="1063" ht="14.25" customHeight="1">
      <c r="A1063" s="157">
        <v>1925.0</v>
      </c>
      <c r="B1063" s="158" t="s">
        <v>19</v>
      </c>
      <c r="C1063" s="158" t="s">
        <v>989</v>
      </c>
      <c r="D1063" s="159">
        <v>43683.0</v>
      </c>
      <c r="E1063" s="157" t="s">
        <v>731</v>
      </c>
      <c r="F1063" s="160">
        <v>178607.78</v>
      </c>
      <c r="G1063" s="160">
        <v>28577.24</v>
      </c>
      <c r="H1063" s="160">
        <f t="shared" si="42"/>
        <v>207185.02</v>
      </c>
      <c r="I1063" s="160"/>
      <c r="J1063" s="161"/>
      <c r="K1063" s="160"/>
      <c r="L1063" s="160">
        <f>+'FACP$'!$H1063-'FACP$'!$I1063-'FACP$'!$K1063</f>
        <v>207185.02</v>
      </c>
      <c r="M1063" s="162" t="s">
        <v>732</v>
      </c>
      <c r="N1063" s="162" t="s">
        <v>554</v>
      </c>
      <c r="O1063" s="175">
        <v>43728.0</v>
      </c>
      <c r="P1063" s="164">
        <f t="shared" si="13"/>
        <v>43693</v>
      </c>
      <c r="Q1063" s="165">
        <f t="shared" si="2"/>
        <v>0</v>
      </c>
      <c r="R1063" s="167"/>
      <c r="S1063" s="167" t="s">
        <v>910</v>
      </c>
      <c r="T1063" s="168">
        <f t="shared" si="3"/>
        <v>207185.02</v>
      </c>
      <c r="U1063" s="168">
        <f t="shared" si="4"/>
        <v>0</v>
      </c>
      <c r="V1063" s="168">
        <f t="shared" si="5"/>
        <v>0</v>
      </c>
      <c r="W1063" s="168">
        <f t="shared" si="6"/>
        <v>0</v>
      </c>
      <c r="X1063" s="168">
        <f t="shared" si="7"/>
        <v>0</v>
      </c>
      <c r="Y1063" s="168">
        <f t="shared" si="8"/>
        <v>0</v>
      </c>
      <c r="Z1063" s="168">
        <f t="shared" si="9"/>
        <v>0</v>
      </c>
    </row>
    <row r="1064" ht="14.25" customHeight="1">
      <c r="A1064" s="157">
        <v>1927.0</v>
      </c>
      <c r="B1064" s="158" t="s">
        <v>37</v>
      </c>
      <c r="C1064" s="158" t="s">
        <v>989</v>
      </c>
      <c r="D1064" s="159">
        <v>43683.0</v>
      </c>
      <c r="E1064" s="157" t="s">
        <v>731</v>
      </c>
      <c r="F1064" s="160">
        <v>164660.64</v>
      </c>
      <c r="G1064" s="160">
        <v>26345.7</v>
      </c>
      <c r="H1064" s="160">
        <f t="shared" si="42"/>
        <v>191006.34</v>
      </c>
      <c r="I1064" s="160"/>
      <c r="J1064" s="161"/>
      <c r="K1064" s="160"/>
      <c r="L1064" s="160">
        <f>+'FACP$'!$H1064-'FACP$'!$I1064-'FACP$'!$K1064</f>
        <v>191006.34</v>
      </c>
      <c r="M1064" s="162" t="s">
        <v>116</v>
      </c>
      <c r="N1064" s="162" t="s">
        <v>127</v>
      </c>
      <c r="O1064" s="175"/>
      <c r="P1064" s="164">
        <f t="shared" si="13"/>
        <v>43693</v>
      </c>
      <c r="Q1064" s="165">
        <f t="shared" si="2"/>
        <v>0</v>
      </c>
      <c r="R1064" s="167" t="s">
        <v>992</v>
      </c>
      <c r="S1064" s="167"/>
      <c r="T1064" s="168">
        <f t="shared" si="3"/>
        <v>191006.34</v>
      </c>
      <c r="U1064" s="168">
        <f t="shared" si="4"/>
        <v>0</v>
      </c>
      <c r="V1064" s="168">
        <f t="shared" si="5"/>
        <v>0</v>
      </c>
      <c r="W1064" s="168">
        <f t="shared" si="6"/>
        <v>0</v>
      </c>
      <c r="X1064" s="168">
        <f t="shared" si="7"/>
        <v>0</v>
      </c>
      <c r="Y1064" s="168">
        <f t="shared" si="8"/>
        <v>0</v>
      </c>
      <c r="Z1064" s="168">
        <f t="shared" si="9"/>
        <v>0</v>
      </c>
    </row>
    <row r="1065" ht="14.25" customHeight="1">
      <c r="A1065" s="157">
        <v>1929.0</v>
      </c>
      <c r="B1065" s="158" t="s">
        <v>29</v>
      </c>
      <c r="C1065" s="158" t="s">
        <v>989</v>
      </c>
      <c r="D1065" s="159">
        <v>43683.0</v>
      </c>
      <c r="E1065" s="157" t="s">
        <v>731</v>
      </c>
      <c r="F1065" s="160">
        <v>91520.52</v>
      </c>
      <c r="G1065" s="160">
        <v>14643.28</v>
      </c>
      <c r="H1065" s="160">
        <f t="shared" si="42"/>
        <v>106163.8</v>
      </c>
      <c r="I1065" s="160"/>
      <c r="J1065" s="161"/>
      <c r="K1065" s="160"/>
      <c r="L1065" s="160">
        <f>+'FACP$'!$H1065-'FACP$'!$I1065-'FACP$'!$K1065</f>
        <v>106163.8</v>
      </c>
      <c r="M1065" s="162" t="s">
        <v>130</v>
      </c>
      <c r="N1065" s="162" t="s">
        <v>127</v>
      </c>
      <c r="O1065" s="175"/>
      <c r="P1065" s="164">
        <f t="shared" si="13"/>
        <v>43693</v>
      </c>
      <c r="Q1065" s="165">
        <f t="shared" si="2"/>
        <v>0</v>
      </c>
      <c r="R1065" s="167" t="s">
        <v>993</v>
      </c>
      <c r="S1065" s="167"/>
      <c r="T1065" s="168">
        <f t="shared" si="3"/>
        <v>106163.8</v>
      </c>
      <c r="U1065" s="168">
        <f t="shared" si="4"/>
        <v>0</v>
      </c>
      <c r="V1065" s="168">
        <f t="shared" si="5"/>
        <v>0</v>
      </c>
      <c r="W1065" s="168">
        <f t="shared" si="6"/>
        <v>0</v>
      </c>
      <c r="X1065" s="168">
        <f t="shared" si="7"/>
        <v>0</v>
      </c>
      <c r="Y1065" s="168">
        <f t="shared" si="8"/>
        <v>0</v>
      </c>
      <c r="Z1065" s="168">
        <f t="shared" si="9"/>
        <v>0</v>
      </c>
    </row>
    <row r="1066" ht="14.25" customHeight="1">
      <c r="A1066" s="157">
        <v>1930.0</v>
      </c>
      <c r="B1066" s="158" t="s">
        <v>29</v>
      </c>
      <c r="C1066" s="158" t="s">
        <v>989</v>
      </c>
      <c r="D1066" s="159">
        <v>43683.0</v>
      </c>
      <c r="E1066" s="157" t="s">
        <v>731</v>
      </c>
      <c r="F1066" s="160">
        <v>91520.52</v>
      </c>
      <c r="G1066" s="160">
        <v>14643.28</v>
      </c>
      <c r="H1066" s="160">
        <f t="shared" si="42"/>
        <v>106163.8</v>
      </c>
      <c r="I1066" s="160"/>
      <c r="J1066" s="161"/>
      <c r="K1066" s="160"/>
      <c r="L1066" s="160">
        <f>+'FACP$'!$H1066-'FACP$'!$I1066-'FACP$'!$K1066</f>
        <v>106163.8</v>
      </c>
      <c r="M1066" s="162" t="s">
        <v>130</v>
      </c>
      <c r="N1066" s="162" t="s">
        <v>554</v>
      </c>
      <c r="O1066" s="175">
        <v>43692.0</v>
      </c>
      <c r="P1066" s="164">
        <f t="shared" si="13"/>
        <v>43693</v>
      </c>
      <c r="Q1066" s="165">
        <f t="shared" si="2"/>
        <v>0</v>
      </c>
      <c r="R1066" s="167"/>
      <c r="S1066" s="167"/>
      <c r="T1066" s="168">
        <f t="shared" si="3"/>
        <v>106163.8</v>
      </c>
      <c r="U1066" s="168">
        <f t="shared" si="4"/>
        <v>0</v>
      </c>
      <c r="V1066" s="168">
        <f t="shared" si="5"/>
        <v>0</v>
      </c>
      <c r="W1066" s="168">
        <f t="shared" si="6"/>
        <v>0</v>
      </c>
      <c r="X1066" s="168">
        <f t="shared" si="7"/>
        <v>0</v>
      </c>
      <c r="Y1066" s="168">
        <f t="shared" si="8"/>
        <v>0</v>
      </c>
      <c r="Z1066" s="168">
        <f t="shared" si="9"/>
        <v>0</v>
      </c>
    </row>
    <row r="1067" ht="14.25" customHeight="1">
      <c r="A1067" s="157">
        <v>1931.0</v>
      </c>
      <c r="B1067" s="158" t="s">
        <v>29</v>
      </c>
      <c r="C1067" s="158" t="s">
        <v>991</v>
      </c>
      <c r="D1067" s="159">
        <v>43683.0</v>
      </c>
      <c r="E1067" s="157" t="s">
        <v>731</v>
      </c>
      <c r="F1067" s="160">
        <v>134010.3</v>
      </c>
      <c r="G1067" s="160">
        <v>21441.65</v>
      </c>
      <c r="H1067" s="160">
        <f t="shared" si="42"/>
        <v>155451.95</v>
      </c>
      <c r="I1067" s="160"/>
      <c r="J1067" s="161"/>
      <c r="K1067" s="160"/>
      <c r="L1067" s="160">
        <f>+'FACP$'!$H1067-'FACP$'!$I1067-'FACP$'!$K1067</f>
        <v>155451.95</v>
      </c>
      <c r="M1067" s="162" t="s">
        <v>130</v>
      </c>
      <c r="N1067" s="162" t="s">
        <v>127</v>
      </c>
      <c r="O1067" s="175"/>
      <c r="P1067" s="164">
        <f t="shared" si="13"/>
        <v>43693</v>
      </c>
      <c r="Q1067" s="165">
        <f t="shared" si="2"/>
        <v>0</v>
      </c>
      <c r="R1067" s="167" t="s">
        <v>994</v>
      </c>
      <c r="S1067" s="167"/>
      <c r="T1067" s="168">
        <f t="shared" si="3"/>
        <v>155451.95</v>
      </c>
      <c r="U1067" s="168">
        <f t="shared" si="4"/>
        <v>0</v>
      </c>
      <c r="V1067" s="168">
        <f t="shared" si="5"/>
        <v>0</v>
      </c>
      <c r="W1067" s="168">
        <f t="shared" si="6"/>
        <v>0</v>
      </c>
      <c r="X1067" s="168">
        <f t="shared" si="7"/>
        <v>0</v>
      </c>
      <c r="Y1067" s="168">
        <f t="shared" si="8"/>
        <v>0</v>
      </c>
      <c r="Z1067" s="168">
        <f t="shared" si="9"/>
        <v>0</v>
      </c>
    </row>
    <row r="1068" ht="14.25" customHeight="1">
      <c r="A1068" s="157">
        <v>1932.0</v>
      </c>
      <c r="B1068" s="158" t="s">
        <v>127</v>
      </c>
      <c r="C1068" s="158"/>
      <c r="D1068" s="159"/>
      <c r="E1068" s="157"/>
      <c r="F1068" s="160"/>
      <c r="G1068" s="160"/>
      <c r="H1068" s="160">
        <f t="shared" si="42"/>
        <v>0</v>
      </c>
      <c r="I1068" s="160"/>
      <c r="J1068" s="161"/>
      <c r="K1068" s="160"/>
      <c r="L1068" s="160">
        <f>+'FACP$'!$H1068-'FACP$'!$I1068-'FACP$'!$K1068</f>
        <v>0</v>
      </c>
      <c r="M1068" s="162"/>
      <c r="N1068" s="162" t="s">
        <v>127</v>
      </c>
      <c r="O1068" s="175"/>
      <c r="P1068" s="164">
        <f t="shared" si="13"/>
        <v>10</v>
      </c>
      <c r="Q1068" s="165">
        <f t="shared" si="2"/>
        <v>0</v>
      </c>
      <c r="R1068" s="167"/>
      <c r="S1068" s="167"/>
      <c r="T1068" s="168">
        <f t="shared" si="3"/>
        <v>0</v>
      </c>
      <c r="U1068" s="168">
        <f t="shared" si="4"/>
        <v>0</v>
      </c>
      <c r="V1068" s="168">
        <f t="shared" si="5"/>
        <v>0</v>
      </c>
      <c r="W1068" s="168">
        <f t="shared" si="6"/>
        <v>0</v>
      </c>
      <c r="X1068" s="168">
        <f t="shared" si="7"/>
        <v>0</v>
      </c>
      <c r="Y1068" s="168">
        <f t="shared" si="8"/>
        <v>0</v>
      </c>
      <c r="Z1068" s="168">
        <f t="shared" si="9"/>
        <v>0</v>
      </c>
    </row>
    <row r="1069" ht="14.25" customHeight="1">
      <c r="A1069" s="157">
        <v>1933.0</v>
      </c>
      <c r="B1069" s="158" t="s">
        <v>981</v>
      </c>
      <c r="C1069" s="158" t="s">
        <v>995</v>
      </c>
      <c r="D1069" s="159">
        <v>43685.0</v>
      </c>
      <c r="E1069" s="157" t="s">
        <v>731</v>
      </c>
      <c r="F1069" s="160">
        <v>2372.69</v>
      </c>
      <c r="G1069" s="160">
        <v>379.63</v>
      </c>
      <c r="H1069" s="160">
        <f t="shared" si="42"/>
        <v>2752.32</v>
      </c>
      <c r="I1069" s="160"/>
      <c r="J1069" s="161"/>
      <c r="K1069" s="160"/>
      <c r="L1069" s="160">
        <f>+'FACP$'!$H1069-'FACP$'!$I1069-'FACP$'!$K1069</f>
        <v>2752.32</v>
      </c>
      <c r="M1069" s="162" t="s">
        <v>982</v>
      </c>
      <c r="N1069" s="162" t="s">
        <v>554</v>
      </c>
      <c r="O1069" s="175">
        <v>43684.0</v>
      </c>
      <c r="P1069" s="164">
        <f t="shared" si="13"/>
        <v>43695</v>
      </c>
      <c r="Q1069" s="165">
        <f t="shared" si="2"/>
        <v>0</v>
      </c>
      <c r="R1069" s="167"/>
      <c r="S1069" s="220" t="s">
        <v>910</v>
      </c>
      <c r="T1069" s="168">
        <f t="shared" si="3"/>
        <v>2752.32</v>
      </c>
      <c r="U1069" s="168">
        <f t="shared" si="4"/>
        <v>0</v>
      </c>
      <c r="V1069" s="168">
        <f t="shared" si="5"/>
        <v>0</v>
      </c>
      <c r="W1069" s="168">
        <f t="shared" si="6"/>
        <v>0</v>
      </c>
      <c r="X1069" s="168">
        <f t="shared" si="7"/>
        <v>0</v>
      </c>
      <c r="Y1069" s="168">
        <f t="shared" si="8"/>
        <v>0</v>
      </c>
      <c r="Z1069" s="168">
        <f t="shared" si="9"/>
        <v>0</v>
      </c>
    </row>
    <row r="1070" ht="14.25" customHeight="1">
      <c r="A1070" s="157">
        <v>1934.0</v>
      </c>
      <c r="B1070" s="158" t="s">
        <v>981</v>
      </c>
      <c r="C1070" s="158" t="s">
        <v>995</v>
      </c>
      <c r="D1070" s="159">
        <v>43685.0</v>
      </c>
      <c r="E1070" s="157" t="s">
        <v>731</v>
      </c>
      <c r="F1070" s="160">
        <v>2842.62</v>
      </c>
      <c r="G1070" s="160">
        <v>454.82</v>
      </c>
      <c r="H1070" s="160">
        <f t="shared" si="42"/>
        <v>3297.44</v>
      </c>
      <c r="I1070" s="160"/>
      <c r="J1070" s="161"/>
      <c r="K1070" s="160"/>
      <c r="L1070" s="160">
        <f>+'FACP$'!$H1070-'FACP$'!$I1070-'FACP$'!$K1070</f>
        <v>3297.44</v>
      </c>
      <c r="M1070" s="162" t="s">
        <v>982</v>
      </c>
      <c r="N1070" s="162" t="s">
        <v>554</v>
      </c>
      <c r="O1070" s="175">
        <v>43684.0</v>
      </c>
      <c r="P1070" s="164">
        <f t="shared" si="13"/>
        <v>43695</v>
      </c>
      <c r="Q1070" s="165">
        <f t="shared" si="2"/>
        <v>0</v>
      </c>
      <c r="R1070" s="167"/>
      <c r="S1070" s="220" t="s">
        <v>910</v>
      </c>
      <c r="T1070" s="168">
        <f t="shared" si="3"/>
        <v>3297.44</v>
      </c>
      <c r="U1070" s="168">
        <f t="shared" si="4"/>
        <v>0</v>
      </c>
      <c r="V1070" s="168">
        <f t="shared" si="5"/>
        <v>0</v>
      </c>
      <c r="W1070" s="168">
        <f t="shared" si="6"/>
        <v>0</v>
      </c>
      <c r="X1070" s="168">
        <f t="shared" si="7"/>
        <v>0</v>
      </c>
      <c r="Y1070" s="168">
        <f t="shared" si="8"/>
        <v>0</v>
      </c>
      <c r="Z1070" s="168">
        <f t="shared" si="9"/>
        <v>0</v>
      </c>
    </row>
    <row r="1071" ht="15.75" customHeight="1">
      <c r="A1071" s="157">
        <v>1935.0</v>
      </c>
      <c r="B1071" s="158" t="s">
        <v>29</v>
      </c>
      <c r="C1071" s="158" t="s">
        <v>991</v>
      </c>
      <c r="D1071" s="159">
        <v>43685.0</v>
      </c>
      <c r="E1071" s="157" t="s">
        <v>731</v>
      </c>
      <c r="F1071" s="160">
        <v>141388.36</v>
      </c>
      <c r="G1071" s="160">
        <v>22622.14</v>
      </c>
      <c r="H1071" s="160">
        <f t="shared" si="42"/>
        <v>164010.5</v>
      </c>
      <c r="I1071" s="160"/>
      <c r="J1071" s="161"/>
      <c r="K1071" s="160"/>
      <c r="L1071" s="160">
        <f>+'FACP$'!$H1071-'FACP$'!$I1071-'FACP$'!$K1071</f>
        <v>164010.5</v>
      </c>
      <c r="M1071" s="162" t="s">
        <v>130</v>
      </c>
      <c r="N1071" s="162" t="s">
        <v>554</v>
      </c>
      <c r="O1071" s="175">
        <v>43692.0</v>
      </c>
      <c r="P1071" s="164">
        <f t="shared" si="13"/>
        <v>43695</v>
      </c>
      <c r="Q1071" s="165">
        <f t="shared" si="2"/>
        <v>0</v>
      </c>
      <c r="R1071" s="167"/>
      <c r="S1071" s="167"/>
      <c r="T1071" s="168">
        <f t="shared" si="3"/>
        <v>164010.5</v>
      </c>
      <c r="U1071" s="168">
        <f t="shared" si="4"/>
        <v>0</v>
      </c>
      <c r="V1071" s="168">
        <f t="shared" si="5"/>
        <v>0</v>
      </c>
      <c r="W1071" s="168">
        <f t="shared" si="6"/>
        <v>0</v>
      </c>
      <c r="X1071" s="168">
        <f t="shared" si="7"/>
        <v>0</v>
      </c>
      <c r="Y1071" s="168">
        <f t="shared" si="8"/>
        <v>0</v>
      </c>
      <c r="Z1071" s="168">
        <f t="shared" si="9"/>
        <v>0</v>
      </c>
    </row>
    <row r="1072" ht="15.75" customHeight="1">
      <c r="A1072" s="157">
        <v>1936.0</v>
      </c>
      <c r="B1072" s="158" t="s">
        <v>29</v>
      </c>
      <c r="C1072" s="158" t="s">
        <v>996</v>
      </c>
      <c r="D1072" s="159">
        <v>43685.0</v>
      </c>
      <c r="E1072" s="157" t="s">
        <v>731</v>
      </c>
      <c r="F1072" s="160">
        <v>206220.3</v>
      </c>
      <c r="G1072" s="160">
        <v>32995.25</v>
      </c>
      <c r="H1072" s="160">
        <f t="shared" si="42"/>
        <v>239215.55</v>
      </c>
      <c r="I1072" s="160"/>
      <c r="J1072" s="161"/>
      <c r="K1072" s="160"/>
      <c r="L1072" s="160">
        <f>+'FACP$'!$H1072-'FACP$'!$I1072-'FACP$'!$K1072</f>
        <v>239215.55</v>
      </c>
      <c r="M1072" s="162" t="s">
        <v>850</v>
      </c>
      <c r="N1072" s="162" t="s">
        <v>554</v>
      </c>
      <c r="O1072" s="175">
        <v>43726.0</v>
      </c>
      <c r="P1072" s="164">
        <f t="shared" si="13"/>
        <v>43695</v>
      </c>
      <c r="Q1072" s="165">
        <f t="shared" si="2"/>
        <v>0</v>
      </c>
      <c r="R1072" s="167"/>
      <c r="S1072" s="167"/>
      <c r="T1072" s="168">
        <f t="shared" si="3"/>
        <v>239215.55</v>
      </c>
      <c r="U1072" s="168">
        <f t="shared" si="4"/>
        <v>0</v>
      </c>
      <c r="V1072" s="168">
        <f t="shared" si="5"/>
        <v>0</v>
      </c>
      <c r="W1072" s="168">
        <f t="shared" si="6"/>
        <v>0</v>
      </c>
      <c r="X1072" s="168">
        <f t="shared" si="7"/>
        <v>0</v>
      </c>
      <c r="Y1072" s="168">
        <f t="shared" si="8"/>
        <v>0</v>
      </c>
      <c r="Z1072" s="168">
        <f t="shared" si="9"/>
        <v>0</v>
      </c>
    </row>
    <row r="1073" ht="15.75" customHeight="1">
      <c r="A1073" s="157">
        <v>1937.0</v>
      </c>
      <c r="B1073" s="158" t="s">
        <v>29</v>
      </c>
      <c r="C1073" s="158" t="s">
        <v>997</v>
      </c>
      <c r="D1073" s="159">
        <v>43685.0</v>
      </c>
      <c r="E1073" s="157" t="s">
        <v>731</v>
      </c>
      <c r="F1073" s="160">
        <v>281431.73</v>
      </c>
      <c r="G1073" s="160">
        <v>45029.08</v>
      </c>
      <c r="H1073" s="160">
        <f t="shared" si="42"/>
        <v>326460.81</v>
      </c>
      <c r="I1073" s="160"/>
      <c r="J1073" s="161"/>
      <c r="K1073" s="160"/>
      <c r="L1073" s="160">
        <f>+'FACP$'!$H1073-'FACP$'!$I1073-'FACP$'!$K1073</f>
        <v>326460.81</v>
      </c>
      <c r="M1073" s="162" t="s">
        <v>712</v>
      </c>
      <c r="N1073" s="162" t="s">
        <v>554</v>
      </c>
      <c r="O1073" s="175">
        <v>43726.0</v>
      </c>
      <c r="P1073" s="164">
        <f t="shared" si="13"/>
        <v>43695</v>
      </c>
      <c r="Q1073" s="165">
        <f t="shared" si="2"/>
        <v>0</v>
      </c>
      <c r="R1073" s="167"/>
      <c r="S1073" s="167"/>
      <c r="T1073" s="168">
        <f t="shared" si="3"/>
        <v>326460.81</v>
      </c>
      <c r="U1073" s="168">
        <f t="shared" si="4"/>
        <v>0</v>
      </c>
      <c r="V1073" s="168">
        <f t="shared" si="5"/>
        <v>0</v>
      </c>
      <c r="W1073" s="168">
        <f t="shared" si="6"/>
        <v>0</v>
      </c>
      <c r="X1073" s="168">
        <f t="shared" si="7"/>
        <v>0</v>
      </c>
      <c r="Y1073" s="168">
        <f t="shared" si="8"/>
        <v>0</v>
      </c>
      <c r="Z1073" s="168">
        <f t="shared" si="9"/>
        <v>0</v>
      </c>
    </row>
    <row r="1074" ht="15.75" customHeight="1">
      <c r="A1074" s="157">
        <v>1942.0</v>
      </c>
      <c r="B1074" s="158" t="s">
        <v>82</v>
      </c>
      <c r="C1074" s="158" t="s">
        <v>998</v>
      </c>
      <c r="D1074" s="159">
        <v>43685.0</v>
      </c>
      <c r="E1074" s="157" t="s">
        <v>731</v>
      </c>
      <c r="F1074" s="160">
        <v>70000.0</v>
      </c>
      <c r="G1074" s="160">
        <v>11200.0</v>
      </c>
      <c r="H1074" s="160">
        <f t="shared" si="42"/>
        <v>81200</v>
      </c>
      <c r="I1074" s="160"/>
      <c r="J1074" s="161"/>
      <c r="K1074" s="160"/>
      <c r="L1074" s="160">
        <f>+'FACP$'!$H1074-'FACP$'!$I1074-'FACP$'!$K1074</f>
        <v>81200</v>
      </c>
      <c r="M1074" s="162" t="s">
        <v>714</v>
      </c>
      <c r="N1074" s="162" t="s">
        <v>127</v>
      </c>
      <c r="O1074" s="175"/>
      <c r="P1074" s="164">
        <f t="shared" si="13"/>
        <v>43695</v>
      </c>
      <c r="Q1074" s="165">
        <f t="shared" si="2"/>
        <v>0</v>
      </c>
      <c r="R1074" s="167"/>
      <c r="S1074" s="167"/>
      <c r="T1074" s="168">
        <f t="shared" si="3"/>
        <v>81200</v>
      </c>
      <c r="U1074" s="168">
        <f t="shared" si="4"/>
        <v>0</v>
      </c>
      <c r="V1074" s="168">
        <f t="shared" si="5"/>
        <v>0</v>
      </c>
      <c r="W1074" s="168">
        <f t="shared" si="6"/>
        <v>0</v>
      </c>
      <c r="X1074" s="168">
        <f t="shared" si="7"/>
        <v>0</v>
      </c>
      <c r="Y1074" s="168">
        <f t="shared" si="8"/>
        <v>0</v>
      </c>
      <c r="Z1074" s="168">
        <f t="shared" si="9"/>
        <v>0</v>
      </c>
    </row>
    <row r="1075" ht="15.75" customHeight="1">
      <c r="A1075" s="157">
        <v>1945.0</v>
      </c>
      <c r="B1075" s="158" t="s">
        <v>29</v>
      </c>
      <c r="C1075" s="158" t="s">
        <v>999</v>
      </c>
      <c r="D1075" s="159">
        <v>43685.0</v>
      </c>
      <c r="E1075" s="157" t="s">
        <v>731</v>
      </c>
      <c r="F1075" s="160">
        <v>209782.04</v>
      </c>
      <c r="G1075" s="160">
        <v>33565.13</v>
      </c>
      <c r="H1075" s="160">
        <f t="shared" si="42"/>
        <v>243347.17</v>
      </c>
      <c r="I1075" s="160"/>
      <c r="J1075" s="161"/>
      <c r="K1075" s="160"/>
      <c r="L1075" s="160">
        <f>+'FACP$'!$H1075-'FACP$'!$I1075-'FACP$'!$K1075</f>
        <v>243347.17</v>
      </c>
      <c r="M1075" s="162" t="s">
        <v>850</v>
      </c>
      <c r="N1075" s="162" t="s">
        <v>554</v>
      </c>
      <c r="O1075" s="175">
        <v>43692.0</v>
      </c>
      <c r="P1075" s="164">
        <f t="shared" si="13"/>
        <v>43695</v>
      </c>
      <c r="Q1075" s="165">
        <f t="shared" si="2"/>
        <v>0</v>
      </c>
      <c r="R1075" s="167"/>
      <c r="S1075" s="167"/>
      <c r="T1075" s="168">
        <f t="shared" si="3"/>
        <v>243347.17</v>
      </c>
      <c r="U1075" s="168">
        <f t="shared" si="4"/>
        <v>0</v>
      </c>
      <c r="V1075" s="168">
        <f t="shared" si="5"/>
        <v>0</v>
      </c>
      <c r="W1075" s="168">
        <f t="shared" si="6"/>
        <v>0</v>
      </c>
      <c r="X1075" s="168">
        <f t="shared" si="7"/>
        <v>0</v>
      </c>
      <c r="Y1075" s="168">
        <f t="shared" si="8"/>
        <v>0</v>
      </c>
      <c r="Z1075" s="168">
        <f t="shared" si="9"/>
        <v>0</v>
      </c>
    </row>
    <row r="1076" ht="15.75" customHeight="1">
      <c r="A1076" s="157">
        <v>1946.0</v>
      </c>
      <c r="B1076" s="158" t="s">
        <v>29</v>
      </c>
      <c r="C1076" s="158" t="s">
        <v>1000</v>
      </c>
      <c r="D1076" s="159">
        <v>43685.0</v>
      </c>
      <c r="E1076" s="157" t="s">
        <v>731</v>
      </c>
      <c r="F1076" s="160">
        <v>284078.29</v>
      </c>
      <c r="G1076" s="160">
        <v>45452.53</v>
      </c>
      <c r="H1076" s="160">
        <f t="shared" si="42"/>
        <v>329530.82</v>
      </c>
      <c r="I1076" s="160"/>
      <c r="J1076" s="161"/>
      <c r="K1076" s="160"/>
      <c r="L1076" s="160">
        <f>+'FACP$'!$H1076-'FACP$'!$I1076-'FACP$'!$K1076</f>
        <v>329530.82</v>
      </c>
      <c r="M1076" s="162" t="s">
        <v>712</v>
      </c>
      <c r="N1076" s="162" t="s">
        <v>554</v>
      </c>
      <c r="O1076" s="175">
        <v>43692.0</v>
      </c>
      <c r="P1076" s="164">
        <f t="shared" si="13"/>
        <v>43695</v>
      </c>
      <c r="Q1076" s="165">
        <f t="shared" si="2"/>
        <v>0</v>
      </c>
      <c r="R1076" s="167"/>
      <c r="S1076" s="167"/>
      <c r="T1076" s="168">
        <f t="shared" si="3"/>
        <v>329530.82</v>
      </c>
      <c r="U1076" s="168">
        <f t="shared" si="4"/>
        <v>0</v>
      </c>
      <c r="V1076" s="168">
        <f t="shared" si="5"/>
        <v>0</v>
      </c>
      <c r="W1076" s="168">
        <f t="shared" si="6"/>
        <v>0</v>
      </c>
      <c r="X1076" s="168">
        <f t="shared" si="7"/>
        <v>0</v>
      </c>
      <c r="Y1076" s="168">
        <f t="shared" si="8"/>
        <v>0</v>
      </c>
      <c r="Z1076" s="168">
        <f t="shared" si="9"/>
        <v>0</v>
      </c>
    </row>
    <row r="1077" ht="14.25" customHeight="1">
      <c r="A1077" s="157">
        <v>1947.0</v>
      </c>
      <c r="B1077" s="158" t="s">
        <v>37</v>
      </c>
      <c r="C1077" s="158" t="s">
        <v>1001</v>
      </c>
      <c r="D1077" s="159">
        <v>43689.0</v>
      </c>
      <c r="E1077" s="157" t="s">
        <v>731</v>
      </c>
      <c r="F1077" s="160">
        <v>1638914.64</v>
      </c>
      <c r="G1077" s="160">
        <v>262226.34</v>
      </c>
      <c r="H1077" s="160">
        <f t="shared" si="42"/>
        <v>1901140.98</v>
      </c>
      <c r="I1077" s="160"/>
      <c r="J1077" s="161"/>
      <c r="K1077" s="160"/>
      <c r="L1077" s="160">
        <f>+'FACP$'!$H1077-'FACP$'!$I1077-'FACP$'!$K1077</f>
        <v>1901140.98</v>
      </c>
      <c r="M1077" s="162" t="s">
        <v>116</v>
      </c>
      <c r="N1077" s="162" t="s">
        <v>554</v>
      </c>
      <c r="O1077" s="175">
        <v>43699.0</v>
      </c>
      <c r="P1077" s="164">
        <f t="shared" si="13"/>
        <v>43699</v>
      </c>
      <c r="Q1077" s="165">
        <f t="shared" si="2"/>
        <v>0</v>
      </c>
      <c r="R1077" s="167"/>
      <c r="S1077" s="167" t="s">
        <v>910</v>
      </c>
      <c r="T1077" s="168">
        <f t="shared" si="3"/>
        <v>1901140.98</v>
      </c>
      <c r="U1077" s="168">
        <f t="shared" si="4"/>
        <v>0</v>
      </c>
      <c r="V1077" s="168">
        <f t="shared" si="5"/>
        <v>0</v>
      </c>
      <c r="W1077" s="168">
        <f t="shared" si="6"/>
        <v>0</v>
      </c>
      <c r="X1077" s="168">
        <f t="shared" si="7"/>
        <v>0</v>
      </c>
      <c r="Y1077" s="168">
        <f t="shared" si="8"/>
        <v>0</v>
      </c>
      <c r="Z1077" s="168">
        <f t="shared" si="9"/>
        <v>0</v>
      </c>
    </row>
    <row r="1078" ht="14.25" customHeight="1">
      <c r="A1078" s="157">
        <v>1948.0</v>
      </c>
      <c r="B1078" s="158" t="s">
        <v>41</v>
      </c>
      <c r="C1078" s="158" t="s">
        <v>989</v>
      </c>
      <c r="D1078" s="159">
        <v>43690.0</v>
      </c>
      <c r="E1078" s="157" t="s">
        <v>731</v>
      </c>
      <c r="F1078" s="160">
        <v>281876.5</v>
      </c>
      <c r="G1078" s="160">
        <v>45100.24</v>
      </c>
      <c r="H1078" s="160">
        <f t="shared" si="42"/>
        <v>326976.74</v>
      </c>
      <c r="I1078" s="160"/>
      <c r="J1078" s="161"/>
      <c r="K1078" s="160"/>
      <c r="L1078" s="160">
        <f>+'FACP$'!$H1078-'FACP$'!$I1078-'FACP$'!$K1078</f>
        <v>326976.74</v>
      </c>
      <c r="M1078" s="162" t="s">
        <v>121</v>
      </c>
      <c r="N1078" s="162" t="s">
        <v>554</v>
      </c>
      <c r="O1078" s="175">
        <v>43721.0</v>
      </c>
      <c r="P1078" s="164">
        <f t="shared" si="13"/>
        <v>43700</v>
      </c>
      <c r="Q1078" s="165">
        <f t="shared" si="2"/>
        <v>0</v>
      </c>
      <c r="R1078" s="167"/>
      <c r="S1078" s="167"/>
      <c r="T1078" s="168">
        <f t="shared" si="3"/>
        <v>326976.74</v>
      </c>
      <c r="U1078" s="168">
        <f t="shared" si="4"/>
        <v>0</v>
      </c>
      <c r="V1078" s="168">
        <f t="shared" si="5"/>
        <v>0</v>
      </c>
      <c r="W1078" s="168">
        <f t="shared" si="6"/>
        <v>0</v>
      </c>
      <c r="X1078" s="168">
        <f t="shared" si="7"/>
        <v>0</v>
      </c>
      <c r="Y1078" s="168">
        <f t="shared" si="8"/>
        <v>0</v>
      </c>
      <c r="Z1078" s="168">
        <f t="shared" si="9"/>
        <v>0</v>
      </c>
    </row>
    <row r="1079" ht="13.5" customHeight="1">
      <c r="A1079" s="157">
        <v>1950.0</v>
      </c>
      <c r="B1079" s="158" t="s">
        <v>29</v>
      </c>
      <c r="C1079" s="158" t="s">
        <v>1002</v>
      </c>
      <c r="D1079" s="159">
        <v>43693.0</v>
      </c>
      <c r="E1079" s="157" t="s">
        <v>731</v>
      </c>
      <c r="F1079" s="160">
        <v>398063.68</v>
      </c>
      <c r="G1079" s="160">
        <v>63690.19</v>
      </c>
      <c r="H1079" s="160">
        <f t="shared" si="42"/>
        <v>461753.87</v>
      </c>
      <c r="I1079" s="160"/>
      <c r="J1079" s="161"/>
      <c r="K1079" s="160"/>
      <c r="L1079" s="160">
        <f>+'FACP$'!$H1079-'FACP$'!$I1079-'FACP$'!$K1079</f>
        <v>461753.87</v>
      </c>
      <c r="M1079" s="162" t="s">
        <v>825</v>
      </c>
      <c r="N1079" s="162" t="s">
        <v>554</v>
      </c>
      <c r="O1079" s="175">
        <v>43703.0</v>
      </c>
      <c r="P1079" s="164">
        <f t="shared" si="13"/>
        <v>43703</v>
      </c>
      <c r="Q1079" s="165">
        <f t="shared" si="2"/>
        <v>0</v>
      </c>
      <c r="R1079" s="167"/>
      <c r="S1079" s="167"/>
      <c r="T1079" s="168">
        <f t="shared" si="3"/>
        <v>461753.87</v>
      </c>
      <c r="U1079" s="168">
        <f t="shared" si="4"/>
        <v>0</v>
      </c>
      <c r="V1079" s="168">
        <f t="shared" si="5"/>
        <v>0</v>
      </c>
      <c r="W1079" s="168">
        <f t="shared" si="6"/>
        <v>0</v>
      </c>
      <c r="X1079" s="168">
        <f t="shared" si="7"/>
        <v>0</v>
      </c>
      <c r="Y1079" s="168">
        <f t="shared" si="8"/>
        <v>0</v>
      </c>
      <c r="Z1079" s="168">
        <f t="shared" si="9"/>
        <v>0</v>
      </c>
    </row>
    <row r="1080" ht="15.75" customHeight="1">
      <c r="A1080" s="157">
        <v>1952.0</v>
      </c>
      <c r="B1080" s="158" t="s">
        <v>36</v>
      </c>
      <c r="C1080" s="158" t="s">
        <v>1002</v>
      </c>
      <c r="D1080" s="159">
        <v>43693.0</v>
      </c>
      <c r="E1080" s="157" t="s">
        <v>731</v>
      </c>
      <c r="F1080" s="160">
        <v>68064.53</v>
      </c>
      <c r="G1080" s="160">
        <v>10890.32</v>
      </c>
      <c r="H1080" s="160">
        <f t="shared" si="42"/>
        <v>78954.85</v>
      </c>
      <c r="I1080" s="160"/>
      <c r="J1080" s="161"/>
      <c r="K1080" s="160"/>
      <c r="L1080" s="160">
        <f>+'FACP$'!$H1080-'FACP$'!$I1080-'FACP$'!$K1080</f>
        <v>78954.85</v>
      </c>
      <c r="M1080" s="162" t="s">
        <v>278</v>
      </c>
      <c r="N1080" s="162" t="s">
        <v>554</v>
      </c>
      <c r="O1080" s="175">
        <v>43718.0</v>
      </c>
      <c r="P1080" s="164">
        <f t="shared" si="13"/>
        <v>43703</v>
      </c>
      <c r="Q1080" s="165">
        <f t="shared" si="2"/>
        <v>0</v>
      </c>
      <c r="R1080" s="167"/>
      <c r="S1080" s="220" t="s">
        <v>910</v>
      </c>
      <c r="T1080" s="168">
        <f t="shared" si="3"/>
        <v>78954.85</v>
      </c>
      <c r="U1080" s="168">
        <f t="shared" si="4"/>
        <v>0</v>
      </c>
      <c r="V1080" s="168">
        <f t="shared" si="5"/>
        <v>0</v>
      </c>
      <c r="W1080" s="168">
        <f t="shared" si="6"/>
        <v>0</v>
      </c>
      <c r="X1080" s="168">
        <f t="shared" si="7"/>
        <v>0</v>
      </c>
      <c r="Y1080" s="168">
        <f t="shared" si="8"/>
        <v>0</v>
      </c>
      <c r="Z1080" s="168">
        <f t="shared" si="9"/>
        <v>0</v>
      </c>
    </row>
    <row r="1081" ht="14.25" customHeight="1">
      <c r="A1081" s="157">
        <v>1954.0</v>
      </c>
      <c r="B1081" s="158" t="s">
        <v>837</v>
      </c>
      <c r="C1081" s="158" t="s">
        <v>1003</v>
      </c>
      <c r="D1081" s="159">
        <v>43693.0</v>
      </c>
      <c r="E1081" s="157" t="s">
        <v>731</v>
      </c>
      <c r="F1081" s="160">
        <v>1082406.88</v>
      </c>
      <c r="G1081" s="160">
        <v>173185.1</v>
      </c>
      <c r="H1081" s="160">
        <f t="shared" si="42"/>
        <v>1255591.98</v>
      </c>
      <c r="I1081" s="160"/>
      <c r="J1081" s="161"/>
      <c r="K1081" s="160"/>
      <c r="L1081" s="160">
        <f>+'FACP$'!$H1081-'FACP$'!$I1081-'FACP$'!$K1081</f>
        <v>1255591.98</v>
      </c>
      <c r="M1081" s="162" t="s">
        <v>837</v>
      </c>
      <c r="N1081" s="162" t="s">
        <v>554</v>
      </c>
      <c r="O1081" s="175">
        <v>43699.0</v>
      </c>
      <c r="P1081" s="164">
        <f t="shared" si="13"/>
        <v>43703</v>
      </c>
      <c r="Q1081" s="165">
        <f t="shared" si="2"/>
        <v>0</v>
      </c>
      <c r="R1081" s="167"/>
      <c r="S1081" s="167" t="s">
        <v>910</v>
      </c>
      <c r="T1081" s="168">
        <f t="shared" si="3"/>
        <v>1255591.98</v>
      </c>
      <c r="U1081" s="168">
        <f t="shared" si="4"/>
        <v>0</v>
      </c>
      <c r="V1081" s="168">
        <f t="shared" si="5"/>
        <v>0</v>
      </c>
      <c r="W1081" s="168">
        <f t="shared" si="6"/>
        <v>0</v>
      </c>
      <c r="X1081" s="168">
        <f t="shared" si="7"/>
        <v>0</v>
      </c>
      <c r="Y1081" s="168">
        <f t="shared" si="8"/>
        <v>0</v>
      </c>
      <c r="Z1081" s="168">
        <f t="shared" si="9"/>
        <v>0</v>
      </c>
    </row>
    <row r="1082" ht="14.25" customHeight="1">
      <c r="A1082" s="157">
        <v>1955.0</v>
      </c>
      <c r="B1082" s="158" t="s">
        <v>43</v>
      </c>
      <c r="C1082" s="158" t="s">
        <v>1002</v>
      </c>
      <c r="D1082" s="159">
        <v>43693.0</v>
      </c>
      <c r="E1082" s="157" t="s">
        <v>731</v>
      </c>
      <c r="F1082" s="160">
        <v>282920.96</v>
      </c>
      <c r="G1082" s="160">
        <v>45267.35</v>
      </c>
      <c r="H1082" s="160">
        <f t="shared" si="42"/>
        <v>328188.31</v>
      </c>
      <c r="I1082" s="160"/>
      <c r="J1082" s="161"/>
      <c r="K1082" s="160"/>
      <c r="L1082" s="160">
        <f>+'FACP$'!$H1082-'FACP$'!$I1082-'FACP$'!$K1082</f>
        <v>328188.31</v>
      </c>
      <c r="M1082" s="162" t="s">
        <v>43</v>
      </c>
      <c r="N1082" s="162" t="s">
        <v>554</v>
      </c>
      <c r="O1082" s="175">
        <v>43728.0</v>
      </c>
      <c r="P1082" s="164">
        <f t="shared" si="13"/>
        <v>43703</v>
      </c>
      <c r="Q1082" s="165">
        <f t="shared" si="2"/>
        <v>0</v>
      </c>
      <c r="R1082" s="167"/>
      <c r="S1082" s="167" t="s">
        <v>910</v>
      </c>
      <c r="T1082" s="168">
        <f t="shared" si="3"/>
        <v>328188.31</v>
      </c>
      <c r="U1082" s="168">
        <f t="shared" si="4"/>
        <v>0</v>
      </c>
      <c r="V1082" s="168">
        <f t="shared" si="5"/>
        <v>0</v>
      </c>
      <c r="W1082" s="168">
        <f t="shared" si="6"/>
        <v>0</v>
      </c>
      <c r="X1082" s="168">
        <f t="shared" si="7"/>
        <v>0</v>
      </c>
      <c r="Y1082" s="168">
        <f t="shared" si="8"/>
        <v>0</v>
      </c>
      <c r="Z1082" s="168">
        <f t="shared" si="9"/>
        <v>0</v>
      </c>
    </row>
    <row r="1083" ht="14.25" customHeight="1">
      <c r="A1083" s="157">
        <v>1957.0</v>
      </c>
      <c r="B1083" s="158" t="s">
        <v>30</v>
      </c>
      <c r="C1083" s="158" t="s">
        <v>1002</v>
      </c>
      <c r="D1083" s="159">
        <v>43697.0</v>
      </c>
      <c r="E1083" s="157" t="s">
        <v>731</v>
      </c>
      <c r="F1083" s="160">
        <v>143360.0</v>
      </c>
      <c r="G1083" s="160">
        <v>22937.6</v>
      </c>
      <c r="H1083" s="160">
        <f t="shared" si="42"/>
        <v>166297.6</v>
      </c>
      <c r="I1083" s="160"/>
      <c r="J1083" s="161"/>
      <c r="K1083" s="160"/>
      <c r="L1083" s="160">
        <f>+'FACP$'!$H1083-'FACP$'!$I1083-'FACP$'!$K1083</f>
        <v>166297.6</v>
      </c>
      <c r="M1083" s="162" t="s">
        <v>891</v>
      </c>
      <c r="N1083" s="162" t="s">
        <v>554</v>
      </c>
      <c r="O1083" s="175">
        <v>43742.0</v>
      </c>
      <c r="P1083" s="164">
        <f t="shared" si="13"/>
        <v>43707</v>
      </c>
      <c r="Q1083" s="165">
        <f t="shared" si="2"/>
        <v>0</v>
      </c>
      <c r="R1083" s="167"/>
      <c r="S1083" s="223" t="s">
        <v>910</v>
      </c>
      <c r="T1083" s="168">
        <f t="shared" si="3"/>
        <v>166297.6</v>
      </c>
      <c r="U1083" s="168">
        <f t="shared" si="4"/>
        <v>0</v>
      </c>
      <c r="V1083" s="168">
        <f t="shared" si="5"/>
        <v>0</v>
      </c>
      <c r="W1083" s="168">
        <f t="shared" si="6"/>
        <v>0</v>
      </c>
      <c r="X1083" s="168">
        <f t="shared" si="7"/>
        <v>0</v>
      </c>
      <c r="Y1083" s="168">
        <f t="shared" si="8"/>
        <v>0</v>
      </c>
      <c r="Z1083" s="168">
        <f t="shared" si="9"/>
        <v>0</v>
      </c>
    </row>
    <row r="1084" ht="14.25" customHeight="1">
      <c r="A1084" s="157">
        <v>1961.0</v>
      </c>
      <c r="B1084" s="158" t="s">
        <v>41</v>
      </c>
      <c r="C1084" s="158" t="s">
        <v>1002</v>
      </c>
      <c r="D1084" s="159">
        <v>43698.0</v>
      </c>
      <c r="E1084" s="157" t="s">
        <v>731</v>
      </c>
      <c r="F1084" s="160">
        <v>184700.4</v>
      </c>
      <c r="G1084" s="160">
        <v>29552.06</v>
      </c>
      <c r="H1084" s="160">
        <f t="shared" si="42"/>
        <v>214252.46</v>
      </c>
      <c r="I1084" s="160"/>
      <c r="J1084" s="161"/>
      <c r="K1084" s="160"/>
      <c r="L1084" s="160">
        <f>+'FACP$'!$H1084-'FACP$'!$I1084-'FACP$'!$K1084</f>
        <v>214252.46</v>
      </c>
      <c r="M1084" s="162" t="s">
        <v>121</v>
      </c>
      <c r="N1084" s="162" t="s">
        <v>554</v>
      </c>
      <c r="O1084" s="175">
        <v>43707.0</v>
      </c>
      <c r="P1084" s="164">
        <f t="shared" si="13"/>
        <v>43708</v>
      </c>
      <c r="Q1084" s="165">
        <f t="shared" si="2"/>
        <v>0</v>
      </c>
      <c r="R1084" s="167"/>
      <c r="S1084" s="167"/>
      <c r="T1084" s="168">
        <f t="shared" si="3"/>
        <v>214252.46</v>
      </c>
      <c r="U1084" s="168">
        <f t="shared" si="4"/>
        <v>0</v>
      </c>
      <c r="V1084" s="168">
        <f t="shared" si="5"/>
        <v>0</v>
      </c>
      <c r="W1084" s="168">
        <f t="shared" si="6"/>
        <v>0</v>
      </c>
      <c r="X1084" s="168">
        <f t="shared" si="7"/>
        <v>0</v>
      </c>
      <c r="Y1084" s="168">
        <f t="shared" si="8"/>
        <v>0</v>
      </c>
      <c r="Z1084" s="168">
        <f t="shared" si="9"/>
        <v>0</v>
      </c>
    </row>
    <row r="1085" ht="14.25" customHeight="1">
      <c r="A1085" s="157">
        <v>1964.0</v>
      </c>
      <c r="B1085" s="158" t="s">
        <v>18</v>
      </c>
      <c r="C1085" s="158" t="s">
        <v>1002</v>
      </c>
      <c r="D1085" s="159">
        <v>43700.0</v>
      </c>
      <c r="E1085" s="157" t="s">
        <v>731</v>
      </c>
      <c r="F1085" s="160">
        <v>113789.58</v>
      </c>
      <c r="G1085" s="160">
        <v>18206.33</v>
      </c>
      <c r="H1085" s="160">
        <f t="shared" si="42"/>
        <v>131995.91</v>
      </c>
      <c r="I1085" s="160"/>
      <c r="J1085" s="161"/>
      <c r="K1085" s="160"/>
      <c r="L1085" s="160">
        <f>+'FACP$'!$H1085-'FACP$'!$I1085-'FACP$'!$K1085</f>
        <v>131995.91</v>
      </c>
      <c r="M1085" s="162" t="s">
        <v>586</v>
      </c>
      <c r="N1085" s="162" t="s">
        <v>554</v>
      </c>
      <c r="O1085" s="175">
        <v>43728.0</v>
      </c>
      <c r="P1085" s="164">
        <f t="shared" si="13"/>
        <v>43710</v>
      </c>
      <c r="Q1085" s="165">
        <f t="shared" si="2"/>
        <v>0</v>
      </c>
      <c r="R1085" s="167"/>
      <c r="S1085" s="167" t="s">
        <v>910</v>
      </c>
      <c r="T1085" s="168">
        <f t="shared" si="3"/>
        <v>131995.91</v>
      </c>
      <c r="U1085" s="168">
        <f t="shared" si="4"/>
        <v>0</v>
      </c>
      <c r="V1085" s="168">
        <f t="shared" si="5"/>
        <v>0</v>
      </c>
      <c r="W1085" s="168">
        <f t="shared" si="6"/>
        <v>0</v>
      </c>
      <c r="X1085" s="168">
        <f t="shared" si="7"/>
        <v>0</v>
      </c>
      <c r="Y1085" s="168">
        <f t="shared" si="8"/>
        <v>0</v>
      </c>
      <c r="Z1085" s="168">
        <f t="shared" si="9"/>
        <v>0</v>
      </c>
    </row>
    <row r="1086" ht="14.25" customHeight="1">
      <c r="A1086" s="157">
        <v>1966.0</v>
      </c>
      <c r="B1086" s="158" t="s">
        <v>16</v>
      </c>
      <c r="C1086" s="158" t="s">
        <v>1002</v>
      </c>
      <c r="D1086" s="159">
        <v>43700.0</v>
      </c>
      <c r="E1086" s="157" t="s">
        <v>731</v>
      </c>
      <c r="F1086" s="160">
        <v>170982.24</v>
      </c>
      <c r="G1086" s="160">
        <v>27357.16</v>
      </c>
      <c r="H1086" s="160">
        <f t="shared" si="42"/>
        <v>198339.4</v>
      </c>
      <c r="I1086" s="160"/>
      <c r="J1086" s="161"/>
      <c r="K1086" s="160"/>
      <c r="L1086" s="160">
        <f>+'FACP$'!$H1086-'FACP$'!$I1086-'FACP$'!$K1086</f>
        <v>198339.4</v>
      </c>
      <c r="M1086" s="162" t="s">
        <v>985</v>
      </c>
      <c r="N1086" s="162" t="s">
        <v>554</v>
      </c>
      <c r="O1086" s="175">
        <v>43707.0</v>
      </c>
      <c r="P1086" s="164">
        <f t="shared" si="13"/>
        <v>43710</v>
      </c>
      <c r="Q1086" s="165">
        <f t="shared" si="2"/>
        <v>0</v>
      </c>
      <c r="R1086" s="167"/>
      <c r="S1086" s="167"/>
      <c r="T1086" s="168">
        <f t="shared" si="3"/>
        <v>198339.4</v>
      </c>
      <c r="U1086" s="168">
        <f t="shared" si="4"/>
        <v>0</v>
      </c>
      <c r="V1086" s="168">
        <f t="shared" si="5"/>
        <v>0</v>
      </c>
      <c r="W1086" s="168">
        <f t="shared" si="6"/>
        <v>0</v>
      </c>
      <c r="X1086" s="168">
        <f t="shared" si="7"/>
        <v>0</v>
      </c>
      <c r="Y1086" s="168">
        <f t="shared" si="8"/>
        <v>0</v>
      </c>
      <c r="Z1086" s="168">
        <f t="shared" si="9"/>
        <v>0</v>
      </c>
    </row>
    <row r="1087" ht="14.25" customHeight="1">
      <c r="A1087" s="157">
        <v>1967.0</v>
      </c>
      <c r="B1087" s="158" t="s">
        <v>16</v>
      </c>
      <c r="C1087" s="158" t="s">
        <v>1004</v>
      </c>
      <c r="D1087" s="159">
        <v>43700.0</v>
      </c>
      <c r="E1087" s="157" t="s">
        <v>731</v>
      </c>
      <c r="F1087" s="160">
        <v>261550.17</v>
      </c>
      <c r="G1087" s="160">
        <v>41848.03</v>
      </c>
      <c r="H1087" s="160">
        <f t="shared" si="42"/>
        <v>303398.2</v>
      </c>
      <c r="I1087" s="160"/>
      <c r="J1087" s="161"/>
      <c r="K1087" s="160"/>
      <c r="L1087" s="160">
        <f>+'FACP$'!$H1087-'FACP$'!$I1087-'FACP$'!$K1087</f>
        <v>303398.2</v>
      </c>
      <c r="M1087" s="162" t="s">
        <v>985</v>
      </c>
      <c r="N1087" s="162" t="s">
        <v>554</v>
      </c>
      <c r="O1087" s="175">
        <v>43707.0</v>
      </c>
      <c r="P1087" s="164">
        <f t="shared" si="13"/>
        <v>43710</v>
      </c>
      <c r="Q1087" s="165">
        <f t="shared" si="2"/>
        <v>0</v>
      </c>
      <c r="R1087" s="167"/>
      <c r="S1087" s="167"/>
      <c r="T1087" s="168">
        <f t="shared" si="3"/>
        <v>303398.2</v>
      </c>
      <c r="U1087" s="168">
        <f t="shared" si="4"/>
        <v>0</v>
      </c>
      <c r="V1087" s="168">
        <f t="shared" si="5"/>
        <v>0</v>
      </c>
      <c r="W1087" s="168">
        <f t="shared" si="6"/>
        <v>0</v>
      </c>
      <c r="X1087" s="168">
        <f t="shared" si="7"/>
        <v>0</v>
      </c>
      <c r="Y1087" s="168">
        <f t="shared" si="8"/>
        <v>0</v>
      </c>
      <c r="Z1087" s="168">
        <f t="shared" si="9"/>
        <v>0</v>
      </c>
    </row>
    <row r="1088" ht="14.25" customHeight="1">
      <c r="A1088" s="157">
        <v>1970.0</v>
      </c>
      <c r="B1088" s="158" t="s">
        <v>19</v>
      </c>
      <c r="C1088" s="158" t="s">
        <v>1002</v>
      </c>
      <c r="D1088" s="159">
        <v>43700.0</v>
      </c>
      <c r="E1088" s="157" t="s">
        <v>731</v>
      </c>
      <c r="F1088" s="160">
        <v>164320.98</v>
      </c>
      <c r="G1088" s="160">
        <v>26291.36</v>
      </c>
      <c r="H1088" s="160">
        <f t="shared" si="42"/>
        <v>190612.34</v>
      </c>
      <c r="I1088" s="160"/>
      <c r="J1088" s="161"/>
      <c r="K1088" s="160"/>
      <c r="L1088" s="160">
        <f>+'FACP$'!$H1088-'FACP$'!$I1088-'FACP$'!$K1088</f>
        <v>190612.34</v>
      </c>
      <c r="M1088" s="162" t="s">
        <v>732</v>
      </c>
      <c r="N1088" s="162" t="s">
        <v>554</v>
      </c>
      <c r="O1088" s="175">
        <v>43728.0</v>
      </c>
      <c r="P1088" s="164">
        <f t="shared" si="13"/>
        <v>43710</v>
      </c>
      <c r="Q1088" s="165">
        <f t="shared" si="2"/>
        <v>0</v>
      </c>
      <c r="R1088" s="167"/>
      <c r="S1088" s="167" t="s">
        <v>910</v>
      </c>
      <c r="T1088" s="168">
        <f t="shared" si="3"/>
        <v>190612.34</v>
      </c>
      <c r="U1088" s="168">
        <f t="shared" si="4"/>
        <v>0</v>
      </c>
      <c r="V1088" s="168">
        <f t="shared" si="5"/>
        <v>0</v>
      </c>
      <c r="W1088" s="168">
        <f t="shared" si="6"/>
        <v>0</v>
      </c>
      <c r="X1088" s="168">
        <f t="shared" si="7"/>
        <v>0</v>
      </c>
      <c r="Y1088" s="168">
        <f t="shared" si="8"/>
        <v>0</v>
      </c>
      <c r="Z1088" s="168">
        <f t="shared" si="9"/>
        <v>0</v>
      </c>
    </row>
    <row r="1089" ht="14.25" customHeight="1">
      <c r="A1089" s="157">
        <v>1971.0</v>
      </c>
      <c r="B1089" s="158" t="s">
        <v>37</v>
      </c>
      <c r="C1089" s="158" t="s">
        <v>1002</v>
      </c>
      <c r="D1089" s="159">
        <v>43700.0</v>
      </c>
      <c r="E1089" s="157" t="s">
        <v>731</v>
      </c>
      <c r="F1089" s="160">
        <v>1547076.96</v>
      </c>
      <c r="G1089" s="160">
        <v>247532.31</v>
      </c>
      <c r="H1089" s="160">
        <f t="shared" si="42"/>
        <v>1794609.27</v>
      </c>
      <c r="I1089" s="160"/>
      <c r="J1089" s="161"/>
      <c r="K1089" s="160"/>
      <c r="L1089" s="160">
        <f>+'FACP$'!$H1089-'FACP$'!$I1089-'FACP$'!$K1089</f>
        <v>1794609.27</v>
      </c>
      <c r="M1089" s="162" t="s">
        <v>116</v>
      </c>
      <c r="N1089" s="162" t="s">
        <v>554</v>
      </c>
      <c r="O1089" s="175">
        <v>43713.0</v>
      </c>
      <c r="P1089" s="164">
        <f t="shared" si="13"/>
        <v>43710</v>
      </c>
      <c r="Q1089" s="165">
        <f t="shared" si="2"/>
        <v>0</v>
      </c>
      <c r="R1089" s="167"/>
      <c r="S1089" s="167"/>
      <c r="T1089" s="168">
        <f t="shared" si="3"/>
        <v>1794609.27</v>
      </c>
      <c r="U1089" s="168">
        <f t="shared" si="4"/>
        <v>0</v>
      </c>
      <c r="V1089" s="168">
        <f t="shared" si="5"/>
        <v>0</v>
      </c>
      <c r="W1089" s="168">
        <f t="shared" si="6"/>
        <v>0</v>
      </c>
      <c r="X1089" s="168">
        <f t="shared" si="7"/>
        <v>0</v>
      </c>
      <c r="Y1089" s="168">
        <f t="shared" si="8"/>
        <v>0</v>
      </c>
      <c r="Z1089" s="168">
        <f t="shared" si="9"/>
        <v>0</v>
      </c>
    </row>
    <row r="1090" ht="14.25" customHeight="1">
      <c r="A1090" s="157">
        <v>1973.0</v>
      </c>
      <c r="B1090" s="158" t="s">
        <v>29</v>
      </c>
      <c r="C1090" s="158" t="s">
        <v>1002</v>
      </c>
      <c r="D1090" s="159">
        <v>43700.0</v>
      </c>
      <c r="E1090" s="157" t="s">
        <v>731</v>
      </c>
      <c r="F1090" s="160">
        <v>128980.02</v>
      </c>
      <c r="G1090" s="160">
        <v>20636.8</v>
      </c>
      <c r="H1090" s="160">
        <f t="shared" si="42"/>
        <v>149616.82</v>
      </c>
      <c r="I1090" s="160"/>
      <c r="J1090" s="161"/>
      <c r="K1090" s="160"/>
      <c r="L1090" s="160">
        <f>+'FACP$'!$H1090-'FACP$'!$I1090-'FACP$'!$K1090</f>
        <v>149616.82</v>
      </c>
      <c r="M1090" s="162" t="s">
        <v>130</v>
      </c>
      <c r="N1090" s="162" t="s">
        <v>554</v>
      </c>
      <c r="O1090" s="175">
        <v>43710.0</v>
      </c>
      <c r="P1090" s="164">
        <f t="shared" si="13"/>
        <v>43710</v>
      </c>
      <c r="Q1090" s="165">
        <f t="shared" si="2"/>
        <v>0</v>
      </c>
      <c r="R1090" s="167"/>
      <c r="S1090" s="167"/>
      <c r="T1090" s="168">
        <f t="shared" si="3"/>
        <v>149616.82</v>
      </c>
      <c r="U1090" s="168">
        <f t="shared" si="4"/>
        <v>0</v>
      </c>
      <c r="V1090" s="168">
        <f t="shared" si="5"/>
        <v>0</v>
      </c>
      <c r="W1090" s="168">
        <f t="shared" si="6"/>
        <v>0</v>
      </c>
      <c r="X1090" s="168">
        <f t="shared" si="7"/>
        <v>0</v>
      </c>
      <c r="Y1090" s="168">
        <f t="shared" si="8"/>
        <v>0</v>
      </c>
      <c r="Z1090" s="168">
        <f t="shared" si="9"/>
        <v>0</v>
      </c>
    </row>
    <row r="1091" ht="14.25" customHeight="1">
      <c r="A1091" s="157">
        <v>1974.0</v>
      </c>
      <c r="B1091" s="158" t="s">
        <v>29</v>
      </c>
      <c r="C1091" s="158" t="s">
        <v>1004</v>
      </c>
      <c r="D1091" s="159">
        <v>43700.0</v>
      </c>
      <c r="E1091" s="157" t="s">
        <v>731</v>
      </c>
      <c r="F1091" s="160">
        <v>206733.48</v>
      </c>
      <c r="G1091" s="160">
        <v>33077.36</v>
      </c>
      <c r="H1091" s="160">
        <f t="shared" si="42"/>
        <v>239810.84</v>
      </c>
      <c r="I1091" s="160"/>
      <c r="J1091" s="161"/>
      <c r="K1091" s="160"/>
      <c r="L1091" s="160">
        <f>+'FACP$'!$H1091-'FACP$'!$I1091-'FACP$'!$K1091</f>
        <v>239810.84</v>
      </c>
      <c r="M1091" s="162" t="s">
        <v>130</v>
      </c>
      <c r="N1091" s="162" t="s">
        <v>554</v>
      </c>
      <c r="O1091" s="175">
        <v>43710.0</v>
      </c>
      <c r="P1091" s="164">
        <f t="shared" si="13"/>
        <v>43710</v>
      </c>
      <c r="Q1091" s="165">
        <f t="shared" si="2"/>
        <v>0</v>
      </c>
      <c r="R1091" s="167"/>
      <c r="S1091" s="167"/>
      <c r="T1091" s="168">
        <f t="shared" si="3"/>
        <v>239810.84</v>
      </c>
      <c r="U1091" s="168">
        <f t="shared" si="4"/>
        <v>0</v>
      </c>
      <c r="V1091" s="168">
        <f t="shared" si="5"/>
        <v>0</v>
      </c>
      <c r="W1091" s="168">
        <f t="shared" si="6"/>
        <v>0</v>
      </c>
      <c r="X1091" s="168">
        <f t="shared" si="7"/>
        <v>0</v>
      </c>
      <c r="Y1091" s="168">
        <f t="shared" si="8"/>
        <v>0</v>
      </c>
      <c r="Z1091" s="168">
        <f t="shared" si="9"/>
        <v>0</v>
      </c>
    </row>
    <row r="1092" ht="14.25" customHeight="1">
      <c r="A1092" s="157">
        <v>1975.0</v>
      </c>
      <c r="B1092" s="158" t="s">
        <v>37</v>
      </c>
      <c r="C1092" s="158" t="s">
        <v>1005</v>
      </c>
      <c r="D1092" s="159">
        <v>43710.0</v>
      </c>
      <c r="E1092" s="157" t="s">
        <v>731</v>
      </c>
      <c r="F1092" s="160">
        <v>155937.6</v>
      </c>
      <c r="G1092" s="160">
        <v>24950.02</v>
      </c>
      <c r="H1092" s="160">
        <f t="shared" si="42"/>
        <v>180887.62</v>
      </c>
      <c r="I1092" s="160"/>
      <c r="J1092" s="161"/>
      <c r="K1092" s="160"/>
      <c r="L1092" s="160">
        <f>+'FACP$'!$H1092-'FACP$'!$I1092-'FACP$'!$K1092</f>
        <v>180887.62</v>
      </c>
      <c r="M1092" s="162" t="s">
        <v>116</v>
      </c>
      <c r="N1092" s="162" t="s">
        <v>554</v>
      </c>
      <c r="O1092" s="175">
        <v>43725.0</v>
      </c>
      <c r="P1092" s="164">
        <f t="shared" si="13"/>
        <v>43720</v>
      </c>
      <c r="Q1092" s="165">
        <f t="shared" si="2"/>
        <v>0</v>
      </c>
      <c r="R1092" s="167"/>
      <c r="S1092" s="167" t="s">
        <v>910</v>
      </c>
      <c r="T1092" s="168">
        <f t="shared" si="3"/>
        <v>180887.62</v>
      </c>
      <c r="U1092" s="168">
        <f t="shared" si="4"/>
        <v>0</v>
      </c>
      <c r="V1092" s="168">
        <f t="shared" si="5"/>
        <v>0</v>
      </c>
      <c r="W1092" s="168">
        <f t="shared" si="6"/>
        <v>0</v>
      </c>
      <c r="X1092" s="168">
        <f t="shared" si="7"/>
        <v>0</v>
      </c>
      <c r="Y1092" s="168">
        <f t="shared" si="8"/>
        <v>0</v>
      </c>
      <c r="Z1092" s="168">
        <f t="shared" si="9"/>
        <v>0</v>
      </c>
    </row>
    <row r="1093" ht="14.25" customHeight="1">
      <c r="A1093" s="157">
        <v>1976.0</v>
      </c>
      <c r="B1093" s="158" t="s">
        <v>837</v>
      </c>
      <c r="C1093" s="158" t="s">
        <v>1006</v>
      </c>
      <c r="D1093" s="159">
        <v>43710.0</v>
      </c>
      <c r="E1093" s="157" t="s">
        <v>731</v>
      </c>
      <c r="F1093" s="160">
        <v>13021.7</v>
      </c>
      <c r="G1093" s="160">
        <v>2083.47</v>
      </c>
      <c r="H1093" s="160">
        <f t="shared" si="42"/>
        <v>15105.17</v>
      </c>
      <c r="I1093" s="160"/>
      <c r="J1093" s="161"/>
      <c r="K1093" s="160"/>
      <c r="L1093" s="160">
        <f>+'FACP$'!$H1093-'FACP$'!$I1093-'FACP$'!$K1093</f>
        <v>15105.17</v>
      </c>
      <c r="M1093" s="162" t="s">
        <v>837</v>
      </c>
      <c r="N1093" s="162" t="s">
        <v>554</v>
      </c>
      <c r="O1093" s="175">
        <v>43769.0</v>
      </c>
      <c r="P1093" s="164">
        <f t="shared" si="13"/>
        <v>43720</v>
      </c>
      <c r="Q1093" s="165">
        <f t="shared" si="2"/>
        <v>0</v>
      </c>
      <c r="R1093" s="167"/>
      <c r="S1093" s="167" t="s">
        <v>910</v>
      </c>
      <c r="T1093" s="168">
        <f t="shared" si="3"/>
        <v>15105.17</v>
      </c>
      <c r="U1093" s="168">
        <f t="shared" si="4"/>
        <v>0</v>
      </c>
      <c r="V1093" s="168">
        <f t="shared" si="5"/>
        <v>0</v>
      </c>
      <c r="W1093" s="168">
        <f t="shared" si="6"/>
        <v>0</v>
      </c>
      <c r="X1093" s="168">
        <f t="shared" si="7"/>
        <v>0</v>
      </c>
      <c r="Y1093" s="168">
        <f t="shared" si="8"/>
        <v>0</v>
      </c>
      <c r="Z1093" s="168">
        <f t="shared" si="9"/>
        <v>0</v>
      </c>
    </row>
    <row r="1094" ht="14.25" customHeight="1">
      <c r="A1094" s="157">
        <v>1979.0</v>
      </c>
      <c r="B1094" s="158" t="s">
        <v>29</v>
      </c>
      <c r="C1094" s="158" t="s">
        <v>1007</v>
      </c>
      <c r="D1094" s="159">
        <v>43713.0</v>
      </c>
      <c r="E1094" s="157" t="s">
        <v>731</v>
      </c>
      <c r="F1094" s="160">
        <v>479128.32</v>
      </c>
      <c r="G1094" s="160">
        <v>76660.53</v>
      </c>
      <c r="H1094" s="160">
        <f t="shared" si="42"/>
        <v>555788.85</v>
      </c>
      <c r="I1094" s="160"/>
      <c r="J1094" s="161"/>
      <c r="K1094" s="160"/>
      <c r="L1094" s="160">
        <f>+'FACP$'!$H1094-'FACP$'!$I1094-'FACP$'!$K1094</f>
        <v>555788.85</v>
      </c>
      <c r="M1094" s="162" t="s">
        <v>825</v>
      </c>
      <c r="N1094" s="162" t="s">
        <v>554</v>
      </c>
      <c r="O1094" s="175">
        <v>43725.0</v>
      </c>
      <c r="P1094" s="164">
        <f t="shared" si="13"/>
        <v>43723</v>
      </c>
      <c r="Q1094" s="165">
        <f t="shared" si="2"/>
        <v>0</v>
      </c>
      <c r="R1094" s="167"/>
      <c r="S1094" s="167"/>
      <c r="T1094" s="168">
        <f t="shared" si="3"/>
        <v>555788.85</v>
      </c>
      <c r="U1094" s="168">
        <f t="shared" si="4"/>
        <v>0</v>
      </c>
      <c r="V1094" s="168">
        <f t="shared" si="5"/>
        <v>0</v>
      </c>
      <c r="W1094" s="168">
        <f t="shared" si="6"/>
        <v>0</v>
      </c>
      <c r="X1094" s="168">
        <f t="shared" si="7"/>
        <v>0</v>
      </c>
      <c r="Y1094" s="168">
        <f t="shared" si="8"/>
        <v>0</v>
      </c>
      <c r="Z1094" s="168">
        <f t="shared" si="9"/>
        <v>0</v>
      </c>
    </row>
    <row r="1095" ht="15.75" customHeight="1">
      <c r="A1095" s="157">
        <v>1981.0</v>
      </c>
      <c r="B1095" s="158" t="s">
        <v>30</v>
      </c>
      <c r="C1095" s="158" t="s">
        <v>1007</v>
      </c>
      <c r="D1095" s="159">
        <v>43713.0</v>
      </c>
      <c r="E1095" s="157" t="s">
        <v>731</v>
      </c>
      <c r="F1095" s="160">
        <v>171171.84</v>
      </c>
      <c r="G1095" s="160">
        <v>27387.49</v>
      </c>
      <c r="H1095" s="160">
        <f t="shared" si="42"/>
        <v>198559.33</v>
      </c>
      <c r="I1095" s="160"/>
      <c r="J1095" s="161"/>
      <c r="K1095" s="160"/>
      <c r="L1095" s="160">
        <f>+'FACP$'!$H1095-'FACP$'!$I1095-'FACP$'!$K1095</f>
        <v>198559.33</v>
      </c>
      <c r="M1095" s="162" t="s">
        <v>891</v>
      </c>
      <c r="N1095" s="162" t="s">
        <v>554</v>
      </c>
      <c r="O1095" s="175">
        <v>43756.0</v>
      </c>
      <c r="P1095" s="164">
        <f t="shared" si="13"/>
        <v>43723</v>
      </c>
      <c r="Q1095" s="165">
        <f t="shared" si="2"/>
        <v>0</v>
      </c>
      <c r="R1095" s="167"/>
      <c r="S1095" s="223" t="s">
        <v>910</v>
      </c>
      <c r="T1095" s="168">
        <f t="shared" si="3"/>
        <v>198559.33</v>
      </c>
      <c r="U1095" s="168">
        <f t="shared" si="4"/>
        <v>0</v>
      </c>
      <c r="V1095" s="168">
        <f t="shared" si="5"/>
        <v>0</v>
      </c>
      <c r="W1095" s="168">
        <f t="shared" si="6"/>
        <v>0</v>
      </c>
      <c r="X1095" s="168">
        <f t="shared" si="7"/>
        <v>0</v>
      </c>
      <c r="Y1095" s="168">
        <f t="shared" si="8"/>
        <v>0</v>
      </c>
      <c r="Z1095" s="168">
        <f t="shared" si="9"/>
        <v>0</v>
      </c>
    </row>
    <row r="1096" ht="15.75" customHeight="1">
      <c r="A1096" s="157">
        <v>1983.0</v>
      </c>
      <c r="B1096" s="158" t="s">
        <v>36</v>
      </c>
      <c r="C1096" s="158" t="s">
        <v>1007</v>
      </c>
      <c r="D1096" s="159">
        <v>43713.0</v>
      </c>
      <c r="E1096" s="157" t="s">
        <v>731</v>
      </c>
      <c r="F1096" s="160">
        <v>114402.47</v>
      </c>
      <c r="G1096" s="160">
        <v>18304.4</v>
      </c>
      <c r="H1096" s="160">
        <f t="shared" si="42"/>
        <v>132706.87</v>
      </c>
      <c r="I1096" s="160"/>
      <c r="J1096" s="161"/>
      <c r="K1096" s="160"/>
      <c r="L1096" s="160">
        <f>+'FACP$'!$H1096-'FACP$'!$I1096-'FACP$'!$K1096</f>
        <v>132706.87</v>
      </c>
      <c r="M1096" s="162" t="s">
        <v>278</v>
      </c>
      <c r="N1096" s="162" t="s">
        <v>554</v>
      </c>
      <c r="O1096" s="175">
        <v>43718.0</v>
      </c>
      <c r="P1096" s="164">
        <f t="shared" si="13"/>
        <v>43723</v>
      </c>
      <c r="Q1096" s="165">
        <f t="shared" si="2"/>
        <v>0</v>
      </c>
      <c r="R1096" s="167"/>
      <c r="S1096" s="220" t="s">
        <v>910</v>
      </c>
      <c r="T1096" s="168">
        <f t="shared" si="3"/>
        <v>132706.87</v>
      </c>
      <c r="U1096" s="168">
        <f t="shared" si="4"/>
        <v>0</v>
      </c>
      <c r="V1096" s="168">
        <f t="shared" si="5"/>
        <v>0</v>
      </c>
      <c r="W1096" s="168">
        <f t="shared" si="6"/>
        <v>0</v>
      </c>
      <c r="X1096" s="168">
        <f t="shared" si="7"/>
        <v>0</v>
      </c>
      <c r="Y1096" s="168">
        <f t="shared" si="8"/>
        <v>0</v>
      </c>
      <c r="Z1096" s="168">
        <f t="shared" si="9"/>
        <v>0</v>
      </c>
    </row>
    <row r="1097" ht="15.75" customHeight="1">
      <c r="A1097" s="157">
        <v>1985.0</v>
      </c>
      <c r="B1097" s="158" t="s">
        <v>837</v>
      </c>
      <c r="C1097" s="158" t="s">
        <v>1008</v>
      </c>
      <c r="D1097" s="159">
        <v>43713.0</v>
      </c>
      <c r="E1097" s="157" t="s">
        <v>731</v>
      </c>
      <c r="F1097" s="160">
        <v>1182727.48</v>
      </c>
      <c r="G1097" s="160">
        <v>189236.4</v>
      </c>
      <c r="H1097" s="160">
        <f t="shared" si="42"/>
        <v>1371963.88</v>
      </c>
      <c r="I1097" s="160"/>
      <c r="J1097" s="161"/>
      <c r="K1097" s="160"/>
      <c r="L1097" s="160">
        <f>+'FACP$'!$H1097-'FACP$'!$I1097-'FACP$'!$K1097</f>
        <v>1371963.88</v>
      </c>
      <c r="M1097" s="162" t="s">
        <v>837</v>
      </c>
      <c r="N1097" s="162" t="s">
        <v>554</v>
      </c>
      <c r="O1097" s="175">
        <v>43720.0</v>
      </c>
      <c r="P1097" s="164">
        <f t="shared" si="13"/>
        <v>43723</v>
      </c>
      <c r="Q1097" s="165">
        <f t="shared" si="2"/>
        <v>0</v>
      </c>
      <c r="R1097" s="167"/>
      <c r="S1097" s="167" t="s">
        <v>910</v>
      </c>
      <c r="T1097" s="168">
        <f t="shared" si="3"/>
        <v>1371963.88</v>
      </c>
      <c r="U1097" s="168">
        <f t="shared" si="4"/>
        <v>0</v>
      </c>
      <c r="V1097" s="168">
        <f t="shared" si="5"/>
        <v>0</v>
      </c>
      <c r="W1097" s="168">
        <f t="shared" si="6"/>
        <v>0</v>
      </c>
      <c r="X1097" s="168">
        <f t="shared" si="7"/>
        <v>0</v>
      </c>
      <c r="Y1097" s="168">
        <f t="shared" si="8"/>
        <v>0</v>
      </c>
      <c r="Z1097" s="168">
        <f t="shared" si="9"/>
        <v>0</v>
      </c>
    </row>
    <row r="1098" ht="15.75" customHeight="1">
      <c r="A1098" s="157">
        <v>1986.0</v>
      </c>
      <c r="B1098" s="158" t="s">
        <v>43</v>
      </c>
      <c r="C1098" s="158" t="s">
        <v>1007</v>
      </c>
      <c r="D1098" s="159">
        <v>43713.0</v>
      </c>
      <c r="E1098" s="157" t="s">
        <v>731</v>
      </c>
      <c r="F1098" s="160">
        <v>400619.52</v>
      </c>
      <c r="G1098" s="160">
        <v>64099.12</v>
      </c>
      <c r="H1098" s="160">
        <f t="shared" si="42"/>
        <v>464718.64</v>
      </c>
      <c r="I1098" s="160"/>
      <c r="J1098" s="161"/>
      <c r="K1098" s="160"/>
      <c r="L1098" s="160">
        <f>+'FACP$'!$H1098-'FACP$'!$I1098-'FACP$'!$K1098</f>
        <v>464718.64</v>
      </c>
      <c r="M1098" s="162" t="s">
        <v>43</v>
      </c>
      <c r="N1098" s="162" t="s">
        <v>554</v>
      </c>
      <c r="O1098" s="175">
        <v>43742.0</v>
      </c>
      <c r="P1098" s="164">
        <f t="shared" si="13"/>
        <v>43723</v>
      </c>
      <c r="Q1098" s="165">
        <f t="shared" si="2"/>
        <v>0</v>
      </c>
      <c r="R1098" s="167"/>
      <c r="S1098" s="167" t="s">
        <v>910</v>
      </c>
      <c r="T1098" s="168">
        <f t="shared" si="3"/>
        <v>464718.64</v>
      </c>
      <c r="U1098" s="168">
        <f t="shared" si="4"/>
        <v>0</v>
      </c>
      <c r="V1098" s="168">
        <f t="shared" si="5"/>
        <v>0</v>
      </c>
      <c r="W1098" s="168">
        <f t="shared" si="6"/>
        <v>0</v>
      </c>
      <c r="X1098" s="168">
        <f t="shared" si="7"/>
        <v>0</v>
      </c>
      <c r="Y1098" s="168">
        <f t="shared" si="8"/>
        <v>0</v>
      </c>
      <c r="Z1098" s="168">
        <f t="shared" si="9"/>
        <v>0</v>
      </c>
    </row>
    <row r="1099" ht="14.25" customHeight="1">
      <c r="A1099" s="157">
        <v>1988.0</v>
      </c>
      <c r="B1099" s="158" t="s">
        <v>41</v>
      </c>
      <c r="C1099" s="158" t="s">
        <v>1007</v>
      </c>
      <c r="D1099" s="159">
        <v>43713.0</v>
      </c>
      <c r="E1099" s="157" t="s">
        <v>731</v>
      </c>
      <c r="F1099" s="160">
        <v>159920.02</v>
      </c>
      <c r="G1099" s="160">
        <v>25587.2</v>
      </c>
      <c r="H1099" s="160">
        <f t="shared" si="42"/>
        <v>185507.22</v>
      </c>
      <c r="I1099" s="160"/>
      <c r="J1099" s="161"/>
      <c r="K1099" s="160"/>
      <c r="L1099" s="160">
        <f>+'FACP$'!$H1099-'FACP$'!$I1099-'FACP$'!$K1099</f>
        <v>185507.22</v>
      </c>
      <c r="M1099" s="162" t="s">
        <v>121</v>
      </c>
      <c r="N1099" s="162" t="s">
        <v>554</v>
      </c>
      <c r="O1099" s="175">
        <v>43721.0</v>
      </c>
      <c r="P1099" s="164">
        <f t="shared" si="13"/>
        <v>43723</v>
      </c>
      <c r="Q1099" s="165">
        <f t="shared" si="2"/>
        <v>0</v>
      </c>
      <c r="R1099" s="167"/>
      <c r="S1099" s="167"/>
      <c r="T1099" s="168">
        <f t="shared" si="3"/>
        <v>185507.22</v>
      </c>
      <c r="U1099" s="168">
        <f t="shared" si="4"/>
        <v>0</v>
      </c>
      <c r="V1099" s="168">
        <f t="shared" si="5"/>
        <v>0</v>
      </c>
      <c r="W1099" s="168">
        <f t="shared" si="6"/>
        <v>0</v>
      </c>
      <c r="X1099" s="168">
        <f t="shared" si="7"/>
        <v>0</v>
      </c>
      <c r="Y1099" s="168">
        <f t="shared" si="8"/>
        <v>0</v>
      </c>
      <c r="Z1099" s="168">
        <f t="shared" si="9"/>
        <v>0</v>
      </c>
    </row>
    <row r="1100" ht="14.25" customHeight="1">
      <c r="A1100" s="157">
        <v>1990.0</v>
      </c>
      <c r="B1100" s="158" t="s">
        <v>16</v>
      </c>
      <c r="C1100" s="158" t="s">
        <v>1007</v>
      </c>
      <c r="D1100" s="159">
        <v>43713.0</v>
      </c>
      <c r="E1100" s="157" t="s">
        <v>731</v>
      </c>
      <c r="F1100" s="160">
        <v>220814.88</v>
      </c>
      <c r="G1100" s="160">
        <v>35330.38</v>
      </c>
      <c r="H1100" s="160">
        <f t="shared" si="42"/>
        <v>256145.26</v>
      </c>
      <c r="I1100" s="160"/>
      <c r="J1100" s="161"/>
      <c r="K1100" s="160"/>
      <c r="L1100" s="160">
        <f>+'FACP$'!$H1100-'FACP$'!$I1100-'FACP$'!$K1100</f>
        <v>256145.26</v>
      </c>
      <c r="M1100" s="162" t="s">
        <v>985</v>
      </c>
      <c r="N1100" s="162" t="s">
        <v>554</v>
      </c>
      <c r="O1100" s="175">
        <v>43720.0</v>
      </c>
      <c r="P1100" s="164">
        <f t="shared" si="13"/>
        <v>43723</v>
      </c>
      <c r="Q1100" s="165">
        <f t="shared" si="2"/>
        <v>0</v>
      </c>
      <c r="R1100" s="167"/>
      <c r="S1100" s="167"/>
      <c r="T1100" s="168">
        <f t="shared" si="3"/>
        <v>256145.26</v>
      </c>
      <c r="U1100" s="168">
        <f t="shared" si="4"/>
        <v>0</v>
      </c>
      <c r="V1100" s="168">
        <f t="shared" si="5"/>
        <v>0</v>
      </c>
      <c r="W1100" s="168">
        <f t="shared" si="6"/>
        <v>0</v>
      </c>
      <c r="X1100" s="168">
        <f t="shared" si="7"/>
        <v>0</v>
      </c>
      <c r="Y1100" s="168">
        <f t="shared" si="8"/>
        <v>0</v>
      </c>
      <c r="Z1100" s="168">
        <f t="shared" si="9"/>
        <v>0</v>
      </c>
    </row>
    <row r="1101" ht="14.25" customHeight="1">
      <c r="A1101" s="157">
        <v>1991.0</v>
      </c>
      <c r="B1101" s="158" t="s">
        <v>16</v>
      </c>
      <c r="C1101" s="158" t="s">
        <v>1009</v>
      </c>
      <c r="D1101" s="159">
        <v>43713.0</v>
      </c>
      <c r="E1101" s="157" t="s">
        <v>731</v>
      </c>
      <c r="F1101" s="160">
        <v>337827.74</v>
      </c>
      <c r="G1101" s="160">
        <v>54052.0</v>
      </c>
      <c r="H1101" s="160">
        <f t="shared" si="42"/>
        <v>391879.74</v>
      </c>
      <c r="I1101" s="160"/>
      <c r="J1101" s="161"/>
      <c r="K1101" s="160"/>
      <c r="L1101" s="160">
        <f>+'FACP$'!$H1101-'FACP$'!$I1101-'FACP$'!$K1101</f>
        <v>391879.74</v>
      </c>
      <c r="M1101" s="162" t="s">
        <v>985</v>
      </c>
      <c r="N1101" s="162" t="s">
        <v>554</v>
      </c>
      <c r="O1101" s="175">
        <v>43720.0</v>
      </c>
      <c r="P1101" s="164">
        <f t="shared" si="13"/>
        <v>43723</v>
      </c>
      <c r="Q1101" s="165">
        <f t="shared" si="2"/>
        <v>0</v>
      </c>
      <c r="R1101" s="167"/>
      <c r="S1101" s="167"/>
      <c r="T1101" s="168">
        <f t="shared" si="3"/>
        <v>391879.74</v>
      </c>
      <c r="U1101" s="168">
        <f t="shared" si="4"/>
        <v>0</v>
      </c>
      <c r="V1101" s="168">
        <f t="shared" si="5"/>
        <v>0</v>
      </c>
      <c r="W1101" s="168">
        <f t="shared" si="6"/>
        <v>0</v>
      </c>
      <c r="X1101" s="168">
        <f t="shared" si="7"/>
        <v>0</v>
      </c>
      <c r="Y1101" s="168">
        <f t="shared" si="8"/>
        <v>0</v>
      </c>
      <c r="Z1101" s="168">
        <f t="shared" si="9"/>
        <v>0</v>
      </c>
    </row>
    <row r="1102" ht="15.75" customHeight="1">
      <c r="A1102" s="157">
        <v>1992.0</v>
      </c>
      <c r="B1102" s="158" t="s">
        <v>18</v>
      </c>
      <c r="C1102" s="158" t="s">
        <v>1007</v>
      </c>
      <c r="D1102" s="159">
        <v>43713.0</v>
      </c>
      <c r="E1102" s="157" t="s">
        <v>731</v>
      </c>
      <c r="F1102" s="160">
        <v>117827.34</v>
      </c>
      <c r="G1102" s="160">
        <v>18852.37</v>
      </c>
      <c r="H1102" s="160">
        <f t="shared" si="42"/>
        <v>136679.71</v>
      </c>
      <c r="I1102" s="160"/>
      <c r="J1102" s="161"/>
      <c r="K1102" s="160"/>
      <c r="L1102" s="160">
        <f>+'FACP$'!$H1102-'FACP$'!$I1102-'FACP$'!$K1102</f>
        <v>136679.71</v>
      </c>
      <c r="M1102" s="162" t="s">
        <v>586</v>
      </c>
      <c r="N1102" s="162" t="s">
        <v>554</v>
      </c>
      <c r="O1102" s="175">
        <v>43777.0</v>
      </c>
      <c r="P1102" s="164">
        <f t="shared" si="13"/>
        <v>43723</v>
      </c>
      <c r="Q1102" s="165">
        <f t="shared" si="2"/>
        <v>0</v>
      </c>
      <c r="R1102" s="167"/>
      <c r="S1102" s="167" t="s">
        <v>910</v>
      </c>
      <c r="T1102" s="168">
        <f t="shared" si="3"/>
        <v>136679.71</v>
      </c>
      <c r="U1102" s="168">
        <f t="shared" si="4"/>
        <v>0</v>
      </c>
      <c r="V1102" s="168">
        <f t="shared" si="5"/>
        <v>0</v>
      </c>
      <c r="W1102" s="168">
        <f t="shared" si="6"/>
        <v>0</v>
      </c>
      <c r="X1102" s="168">
        <f t="shared" si="7"/>
        <v>0</v>
      </c>
      <c r="Y1102" s="168">
        <f t="shared" si="8"/>
        <v>0</v>
      </c>
      <c r="Z1102" s="168">
        <f t="shared" si="9"/>
        <v>0</v>
      </c>
    </row>
    <row r="1103" ht="15.75" customHeight="1">
      <c r="A1103" s="157">
        <v>1994.0</v>
      </c>
      <c r="B1103" s="158" t="s">
        <v>18</v>
      </c>
      <c r="C1103" s="158" t="s">
        <v>1010</v>
      </c>
      <c r="D1103" s="159">
        <v>43714.0</v>
      </c>
      <c r="E1103" s="157" t="s">
        <v>731</v>
      </c>
      <c r="F1103" s="160">
        <v>473.4</v>
      </c>
      <c r="G1103" s="160">
        <v>75.74</v>
      </c>
      <c r="H1103" s="160">
        <f t="shared" si="42"/>
        <v>549.14</v>
      </c>
      <c r="I1103" s="160"/>
      <c r="J1103" s="161"/>
      <c r="K1103" s="160"/>
      <c r="L1103" s="160">
        <f>+'FACP$'!$H1103-'FACP$'!$I1103-'FACP$'!$K1103</f>
        <v>549.14</v>
      </c>
      <c r="M1103" s="162" t="s">
        <v>586</v>
      </c>
      <c r="N1103" s="162" t="s">
        <v>554</v>
      </c>
      <c r="O1103" s="175">
        <v>43777.0</v>
      </c>
      <c r="P1103" s="164">
        <f t="shared" si="13"/>
        <v>43724</v>
      </c>
      <c r="Q1103" s="165">
        <f t="shared" si="2"/>
        <v>0</v>
      </c>
      <c r="R1103" s="167"/>
      <c r="S1103" s="167" t="s">
        <v>910</v>
      </c>
      <c r="T1103" s="168">
        <f t="shared" si="3"/>
        <v>549.14</v>
      </c>
      <c r="U1103" s="168">
        <f t="shared" si="4"/>
        <v>0</v>
      </c>
      <c r="V1103" s="168">
        <f t="shared" si="5"/>
        <v>0</v>
      </c>
      <c r="W1103" s="168">
        <f t="shared" si="6"/>
        <v>0</v>
      </c>
      <c r="X1103" s="168">
        <f t="shared" si="7"/>
        <v>0</v>
      </c>
      <c r="Y1103" s="168">
        <f t="shared" si="8"/>
        <v>0</v>
      </c>
      <c r="Z1103" s="168">
        <f t="shared" si="9"/>
        <v>0</v>
      </c>
    </row>
    <row r="1104" ht="14.25" customHeight="1">
      <c r="A1104" s="157">
        <v>1995.0</v>
      </c>
      <c r="B1104" s="158" t="s">
        <v>19</v>
      </c>
      <c r="C1104" s="158" t="s">
        <v>1011</v>
      </c>
      <c r="D1104" s="159">
        <v>43714.0</v>
      </c>
      <c r="E1104" s="157" t="s">
        <v>731</v>
      </c>
      <c r="F1104" s="160">
        <v>217911.78</v>
      </c>
      <c r="G1104" s="160">
        <v>34865.88</v>
      </c>
      <c r="H1104" s="160">
        <f t="shared" si="42"/>
        <v>252777.66</v>
      </c>
      <c r="I1104" s="160"/>
      <c r="J1104" s="161"/>
      <c r="K1104" s="160"/>
      <c r="L1104" s="160">
        <f>+'FACP$'!$H1104-'FACP$'!$I1104-'FACP$'!$K1104</f>
        <v>252777.66</v>
      </c>
      <c r="M1104" s="162" t="s">
        <v>732</v>
      </c>
      <c r="N1104" s="162" t="s">
        <v>554</v>
      </c>
      <c r="O1104" s="175">
        <v>43777.0</v>
      </c>
      <c r="P1104" s="164">
        <f t="shared" si="13"/>
        <v>43724</v>
      </c>
      <c r="Q1104" s="165">
        <f t="shared" si="2"/>
        <v>0</v>
      </c>
      <c r="R1104" s="167"/>
      <c r="S1104" s="167" t="s">
        <v>910</v>
      </c>
      <c r="T1104" s="168">
        <f t="shared" si="3"/>
        <v>252777.66</v>
      </c>
      <c r="U1104" s="168">
        <f t="shared" si="4"/>
        <v>0</v>
      </c>
      <c r="V1104" s="168">
        <f t="shared" si="5"/>
        <v>0</v>
      </c>
      <c r="W1104" s="168">
        <f t="shared" si="6"/>
        <v>0</v>
      </c>
      <c r="X1104" s="168">
        <f t="shared" si="7"/>
        <v>0</v>
      </c>
      <c r="Y1104" s="168">
        <f t="shared" si="8"/>
        <v>0</v>
      </c>
      <c r="Z1104" s="168">
        <f t="shared" si="9"/>
        <v>0</v>
      </c>
    </row>
    <row r="1105" ht="15.75" customHeight="1">
      <c r="A1105" s="157">
        <v>1997.0</v>
      </c>
      <c r="B1105" s="158" t="s">
        <v>37</v>
      </c>
      <c r="C1105" s="158" t="s">
        <v>1007</v>
      </c>
      <c r="D1105" s="159">
        <v>43714.0</v>
      </c>
      <c r="E1105" s="157" t="s">
        <v>731</v>
      </c>
      <c r="F1105" s="160">
        <v>1621276.8</v>
      </c>
      <c r="G1105" s="160">
        <v>259404.29</v>
      </c>
      <c r="H1105" s="160">
        <f t="shared" si="42"/>
        <v>1880681.09</v>
      </c>
      <c r="I1105" s="160"/>
      <c r="J1105" s="161"/>
      <c r="K1105" s="160"/>
      <c r="L1105" s="160">
        <f>+'FACP$'!$H1105-'FACP$'!$I1105-'FACP$'!$K1105</f>
        <v>1880681.09</v>
      </c>
      <c r="M1105" s="162" t="s">
        <v>116</v>
      </c>
      <c r="N1105" s="162" t="s">
        <v>554</v>
      </c>
      <c r="O1105" s="175">
        <v>43725.0</v>
      </c>
      <c r="P1105" s="164">
        <f t="shared" si="13"/>
        <v>43724</v>
      </c>
      <c r="Q1105" s="165">
        <f t="shared" si="2"/>
        <v>0</v>
      </c>
      <c r="R1105" s="167"/>
      <c r="S1105" s="167" t="s">
        <v>910</v>
      </c>
      <c r="T1105" s="168">
        <f t="shared" si="3"/>
        <v>1880681.09</v>
      </c>
      <c r="U1105" s="168">
        <f t="shared" si="4"/>
        <v>0</v>
      </c>
      <c r="V1105" s="168">
        <f t="shared" si="5"/>
        <v>0</v>
      </c>
      <c r="W1105" s="168">
        <f t="shared" si="6"/>
        <v>0</v>
      </c>
      <c r="X1105" s="168">
        <f t="shared" si="7"/>
        <v>0</v>
      </c>
      <c r="Y1105" s="168">
        <f t="shared" si="8"/>
        <v>0</v>
      </c>
      <c r="Z1105" s="168">
        <f t="shared" si="9"/>
        <v>0</v>
      </c>
    </row>
    <row r="1106" ht="15.75" customHeight="1">
      <c r="A1106" s="157">
        <v>1999.0</v>
      </c>
      <c r="B1106" s="158" t="s">
        <v>29</v>
      </c>
      <c r="C1106" s="158" t="s">
        <v>1007</v>
      </c>
      <c r="D1106" s="159">
        <v>43713.0</v>
      </c>
      <c r="E1106" s="157" t="s">
        <v>731</v>
      </c>
      <c r="F1106" s="160">
        <v>202269.06</v>
      </c>
      <c r="G1106" s="160">
        <v>32363.05</v>
      </c>
      <c r="H1106" s="160">
        <f t="shared" si="42"/>
        <v>234632.11</v>
      </c>
      <c r="I1106" s="160"/>
      <c r="J1106" s="161"/>
      <c r="K1106" s="160"/>
      <c r="L1106" s="160">
        <f>+'FACP$'!$H1106-'FACP$'!$I1106-'FACP$'!$K1106</f>
        <v>234632.11</v>
      </c>
      <c r="M1106" s="162" t="s">
        <v>130</v>
      </c>
      <c r="N1106" s="162" t="s">
        <v>554</v>
      </c>
      <c r="O1106" s="175">
        <v>43725.0</v>
      </c>
      <c r="P1106" s="164">
        <f t="shared" si="13"/>
        <v>43723</v>
      </c>
      <c r="Q1106" s="165">
        <f t="shared" si="2"/>
        <v>0</v>
      </c>
      <c r="R1106" s="167"/>
      <c r="S1106" s="167"/>
      <c r="T1106" s="168">
        <f t="shared" si="3"/>
        <v>234632.11</v>
      </c>
      <c r="U1106" s="168">
        <f t="shared" si="4"/>
        <v>0</v>
      </c>
      <c r="V1106" s="168">
        <f t="shared" si="5"/>
        <v>0</v>
      </c>
      <c r="W1106" s="168">
        <f t="shared" si="6"/>
        <v>0</v>
      </c>
      <c r="X1106" s="168">
        <f t="shared" si="7"/>
        <v>0</v>
      </c>
      <c r="Y1106" s="168">
        <f t="shared" si="8"/>
        <v>0</v>
      </c>
      <c r="Z1106" s="168">
        <f t="shared" si="9"/>
        <v>0</v>
      </c>
    </row>
    <row r="1107" ht="15.75" customHeight="1">
      <c r="A1107" s="157">
        <v>2000.0</v>
      </c>
      <c r="B1107" s="158" t="s">
        <v>29</v>
      </c>
      <c r="C1107" s="158" t="s">
        <v>1009</v>
      </c>
      <c r="D1107" s="159">
        <v>43713.0</v>
      </c>
      <c r="E1107" s="157" t="s">
        <v>731</v>
      </c>
      <c r="F1107" s="160">
        <v>324099.43</v>
      </c>
      <c r="G1107" s="160">
        <v>51855.91</v>
      </c>
      <c r="H1107" s="160">
        <f t="shared" si="42"/>
        <v>375955.34</v>
      </c>
      <c r="I1107" s="160"/>
      <c r="J1107" s="161"/>
      <c r="K1107" s="160"/>
      <c r="L1107" s="160">
        <f>+'FACP$'!$H1107-'FACP$'!$I1107-'FACP$'!$K1107</f>
        <v>375955.34</v>
      </c>
      <c r="M1107" s="162" t="s">
        <v>130</v>
      </c>
      <c r="N1107" s="162" t="s">
        <v>554</v>
      </c>
      <c r="O1107" s="175">
        <v>43727.0</v>
      </c>
      <c r="P1107" s="164">
        <f t="shared" si="13"/>
        <v>43723</v>
      </c>
      <c r="Q1107" s="165">
        <f t="shared" si="2"/>
        <v>0</v>
      </c>
      <c r="R1107" s="167"/>
      <c r="S1107" s="167"/>
      <c r="T1107" s="168">
        <f t="shared" si="3"/>
        <v>375955.34</v>
      </c>
      <c r="U1107" s="168">
        <f t="shared" si="4"/>
        <v>0</v>
      </c>
      <c r="V1107" s="168">
        <f t="shared" si="5"/>
        <v>0</v>
      </c>
      <c r="W1107" s="168">
        <f t="shared" si="6"/>
        <v>0</v>
      </c>
      <c r="X1107" s="168">
        <f t="shared" si="7"/>
        <v>0</v>
      </c>
      <c r="Y1107" s="168">
        <f t="shared" si="8"/>
        <v>0</v>
      </c>
      <c r="Z1107" s="168">
        <f t="shared" si="9"/>
        <v>0</v>
      </c>
    </row>
    <row r="1108" ht="14.25" customHeight="1">
      <c r="A1108" s="157">
        <v>2003.0</v>
      </c>
      <c r="B1108" s="158" t="s">
        <v>82</v>
      </c>
      <c r="C1108" s="158" t="s">
        <v>1012</v>
      </c>
      <c r="D1108" s="159">
        <v>43714.0</v>
      </c>
      <c r="E1108" s="157" t="s">
        <v>731</v>
      </c>
      <c r="F1108" s="160">
        <v>70000.0</v>
      </c>
      <c r="G1108" s="160">
        <v>11200.0</v>
      </c>
      <c r="H1108" s="160">
        <f t="shared" si="42"/>
        <v>81200</v>
      </c>
      <c r="I1108" s="160"/>
      <c r="J1108" s="161"/>
      <c r="K1108" s="160"/>
      <c r="L1108" s="160">
        <f>+'FACP$'!$H1108-'FACP$'!$I1108-'FACP$'!$K1108</f>
        <v>81200</v>
      </c>
      <c r="M1108" s="162" t="s">
        <v>714</v>
      </c>
      <c r="N1108" s="162" t="s">
        <v>127</v>
      </c>
      <c r="O1108" s="175"/>
      <c r="P1108" s="164">
        <f t="shared" si="13"/>
        <v>43724</v>
      </c>
      <c r="Q1108" s="165">
        <f t="shared" si="2"/>
        <v>0</v>
      </c>
      <c r="R1108" s="167"/>
      <c r="S1108" s="167"/>
      <c r="T1108" s="168">
        <f t="shared" si="3"/>
        <v>81200</v>
      </c>
      <c r="U1108" s="168">
        <f t="shared" si="4"/>
        <v>0</v>
      </c>
      <c r="V1108" s="168">
        <f t="shared" si="5"/>
        <v>0</v>
      </c>
      <c r="W1108" s="168">
        <f t="shared" si="6"/>
        <v>0</v>
      </c>
      <c r="X1108" s="168">
        <f t="shared" si="7"/>
        <v>0</v>
      </c>
      <c r="Y1108" s="168">
        <f t="shared" si="8"/>
        <v>0</v>
      </c>
      <c r="Z1108" s="168">
        <f t="shared" si="9"/>
        <v>0</v>
      </c>
    </row>
    <row r="1109" ht="14.25" customHeight="1">
      <c r="A1109" s="157" t="s">
        <v>1013</v>
      </c>
      <c r="B1109" s="158" t="s">
        <v>127</v>
      </c>
      <c r="C1109" s="158"/>
      <c r="D1109" s="159"/>
      <c r="E1109" s="157"/>
      <c r="F1109" s="160"/>
      <c r="G1109" s="160"/>
      <c r="H1109" s="160">
        <f t="shared" si="42"/>
        <v>0</v>
      </c>
      <c r="I1109" s="160"/>
      <c r="J1109" s="161"/>
      <c r="K1109" s="160"/>
      <c r="L1109" s="160">
        <f>+'FACP$'!$H1109-'FACP$'!$I1109-'FACP$'!$K1109</f>
        <v>0</v>
      </c>
      <c r="M1109" s="162"/>
      <c r="N1109" s="162" t="s">
        <v>127</v>
      </c>
      <c r="O1109" s="175"/>
      <c r="P1109" s="164">
        <f t="shared" si="13"/>
        <v>10</v>
      </c>
      <c r="Q1109" s="165">
        <f t="shared" si="2"/>
        <v>0</v>
      </c>
      <c r="R1109" s="167"/>
      <c r="S1109" s="167"/>
      <c r="T1109" s="168">
        <f t="shared" si="3"/>
        <v>0</v>
      </c>
      <c r="U1109" s="168">
        <f t="shared" si="4"/>
        <v>0</v>
      </c>
      <c r="V1109" s="168">
        <f t="shared" si="5"/>
        <v>0</v>
      </c>
      <c r="W1109" s="168">
        <f t="shared" si="6"/>
        <v>0</v>
      </c>
      <c r="X1109" s="168">
        <f t="shared" si="7"/>
        <v>0</v>
      </c>
      <c r="Y1109" s="168">
        <f t="shared" si="8"/>
        <v>0</v>
      </c>
      <c r="Z1109" s="168">
        <f t="shared" si="9"/>
        <v>0</v>
      </c>
    </row>
    <row r="1110" ht="14.25" customHeight="1">
      <c r="A1110" s="157" t="s">
        <v>1014</v>
      </c>
      <c r="B1110" s="158" t="s">
        <v>29</v>
      </c>
      <c r="C1110" s="158" t="s">
        <v>1015</v>
      </c>
      <c r="D1110" s="159">
        <v>43726.0</v>
      </c>
      <c r="E1110" s="157" t="s">
        <v>731</v>
      </c>
      <c r="F1110" s="160">
        <v>376189.32</v>
      </c>
      <c r="G1110" s="160">
        <v>60190.29</v>
      </c>
      <c r="H1110" s="160">
        <f t="shared" si="42"/>
        <v>436379.61</v>
      </c>
      <c r="I1110" s="160"/>
      <c r="J1110" s="161"/>
      <c r="K1110" s="160"/>
      <c r="L1110" s="160">
        <f>+'FACP$'!$H1110-'FACP$'!$I1110-'FACP$'!$K1110</f>
        <v>436379.61</v>
      </c>
      <c r="M1110" s="162" t="s">
        <v>825</v>
      </c>
      <c r="N1110" s="162" t="s">
        <v>554</v>
      </c>
      <c r="O1110" s="175">
        <v>43741.0</v>
      </c>
      <c r="P1110" s="164">
        <f t="shared" si="13"/>
        <v>43736</v>
      </c>
      <c r="Q1110" s="165">
        <f t="shared" si="2"/>
        <v>0</v>
      </c>
      <c r="R1110" s="167"/>
      <c r="S1110" s="167"/>
      <c r="T1110" s="168">
        <f t="shared" si="3"/>
        <v>436379.61</v>
      </c>
      <c r="U1110" s="168">
        <f t="shared" si="4"/>
        <v>0</v>
      </c>
      <c r="V1110" s="168">
        <f t="shared" si="5"/>
        <v>0</v>
      </c>
      <c r="W1110" s="168">
        <f t="shared" si="6"/>
        <v>0</v>
      </c>
      <c r="X1110" s="168">
        <f t="shared" si="7"/>
        <v>0</v>
      </c>
      <c r="Y1110" s="168">
        <f t="shared" si="8"/>
        <v>0</v>
      </c>
      <c r="Z1110" s="168">
        <f t="shared" si="9"/>
        <v>0</v>
      </c>
    </row>
    <row r="1111" ht="14.25" customHeight="1">
      <c r="A1111" s="157" t="s">
        <v>1016</v>
      </c>
      <c r="B1111" s="158" t="s">
        <v>837</v>
      </c>
      <c r="C1111" s="158" t="s">
        <v>1017</v>
      </c>
      <c r="D1111" s="159">
        <v>43726.0</v>
      </c>
      <c r="E1111" s="157" t="s">
        <v>731</v>
      </c>
      <c r="F1111" s="160">
        <v>1083844.82</v>
      </c>
      <c r="G1111" s="160">
        <v>173415.17</v>
      </c>
      <c r="H1111" s="160">
        <f t="shared" si="42"/>
        <v>1257259.99</v>
      </c>
      <c r="I1111" s="160"/>
      <c r="J1111" s="161"/>
      <c r="K1111" s="160"/>
      <c r="L1111" s="160">
        <f>+'FACP$'!$H1111-'FACP$'!$I1111-'FACP$'!$K1111</f>
        <v>1257259.99</v>
      </c>
      <c r="M1111" s="162" t="s">
        <v>837</v>
      </c>
      <c r="N1111" s="162" t="s">
        <v>554</v>
      </c>
      <c r="O1111" s="175">
        <v>43727.0</v>
      </c>
      <c r="P1111" s="164">
        <f t="shared" si="13"/>
        <v>43736</v>
      </c>
      <c r="Q1111" s="165">
        <f t="shared" si="2"/>
        <v>0</v>
      </c>
      <c r="R1111" s="167"/>
      <c r="S1111" s="167" t="s">
        <v>910</v>
      </c>
      <c r="T1111" s="168">
        <f t="shared" si="3"/>
        <v>1257259.99</v>
      </c>
      <c r="U1111" s="168">
        <f t="shared" si="4"/>
        <v>0</v>
      </c>
      <c r="V1111" s="168">
        <f t="shared" si="5"/>
        <v>0</v>
      </c>
      <c r="W1111" s="168">
        <f t="shared" si="6"/>
        <v>0</v>
      </c>
      <c r="X1111" s="168">
        <f t="shared" si="7"/>
        <v>0</v>
      </c>
      <c r="Y1111" s="168">
        <f t="shared" si="8"/>
        <v>0</v>
      </c>
      <c r="Z1111" s="168">
        <f t="shared" si="9"/>
        <v>0</v>
      </c>
    </row>
    <row r="1112" ht="14.25" customHeight="1">
      <c r="A1112" s="157" t="s">
        <v>1018</v>
      </c>
      <c r="B1112" s="158" t="s">
        <v>43</v>
      </c>
      <c r="C1112" s="158" t="s">
        <v>1015</v>
      </c>
      <c r="D1112" s="159">
        <v>43726.0</v>
      </c>
      <c r="E1112" s="157" t="s">
        <v>731</v>
      </c>
      <c r="F1112" s="160">
        <v>391523.62</v>
      </c>
      <c r="G1112" s="160">
        <v>62643.78</v>
      </c>
      <c r="H1112" s="160">
        <f t="shared" si="42"/>
        <v>454167.4</v>
      </c>
      <c r="I1112" s="160"/>
      <c r="J1112" s="161"/>
      <c r="K1112" s="160"/>
      <c r="L1112" s="160">
        <f>+'FACP$'!$H1112-'FACP$'!$I1112-'FACP$'!$K1112</f>
        <v>454167.4</v>
      </c>
      <c r="M1112" s="162" t="s">
        <v>43</v>
      </c>
      <c r="N1112" s="162" t="s">
        <v>554</v>
      </c>
      <c r="O1112" s="175">
        <v>43760.0</v>
      </c>
      <c r="P1112" s="164">
        <f t="shared" si="13"/>
        <v>43736</v>
      </c>
      <c r="Q1112" s="165">
        <f t="shared" si="2"/>
        <v>0</v>
      </c>
      <c r="R1112" s="167"/>
      <c r="S1112" s="167" t="s">
        <v>910</v>
      </c>
      <c r="T1112" s="168">
        <f t="shared" si="3"/>
        <v>454167.4</v>
      </c>
      <c r="U1112" s="168">
        <f t="shared" si="4"/>
        <v>0</v>
      </c>
      <c r="V1112" s="168">
        <f t="shared" si="5"/>
        <v>0</v>
      </c>
      <c r="W1112" s="168">
        <f t="shared" si="6"/>
        <v>0</v>
      </c>
      <c r="X1112" s="168">
        <f t="shared" si="7"/>
        <v>0</v>
      </c>
      <c r="Y1112" s="168">
        <f t="shared" si="8"/>
        <v>0</v>
      </c>
      <c r="Z1112" s="168">
        <f t="shared" si="9"/>
        <v>0</v>
      </c>
    </row>
    <row r="1113" ht="14.25" customHeight="1">
      <c r="A1113" s="157" t="s">
        <v>1019</v>
      </c>
      <c r="B1113" s="158" t="s">
        <v>41</v>
      </c>
      <c r="C1113" s="158" t="s">
        <v>1015</v>
      </c>
      <c r="D1113" s="159">
        <v>43728.0</v>
      </c>
      <c r="E1113" s="157" t="s">
        <v>731</v>
      </c>
      <c r="F1113" s="160">
        <v>263673.28</v>
      </c>
      <c r="G1113" s="160">
        <v>42187.72</v>
      </c>
      <c r="H1113" s="160">
        <f t="shared" si="42"/>
        <v>305861</v>
      </c>
      <c r="I1113" s="160"/>
      <c r="J1113" s="161"/>
      <c r="K1113" s="160"/>
      <c r="L1113" s="160">
        <f>+'FACP$'!$H1113-'FACP$'!$I1113-'FACP$'!$K1113</f>
        <v>305861</v>
      </c>
      <c r="M1113" s="162" t="s">
        <v>121</v>
      </c>
      <c r="N1113" s="162" t="s">
        <v>554</v>
      </c>
      <c r="O1113" s="175">
        <v>43603.0</v>
      </c>
      <c r="P1113" s="164">
        <f t="shared" si="13"/>
        <v>43738</v>
      </c>
      <c r="Q1113" s="165">
        <f t="shared" si="2"/>
        <v>0</v>
      </c>
      <c r="R1113" s="167"/>
      <c r="S1113" s="167"/>
      <c r="T1113" s="168">
        <f t="shared" si="3"/>
        <v>305861</v>
      </c>
      <c r="U1113" s="168">
        <f t="shared" si="4"/>
        <v>0</v>
      </c>
      <c r="V1113" s="168">
        <f t="shared" si="5"/>
        <v>0</v>
      </c>
      <c r="W1113" s="168">
        <f t="shared" si="6"/>
        <v>0</v>
      </c>
      <c r="X1113" s="168">
        <f t="shared" si="7"/>
        <v>0</v>
      </c>
      <c r="Y1113" s="168">
        <f t="shared" si="8"/>
        <v>0</v>
      </c>
      <c r="Z1113" s="168">
        <f t="shared" si="9"/>
        <v>0</v>
      </c>
    </row>
    <row r="1114" ht="14.25" customHeight="1">
      <c r="A1114" s="157" t="s">
        <v>1020</v>
      </c>
      <c r="B1114" s="158" t="s">
        <v>30</v>
      </c>
      <c r="C1114" s="158" t="s">
        <v>1015</v>
      </c>
      <c r="D1114" s="159">
        <v>43728.0</v>
      </c>
      <c r="E1114" s="157" t="s">
        <v>731</v>
      </c>
      <c r="F1114" s="160">
        <v>142663.14</v>
      </c>
      <c r="G1114" s="160">
        <v>22826.1</v>
      </c>
      <c r="H1114" s="160">
        <f t="shared" si="42"/>
        <v>165489.24</v>
      </c>
      <c r="I1114" s="160"/>
      <c r="J1114" s="161"/>
      <c r="K1114" s="160"/>
      <c r="L1114" s="160">
        <f>+'FACP$'!$H1114-'FACP$'!$I1114-'FACP$'!$K1114</f>
        <v>165489.24</v>
      </c>
      <c r="M1114" s="162" t="s">
        <v>891</v>
      </c>
      <c r="N1114" s="162" t="s">
        <v>554</v>
      </c>
      <c r="O1114" s="175">
        <v>43756.0</v>
      </c>
      <c r="P1114" s="164">
        <f t="shared" si="13"/>
        <v>43738</v>
      </c>
      <c r="Q1114" s="165">
        <f t="shared" si="2"/>
        <v>0</v>
      </c>
      <c r="R1114" s="167"/>
      <c r="S1114" s="223" t="s">
        <v>910</v>
      </c>
      <c r="T1114" s="168">
        <f t="shared" si="3"/>
        <v>165489.24</v>
      </c>
      <c r="U1114" s="168">
        <f t="shared" si="4"/>
        <v>0</v>
      </c>
      <c r="V1114" s="168">
        <f t="shared" si="5"/>
        <v>0</v>
      </c>
      <c r="W1114" s="168">
        <f t="shared" si="6"/>
        <v>0</v>
      </c>
      <c r="X1114" s="168">
        <f t="shared" si="7"/>
        <v>0</v>
      </c>
      <c r="Y1114" s="168">
        <f t="shared" si="8"/>
        <v>0</v>
      </c>
      <c r="Z1114" s="168">
        <f t="shared" si="9"/>
        <v>0</v>
      </c>
    </row>
    <row r="1115" ht="14.25" customHeight="1">
      <c r="A1115" s="157" t="s">
        <v>1021</v>
      </c>
      <c r="B1115" s="158" t="s">
        <v>16</v>
      </c>
      <c r="C1115" s="158" t="s">
        <v>1015</v>
      </c>
      <c r="D1115" s="159">
        <v>43728.0</v>
      </c>
      <c r="E1115" s="157" t="s">
        <v>731</v>
      </c>
      <c r="F1115" s="160">
        <v>126300.24</v>
      </c>
      <c r="G1115" s="160">
        <v>20208.04</v>
      </c>
      <c r="H1115" s="160">
        <f t="shared" si="42"/>
        <v>146508.28</v>
      </c>
      <c r="I1115" s="160"/>
      <c r="J1115" s="161"/>
      <c r="K1115" s="160"/>
      <c r="L1115" s="160">
        <f>+'FACP$'!$H1115-'FACP$'!$I1115-'FACP$'!$K1115</f>
        <v>146508.28</v>
      </c>
      <c r="M1115" s="162" t="s">
        <v>985</v>
      </c>
      <c r="N1115" s="162" t="s">
        <v>554</v>
      </c>
      <c r="O1115" s="175">
        <v>43735.0</v>
      </c>
      <c r="P1115" s="164">
        <f t="shared" si="13"/>
        <v>43738</v>
      </c>
      <c r="Q1115" s="165">
        <f t="shared" si="2"/>
        <v>0</v>
      </c>
      <c r="R1115" s="167" t="s">
        <v>1022</v>
      </c>
      <c r="S1115" s="167"/>
      <c r="T1115" s="168">
        <f t="shared" si="3"/>
        <v>146508.28</v>
      </c>
      <c r="U1115" s="168">
        <f t="shared" si="4"/>
        <v>0</v>
      </c>
      <c r="V1115" s="168">
        <f t="shared" si="5"/>
        <v>0</v>
      </c>
      <c r="W1115" s="168">
        <f t="shared" si="6"/>
        <v>0</v>
      </c>
      <c r="X1115" s="168">
        <f t="shared" si="7"/>
        <v>0</v>
      </c>
      <c r="Y1115" s="168">
        <f t="shared" si="8"/>
        <v>0</v>
      </c>
      <c r="Z1115" s="168">
        <f t="shared" si="9"/>
        <v>0</v>
      </c>
    </row>
    <row r="1116" ht="14.25" customHeight="1">
      <c r="A1116" s="157" t="s">
        <v>1023</v>
      </c>
      <c r="B1116" s="158" t="s">
        <v>16</v>
      </c>
      <c r="C1116" s="158" t="s">
        <v>1024</v>
      </c>
      <c r="D1116" s="159">
        <v>43728.0</v>
      </c>
      <c r="E1116" s="157" t="s">
        <v>731</v>
      </c>
      <c r="F1116" s="160">
        <v>180999.21</v>
      </c>
      <c r="G1116" s="160">
        <v>28959.87</v>
      </c>
      <c r="H1116" s="160">
        <f t="shared" si="42"/>
        <v>209959.08</v>
      </c>
      <c r="I1116" s="160"/>
      <c r="J1116" s="161"/>
      <c r="K1116" s="160"/>
      <c r="L1116" s="160">
        <f>+'FACP$'!$H1116-'FACP$'!$I1116-'FACP$'!$K1116</f>
        <v>209959.08</v>
      </c>
      <c r="M1116" s="162" t="s">
        <v>985</v>
      </c>
      <c r="N1116" s="162" t="s">
        <v>554</v>
      </c>
      <c r="O1116" s="175">
        <v>43735.0</v>
      </c>
      <c r="P1116" s="164">
        <f t="shared" si="13"/>
        <v>43738</v>
      </c>
      <c r="Q1116" s="165">
        <f t="shared" si="2"/>
        <v>0</v>
      </c>
      <c r="R1116" s="167" t="s">
        <v>1025</v>
      </c>
      <c r="S1116" s="167"/>
      <c r="T1116" s="168">
        <f t="shared" si="3"/>
        <v>209959.08</v>
      </c>
      <c r="U1116" s="168">
        <f t="shared" si="4"/>
        <v>0</v>
      </c>
      <c r="V1116" s="168">
        <f t="shared" si="5"/>
        <v>0</v>
      </c>
      <c r="W1116" s="168">
        <f t="shared" si="6"/>
        <v>0</v>
      </c>
      <c r="X1116" s="168">
        <f t="shared" si="7"/>
        <v>0</v>
      </c>
      <c r="Y1116" s="168">
        <f t="shared" si="8"/>
        <v>0</v>
      </c>
      <c r="Z1116" s="168">
        <f t="shared" si="9"/>
        <v>0</v>
      </c>
    </row>
    <row r="1117" ht="14.25" customHeight="1">
      <c r="A1117" s="157" t="s">
        <v>1026</v>
      </c>
      <c r="B1117" s="158" t="s">
        <v>18</v>
      </c>
      <c r="C1117" s="158" t="s">
        <v>1015</v>
      </c>
      <c r="D1117" s="159">
        <v>43728.0</v>
      </c>
      <c r="E1117" s="157" t="s">
        <v>731</v>
      </c>
      <c r="F1117" s="160">
        <v>30297.68</v>
      </c>
      <c r="G1117" s="160">
        <v>4847.63</v>
      </c>
      <c r="H1117" s="160">
        <f t="shared" si="42"/>
        <v>35145.31</v>
      </c>
      <c r="I1117" s="160"/>
      <c r="J1117" s="161"/>
      <c r="K1117" s="160"/>
      <c r="L1117" s="160">
        <f>+'FACP$'!$H1117-'FACP$'!$I1117-'FACP$'!$K1117</f>
        <v>35145.31</v>
      </c>
      <c r="M1117" s="162" t="s">
        <v>586</v>
      </c>
      <c r="N1117" s="162" t="s">
        <v>554</v>
      </c>
      <c r="O1117" s="175">
        <v>43777.0</v>
      </c>
      <c r="P1117" s="164">
        <f t="shared" si="13"/>
        <v>43738</v>
      </c>
      <c r="Q1117" s="165">
        <f t="shared" si="2"/>
        <v>0</v>
      </c>
      <c r="R1117" s="167"/>
      <c r="S1117" s="167" t="s">
        <v>910</v>
      </c>
      <c r="T1117" s="168">
        <f t="shared" si="3"/>
        <v>35145.31</v>
      </c>
      <c r="U1117" s="168">
        <f t="shared" si="4"/>
        <v>0</v>
      </c>
      <c r="V1117" s="168">
        <f t="shared" si="5"/>
        <v>0</v>
      </c>
      <c r="W1117" s="168">
        <f t="shared" si="6"/>
        <v>0</v>
      </c>
      <c r="X1117" s="168">
        <f t="shared" si="7"/>
        <v>0</v>
      </c>
      <c r="Y1117" s="168">
        <f t="shared" si="8"/>
        <v>0</v>
      </c>
      <c r="Z1117" s="168">
        <f t="shared" si="9"/>
        <v>0</v>
      </c>
    </row>
    <row r="1118" ht="14.25" customHeight="1">
      <c r="A1118" s="157" t="s">
        <v>1027</v>
      </c>
      <c r="B1118" s="158" t="s">
        <v>37</v>
      </c>
      <c r="C1118" s="158" t="s">
        <v>1015</v>
      </c>
      <c r="D1118" s="159">
        <v>43728.0</v>
      </c>
      <c r="E1118" s="157" t="s">
        <v>731</v>
      </c>
      <c r="F1118" s="160">
        <v>469450.08</v>
      </c>
      <c r="G1118" s="160">
        <v>75112.01</v>
      </c>
      <c r="H1118" s="160">
        <f t="shared" si="42"/>
        <v>544562.09</v>
      </c>
      <c r="I1118" s="160"/>
      <c r="J1118" s="161"/>
      <c r="K1118" s="160"/>
      <c r="L1118" s="160">
        <f>+'FACP$'!$H1118-'FACP$'!$I1118-'FACP$'!$K1118</f>
        <v>544562.09</v>
      </c>
      <c r="M1118" s="162" t="s">
        <v>116</v>
      </c>
      <c r="N1118" s="162" t="s">
        <v>554</v>
      </c>
      <c r="O1118" s="175">
        <v>43740.0</v>
      </c>
      <c r="P1118" s="164">
        <f t="shared" si="13"/>
        <v>43738</v>
      </c>
      <c r="Q1118" s="165">
        <f t="shared" si="2"/>
        <v>0</v>
      </c>
      <c r="R1118" s="167"/>
      <c r="S1118" s="167"/>
      <c r="T1118" s="168">
        <f t="shared" si="3"/>
        <v>544562.09</v>
      </c>
      <c r="U1118" s="168">
        <f t="shared" si="4"/>
        <v>0</v>
      </c>
      <c r="V1118" s="168">
        <f t="shared" si="5"/>
        <v>0</v>
      </c>
      <c r="W1118" s="168">
        <f t="shared" si="6"/>
        <v>0</v>
      </c>
      <c r="X1118" s="168">
        <f t="shared" si="7"/>
        <v>0</v>
      </c>
      <c r="Y1118" s="168">
        <f t="shared" si="8"/>
        <v>0</v>
      </c>
      <c r="Z1118" s="168">
        <f t="shared" si="9"/>
        <v>0</v>
      </c>
    </row>
    <row r="1119" ht="14.25" customHeight="1">
      <c r="A1119" s="157" t="s">
        <v>1028</v>
      </c>
      <c r="B1119" s="158" t="s">
        <v>127</v>
      </c>
      <c r="C1119" s="158"/>
      <c r="D1119" s="159"/>
      <c r="E1119" s="157"/>
      <c r="F1119" s="160"/>
      <c r="G1119" s="160"/>
      <c r="H1119" s="160">
        <f t="shared" si="42"/>
        <v>0</v>
      </c>
      <c r="I1119" s="160"/>
      <c r="J1119" s="161"/>
      <c r="K1119" s="160"/>
      <c r="L1119" s="160">
        <f>+'FACP$'!$H1119-'FACP$'!$I1119-'FACP$'!$K1119</f>
        <v>0</v>
      </c>
      <c r="M1119" s="162"/>
      <c r="N1119" s="162" t="s">
        <v>127</v>
      </c>
      <c r="O1119" s="175"/>
      <c r="P1119" s="164">
        <f t="shared" si="13"/>
        <v>10</v>
      </c>
      <c r="Q1119" s="165">
        <f t="shared" si="2"/>
        <v>0</v>
      </c>
      <c r="R1119" s="167"/>
      <c r="S1119" s="167"/>
      <c r="T1119" s="168">
        <f t="shared" si="3"/>
        <v>0</v>
      </c>
      <c r="U1119" s="168">
        <f t="shared" si="4"/>
        <v>0</v>
      </c>
      <c r="V1119" s="168">
        <f t="shared" si="5"/>
        <v>0</v>
      </c>
      <c r="W1119" s="168">
        <f t="shared" si="6"/>
        <v>0</v>
      </c>
      <c r="X1119" s="168">
        <f t="shared" si="7"/>
        <v>0</v>
      </c>
      <c r="Y1119" s="168">
        <f t="shared" si="8"/>
        <v>0</v>
      </c>
      <c r="Z1119" s="168">
        <f t="shared" si="9"/>
        <v>0</v>
      </c>
    </row>
    <row r="1120" ht="14.25" customHeight="1">
      <c r="A1120" s="157" t="s">
        <v>1029</v>
      </c>
      <c r="B1120" s="158" t="s">
        <v>29</v>
      </c>
      <c r="C1120" s="158" t="s">
        <v>1015</v>
      </c>
      <c r="D1120" s="159">
        <v>43728.0</v>
      </c>
      <c r="E1120" s="157" t="s">
        <v>731</v>
      </c>
      <c r="F1120" s="160">
        <v>206733.48</v>
      </c>
      <c r="G1120" s="160">
        <v>33077.36</v>
      </c>
      <c r="H1120" s="160">
        <f t="shared" si="42"/>
        <v>239810.84</v>
      </c>
      <c r="I1120" s="160"/>
      <c r="J1120" s="161"/>
      <c r="K1120" s="160"/>
      <c r="L1120" s="160">
        <f>+'FACP$'!$H1120-'FACP$'!$I1120-'FACP$'!$K1120</f>
        <v>239810.84</v>
      </c>
      <c r="M1120" s="162" t="s">
        <v>130</v>
      </c>
      <c r="N1120" s="162" t="s">
        <v>554</v>
      </c>
      <c r="O1120" s="175">
        <v>43741.0</v>
      </c>
      <c r="P1120" s="164">
        <f t="shared" si="13"/>
        <v>43738</v>
      </c>
      <c r="Q1120" s="165">
        <f t="shared" si="2"/>
        <v>0</v>
      </c>
      <c r="R1120" s="167"/>
      <c r="S1120" s="167"/>
      <c r="T1120" s="168">
        <f t="shared" si="3"/>
        <v>239810.84</v>
      </c>
      <c r="U1120" s="168">
        <f t="shared" si="4"/>
        <v>0</v>
      </c>
      <c r="V1120" s="168">
        <f t="shared" si="5"/>
        <v>0</v>
      </c>
      <c r="W1120" s="168">
        <f t="shared" si="6"/>
        <v>0</v>
      </c>
      <c r="X1120" s="168">
        <f t="shared" si="7"/>
        <v>0</v>
      </c>
      <c r="Y1120" s="168">
        <f t="shared" si="8"/>
        <v>0</v>
      </c>
      <c r="Z1120" s="168">
        <f t="shared" si="9"/>
        <v>0</v>
      </c>
    </row>
    <row r="1121" ht="14.25" customHeight="1">
      <c r="A1121" s="157" t="s">
        <v>1030</v>
      </c>
      <c r="B1121" s="158" t="s">
        <v>29</v>
      </c>
      <c r="C1121" s="158" t="s">
        <v>1024</v>
      </c>
      <c r="D1121" s="159">
        <v>43728.0</v>
      </c>
      <c r="E1121" s="157" t="s">
        <v>731</v>
      </c>
      <c r="F1121" s="160">
        <v>188201.15</v>
      </c>
      <c r="G1121" s="160">
        <v>30112.18</v>
      </c>
      <c r="H1121" s="160">
        <f t="shared" si="42"/>
        <v>218313.33</v>
      </c>
      <c r="I1121" s="160"/>
      <c r="J1121" s="161"/>
      <c r="K1121" s="160"/>
      <c r="L1121" s="160">
        <f>+'FACP$'!$H1121-'FACP$'!$I1121-'FACP$'!$K1121</f>
        <v>218313.33</v>
      </c>
      <c r="M1121" s="162" t="s">
        <v>130</v>
      </c>
      <c r="N1121" s="162" t="s">
        <v>554</v>
      </c>
      <c r="O1121" s="175">
        <v>43741.0</v>
      </c>
      <c r="P1121" s="164">
        <f t="shared" si="13"/>
        <v>43738</v>
      </c>
      <c r="Q1121" s="165">
        <f t="shared" si="2"/>
        <v>0</v>
      </c>
      <c r="R1121" s="167"/>
      <c r="S1121" s="167"/>
      <c r="T1121" s="168">
        <f t="shared" si="3"/>
        <v>218313.33</v>
      </c>
      <c r="U1121" s="168">
        <f t="shared" si="4"/>
        <v>0</v>
      </c>
      <c r="V1121" s="168">
        <f t="shared" si="5"/>
        <v>0</v>
      </c>
      <c r="W1121" s="168">
        <f t="shared" si="6"/>
        <v>0</v>
      </c>
      <c r="X1121" s="168">
        <f t="shared" si="7"/>
        <v>0</v>
      </c>
      <c r="Y1121" s="168">
        <f t="shared" si="8"/>
        <v>0</v>
      </c>
      <c r="Z1121" s="168">
        <f t="shared" si="9"/>
        <v>0</v>
      </c>
    </row>
    <row r="1122" ht="14.25" customHeight="1">
      <c r="A1122" s="157" t="s">
        <v>1031</v>
      </c>
      <c r="B1122" s="158" t="s">
        <v>127</v>
      </c>
      <c r="C1122" s="158"/>
      <c r="D1122" s="159"/>
      <c r="E1122" s="157"/>
      <c r="F1122" s="160"/>
      <c r="G1122" s="160"/>
      <c r="H1122" s="160">
        <f t="shared" si="42"/>
        <v>0</v>
      </c>
      <c r="I1122" s="160"/>
      <c r="J1122" s="161"/>
      <c r="K1122" s="160"/>
      <c r="L1122" s="160">
        <f>+'FACP$'!$H1122-'FACP$'!$I1122-'FACP$'!$K1122</f>
        <v>0</v>
      </c>
      <c r="M1122" s="162"/>
      <c r="N1122" s="162" t="s">
        <v>127</v>
      </c>
      <c r="O1122" s="175"/>
      <c r="P1122" s="164">
        <f t="shared" si="13"/>
        <v>10</v>
      </c>
      <c r="Q1122" s="165">
        <f t="shared" si="2"/>
        <v>0</v>
      </c>
      <c r="R1122" s="167"/>
      <c r="S1122" s="167"/>
      <c r="T1122" s="168">
        <f t="shared" si="3"/>
        <v>0</v>
      </c>
      <c r="U1122" s="168">
        <f t="shared" si="4"/>
        <v>0</v>
      </c>
      <c r="V1122" s="168">
        <f t="shared" si="5"/>
        <v>0</v>
      </c>
      <c r="W1122" s="168">
        <f t="shared" si="6"/>
        <v>0</v>
      </c>
      <c r="X1122" s="168">
        <f t="shared" si="7"/>
        <v>0</v>
      </c>
      <c r="Y1122" s="168">
        <f t="shared" si="8"/>
        <v>0</v>
      </c>
      <c r="Z1122" s="168">
        <f t="shared" si="9"/>
        <v>0</v>
      </c>
    </row>
    <row r="1123" ht="14.25" customHeight="1">
      <c r="A1123" s="157" t="s">
        <v>1032</v>
      </c>
      <c r="B1123" s="158" t="s">
        <v>127</v>
      </c>
      <c r="C1123" s="158"/>
      <c r="D1123" s="159"/>
      <c r="E1123" s="157"/>
      <c r="F1123" s="160"/>
      <c r="G1123" s="160"/>
      <c r="H1123" s="160">
        <f t="shared" si="42"/>
        <v>0</v>
      </c>
      <c r="I1123" s="160"/>
      <c r="J1123" s="161"/>
      <c r="K1123" s="160"/>
      <c r="L1123" s="160">
        <f>+'FACP$'!$H1123-'FACP$'!$I1123-'FACP$'!$K1123</f>
        <v>0</v>
      </c>
      <c r="M1123" s="162"/>
      <c r="N1123" s="162" t="s">
        <v>127</v>
      </c>
      <c r="O1123" s="175"/>
      <c r="P1123" s="164">
        <f t="shared" si="13"/>
        <v>10</v>
      </c>
      <c r="Q1123" s="165">
        <f t="shared" si="2"/>
        <v>0</v>
      </c>
      <c r="R1123" s="167"/>
      <c r="S1123" s="167"/>
      <c r="T1123" s="168">
        <f t="shared" si="3"/>
        <v>0</v>
      </c>
      <c r="U1123" s="168">
        <f t="shared" si="4"/>
        <v>0</v>
      </c>
      <c r="V1123" s="168">
        <f t="shared" si="5"/>
        <v>0</v>
      </c>
      <c r="W1123" s="168">
        <f t="shared" si="6"/>
        <v>0</v>
      </c>
      <c r="X1123" s="168">
        <f t="shared" si="7"/>
        <v>0</v>
      </c>
      <c r="Y1123" s="168">
        <f t="shared" si="8"/>
        <v>0</v>
      </c>
      <c r="Z1123" s="168">
        <f t="shared" si="9"/>
        <v>0</v>
      </c>
    </row>
    <row r="1124" ht="14.25" customHeight="1">
      <c r="A1124" s="157" t="s">
        <v>1033</v>
      </c>
      <c r="B1124" s="158" t="s">
        <v>127</v>
      </c>
      <c r="C1124" s="158"/>
      <c r="D1124" s="159"/>
      <c r="E1124" s="157"/>
      <c r="F1124" s="160"/>
      <c r="G1124" s="160"/>
      <c r="H1124" s="160">
        <f t="shared" si="42"/>
        <v>0</v>
      </c>
      <c r="I1124" s="160"/>
      <c r="J1124" s="161"/>
      <c r="K1124" s="160"/>
      <c r="L1124" s="160">
        <f>+'FACP$'!$H1124-'FACP$'!$I1124-'FACP$'!$K1124</f>
        <v>0</v>
      </c>
      <c r="M1124" s="162"/>
      <c r="N1124" s="162" t="s">
        <v>127</v>
      </c>
      <c r="O1124" s="175"/>
      <c r="P1124" s="164">
        <f t="shared" si="13"/>
        <v>10</v>
      </c>
      <c r="Q1124" s="165">
        <f t="shared" si="2"/>
        <v>0</v>
      </c>
      <c r="R1124" s="167"/>
      <c r="S1124" s="167"/>
      <c r="T1124" s="168">
        <f t="shared" si="3"/>
        <v>0</v>
      </c>
      <c r="U1124" s="168">
        <f t="shared" si="4"/>
        <v>0</v>
      </c>
      <c r="V1124" s="168">
        <f t="shared" si="5"/>
        <v>0</v>
      </c>
      <c r="W1124" s="168">
        <f t="shared" si="6"/>
        <v>0</v>
      </c>
      <c r="X1124" s="168">
        <f t="shared" si="7"/>
        <v>0</v>
      </c>
      <c r="Y1124" s="168">
        <f t="shared" si="8"/>
        <v>0</v>
      </c>
      <c r="Z1124" s="168">
        <f t="shared" si="9"/>
        <v>0</v>
      </c>
    </row>
    <row r="1125" ht="14.25" customHeight="1">
      <c r="A1125" s="157" t="s">
        <v>1034</v>
      </c>
      <c r="B1125" s="158" t="s">
        <v>37</v>
      </c>
      <c r="C1125" s="158" t="s">
        <v>1035</v>
      </c>
      <c r="D1125" s="159">
        <v>43734.0</v>
      </c>
      <c r="E1125" s="157" t="s">
        <v>731</v>
      </c>
      <c r="F1125" s="160">
        <v>167954.14</v>
      </c>
      <c r="G1125" s="160">
        <v>26872.66</v>
      </c>
      <c r="H1125" s="160">
        <f t="shared" si="42"/>
        <v>194826.8</v>
      </c>
      <c r="I1125" s="160"/>
      <c r="J1125" s="161"/>
      <c r="K1125" s="160"/>
      <c r="L1125" s="160">
        <f>+'FACP$'!$H1125-'FACP$'!$I1125-'FACP$'!$K1125</f>
        <v>194826.8</v>
      </c>
      <c r="M1125" s="162" t="s">
        <v>116</v>
      </c>
      <c r="N1125" s="162" t="s">
        <v>554</v>
      </c>
      <c r="O1125" s="175">
        <v>43752.0</v>
      </c>
      <c r="P1125" s="164">
        <f t="shared" si="13"/>
        <v>43744</v>
      </c>
      <c r="Q1125" s="165">
        <f t="shared" si="2"/>
        <v>0</v>
      </c>
      <c r="R1125" s="167"/>
      <c r="S1125" s="167" t="s">
        <v>910</v>
      </c>
      <c r="T1125" s="168">
        <f t="shared" si="3"/>
        <v>194826.8</v>
      </c>
      <c r="U1125" s="168">
        <f t="shared" si="4"/>
        <v>0</v>
      </c>
      <c r="V1125" s="168">
        <f t="shared" si="5"/>
        <v>0</v>
      </c>
      <c r="W1125" s="168">
        <f t="shared" si="6"/>
        <v>0</v>
      </c>
      <c r="X1125" s="168">
        <f t="shared" si="7"/>
        <v>0</v>
      </c>
      <c r="Y1125" s="168">
        <f t="shared" si="8"/>
        <v>0</v>
      </c>
      <c r="Z1125" s="168">
        <f t="shared" si="9"/>
        <v>0</v>
      </c>
    </row>
    <row r="1126" ht="14.25" customHeight="1">
      <c r="A1126" s="157" t="s">
        <v>1036</v>
      </c>
      <c r="B1126" s="158" t="s">
        <v>16</v>
      </c>
      <c r="C1126" s="158"/>
      <c r="D1126" s="159"/>
      <c r="E1126" s="157"/>
      <c r="F1126" s="160"/>
      <c r="G1126" s="160"/>
      <c r="H1126" s="160">
        <f t="shared" si="42"/>
        <v>0</v>
      </c>
      <c r="I1126" s="160"/>
      <c r="J1126" s="161"/>
      <c r="K1126" s="160"/>
      <c r="L1126" s="160">
        <f>+'FACP$'!$H1126-'FACP$'!$I1126-'FACP$'!$K1126</f>
        <v>0</v>
      </c>
      <c r="M1126" s="162"/>
      <c r="N1126" s="162" t="s">
        <v>127</v>
      </c>
      <c r="O1126" s="175"/>
      <c r="P1126" s="164">
        <f t="shared" si="13"/>
        <v>10</v>
      </c>
      <c r="Q1126" s="165">
        <f t="shared" si="2"/>
        <v>0</v>
      </c>
      <c r="R1126" s="167"/>
      <c r="S1126" s="167"/>
      <c r="T1126" s="168">
        <f t="shared" si="3"/>
        <v>0</v>
      </c>
      <c r="U1126" s="168">
        <f t="shared" si="4"/>
        <v>0</v>
      </c>
      <c r="V1126" s="168">
        <f t="shared" si="5"/>
        <v>0</v>
      </c>
      <c r="W1126" s="168">
        <f t="shared" si="6"/>
        <v>0</v>
      </c>
      <c r="X1126" s="168">
        <f t="shared" si="7"/>
        <v>0</v>
      </c>
      <c r="Y1126" s="168">
        <f t="shared" si="8"/>
        <v>0</v>
      </c>
      <c r="Z1126" s="168">
        <f t="shared" si="9"/>
        <v>0</v>
      </c>
    </row>
    <row r="1127" ht="14.25" customHeight="1">
      <c r="A1127" s="157" t="s">
        <v>1037</v>
      </c>
      <c r="B1127" s="158" t="s">
        <v>29</v>
      </c>
      <c r="C1127" s="158"/>
      <c r="D1127" s="159"/>
      <c r="E1127" s="157"/>
      <c r="F1127" s="160"/>
      <c r="G1127" s="160"/>
      <c r="H1127" s="160">
        <f t="shared" si="42"/>
        <v>0</v>
      </c>
      <c r="I1127" s="160"/>
      <c r="J1127" s="161"/>
      <c r="K1127" s="160"/>
      <c r="L1127" s="160">
        <f>+'FACP$'!$H1127-'FACP$'!$I1127-'FACP$'!$K1127</f>
        <v>0</v>
      </c>
      <c r="M1127" s="162"/>
      <c r="N1127" s="162" t="s">
        <v>127</v>
      </c>
      <c r="O1127" s="175"/>
      <c r="P1127" s="164">
        <f t="shared" si="13"/>
        <v>10</v>
      </c>
      <c r="Q1127" s="165">
        <f t="shared" si="2"/>
        <v>0</v>
      </c>
      <c r="R1127" s="167"/>
      <c r="S1127" s="167"/>
      <c r="T1127" s="168">
        <f t="shared" si="3"/>
        <v>0</v>
      </c>
      <c r="U1127" s="168">
        <f t="shared" si="4"/>
        <v>0</v>
      </c>
      <c r="V1127" s="168">
        <f t="shared" si="5"/>
        <v>0</v>
      </c>
      <c r="W1127" s="168">
        <f t="shared" si="6"/>
        <v>0</v>
      </c>
      <c r="X1127" s="168">
        <f t="shared" si="7"/>
        <v>0</v>
      </c>
      <c r="Y1127" s="168">
        <f t="shared" si="8"/>
        <v>0</v>
      </c>
      <c r="Z1127" s="168">
        <f t="shared" si="9"/>
        <v>0</v>
      </c>
    </row>
    <row r="1128" ht="14.25" customHeight="1">
      <c r="A1128" s="157" t="s">
        <v>1038</v>
      </c>
      <c r="B1128" s="158" t="s">
        <v>29</v>
      </c>
      <c r="C1128" s="158" t="s">
        <v>1035</v>
      </c>
      <c r="D1128" s="159">
        <v>43735.0</v>
      </c>
      <c r="E1128" s="157" t="s">
        <v>731</v>
      </c>
      <c r="F1128" s="160">
        <v>19556.64</v>
      </c>
      <c r="G1128" s="160">
        <v>3129.06</v>
      </c>
      <c r="H1128" s="160">
        <f t="shared" si="42"/>
        <v>22685.7</v>
      </c>
      <c r="I1128" s="160"/>
      <c r="J1128" s="161"/>
      <c r="K1128" s="160"/>
      <c r="L1128" s="160">
        <f>+'FACP$'!$H1128-'FACP$'!$I1128-'FACP$'!$K1128</f>
        <v>22685.7</v>
      </c>
      <c r="M1128" s="162" t="s">
        <v>130</v>
      </c>
      <c r="N1128" s="162" t="s">
        <v>554</v>
      </c>
      <c r="O1128" s="175">
        <v>43748.0</v>
      </c>
      <c r="P1128" s="164">
        <f t="shared" si="13"/>
        <v>43745</v>
      </c>
      <c r="Q1128" s="165">
        <f t="shared" si="2"/>
        <v>0</v>
      </c>
      <c r="R1128" s="167"/>
      <c r="S1128" s="167"/>
      <c r="T1128" s="168">
        <f t="shared" si="3"/>
        <v>22685.7</v>
      </c>
      <c r="U1128" s="168">
        <f t="shared" si="4"/>
        <v>0</v>
      </c>
      <c r="V1128" s="168">
        <f t="shared" si="5"/>
        <v>0</v>
      </c>
      <c r="W1128" s="168">
        <f t="shared" si="6"/>
        <v>0</v>
      </c>
      <c r="X1128" s="168">
        <f t="shared" si="7"/>
        <v>0</v>
      </c>
      <c r="Y1128" s="168">
        <f t="shared" si="8"/>
        <v>0</v>
      </c>
      <c r="Z1128" s="168">
        <f t="shared" si="9"/>
        <v>0</v>
      </c>
    </row>
    <row r="1129" ht="14.25" customHeight="1">
      <c r="A1129" s="157" t="s">
        <v>1039</v>
      </c>
      <c r="B1129" s="158" t="s">
        <v>30</v>
      </c>
      <c r="C1129" s="158"/>
      <c r="D1129" s="159"/>
      <c r="E1129" s="157"/>
      <c r="F1129" s="160"/>
      <c r="G1129" s="160"/>
      <c r="H1129" s="160">
        <f t="shared" si="42"/>
        <v>0</v>
      </c>
      <c r="I1129" s="160"/>
      <c r="J1129" s="161"/>
      <c r="K1129" s="160"/>
      <c r="L1129" s="160">
        <f>+'FACP$'!$H1129-'FACP$'!$I1129-'FACP$'!$K1129</f>
        <v>0</v>
      </c>
      <c r="M1129" s="162"/>
      <c r="N1129" s="162" t="s">
        <v>127</v>
      </c>
      <c r="O1129" s="175"/>
      <c r="P1129" s="164">
        <f t="shared" si="13"/>
        <v>10</v>
      </c>
      <c r="Q1129" s="165">
        <f t="shared" si="2"/>
        <v>0</v>
      </c>
      <c r="R1129" s="167"/>
      <c r="S1129" s="167"/>
      <c r="T1129" s="168">
        <f t="shared" si="3"/>
        <v>0</v>
      </c>
      <c r="U1129" s="168">
        <f t="shared" si="4"/>
        <v>0</v>
      </c>
      <c r="V1129" s="168">
        <f t="shared" si="5"/>
        <v>0</v>
      </c>
      <c r="W1129" s="168">
        <f t="shared" si="6"/>
        <v>0</v>
      </c>
      <c r="X1129" s="168">
        <f t="shared" si="7"/>
        <v>0</v>
      </c>
      <c r="Y1129" s="168">
        <f t="shared" si="8"/>
        <v>0</v>
      </c>
      <c r="Z1129" s="168">
        <f t="shared" si="9"/>
        <v>0</v>
      </c>
    </row>
    <row r="1130" ht="14.25" customHeight="1">
      <c r="A1130" s="157" t="s">
        <v>1040</v>
      </c>
      <c r="B1130" s="158" t="s">
        <v>29</v>
      </c>
      <c r="C1130" s="158" t="s">
        <v>1041</v>
      </c>
      <c r="D1130" s="159">
        <v>43740.0</v>
      </c>
      <c r="E1130" s="157" t="s">
        <v>731</v>
      </c>
      <c r="F1130" s="160">
        <v>222682.72</v>
      </c>
      <c r="G1130" s="160">
        <v>35629.24</v>
      </c>
      <c r="H1130" s="160">
        <f t="shared" si="42"/>
        <v>258311.96</v>
      </c>
      <c r="I1130" s="160"/>
      <c r="J1130" s="161"/>
      <c r="K1130" s="160"/>
      <c r="L1130" s="160">
        <f>+'FACP$'!$H1130-'FACP$'!$I1130-'FACP$'!$K1130</f>
        <v>258311.96</v>
      </c>
      <c r="M1130" s="162" t="s">
        <v>825</v>
      </c>
      <c r="N1130" s="162" t="s">
        <v>554</v>
      </c>
      <c r="O1130" s="175">
        <v>43748.0</v>
      </c>
      <c r="P1130" s="164">
        <f t="shared" si="13"/>
        <v>43750</v>
      </c>
      <c r="Q1130" s="165">
        <f t="shared" si="2"/>
        <v>0</v>
      </c>
      <c r="R1130" s="167"/>
      <c r="S1130" s="167"/>
      <c r="T1130" s="168">
        <f t="shared" si="3"/>
        <v>258311.96</v>
      </c>
      <c r="U1130" s="168">
        <f t="shared" si="4"/>
        <v>0</v>
      </c>
      <c r="V1130" s="168">
        <f t="shared" si="5"/>
        <v>0</v>
      </c>
      <c r="W1130" s="168">
        <f t="shared" si="6"/>
        <v>0</v>
      </c>
      <c r="X1130" s="168">
        <f t="shared" si="7"/>
        <v>0</v>
      </c>
      <c r="Y1130" s="168">
        <f t="shared" si="8"/>
        <v>0</v>
      </c>
      <c r="Z1130" s="168">
        <f t="shared" si="9"/>
        <v>0</v>
      </c>
    </row>
    <row r="1131" ht="14.25" customHeight="1">
      <c r="A1131" s="157" t="s">
        <v>1042</v>
      </c>
      <c r="B1131" s="158" t="s">
        <v>43</v>
      </c>
      <c r="C1131" s="158" t="s">
        <v>1041</v>
      </c>
      <c r="D1131" s="159">
        <v>43740.0</v>
      </c>
      <c r="E1131" s="157" t="s">
        <v>731</v>
      </c>
      <c r="F1131" s="160">
        <v>492809.24</v>
      </c>
      <c r="G1131" s="160">
        <v>78849.48</v>
      </c>
      <c r="H1131" s="160">
        <f t="shared" si="42"/>
        <v>571658.72</v>
      </c>
      <c r="I1131" s="160"/>
      <c r="J1131" s="161"/>
      <c r="K1131" s="160"/>
      <c r="L1131" s="160">
        <f>+'FACP$'!$H1131-'FACP$'!$I1131-'FACP$'!$K1131</f>
        <v>571658.72</v>
      </c>
      <c r="M1131" s="162" t="s">
        <v>43</v>
      </c>
      <c r="N1131" s="162" t="s">
        <v>127</v>
      </c>
      <c r="O1131" s="175"/>
      <c r="P1131" s="164">
        <f t="shared" si="13"/>
        <v>43750</v>
      </c>
      <c r="Q1131" s="165">
        <f t="shared" si="2"/>
        <v>0</v>
      </c>
      <c r="R1131" s="167"/>
      <c r="S1131" s="167"/>
      <c r="T1131" s="168">
        <f t="shared" si="3"/>
        <v>571658.72</v>
      </c>
      <c r="U1131" s="168">
        <f t="shared" si="4"/>
        <v>0</v>
      </c>
      <c r="V1131" s="168">
        <f t="shared" si="5"/>
        <v>0</v>
      </c>
      <c r="W1131" s="168">
        <f t="shared" si="6"/>
        <v>0</v>
      </c>
      <c r="X1131" s="168">
        <f t="shared" si="7"/>
        <v>0</v>
      </c>
      <c r="Y1131" s="168">
        <f t="shared" si="8"/>
        <v>0</v>
      </c>
      <c r="Z1131" s="168">
        <f t="shared" si="9"/>
        <v>0</v>
      </c>
    </row>
    <row r="1132" ht="14.25" customHeight="1">
      <c r="A1132" s="157" t="s">
        <v>1043</v>
      </c>
      <c r="B1132" s="158" t="s">
        <v>837</v>
      </c>
      <c r="C1132" s="158" t="s">
        <v>1044</v>
      </c>
      <c r="D1132" s="159">
        <v>43740.0</v>
      </c>
      <c r="E1132" s="157" t="s">
        <v>731</v>
      </c>
      <c r="F1132" s="160">
        <v>1351232.55</v>
      </c>
      <c r="G1132" s="160">
        <v>216197.21</v>
      </c>
      <c r="H1132" s="160">
        <f t="shared" si="42"/>
        <v>1567429.76</v>
      </c>
      <c r="I1132" s="160"/>
      <c r="J1132" s="161"/>
      <c r="K1132" s="160"/>
      <c r="L1132" s="160">
        <f>+'FACP$'!$H1132-'FACP$'!$I1132-'FACP$'!$K1132</f>
        <v>1567429.76</v>
      </c>
      <c r="M1132" s="162" t="s">
        <v>837</v>
      </c>
      <c r="N1132" s="162" t="s">
        <v>554</v>
      </c>
      <c r="O1132" s="175">
        <v>43741.0</v>
      </c>
      <c r="P1132" s="164">
        <f t="shared" si="13"/>
        <v>43750</v>
      </c>
      <c r="Q1132" s="165">
        <f t="shared" si="2"/>
        <v>0</v>
      </c>
      <c r="R1132" s="167"/>
      <c r="S1132" s="167" t="s">
        <v>910</v>
      </c>
      <c r="T1132" s="168">
        <f t="shared" si="3"/>
        <v>1567429.76</v>
      </c>
      <c r="U1132" s="168">
        <f t="shared" si="4"/>
        <v>0</v>
      </c>
      <c r="V1132" s="168">
        <f t="shared" si="5"/>
        <v>0</v>
      </c>
      <c r="W1132" s="168">
        <f t="shared" si="6"/>
        <v>0</v>
      </c>
      <c r="X1132" s="168">
        <f t="shared" si="7"/>
        <v>0</v>
      </c>
      <c r="Y1132" s="168">
        <f t="shared" si="8"/>
        <v>0</v>
      </c>
      <c r="Z1132" s="168">
        <f t="shared" si="9"/>
        <v>0</v>
      </c>
    </row>
    <row r="1133" ht="14.25" customHeight="1">
      <c r="A1133" s="157" t="s">
        <v>1045</v>
      </c>
      <c r="B1133" s="158" t="s">
        <v>36</v>
      </c>
      <c r="C1133" s="158" t="s">
        <v>1015</v>
      </c>
      <c r="D1133" s="159">
        <v>43740.0</v>
      </c>
      <c r="E1133" s="157" t="s">
        <v>731</v>
      </c>
      <c r="F1133" s="160">
        <v>94525.52</v>
      </c>
      <c r="G1133" s="160">
        <v>15124.08</v>
      </c>
      <c r="H1133" s="160">
        <f t="shared" si="42"/>
        <v>109649.6</v>
      </c>
      <c r="I1133" s="160"/>
      <c r="J1133" s="161"/>
      <c r="K1133" s="160"/>
      <c r="L1133" s="160">
        <f>+'FACP$'!$H1133-'FACP$'!$I1133-'FACP$'!$K1133</f>
        <v>109649.6</v>
      </c>
      <c r="M1133" s="162" t="s">
        <v>278</v>
      </c>
      <c r="N1133" s="162" t="s">
        <v>554</v>
      </c>
      <c r="O1133" s="175">
        <v>43928.0</v>
      </c>
      <c r="P1133" s="164">
        <f t="shared" si="13"/>
        <v>43750</v>
      </c>
      <c r="Q1133" s="165">
        <f t="shared" si="2"/>
        <v>0</v>
      </c>
      <c r="R1133" s="167" t="s">
        <v>1046</v>
      </c>
      <c r="S1133" s="220" t="s">
        <v>910</v>
      </c>
      <c r="T1133" s="168">
        <f t="shared" si="3"/>
        <v>109649.6</v>
      </c>
      <c r="U1133" s="168">
        <f t="shared" si="4"/>
        <v>0</v>
      </c>
      <c r="V1133" s="168">
        <f t="shared" si="5"/>
        <v>0</v>
      </c>
      <c r="W1133" s="168">
        <f t="shared" si="6"/>
        <v>0</v>
      </c>
      <c r="X1133" s="168">
        <f t="shared" si="7"/>
        <v>0</v>
      </c>
      <c r="Y1133" s="168">
        <f t="shared" si="8"/>
        <v>0</v>
      </c>
      <c r="Z1133" s="168">
        <f t="shared" si="9"/>
        <v>0</v>
      </c>
    </row>
    <row r="1134" ht="14.25" customHeight="1">
      <c r="A1134" s="157" t="s">
        <v>1047</v>
      </c>
      <c r="B1134" s="158" t="s">
        <v>36</v>
      </c>
      <c r="C1134" s="158" t="s">
        <v>1041</v>
      </c>
      <c r="D1134" s="159">
        <v>43740.0</v>
      </c>
      <c r="E1134" s="157" t="s">
        <v>731</v>
      </c>
      <c r="F1134" s="160">
        <v>137939.22</v>
      </c>
      <c r="G1134" s="160">
        <v>22070.28</v>
      </c>
      <c r="H1134" s="160">
        <f t="shared" si="42"/>
        <v>160009.5</v>
      </c>
      <c r="I1134" s="160"/>
      <c r="J1134" s="161"/>
      <c r="K1134" s="160"/>
      <c r="L1134" s="160">
        <f>+'FACP$'!$H1134-'FACP$'!$I1134-'FACP$'!$K1134</f>
        <v>160009.5</v>
      </c>
      <c r="M1134" s="162" t="s">
        <v>278</v>
      </c>
      <c r="N1134" s="162" t="s">
        <v>554</v>
      </c>
      <c r="O1134" s="175">
        <v>43759.0</v>
      </c>
      <c r="P1134" s="164">
        <f t="shared" si="13"/>
        <v>43750</v>
      </c>
      <c r="Q1134" s="165">
        <f t="shared" si="2"/>
        <v>0</v>
      </c>
      <c r="R1134" s="167"/>
      <c r="S1134" s="220" t="s">
        <v>910</v>
      </c>
      <c r="T1134" s="168">
        <f t="shared" si="3"/>
        <v>160009.5</v>
      </c>
      <c r="U1134" s="168">
        <f t="shared" si="4"/>
        <v>0</v>
      </c>
      <c r="V1134" s="168">
        <f t="shared" si="5"/>
        <v>0</v>
      </c>
      <c r="W1134" s="168">
        <f t="shared" si="6"/>
        <v>0</v>
      </c>
      <c r="X1134" s="168">
        <f t="shared" si="7"/>
        <v>0</v>
      </c>
      <c r="Y1134" s="168">
        <f t="shared" si="8"/>
        <v>0</v>
      </c>
      <c r="Z1134" s="168">
        <f t="shared" si="9"/>
        <v>0</v>
      </c>
    </row>
    <row r="1135" ht="14.25" customHeight="1">
      <c r="A1135" s="157" t="s">
        <v>1048</v>
      </c>
      <c r="B1135" s="158" t="s">
        <v>30</v>
      </c>
      <c r="C1135" s="158" t="s">
        <v>1041</v>
      </c>
      <c r="D1135" s="159">
        <v>43740.0</v>
      </c>
      <c r="E1135" s="157" t="s">
        <v>731</v>
      </c>
      <c r="F1135" s="160">
        <v>146830.66</v>
      </c>
      <c r="G1135" s="160">
        <v>23492.91</v>
      </c>
      <c r="H1135" s="160">
        <f t="shared" si="42"/>
        <v>170323.57</v>
      </c>
      <c r="I1135" s="160"/>
      <c r="J1135" s="161"/>
      <c r="K1135" s="160"/>
      <c r="L1135" s="160">
        <f>+'FACP$'!$H1135-'FACP$'!$I1135-'FACP$'!$K1135</f>
        <v>170323.57</v>
      </c>
      <c r="M1135" s="162" t="s">
        <v>891</v>
      </c>
      <c r="N1135" s="162" t="s">
        <v>554</v>
      </c>
      <c r="O1135" s="175">
        <v>43789.0</v>
      </c>
      <c r="P1135" s="164">
        <f t="shared" si="13"/>
        <v>43750</v>
      </c>
      <c r="Q1135" s="165">
        <f t="shared" si="2"/>
        <v>0</v>
      </c>
      <c r="R1135" s="167"/>
      <c r="S1135" s="223" t="s">
        <v>910</v>
      </c>
      <c r="T1135" s="168">
        <f t="shared" si="3"/>
        <v>170323.57</v>
      </c>
      <c r="U1135" s="168">
        <f t="shared" si="4"/>
        <v>0</v>
      </c>
      <c r="V1135" s="168">
        <f t="shared" si="5"/>
        <v>0</v>
      </c>
      <c r="W1135" s="168">
        <f t="shared" si="6"/>
        <v>0</v>
      </c>
      <c r="X1135" s="168">
        <f t="shared" si="7"/>
        <v>0</v>
      </c>
      <c r="Y1135" s="168">
        <f t="shared" si="8"/>
        <v>0</v>
      </c>
      <c r="Z1135" s="168">
        <f t="shared" si="9"/>
        <v>0</v>
      </c>
    </row>
    <row r="1136" ht="14.25" customHeight="1">
      <c r="A1136" s="157" t="s">
        <v>1049</v>
      </c>
      <c r="B1136" s="158" t="s">
        <v>43</v>
      </c>
      <c r="C1136" s="158" t="s">
        <v>1041</v>
      </c>
      <c r="D1136" s="159">
        <v>43742.0</v>
      </c>
      <c r="E1136" s="157" t="s">
        <v>731</v>
      </c>
      <c r="F1136" s="160">
        <v>492809.24</v>
      </c>
      <c r="G1136" s="160">
        <v>78849.48</v>
      </c>
      <c r="H1136" s="160">
        <f t="shared" si="42"/>
        <v>571658.72</v>
      </c>
      <c r="I1136" s="160"/>
      <c r="J1136" s="161"/>
      <c r="K1136" s="160"/>
      <c r="L1136" s="160">
        <f>+'FACP$'!$H1136-'FACP$'!$I1136-'FACP$'!$K1136</f>
        <v>571658.72</v>
      </c>
      <c r="M1136" s="162" t="s">
        <v>43</v>
      </c>
      <c r="N1136" s="162" t="s">
        <v>554</v>
      </c>
      <c r="O1136" s="175">
        <v>43774.0</v>
      </c>
      <c r="P1136" s="164">
        <f t="shared" si="13"/>
        <v>43752</v>
      </c>
      <c r="Q1136" s="165">
        <f t="shared" si="2"/>
        <v>0</v>
      </c>
      <c r="R1136" s="167"/>
      <c r="S1136" s="167" t="s">
        <v>910</v>
      </c>
      <c r="T1136" s="168">
        <f t="shared" si="3"/>
        <v>571658.72</v>
      </c>
      <c r="U1136" s="168">
        <f t="shared" si="4"/>
        <v>0</v>
      </c>
      <c r="V1136" s="168">
        <f t="shared" si="5"/>
        <v>0</v>
      </c>
      <c r="W1136" s="168">
        <f t="shared" si="6"/>
        <v>0</v>
      </c>
      <c r="X1136" s="168">
        <f t="shared" si="7"/>
        <v>0</v>
      </c>
      <c r="Y1136" s="168">
        <f t="shared" si="8"/>
        <v>0</v>
      </c>
      <c r="Z1136" s="168">
        <f t="shared" si="9"/>
        <v>0</v>
      </c>
    </row>
    <row r="1137" ht="14.25" customHeight="1">
      <c r="A1137" s="157" t="s">
        <v>1050</v>
      </c>
      <c r="B1137" s="158" t="s">
        <v>16</v>
      </c>
      <c r="C1137" s="158" t="s">
        <v>1041</v>
      </c>
      <c r="D1137" s="159">
        <v>43745.0</v>
      </c>
      <c r="E1137" s="157" t="s">
        <v>731</v>
      </c>
      <c r="F1137" s="160">
        <v>212527.26</v>
      </c>
      <c r="G1137" s="160">
        <v>34004.36</v>
      </c>
      <c r="H1137" s="160">
        <f t="shared" si="42"/>
        <v>246531.62</v>
      </c>
      <c r="I1137" s="160"/>
      <c r="J1137" s="161"/>
      <c r="K1137" s="160"/>
      <c r="L1137" s="160">
        <f>+'FACP$'!$H1137-'FACP$'!$I1137-'FACP$'!$K1137</f>
        <v>246531.62</v>
      </c>
      <c r="M1137" s="162" t="s">
        <v>985</v>
      </c>
      <c r="N1137" s="162" t="s">
        <v>554</v>
      </c>
      <c r="O1137" s="175">
        <v>43754.0</v>
      </c>
      <c r="P1137" s="164">
        <f t="shared" si="13"/>
        <v>43755</v>
      </c>
      <c r="Q1137" s="165">
        <f t="shared" si="2"/>
        <v>0</v>
      </c>
      <c r="R1137" s="167"/>
      <c r="S1137" s="167"/>
      <c r="T1137" s="168">
        <f t="shared" si="3"/>
        <v>246531.62</v>
      </c>
      <c r="U1137" s="168">
        <f t="shared" si="4"/>
        <v>0</v>
      </c>
      <c r="V1137" s="168">
        <f t="shared" si="5"/>
        <v>0</v>
      </c>
      <c r="W1137" s="168">
        <f t="shared" si="6"/>
        <v>0</v>
      </c>
      <c r="X1137" s="168">
        <f t="shared" si="7"/>
        <v>0</v>
      </c>
      <c r="Y1137" s="168">
        <f t="shared" si="8"/>
        <v>0</v>
      </c>
      <c r="Z1137" s="168">
        <f t="shared" si="9"/>
        <v>0</v>
      </c>
    </row>
    <row r="1138" ht="14.25" customHeight="1">
      <c r="A1138" s="157" t="s">
        <v>1051</v>
      </c>
      <c r="B1138" s="158" t="s">
        <v>16</v>
      </c>
      <c r="C1138" s="158" t="s">
        <v>1052</v>
      </c>
      <c r="D1138" s="159">
        <v>43745.0</v>
      </c>
      <c r="E1138" s="157" t="s">
        <v>731</v>
      </c>
      <c r="F1138" s="160">
        <v>304562.55</v>
      </c>
      <c r="G1138" s="160">
        <v>48730.01</v>
      </c>
      <c r="H1138" s="160">
        <f t="shared" si="42"/>
        <v>353292.56</v>
      </c>
      <c r="I1138" s="160"/>
      <c r="J1138" s="161"/>
      <c r="K1138" s="160"/>
      <c r="L1138" s="160">
        <f>+'FACP$'!$H1138-'FACP$'!$I1138-'FACP$'!$K1138</f>
        <v>353292.56</v>
      </c>
      <c r="M1138" s="162" t="s">
        <v>985</v>
      </c>
      <c r="N1138" s="162" t="s">
        <v>554</v>
      </c>
      <c r="O1138" s="175">
        <v>43754.0</v>
      </c>
      <c r="P1138" s="164">
        <f t="shared" si="13"/>
        <v>43755</v>
      </c>
      <c r="Q1138" s="165">
        <f t="shared" si="2"/>
        <v>0</v>
      </c>
      <c r="R1138" s="167"/>
      <c r="S1138" s="167"/>
      <c r="T1138" s="168">
        <f t="shared" si="3"/>
        <v>353292.56</v>
      </c>
      <c r="U1138" s="168">
        <f t="shared" si="4"/>
        <v>0</v>
      </c>
      <c r="V1138" s="168">
        <f t="shared" si="5"/>
        <v>0</v>
      </c>
      <c r="W1138" s="168">
        <f t="shared" si="6"/>
        <v>0</v>
      </c>
      <c r="X1138" s="168">
        <f t="shared" si="7"/>
        <v>0</v>
      </c>
      <c r="Y1138" s="168">
        <f t="shared" si="8"/>
        <v>0</v>
      </c>
      <c r="Z1138" s="168">
        <f t="shared" si="9"/>
        <v>0</v>
      </c>
    </row>
    <row r="1139" ht="14.25" customHeight="1">
      <c r="A1139" s="157" t="s">
        <v>1053</v>
      </c>
      <c r="B1139" s="158" t="s">
        <v>18</v>
      </c>
      <c r="C1139" s="158" t="s">
        <v>1041</v>
      </c>
      <c r="D1139" s="159">
        <v>43745.0</v>
      </c>
      <c r="E1139" s="157" t="s">
        <v>731</v>
      </c>
      <c r="F1139" s="160">
        <v>104341.5</v>
      </c>
      <c r="G1139" s="160">
        <v>16694.64</v>
      </c>
      <c r="H1139" s="160">
        <f t="shared" si="42"/>
        <v>121036.14</v>
      </c>
      <c r="I1139" s="160"/>
      <c r="J1139" s="161"/>
      <c r="K1139" s="160"/>
      <c r="L1139" s="160">
        <f>+'FACP$'!$H1139-'FACP$'!$I1139-'FACP$'!$K1139</f>
        <v>121036.14</v>
      </c>
      <c r="M1139" s="162" t="s">
        <v>586</v>
      </c>
      <c r="N1139" s="162" t="s">
        <v>554</v>
      </c>
      <c r="O1139" s="175">
        <v>43805.0</v>
      </c>
      <c r="P1139" s="164">
        <f t="shared" si="13"/>
        <v>43755</v>
      </c>
      <c r="Q1139" s="165">
        <f t="shared" si="2"/>
        <v>0</v>
      </c>
      <c r="R1139" s="167"/>
      <c r="S1139" s="220" t="s">
        <v>910</v>
      </c>
      <c r="T1139" s="168">
        <f t="shared" si="3"/>
        <v>121036.14</v>
      </c>
      <c r="U1139" s="168">
        <f t="shared" si="4"/>
        <v>0</v>
      </c>
      <c r="V1139" s="168">
        <f t="shared" si="5"/>
        <v>0</v>
      </c>
      <c r="W1139" s="168">
        <f t="shared" si="6"/>
        <v>0</v>
      </c>
      <c r="X1139" s="168">
        <f t="shared" si="7"/>
        <v>0</v>
      </c>
      <c r="Y1139" s="168">
        <f t="shared" si="8"/>
        <v>0</v>
      </c>
      <c r="Z1139" s="168">
        <f t="shared" si="9"/>
        <v>0</v>
      </c>
    </row>
    <row r="1140" ht="14.25" customHeight="1">
      <c r="A1140" s="157" t="s">
        <v>1054</v>
      </c>
      <c r="B1140" s="158" t="s">
        <v>37</v>
      </c>
      <c r="C1140" s="158" t="s">
        <v>1041</v>
      </c>
      <c r="D1140" s="159">
        <v>43745.0</v>
      </c>
      <c r="E1140" s="157" t="s">
        <v>731</v>
      </c>
      <c r="F1140" s="160">
        <v>519340.14</v>
      </c>
      <c r="G1140" s="160">
        <v>83094.42</v>
      </c>
      <c r="H1140" s="160">
        <f t="shared" si="42"/>
        <v>602434.56</v>
      </c>
      <c r="I1140" s="160"/>
      <c r="J1140" s="161"/>
      <c r="K1140" s="160"/>
      <c r="L1140" s="160">
        <f>+'FACP$'!$H1140-'FACP$'!$I1140-'FACP$'!$K1140</f>
        <v>602434.56</v>
      </c>
      <c r="M1140" s="162" t="s">
        <v>116</v>
      </c>
      <c r="N1140" s="162" t="s">
        <v>554</v>
      </c>
      <c r="O1140" s="175">
        <v>43759.0</v>
      </c>
      <c r="P1140" s="164">
        <f t="shared" si="13"/>
        <v>43755</v>
      </c>
      <c r="Q1140" s="165">
        <f t="shared" si="2"/>
        <v>0</v>
      </c>
      <c r="R1140" s="167"/>
      <c r="S1140" s="167" t="s">
        <v>910</v>
      </c>
      <c r="T1140" s="168">
        <f t="shared" si="3"/>
        <v>602434.56</v>
      </c>
      <c r="U1140" s="168">
        <f t="shared" si="4"/>
        <v>0</v>
      </c>
      <c r="V1140" s="168">
        <f t="shared" si="5"/>
        <v>0</v>
      </c>
      <c r="W1140" s="168">
        <f t="shared" si="6"/>
        <v>0</v>
      </c>
      <c r="X1140" s="168">
        <f t="shared" si="7"/>
        <v>0</v>
      </c>
      <c r="Y1140" s="168">
        <f t="shared" si="8"/>
        <v>0</v>
      </c>
      <c r="Z1140" s="168">
        <f t="shared" si="9"/>
        <v>0</v>
      </c>
    </row>
    <row r="1141" ht="14.25" customHeight="1">
      <c r="A1141" s="157" t="s">
        <v>1055</v>
      </c>
      <c r="B1141" s="158" t="s">
        <v>29</v>
      </c>
      <c r="C1141" s="158" t="s">
        <v>1041</v>
      </c>
      <c r="D1141" s="159">
        <v>43745.0</v>
      </c>
      <c r="E1141" s="157" t="s">
        <v>731</v>
      </c>
      <c r="F1141" s="160">
        <v>188819.47</v>
      </c>
      <c r="G1141" s="160">
        <v>30211.12</v>
      </c>
      <c r="H1141" s="160">
        <f t="shared" si="42"/>
        <v>219030.59</v>
      </c>
      <c r="I1141" s="160"/>
      <c r="J1141" s="161"/>
      <c r="K1141" s="160"/>
      <c r="L1141" s="160">
        <f>+'FACP$'!$H1141-'FACP$'!$I1141-'FACP$'!$K1141</f>
        <v>219030.59</v>
      </c>
      <c r="M1141" s="162" t="s">
        <v>130</v>
      </c>
      <c r="N1141" s="162" t="s">
        <v>554</v>
      </c>
      <c r="O1141" s="175">
        <v>43773.0</v>
      </c>
      <c r="P1141" s="164">
        <f t="shared" si="13"/>
        <v>43755</v>
      </c>
      <c r="Q1141" s="165">
        <f t="shared" si="2"/>
        <v>0</v>
      </c>
      <c r="R1141" s="167"/>
      <c r="S1141" s="167"/>
      <c r="T1141" s="168">
        <f t="shared" si="3"/>
        <v>219030.59</v>
      </c>
      <c r="U1141" s="168">
        <f t="shared" si="4"/>
        <v>0</v>
      </c>
      <c r="V1141" s="168">
        <f t="shared" si="5"/>
        <v>0</v>
      </c>
      <c r="W1141" s="168">
        <f t="shared" si="6"/>
        <v>0</v>
      </c>
      <c r="X1141" s="168">
        <f t="shared" si="7"/>
        <v>0</v>
      </c>
      <c r="Y1141" s="168">
        <f t="shared" si="8"/>
        <v>0</v>
      </c>
      <c r="Z1141" s="168">
        <f t="shared" si="9"/>
        <v>0</v>
      </c>
    </row>
    <row r="1142" ht="14.25" customHeight="1">
      <c r="A1142" s="157" t="s">
        <v>1056</v>
      </c>
      <c r="B1142" s="158" t="s">
        <v>29</v>
      </c>
      <c r="C1142" s="158" t="s">
        <v>1052</v>
      </c>
      <c r="D1142" s="159">
        <v>43745.0</v>
      </c>
      <c r="E1142" s="157" t="s">
        <v>731</v>
      </c>
      <c r="F1142" s="160">
        <v>283499.25</v>
      </c>
      <c r="G1142" s="160">
        <v>45359.88</v>
      </c>
      <c r="H1142" s="160">
        <f t="shared" si="42"/>
        <v>328859.13</v>
      </c>
      <c r="I1142" s="160"/>
      <c r="J1142" s="161"/>
      <c r="K1142" s="160"/>
      <c r="L1142" s="160">
        <f>+'FACP$'!$H1142-'FACP$'!$I1142-'FACP$'!$K1142</f>
        <v>328859.13</v>
      </c>
      <c r="M1142" s="162" t="s">
        <v>130</v>
      </c>
      <c r="N1142" s="162" t="s">
        <v>554</v>
      </c>
      <c r="O1142" s="175">
        <v>43773.0</v>
      </c>
      <c r="P1142" s="164">
        <f t="shared" si="13"/>
        <v>43755</v>
      </c>
      <c r="Q1142" s="165">
        <f t="shared" si="2"/>
        <v>0</v>
      </c>
      <c r="R1142" s="167"/>
      <c r="S1142" s="167"/>
      <c r="T1142" s="168">
        <f t="shared" si="3"/>
        <v>328859.13</v>
      </c>
      <c r="U1142" s="168">
        <f t="shared" si="4"/>
        <v>0</v>
      </c>
      <c r="V1142" s="168">
        <f t="shared" si="5"/>
        <v>0</v>
      </c>
      <c r="W1142" s="168">
        <f t="shared" si="6"/>
        <v>0</v>
      </c>
      <c r="X1142" s="168">
        <f t="shared" si="7"/>
        <v>0</v>
      </c>
      <c r="Y1142" s="168">
        <f t="shared" si="8"/>
        <v>0</v>
      </c>
      <c r="Z1142" s="168">
        <f t="shared" si="9"/>
        <v>0</v>
      </c>
    </row>
    <row r="1143" ht="14.25" customHeight="1">
      <c r="A1143" s="157" t="s">
        <v>1057</v>
      </c>
      <c r="B1143" s="158" t="s">
        <v>43</v>
      </c>
      <c r="C1143" s="158" t="s">
        <v>1058</v>
      </c>
      <c r="D1143" s="159">
        <v>43754.0</v>
      </c>
      <c r="E1143" s="157" t="s">
        <v>731</v>
      </c>
      <c r="F1143" s="160">
        <v>489662.59</v>
      </c>
      <c r="G1143" s="160">
        <v>78346.01</v>
      </c>
      <c r="H1143" s="160">
        <f t="shared" si="42"/>
        <v>568008.6</v>
      </c>
      <c r="I1143" s="160"/>
      <c r="J1143" s="161"/>
      <c r="K1143" s="160"/>
      <c r="L1143" s="160">
        <f>+'FACP$'!$H1143-'FACP$'!$I1143-'FACP$'!$K1143</f>
        <v>568008.6</v>
      </c>
      <c r="M1143" s="162" t="s">
        <v>43</v>
      </c>
      <c r="N1143" s="162" t="s">
        <v>554</v>
      </c>
      <c r="O1143" s="175">
        <v>43784.0</v>
      </c>
      <c r="P1143" s="164">
        <f t="shared" si="13"/>
        <v>43764</v>
      </c>
      <c r="Q1143" s="165">
        <f t="shared" si="2"/>
        <v>0</v>
      </c>
      <c r="R1143" s="167"/>
      <c r="S1143" s="167" t="s">
        <v>910</v>
      </c>
      <c r="T1143" s="168">
        <f t="shared" si="3"/>
        <v>568008.6</v>
      </c>
      <c r="U1143" s="168">
        <f t="shared" si="4"/>
        <v>0</v>
      </c>
      <c r="V1143" s="168">
        <f t="shared" si="5"/>
        <v>0</v>
      </c>
      <c r="W1143" s="168">
        <f t="shared" si="6"/>
        <v>0</v>
      </c>
      <c r="X1143" s="168">
        <f t="shared" si="7"/>
        <v>0</v>
      </c>
      <c r="Y1143" s="168">
        <f t="shared" si="8"/>
        <v>0</v>
      </c>
      <c r="Z1143" s="168">
        <f t="shared" si="9"/>
        <v>0</v>
      </c>
    </row>
    <row r="1144" ht="14.25" customHeight="1">
      <c r="A1144" s="157" t="s">
        <v>1059</v>
      </c>
      <c r="B1144" s="158" t="s">
        <v>837</v>
      </c>
      <c r="C1144" s="158" t="s">
        <v>1060</v>
      </c>
      <c r="D1144" s="159">
        <v>43754.0</v>
      </c>
      <c r="E1144" s="157" t="s">
        <v>731</v>
      </c>
      <c r="F1144" s="160">
        <v>1061142.46</v>
      </c>
      <c r="G1144" s="160">
        <v>169782.79</v>
      </c>
      <c r="H1144" s="160">
        <f t="shared" si="42"/>
        <v>1230925.25</v>
      </c>
      <c r="I1144" s="160"/>
      <c r="J1144" s="161"/>
      <c r="K1144" s="160"/>
      <c r="L1144" s="160">
        <f>+'FACP$'!$H1144-'FACP$'!$I1144-'FACP$'!$K1144</f>
        <v>1230925.25</v>
      </c>
      <c r="M1144" s="162" t="s">
        <v>837</v>
      </c>
      <c r="N1144" s="162" t="s">
        <v>554</v>
      </c>
      <c r="O1144" s="175">
        <v>43755.0</v>
      </c>
      <c r="P1144" s="164">
        <f t="shared" si="13"/>
        <v>43764</v>
      </c>
      <c r="Q1144" s="165">
        <f t="shared" si="2"/>
        <v>0</v>
      </c>
      <c r="R1144" s="167"/>
      <c r="S1144" s="167" t="s">
        <v>910</v>
      </c>
      <c r="T1144" s="168">
        <f t="shared" si="3"/>
        <v>1230925.25</v>
      </c>
      <c r="U1144" s="168">
        <f t="shared" si="4"/>
        <v>0</v>
      </c>
      <c r="V1144" s="168">
        <f t="shared" si="5"/>
        <v>0</v>
      </c>
      <c r="W1144" s="168">
        <f t="shared" si="6"/>
        <v>0</v>
      </c>
      <c r="X1144" s="168">
        <f t="shared" si="7"/>
        <v>0</v>
      </c>
      <c r="Y1144" s="168">
        <f t="shared" si="8"/>
        <v>0</v>
      </c>
      <c r="Z1144" s="168">
        <f t="shared" si="9"/>
        <v>0</v>
      </c>
    </row>
    <row r="1145" ht="14.25" customHeight="1">
      <c r="A1145" s="157" t="s">
        <v>1061</v>
      </c>
      <c r="B1145" s="158" t="s">
        <v>36</v>
      </c>
      <c r="C1145" s="158" t="s">
        <v>1058</v>
      </c>
      <c r="D1145" s="159">
        <v>43754.0</v>
      </c>
      <c r="E1145" s="157" t="s">
        <v>731</v>
      </c>
      <c r="F1145" s="160">
        <v>92539.78</v>
      </c>
      <c r="G1145" s="160">
        <v>14806.36</v>
      </c>
      <c r="H1145" s="160">
        <f t="shared" si="42"/>
        <v>107346.14</v>
      </c>
      <c r="I1145" s="160"/>
      <c r="J1145" s="161"/>
      <c r="K1145" s="160"/>
      <c r="L1145" s="160">
        <f>+'FACP$'!$H1145-'FACP$'!$I1145-'FACP$'!$K1145</f>
        <v>107346.14</v>
      </c>
      <c r="M1145" s="162" t="s">
        <v>278</v>
      </c>
      <c r="N1145" s="162" t="s">
        <v>554</v>
      </c>
      <c r="O1145" s="175">
        <v>43759.0</v>
      </c>
      <c r="P1145" s="164">
        <f t="shared" si="13"/>
        <v>43764</v>
      </c>
      <c r="Q1145" s="165">
        <f t="shared" si="2"/>
        <v>0</v>
      </c>
      <c r="R1145" s="167"/>
      <c r="S1145" s="220" t="s">
        <v>910</v>
      </c>
      <c r="T1145" s="168">
        <f t="shared" si="3"/>
        <v>107346.14</v>
      </c>
      <c r="U1145" s="168">
        <f t="shared" si="4"/>
        <v>0</v>
      </c>
      <c r="V1145" s="168">
        <f t="shared" si="5"/>
        <v>0</v>
      </c>
      <c r="W1145" s="168">
        <f t="shared" si="6"/>
        <v>0</v>
      </c>
      <c r="X1145" s="168">
        <f t="shared" si="7"/>
        <v>0</v>
      </c>
      <c r="Y1145" s="168">
        <f t="shared" si="8"/>
        <v>0</v>
      </c>
      <c r="Z1145" s="168">
        <f t="shared" si="9"/>
        <v>0</v>
      </c>
    </row>
    <row r="1146" ht="14.25" customHeight="1">
      <c r="A1146" s="157" t="s">
        <v>1062</v>
      </c>
      <c r="B1146" s="158" t="s">
        <v>30</v>
      </c>
      <c r="C1146" s="158" t="s">
        <v>1058</v>
      </c>
      <c r="D1146" s="159">
        <v>43754.0</v>
      </c>
      <c r="E1146" s="157" t="s">
        <v>731</v>
      </c>
      <c r="F1146" s="160">
        <v>140653.43</v>
      </c>
      <c r="G1146" s="160">
        <v>22504.55</v>
      </c>
      <c r="H1146" s="160">
        <f t="shared" si="42"/>
        <v>163157.98</v>
      </c>
      <c r="I1146" s="160"/>
      <c r="J1146" s="161"/>
      <c r="K1146" s="160"/>
      <c r="L1146" s="160">
        <f>+'FACP$'!$H1146-'FACP$'!$I1146-'FACP$'!$K1146</f>
        <v>163157.98</v>
      </c>
      <c r="M1146" s="162" t="s">
        <v>891</v>
      </c>
      <c r="N1146" s="162" t="s">
        <v>554</v>
      </c>
      <c r="O1146" s="175">
        <v>43789.0</v>
      </c>
      <c r="P1146" s="164">
        <f t="shared" si="13"/>
        <v>43764</v>
      </c>
      <c r="Q1146" s="165">
        <f t="shared" si="2"/>
        <v>0</v>
      </c>
      <c r="R1146" s="167" t="s">
        <v>1063</v>
      </c>
      <c r="S1146" s="223" t="s">
        <v>910</v>
      </c>
      <c r="T1146" s="168">
        <f t="shared" si="3"/>
        <v>163157.98</v>
      </c>
      <c r="U1146" s="168">
        <f t="shared" si="4"/>
        <v>0</v>
      </c>
      <c r="V1146" s="168">
        <f t="shared" si="5"/>
        <v>0</v>
      </c>
      <c r="W1146" s="168">
        <f t="shared" si="6"/>
        <v>0</v>
      </c>
      <c r="X1146" s="168">
        <f t="shared" si="7"/>
        <v>0</v>
      </c>
      <c r="Y1146" s="168">
        <f t="shared" si="8"/>
        <v>0</v>
      </c>
      <c r="Z1146" s="168">
        <f t="shared" si="9"/>
        <v>0</v>
      </c>
    </row>
    <row r="1147" ht="14.25" customHeight="1">
      <c r="A1147" s="157" t="s">
        <v>1064</v>
      </c>
      <c r="B1147" s="158" t="s">
        <v>41</v>
      </c>
      <c r="C1147" s="158" t="s">
        <v>1041</v>
      </c>
      <c r="D1147" s="159">
        <v>43754.0</v>
      </c>
      <c r="E1147" s="157" t="s">
        <v>731</v>
      </c>
      <c r="F1147" s="160">
        <v>277841.4</v>
      </c>
      <c r="G1147" s="160">
        <v>44454.62</v>
      </c>
      <c r="H1147" s="160">
        <f t="shared" si="42"/>
        <v>322296.02</v>
      </c>
      <c r="I1147" s="160"/>
      <c r="J1147" s="161"/>
      <c r="K1147" s="160"/>
      <c r="L1147" s="160">
        <f>+'FACP$'!$H1147-'FACP$'!$I1147-'FACP$'!$K1147</f>
        <v>322296.02</v>
      </c>
      <c r="M1147" s="162" t="s">
        <v>121</v>
      </c>
      <c r="N1147" s="162" t="s">
        <v>554</v>
      </c>
      <c r="O1147" s="175">
        <v>43767.0</v>
      </c>
      <c r="P1147" s="164">
        <f t="shared" si="13"/>
        <v>43764</v>
      </c>
      <c r="Q1147" s="165">
        <f t="shared" si="2"/>
        <v>0</v>
      </c>
      <c r="R1147" s="167"/>
      <c r="S1147" s="167"/>
      <c r="T1147" s="168">
        <f t="shared" si="3"/>
        <v>322296.02</v>
      </c>
      <c r="U1147" s="168">
        <f t="shared" si="4"/>
        <v>0</v>
      </c>
      <c r="V1147" s="168">
        <f t="shared" si="5"/>
        <v>0</v>
      </c>
      <c r="W1147" s="168">
        <f t="shared" si="6"/>
        <v>0</v>
      </c>
      <c r="X1147" s="168">
        <f t="shared" si="7"/>
        <v>0</v>
      </c>
      <c r="Y1147" s="168">
        <f t="shared" si="8"/>
        <v>0</v>
      </c>
      <c r="Z1147" s="168">
        <f t="shared" si="9"/>
        <v>0</v>
      </c>
    </row>
    <row r="1148" ht="14.25" customHeight="1">
      <c r="A1148" s="157" t="s">
        <v>1065</v>
      </c>
      <c r="B1148" s="158" t="s">
        <v>29</v>
      </c>
      <c r="C1148" s="158" t="s">
        <v>1058</v>
      </c>
      <c r="D1148" s="159">
        <v>43760.0</v>
      </c>
      <c r="E1148" s="157" t="s">
        <v>731</v>
      </c>
      <c r="F1148" s="160">
        <v>196657.12</v>
      </c>
      <c r="G1148" s="160">
        <v>31465.14</v>
      </c>
      <c r="H1148" s="160">
        <f t="shared" si="42"/>
        <v>228122.26</v>
      </c>
      <c r="I1148" s="160"/>
      <c r="J1148" s="161"/>
      <c r="K1148" s="160"/>
      <c r="L1148" s="160">
        <f>+'FACP$'!$H1148-'FACP$'!$I1148-'FACP$'!$K1148</f>
        <v>228122.26</v>
      </c>
      <c r="M1148" s="162" t="s">
        <v>130</v>
      </c>
      <c r="N1148" s="162" t="s">
        <v>554</v>
      </c>
      <c r="O1148" s="175">
        <v>43773.0</v>
      </c>
      <c r="P1148" s="164">
        <f t="shared" si="13"/>
        <v>43770</v>
      </c>
      <c r="Q1148" s="165">
        <f t="shared" si="2"/>
        <v>0</v>
      </c>
      <c r="R1148" s="167"/>
      <c r="S1148" s="167"/>
      <c r="T1148" s="168">
        <f t="shared" si="3"/>
        <v>228122.26</v>
      </c>
      <c r="U1148" s="168">
        <f t="shared" si="4"/>
        <v>0</v>
      </c>
      <c r="V1148" s="168">
        <f t="shared" si="5"/>
        <v>0</v>
      </c>
      <c r="W1148" s="168">
        <f t="shared" si="6"/>
        <v>0</v>
      </c>
      <c r="X1148" s="168">
        <f t="shared" si="7"/>
        <v>0</v>
      </c>
      <c r="Y1148" s="168">
        <f t="shared" si="8"/>
        <v>0</v>
      </c>
      <c r="Z1148" s="168">
        <f t="shared" si="9"/>
        <v>0</v>
      </c>
    </row>
    <row r="1149" ht="14.25" customHeight="1">
      <c r="A1149" s="157" t="s">
        <v>1066</v>
      </c>
      <c r="B1149" s="158" t="s">
        <v>29</v>
      </c>
      <c r="C1149" s="158" t="s">
        <v>1067</v>
      </c>
      <c r="D1149" s="159">
        <v>43760.0</v>
      </c>
      <c r="E1149" s="157" t="s">
        <v>731</v>
      </c>
      <c r="F1149" s="160">
        <v>296218.92</v>
      </c>
      <c r="G1149" s="160">
        <v>47395.03</v>
      </c>
      <c r="H1149" s="160">
        <f t="shared" si="42"/>
        <v>343613.95</v>
      </c>
      <c r="I1149" s="160"/>
      <c r="J1149" s="161"/>
      <c r="K1149" s="160"/>
      <c r="L1149" s="160">
        <f>+'FACP$'!$H1149-'FACP$'!$I1149-'FACP$'!$K1149</f>
        <v>343613.95</v>
      </c>
      <c r="M1149" s="162" t="s">
        <v>130</v>
      </c>
      <c r="N1149" s="162" t="s">
        <v>554</v>
      </c>
      <c r="O1149" s="175">
        <v>43780.0</v>
      </c>
      <c r="P1149" s="164">
        <f t="shared" si="13"/>
        <v>43770</v>
      </c>
      <c r="Q1149" s="165">
        <f t="shared" si="2"/>
        <v>0</v>
      </c>
      <c r="R1149" s="167"/>
      <c r="S1149" s="167"/>
      <c r="T1149" s="168">
        <f t="shared" si="3"/>
        <v>343613.95</v>
      </c>
      <c r="U1149" s="168">
        <f t="shared" si="4"/>
        <v>0</v>
      </c>
      <c r="V1149" s="168">
        <f t="shared" si="5"/>
        <v>0</v>
      </c>
      <c r="W1149" s="168">
        <f t="shared" si="6"/>
        <v>0</v>
      </c>
      <c r="X1149" s="168">
        <f t="shared" si="7"/>
        <v>0</v>
      </c>
      <c r="Y1149" s="168">
        <f t="shared" si="8"/>
        <v>0</v>
      </c>
      <c r="Z1149" s="168">
        <f t="shared" si="9"/>
        <v>0</v>
      </c>
    </row>
    <row r="1150" ht="14.25" customHeight="1">
      <c r="A1150" s="157" t="s">
        <v>1068</v>
      </c>
      <c r="B1150" s="158" t="s">
        <v>37</v>
      </c>
      <c r="C1150" s="158" t="s">
        <v>1058</v>
      </c>
      <c r="D1150" s="159">
        <v>43760.0</v>
      </c>
      <c r="E1150" s="157" t="s">
        <v>731</v>
      </c>
      <c r="F1150" s="160">
        <v>863186.72</v>
      </c>
      <c r="G1150" s="160">
        <v>138109.88</v>
      </c>
      <c r="H1150" s="160">
        <f t="shared" si="42"/>
        <v>1001296.6</v>
      </c>
      <c r="I1150" s="160"/>
      <c r="J1150" s="161"/>
      <c r="K1150" s="160"/>
      <c r="L1150" s="160">
        <f>+'FACP$'!$H1150-'FACP$'!$I1150-'FACP$'!$K1150</f>
        <v>1001296.6</v>
      </c>
      <c r="M1150" s="162" t="s">
        <v>116</v>
      </c>
      <c r="N1150" s="162" t="s">
        <v>554</v>
      </c>
      <c r="O1150" s="175">
        <v>43774.0</v>
      </c>
      <c r="P1150" s="164">
        <f t="shared" si="13"/>
        <v>43770</v>
      </c>
      <c r="Q1150" s="165">
        <f t="shared" si="2"/>
        <v>0</v>
      </c>
      <c r="R1150" s="167"/>
      <c r="S1150" s="220" t="s">
        <v>910</v>
      </c>
      <c r="T1150" s="168">
        <f t="shared" si="3"/>
        <v>1001296.6</v>
      </c>
      <c r="U1150" s="168">
        <f t="shared" si="4"/>
        <v>0</v>
      </c>
      <c r="V1150" s="168">
        <f t="shared" si="5"/>
        <v>0</v>
      </c>
      <c r="W1150" s="168">
        <f t="shared" si="6"/>
        <v>0</v>
      </c>
      <c r="X1150" s="168">
        <f t="shared" si="7"/>
        <v>0</v>
      </c>
      <c r="Y1150" s="168">
        <f t="shared" si="8"/>
        <v>0</v>
      </c>
      <c r="Z1150" s="168">
        <f t="shared" si="9"/>
        <v>0</v>
      </c>
    </row>
    <row r="1151" ht="14.25" customHeight="1">
      <c r="A1151" s="157" t="s">
        <v>1069</v>
      </c>
      <c r="B1151" s="158" t="s">
        <v>16</v>
      </c>
      <c r="C1151" s="158" t="s">
        <v>1058</v>
      </c>
      <c r="D1151" s="159">
        <v>43760.0</v>
      </c>
      <c r="E1151" s="157" t="s">
        <v>731</v>
      </c>
      <c r="F1151" s="160">
        <v>211962.08</v>
      </c>
      <c r="G1151" s="160">
        <v>33913.93</v>
      </c>
      <c r="H1151" s="160">
        <f t="shared" si="42"/>
        <v>245876.01</v>
      </c>
      <c r="I1151" s="160"/>
      <c r="J1151" s="161"/>
      <c r="K1151" s="160"/>
      <c r="L1151" s="160">
        <f>+'FACP$'!$H1151-'FACP$'!$I1151-'FACP$'!$K1151</f>
        <v>245876.01</v>
      </c>
      <c r="M1151" s="162" t="s">
        <v>985</v>
      </c>
      <c r="N1151" s="162" t="s">
        <v>554</v>
      </c>
      <c r="O1151" s="175">
        <v>43767.0</v>
      </c>
      <c r="P1151" s="164">
        <f t="shared" si="13"/>
        <v>43770</v>
      </c>
      <c r="Q1151" s="165">
        <f t="shared" si="2"/>
        <v>0</v>
      </c>
      <c r="R1151" s="167"/>
      <c r="S1151" s="167"/>
      <c r="T1151" s="168">
        <f t="shared" si="3"/>
        <v>245876.01</v>
      </c>
      <c r="U1151" s="168">
        <f t="shared" si="4"/>
        <v>0</v>
      </c>
      <c r="V1151" s="168">
        <f t="shared" si="5"/>
        <v>0</v>
      </c>
      <c r="W1151" s="168">
        <f t="shared" si="6"/>
        <v>0</v>
      </c>
      <c r="X1151" s="168">
        <f t="shared" si="7"/>
        <v>0</v>
      </c>
      <c r="Y1151" s="168">
        <f t="shared" si="8"/>
        <v>0</v>
      </c>
      <c r="Z1151" s="168">
        <f t="shared" si="9"/>
        <v>0</v>
      </c>
    </row>
    <row r="1152" ht="14.25" customHeight="1">
      <c r="A1152" s="157" t="s">
        <v>1070</v>
      </c>
      <c r="B1152" s="158" t="s">
        <v>16</v>
      </c>
      <c r="C1152" s="158" t="s">
        <v>1067</v>
      </c>
      <c r="D1152" s="159">
        <v>43760.0</v>
      </c>
      <c r="E1152" s="157" t="s">
        <v>731</v>
      </c>
      <c r="F1152" s="160">
        <v>304666.96</v>
      </c>
      <c r="G1152" s="160">
        <v>48746.71</v>
      </c>
      <c r="H1152" s="160">
        <f t="shared" si="42"/>
        <v>353413.67</v>
      </c>
      <c r="I1152" s="160"/>
      <c r="J1152" s="161"/>
      <c r="K1152" s="160"/>
      <c r="L1152" s="160">
        <f>+'FACP$'!$H1152-'FACP$'!$I1152-'FACP$'!$K1152</f>
        <v>353413.67</v>
      </c>
      <c r="M1152" s="162" t="s">
        <v>985</v>
      </c>
      <c r="N1152" s="162" t="s">
        <v>554</v>
      </c>
      <c r="O1152" s="175">
        <v>43767.0</v>
      </c>
      <c r="P1152" s="164">
        <f t="shared" si="13"/>
        <v>43770</v>
      </c>
      <c r="Q1152" s="165">
        <f t="shared" si="2"/>
        <v>0</v>
      </c>
      <c r="R1152" s="167"/>
      <c r="S1152" s="167"/>
      <c r="T1152" s="168">
        <f t="shared" si="3"/>
        <v>353413.67</v>
      </c>
      <c r="U1152" s="168">
        <f t="shared" si="4"/>
        <v>0</v>
      </c>
      <c r="V1152" s="168">
        <f t="shared" si="5"/>
        <v>0</v>
      </c>
      <c r="W1152" s="168">
        <f t="shared" si="6"/>
        <v>0</v>
      </c>
      <c r="X1152" s="168">
        <f t="shared" si="7"/>
        <v>0</v>
      </c>
      <c r="Y1152" s="168">
        <f t="shared" si="8"/>
        <v>0</v>
      </c>
      <c r="Z1152" s="168">
        <f t="shared" si="9"/>
        <v>0</v>
      </c>
    </row>
    <row r="1153" ht="14.25" customHeight="1">
      <c r="A1153" s="157" t="s">
        <v>1071</v>
      </c>
      <c r="B1153" s="158" t="s">
        <v>18</v>
      </c>
      <c r="C1153" s="158" t="s">
        <v>1058</v>
      </c>
      <c r="D1153" s="159">
        <v>43760.0</v>
      </c>
      <c r="E1153" s="157" t="s">
        <v>731</v>
      </c>
      <c r="F1153" s="160">
        <v>88619.0</v>
      </c>
      <c r="G1153" s="160">
        <v>14179.04</v>
      </c>
      <c r="H1153" s="160">
        <f t="shared" si="42"/>
        <v>102798.04</v>
      </c>
      <c r="I1153" s="160"/>
      <c r="J1153" s="161"/>
      <c r="K1153" s="160"/>
      <c r="L1153" s="160">
        <f>+'FACP$'!$H1153-'FACP$'!$I1153-'FACP$'!$K1153</f>
        <v>102798.04</v>
      </c>
      <c r="M1153" s="162" t="s">
        <v>586</v>
      </c>
      <c r="N1153" s="162" t="s">
        <v>554</v>
      </c>
      <c r="O1153" s="175">
        <v>43805.0</v>
      </c>
      <c r="P1153" s="164">
        <f t="shared" si="13"/>
        <v>43770</v>
      </c>
      <c r="Q1153" s="165">
        <f t="shared" si="2"/>
        <v>0</v>
      </c>
      <c r="R1153" s="167"/>
      <c r="S1153" s="220" t="s">
        <v>910</v>
      </c>
      <c r="T1153" s="168">
        <f t="shared" si="3"/>
        <v>102798.04</v>
      </c>
      <c r="U1153" s="168">
        <f t="shared" si="4"/>
        <v>0</v>
      </c>
      <c r="V1153" s="168">
        <f t="shared" si="5"/>
        <v>0</v>
      </c>
      <c r="W1153" s="168">
        <f t="shared" si="6"/>
        <v>0</v>
      </c>
      <c r="X1153" s="168">
        <f t="shared" si="7"/>
        <v>0</v>
      </c>
      <c r="Y1153" s="168">
        <f t="shared" si="8"/>
        <v>0</v>
      </c>
      <c r="Z1153" s="168">
        <f t="shared" si="9"/>
        <v>0</v>
      </c>
    </row>
    <row r="1154" ht="14.25" customHeight="1">
      <c r="A1154" s="157" t="s">
        <v>1072</v>
      </c>
      <c r="B1154" s="158" t="s">
        <v>82</v>
      </c>
      <c r="C1154" s="158" t="s">
        <v>1073</v>
      </c>
      <c r="D1154" s="159">
        <v>43760.0</v>
      </c>
      <c r="E1154" s="157" t="s">
        <v>731</v>
      </c>
      <c r="F1154" s="160">
        <v>250000.0</v>
      </c>
      <c r="G1154" s="160">
        <v>40000.0</v>
      </c>
      <c r="H1154" s="160">
        <f t="shared" si="42"/>
        <v>290000</v>
      </c>
      <c r="I1154" s="160"/>
      <c r="J1154" s="161"/>
      <c r="K1154" s="160"/>
      <c r="L1154" s="160">
        <f>+'FACP$'!$H1154-'FACP$'!$I1154-'FACP$'!$K1154</f>
        <v>290000</v>
      </c>
      <c r="M1154" s="162" t="s">
        <v>714</v>
      </c>
      <c r="N1154" s="162" t="s">
        <v>127</v>
      </c>
      <c r="O1154" s="175"/>
      <c r="P1154" s="164">
        <f t="shared" si="13"/>
        <v>43770</v>
      </c>
      <c r="Q1154" s="165">
        <f t="shared" si="2"/>
        <v>0</v>
      </c>
      <c r="R1154" s="167"/>
      <c r="S1154" s="167"/>
      <c r="T1154" s="168">
        <f t="shared" si="3"/>
        <v>290000</v>
      </c>
      <c r="U1154" s="168">
        <f t="shared" si="4"/>
        <v>0</v>
      </c>
      <c r="V1154" s="168">
        <f t="shared" si="5"/>
        <v>0</v>
      </c>
      <c r="W1154" s="168">
        <f t="shared" si="6"/>
        <v>0</v>
      </c>
      <c r="X1154" s="168">
        <f t="shared" si="7"/>
        <v>0</v>
      </c>
      <c r="Y1154" s="168">
        <f t="shared" si="8"/>
        <v>0</v>
      </c>
      <c r="Z1154" s="168">
        <f t="shared" si="9"/>
        <v>0</v>
      </c>
    </row>
    <row r="1155" ht="14.25" customHeight="1">
      <c r="A1155" s="157" t="s">
        <v>1074</v>
      </c>
      <c r="B1155" s="158" t="s">
        <v>82</v>
      </c>
      <c r="C1155" s="158" t="s">
        <v>1075</v>
      </c>
      <c r="D1155" s="159">
        <v>43760.0</v>
      </c>
      <c r="E1155" s="157" t="s">
        <v>731</v>
      </c>
      <c r="F1155" s="160">
        <v>100000.0</v>
      </c>
      <c r="G1155" s="160">
        <v>16000.0</v>
      </c>
      <c r="H1155" s="160">
        <f t="shared" si="42"/>
        <v>116000</v>
      </c>
      <c r="I1155" s="160"/>
      <c r="J1155" s="161"/>
      <c r="K1155" s="160"/>
      <c r="L1155" s="160">
        <f>+'FACP$'!$H1155-'FACP$'!$I1155-'FACP$'!$K1155</f>
        <v>116000</v>
      </c>
      <c r="M1155" s="162" t="s">
        <v>714</v>
      </c>
      <c r="N1155" s="162" t="s">
        <v>127</v>
      </c>
      <c r="O1155" s="175"/>
      <c r="P1155" s="164">
        <f t="shared" si="13"/>
        <v>43770</v>
      </c>
      <c r="Q1155" s="165">
        <f t="shared" si="2"/>
        <v>0</v>
      </c>
      <c r="R1155" s="167"/>
      <c r="S1155" s="167"/>
      <c r="T1155" s="168">
        <f t="shared" si="3"/>
        <v>116000</v>
      </c>
      <c r="U1155" s="168">
        <f t="shared" si="4"/>
        <v>0</v>
      </c>
      <c r="V1155" s="168">
        <f t="shared" si="5"/>
        <v>0</v>
      </c>
      <c r="W1155" s="168">
        <f t="shared" si="6"/>
        <v>0</v>
      </c>
      <c r="X1155" s="168">
        <f t="shared" si="7"/>
        <v>0</v>
      </c>
      <c r="Y1155" s="168">
        <f t="shared" si="8"/>
        <v>0</v>
      </c>
      <c r="Z1155" s="168">
        <f t="shared" si="9"/>
        <v>0</v>
      </c>
    </row>
    <row r="1156" ht="14.25" customHeight="1">
      <c r="A1156" s="157" t="s">
        <v>1076</v>
      </c>
      <c r="B1156" s="158" t="s">
        <v>41</v>
      </c>
      <c r="C1156" s="158" t="s">
        <v>1058</v>
      </c>
      <c r="D1156" s="159">
        <v>43761.0</v>
      </c>
      <c r="E1156" s="157" t="s">
        <v>731</v>
      </c>
      <c r="F1156" s="160">
        <v>378895.44</v>
      </c>
      <c r="G1156" s="160">
        <v>60623.27</v>
      </c>
      <c r="H1156" s="160">
        <f t="shared" si="42"/>
        <v>439518.71</v>
      </c>
      <c r="I1156" s="160"/>
      <c r="J1156" s="161"/>
      <c r="K1156" s="160"/>
      <c r="L1156" s="160">
        <f>+'FACP$'!$H1156-'FACP$'!$I1156-'FACP$'!$K1156</f>
        <v>439518.71</v>
      </c>
      <c r="M1156" s="162" t="s">
        <v>121</v>
      </c>
      <c r="N1156" s="162" t="s">
        <v>554</v>
      </c>
      <c r="O1156" s="175">
        <v>43791.0</v>
      </c>
      <c r="P1156" s="164">
        <f t="shared" si="13"/>
        <v>43771</v>
      </c>
      <c r="Q1156" s="165">
        <f t="shared" si="2"/>
        <v>0</v>
      </c>
      <c r="R1156" s="167"/>
      <c r="S1156" s="167"/>
      <c r="T1156" s="168">
        <f t="shared" si="3"/>
        <v>439518.71</v>
      </c>
      <c r="U1156" s="168">
        <f t="shared" si="4"/>
        <v>0</v>
      </c>
      <c r="V1156" s="168">
        <f t="shared" si="5"/>
        <v>0</v>
      </c>
      <c r="W1156" s="168">
        <f t="shared" si="6"/>
        <v>0</v>
      </c>
      <c r="X1156" s="168">
        <f t="shared" si="7"/>
        <v>0</v>
      </c>
      <c r="Y1156" s="168">
        <f t="shared" si="8"/>
        <v>0</v>
      </c>
      <c r="Z1156" s="168">
        <f t="shared" si="9"/>
        <v>0</v>
      </c>
    </row>
    <row r="1157" ht="14.25" customHeight="1">
      <c r="A1157" s="157" t="s">
        <v>1077</v>
      </c>
      <c r="B1157" s="158" t="s">
        <v>37</v>
      </c>
      <c r="C1157" s="158" t="s">
        <v>1078</v>
      </c>
      <c r="D1157" s="159">
        <v>43761.0</v>
      </c>
      <c r="E1157" s="157" t="s">
        <v>731</v>
      </c>
      <c r="F1157" s="160">
        <v>43364.36</v>
      </c>
      <c r="G1157" s="160">
        <v>6938.3</v>
      </c>
      <c r="H1157" s="160">
        <f t="shared" si="42"/>
        <v>50302.66</v>
      </c>
      <c r="I1157" s="160"/>
      <c r="J1157" s="161"/>
      <c r="K1157" s="160"/>
      <c r="L1157" s="160">
        <f>+'FACP$'!$H1157-'FACP$'!$I1157-'FACP$'!$K1157</f>
        <v>50302.66</v>
      </c>
      <c r="M1157" s="162" t="s">
        <v>116</v>
      </c>
      <c r="N1157" s="162" t="s">
        <v>554</v>
      </c>
      <c r="O1157" s="175">
        <v>43794.0</v>
      </c>
      <c r="P1157" s="164">
        <f t="shared" si="13"/>
        <v>43771</v>
      </c>
      <c r="Q1157" s="165">
        <f t="shared" si="2"/>
        <v>0</v>
      </c>
      <c r="R1157" s="167"/>
      <c r="S1157" s="167" t="s">
        <v>910</v>
      </c>
      <c r="T1157" s="168">
        <f t="shared" si="3"/>
        <v>50302.66</v>
      </c>
      <c r="U1157" s="168">
        <f t="shared" si="4"/>
        <v>0</v>
      </c>
      <c r="V1157" s="168">
        <f t="shared" si="5"/>
        <v>0</v>
      </c>
      <c r="W1157" s="168">
        <f t="shared" si="6"/>
        <v>0</v>
      </c>
      <c r="X1157" s="168">
        <f t="shared" si="7"/>
        <v>0</v>
      </c>
      <c r="Y1157" s="168">
        <f t="shared" si="8"/>
        <v>0</v>
      </c>
      <c r="Z1157" s="168">
        <f t="shared" si="9"/>
        <v>0</v>
      </c>
    </row>
    <row r="1158" ht="14.25" customHeight="1">
      <c r="A1158" s="157" t="s">
        <v>1079</v>
      </c>
      <c r="B1158" s="158" t="s">
        <v>16</v>
      </c>
      <c r="C1158" s="158" t="s">
        <v>1078</v>
      </c>
      <c r="D1158" s="159">
        <v>43761.0</v>
      </c>
      <c r="E1158" s="157" t="s">
        <v>731</v>
      </c>
      <c r="F1158" s="160">
        <v>40090.05</v>
      </c>
      <c r="G1158" s="160">
        <v>6414.41</v>
      </c>
      <c r="H1158" s="160">
        <f t="shared" si="42"/>
        <v>46504.46</v>
      </c>
      <c r="I1158" s="160"/>
      <c r="J1158" s="161"/>
      <c r="K1158" s="160"/>
      <c r="L1158" s="160">
        <f>+'FACP$'!$H1158-'FACP$'!$I1158-'FACP$'!$K1158</f>
        <v>46504.46</v>
      </c>
      <c r="M1158" s="162" t="s">
        <v>985</v>
      </c>
      <c r="N1158" s="162" t="s">
        <v>554</v>
      </c>
      <c r="O1158" s="175">
        <v>43768.0</v>
      </c>
      <c r="P1158" s="164">
        <f t="shared" si="13"/>
        <v>43771</v>
      </c>
      <c r="Q1158" s="165">
        <f t="shared" si="2"/>
        <v>0</v>
      </c>
      <c r="R1158" s="167"/>
      <c r="S1158" s="167"/>
      <c r="T1158" s="168">
        <f t="shared" si="3"/>
        <v>46504.46</v>
      </c>
      <c r="U1158" s="168">
        <f t="shared" si="4"/>
        <v>0</v>
      </c>
      <c r="V1158" s="168">
        <f t="shared" si="5"/>
        <v>0</v>
      </c>
      <c r="W1158" s="168">
        <f t="shared" si="6"/>
        <v>0</v>
      </c>
      <c r="X1158" s="168">
        <f t="shared" si="7"/>
        <v>0</v>
      </c>
      <c r="Y1158" s="168">
        <f t="shared" si="8"/>
        <v>0</v>
      </c>
      <c r="Z1158" s="168">
        <f t="shared" si="9"/>
        <v>0</v>
      </c>
    </row>
    <row r="1159" ht="14.25" customHeight="1">
      <c r="A1159" s="157" t="s">
        <v>1080</v>
      </c>
      <c r="B1159" s="158" t="s">
        <v>29</v>
      </c>
      <c r="C1159" s="158" t="s">
        <v>1078</v>
      </c>
      <c r="D1159" s="159">
        <v>43761.0</v>
      </c>
      <c r="E1159" s="157" t="s">
        <v>731</v>
      </c>
      <c r="F1159" s="160">
        <v>50341.07</v>
      </c>
      <c r="G1159" s="160">
        <v>8054.577</v>
      </c>
      <c r="H1159" s="160">
        <f t="shared" si="42"/>
        <v>58395.647</v>
      </c>
      <c r="I1159" s="160"/>
      <c r="J1159" s="161"/>
      <c r="K1159" s="160"/>
      <c r="L1159" s="160">
        <f>+'FACP$'!$H1159-'FACP$'!$I1159-'FACP$'!$K1159</f>
        <v>58395.647</v>
      </c>
      <c r="M1159" s="162" t="s">
        <v>130</v>
      </c>
      <c r="N1159" s="162" t="s">
        <v>554</v>
      </c>
      <c r="O1159" s="175">
        <v>43773.0</v>
      </c>
      <c r="P1159" s="164">
        <f t="shared" si="13"/>
        <v>43771</v>
      </c>
      <c r="Q1159" s="165">
        <f t="shared" si="2"/>
        <v>0</v>
      </c>
      <c r="R1159" s="167"/>
      <c r="S1159" s="167"/>
      <c r="T1159" s="168">
        <f t="shared" si="3"/>
        <v>58395.647</v>
      </c>
      <c r="U1159" s="168">
        <f t="shared" si="4"/>
        <v>0</v>
      </c>
      <c r="V1159" s="168">
        <f t="shared" si="5"/>
        <v>0</v>
      </c>
      <c r="W1159" s="168">
        <f t="shared" si="6"/>
        <v>0</v>
      </c>
      <c r="X1159" s="168">
        <f t="shared" si="7"/>
        <v>0</v>
      </c>
      <c r="Y1159" s="168">
        <f t="shared" si="8"/>
        <v>0</v>
      </c>
      <c r="Z1159" s="168">
        <f t="shared" si="9"/>
        <v>0</v>
      </c>
    </row>
    <row r="1160" ht="14.25" customHeight="1">
      <c r="A1160" s="157" t="s">
        <v>1081</v>
      </c>
      <c r="B1160" s="158" t="s">
        <v>29</v>
      </c>
      <c r="C1160" s="158" t="s">
        <v>1082</v>
      </c>
      <c r="D1160" s="159">
        <v>43766.0</v>
      </c>
      <c r="E1160" s="157" t="s">
        <v>731</v>
      </c>
      <c r="F1160" s="160">
        <v>178052.25</v>
      </c>
      <c r="G1160" s="160">
        <v>28488.36</v>
      </c>
      <c r="H1160" s="160">
        <f t="shared" si="42"/>
        <v>206540.61</v>
      </c>
      <c r="I1160" s="160"/>
      <c r="J1160" s="161"/>
      <c r="K1160" s="160"/>
      <c r="L1160" s="160">
        <f>+'FACP$'!$H1160-'FACP$'!$I1160-'FACP$'!$K1160</f>
        <v>206540.61</v>
      </c>
      <c r="M1160" s="162" t="s">
        <v>850</v>
      </c>
      <c r="N1160" s="162" t="s">
        <v>554</v>
      </c>
      <c r="O1160" s="175">
        <v>43805.0</v>
      </c>
      <c r="P1160" s="164">
        <f t="shared" si="13"/>
        <v>43776</v>
      </c>
      <c r="Q1160" s="165">
        <f t="shared" si="2"/>
        <v>0</v>
      </c>
      <c r="R1160" s="167"/>
      <c r="S1160" s="167"/>
      <c r="T1160" s="168">
        <f t="shared" si="3"/>
        <v>206540.61</v>
      </c>
      <c r="U1160" s="168">
        <f t="shared" si="4"/>
        <v>0</v>
      </c>
      <c r="V1160" s="168">
        <f t="shared" si="5"/>
        <v>0</v>
      </c>
      <c r="W1160" s="168">
        <f t="shared" si="6"/>
        <v>0</v>
      </c>
      <c r="X1160" s="168">
        <f t="shared" si="7"/>
        <v>0</v>
      </c>
      <c r="Y1160" s="168">
        <f t="shared" si="8"/>
        <v>0</v>
      </c>
      <c r="Z1160" s="168">
        <f t="shared" si="9"/>
        <v>0</v>
      </c>
    </row>
    <row r="1161" ht="14.25" customHeight="1">
      <c r="A1161" s="157" t="s">
        <v>1083</v>
      </c>
      <c r="B1161" s="158" t="s">
        <v>29</v>
      </c>
      <c r="C1161" s="158" t="s">
        <v>1084</v>
      </c>
      <c r="D1161" s="159">
        <v>43766.0</v>
      </c>
      <c r="E1161" s="157" t="s">
        <v>731</v>
      </c>
      <c r="F1161" s="160">
        <v>122130.43</v>
      </c>
      <c r="G1161" s="160">
        <v>19540.87</v>
      </c>
      <c r="H1161" s="160">
        <f t="shared" si="42"/>
        <v>141671.3</v>
      </c>
      <c r="I1161" s="160"/>
      <c r="J1161" s="161"/>
      <c r="K1161" s="160"/>
      <c r="L1161" s="160">
        <f>+'FACP$'!$H1161-'FACP$'!$I1161-'FACP$'!$K1161</f>
        <v>141671.3</v>
      </c>
      <c r="M1161" s="162" t="s">
        <v>712</v>
      </c>
      <c r="N1161" s="162" t="s">
        <v>554</v>
      </c>
      <c r="O1161" s="175">
        <v>43805.0</v>
      </c>
      <c r="P1161" s="164">
        <f t="shared" si="13"/>
        <v>43776</v>
      </c>
      <c r="Q1161" s="165">
        <f t="shared" si="2"/>
        <v>0</v>
      </c>
      <c r="R1161" s="167"/>
      <c r="S1161" s="167"/>
      <c r="T1161" s="168">
        <f t="shared" si="3"/>
        <v>141671.3</v>
      </c>
      <c r="U1161" s="168">
        <f t="shared" si="4"/>
        <v>0</v>
      </c>
      <c r="V1161" s="168">
        <f t="shared" si="5"/>
        <v>0</v>
      </c>
      <c r="W1161" s="168">
        <f t="shared" si="6"/>
        <v>0</v>
      </c>
      <c r="X1161" s="168">
        <f t="shared" si="7"/>
        <v>0</v>
      </c>
      <c r="Y1161" s="168">
        <f t="shared" si="8"/>
        <v>0</v>
      </c>
      <c r="Z1161" s="168">
        <f t="shared" si="9"/>
        <v>0</v>
      </c>
    </row>
    <row r="1162" ht="14.25" customHeight="1">
      <c r="A1162" s="157" t="s">
        <v>1085</v>
      </c>
      <c r="B1162" s="158" t="s">
        <v>29</v>
      </c>
      <c r="C1162" s="158" t="s">
        <v>1086</v>
      </c>
      <c r="D1162" s="159">
        <v>43766.0</v>
      </c>
      <c r="E1162" s="157" t="s">
        <v>731</v>
      </c>
      <c r="F1162" s="160">
        <v>113700.47</v>
      </c>
      <c r="G1162" s="160">
        <v>18192.08</v>
      </c>
      <c r="H1162" s="160">
        <f t="shared" si="42"/>
        <v>131892.55</v>
      </c>
      <c r="I1162" s="160"/>
      <c r="J1162" s="161"/>
      <c r="K1162" s="160"/>
      <c r="L1162" s="160">
        <f>+'FACP$'!$H1162-'FACP$'!$I1162-'FACP$'!$K1162</f>
        <v>131892.55</v>
      </c>
      <c r="M1162" s="162" t="s">
        <v>1087</v>
      </c>
      <c r="N1162" s="162" t="s">
        <v>554</v>
      </c>
      <c r="O1162" s="175">
        <v>43805.0</v>
      </c>
      <c r="P1162" s="164">
        <f t="shared" si="13"/>
        <v>43776</v>
      </c>
      <c r="Q1162" s="165">
        <f t="shared" si="2"/>
        <v>0</v>
      </c>
      <c r="R1162" s="167"/>
      <c r="S1162" s="167"/>
      <c r="T1162" s="168">
        <f t="shared" si="3"/>
        <v>131892.55</v>
      </c>
      <c r="U1162" s="168">
        <f t="shared" si="4"/>
        <v>0</v>
      </c>
      <c r="V1162" s="168">
        <f t="shared" si="5"/>
        <v>0</v>
      </c>
      <c r="W1162" s="168">
        <f t="shared" si="6"/>
        <v>0</v>
      </c>
      <c r="X1162" s="168">
        <f t="shared" si="7"/>
        <v>0</v>
      </c>
      <c r="Y1162" s="168">
        <f t="shared" si="8"/>
        <v>0</v>
      </c>
      <c r="Z1162" s="168">
        <f t="shared" si="9"/>
        <v>0</v>
      </c>
    </row>
    <row r="1163" ht="14.25" customHeight="1">
      <c r="A1163" s="157" t="s">
        <v>1088</v>
      </c>
      <c r="B1163" s="158" t="s">
        <v>29</v>
      </c>
      <c r="C1163" s="158" t="s">
        <v>1089</v>
      </c>
      <c r="D1163" s="159">
        <v>43766.0</v>
      </c>
      <c r="E1163" s="157" t="s">
        <v>731</v>
      </c>
      <c r="F1163" s="160">
        <v>232177.89</v>
      </c>
      <c r="G1163" s="160">
        <v>37148.46</v>
      </c>
      <c r="H1163" s="160">
        <f t="shared" si="42"/>
        <v>269326.35</v>
      </c>
      <c r="I1163" s="160"/>
      <c r="J1163" s="161"/>
      <c r="K1163" s="160"/>
      <c r="L1163" s="160">
        <f>+'FACP$'!$H1163-'FACP$'!$I1163-'FACP$'!$K1163</f>
        <v>269326.35</v>
      </c>
      <c r="M1163" s="162" t="s">
        <v>850</v>
      </c>
      <c r="N1163" s="162" t="s">
        <v>554</v>
      </c>
      <c r="O1163" s="175">
        <v>43805.0</v>
      </c>
      <c r="P1163" s="164">
        <f t="shared" si="13"/>
        <v>43776</v>
      </c>
      <c r="Q1163" s="165">
        <f t="shared" si="2"/>
        <v>0</v>
      </c>
      <c r="R1163" s="167"/>
      <c r="S1163" s="167"/>
      <c r="T1163" s="168">
        <f t="shared" si="3"/>
        <v>269326.35</v>
      </c>
      <c r="U1163" s="168">
        <f t="shared" si="4"/>
        <v>0</v>
      </c>
      <c r="V1163" s="168">
        <f t="shared" si="5"/>
        <v>0</v>
      </c>
      <c r="W1163" s="168">
        <f t="shared" si="6"/>
        <v>0</v>
      </c>
      <c r="X1163" s="168">
        <f t="shared" si="7"/>
        <v>0</v>
      </c>
      <c r="Y1163" s="168">
        <f t="shared" si="8"/>
        <v>0</v>
      </c>
      <c r="Z1163" s="168">
        <f t="shared" si="9"/>
        <v>0</v>
      </c>
    </row>
    <row r="1164" ht="14.25" customHeight="1">
      <c r="A1164" s="157" t="s">
        <v>1090</v>
      </c>
      <c r="B1164" s="158" t="s">
        <v>29</v>
      </c>
      <c r="C1164" s="158" t="s">
        <v>1091</v>
      </c>
      <c r="D1164" s="159">
        <v>43766.0</v>
      </c>
      <c r="E1164" s="157" t="s">
        <v>731</v>
      </c>
      <c r="F1164" s="160">
        <v>147964.27</v>
      </c>
      <c r="G1164" s="160">
        <v>23674.28</v>
      </c>
      <c r="H1164" s="160">
        <f t="shared" si="42"/>
        <v>171638.55</v>
      </c>
      <c r="I1164" s="160"/>
      <c r="J1164" s="161"/>
      <c r="K1164" s="160"/>
      <c r="L1164" s="160">
        <f>+'FACP$'!$H1164-'FACP$'!$I1164-'FACP$'!$K1164</f>
        <v>171638.55</v>
      </c>
      <c r="M1164" s="162" t="s">
        <v>712</v>
      </c>
      <c r="N1164" s="162" t="s">
        <v>554</v>
      </c>
      <c r="O1164" s="175">
        <v>43805.0</v>
      </c>
      <c r="P1164" s="164">
        <f t="shared" si="13"/>
        <v>43776</v>
      </c>
      <c r="Q1164" s="165">
        <f t="shared" si="2"/>
        <v>0</v>
      </c>
      <c r="R1164" s="167"/>
      <c r="S1164" s="167"/>
      <c r="T1164" s="168">
        <f t="shared" si="3"/>
        <v>171638.55</v>
      </c>
      <c r="U1164" s="168">
        <f t="shared" si="4"/>
        <v>0</v>
      </c>
      <c r="V1164" s="168">
        <f t="shared" si="5"/>
        <v>0</v>
      </c>
      <c r="W1164" s="168">
        <f t="shared" si="6"/>
        <v>0</v>
      </c>
      <c r="X1164" s="168">
        <f t="shared" si="7"/>
        <v>0</v>
      </c>
      <c r="Y1164" s="168">
        <f t="shared" si="8"/>
        <v>0</v>
      </c>
      <c r="Z1164" s="168">
        <f t="shared" si="9"/>
        <v>0</v>
      </c>
    </row>
    <row r="1165" ht="14.25" customHeight="1">
      <c r="A1165" s="157" t="s">
        <v>1092</v>
      </c>
      <c r="B1165" s="158" t="s">
        <v>29</v>
      </c>
      <c r="C1165" s="158" t="s">
        <v>1093</v>
      </c>
      <c r="D1165" s="159">
        <v>43766.0</v>
      </c>
      <c r="E1165" s="157" t="s">
        <v>731</v>
      </c>
      <c r="F1165" s="160">
        <v>139127.17</v>
      </c>
      <c r="G1165" s="160">
        <v>22260.35</v>
      </c>
      <c r="H1165" s="160">
        <f t="shared" si="42"/>
        <v>161387.52</v>
      </c>
      <c r="I1165" s="160"/>
      <c r="J1165" s="161"/>
      <c r="K1165" s="160"/>
      <c r="L1165" s="160">
        <f>+'FACP$'!$H1165-'FACP$'!$I1165-'FACP$'!$K1165</f>
        <v>161387.52</v>
      </c>
      <c r="M1165" s="162" t="s">
        <v>1087</v>
      </c>
      <c r="N1165" s="162" t="s">
        <v>554</v>
      </c>
      <c r="O1165" s="175">
        <v>43805.0</v>
      </c>
      <c r="P1165" s="164">
        <f t="shared" si="13"/>
        <v>43776</v>
      </c>
      <c r="Q1165" s="165">
        <f t="shared" si="2"/>
        <v>0</v>
      </c>
      <c r="R1165" s="167"/>
      <c r="S1165" s="167"/>
      <c r="T1165" s="168">
        <f t="shared" si="3"/>
        <v>161387.52</v>
      </c>
      <c r="U1165" s="168">
        <f t="shared" si="4"/>
        <v>0</v>
      </c>
      <c r="V1165" s="168">
        <f t="shared" si="5"/>
        <v>0</v>
      </c>
      <c r="W1165" s="168">
        <f t="shared" si="6"/>
        <v>0</v>
      </c>
      <c r="X1165" s="168">
        <f t="shared" si="7"/>
        <v>0</v>
      </c>
      <c r="Y1165" s="168">
        <f t="shared" si="8"/>
        <v>0</v>
      </c>
      <c r="Z1165" s="168">
        <f t="shared" si="9"/>
        <v>0</v>
      </c>
    </row>
    <row r="1166" ht="14.25" customHeight="1">
      <c r="A1166" s="157" t="s">
        <v>1094</v>
      </c>
      <c r="B1166" s="158" t="s">
        <v>30</v>
      </c>
      <c r="C1166" s="158" t="s">
        <v>1095</v>
      </c>
      <c r="D1166" s="159">
        <v>43773.0</v>
      </c>
      <c r="E1166" s="157" t="s">
        <v>731</v>
      </c>
      <c r="F1166" s="160">
        <v>108856.17</v>
      </c>
      <c r="G1166" s="160">
        <v>17416.99</v>
      </c>
      <c r="H1166" s="160">
        <f t="shared" si="42"/>
        <v>126273.16</v>
      </c>
      <c r="I1166" s="160"/>
      <c r="J1166" s="161"/>
      <c r="K1166" s="160"/>
      <c r="L1166" s="160">
        <f>+'FACP$'!$H1166-'FACP$'!$I1166-'FACP$'!$K1166</f>
        <v>126273.16</v>
      </c>
      <c r="M1166" s="162" t="s">
        <v>891</v>
      </c>
      <c r="N1166" s="162" t="s">
        <v>554</v>
      </c>
      <c r="O1166" s="175">
        <v>43829.0</v>
      </c>
      <c r="P1166" s="164">
        <f t="shared" si="13"/>
        <v>43783</v>
      </c>
      <c r="Q1166" s="165">
        <f t="shared" si="2"/>
        <v>0</v>
      </c>
      <c r="R1166" s="167"/>
      <c r="S1166" s="167" t="s">
        <v>910</v>
      </c>
      <c r="T1166" s="168">
        <f t="shared" si="3"/>
        <v>126273.16</v>
      </c>
      <c r="U1166" s="168">
        <f t="shared" si="4"/>
        <v>0</v>
      </c>
      <c r="V1166" s="168">
        <f t="shared" si="5"/>
        <v>0</v>
      </c>
      <c r="W1166" s="168">
        <f t="shared" si="6"/>
        <v>0</v>
      </c>
      <c r="X1166" s="168">
        <f t="shared" si="7"/>
        <v>0</v>
      </c>
      <c r="Y1166" s="168">
        <f t="shared" si="8"/>
        <v>0</v>
      </c>
      <c r="Z1166" s="168">
        <f t="shared" si="9"/>
        <v>0</v>
      </c>
    </row>
    <row r="1167" ht="14.25" customHeight="1">
      <c r="A1167" s="157" t="s">
        <v>1096</v>
      </c>
      <c r="B1167" s="158" t="s">
        <v>36</v>
      </c>
      <c r="C1167" s="158" t="s">
        <v>1095</v>
      </c>
      <c r="D1167" s="159">
        <v>43773.0</v>
      </c>
      <c r="E1167" s="157" t="s">
        <v>731</v>
      </c>
      <c r="F1167" s="160">
        <v>83630.92</v>
      </c>
      <c r="G1167" s="160">
        <v>13380.95</v>
      </c>
      <c r="H1167" s="160">
        <f t="shared" si="42"/>
        <v>97011.87</v>
      </c>
      <c r="I1167" s="160"/>
      <c r="J1167" s="161"/>
      <c r="K1167" s="160"/>
      <c r="L1167" s="160">
        <f>+'FACP$'!$H1167-'FACP$'!$I1167-'FACP$'!$K1167</f>
        <v>97011.87</v>
      </c>
      <c r="M1167" s="162" t="s">
        <v>278</v>
      </c>
      <c r="N1167" s="162" t="s">
        <v>554</v>
      </c>
      <c r="O1167" s="175">
        <v>43815.0</v>
      </c>
      <c r="P1167" s="164">
        <f t="shared" si="13"/>
        <v>43783</v>
      </c>
      <c r="Q1167" s="165">
        <f t="shared" si="2"/>
        <v>0</v>
      </c>
      <c r="R1167" s="167"/>
      <c r="S1167" s="220" t="s">
        <v>910</v>
      </c>
      <c r="T1167" s="168">
        <f t="shared" si="3"/>
        <v>97011.87</v>
      </c>
      <c r="U1167" s="168">
        <f t="shared" si="4"/>
        <v>0</v>
      </c>
      <c r="V1167" s="168">
        <f t="shared" si="5"/>
        <v>0</v>
      </c>
      <c r="W1167" s="168">
        <f t="shared" si="6"/>
        <v>0</v>
      </c>
      <c r="X1167" s="168">
        <f t="shared" si="7"/>
        <v>0</v>
      </c>
      <c r="Y1167" s="168">
        <f t="shared" si="8"/>
        <v>0</v>
      </c>
      <c r="Z1167" s="168">
        <f t="shared" si="9"/>
        <v>0</v>
      </c>
    </row>
    <row r="1168" ht="14.25" customHeight="1">
      <c r="A1168" s="157" t="s">
        <v>1097</v>
      </c>
      <c r="B1168" s="158" t="s">
        <v>837</v>
      </c>
      <c r="C1168" s="158" t="s">
        <v>1098</v>
      </c>
      <c r="D1168" s="159">
        <v>43773.0</v>
      </c>
      <c r="E1168" s="157" t="s">
        <v>731</v>
      </c>
      <c r="F1168" s="160">
        <v>1265012.63</v>
      </c>
      <c r="G1168" s="160">
        <v>202402.02</v>
      </c>
      <c r="H1168" s="160">
        <f t="shared" si="42"/>
        <v>1467414.65</v>
      </c>
      <c r="I1168" s="160"/>
      <c r="J1168" s="161"/>
      <c r="K1168" s="160"/>
      <c r="L1168" s="160">
        <f>+'FACP$'!$H1168-'FACP$'!$I1168-'FACP$'!$K1168</f>
        <v>1467414.65</v>
      </c>
      <c r="M1168" s="162" t="s">
        <v>837</v>
      </c>
      <c r="N1168" s="162" t="s">
        <v>554</v>
      </c>
      <c r="O1168" s="175">
        <v>43776.0</v>
      </c>
      <c r="P1168" s="164">
        <f t="shared" si="13"/>
        <v>43783</v>
      </c>
      <c r="Q1168" s="165">
        <f t="shared" si="2"/>
        <v>0</v>
      </c>
      <c r="R1168" s="167"/>
      <c r="S1168" s="167" t="s">
        <v>910</v>
      </c>
      <c r="T1168" s="168">
        <f t="shared" si="3"/>
        <v>1467414.65</v>
      </c>
      <c r="U1168" s="168">
        <f t="shared" si="4"/>
        <v>0</v>
      </c>
      <c r="V1168" s="168">
        <f t="shared" si="5"/>
        <v>0</v>
      </c>
      <c r="W1168" s="168">
        <f t="shared" si="6"/>
        <v>0</v>
      </c>
      <c r="X1168" s="168">
        <f t="shared" si="7"/>
        <v>0</v>
      </c>
      <c r="Y1168" s="168">
        <f t="shared" si="8"/>
        <v>0</v>
      </c>
      <c r="Z1168" s="168">
        <f t="shared" si="9"/>
        <v>0</v>
      </c>
    </row>
    <row r="1169" ht="14.25" customHeight="1">
      <c r="A1169" s="157" t="s">
        <v>1099</v>
      </c>
      <c r="B1169" s="158" t="s">
        <v>43</v>
      </c>
      <c r="C1169" s="158" t="s">
        <v>1095</v>
      </c>
      <c r="D1169" s="159">
        <v>43773.0</v>
      </c>
      <c r="E1169" s="157" t="s">
        <v>731</v>
      </c>
      <c r="F1169" s="160">
        <v>638607.65</v>
      </c>
      <c r="G1169" s="160">
        <v>102177.22</v>
      </c>
      <c r="H1169" s="160">
        <f t="shared" si="42"/>
        <v>740784.87</v>
      </c>
      <c r="I1169" s="160"/>
      <c r="J1169" s="161"/>
      <c r="K1169" s="160"/>
      <c r="L1169" s="160">
        <f>+'FACP$'!$H1169-'FACP$'!$I1169-'FACP$'!$K1169</f>
        <v>740784.87</v>
      </c>
      <c r="M1169" s="162" t="s">
        <v>43</v>
      </c>
      <c r="N1169" s="162" t="s">
        <v>554</v>
      </c>
      <c r="O1169" s="175">
        <v>43784.0</v>
      </c>
      <c r="P1169" s="164">
        <f t="shared" si="13"/>
        <v>43783</v>
      </c>
      <c r="Q1169" s="165">
        <f t="shared" si="2"/>
        <v>0</v>
      </c>
      <c r="R1169" s="167"/>
      <c r="S1169" s="167" t="s">
        <v>910</v>
      </c>
      <c r="T1169" s="168">
        <f t="shared" si="3"/>
        <v>740784.87</v>
      </c>
      <c r="U1169" s="168">
        <f t="shared" si="4"/>
        <v>0</v>
      </c>
      <c r="V1169" s="168">
        <f t="shared" si="5"/>
        <v>0</v>
      </c>
      <c r="W1169" s="168">
        <f t="shared" si="6"/>
        <v>0</v>
      </c>
      <c r="X1169" s="168">
        <f t="shared" si="7"/>
        <v>0</v>
      </c>
      <c r="Y1169" s="168">
        <f t="shared" si="8"/>
        <v>0</v>
      </c>
      <c r="Z1169" s="168">
        <f t="shared" si="9"/>
        <v>0</v>
      </c>
    </row>
    <row r="1170" ht="14.25" customHeight="1">
      <c r="A1170" s="157" t="s">
        <v>1100</v>
      </c>
      <c r="B1170" s="158" t="s">
        <v>35</v>
      </c>
      <c r="C1170" s="158" t="s">
        <v>1095</v>
      </c>
      <c r="D1170" s="159">
        <v>43773.0</v>
      </c>
      <c r="E1170" s="157" t="s">
        <v>731</v>
      </c>
      <c r="F1170" s="160">
        <v>60399.58</v>
      </c>
      <c r="G1170" s="160">
        <v>9663.93</v>
      </c>
      <c r="H1170" s="160">
        <f t="shared" si="42"/>
        <v>70063.51</v>
      </c>
      <c r="I1170" s="160"/>
      <c r="J1170" s="161"/>
      <c r="K1170" s="160"/>
      <c r="L1170" s="160">
        <f>+'FACP$'!$H1170-'FACP$'!$I1170-'FACP$'!$K1170</f>
        <v>70063.51</v>
      </c>
      <c r="M1170" s="162" t="s">
        <v>276</v>
      </c>
      <c r="N1170" s="162" t="s">
        <v>127</v>
      </c>
      <c r="O1170" s="175"/>
      <c r="P1170" s="164">
        <f t="shared" si="13"/>
        <v>43783</v>
      </c>
      <c r="Q1170" s="165">
        <f t="shared" si="2"/>
        <v>0</v>
      </c>
      <c r="R1170" s="167" t="s">
        <v>1101</v>
      </c>
      <c r="S1170" s="220" t="s">
        <v>910</v>
      </c>
      <c r="T1170" s="168">
        <f t="shared" si="3"/>
        <v>70063.51</v>
      </c>
      <c r="U1170" s="168">
        <f t="shared" si="4"/>
        <v>0</v>
      </c>
      <c r="V1170" s="168">
        <f t="shared" si="5"/>
        <v>0</v>
      </c>
      <c r="W1170" s="168">
        <f t="shared" si="6"/>
        <v>0</v>
      </c>
      <c r="X1170" s="168">
        <f t="shared" si="7"/>
        <v>0</v>
      </c>
      <c r="Y1170" s="168">
        <f t="shared" si="8"/>
        <v>0</v>
      </c>
      <c r="Z1170" s="168">
        <f t="shared" si="9"/>
        <v>0</v>
      </c>
    </row>
    <row r="1171" ht="14.25" customHeight="1">
      <c r="A1171" s="157" t="s">
        <v>1102</v>
      </c>
      <c r="B1171" s="158" t="s">
        <v>16</v>
      </c>
      <c r="C1171" s="158" t="s">
        <v>1095</v>
      </c>
      <c r="D1171" s="159">
        <v>43775.0</v>
      </c>
      <c r="E1171" s="157" t="s">
        <v>731</v>
      </c>
      <c r="F1171" s="160">
        <v>282372.64</v>
      </c>
      <c r="G1171" s="160">
        <v>45179.62</v>
      </c>
      <c r="H1171" s="160">
        <f t="shared" si="42"/>
        <v>327552.26</v>
      </c>
      <c r="I1171" s="160"/>
      <c r="J1171" s="161"/>
      <c r="K1171" s="160"/>
      <c r="L1171" s="160">
        <f>+'FACP$'!$H1171-'FACP$'!$I1171-'FACP$'!$K1171</f>
        <v>327552.26</v>
      </c>
      <c r="M1171" s="162" t="s">
        <v>985</v>
      </c>
      <c r="N1171" s="162" t="s">
        <v>554</v>
      </c>
      <c r="O1171" s="175">
        <v>43780.0</v>
      </c>
      <c r="P1171" s="164">
        <f t="shared" si="13"/>
        <v>43785</v>
      </c>
      <c r="Q1171" s="165">
        <f t="shared" si="2"/>
        <v>0</v>
      </c>
      <c r="R1171" s="167"/>
      <c r="S1171" s="220" t="s">
        <v>910</v>
      </c>
      <c r="T1171" s="168">
        <f t="shared" si="3"/>
        <v>327552.26</v>
      </c>
      <c r="U1171" s="168">
        <f t="shared" si="4"/>
        <v>0</v>
      </c>
      <c r="V1171" s="168">
        <f t="shared" si="5"/>
        <v>0</v>
      </c>
      <c r="W1171" s="168">
        <f t="shared" si="6"/>
        <v>0</v>
      </c>
      <c r="X1171" s="168">
        <f t="shared" si="7"/>
        <v>0</v>
      </c>
      <c r="Y1171" s="168">
        <f t="shared" si="8"/>
        <v>0</v>
      </c>
      <c r="Z1171" s="168">
        <f t="shared" si="9"/>
        <v>0</v>
      </c>
    </row>
    <row r="1172" ht="14.25" customHeight="1">
      <c r="A1172" s="157" t="s">
        <v>1103</v>
      </c>
      <c r="B1172" s="158" t="s">
        <v>16</v>
      </c>
      <c r="C1172" s="158" t="s">
        <v>1104</v>
      </c>
      <c r="D1172" s="159">
        <v>43775.0</v>
      </c>
      <c r="E1172" s="157" t="s">
        <v>731</v>
      </c>
      <c r="F1172" s="160">
        <v>405949.53</v>
      </c>
      <c r="G1172" s="160">
        <v>64951.92</v>
      </c>
      <c r="H1172" s="160">
        <f t="shared" si="42"/>
        <v>470901.45</v>
      </c>
      <c r="I1172" s="160"/>
      <c r="J1172" s="161"/>
      <c r="K1172" s="160"/>
      <c r="L1172" s="160">
        <f>+'FACP$'!$H1172-'FACP$'!$I1172-'FACP$'!$K1172</f>
        <v>470901.45</v>
      </c>
      <c r="M1172" s="162" t="s">
        <v>985</v>
      </c>
      <c r="N1172" s="162" t="s">
        <v>554</v>
      </c>
      <c r="O1172" s="175">
        <v>43780.0</v>
      </c>
      <c r="P1172" s="164">
        <f t="shared" si="13"/>
        <v>43785</v>
      </c>
      <c r="Q1172" s="165">
        <f t="shared" si="2"/>
        <v>0</v>
      </c>
      <c r="R1172" s="167"/>
      <c r="S1172" s="220" t="s">
        <v>910</v>
      </c>
      <c r="T1172" s="168">
        <f t="shared" si="3"/>
        <v>470901.45</v>
      </c>
      <c r="U1172" s="168">
        <f t="shared" si="4"/>
        <v>0</v>
      </c>
      <c r="V1172" s="168">
        <f t="shared" si="5"/>
        <v>0</v>
      </c>
      <c r="W1172" s="168">
        <f t="shared" si="6"/>
        <v>0</v>
      </c>
      <c r="X1172" s="168">
        <f t="shared" si="7"/>
        <v>0</v>
      </c>
      <c r="Y1172" s="168">
        <f t="shared" si="8"/>
        <v>0</v>
      </c>
      <c r="Z1172" s="168">
        <f t="shared" si="9"/>
        <v>0</v>
      </c>
    </row>
    <row r="1173" ht="14.25" customHeight="1">
      <c r="A1173" s="157" t="s">
        <v>1105</v>
      </c>
      <c r="B1173" s="158" t="s">
        <v>18</v>
      </c>
      <c r="C1173" s="158" t="s">
        <v>1095</v>
      </c>
      <c r="D1173" s="159">
        <v>43775.0</v>
      </c>
      <c r="E1173" s="157" t="s">
        <v>731</v>
      </c>
      <c r="F1173" s="160">
        <v>106573.98</v>
      </c>
      <c r="G1173" s="160">
        <v>17051.84</v>
      </c>
      <c r="H1173" s="160">
        <f t="shared" si="42"/>
        <v>123625.82</v>
      </c>
      <c r="I1173" s="160"/>
      <c r="J1173" s="161"/>
      <c r="K1173" s="160"/>
      <c r="L1173" s="160">
        <f>+'FACP$'!$H1173-'FACP$'!$I1173-'FACP$'!$K1173</f>
        <v>123625.82</v>
      </c>
      <c r="M1173" s="162" t="s">
        <v>586</v>
      </c>
      <c r="N1173" s="162" t="s">
        <v>554</v>
      </c>
      <c r="O1173" s="175">
        <v>43805.0</v>
      </c>
      <c r="P1173" s="164">
        <f t="shared" si="13"/>
        <v>43785</v>
      </c>
      <c r="Q1173" s="165">
        <f t="shared" si="2"/>
        <v>0</v>
      </c>
      <c r="R1173" s="167"/>
      <c r="S1173" s="220" t="s">
        <v>910</v>
      </c>
      <c r="T1173" s="168">
        <f t="shared" si="3"/>
        <v>123625.82</v>
      </c>
      <c r="U1173" s="168">
        <f t="shared" si="4"/>
        <v>0</v>
      </c>
      <c r="V1173" s="168">
        <f t="shared" si="5"/>
        <v>0</v>
      </c>
      <c r="W1173" s="168">
        <f t="shared" si="6"/>
        <v>0</v>
      </c>
      <c r="X1173" s="168">
        <f t="shared" si="7"/>
        <v>0</v>
      </c>
      <c r="Y1173" s="168">
        <f t="shared" si="8"/>
        <v>0</v>
      </c>
      <c r="Z1173" s="168">
        <f t="shared" si="9"/>
        <v>0</v>
      </c>
    </row>
    <row r="1174" ht="14.25" customHeight="1">
      <c r="A1174" s="157" t="s">
        <v>1106</v>
      </c>
      <c r="B1174" s="158" t="s">
        <v>37</v>
      </c>
      <c r="C1174" s="158" t="s">
        <v>1095</v>
      </c>
      <c r="D1174" s="159">
        <v>43775.0</v>
      </c>
      <c r="E1174" s="157" t="s">
        <v>731</v>
      </c>
      <c r="F1174" s="160">
        <v>1124377.76</v>
      </c>
      <c r="G1174" s="160">
        <v>179900.44</v>
      </c>
      <c r="H1174" s="160">
        <f t="shared" si="42"/>
        <v>1304278.2</v>
      </c>
      <c r="I1174" s="160"/>
      <c r="J1174" s="161"/>
      <c r="K1174" s="160"/>
      <c r="L1174" s="160">
        <f>+'FACP$'!$H1174-'FACP$'!$I1174-'FACP$'!$K1174</f>
        <v>1304278.2</v>
      </c>
      <c r="M1174" s="162" t="s">
        <v>116</v>
      </c>
      <c r="N1174" s="162" t="s">
        <v>554</v>
      </c>
      <c r="O1174" s="175">
        <v>43794.0</v>
      </c>
      <c r="P1174" s="164">
        <f t="shared" si="13"/>
        <v>43785</v>
      </c>
      <c r="Q1174" s="165">
        <f t="shared" si="2"/>
        <v>0</v>
      </c>
      <c r="R1174" s="167"/>
      <c r="S1174" s="220" t="s">
        <v>910</v>
      </c>
      <c r="T1174" s="168">
        <f t="shared" si="3"/>
        <v>1304278.2</v>
      </c>
      <c r="U1174" s="168">
        <f t="shared" si="4"/>
        <v>0</v>
      </c>
      <c r="V1174" s="168">
        <f t="shared" si="5"/>
        <v>0</v>
      </c>
      <c r="W1174" s="168">
        <f t="shared" si="6"/>
        <v>0</v>
      </c>
      <c r="X1174" s="168">
        <f t="shared" si="7"/>
        <v>0</v>
      </c>
      <c r="Y1174" s="168">
        <f t="shared" si="8"/>
        <v>0</v>
      </c>
      <c r="Z1174" s="168">
        <f t="shared" si="9"/>
        <v>0</v>
      </c>
    </row>
    <row r="1175" ht="14.25" customHeight="1">
      <c r="A1175" s="157" t="s">
        <v>1107</v>
      </c>
      <c r="B1175" s="158" t="s">
        <v>29</v>
      </c>
      <c r="C1175" s="158" t="s">
        <v>1095</v>
      </c>
      <c r="D1175" s="159">
        <v>43775.0</v>
      </c>
      <c r="E1175" s="157" t="s">
        <v>731</v>
      </c>
      <c r="F1175" s="160">
        <v>232335.9</v>
      </c>
      <c r="G1175" s="160">
        <v>37173.74</v>
      </c>
      <c r="H1175" s="160">
        <f t="shared" si="42"/>
        <v>269509.64</v>
      </c>
      <c r="I1175" s="160"/>
      <c r="J1175" s="161"/>
      <c r="K1175" s="160"/>
      <c r="L1175" s="160">
        <f>+'FACP$'!$H1175-'FACP$'!$I1175-'FACP$'!$K1175</f>
        <v>269509.64</v>
      </c>
      <c r="M1175" s="162" t="s">
        <v>130</v>
      </c>
      <c r="N1175" s="162" t="s">
        <v>554</v>
      </c>
      <c r="O1175" s="175">
        <v>43789.0</v>
      </c>
      <c r="P1175" s="164">
        <f t="shared" si="13"/>
        <v>43785</v>
      </c>
      <c r="Q1175" s="165">
        <f t="shared" si="2"/>
        <v>0</v>
      </c>
      <c r="R1175" s="167"/>
      <c r="S1175" s="167"/>
      <c r="T1175" s="168">
        <f t="shared" si="3"/>
        <v>269509.64</v>
      </c>
      <c r="U1175" s="168">
        <f t="shared" si="4"/>
        <v>0</v>
      </c>
      <c r="V1175" s="168">
        <f t="shared" si="5"/>
        <v>0</v>
      </c>
      <c r="W1175" s="168">
        <f t="shared" si="6"/>
        <v>0</v>
      </c>
      <c r="X1175" s="168">
        <f t="shared" si="7"/>
        <v>0</v>
      </c>
      <c r="Y1175" s="168">
        <f t="shared" si="8"/>
        <v>0</v>
      </c>
      <c r="Z1175" s="168">
        <f t="shared" si="9"/>
        <v>0</v>
      </c>
    </row>
    <row r="1176" ht="14.25" customHeight="1">
      <c r="A1176" s="157" t="s">
        <v>1108</v>
      </c>
      <c r="B1176" s="158" t="s">
        <v>29</v>
      </c>
      <c r="C1176" s="158" t="s">
        <v>1104</v>
      </c>
      <c r="D1176" s="159">
        <v>43775.0</v>
      </c>
      <c r="E1176" s="157" t="s">
        <v>731</v>
      </c>
      <c r="F1176" s="160">
        <v>349916.17</v>
      </c>
      <c r="G1176" s="160">
        <v>55986.59</v>
      </c>
      <c r="H1176" s="160">
        <f t="shared" si="42"/>
        <v>405902.76</v>
      </c>
      <c r="I1176" s="160"/>
      <c r="J1176" s="161"/>
      <c r="K1176" s="160"/>
      <c r="L1176" s="160">
        <f>+'FACP$'!$H1176-'FACP$'!$I1176-'FACP$'!$K1176</f>
        <v>405902.76</v>
      </c>
      <c r="M1176" s="162" t="s">
        <v>130</v>
      </c>
      <c r="N1176" s="162" t="s">
        <v>127</v>
      </c>
      <c r="O1176" s="175"/>
      <c r="P1176" s="164">
        <f t="shared" si="13"/>
        <v>43785</v>
      </c>
      <c r="Q1176" s="165">
        <f t="shared" si="2"/>
        <v>0</v>
      </c>
      <c r="R1176" s="167"/>
      <c r="S1176" s="167"/>
      <c r="T1176" s="168">
        <f t="shared" si="3"/>
        <v>405902.76</v>
      </c>
      <c r="U1176" s="168">
        <f t="shared" si="4"/>
        <v>0</v>
      </c>
      <c r="V1176" s="168">
        <f t="shared" si="5"/>
        <v>0</v>
      </c>
      <c r="W1176" s="168">
        <f t="shared" si="6"/>
        <v>0</v>
      </c>
      <c r="X1176" s="168">
        <f t="shared" si="7"/>
        <v>0</v>
      </c>
      <c r="Y1176" s="168">
        <f t="shared" si="8"/>
        <v>0</v>
      </c>
      <c r="Z1176" s="168">
        <f t="shared" si="9"/>
        <v>0</v>
      </c>
    </row>
    <row r="1177" ht="14.25" customHeight="1">
      <c r="A1177" s="157" t="s">
        <v>1109</v>
      </c>
      <c r="B1177" s="158" t="s">
        <v>41</v>
      </c>
      <c r="C1177" s="158" t="s">
        <v>1095</v>
      </c>
      <c r="D1177" s="159">
        <v>43775.0</v>
      </c>
      <c r="E1177" s="157" t="s">
        <v>731</v>
      </c>
      <c r="F1177" s="160">
        <v>513505.11</v>
      </c>
      <c r="G1177" s="160">
        <v>82160.82</v>
      </c>
      <c r="H1177" s="160">
        <f t="shared" si="42"/>
        <v>595665.93</v>
      </c>
      <c r="I1177" s="160"/>
      <c r="J1177" s="161"/>
      <c r="K1177" s="160"/>
      <c r="L1177" s="160">
        <f>+'FACP$'!$H1177-'FACP$'!$I1177-'FACP$'!$K1177</f>
        <v>595665.93</v>
      </c>
      <c r="M1177" s="162" t="s">
        <v>121</v>
      </c>
      <c r="N1177" s="162" t="s">
        <v>554</v>
      </c>
      <c r="O1177" s="175">
        <v>43801.0</v>
      </c>
      <c r="P1177" s="164">
        <f t="shared" si="13"/>
        <v>43785</v>
      </c>
      <c r="Q1177" s="165">
        <f t="shared" si="2"/>
        <v>0</v>
      </c>
      <c r="R1177" s="167"/>
      <c r="S1177" s="167"/>
      <c r="T1177" s="168">
        <f t="shared" si="3"/>
        <v>595665.93</v>
      </c>
      <c r="U1177" s="168">
        <f t="shared" si="4"/>
        <v>0</v>
      </c>
      <c r="V1177" s="168">
        <f t="shared" si="5"/>
        <v>0</v>
      </c>
      <c r="W1177" s="168">
        <f t="shared" si="6"/>
        <v>0</v>
      </c>
      <c r="X1177" s="168">
        <f t="shared" si="7"/>
        <v>0</v>
      </c>
      <c r="Y1177" s="168">
        <f t="shared" si="8"/>
        <v>0</v>
      </c>
      <c r="Z1177" s="168">
        <f t="shared" si="9"/>
        <v>0</v>
      </c>
    </row>
    <row r="1178" ht="14.25" customHeight="1">
      <c r="A1178" s="157" t="s">
        <v>1110</v>
      </c>
      <c r="B1178" s="158" t="s">
        <v>82</v>
      </c>
      <c r="C1178" s="158" t="s">
        <v>1111</v>
      </c>
      <c r="D1178" s="159">
        <v>43776.0</v>
      </c>
      <c r="E1178" s="157" t="s">
        <v>731</v>
      </c>
      <c r="F1178" s="160">
        <v>50000.0</v>
      </c>
      <c r="G1178" s="160">
        <v>8000.0</v>
      </c>
      <c r="H1178" s="160">
        <f t="shared" si="42"/>
        <v>58000</v>
      </c>
      <c r="I1178" s="160"/>
      <c r="J1178" s="161"/>
      <c r="K1178" s="160"/>
      <c r="L1178" s="160">
        <f>+'FACP$'!$H1178-'FACP$'!$I1178-'FACP$'!$K1178</f>
        <v>58000</v>
      </c>
      <c r="M1178" s="162" t="s">
        <v>714</v>
      </c>
      <c r="N1178" s="162" t="s">
        <v>127</v>
      </c>
      <c r="O1178" s="175"/>
      <c r="P1178" s="164">
        <f t="shared" si="13"/>
        <v>43786</v>
      </c>
      <c r="Q1178" s="165">
        <f t="shared" si="2"/>
        <v>0</v>
      </c>
      <c r="R1178" s="167"/>
      <c r="S1178" s="167"/>
      <c r="T1178" s="168">
        <f t="shared" si="3"/>
        <v>58000</v>
      </c>
      <c r="U1178" s="168">
        <f t="shared" si="4"/>
        <v>0</v>
      </c>
      <c r="V1178" s="168">
        <f t="shared" si="5"/>
        <v>0</v>
      </c>
      <c r="W1178" s="168">
        <f t="shared" si="6"/>
        <v>0</v>
      </c>
      <c r="X1178" s="168">
        <f t="shared" si="7"/>
        <v>0</v>
      </c>
      <c r="Y1178" s="168">
        <f t="shared" si="8"/>
        <v>0</v>
      </c>
      <c r="Z1178" s="168">
        <f t="shared" si="9"/>
        <v>0</v>
      </c>
    </row>
    <row r="1179" ht="14.25" customHeight="1">
      <c r="A1179" s="157" t="s">
        <v>1112</v>
      </c>
      <c r="B1179" s="158" t="s">
        <v>82</v>
      </c>
      <c r="C1179" s="158" t="s">
        <v>1111</v>
      </c>
      <c r="D1179" s="159">
        <v>43776.0</v>
      </c>
      <c r="E1179" s="157" t="s">
        <v>731</v>
      </c>
      <c r="F1179" s="160">
        <v>20000.0</v>
      </c>
      <c r="G1179" s="160">
        <v>3200.0</v>
      </c>
      <c r="H1179" s="160">
        <f t="shared" si="42"/>
        <v>23200</v>
      </c>
      <c r="I1179" s="160"/>
      <c r="J1179" s="161"/>
      <c r="K1179" s="160"/>
      <c r="L1179" s="160">
        <f>+'FACP$'!$H1179-'FACP$'!$I1179-'FACP$'!$K1179</f>
        <v>23200</v>
      </c>
      <c r="M1179" s="162" t="s">
        <v>714</v>
      </c>
      <c r="N1179" s="162" t="s">
        <v>127</v>
      </c>
      <c r="O1179" s="175"/>
      <c r="P1179" s="164">
        <f t="shared" si="13"/>
        <v>43786</v>
      </c>
      <c r="Q1179" s="165">
        <f t="shared" si="2"/>
        <v>0</v>
      </c>
      <c r="R1179" s="167"/>
      <c r="S1179" s="167"/>
      <c r="T1179" s="168">
        <f t="shared" si="3"/>
        <v>23200</v>
      </c>
      <c r="U1179" s="168">
        <f t="shared" si="4"/>
        <v>0</v>
      </c>
      <c r="V1179" s="168">
        <f t="shared" si="5"/>
        <v>0</v>
      </c>
      <c r="W1179" s="168">
        <f t="shared" si="6"/>
        <v>0</v>
      </c>
      <c r="X1179" s="168">
        <f t="shared" si="7"/>
        <v>0</v>
      </c>
      <c r="Y1179" s="168">
        <f t="shared" si="8"/>
        <v>0</v>
      </c>
      <c r="Z1179" s="168">
        <f t="shared" si="9"/>
        <v>0</v>
      </c>
    </row>
    <row r="1180" ht="14.25" customHeight="1">
      <c r="A1180" s="157" t="s">
        <v>1113</v>
      </c>
      <c r="B1180" s="158" t="s">
        <v>29</v>
      </c>
      <c r="C1180" s="158" t="s">
        <v>1104</v>
      </c>
      <c r="D1180" s="159">
        <v>43781.0</v>
      </c>
      <c r="E1180" s="157" t="s">
        <v>731</v>
      </c>
      <c r="F1180" s="160">
        <v>349916.17</v>
      </c>
      <c r="G1180" s="160">
        <v>55986.59</v>
      </c>
      <c r="H1180" s="160">
        <f t="shared" si="42"/>
        <v>405902.76</v>
      </c>
      <c r="I1180" s="160"/>
      <c r="J1180" s="161"/>
      <c r="K1180" s="160"/>
      <c r="L1180" s="160">
        <f>+'FACP$'!$H1180-'FACP$'!$I1180-'FACP$'!$K1180</f>
        <v>405902.76</v>
      </c>
      <c r="M1180" s="162" t="s">
        <v>130</v>
      </c>
      <c r="N1180" s="162" t="s">
        <v>127</v>
      </c>
      <c r="O1180" s="175"/>
      <c r="P1180" s="164">
        <f t="shared" si="13"/>
        <v>43791</v>
      </c>
      <c r="Q1180" s="165">
        <f t="shared" si="2"/>
        <v>0</v>
      </c>
      <c r="R1180" s="167"/>
      <c r="S1180" s="167"/>
      <c r="T1180" s="168">
        <f t="shared" si="3"/>
        <v>405902.76</v>
      </c>
      <c r="U1180" s="168">
        <f t="shared" si="4"/>
        <v>0</v>
      </c>
      <c r="V1180" s="168">
        <f t="shared" si="5"/>
        <v>0</v>
      </c>
      <c r="W1180" s="168">
        <f t="shared" si="6"/>
        <v>0</v>
      </c>
      <c r="X1180" s="168">
        <f t="shared" si="7"/>
        <v>0</v>
      </c>
      <c r="Y1180" s="168">
        <f t="shared" si="8"/>
        <v>0</v>
      </c>
      <c r="Z1180" s="168">
        <f t="shared" si="9"/>
        <v>0</v>
      </c>
    </row>
    <row r="1181" ht="14.25" customHeight="1">
      <c r="A1181" s="157" t="s">
        <v>1114</v>
      </c>
      <c r="B1181" s="158" t="s">
        <v>29</v>
      </c>
      <c r="C1181" s="158" t="s">
        <v>1104</v>
      </c>
      <c r="D1181" s="159">
        <v>43781.0</v>
      </c>
      <c r="E1181" s="157" t="s">
        <v>731</v>
      </c>
      <c r="F1181" s="160">
        <v>349916.17</v>
      </c>
      <c r="G1181" s="160">
        <v>55986.59</v>
      </c>
      <c r="H1181" s="160">
        <f t="shared" si="42"/>
        <v>405902.76</v>
      </c>
      <c r="I1181" s="160"/>
      <c r="J1181" s="161"/>
      <c r="K1181" s="160"/>
      <c r="L1181" s="160">
        <f>+'FACP$'!$H1181-'FACP$'!$I1181-'FACP$'!$K1181</f>
        <v>405902.76</v>
      </c>
      <c r="M1181" s="162" t="s">
        <v>130</v>
      </c>
      <c r="N1181" s="162" t="s">
        <v>554</v>
      </c>
      <c r="O1181" s="175">
        <v>43801.0</v>
      </c>
      <c r="P1181" s="164">
        <f t="shared" si="13"/>
        <v>43791</v>
      </c>
      <c r="Q1181" s="165">
        <f t="shared" si="2"/>
        <v>0</v>
      </c>
      <c r="R1181" s="167"/>
      <c r="S1181" s="167"/>
      <c r="T1181" s="168">
        <f t="shared" si="3"/>
        <v>405902.76</v>
      </c>
      <c r="U1181" s="168">
        <f t="shared" si="4"/>
        <v>0</v>
      </c>
      <c r="V1181" s="168">
        <f t="shared" si="5"/>
        <v>0</v>
      </c>
      <c r="W1181" s="168">
        <f t="shared" si="6"/>
        <v>0</v>
      </c>
      <c r="X1181" s="168">
        <f t="shared" si="7"/>
        <v>0</v>
      </c>
      <c r="Y1181" s="168">
        <f t="shared" si="8"/>
        <v>0</v>
      </c>
      <c r="Z1181" s="168">
        <f t="shared" si="9"/>
        <v>0</v>
      </c>
    </row>
    <row r="1182" ht="14.25" customHeight="1">
      <c r="A1182" s="157" t="s">
        <v>1115</v>
      </c>
      <c r="B1182" s="158" t="s">
        <v>29</v>
      </c>
      <c r="C1182" s="158" t="s">
        <v>1116</v>
      </c>
      <c r="D1182" s="159">
        <v>43782.0</v>
      </c>
      <c r="E1182" s="157" t="s">
        <v>731</v>
      </c>
      <c r="F1182" s="160">
        <v>256026.89</v>
      </c>
      <c r="G1182" s="160">
        <v>40964.3</v>
      </c>
      <c r="H1182" s="160">
        <f t="shared" si="42"/>
        <v>296991.19</v>
      </c>
      <c r="I1182" s="160"/>
      <c r="J1182" s="161"/>
      <c r="K1182" s="160"/>
      <c r="L1182" s="160">
        <f>+'FACP$'!$H1182-'FACP$'!$I1182-'FACP$'!$K1182</f>
        <v>296991.19</v>
      </c>
      <c r="M1182" s="162" t="s">
        <v>850</v>
      </c>
      <c r="N1182" s="162" t="s">
        <v>554</v>
      </c>
      <c r="O1182" s="175">
        <v>43805.0</v>
      </c>
      <c r="P1182" s="164">
        <f t="shared" si="13"/>
        <v>43792</v>
      </c>
      <c r="Q1182" s="165">
        <f t="shared" si="2"/>
        <v>0</v>
      </c>
      <c r="R1182" s="167"/>
      <c r="S1182" s="167"/>
      <c r="T1182" s="168">
        <f t="shared" si="3"/>
        <v>296991.19</v>
      </c>
      <c r="U1182" s="168">
        <f t="shared" si="4"/>
        <v>0</v>
      </c>
      <c r="V1182" s="168">
        <f t="shared" si="5"/>
        <v>0</v>
      </c>
      <c r="W1182" s="168">
        <f t="shared" si="6"/>
        <v>0</v>
      </c>
      <c r="X1182" s="168">
        <f t="shared" si="7"/>
        <v>0</v>
      </c>
      <c r="Y1182" s="168">
        <f t="shared" si="8"/>
        <v>0</v>
      </c>
      <c r="Z1182" s="168">
        <f t="shared" si="9"/>
        <v>0</v>
      </c>
    </row>
    <row r="1183" ht="14.25" customHeight="1">
      <c r="A1183" s="157" t="s">
        <v>1117</v>
      </c>
      <c r="B1183" s="158" t="s">
        <v>29</v>
      </c>
      <c r="C1183" s="158" t="s">
        <v>1118</v>
      </c>
      <c r="D1183" s="159">
        <v>43782.0</v>
      </c>
      <c r="E1183" s="157" t="s">
        <v>731</v>
      </c>
      <c r="F1183" s="160">
        <v>412244.04</v>
      </c>
      <c r="G1183" s="160">
        <v>65959.05</v>
      </c>
      <c r="H1183" s="160">
        <f t="shared" si="42"/>
        <v>478203.09</v>
      </c>
      <c r="I1183" s="160"/>
      <c r="J1183" s="161"/>
      <c r="K1183" s="160"/>
      <c r="L1183" s="160">
        <f>+'FACP$'!$H1183-'FACP$'!$I1183-'FACP$'!$K1183</f>
        <v>478203.09</v>
      </c>
      <c r="M1183" s="162" t="s">
        <v>1087</v>
      </c>
      <c r="N1183" s="162" t="s">
        <v>554</v>
      </c>
      <c r="O1183" s="175">
        <v>43801.0</v>
      </c>
      <c r="P1183" s="164">
        <f t="shared" si="13"/>
        <v>43792</v>
      </c>
      <c r="Q1183" s="165">
        <f t="shared" si="2"/>
        <v>0</v>
      </c>
      <c r="R1183" s="167"/>
      <c r="S1183" s="167"/>
      <c r="T1183" s="168">
        <f t="shared" si="3"/>
        <v>478203.09</v>
      </c>
      <c r="U1183" s="168">
        <f t="shared" si="4"/>
        <v>0</v>
      </c>
      <c r="V1183" s="168">
        <f t="shared" si="5"/>
        <v>0</v>
      </c>
      <c r="W1183" s="168">
        <f t="shared" si="6"/>
        <v>0</v>
      </c>
      <c r="X1183" s="168">
        <f t="shared" si="7"/>
        <v>0</v>
      </c>
      <c r="Y1183" s="168">
        <f t="shared" si="8"/>
        <v>0</v>
      </c>
      <c r="Z1183" s="168">
        <f t="shared" si="9"/>
        <v>0</v>
      </c>
    </row>
    <row r="1184" ht="14.25" customHeight="1">
      <c r="A1184" s="157" t="s">
        <v>1119</v>
      </c>
      <c r="B1184" s="158" t="s">
        <v>30</v>
      </c>
      <c r="C1184" s="158" t="s">
        <v>1120</v>
      </c>
      <c r="D1184" s="159">
        <v>43789.0</v>
      </c>
      <c r="E1184" s="157" t="s">
        <v>731</v>
      </c>
      <c r="F1184" s="160">
        <v>180465.28</v>
      </c>
      <c r="G1184" s="160">
        <v>28874.44</v>
      </c>
      <c r="H1184" s="160">
        <f t="shared" si="42"/>
        <v>209339.72</v>
      </c>
      <c r="I1184" s="160"/>
      <c r="J1184" s="161"/>
      <c r="K1184" s="160"/>
      <c r="L1184" s="160">
        <f>+'FACP$'!$H1184-'FACP$'!$I1184-'FACP$'!$K1184</f>
        <v>209339.72</v>
      </c>
      <c r="M1184" s="162" t="s">
        <v>891</v>
      </c>
      <c r="N1184" s="162" t="s">
        <v>554</v>
      </c>
      <c r="O1184" s="175">
        <v>43859.0</v>
      </c>
      <c r="P1184" s="164">
        <f t="shared" si="13"/>
        <v>43799</v>
      </c>
      <c r="Q1184" s="165">
        <f t="shared" si="2"/>
        <v>0</v>
      </c>
      <c r="R1184" s="167" t="s">
        <v>1121</v>
      </c>
      <c r="S1184" s="167" t="s">
        <v>910</v>
      </c>
      <c r="T1184" s="168">
        <f t="shared" si="3"/>
        <v>209339.72</v>
      </c>
      <c r="U1184" s="168">
        <f t="shared" si="4"/>
        <v>0</v>
      </c>
      <c r="V1184" s="168">
        <f t="shared" si="5"/>
        <v>0</v>
      </c>
      <c r="W1184" s="168">
        <f t="shared" si="6"/>
        <v>0</v>
      </c>
      <c r="X1184" s="168">
        <f t="shared" si="7"/>
        <v>0</v>
      </c>
      <c r="Y1184" s="168">
        <f t="shared" si="8"/>
        <v>0</v>
      </c>
      <c r="Z1184" s="168">
        <f t="shared" si="9"/>
        <v>0</v>
      </c>
    </row>
    <row r="1185" ht="14.25" customHeight="1">
      <c r="A1185" s="157" t="s">
        <v>1122</v>
      </c>
      <c r="B1185" s="158" t="s">
        <v>35</v>
      </c>
      <c r="C1185" s="158" t="s">
        <v>1120</v>
      </c>
      <c r="D1185" s="159">
        <v>43789.0</v>
      </c>
      <c r="E1185" s="157" t="s">
        <v>731</v>
      </c>
      <c r="F1185" s="160">
        <v>129175.95</v>
      </c>
      <c r="G1185" s="160">
        <v>20668.15</v>
      </c>
      <c r="H1185" s="160">
        <f>F1185+G1185-149799.36-16.53</f>
        <v>28.21</v>
      </c>
      <c r="I1185" s="160"/>
      <c r="J1185" s="161"/>
      <c r="K1185" s="160"/>
      <c r="L1185" s="160">
        <f>+'FACP$'!$H1185-'FACP$'!$I1185-'FACP$'!$K1185</f>
        <v>28.21</v>
      </c>
      <c r="M1185" s="162" t="s">
        <v>276</v>
      </c>
      <c r="N1185" s="162" t="s">
        <v>554</v>
      </c>
      <c r="O1185" s="175">
        <v>43805.0</v>
      </c>
      <c r="P1185" s="164">
        <f t="shared" si="13"/>
        <v>43799</v>
      </c>
      <c r="Q1185" s="165">
        <f t="shared" si="2"/>
        <v>0</v>
      </c>
      <c r="R1185" s="167" t="s">
        <v>1123</v>
      </c>
      <c r="S1185" s="167" t="s">
        <v>910</v>
      </c>
      <c r="T1185" s="168">
        <f t="shared" si="3"/>
        <v>28.21</v>
      </c>
      <c r="U1185" s="168">
        <f t="shared" si="4"/>
        <v>0</v>
      </c>
      <c r="V1185" s="168">
        <f t="shared" si="5"/>
        <v>0</v>
      </c>
      <c r="W1185" s="168">
        <f t="shared" si="6"/>
        <v>0</v>
      </c>
      <c r="X1185" s="168">
        <f t="shared" si="7"/>
        <v>0</v>
      </c>
      <c r="Y1185" s="168">
        <f t="shared" si="8"/>
        <v>0</v>
      </c>
      <c r="Z1185" s="168">
        <f t="shared" si="9"/>
        <v>0</v>
      </c>
    </row>
    <row r="1186" ht="14.25" customHeight="1">
      <c r="A1186" s="157" t="s">
        <v>1124</v>
      </c>
      <c r="B1186" s="158" t="s">
        <v>36</v>
      </c>
      <c r="C1186" s="158" t="s">
        <v>1120</v>
      </c>
      <c r="D1186" s="159">
        <v>43789.0</v>
      </c>
      <c r="E1186" s="157" t="s">
        <v>731</v>
      </c>
      <c r="F1186" s="160">
        <v>74932.8</v>
      </c>
      <c r="G1186" s="160">
        <v>11989.25</v>
      </c>
      <c r="H1186" s="160">
        <f t="shared" ref="H1186:H1373" si="43">F1186+G1186</f>
        <v>86922.05</v>
      </c>
      <c r="I1186" s="160"/>
      <c r="J1186" s="161"/>
      <c r="K1186" s="160"/>
      <c r="L1186" s="160">
        <f>+'FACP$'!$H1186-'FACP$'!$I1186-'FACP$'!$K1186</f>
        <v>86922.05</v>
      </c>
      <c r="M1186" s="162" t="s">
        <v>278</v>
      </c>
      <c r="N1186" s="162" t="s">
        <v>554</v>
      </c>
      <c r="O1186" s="175">
        <v>43804.0</v>
      </c>
      <c r="P1186" s="164">
        <f t="shared" si="13"/>
        <v>43799</v>
      </c>
      <c r="Q1186" s="165">
        <f t="shared" si="2"/>
        <v>0</v>
      </c>
      <c r="R1186" s="167" t="s">
        <v>1125</v>
      </c>
      <c r="S1186" s="220" t="s">
        <v>910</v>
      </c>
      <c r="T1186" s="168">
        <f t="shared" si="3"/>
        <v>86922.05</v>
      </c>
      <c r="U1186" s="168">
        <f t="shared" si="4"/>
        <v>0</v>
      </c>
      <c r="V1186" s="168">
        <f t="shared" si="5"/>
        <v>0</v>
      </c>
      <c r="W1186" s="168">
        <f t="shared" si="6"/>
        <v>0</v>
      </c>
      <c r="X1186" s="168">
        <f t="shared" si="7"/>
        <v>0</v>
      </c>
      <c r="Y1186" s="168">
        <f t="shared" si="8"/>
        <v>0</v>
      </c>
      <c r="Z1186" s="168">
        <f t="shared" si="9"/>
        <v>0</v>
      </c>
    </row>
    <row r="1187" ht="14.25" customHeight="1">
      <c r="A1187" s="157" t="s">
        <v>1126</v>
      </c>
      <c r="B1187" s="158" t="s">
        <v>1127</v>
      </c>
      <c r="C1187" s="158" t="s">
        <v>1120</v>
      </c>
      <c r="D1187" s="159">
        <v>43789.0</v>
      </c>
      <c r="E1187" s="157" t="s">
        <v>731</v>
      </c>
      <c r="F1187" s="160">
        <v>838.31</v>
      </c>
      <c r="G1187" s="160">
        <v>134.13</v>
      </c>
      <c r="H1187" s="160">
        <f t="shared" si="43"/>
        <v>972.44</v>
      </c>
      <c r="I1187" s="160"/>
      <c r="J1187" s="161"/>
      <c r="K1187" s="160"/>
      <c r="L1187" s="160">
        <f>+'FACP$'!$H1187-'FACP$'!$I1187-'FACP$'!$K1187</f>
        <v>972.44</v>
      </c>
      <c r="M1187" s="162" t="s">
        <v>580</v>
      </c>
      <c r="N1187" s="162" t="s">
        <v>554</v>
      </c>
      <c r="O1187" s="175">
        <v>43874.0</v>
      </c>
      <c r="P1187" s="164">
        <f t="shared" si="13"/>
        <v>43799</v>
      </c>
      <c r="Q1187" s="165">
        <f t="shared" si="2"/>
        <v>0</v>
      </c>
      <c r="R1187" s="167" t="s">
        <v>1128</v>
      </c>
      <c r="S1187" s="167" t="s">
        <v>910</v>
      </c>
      <c r="T1187" s="168">
        <f t="shared" si="3"/>
        <v>972.44</v>
      </c>
      <c r="U1187" s="168">
        <f t="shared" si="4"/>
        <v>0</v>
      </c>
      <c r="V1187" s="168">
        <f t="shared" si="5"/>
        <v>0</v>
      </c>
      <c r="W1187" s="168">
        <f t="shared" si="6"/>
        <v>0</v>
      </c>
      <c r="X1187" s="168">
        <f t="shared" si="7"/>
        <v>0</v>
      </c>
      <c r="Y1187" s="168">
        <f t="shared" si="8"/>
        <v>0</v>
      </c>
      <c r="Z1187" s="168">
        <f t="shared" si="9"/>
        <v>0</v>
      </c>
    </row>
    <row r="1188" ht="14.25" customHeight="1">
      <c r="A1188" s="157" t="s">
        <v>1129</v>
      </c>
      <c r="B1188" s="158" t="s">
        <v>837</v>
      </c>
      <c r="C1188" s="158" t="s">
        <v>1120</v>
      </c>
      <c r="D1188" s="159">
        <v>43789.0</v>
      </c>
      <c r="E1188" s="157" t="s">
        <v>731</v>
      </c>
      <c r="F1188" s="160">
        <v>977281.18</v>
      </c>
      <c r="G1188" s="160">
        <v>156364.99</v>
      </c>
      <c r="H1188" s="160">
        <f t="shared" si="43"/>
        <v>1133646.17</v>
      </c>
      <c r="I1188" s="160"/>
      <c r="J1188" s="161"/>
      <c r="K1188" s="160"/>
      <c r="L1188" s="160">
        <f>+'FACP$'!$H1188-'FACP$'!$I1188-'FACP$'!$K1188</f>
        <v>1133646.17</v>
      </c>
      <c r="M1188" s="162" t="s">
        <v>837</v>
      </c>
      <c r="N1188" s="162" t="s">
        <v>554</v>
      </c>
      <c r="O1188" s="175">
        <v>43790.0</v>
      </c>
      <c r="P1188" s="164">
        <f t="shared" si="13"/>
        <v>43799</v>
      </c>
      <c r="Q1188" s="165">
        <f t="shared" si="2"/>
        <v>0</v>
      </c>
      <c r="R1188" s="167"/>
      <c r="S1188" s="167" t="s">
        <v>910</v>
      </c>
      <c r="T1188" s="168">
        <f t="shared" si="3"/>
        <v>1133646.17</v>
      </c>
      <c r="U1188" s="168">
        <f t="shared" si="4"/>
        <v>0</v>
      </c>
      <c r="V1188" s="168">
        <f t="shared" si="5"/>
        <v>0</v>
      </c>
      <c r="W1188" s="168">
        <f t="shared" si="6"/>
        <v>0</v>
      </c>
      <c r="X1188" s="168">
        <f t="shared" si="7"/>
        <v>0</v>
      </c>
      <c r="Y1188" s="168">
        <f t="shared" si="8"/>
        <v>0</v>
      </c>
      <c r="Z1188" s="168">
        <f t="shared" si="9"/>
        <v>0</v>
      </c>
    </row>
    <row r="1189" ht="14.25" customHeight="1">
      <c r="A1189" s="157" t="s">
        <v>1130</v>
      </c>
      <c r="B1189" s="158" t="s">
        <v>43</v>
      </c>
      <c r="C1189" s="158" t="s">
        <v>1120</v>
      </c>
      <c r="D1189" s="159">
        <v>43789.0</v>
      </c>
      <c r="E1189" s="157" t="s">
        <v>731</v>
      </c>
      <c r="F1189" s="160">
        <v>623321.59</v>
      </c>
      <c r="G1189" s="160">
        <v>99731.45</v>
      </c>
      <c r="H1189" s="160">
        <f t="shared" si="43"/>
        <v>723053.04</v>
      </c>
      <c r="I1189" s="160"/>
      <c r="J1189" s="161"/>
      <c r="K1189" s="160"/>
      <c r="L1189" s="160">
        <f>+'FACP$'!$H1189-'FACP$'!$I1189-'FACP$'!$K1189</f>
        <v>723053.04</v>
      </c>
      <c r="M1189" s="162" t="s">
        <v>43</v>
      </c>
      <c r="N1189" s="162" t="s">
        <v>554</v>
      </c>
      <c r="O1189" s="175">
        <v>43809.0</v>
      </c>
      <c r="P1189" s="164">
        <f t="shared" si="13"/>
        <v>43799</v>
      </c>
      <c r="Q1189" s="165">
        <f t="shared" si="2"/>
        <v>0</v>
      </c>
      <c r="R1189" s="167"/>
      <c r="S1189" s="167" t="s">
        <v>910</v>
      </c>
      <c r="T1189" s="168">
        <f t="shared" si="3"/>
        <v>723053.04</v>
      </c>
      <c r="U1189" s="168">
        <f t="shared" si="4"/>
        <v>0</v>
      </c>
      <c r="V1189" s="168">
        <f t="shared" si="5"/>
        <v>0</v>
      </c>
      <c r="W1189" s="168">
        <f t="shared" si="6"/>
        <v>0</v>
      </c>
      <c r="X1189" s="168">
        <f t="shared" si="7"/>
        <v>0</v>
      </c>
      <c r="Y1189" s="168">
        <f t="shared" si="8"/>
        <v>0</v>
      </c>
      <c r="Z1189" s="168">
        <f t="shared" si="9"/>
        <v>0</v>
      </c>
    </row>
    <row r="1190" ht="14.25" customHeight="1">
      <c r="A1190" s="157" t="s">
        <v>1131</v>
      </c>
      <c r="B1190" s="158" t="s">
        <v>41</v>
      </c>
      <c r="C1190" s="158" t="s">
        <v>1120</v>
      </c>
      <c r="D1190" s="159">
        <v>43789.0</v>
      </c>
      <c r="E1190" s="157" t="s">
        <v>731</v>
      </c>
      <c r="F1190" s="160">
        <v>488458.96</v>
      </c>
      <c r="G1190" s="160">
        <v>78153.43</v>
      </c>
      <c r="H1190" s="160">
        <f t="shared" si="43"/>
        <v>566612.39</v>
      </c>
      <c r="I1190" s="160"/>
      <c r="J1190" s="161"/>
      <c r="K1190" s="160"/>
      <c r="L1190" s="160">
        <f>+'FACP$'!$H1190-'FACP$'!$I1190-'FACP$'!$K1190</f>
        <v>566612.39</v>
      </c>
      <c r="M1190" s="162" t="s">
        <v>121</v>
      </c>
      <c r="N1190" s="162" t="s">
        <v>554</v>
      </c>
      <c r="O1190" s="175">
        <v>43801.0</v>
      </c>
      <c r="P1190" s="164">
        <f t="shared" si="13"/>
        <v>43799</v>
      </c>
      <c r="Q1190" s="165">
        <f t="shared" si="2"/>
        <v>0</v>
      </c>
      <c r="R1190" s="167"/>
      <c r="S1190" s="167"/>
      <c r="T1190" s="168">
        <f t="shared" si="3"/>
        <v>566612.39</v>
      </c>
      <c r="U1190" s="168">
        <f t="shared" si="4"/>
        <v>0</v>
      </c>
      <c r="V1190" s="168">
        <f t="shared" si="5"/>
        <v>0</v>
      </c>
      <c r="W1190" s="168">
        <f t="shared" si="6"/>
        <v>0</v>
      </c>
      <c r="X1190" s="168">
        <f t="shared" si="7"/>
        <v>0</v>
      </c>
      <c r="Y1190" s="168">
        <f t="shared" si="8"/>
        <v>0</v>
      </c>
      <c r="Z1190" s="168">
        <f t="shared" si="9"/>
        <v>0</v>
      </c>
    </row>
    <row r="1191" ht="14.25" customHeight="1">
      <c r="A1191" s="157" t="s">
        <v>1132</v>
      </c>
      <c r="B1191" s="158" t="s">
        <v>16</v>
      </c>
      <c r="C1191" s="158" t="s">
        <v>1133</v>
      </c>
      <c r="D1191" s="159">
        <v>43797.0</v>
      </c>
      <c r="E1191" s="157" t="s">
        <v>731</v>
      </c>
      <c r="F1191" s="160">
        <v>1335959.08</v>
      </c>
      <c r="G1191" s="160">
        <v>213753.45</v>
      </c>
      <c r="H1191" s="160">
        <f t="shared" si="43"/>
        <v>1549712.53</v>
      </c>
      <c r="I1191" s="160"/>
      <c r="J1191" s="161"/>
      <c r="K1191" s="160"/>
      <c r="L1191" s="160">
        <f>+'FACP$'!$H1191-'FACP$'!$I1191-'FACP$'!$K1191</f>
        <v>1549712.53</v>
      </c>
      <c r="M1191" s="162" t="s">
        <v>985</v>
      </c>
      <c r="N1191" s="162" t="s">
        <v>127</v>
      </c>
      <c r="O1191" s="175"/>
      <c r="P1191" s="164">
        <f t="shared" si="13"/>
        <v>43807</v>
      </c>
      <c r="Q1191" s="165">
        <f t="shared" si="2"/>
        <v>0</v>
      </c>
      <c r="R1191" s="167"/>
      <c r="S1191" s="167"/>
      <c r="T1191" s="168">
        <f t="shared" si="3"/>
        <v>1549712.53</v>
      </c>
      <c r="U1191" s="168">
        <f t="shared" si="4"/>
        <v>0</v>
      </c>
      <c r="V1191" s="168">
        <f t="shared" si="5"/>
        <v>0</v>
      </c>
      <c r="W1191" s="168">
        <f t="shared" si="6"/>
        <v>0</v>
      </c>
      <c r="X1191" s="168">
        <f t="shared" si="7"/>
        <v>0</v>
      </c>
      <c r="Y1191" s="168">
        <f t="shared" si="8"/>
        <v>0</v>
      </c>
      <c r="Z1191" s="168">
        <f t="shared" si="9"/>
        <v>0</v>
      </c>
    </row>
    <row r="1192" ht="14.25" customHeight="1">
      <c r="A1192" s="157" t="s">
        <v>1134</v>
      </c>
      <c r="B1192" s="158" t="s">
        <v>29</v>
      </c>
      <c r="C1192" s="158" t="s">
        <v>1133</v>
      </c>
      <c r="D1192" s="159">
        <v>43797.0</v>
      </c>
      <c r="E1192" s="157" t="s">
        <v>731</v>
      </c>
      <c r="F1192" s="160">
        <v>595855.9</v>
      </c>
      <c r="G1192" s="160">
        <v>95336.94</v>
      </c>
      <c r="H1192" s="160">
        <f t="shared" si="43"/>
        <v>691192.84</v>
      </c>
      <c r="I1192" s="160"/>
      <c r="J1192" s="161"/>
      <c r="K1192" s="160"/>
      <c r="L1192" s="160">
        <f>+'FACP$'!$H1192-'FACP$'!$I1192-'FACP$'!$K1192</f>
        <v>691192.84</v>
      </c>
      <c r="M1192" s="162" t="s">
        <v>130</v>
      </c>
      <c r="N1192" s="162" t="s">
        <v>127</v>
      </c>
      <c r="O1192" s="175"/>
      <c r="P1192" s="164">
        <f t="shared" si="13"/>
        <v>43807</v>
      </c>
      <c r="Q1192" s="165">
        <f t="shared" si="2"/>
        <v>0</v>
      </c>
      <c r="R1192" s="167"/>
      <c r="S1192" s="167"/>
      <c r="T1192" s="168">
        <f t="shared" si="3"/>
        <v>691192.84</v>
      </c>
      <c r="U1192" s="168">
        <f t="shared" si="4"/>
        <v>0</v>
      </c>
      <c r="V1192" s="168">
        <f t="shared" si="5"/>
        <v>0</v>
      </c>
      <c r="W1192" s="168">
        <f t="shared" si="6"/>
        <v>0</v>
      </c>
      <c r="X1192" s="168">
        <f t="shared" si="7"/>
        <v>0</v>
      </c>
      <c r="Y1192" s="168">
        <f t="shared" si="8"/>
        <v>0</v>
      </c>
      <c r="Z1192" s="168">
        <f t="shared" si="9"/>
        <v>0</v>
      </c>
    </row>
    <row r="1193" ht="14.25" customHeight="1">
      <c r="A1193" s="157" t="s">
        <v>1135</v>
      </c>
      <c r="B1193" s="158" t="s">
        <v>37</v>
      </c>
      <c r="C1193" s="158" t="s">
        <v>1133</v>
      </c>
      <c r="D1193" s="159">
        <v>43797.0</v>
      </c>
      <c r="E1193" s="157" t="s">
        <v>731</v>
      </c>
      <c r="F1193" s="160">
        <v>6936698.88</v>
      </c>
      <c r="G1193" s="160">
        <v>1109871.82</v>
      </c>
      <c r="H1193" s="160">
        <f t="shared" si="43"/>
        <v>8046570.7</v>
      </c>
      <c r="I1193" s="160"/>
      <c r="J1193" s="161"/>
      <c r="K1193" s="160"/>
      <c r="L1193" s="160">
        <f>+'FACP$'!$H1193-'FACP$'!$I1193-'FACP$'!$K1193</f>
        <v>8046570.7</v>
      </c>
      <c r="M1193" s="162" t="s">
        <v>116</v>
      </c>
      <c r="N1193" s="162" t="s">
        <v>127</v>
      </c>
      <c r="O1193" s="175">
        <v>43900.0</v>
      </c>
      <c r="P1193" s="164">
        <f t="shared" si="13"/>
        <v>43807</v>
      </c>
      <c r="Q1193" s="165">
        <f t="shared" si="2"/>
        <v>0</v>
      </c>
      <c r="R1193" s="167" t="s">
        <v>1136</v>
      </c>
      <c r="S1193" s="167"/>
      <c r="T1193" s="168">
        <f t="shared" si="3"/>
        <v>8046570.7</v>
      </c>
      <c r="U1193" s="168">
        <f t="shared" si="4"/>
        <v>0</v>
      </c>
      <c r="V1193" s="168">
        <f t="shared" si="5"/>
        <v>0</v>
      </c>
      <c r="W1193" s="168">
        <f t="shared" si="6"/>
        <v>0</v>
      </c>
      <c r="X1193" s="168">
        <f t="shared" si="7"/>
        <v>0</v>
      </c>
      <c r="Y1193" s="168">
        <f t="shared" si="8"/>
        <v>0</v>
      </c>
      <c r="Z1193" s="168">
        <f t="shared" si="9"/>
        <v>0</v>
      </c>
    </row>
    <row r="1194" ht="14.25" customHeight="1">
      <c r="A1194" s="157" t="s">
        <v>1137</v>
      </c>
      <c r="B1194" s="158" t="s">
        <v>29</v>
      </c>
      <c r="C1194" s="158" t="s">
        <v>1133</v>
      </c>
      <c r="D1194" s="159">
        <v>43797.0</v>
      </c>
      <c r="E1194" s="157" t="s">
        <v>731</v>
      </c>
      <c r="F1194" s="160">
        <v>735762.6</v>
      </c>
      <c r="G1194" s="160">
        <v>117722.02</v>
      </c>
      <c r="H1194" s="160">
        <f t="shared" si="43"/>
        <v>853484.62</v>
      </c>
      <c r="I1194" s="160"/>
      <c r="J1194" s="161"/>
      <c r="K1194" s="160"/>
      <c r="L1194" s="160">
        <f>+'FACP$'!$H1194-'FACP$'!$I1194-'FACP$'!$K1194</f>
        <v>853484.62</v>
      </c>
      <c r="M1194" s="162" t="s">
        <v>825</v>
      </c>
      <c r="N1194" s="162" t="s">
        <v>554</v>
      </c>
      <c r="O1194" s="175">
        <v>43812.0</v>
      </c>
      <c r="P1194" s="164">
        <f t="shared" si="13"/>
        <v>43807</v>
      </c>
      <c r="Q1194" s="165">
        <f t="shared" si="2"/>
        <v>0</v>
      </c>
      <c r="R1194" s="167"/>
      <c r="S1194" s="167"/>
      <c r="T1194" s="168">
        <f t="shared" si="3"/>
        <v>853484.62</v>
      </c>
      <c r="U1194" s="168">
        <f t="shared" si="4"/>
        <v>0</v>
      </c>
      <c r="V1194" s="168">
        <f t="shared" si="5"/>
        <v>0</v>
      </c>
      <c r="W1194" s="168">
        <f t="shared" si="6"/>
        <v>0</v>
      </c>
      <c r="X1194" s="168">
        <f t="shared" si="7"/>
        <v>0</v>
      </c>
      <c r="Y1194" s="168">
        <f t="shared" si="8"/>
        <v>0</v>
      </c>
      <c r="Z1194" s="168">
        <f t="shared" si="9"/>
        <v>0</v>
      </c>
    </row>
    <row r="1195" ht="14.25" customHeight="1">
      <c r="A1195" s="157" t="s">
        <v>1138</v>
      </c>
      <c r="B1195" s="158" t="s">
        <v>29</v>
      </c>
      <c r="C1195" s="158" t="s">
        <v>1120</v>
      </c>
      <c r="D1195" s="159">
        <v>43797.0</v>
      </c>
      <c r="E1195" s="157" t="s">
        <v>731</v>
      </c>
      <c r="F1195" s="160">
        <v>212377.2</v>
      </c>
      <c r="G1195" s="160">
        <v>33980.35</v>
      </c>
      <c r="H1195" s="160">
        <f t="shared" si="43"/>
        <v>246357.55</v>
      </c>
      <c r="I1195" s="160"/>
      <c r="J1195" s="161"/>
      <c r="K1195" s="160"/>
      <c r="L1195" s="160">
        <f>+'FACP$'!$H1195-'FACP$'!$I1195-'FACP$'!$K1195</f>
        <v>246357.55</v>
      </c>
      <c r="M1195" s="162" t="s">
        <v>130</v>
      </c>
      <c r="N1195" s="162" t="s">
        <v>554</v>
      </c>
      <c r="O1195" s="175">
        <v>43812.0</v>
      </c>
      <c r="P1195" s="164">
        <f t="shared" si="13"/>
        <v>43807</v>
      </c>
      <c r="Q1195" s="165">
        <f t="shared" si="2"/>
        <v>0</v>
      </c>
      <c r="R1195" s="167"/>
      <c r="S1195" s="167"/>
      <c r="T1195" s="168">
        <f t="shared" si="3"/>
        <v>246357.55</v>
      </c>
      <c r="U1195" s="168">
        <f t="shared" si="4"/>
        <v>0</v>
      </c>
      <c r="V1195" s="168">
        <f t="shared" si="5"/>
        <v>0</v>
      </c>
      <c r="W1195" s="168">
        <f t="shared" si="6"/>
        <v>0</v>
      </c>
      <c r="X1195" s="168">
        <f t="shared" si="7"/>
        <v>0</v>
      </c>
      <c r="Y1195" s="168">
        <f t="shared" si="8"/>
        <v>0</v>
      </c>
      <c r="Z1195" s="168">
        <f t="shared" si="9"/>
        <v>0</v>
      </c>
    </row>
    <row r="1196" ht="14.25" customHeight="1">
      <c r="A1196" s="157" t="s">
        <v>1139</v>
      </c>
      <c r="B1196" s="158" t="s">
        <v>29</v>
      </c>
      <c r="C1196" s="158" t="s">
        <v>1140</v>
      </c>
      <c r="D1196" s="159">
        <v>43797.0</v>
      </c>
      <c r="E1196" s="157" t="s">
        <v>731</v>
      </c>
      <c r="F1196" s="160">
        <v>319247.19</v>
      </c>
      <c r="G1196" s="160">
        <v>51079.55</v>
      </c>
      <c r="H1196" s="160">
        <f t="shared" si="43"/>
        <v>370326.74</v>
      </c>
      <c r="I1196" s="160"/>
      <c r="J1196" s="161"/>
      <c r="K1196" s="160"/>
      <c r="L1196" s="160">
        <f>+'FACP$'!$H1196-'FACP$'!$I1196-'FACP$'!$K1196</f>
        <v>370326.74</v>
      </c>
      <c r="M1196" s="162" t="s">
        <v>130</v>
      </c>
      <c r="N1196" s="162" t="s">
        <v>554</v>
      </c>
      <c r="O1196" s="175">
        <v>43812.0</v>
      </c>
      <c r="P1196" s="164">
        <f t="shared" si="13"/>
        <v>43807</v>
      </c>
      <c r="Q1196" s="165">
        <f t="shared" si="2"/>
        <v>0</v>
      </c>
      <c r="R1196" s="167"/>
      <c r="S1196" s="167"/>
      <c r="T1196" s="168">
        <f t="shared" si="3"/>
        <v>370326.74</v>
      </c>
      <c r="U1196" s="168">
        <f t="shared" si="4"/>
        <v>0</v>
      </c>
      <c r="V1196" s="168">
        <f t="shared" si="5"/>
        <v>0</v>
      </c>
      <c r="W1196" s="168">
        <f t="shared" si="6"/>
        <v>0</v>
      </c>
      <c r="X1196" s="168">
        <f t="shared" si="7"/>
        <v>0</v>
      </c>
      <c r="Y1196" s="168">
        <f t="shared" si="8"/>
        <v>0</v>
      </c>
      <c r="Z1196" s="168">
        <f t="shared" si="9"/>
        <v>0</v>
      </c>
    </row>
    <row r="1197" ht="14.25" customHeight="1">
      <c r="A1197" s="157" t="s">
        <v>1141</v>
      </c>
      <c r="B1197" s="158" t="s">
        <v>37</v>
      </c>
      <c r="C1197" s="158" t="s">
        <v>1120</v>
      </c>
      <c r="D1197" s="159">
        <v>43797.0</v>
      </c>
      <c r="E1197" s="157" t="s">
        <v>731</v>
      </c>
      <c r="F1197" s="160">
        <v>880966.8</v>
      </c>
      <c r="G1197" s="160">
        <v>140954.69</v>
      </c>
      <c r="H1197" s="160">
        <f t="shared" si="43"/>
        <v>1021921.49</v>
      </c>
      <c r="I1197" s="160"/>
      <c r="J1197" s="161"/>
      <c r="K1197" s="160"/>
      <c r="L1197" s="160">
        <f>+'FACP$'!$H1197-'FACP$'!$I1197-'FACP$'!$K1197</f>
        <v>1021921.49</v>
      </c>
      <c r="M1197" s="162" t="s">
        <v>116</v>
      </c>
      <c r="N1197" s="162" t="s">
        <v>554</v>
      </c>
      <c r="O1197" s="175">
        <v>43816.0</v>
      </c>
      <c r="P1197" s="164">
        <f t="shared" si="13"/>
        <v>43807</v>
      </c>
      <c r="Q1197" s="165">
        <f t="shared" si="2"/>
        <v>0</v>
      </c>
      <c r="R1197" s="167"/>
      <c r="S1197" s="220" t="s">
        <v>910</v>
      </c>
      <c r="T1197" s="168">
        <f t="shared" si="3"/>
        <v>1021921.49</v>
      </c>
      <c r="U1197" s="168">
        <f t="shared" si="4"/>
        <v>0</v>
      </c>
      <c r="V1197" s="168">
        <f t="shared" si="5"/>
        <v>0</v>
      </c>
      <c r="W1197" s="168">
        <f t="shared" si="6"/>
        <v>0</v>
      </c>
      <c r="X1197" s="168">
        <f t="shared" si="7"/>
        <v>0</v>
      </c>
      <c r="Y1197" s="168">
        <f t="shared" si="8"/>
        <v>0</v>
      </c>
      <c r="Z1197" s="168">
        <f t="shared" si="9"/>
        <v>0</v>
      </c>
    </row>
    <row r="1198" ht="14.25" customHeight="1">
      <c r="A1198" s="157" t="s">
        <v>1142</v>
      </c>
      <c r="B1198" s="158" t="s">
        <v>16</v>
      </c>
      <c r="C1198" s="158" t="s">
        <v>1133</v>
      </c>
      <c r="D1198" s="159">
        <v>43797.0</v>
      </c>
      <c r="E1198" s="157" t="s">
        <v>731</v>
      </c>
      <c r="F1198" s="160">
        <v>1335959.08</v>
      </c>
      <c r="G1198" s="160">
        <v>213753.45</v>
      </c>
      <c r="H1198" s="160">
        <f t="shared" si="43"/>
        <v>1549712.53</v>
      </c>
      <c r="I1198" s="160"/>
      <c r="J1198" s="161"/>
      <c r="K1198" s="160"/>
      <c r="L1198" s="160">
        <f>+'FACP$'!$H1198-'FACP$'!$I1198-'FACP$'!$K1198</f>
        <v>1549712.53</v>
      </c>
      <c r="M1198" s="162" t="s">
        <v>985</v>
      </c>
      <c r="N1198" s="162" t="s">
        <v>127</v>
      </c>
      <c r="O1198" s="175"/>
      <c r="P1198" s="164">
        <f t="shared" si="13"/>
        <v>43807</v>
      </c>
      <c r="Q1198" s="165">
        <f t="shared" si="2"/>
        <v>0</v>
      </c>
      <c r="R1198" s="167" t="s">
        <v>1143</v>
      </c>
      <c r="S1198" s="167"/>
      <c r="T1198" s="168">
        <f t="shared" si="3"/>
        <v>1549712.53</v>
      </c>
      <c r="U1198" s="168">
        <f t="shared" si="4"/>
        <v>0</v>
      </c>
      <c r="V1198" s="168">
        <f t="shared" si="5"/>
        <v>0</v>
      </c>
      <c r="W1198" s="168">
        <f t="shared" si="6"/>
        <v>0</v>
      </c>
      <c r="X1198" s="168">
        <f t="shared" si="7"/>
        <v>0</v>
      </c>
      <c r="Y1198" s="168">
        <f t="shared" si="8"/>
        <v>0</v>
      </c>
      <c r="Z1198" s="168">
        <f t="shared" si="9"/>
        <v>0</v>
      </c>
    </row>
    <row r="1199" ht="14.25" customHeight="1">
      <c r="A1199" s="157" t="s">
        <v>1144</v>
      </c>
      <c r="B1199" s="158" t="s">
        <v>29</v>
      </c>
      <c r="C1199" s="158" t="s">
        <v>1133</v>
      </c>
      <c r="D1199" s="159">
        <v>43797.0</v>
      </c>
      <c r="E1199" s="157" t="s">
        <v>731</v>
      </c>
      <c r="F1199" s="160">
        <v>595855.9</v>
      </c>
      <c r="G1199" s="160">
        <v>95336.94</v>
      </c>
      <c r="H1199" s="160">
        <f t="shared" si="43"/>
        <v>691192.84</v>
      </c>
      <c r="I1199" s="160"/>
      <c r="J1199" s="161"/>
      <c r="K1199" s="160"/>
      <c r="L1199" s="160">
        <f>+'FACP$'!$H1199-'FACP$'!$I1199-'FACP$'!$K1199</f>
        <v>691192.84</v>
      </c>
      <c r="M1199" s="162" t="s">
        <v>130</v>
      </c>
      <c r="N1199" s="162" t="s">
        <v>554</v>
      </c>
      <c r="O1199" s="175">
        <v>43812.0</v>
      </c>
      <c r="P1199" s="164">
        <f t="shared" si="13"/>
        <v>43807</v>
      </c>
      <c r="Q1199" s="165">
        <f t="shared" si="2"/>
        <v>0</v>
      </c>
      <c r="R1199" s="167"/>
      <c r="S1199" s="167"/>
      <c r="T1199" s="168">
        <f t="shared" si="3"/>
        <v>691192.84</v>
      </c>
      <c r="U1199" s="168">
        <f t="shared" si="4"/>
        <v>0</v>
      </c>
      <c r="V1199" s="168">
        <f t="shared" si="5"/>
        <v>0</v>
      </c>
      <c r="W1199" s="168">
        <f t="shared" si="6"/>
        <v>0</v>
      </c>
      <c r="X1199" s="168">
        <f t="shared" si="7"/>
        <v>0</v>
      </c>
      <c r="Y1199" s="168">
        <f t="shared" si="8"/>
        <v>0</v>
      </c>
      <c r="Z1199" s="168">
        <f t="shared" si="9"/>
        <v>0</v>
      </c>
    </row>
    <row r="1200" ht="14.25" customHeight="1">
      <c r="A1200" s="157" t="s">
        <v>1145</v>
      </c>
      <c r="B1200" s="158" t="s">
        <v>19</v>
      </c>
      <c r="C1200" s="158" t="s">
        <v>1120</v>
      </c>
      <c r="D1200" s="159">
        <v>43797.0</v>
      </c>
      <c r="E1200" s="157" t="s">
        <v>731</v>
      </c>
      <c r="F1200" s="160">
        <v>10962.4</v>
      </c>
      <c r="G1200" s="160">
        <v>1753.98</v>
      </c>
      <c r="H1200" s="160">
        <f t="shared" si="43"/>
        <v>12716.38</v>
      </c>
      <c r="I1200" s="160"/>
      <c r="J1200" s="161"/>
      <c r="K1200" s="160"/>
      <c r="L1200" s="160">
        <f>+'FACP$'!$H1200-'FACP$'!$I1200-'FACP$'!$K1200</f>
        <v>12716.38</v>
      </c>
      <c r="M1200" s="162" t="s">
        <v>732</v>
      </c>
      <c r="N1200" s="162" t="s">
        <v>554</v>
      </c>
      <c r="O1200" s="175">
        <v>43805.0</v>
      </c>
      <c r="P1200" s="164">
        <f t="shared" si="13"/>
        <v>43807</v>
      </c>
      <c r="Q1200" s="165">
        <f t="shared" si="2"/>
        <v>0</v>
      </c>
      <c r="R1200" s="167"/>
      <c r="S1200" s="220" t="s">
        <v>910</v>
      </c>
      <c r="T1200" s="168">
        <f t="shared" si="3"/>
        <v>12716.38</v>
      </c>
      <c r="U1200" s="168">
        <f t="shared" si="4"/>
        <v>0</v>
      </c>
      <c r="V1200" s="168">
        <f t="shared" si="5"/>
        <v>0</v>
      </c>
      <c r="W1200" s="168">
        <f t="shared" si="6"/>
        <v>0</v>
      </c>
      <c r="X1200" s="168">
        <f t="shared" si="7"/>
        <v>0</v>
      </c>
      <c r="Y1200" s="168">
        <f t="shared" si="8"/>
        <v>0</v>
      </c>
      <c r="Z1200" s="168">
        <f t="shared" si="9"/>
        <v>0</v>
      </c>
    </row>
    <row r="1201" ht="14.25" customHeight="1">
      <c r="A1201" s="157" t="s">
        <v>1146</v>
      </c>
      <c r="B1201" s="158" t="s">
        <v>18</v>
      </c>
      <c r="C1201" s="158" t="s">
        <v>1120</v>
      </c>
      <c r="D1201" s="159">
        <v>43797.0</v>
      </c>
      <c r="E1201" s="157" t="s">
        <v>731</v>
      </c>
      <c r="F1201" s="160">
        <v>113484.0</v>
      </c>
      <c r="G1201" s="160">
        <v>18157.44</v>
      </c>
      <c r="H1201" s="160">
        <f t="shared" si="43"/>
        <v>131641.44</v>
      </c>
      <c r="I1201" s="160"/>
      <c r="J1201" s="161"/>
      <c r="K1201" s="160"/>
      <c r="L1201" s="160">
        <f>+'FACP$'!$H1201-'FACP$'!$I1201-'FACP$'!$K1201</f>
        <v>131641.44</v>
      </c>
      <c r="M1201" s="162" t="s">
        <v>586</v>
      </c>
      <c r="N1201" s="162" t="s">
        <v>554</v>
      </c>
      <c r="O1201" s="175">
        <v>43805.0</v>
      </c>
      <c r="P1201" s="164">
        <f t="shared" si="13"/>
        <v>43807</v>
      </c>
      <c r="Q1201" s="165">
        <f t="shared" si="2"/>
        <v>0</v>
      </c>
      <c r="R1201" s="167"/>
      <c r="S1201" s="220" t="s">
        <v>910</v>
      </c>
      <c r="T1201" s="168">
        <f t="shared" si="3"/>
        <v>131641.44</v>
      </c>
      <c r="U1201" s="168">
        <f t="shared" si="4"/>
        <v>0</v>
      </c>
      <c r="V1201" s="168">
        <f t="shared" si="5"/>
        <v>0</v>
      </c>
      <c r="W1201" s="168">
        <f t="shared" si="6"/>
        <v>0</v>
      </c>
      <c r="X1201" s="168">
        <f t="shared" si="7"/>
        <v>0</v>
      </c>
      <c r="Y1201" s="168">
        <f t="shared" si="8"/>
        <v>0</v>
      </c>
      <c r="Z1201" s="168">
        <f t="shared" si="9"/>
        <v>0</v>
      </c>
    </row>
    <row r="1202" ht="14.25" customHeight="1">
      <c r="A1202" s="157" t="s">
        <v>1147</v>
      </c>
      <c r="B1202" s="158" t="s">
        <v>16</v>
      </c>
      <c r="C1202" s="158" t="s">
        <v>1120</v>
      </c>
      <c r="D1202" s="159">
        <v>43797.0</v>
      </c>
      <c r="E1202" s="157" t="s">
        <v>731</v>
      </c>
      <c r="F1202" s="160">
        <v>230339.16</v>
      </c>
      <c r="G1202" s="160">
        <v>36854.27</v>
      </c>
      <c r="H1202" s="160">
        <f t="shared" si="43"/>
        <v>267193.43</v>
      </c>
      <c r="I1202" s="160"/>
      <c r="J1202" s="161"/>
      <c r="K1202" s="160"/>
      <c r="L1202" s="160">
        <f>+'FACP$'!$H1202-'FACP$'!$I1202-'FACP$'!$K1202</f>
        <v>267193.43</v>
      </c>
      <c r="M1202" s="162" t="s">
        <v>985</v>
      </c>
      <c r="N1202" s="162" t="s">
        <v>554</v>
      </c>
      <c r="O1202" s="175">
        <v>43804.0</v>
      </c>
      <c r="P1202" s="164">
        <f t="shared" si="13"/>
        <v>43807</v>
      </c>
      <c r="Q1202" s="165">
        <f t="shared" si="2"/>
        <v>0</v>
      </c>
      <c r="R1202" s="167"/>
      <c r="S1202" s="167"/>
      <c r="T1202" s="168">
        <f t="shared" si="3"/>
        <v>267193.43</v>
      </c>
      <c r="U1202" s="168">
        <f t="shared" si="4"/>
        <v>0</v>
      </c>
      <c r="V1202" s="168">
        <f t="shared" si="5"/>
        <v>0</v>
      </c>
      <c r="W1202" s="168">
        <f t="shared" si="6"/>
        <v>0</v>
      </c>
      <c r="X1202" s="168">
        <f t="shared" si="7"/>
        <v>0</v>
      </c>
      <c r="Y1202" s="168">
        <f t="shared" si="8"/>
        <v>0</v>
      </c>
      <c r="Z1202" s="168">
        <f t="shared" si="9"/>
        <v>0</v>
      </c>
    </row>
    <row r="1203" ht="14.25" customHeight="1">
      <c r="A1203" s="157" t="s">
        <v>1148</v>
      </c>
      <c r="B1203" s="158" t="s">
        <v>16</v>
      </c>
      <c r="C1203" s="158" t="s">
        <v>1140</v>
      </c>
      <c r="D1203" s="159">
        <v>43797.0</v>
      </c>
      <c r="E1203" s="157" t="s">
        <v>731</v>
      </c>
      <c r="F1203" s="160">
        <v>330512.91</v>
      </c>
      <c r="G1203" s="160">
        <v>52882.07</v>
      </c>
      <c r="H1203" s="160">
        <f t="shared" si="43"/>
        <v>383394.98</v>
      </c>
      <c r="I1203" s="160"/>
      <c r="J1203" s="161"/>
      <c r="K1203" s="160"/>
      <c r="L1203" s="160">
        <f>+'FACP$'!$H1203-'FACP$'!$I1203-'FACP$'!$K1203</f>
        <v>383394.98</v>
      </c>
      <c r="M1203" s="162" t="s">
        <v>985</v>
      </c>
      <c r="N1203" s="162" t="s">
        <v>554</v>
      </c>
      <c r="O1203" s="175">
        <v>43804.0</v>
      </c>
      <c r="P1203" s="164">
        <f t="shared" si="13"/>
        <v>43807</v>
      </c>
      <c r="Q1203" s="165">
        <f t="shared" si="2"/>
        <v>0</v>
      </c>
      <c r="R1203" s="167"/>
      <c r="S1203" s="167"/>
      <c r="T1203" s="168">
        <f t="shared" si="3"/>
        <v>383394.98</v>
      </c>
      <c r="U1203" s="168">
        <f t="shared" si="4"/>
        <v>0</v>
      </c>
      <c r="V1203" s="168">
        <f t="shared" si="5"/>
        <v>0</v>
      </c>
      <c r="W1203" s="168">
        <f t="shared" si="6"/>
        <v>0</v>
      </c>
      <c r="X1203" s="168">
        <f t="shared" si="7"/>
        <v>0</v>
      </c>
      <c r="Y1203" s="168">
        <f t="shared" si="8"/>
        <v>0</v>
      </c>
      <c r="Z1203" s="168">
        <f t="shared" si="9"/>
        <v>0</v>
      </c>
    </row>
    <row r="1204" ht="14.25" customHeight="1">
      <c r="A1204" s="157" t="s">
        <v>1149</v>
      </c>
      <c r="B1204" s="158" t="s">
        <v>43</v>
      </c>
      <c r="C1204" s="158" t="s">
        <v>1150</v>
      </c>
      <c r="D1204" s="159">
        <v>43802.0</v>
      </c>
      <c r="E1204" s="157" t="s">
        <v>731</v>
      </c>
      <c r="F1204" s="160">
        <v>807673.58</v>
      </c>
      <c r="G1204" s="160">
        <v>129227.77</v>
      </c>
      <c r="H1204" s="160">
        <f t="shared" si="43"/>
        <v>936901.35</v>
      </c>
      <c r="I1204" s="160"/>
      <c r="J1204" s="161"/>
      <c r="K1204" s="160"/>
      <c r="L1204" s="160">
        <f>+'FACP$'!$H1204-'FACP$'!$I1204-'FACP$'!$K1204</f>
        <v>936901.35</v>
      </c>
      <c r="M1204" s="162" t="s">
        <v>43</v>
      </c>
      <c r="N1204" s="162" t="s">
        <v>554</v>
      </c>
      <c r="O1204" s="175">
        <v>43812.0</v>
      </c>
      <c r="P1204" s="164">
        <f t="shared" si="13"/>
        <v>43812</v>
      </c>
      <c r="Q1204" s="165">
        <f t="shared" si="2"/>
        <v>0</v>
      </c>
      <c r="R1204" s="167"/>
      <c r="S1204" s="167" t="s">
        <v>910</v>
      </c>
      <c r="T1204" s="168">
        <f t="shared" si="3"/>
        <v>936901.35</v>
      </c>
      <c r="U1204" s="168">
        <f t="shared" si="4"/>
        <v>0</v>
      </c>
      <c r="V1204" s="168">
        <f t="shared" si="5"/>
        <v>0</v>
      </c>
      <c r="W1204" s="168">
        <f t="shared" si="6"/>
        <v>0</v>
      </c>
      <c r="X1204" s="168">
        <f t="shared" si="7"/>
        <v>0</v>
      </c>
      <c r="Y1204" s="168">
        <f t="shared" si="8"/>
        <v>0</v>
      </c>
      <c r="Z1204" s="168">
        <f t="shared" si="9"/>
        <v>0</v>
      </c>
    </row>
    <row r="1205" ht="14.25" customHeight="1">
      <c r="A1205" s="157" t="s">
        <v>1151</v>
      </c>
      <c r="B1205" s="158" t="s">
        <v>36</v>
      </c>
      <c r="C1205" s="158" t="s">
        <v>1152</v>
      </c>
      <c r="D1205" s="159">
        <v>43802.0</v>
      </c>
      <c r="E1205" s="157" t="s">
        <v>731</v>
      </c>
      <c r="F1205" s="160">
        <v>86188.8</v>
      </c>
      <c r="G1205" s="160">
        <v>13790.21</v>
      </c>
      <c r="H1205" s="160">
        <f t="shared" si="43"/>
        <v>99979.01</v>
      </c>
      <c r="I1205" s="160"/>
      <c r="J1205" s="161"/>
      <c r="K1205" s="160"/>
      <c r="L1205" s="160">
        <f>+'FACP$'!$H1205-'FACP$'!$I1205-'FACP$'!$K1205</f>
        <v>99979.01</v>
      </c>
      <c r="M1205" s="162" t="s">
        <v>278</v>
      </c>
      <c r="N1205" s="162" t="s">
        <v>554</v>
      </c>
      <c r="O1205" s="175">
        <v>43826.0</v>
      </c>
      <c r="P1205" s="164">
        <f t="shared" si="13"/>
        <v>43812</v>
      </c>
      <c r="Q1205" s="165">
        <f t="shared" si="2"/>
        <v>0</v>
      </c>
      <c r="R1205" s="167"/>
      <c r="S1205" s="220" t="s">
        <v>910</v>
      </c>
      <c r="T1205" s="168">
        <f t="shared" si="3"/>
        <v>99979.01</v>
      </c>
      <c r="U1205" s="168">
        <f t="shared" si="4"/>
        <v>0</v>
      </c>
      <c r="V1205" s="168">
        <f t="shared" si="5"/>
        <v>0</v>
      </c>
      <c r="W1205" s="168">
        <f t="shared" si="6"/>
        <v>0</v>
      </c>
      <c r="X1205" s="168">
        <f t="shared" si="7"/>
        <v>0</v>
      </c>
      <c r="Y1205" s="168">
        <f t="shared" si="8"/>
        <v>0</v>
      </c>
      <c r="Z1205" s="168">
        <f t="shared" si="9"/>
        <v>0</v>
      </c>
    </row>
    <row r="1206" ht="14.25" customHeight="1">
      <c r="A1206" s="157" t="s">
        <v>1153</v>
      </c>
      <c r="B1206" s="158" t="s">
        <v>30</v>
      </c>
      <c r="C1206" s="158" t="s">
        <v>1154</v>
      </c>
      <c r="D1206" s="159">
        <v>43802.0</v>
      </c>
      <c r="E1206" s="157" t="s">
        <v>731</v>
      </c>
      <c r="F1206" s="160">
        <v>171929.76</v>
      </c>
      <c r="G1206" s="160">
        <v>27508.76</v>
      </c>
      <c r="H1206" s="160">
        <f t="shared" si="43"/>
        <v>199438.52</v>
      </c>
      <c r="I1206" s="160"/>
      <c r="J1206" s="161"/>
      <c r="K1206" s="160"/>
      <c r="L1206" s="160">
        <f>+'FACP$'!$H1206-'FACP$'!$I1206-'FACP$'!$K1206</f>
        <v>199438.52</v>
      </c>
      <c r="M1206" s="162" t="s">
        <v>891</v>
      </c>
      <c r="N1206" s="162" t="s">
        <v>554</v>
      </c>
      <c r="O1206" s="175">
        <v>43861.0</v>
      </c>
      <c r="P1206" s="164">
        <f t="shared" si="13"/>
        <v>43812</v>
      </c>
      <c r="Q1206" s="165">
        <f t="shared" si="2"/>
        <v>0</v>
      </c>
      <c r="R1206" s="167"/>
      <c r="S1206" s="167" t="s">
        <v>910</v>
      </c>
      <c r="T1206" s="168">
        <f t="shared" si="3"/>
        <v>199438.52</v>
      </c>
      <c r="U1206" s="168">
        <f t="shared" si="4"/>
        <v>0</v>
      </c>
      <c r="V1206" s="168">
        <f t="shared" si="5"/>
        <v>0</v>
      </c>
      <c r="W1206" s="168">
        <f t="shared" si="6"/>
        <v>0</v>
      </c>
      <c r="X1206" s="168">
        <f t="shared" si="7"/>
        <v>0</v>
      </c>
      <c r="Y1206" s="168">
        <f t="shared" si="8"/>
        <v>0</v>
      </c>
      <c r="Z1206" s="168">
        <f t="shared" si="9"/>
        <v>0</v>
      </c>
    </row>
    <row r="1207" ht="14.25" customHeight="1">
      <c r="A1207" s="157" t="s">
        <v>1155</v>
      </c>
      <c r="B1207" s="158" t="s">
        <v>33</v>
      </c>
      <c r="C1207" s="158" t="s">
        <v>1154</v>
      </c>
      <c r="D1207" s="159">
        <v>43802.0</v>
      </c>
      <c r="E1207" s="157" t="s">
        <v>731</v>
      </c>
      <c r="F1207" s="160">
        <v>402321.6</v>
      </c>
      <c r="G1207" s="160">
        <v>64371.46</v>
      </c>
      <c r="H1207" s="160">
        <f t="shared" si="43"/>
        <v>466693.06</v>
      </c>
      <c r="I1207" s="160"/>
      <c r="J1207" s="161"/>
      <c r="K1207" s="160"/>
      <c r="L1207" s="160">
        <f>+'FACP$'!$H1207-'FACP$'!$I1207-'FACP$'!$K1207</f>
        <v>466693.06</v>
      </c>
      <c r="M1207" s="162" t="s">
        <v>958</v>
      </c>
      <c r="N1207" s="162" t="s">
        <v>554</v>
      </c>
      <c r="O1207" s="175">
        <v>43817.0</v>
      </c>
      <c r="P1207" s="164">
        <f t="shared" si="13"/>
        <v>43812</v>
      </c>
      <c r="Q1207" s="165">
        <f t="shared" si="2"/>
        <v>0</v>
      </c>
      <c r="R1207" s="167"/>
      <c r="S1207" s="167" t="s">
        <v>910</v>
      </c>
      <c r="T1207" s="168">
        <f t="shared" si="3"/>
        <v>466693.06</v>
      </c>
      <c r="U1207" s="168">
        <f t="shared" si="4"/>
        <v>0</v>
      </c>
      <c r="V1207" s="168">
        <f t="shared" si="5"/>
        <v>0</v>
      </c>
      <c r="W1207" s="168">
        <f t="shared" si="6"/>
        <v>0</v>
      </c>
      <c r="X1207" s="168">
        <f t="shared" si="7"/>
        <v>0</v>
      </c>
      <c r="Y1207" s="168">
        <f t="shared" si="8"/>
        <v>0</v>
      </c>
      <c r="Z1207" s="168">
        <f t="shared" si="9"/>
        <v>0</v>
      </c>
    </row>
    <row r="1208" ht="14.25" customHeight="1">
      <c r="A1208" s="157" t="s">
        <v>1156</v>
      </c>
      <c r="B1208" s="158" t="s">
        <v>82</v>
      </c>
      <c r="C1208" s="158" t="s">
        <v>1157</v>
      </c>
      <c r="D1208" s="159">
        <v>43802.0</v>
      </c>
      <c r="E1208" s="157" t="s">
        <v>731</v>
      </c>
      <c r="F1208" s="160">
        <v>50000.0</v>
      </c>
      <c r="G1208" s="160">
        <v>8000.0</v>
      </c>
      <c r="H1208" s="160">
        <f t="shared" si="43"/>
        <v>58000</v>
      </c>
      <c r="I1208" s="160"/>
      <c r="J1208" s="161"/>
      <c r="K1208" s="160"/>
      <c r="L1208" s="160">
        <f>+'FACP$'!$H1208-'FACP$'!$I1208-'FACP$'!$K1208</f>
        <v>58000</v>
      </c>
      <c r="M1208" s="162" t="s">
        <v>714</v>
      </c>
      <c r="N1208" s="162" t="s">
        <v>127</v>
      </c>
      <c r="O1208" s="175"/>
      <c r="P1208" s="164">
        <f t="shared" si="13"/>
        <v>43812</v>
      </c>
      <c r="Q1208" s="165">
        <f t="shared" si="2"/>
        <v>0</v>
      </c>
      <c r="R1208" s="167"/>
      <c r="S1208" s="167"/>
      <c r="T1208" s="168">
        <f t="shared" si="3"/>
        <v>58000</v>
      </c>
      <c r="U1208" s="168">
        <f t="shared" si="4"/>
        <v>0</v>
      </c>
      <c r="V1208" s="168">
        <f t="shared" si="5"/>
        <v>0</v>
      </c>
      <c r="W1208" s="168">
        <f t="shared" si="6"/>
        <v>0</v>
      </c>
      <c r="X1208" s="168">
        <f t="shared" si="7"/>
        <v>0</v>
      </c>
      <c r="Y1208" s="168">
        <f t="shared" si="8"/>
        <v>0</v>
      </c>
      <c r="Z1208" s="168">
        <f t="shared" si="9"/>
        <v>0</v>
      </c>
    </row>
    <row r="1209" ht="14.25" customHeight="1">
      <c r="A1209" s="157" t="s">
        <v>1158</v>
      </c>
      <c r="B1209" s="158" t="s">
        <v>82</v>
      </c>
      <c r="C1209" s="158" t="s">
        <v>1159</v>
      </c>
      <c r="D1209" s="159">
        <v>43802.0</v>
      </c>
      <c r="E1209" s="157" t="s">
        <v>731</v>
      </c>
      <c r="F1209" s="160">
        <v>20000.0</v>
      </c>
      <c r="G1209" s="160">
        <v>3200.0</v>
      </c>
      <c r="H1209" s="160">
        <f t="shared" si="43"/>
        <v>23200</v>
      </c>
      <c r="I1209" s="160"/>
      <c r="J1209" s="161"/>
      <c r="K1209" s="160"/>
      <c r="L1209" s="160">
        <f>+'FACP$'!$H1209-'FACP$'!$I1209-'FACP$'!$K1209</f>
        <v>23200</v>
      </c>
      <c r="M1209" s="162" t="s">
        <v>714</v>
      </c>
      <c r="N1209" s="162" t="s">
        <v>127</v>
      </c>
      <c r="O1209" s="175"/>
      <c r="P1209" s="164">
        <f t="shared" si="13"/>
        <v>43812</v>
      </c>
      <c r="Q1209" s="165">
        <f t="shared" si="2"/>
        <v>0</v>
      </c>
      <c r="R1209" s="167"/>
      <c r="S1209" s="167"/>
      <c r="T1209" s="168">
        <f t="shared" si="3"/>
        <v>23200</v>
      </c>
      <c r="U1209" s="168">
        <f t="shared" si="4"/>
        <v>0</v>
      </c>
      <c r="V1209" s="168">
        <f t="shared" si="5"/>
        <v>0</v>
      </c>
      <c r="W1209" s="168">
        <f t="shared" si="6"/>
        <v>0</v>
      </c>
      <c r="X1209" s="168">
        <f t="shared" si="7"/>
        <v>0</v>
      </c>
      <c r="Y1209" s="168">
        <f t="shared" si="8"/>
        <v>0</v>
      </c>
      <c r="Z1209" s="168">
        <f t="shared" si="9"/>
        <v>0</v>
      </c>
    </row>
    <row r="1210" ht="14.25" customHeight="1">
      <c r="A1210" s="157" t="s">
        <v>1160</v>
      </c>
      <c r="B1210" s="158" t="s">
        <v>837</v>
      </c>
      <c r="C1210" s="158" t="s">
        <v>1161</v>
      </c>
      <c r="D1210" s="159">
        <v>43803.0</v>
      </c>
      <c r="E1210" s="157" t="s">
        <v>731</v>
      </c>
      <c r="F1210" s="160">
        <v>1231392.98</v>
      </c>
      <c r="G1210" s="160">
        <v>197022.88</v>
      </c>
      <c r="H1210" s="160">
        <f t="shared" si="43"/>
        <v>1428415.86</v>
      </c>
      <c r="I1210" s="160"/>
      <c r="J1210" s="161"/>
      <c r="K1210" s="160"/>
      <c r="L1210" s="160">
        <f>+'FACP$'!$H1210-'FACP$'!$I1210-'FACP$'!$K1210</f>
        <v>1428415.86</v>
      </c>
      <c r="M1210" s="162" t="s">
        <v>837</v>
      </c>
      <c r="N1210" s="162" t="s">
        <v>554</v>
      </c>
      <c r="O1210" s="175">
        <v>43804.0</v>
      </c>
      <c r="P1210" s="164">
        <f t="shared" si="13"/>
        <v>43813</v>
      </c>
      <c r="Q1210" s="165">
        <f t="shared" si="2"/>
        <v>0</v>
      </c>
      <c r="R1210" s="167"/>
      <c r="S1210" s="167" t="s">
        <v>910</v>
      </c>
      <c r="T1210" s="168">
        <f t="shared" si="3"/>
        <v>1428415.86</v>
      </c>
      <c r="U1210" s="168">
        <f t="shared" si="4"/>
        <v>0</v>
      </c>
      <c r="V1210" s="168">
        <f t="shared" si="5"/>
        <v>0</v>
      </c>
      <c r="W1210" s="168">
        <f t="shared" si="6"/>
        <v>0</v>
      </c>
      <c r="X1210" s="168">
        <f t="shared" si="7"/>
        <v>0</v>
      </c>
      <c r="Y1210" s="168">
        <f t="shared" si="8"/>
        <v>0</v>
      </c>
      <c r="Z1210" s="168">
        <f t="shared" si="9"/>
        <v>0</v>
      </c>
    </row>
    <row r="1211" ht="14.25" customHeight="1">
      <c r="A1211" s="157" t="s">
        <v>1162</v>
      </c>
      <c r="B1211" s="158" t="s">
        <v>837</v>
      </c>
      <c r="C1211" s="158" t="s">
        <v>1163</v>
      </c>
      <c r="D1211" s="159">
        <v>43803.0</v>
      </c>
      <c r="E1211" s="157" t="s">
        <v>731</v>
      </c>
      <c r="F1211" s="160">
        <v>6076.49</v>
      </c>
      <c r="G1211" s="160">
        <v>972.24</v>
      </c>
      <c r="H1211" s="160">
        <f t="shared" si="43"/>
        <v>7048.73</v>
      </c>
      <c r="I1211" s="160"/>
      <c r="J1211" s="161"/>
      <c r="K1211" s="160"/>
      <c r="L1211" s="160">
        <f>+'FACP$'!$H1211-'FACP$'!$I1211-'FACP$'!$K1211</f>
        <v>7048.73</v>
      </c>
      <c r="M1211" s="162" t="s">
        <v>837</v>
      </c>
      <c r="N1211" s="162" t="s">
        <v>554</v>
      </c>
      <c r="O1211" s="175">
        <v>43829.0</v>
      </c>
      <c r="P1211" s="164">
        <f t="shared" si="13"/>
        <v>43813</v>
      </c>
      <c r="Q1211" s="165">
        <f t="shared" si="2"/>
        <v>0</v>
      </c>
      <c r="R1211" s="167"/>
      <c r="S1211" s="167" t="s">
        <v>910</v>
      </c>
      <c r="T1211" s="168">
        <f t="shared" si="3"/>
        <v>7048.73</v>
      </c>
      <c r="U1211" s="168">
        <f t="shared" si="4"/>
        <v>0</v>
      </c>
      <c r="V1211" s="168">
        <f t="shared" si="5"/>
        <v>0</v>
      </c>
      <c r="W1211" s="168">
        <f t="shared" si="6"/>
        <v>0</v>
      </c>
      <c r="X1211" s="168">
        <f t="shared" si="7"/>
        <v>0</v>
      </c>
      <c r="Y1211" s="168">
        <f t="shared" si="8"/>
        <v>0</v>
      </c>
      <c r="Z1211" s="168">
        <f t="shared" si="9"/>
        <v>0</v>
      </c>
    </row>
    <row r="1212" ht="14.25" customHeight="1">
      <c r="A1212" s="157" t="s">
        <v>1164</v>
      </c>
      <c r="B1212" s="158" t="s">
        <v>1127</v>
      </c>
      <c r="C1212" s="158" t="s">
        <v>1154</v>
      </c>
      <c r="D1212" s="159">
        <v>43803.0</v>
      </c>
      <c r="E1212" s="157" t="s">
        <v>731</v>
      </c>
      <c r="F1212" s="160">
        <v>228.63</v>
      </c>
      <c r="G1212" s="160">
        <v>36.58</v>
      </c>
      <c r="H1212" s="160">
        <f t="shared" si="43"/>
        <v>265.21</v>
      </c>
      <c r="I1212" s="160"/>
      <c r="J1212" s="161"/>
      <c r="K1212" s="160"/>
      <c r="L1212" s="160">
        <f>+'FACP$'!$H1212-'FACP$'!$I1212-'FACP$'!$K1212</f>
        <v>265.21</v>
      </c>
      <c r="M1212" s="162" t="s">
        <v>580</v>
      </c>
      <c r="N1212" s="162" t="s">
        <v>554</v>
      </c>
      <c r="O1212" s="175">
        <v>43874.0</v>
      </c>
      <c r="P1212" s="164">
        <f t="shared" si="13"/>
        <v>43813</v>
      </c>
      <c r="Q1212" s="165">
        <f t="shared" si="2"/>
        <v>0</v>
      </c>
      <c r="R1212" s="167" t="s">
        <v>1128</v>
      </c>
      <c r="S1212" s="167" t="s">
        <v>910</v>
      </c>
      <c r="T1212" s="168">
        <f t="shared" si="3"/>
        <v>265.21</v>
      </c>
      <c r="U1212" s="168">
        <f t="shared" si="4"/>
        <v>0</v>
      </c>
      <c r="V1212" s="168">
        <f t="shared" si="5"/>
        <v>0</v>
      </c>
      <c r="W1212" s="168">
        <f t="shared" si="6"/>
        <v>0</v>
      </c>
      <c r="X1212" s="168">
        <f t="shared" si="7"/>
        <v>0</v>
      </c>
      <c r="Y1212" s="168">
        <f t="shared" si="8"/>
        <v>0</v>
      </c>
      <c r="Z1212" s="168">
        <f t="shared" si="9"/>
        <v>0</v>
      </c>
    </row>
    <row r="1213" ht="14.25" customHeight="1">
      <c r="A1213" s="157" t="s">
        <v>1165</v>
      </c>
      <c r="B1213" s="158" t="s">
        <v>35</v>
      </c>
      <c r="C1213" s="158" t="s">
        <v>1154</v>
      </c>
      <c r="D1213" s="159">
        <v>43803.0</v>
      </c>
      <c r="E1213" s="157" t="s">
        <v>731</v>
      </c>
      <c r="F1213" s="160">
        <v>210263.39</v>
      </c>
      <c r="G1213" s="160">
        <v>33642.14</v>
      </c>
      <c r="H1213" s="160">
        <f t="shared" si="43"/>
        <v>243905.53</v>
      </c>
      <c r="I1213" s="160"/>
      <c r="J1213" s="161"/>
      <c r="K1213" s="160"/>
      <c r="L1213" s="160">
        <f>+'FACP$'!$H1213-'FACP$'!$I1213-'FACP$'!$K1213</f>
        <v>243905.53</v>
      </c>
      <c r="M1213" s="162" t="s">
        <v>276</v>
      </c>
      <c r="N1213" s="162" t="s">
        <v>554</v>
      </c>
      <c r="O1213" s="175">
        <v>43812.0</v>
      </c>
      <c r="P1213" s="164">
        <f t="shared" si="13"/>
        <v>43813</v>
      </c>
      <c r="Q1213" s="165">
        <f t="shared" si="2"/>
        <v>0</v>
      </c>
      <c r="R1213" s="220" t="s">
        <v>1166</v>
      </c>
      <c r="S1213" s="167" t="s">
        <v>910</v>
      </c>
      <c r="T1213" s="168">
        <f t="shared" si="3"/>
        <v>243905.53</v>
      </c>
      <c r="U1213" s="168">
        <f t="shared" si="4"/>
        <v>0</v>
      </c>
      <c r="V1213" s="168">
        <f t="shared" si="5"/>
        <v>0</v>
      </c>
      <c r="W1213" s="168">
        <f t="shared" si="6"/>
        <v>0</v>
      </c>
      <c r="X1213" s="168">
        <f t="shared" si="7"/>
        <v>0</v>
      </c>
      <c r="Y1213" s="168">
        <f t="shared" si="8"/>
        <v>0</v>
      </c>
      <c r="Z1213" s="168">
        <f t="shared" si="9"/>
        <v>0</v>
      </c>
    </row>
    <row r="1214" ht="14.25" customHeight="1">
      <c r="A1214" s="157" t="s">
        <v>1167</v>
      </c>
      <c r="B1214" s="158" t="s">
        <v>41</v>
      </c>
      <c r="C1214" s="158" t="s">
        <v>1150</v>
      </c>
      <c r="D1214" s="159">
        <v>43803.0</v>
      </c>
      <c r="E1214" s="157" t="s">
        <v>731</v>
      </c>
      <c r="F1214" s="160">
        <v>429622.08</v>
      </c>
      <c r="G1214" s="160">
        <v>68739.53</v>
      </c>
      <c r="H1214" s="160">
        <f t="shared" si="43"/>
        <v>498361.61</v>
      </c>
      <c r="I1214" s="160"/>
      <c r="J1214" s="161"/>
      <c r="K1214" s="160"/>
      <c r="L1214" s="160">
        <f>+'FACP$'!$H1214-'FACP$'!$I1214-'FACP$'!$K1214</f>
        <v>498361.61</v>
      </c>
      <c r="M1214" s="162" t="s">
        <v>121</v>
      </c>
      <c r="N1214" s="162" t="s">
        <v>127</v>
      </c>
      <c r="O1214" s="175"/>
      <c r="P1214" s="164">
        <f t="shared" si="13"/>
        <v>43813</v>
      </c>
      <c r="Q1214" s="165">
        <f t="shared" si="2"/>
        <v>0</v>
      </c>
      <c r="R1214" s="167" t="s">
        <v>1168</v>
      </c>
      <c r="S1214" s="167"/>
      <c r="T1214" s="168">
        <f t="shared" si="3"/>
        <v>498361.61</v>
      </c>
      <c r="U1214" s="168">
        <f t="shared" si="4"/>
        <v>0</v>
      </c>
      <c r="V1214" s="168">
        <f t="shared" si="5"/>
        <v>0</v>
      </c>
      <c r="W1214" s="168">
        <f t="shared" si="6"/>
        <v>0</v>
      </c>
      <c r="X1214" s="168">
        <f t="shared" si="7"/>
        <v>0</v>
      </c>
      <c r="Y1214" s="168">
        <f t="shared" si="8"/>
        <v>0</v>
      </c>
      <c r="Z1214" s="168">
        <f t="shared" si="9"/>
        <v>0</v>
      </c>
    </row>
    <row r="1215" ht="14.25" customHeight="1">
      <c r="A1215" s="157" t="s">
        <v>1169</v>
      </c>
      <c r="B1215" s="158" t="s">
        <v>37</v>
      </c>
      <c r="C1215" s="158" t="s">
        <v>1154</v>
      </c>
      <c r="D1215" s="159">
        <v>43810.0</v>
      </c>
      <c r="E1215" s="157" t="s">
        <v>731</v>
      </c>
      <c r="F1215" s="160">
        <v>996703.84</v>
      </c>
      <c r="G1215" s="160">
        <v>159472.61</v>
      </c>
      <c r="H1215" s="160">
        <f t="shared" si="43"/>
        <v>1156176.45</v>
      </c>
      <c r="I1215" s="160"/>
      <c r="J1215" s="161"/>
      <c r="K1215" s="160"/>
      <c r="L1215" s="160">
        <f>+'FACP$'!$H1215-'FACP$'!$I1215-'FACP$'!$K1215</f>
        <v>1156176.45</v>
      </c>
      <c r="M1215" s="162" t="s">
        <v>116</v>
      </c>
      <c r="N1215" s="162" t="s">
        <v>554</v>
      </c>
      <c r="O1215" s="175">
        <v>43816.0</v>
      </c>
      <c r="P1215" s="164">
        <f t="shared" si="13"/>
        <v>43820</v>
      </c>
      <c r="Q1215" s="165">
        <f t="shared" si="2"/>
        <v>0</v>
      </c>
      <c r="R1215" s="167"/>
      <c r="S1215" s="220" t="s">
        <v>910</v>
      </c>
      <c r="T1215" s="168">
        <f t="shared" si="3"/>
        <v>1156176.45</v>
      </c>
      <c r="U1215" s="168">
        <f t="shared" si="4"/>
        <v>0</v>
      </c>
      <c r="V1215" s="168">
        <f t="shared" si="5"/>
        <v>0</v>
      </c>
      <c r="W1215" s="168">
        <f t="shared" si="6"/>
        <v>0</v>
      </c>
      <c r="X1215" s="168">
        <f t="shared" si="7"/>
        <v>0</v>
      </c>
      <c r="Y1215" s="168">
        <f t="shared" si="8"/>
        <v>0</v>
      </c>
      <c r="Z1215" s="168">
        <f t="shared" si="9"/>
        <v>0</v>
      </c>
    </row>
    <row r="1216" ht="14.25" customHeight="1">
      <c r="A1216" s="157" t="s">
        <v>1170</v>
      </c>
      <c r="B1216" s="158" t="s">
        <v>16</v>
      </c>
      <c r="C1216" s="158" t="s">
        <v>1171</v>
      </c>
      <c r="D1216" s="159">
        <v>43810.0</v>
      </c>
      <c r="E1216" s="157" t="s">
        <v>731</v>
      </c>
      <c r="F1216" s="160">
        <v>281558.16</v>
      </c>
      <c r="G1216" s="160">
        <v>45049.31</v>
      </c>
      <c r="H1216" s="160">
        <f t="shared" si="43"/>
        <v>326607.47</v>
      </c>
      <c r="I1216" s="160"/>
      <c r="J1216" s="161"/>
      <c r="K1216" s="160"/>
      <c r="L1216" s="160">
        <f>+'FACP$'!$H1216-'FACP$'!$I1216-'FACP$'!$K1216</f>
        <v>326607.47</v>
      </c>
      <c r="M1216" s="162" t="s">
        <v>985</v>
      </c>
      <c r="N1216" s="162" t="s">
        <v>554</v>
      </c>
      <c r="O1216" s="175">
        <v>43840.0</v>
      </c>
      <c r="P1216" s="164">
        <f t="shared" si="13"/>
        <v>43820</v>
      </c>
      <c r="Q1216" s="165">
        <f t="shared" si="2"/>
        <v>0</v>
      </c>
      <c r="R1216" s="167"/>
      <c r="S1216" s="167"/>
      <c r="T1216" s="168">
        <f t="shared" si="3"/>
        <v>326607.47</v>
      </c>
      <c r="U1216" s="168">
        <f t="shared" si="4"/>
        <v>0</v>
      </c>
      <c r="V1216" s="168">
        <f t="shared" si="5"/>
        <v>0</v>
      </c>
      <c r="W1216" s="168">
        <f t="shared" si="6"/>
        <v>0</v>
      </c>
      <c r="X1216" s="168">
        <f t="shared" si="7"/>
        <v>0</v>
      </c>
      <c r="Y1216" s="168">
        <f t="shared" si="8"/>
        <v>0</v>
      </c>
      <c r="Z1216" s="168">
        <f t="shared" si="9"/>
        <v>0</v>
      </c>
    </row>
    <row r="1217" ht="14.25" customHeight="1">
      <c r="A1217" s="157" t="s">
        <v>1172</v>
      </c>
      <c r="B1217" s="158" t="s">
        <v>16</v>
      </c>
      <c r="C1217" s="158" t="s">
        <v>563</v>
      </c>
      <c r="D1217" s="159">
        <v>43810.0</v>
      </c>
      <c r="E1217" s="157" t="s">
        <v>731</v>
      </c>
      <c r="F1217" s="160">
        <v>404077.7</v>
      </c>
      <c r="G1217" s="160">
        <v>64652.43</v>
      </c>
      <c r="H1217" s="160">
        <f t="shared" si="43"/>
        <v>468730.13</v>
      </c>
      <c r="I1217" s="160"/>
      <c r="J1217" s="161"/>
      <c r="K1217" s="160"/>
      <c r="L1217" s="160">
        <f>+'FACP$'!$H1217-'FACP$'!$I1217-'FACP$'!$K1217</f>
        <v>468730.13</v>
      </c>
      <c r="M1217" s="162" t="s">
        <v>985</v>
      </c>
      <c r="N1217" s="162" t="s">
        <v>554</v>
      </c>
      <c r="O1217" s="175">
        <v>43840.0</v>
      </c>
      <c r="P1217" s="164">
        <f t="shared" si="13"/>
        <v>43820</v>
      </c>
      <c r="Q1217" s="165">
        <f t="shared" si="2"/>
        <v>0</v>
      </c>
      <c r="R1217" s="167"/>
      <c r="S1217" s="167"/>
      <c r="T1217" s="168">
        <f t="shared" si="3"/>
        <v>468730.13</v>
      </c>
      <c r="U1217" s="168">
        <f t="shared" si="4"/>
        <v>0</v>
      </c>
      <c r="V1217" s="168">
        <f t="shared" si="5"/>
        <v>0</v>
      </c>
      <c r="W1217" s="168">
        <f t="shared" si="6"/>
        <v>0</v>
      </c>
      <c r="X1217" s="168">
        <f t="shared" si="7"/>
        <v>0</v>
      </c>
      <c r="Y1217" s="168">
        <f t="shared" si="8"/>
        <v>0</v>
      </c>
      <c r="Z1217" s="168">
        <f t="shared" si="9"/>
        <v>0</v>
      </c>
    </row>
    <row r="1218" ht="14.25" customHeight="1">
      <c r="A1218" s="157" t="s">
        <v>1173</v>
      </c>
      <c r="B1218" s="158" t="s">
        <v>18</v>
      </c>
      <c r="C1218" s="158" t="s">
        <v>1154</v>
      </c>
      <c r="D1218" s="159">
        <v>43810.0</v>
      </c>
      <c r="E1218" s="157" t="s">
        <v>731</v>
      </c>
      <c r="F1218" s="160">
        <v>106573.98</v>
      </c>
      <c r="G1218" s="160">
        <v>17051.84</v>
      </c>
      <c r="H1218" s="160">
        <f t="shared" si="43"/>
        <v>123625.82</v>
      </c>
      <c r="I1218" s="160"/>
      <c r="J1218" s="161"/>
      <c r="K1218" s="160"/>
      <c r="L1218" s="160">
        <f>+'FACP$'!$H1218-'FACP$'!$I1218-'FACP$'!$K1218</f>
        <v>123625.82</v>
      </c>
      <c r="M1218" s="162" t="s">
        <v>586</v>
      </c>
      <c r="N1218" s="162" t="s">
        <v>554</v>
      </c>
      <c r="O1218" s="175">
        <v>43823.0</v>
      </c>
      <c r="P1218" s="164">
        <f t="shared" si="13"/>
        <v>43820</v>
      </c>
      <c r="Q1218" s="165">
        <f t="shared" si="2"/>
        <v>0</v>
      </c>
      <c r="R1218" s="167"/>
      <c r="S1218" s="167" t="s">
        <v>910</v>
      </c>
      <c r="T1218" s="168">
        <f t="shared" si="3"/>
        <v>123625.82</v>
      </c>
      <c r="U1218" s="168">
        <f t="shared" si="4"/>
        <v>0</v>
      </c>
      <c r="V1218" s="168">
        <f t="shared" si="5"/>
        <v>0</v>
      </c>
      <c r="W1218" s="168">
        <f t="shared" si="6"/>
        <v>0</v>
      </c>
      <c r="X1218" s="168">
        <f t="shared" si="7"/>
        <v>0</v>
      </c>
      <c r="Y1218" s="168">
        <f t="shared" si="8"/>
        <v>0</v>
      </c>
      <c r="Z1218" s="168">
        <f t="shared" si="9"/>
        <v>0</v>
      </c>
    </row>
    <row r="1219" ht="14.25" customHeight="1">
      <c r="A1219" s="157" t="s">
        <v>1174</v>
      </c>
      <c r="B1219" s="158" t="s">
        <v>29</v>
      </c>
      <c r="C1219" s="158" t="s">
        <v>1154</v>
      </c>
      <c r="D1219" s="159">
        <v>43810.0</v>
      </c>
      <c r="E1219" s="157" t="s">
        <v>731</v>
      </c>
      <c r="F1219" s="160">
        <v>253978.48</v>
      </c>
      <c r="G1219" s="160">
        <v>40636.56</v>
      </c>
      <c r="H1219" s="160">
        <f t="shared" si="43"/>
        <v>294615.04</v>
      </c>
      <c r="I1219" s="160"/>
      <c r="J1219" s="161"/>
      <c r="K1219" s="160"/>
      <c r="L1219" s="160">
        <f>+'FACP$'!$H1219-'FACP$'!$I1219-'FACP$'!$K1219</f>
        <v>294615.04</v>
      </c>
      <c r="M1219" s="162" t="s">
        <v>130</v>
      </c>
      <c r="N1219" s="162" t="s">
        <v>554</v>
      </c>
      <c r="O1219" s="175">
        <v>43816.0</v>
      </c>
      <c r="P1219" s="164">
        <f t="shared" si="13"/>
        <v>43820</v>
      </c>
      <c r="Q1219" s="165">
        <f t="shared" si="2"/>
        <v>0</v>
      </c>
      <c r="R1219" s="167"/>
      <c r="S1219" s="167"/>
      <c r="T1219" s="168">
        <f t="shared" si="3"/>
        <v>294615.04</v>
      </c>
      <c r="U1219" s="168">
        <f t="shared" si="4"/>
        <v>0</v>
      </c>
      <c r="V1219" s="168">
        <f t="shared" si="5"/>
        <v>0</v>
      </c>
      <c r="W1219" s="168">
        <f t="shared" si="6"/>
        <v>0</v>
      </c>
      <c r="X1219" s="168">
        <f t="shared" si="7"/>
        <v>0</v>
      </c>
      <c r="Y1219" s="168">
        <f t="shared" si="8"/>
        <v>0</v>
      </c>
      <c r="Z1219" s="168">
        <f t="shared" si="9"/>
        <v>0</v>
      </c>
    </row>
    <row r="1220" ht="14.25" customHeight="1">
      <c r="A1220" s="157" t="s">
        <v>1175</v>
      </c>
      <c r="B1220" s="158" t="s">
        <v>29</v>
      </c>
      <c r="C1220" s="158" t="s">
        <v>563</v>
      </c>
      <c r="D1220" s="159">
        <v>43810.0</v>
      </c>
      <c r="E1220" s="157" t="s">
        <v>731</v>
      </c>
      <c r="F1220" s="160">
        <v>383462.48</v>
      </c>
      <c r="G1220" s="160">
        <v>61354.0</v>
      </c>
      <c r="H1220" s="160">
        <f t="shared" si="43"/>
        <v>444816.48</v>
      </c>
      <c r="I1220" s="160"/>
      <c r="J1220" s="161"/>
      <c r="K1220" s="160"/>
      <c r="L1220" s="160">
        <f>+'FACP$'!$H1220-'FACP$'!$I1220-'FACP$'!$K1220</f>
        <v>444816.48</v>
      </c>
      <c r="M1220" s="162" t="s">
        <v>130</v>
      </c>
      <c r="N1220" s="162" t="s">
        <v>554</v>
      </c>
      <c r="O1220" s="175">
        <v>43817.0</v>
      </c>
      <c r="P1220" s="164">
        <f t="shared" si="13"/>
        <v>43820</v>
      </c>
      <c r="Q1220" s="165">
        <f t="shared" si="2"/>
        <v>0</v>
      </c>
      <c r="R1220" s="167"/>
      <c r="S1220" s="167"/>
      <c r="T1220" s="168">
        <f t="shared" si="3"/>
        <v>444816.48</v>
      </c>
      <c r="U1220" s="168">
        <f t="shared" si="4"/>
        <v>0</v>
      </c>
      <c r="V1220" s="168">
        <f t="shared" si="5"/>
        <v>0</v>
      </c>
      <c r="W1220" s="168">
        <f t="shared" si="6"/>
        <v>0</v>
      </c>
      <c r="X1220" s="168">
        <f t="shared" si="7"/>
        <v>0</v>
      </c>
      <c r="Y1220" s="168">
        <f t="shared" si="8"/>
        <v>0</v>
      </c>
      <c r="Z1220" s="168">
        <f t="shared" si="9"/>
        <v>0</v>
      </c>
    </row>
    <row r="1221" ht="14.25" customHeight="1">
      <c r="A1221" s="157" t="s">
        <v>1176</v>
      </c>
      <c r="B1221" s="158" t="s">
        <v>127</v>
      </c>
      <c r="C1221" s="158"/>
      <c r="D1221" s="159"/>
      <c r="E1221" s="157"/>
      <c r="F1221" s="160"/>
      <c r="G1221" s="160"/>
      <c r="H1221" s="160">
        <f t="shared" si="43"/>
        <v>0</v>
      </c>
      <c r="I1221" s="160"/>
      <c r="J1221" s="161"/>
      <c r="K1221" s="160"/>
      <c r="L1221" s="160">
        <f>+'FACP$'!$H1221-'FACP$'!$I1221-'FACP$'!$K1221</f>
        <v>0</v>
      </c>
      <c r="M1221" s="162"/>
      <c r="N1221" s="162" t="s">
        <v>127</v>
      </c>
      <c r="O1221" s="175"/>
      <c r="P1221" s="164">
        <f t="shared" si="13"/>
        <v>10</v>
      </c>
      <c r="Q1221" s="165">
        <f t="shared" si="2"/>
        <v>0</v>
      </c>
      <c r="R1221" s="167"/>
      <c r="S1221" s="167"/>
      <c r="T1221" s="168">
        <f t="shared" si="3"/>
        <v>0</v>
      </c>
      <c r="U1221" s="168">
        <f t="shared" si="4"/>
        <v>0</v>
      </c>
      <c r="V1221" s="168">
        <f t="shared" si="5"/>
        <v>0</v>
      </c>
      <c r="W1221" s="168">
        <f t="shared" si="6"/>
        <v>0</v>
      </c>
      <c r="X1221" s="168">
        <f t="shared" si="7"/>
        <v>0</v>
      </c>
      <c r="Y1221" s="168">
        <f t="shared" si="8"/>
        <v>0</v>
      </c>
      <c r="Z1221" s="168">
        <f t="shared" si="9"/>
        <v>0</v>
      </c>
    </row>
    <row r="1222" ht="14.25" customHeight="1">
      <c r="A1222" s="157" t="s">
        <v>1177</v>
      </c>
      <c r="B1222" s="158" t="s">
        <v>29</v>
      </c>
      <c r="C1222" s="158" t="s">
        <v>1178</v>
      </c>
      <c r="D1222" s="159">
        <v>43810.0</v>
      </c>
      <c r="E1222" s="157" t="s">
        <v>731</v>
      </c>
      <c r="F1222" s="160">
        <v>295578.89</v>
      </c>
      <c r="G1222" s="160">
        <v>47292.62</v>
      </c>
      <c r="H1222" s="160">
        <f t="shared" si="43"/>
        <v>342871.51</v>
      </c>
      <c r="I1222" s="160"/>
      <c r="J1222" s="161"/>
      <c r="K1222" s="160"/>
      <c r="L1222" s="160">
        <f>+'FACP$'!$H1222-'FACP$'!$I1222-'FACP$'!$K1222</f>
        <v>342871.51</v>
      </c>
      <c r="M1222" s="162" t="s">
        <v>1087</v>
      </c>
      <c r="N1222" s="162" t="s">
        <v>554</v>
      </c>
      <c r="O1222" s="175">
        <v>43817.0</v>
      </c>
      <c r="P1222" s="164">
        <f t="shared" si="13"/>
        <v>43820</v>
      </c>
      <c r="Q1222" s="165">
        <f t="shared" si="2"/>
        <v>0</v>
      </c>
      <c r="R1222" s="167"/>
      <c r="S1222" s="167"/>
      <c r="T1222" s="168">
        <f t="shared" si="3"/>
        <v>342871.51</v>
      </c>
      <c r="U1222" s="168">
        <f t="shared" si="4"/>
        <v>0</v>
      </c>
      <c r="V1222" s="168">
        <f t="shared" si="5"/>
        <v>0</v>
      </c>
      <c r="W1222" s="168">
        <f t="shared" si="6"/>
        <v>0</v>
      </c>
      <c r="X1222" s="168">
        <f t="shared" si="7"/>
        <v>0</v>
      </c>
      <c r="Y1222" s="168">
        <f t="shared" si="8"/>
        <v>0</v>
      </c>
      <c r="Z1222" s="168">
        <f t="shared" si="9"/>
        <v>0</v>
      </c>
    </row>
    <row r="1223" ht="14.25" customHeight="1">
      <c r="A1223" s="157" t="s">
        <v>1179</v>
      </c>
      <c r="B1223" s="158" t="s">
        <v>29</v>
      </c>
      <c r="C1223" s="158" t="s">
        <v>1180</v>
      </c>
      <c r="D1223" s="159">
        <v>43810.0</v>
      </c>
      <c r="E1223" s="157" t="s">
        <v>731</v>
      </c>
      <c r="F1223" s="160">
        <v>286240.35</v>
      </c>
      <c r="G1223" s="160">
        <v>45798.46</v>
      </c>
      <c r="H1223" s="160">
        <f t="shared" si="43"/>
        <v>332038.81</v>
      </c>
      <c r="I1223" s="160"/>
      <c r="J1223" s="161"/>
      <c r="K1223" s="160"/>
      <c r="L1223" s="160">
        <f>+'FACP$'!$H1223-'FACP$'!$I1223-'FACP$'!$K1223</f>
        <v>332038.81</v>
      </c>
      <c r="M1223" s="162" t="s">
        <v>850</v>
      </c>
      <c r="N1223" s="162" t="s">
        <v>554</v>
      </c>
      <c r="O1223" s="175">
        <v>43817.0</v>
      </c>
      <c r="P1223" s="164">
        <f t="shared" si="13"/>
        <v>43820</v>
      </c>
      <c r="Q1223" s="165">
        <f t="shared" si="2"/>
        <v>0</v>
      </c>
      <c r="R1223" s="167"/>
      <c r="S1223" s="167"/>
      <c r="T1223" s="168">
        <f t="shared" si="3"/>
        <v>332038.81</v>
      </c>
      <c r="U1223" s="168">
        <f t="shared" si="4"/>
        <v>0</v>
      </c>
      <c r="V1223" s="168">
        <f t="shared" si="5"/>
        <v>0</v>
      </c>
      <c r="W1223" s="168">
        <f t="shared" si="6"/>
        <v>0</v>
      </c>
      <c r="X1223" s="168">
        <f t="shared" si="7"/>
        <v>0</v>
      </c>
      <c r="Y1223" s="168">
        <f t="shared" si="8"/>
        <v>0</v>
      </c>
      <c r="Z1223" s="168">
        <f t="shared" si="9"/>
        <v>0</v>
      </c>
    </row>
    <row r="1224" ht="14.25" customHeight="1">
      <c r="A1224" s="157" t="s">
        <v>1181</v>
      </c>
      <c r="B1224" s="158" t="s">
        <v>43</v>
      </c>
      <c r="C1224" s="158" t="s">
        <v>1182</v>
      </c>
      <c r="D1224" s="159">
        <v>43816.0</v>
      </c>
      <c r="E1224" s="157" t="s">
        <v>731</v>
      </c>
      <c r="F1224" s="160">
        <v>956048.28</v>
      </c>
      <c r="G1224" s="160">
        <v>152967.72</v>
      </c>
      <c r="H1224" s="160">
        <f t="shared" si="43"/>
        <v>1109016</v>
      </c>
      <c r="I1224" s="160"/>
      <c r="J1224" s="161"/>
      <c r="K1224" s="160"/>
      <c r="L1224" s="160">
        <f>+'FACP$'!$H1224-'FACP$'!$I1224-'FACP$'!$K1224</f>
        <v>1109016</v>
      </c>
      <c r="M1224" s="162" t="s">
        <v>43</v>
      </c>
      <c r="N1224" s="162" t="s">
        <v>554</v>
      </c>
      <c r="O1224" s="175">
        <v>43860.0</v>
      </c>
      <c r="P1224" s="164">
        <f t="shared" si="13"/>
        <v>43826</v>
      </c>
      <c r="Q1224" s="165">
        <f t="shared" si="2"/>
        <v>0</v>
      </c>
      <c r="R1224" s="167" t="s">
        <v>1183</v>
      </c>
      <c r="S1224" s="220" t="s">
        <v>910</v>
      </c>
      <c r="T1224" s="168">
        <f t="shared" si="3"/>
        <v>1109016</v>
      </c>
      <c r="U1224" s="168">
        <f t="shared" si="4"/>
        <v>0</v>
      </c>
      <c r="V1224" s="168">
        <f t="shared" si="5"/>
        <v>0</v>
      </c>
      <c r="W1224" s="168">
        <f t="shared" si="6"/>
        <v>0</v>
      </c>
      <c r="X1224" s="168">
        <f t="shared" si="7"/>
        <v>0</v>
      </c>
      <c r="Y1224" s="168">
        <f t="shared" si="8"/>
        <v>0</v>
      </c>
      <c r="Z1224" s="168">
        <f t="shared" si="9"/>
        <v>0</v>
      </c>
    </row>
    <row r="1225" ht="14.25" customHeight="1">
      <c r="A1225" s="157" t="s">
        <v>1184</v>
      </c>
      <c r="B1225" s="158" t="s">
        <v>1127</v>
      </c>
      <c r="C1225" s="158" t="s">
        <v>1182</v>
      </c>
      <c r="D1225" s="159">
        <v>43816.0</v>
      </c>
      <c r="E1225" s="157" t="s">
        <v>731</v>
      </c>
      <c r="F1225" s="160">
        <v>7568.44</v>
      </c>
      <c r="G1225" s="160">
        <v>1210.95</v>
      </c>
      <c r="H1225" s="160">
        <f t="shared" si="43"/>
        <v>8779.39</v>
      </c>
      <c r="I1225" s="160"/>
      <c r="J1225" s="161"/>
      <c r="K1225" s="160"/>
      <c r="L1225" s="160">
        <f>+'FACP$'!$H1225-'FACP$'!$I1225-'FACP$'!$K1225</f>
        <v>8779.39</v>
      </c>
      <c r="M1225" s="162" t="s">
        <v>580</v>
      </c>
      <c r="N1225" s="162" t="s">
        <v>554</v>
      </c>
      <c r="O1225" s="175">
        <v>43874.0</v>
      </c>
      <c r="P1225" s="164">
        <f t="shared" si="13"/>
        <v>43826</v>
      </c>
      <c r="Q1225" s="165">
        <f t="shared" si="2"/>
        <v>0</v>
      </c>
      <c r="R1225" s="167" t="s">
        <v>1128</v>
      </c>
      <c r="S1225" s="167" t="s">
        <v>910</v>
      </c>
      <c r="T1225" s="168">
        <f t="shared" si="3"/>
        <v>8779.39</v>
      </c>
      <c r="U1225" s="168">
        <f t="shared" si="4"/>
        <v>0</v>
      </c>
      <c r="V1225" s="168">
        <f t="shared" si="5"/>
        <v>0</v>
      </c>
      <c r="W1225" s="168">
        <f t="shared" si="6"/>
        <v>0</v>
      </c>
      <c r="X1225" s="168">
        <f t="shared" si="7"/>
        <v>0</v>
      </c>
      <c r="Y1225" s="168">
        <f t="shared" si="8"/>
        <v>0</v>
      </c>
      <c r="Z1225" s="168">
        <f t="shared" si="9"/>
        <v>0</v>
      </c>
    </row>
    <row r="1226" ht="14.25" customHeight="1">
      <c r="A1226" s="157" t="s">
        <v>1185</v>
      </c>
      <c r="B1226" s="158" t="s">
        <v>36</v>
      </c>
      <c r="C1226" s="158" t="s">
        <v>1182</v>
      </c>
      <c r="D1226" s="159">
        <v>43816.0</v>
      </c>
      <c r="E1226" s="157" t="s">
        <v>731</v>
      </c>
      <c r="F1226" s="160">
        <v>78615.42</v>
      </c>
      <c r="G1226" s="160">
        <v>12578.47</v>
      </c>
      <c r="H1226" s="160">
        <f t="shared" si="43"/>
        <v>91193.89</v>
      </c>
      <c r="I1226" s="160"/>
      <c r="J1226" s="161"/>
      <c r="K1226" s="160"/>
      <c r="L1226" s="160">
        <f>+'FACP$'!$H1226-'FACP$'!$I1226-'FACP$'!$K1226</f>
        <v>91193.89</v>
      </c>
      <c r="M1226" s="162" t="s">
        <v>278</v>
      </c>
      <c r="N1226" s="162" t="s">
        <v>554</v>
      </c>
      <c r="O1226" s="175">
        <v>43857.0</v>
      </c>
      <c r="P1226" s="164">
        <f t="shared" si="13"/>
        <v>43826</v>
      </c>
      <c r="Q1226" s="165">
        <f t="shared" si="2"/>
        <v>0</v>
      </c>
      <c r="R1226" s="167"/>
      <c r="S1226" s="220" t="s">
        <v>910</v>
      </c>
      <c r="T1226" s="168">
        <f t="shared" si="3"/>
        <v>91193.89</v>
      </c>
      <c r="U1226" s="168">
        <f t="shared" si="4"/>
        <v>0</v>
      </c>
      <c r="V1226" s="168">
        <f t="shared" si="5"/>
        <v>0</v>
      </c>
      <c r="W1226" s="168">
        <f t="shared" si="6"/>
        <v>0</v>
      </c>
      <c r="X1226" s="168">
        <f t="shared" si="7"/>
        <v>0</v>
      </c>
      <c r="Y1226" s="168">
        <f t="shared" si="8"/>
        <v>0</v>
      </c>
      <c r="Z1226" s="168">
        <f t="shared" si="9"/>
        <v>0</v>
      </c>
    </row>
    <row r="1227" ht="14.25" customHeight="1">
      <c r="A1227" s="157" t="s">
        <v>1186</v>
      </c>
      <c r="B1227" s="158" t="s">
        <v>35</v>
      </c>
      <c r="C1227" s="158" t="s">
        <v>1182</v>
      </c>
      <c r="D1227" s="159">
        <v>43816.0</v>
      </c>
      <c r="E1227" s="157" t="s">
        <v>731</v>
      </c>
      <c r="F1227" s="160">
        <v>414427.2</v>
      </c>
      <c r="G1227" s="160">
        <v>66308.35</v>
      </c>
      <c r="H1227" s="160">
        <f t="shared" si="43"/>
        <v>480735.55</v>
      </c>
      <c r="I1227" s="160"/>
      <c r="J1227" s="161"/>
      <c r="K1227" s="160"/>
      <c r="L1227" s="160">
        <f>+'FACP$'!$H1227-'FACP$'!$I1227-'FACP$'!$K1227</f>
        <v>480735.55</v>
      </c>
      <c r="M1227" s="162" t="s">
        <v>276</v>
      </c>
      <c r="N1227" s="162" t="s">
        <v>554</v>
      </c>
      <c r="O1227" s="175">
        <v>43825.0</v>
      </c>
      <c r="P1227" s="164">
        <f t="shared" si="13"/>
        <v>43826</v>
      </c>
      <c r="Q1227" s="165">
        <f t="shared" si="2"/>
        <v>0</v>
      </c>
      <c r="R1227" s="167"/>
      <c r="S1227" s="220" t="s">
        <v>910</v>
      </c>
      <c r="T1227" s="168">
        <f t="shared" si="3"/>
        <v>480735.55</v>
      </c>
      <c r="U1227" s="168">
        <f t="shared" si="4"/>
        <v>0</v>
      </c>
      <c r="V1227" s="168">
        <f t="shared" si="5"/>
        <v>0</v>
      </c>
      <c r="W1227" s="168">
        <f t="shared" si="6"/>
        <v>0</v>
      </c>
      <c r="X1227" s="168">
        <f t="shared" si="7"/>
        <v>0</v>
      </c>
      <c r="Y1227" s="168">
        <f t="shared" si="8"/>
        <v>0</v>
      </c>
      <c r="Z1227" s="168">
        <f t="shared" si="9"/>
        <v>0</v>
      </c>
    </row>
    <row r="1228" ht="14.25" customHeight="1">
      <c r="A1228" s="157" t="s">
        <v>1187</v>
      </c>
      <c r="B1228" s="158" t="s">
        <v>33</v>
      </c>
      <c r="C1228" s="158" t="s">
        <v>1182</v>
      </c>
      <c r="D1228" s="159">
        <v>43816.0</v>
      </c>
      <c r="E1228" s="157" t="s">
        <v>731</v>
      </c>
      <c r="F1228" s="160">
        <v>582172.77</v>
      </c>
      <c r="G1228" s="160">
        <v>93147.64</v>
      </c>
      <c r="H1228" s="160">
        <f t="shared" si="43"/>
        <v>675320.41</v>
      </c>
      <c r="I1228" s="160"/>
      <c r="J1228" s="161"/>
      <c r="K1228" s="160"/>
      <c r="L1228" s="160">
        <f>+'FACP$'!$H1228-'FACP$'!$I1228-'FACP$'!$K1228</f>
        <v>675320.41</v>
      </c>
      <c r="M1228" s="162" t="s">
        <v>958</v>
      </c>
      <c r="N1228" s="162" t="s">
        <v>554</v>
      </c>
      <c r="O1228" s="175">
        <v>43840.0</v>
      </c>
      <c r="P1228" s="164">
        <f t="shared" si="13"/>
        <v>43826</v>
      </c>
      <c r="Q1228" s="165">
        <f t="shared" si="2"/>
        <v>0</v>
      </c>
      <c r="R1228" s="167"/>
      <c r="S1228" s="167" t="s">
        <v>910</v>
      </c>
      <c r="T1228" s="168">
        <f t="shared" si="3"/>
        <v>675320.41</v>
      </c>
      <c r="U1228" s="168">
        <f t="shared" si="4"/>
        <v>0</v>
      </c>
      <c r="V1228" s="168">
        <f t="shared" si="5"/>
        <v>0</v>
      </c>
      <c r="W1228" s="168">
        <f t="shared" si="6"/>
        <v>0</v>
      </c>
      <c r="X1228" s="168">
        <f t="shared" si="7"/>
        <v>0</v>
      </c>
      <c r="Y1228" s="168">
        <f t="shared" si="8"/>
        <v>0</v>
      </c>
      <c r="Z1228" s="168">
        <f t="shared" si="9"/>
        <v>0</v>
      </c>
    </row>
    <row r="1229" ht="14.25" customHeight="1">
      <c r="A1229" s="157" t="s">
        <v>1188</v>
      </c>
      <c r="B1229" s="158" t="s">
        <v>30</v>
      </c>
      <c r="C1229" s="158" t="s">
        <v>1182</v>
      </c>
      <c r="D1229" s="159">
        <v>43816.0</v>
      </c>
      <c r="E1229" s="157" t="s">
        <v>731</v>
      </c>
      <c r="F1229" s="160">
        <v>116539.28</v>
      </c>
      <c r="G1229" s="160">
        <v>18646.28</v>
      </c>
      <c r="H1229" s="160">
        <f t="shared" si="43"/>
        <v>135185.56</v>
      </c>
      <c r="I1229" s="160"/>
      <c r="J1229" s="161"/>
      <c r="K1229" s="160"/>
      <c r="L1229" s="160">
        <f>+'FACP$'!$H1229-'FACP$'!$I1229-'FACP$'!$K1229</f>
        <v>135185.56</v>
      </c>
      <c r="M1229" s="162" t="s">
        <v>891</v>
      </c>
      <c r="N1229" s="162" t="s">
        <v>554</v>
      </c>
      <c r="O1229" s="175">
        <v>43879.0</v>
      </c>
      <c r="P1229" s="164">
        <f t="shared" si="13"/>
        <v>43826</v>
      </c>
      <c r="Q1229" s="165">
        <f t="shared" si="2"/>
        <v>0</v>
      </c>
      <c r="R1229" s="167"/>
      <c r="S1229" s="167" t="s">
        <v>910</v>
      </c>
      <c r="T1229" s="168">
        <f t="shared" si="3"/>
        <v>135185.56</v>
      </c>
      <c r="U1229" s="168">
        <f t="shared" si="4"/>
        <v>0</v>
      </c>
      <c r="V1229" s="168">
        <f t="shared" si="5"/>
        <v>0</v>
      </c>
      <c r="W1229" s="168">
        <f t="shared" si="6"/>
        <v>0</v>
      </c>
      <c r="X1229" s="168">
        <f t="shared" si="7"/>
        <v>0</v>
      </c>
      <c r="Y1229" s="168">
        <f t="shared" si="8"/>
        <v>0</v>
      </c>
      <c r="Z1229" s="168">
        <f t="shared" si="9"/>
        <v>0</v>
      </c>
    </row>
    <row r="1230" ht="14.25" customHeight="1">
      <c r="A1230" s="157" t="s">
        <v>1189</v>
      </c>
      <c r="B1230" s="158" t="s">
        <v>27</v>
      </c>
      <c r="C1230" s="158" t="s">
        <v>1190</v>
      </c>
      <c r="D1230" s="159">
        <v>43818.0</v>
      </c>
      <c r="E1230" s="157" t="s">
        <v>731</v>
      </c>
      <c r="F1230" s="160">
        <v>12501.9</v>
      </c>
      <c r="G1230" s="160">
        <v>2000.3</v>
      </c>
      <c r="H1230" s="160">
        <f t="shared" si="43"/>
        <v>14502.2</v>
      </c>
      <c r="I1230" s="160"/>
      <c r="J1230" s="161"/>
      <c r="K1230" s="160"/>
      <c r="L1230" s="160">
        <f>+'FACP$'!$H1230-'FACP$'!$I1230-'FACP$'!$K1230</f>
        <v>14502.2</v>
      </c>
      <c r="M1230" s="162" t="s">
        <v>969</v>
      </c>
      <c r="N1230" s="224" t="s">
        <v>554</v>
      </c>
      <c r="O1230" s="175">
        <v>43874.0</v>
      </c>
      <c r="P1230" s="164">
        <f t="shared" si="13"/>
        <v>43828</v>
      </c>
      <c r="Q1230" s="165">
        <f t="shared" si="2"/>
        <v>0</v>
      </c>
      <c r="R1230" s="167"/>
      <c r="S1230" s="167" t="s">
        <v>910</v>
      </c>
      <c r="T1230" s="168">
        <f t="shared" si="3"/>
        <v>14502.2</v>
      </c>
      <c r="U1230" s="168">
        <f t="shared" si="4"/>
        <v>0</v>
      </c>
      <c r="V1230" s="168">
        <f t="shared" si="5"/>
        <v>0</v>
      </c>
      <c r="W1230" s="168">
        <f t="shared" si="6"/>
        <v>0</v>
      </c>
      <c r="X1230" s="168">
        <f t="shared" si="7"/>
        <v>0</v>
      </c>
      <c r="Y1230" s="168">
        <f t="shared" si="8"/>
        <v>0</v>
      </c>
      <c r="Z1230" s="168">
        <f t="shared" si="9"/>
        <v>0</v>
      </c>
    </row>
    <row r="1231" ht="14.25" customHeight="1">
      <c r="A1231" s="157" t="s">
        <v>1191</v>
      </c>
      <c r="B1231" s="158" t="s">
        <v>27</v>
      </c>
      <c r="C1231" s="158" t="s">
        <v>1192</v>
      </c>
      <c r="D1231" s="159">
        <v>43818.0</v>
      </c>
      <c r="E1231" s="157" t="s">
        <v>731</v>
      </c>
      <c r="F1231" s="160">
        <v>8584.91</v>
      </c>
      <c r="G1231" s="160">
        <v>1373.59</v>
      </c>
      <c r="H1231" s="160">
        <f t="shared" si="43"/>
        <v>9958.5</v>
      </c>
      <c r="I1231" s="160"/>
      <c r="J1231" s="161"/>
      <c r="K1231" s="160"/>
      <c r="L1231" s="160">
        <f>+'FACP$'!$H1231-'FACP$'!$I1231-'FACP$'!$K1231</f>
        <v>9958.5</v>
      </c>
      <c r="M1231" s="162" t="s">
        <v>969</v>
      </c>
      <c r="N1231" s="224" t="s">
        <v>554</v>
      </c>
      <c r="O1231" s="175">
        <v>43874.0</v>
      </c>
      <c r="P1231" s="164">
        <f t="shared" si="13"/>
        <v>43828</v>
      </c>
      <c r="Q1231" s="165">
        <f t="shared" si="2"/>
        <v>0</v>
      </c>
      <c r="R1231" s="167"/>
      <c r="S1231" s="167" t="s">
        <v>910</v>
      </c>
      <c r="T1231" s="168">
        <f t="shared" si="3"/>
        <v>9958.5</v>
      </c>
      <c r="U1231" s="168">
        <f t="shared" si="4"/>
        <v>0</v>
      </c>
      <c r="V1231" s="168">
        <f t="shared" si="5"/>
        <v>0</v>
      </c>
      <c r="W1231" s="168">
        <f t="shared" si="6"/>
        <v>0</v>
      </c>
      <c r="X1231" s="168">
        <f t="shared" si="7"/>
        <v>0</v>
      </c>
      <c r="Y1231" s="168">
        <f t="shared" si="8"/>
        <v>0</v>
      </c>
      <c r="Z1231" s="168">
        <f t="shared" si="9"/>
        <v>0</v>
      </c>
    </row>
    <row r="1232" ht="14.25" customHeight="1">
      <c r="A1232" s="157" t="s">
        <v>1193</v>
      </c>
      <c r="B1232" s="158" t="s">
        <v>27</v>
      </c>
      <c r="C1232" s="158" t="s">
        <v>1120</v>
      </c>
      <c r="D1232" s="159">
        <v>43818.0</v>
      </c>
      <c r="E1232" s="157" t="s">
        <v>731</v>
      </c>
      <c r="F1232" s="160">
        <v>18728.56</v>
      </c>
      <c r="G1232" s="160">
        <v>2996.57</v>
      </c>
      <c r="H1232" s="160">
        <f t="shared" si="43"/>
        <v>21725.13</v>
      </c>
      <c r="I1232" s="160"/>
      <c r="J1232" s="161"/>
      <c r="K1232" s="160"/>
      <c r="L1232" s="160">
        <f>+'FACP$'!$H1232-'FACP$'!$I1232-'FACP$'!$K1232</f>
        <v>21725.13</v>
      </c>
      <c r="M1232" s="162" t="s">
        <v>969</v>
      </c>
      <c r="N1232" s="224" t="s">
        <v>554</v>
      </c>
      <c r="O1232" s="175">
        <v>43874.0</v>
      </c>
      <c r="P1232" s="164">
        <f t="shared" si="13"/>
        <v>43828</v>
      </c>
      <c r="Q1232" s="165">
        <f t="shared" si="2"/>
        <v>0</v>
      </c>
      <c r="R1232" s="167"/>
      <c r="S1232" s="167" t="s">
        <v>910</v>
      </c>
      <c r="T1232" s="168">
        <f t="shared" si="3"/>
        <v>21725.13</v>
      </c>
      <c r="U1232" s="168">
        <f t="shared" si="4"/>
        <v>0</v>
      </c>
      <c r="V1232" s="168">
        <f t="shared" si="5"/>
        <v>0</v>
      </c>
      <c r="W1232" s="168">
        <f t="shared" si="6"/>
        <v>0</v>
      </c>
      <c r="X1232" s="168">
        <f t="shared" si="7"/>
        <v>0</v>
      </c>
      <c r="Y1232" s="168">
        <f t="shared" si="8"/>
        <v>0</v>
      </c>
      <c r="Z1232" s="168">
        <f t="shared" si="9"/>
        <v>0</v>
      </c>
    </row>
    <row r="1233" ht="14.25" customHeight="1">
      <c r="A1233" s="157" t="s">
        <v>1194</v>
      </c>
      <c r="B1233" s="158" t="s">
        <v>27</v>
      </c>
      <c r="C1233" s="158" t="s">
        <v>1140</v>
      </c>
      <c r="D1233" s="159">
        <v>43818.0</v>
      </c>
      <c r="E1233" s="157" t="s">
        <v>731</v>
      </c>
      <c r="F1233" s="160">
        <v>12849.77</v>
      </c>
      <c r="G1233" s="160">
        <v>2055.96</v>
      </c>
      <c r="H1233" s="160">
        <f t="shared" si="43"/>
        <v>14905.73</v>
      </c>
      <c r="I1233" s="160"/>
      <c r="J1233" s="161"/>
      <c r="K1233" s="160"/>
      <c r="L1233" s="160">
        <f>+'FACP$'!$H1233-'FACP$'!$I1233-'FACP$'!$K1233</f>
        <v>14905.73</v>
      </c>
      <c r="M1233" s="162" t="s">
        <v>969</v>
      </c>
      <c r="N1233" s="224" t="s">
        <v>554</v>
      </c>
      <c r="O1233" s="175">
        <v>43874.0</v>
      </c>
      <c r="P1233" s="164">
        <f t="shared" si="13"/>
        <v>43828</v>
      </c>
      <c r="Q1233" s="165">
        <f t="shared" si="2"/>
        <v>0</v>
      </c>
      <c r="R1233" s="167"/>
      <c r="S1233" s="167" t="s">
        <v>910</v>
      </c>
      <c r="T1233" s="168">
        <f t="shared" si="3"/>
        <v>14905.73</v>
      </c>
      <c r="U1233" s="168">
        <f t="shared" si="4"/>
        <v>0</v>
      </c>
      <c r="V1233" s="168">
        <f t="shared" si="5"/>
        <v>0</v>
      </c>
      <c r="W1233" s="168">
        <f t="shared" si="6"/>
        <v>0</v>
      </c>
      <c r="X1233" s="168">
        <f t="shared" si="7"/>
        <v>0</v>
      </c>
      <c r="Y1233" s="168">
        <f t="shared" si="8"/>
        <v>0</v>
      </c>
      <c r="Z1233" s="168">
        <f t="shared" si="9"/>
        <v>0</v>
      </c>
    </row>
    <row r="1234" ht="14.25" customHeight="1">
      <c r="A1234" s="157" t="s">
        <v>1195</v>
      </c>
      <c r="B1234" s="158" t="s">
        <v>27</v>
      </c>
      <c r="C1234" s="158" t="s">
        <v>1154</v>
      </c>
      <c r="D1234" s="159">
        <v>43818.0</v>
      </c>
      <c r="E1234" s="157" t="s">
        <v>731</v>
      </c>
      <c r="F1234" s="160">
        <v>171446.02</v>
      </c>
      <c r="G1234" s="160">
        <v>27431.36</v>
      </c>
      <c r="H1234" s="160">
        <f t="shared" si="43"/>
        <v>198877.38</v>
      </c>
      <c r="I1234" s="160"/>
      <c r="J1234" s="161"/>
      <c r="K1234" s="160"/>
      <c r="L1234" s="160">
        <f>+'FACP$'!$H1234-'FACP$'!$I1234-'FACP$'!$K1234</f>
        <v>198877.38</v>
      </c>
      <c r="M1234" s="162" t="s">
        <v>969</v>
      </c>
      <c r="N1234" s="224" t="s">
        <v>554</v>
      </c>
      <c r="O1234" s="175">
        <v>43874.0</v>
      </c>
      <c r="P1234" s="164">
        <f t="shared" si="13"/>
        <v>43828</v>
      </c>
      <c r="Q1234" s="165">
        <f t="shared" si="2"/>
        <v>0</v>
      </c>
      <c r="R1234" s="167"/>
      <c r="S1234" s="167" t="s">
        <v>910</v>
      </c>
      <c r="T1234" s="168">
        <f t="shared" si="3"/>
        <v>198877.38</v>
      </c>
      <c r="U1234" s="168">
        <f t="shared" si="4"/>
        <v>0</v>
      </c>
      <c r="V1234" s="168">
        <f t="shared" si="5"/>
        <v>0</v>
      </c>
      <c r="W1234" s="168">
        <f t="shared" si="6"/>
        <v>0</v>
      </c>
      <c r="X1234" s="168">
        <f t="shared" si="7"/>
        <v>0</v>
      </c>
      <c r="Y1234" s="168">
        <f t="shared" si="8"/>
        <v>0</v>
      </c>
      <c r="Z1234" s="168">
        <f t="shared" si="9"/>
        <v>0</v>
      </c>
    </row>
    <row r="1235" ht="14.25" customHeight="1">
      <c r="A1235" s="157" t="s">
        <v>1196</v>
      </c>
      <c r="B1235" s="158" t="s">
        <v>27</v>
      </c>
      <c r="C1235" s="158" t="s">
        <v>563</v>
      </c>
      <c r="D1235" s="159">
        <v>43818.0</v>
      </c>
      <c r="E1235" s="157" t="s">
        <v>731</v>
      </c>
      <c r="F1235" s="160">
        <v>118372.4</v>
      </c>
      <c r="G1235" s="160">
        <v>18939.58</v>
      </c>
      <c r="H1235" s="160">
        <f t="shared" si="43"/>
        <v>137311.98</v>
      </c>
      <c r="I1235" s="160"/>
      <c r="J1235" s="161"/>
      <c r="K1235" s="160"/>
      <c r="L1235" s="160">
        <f>+'FACP$'!$H1235-'FACP$'!$I1235-'FACP$'!$K1235</f>
        <v>137311.98</v>
      </c>
      <c r="M1235" s="162" t="s">
        <v>969</v>
      </c>
      <c r="N1235" s="224" t="s">
        <v>554</v>
      </c>
      <c r="O1235" s="175">
        <v>43874.0</v>
      </c>
      <c r="P1235" s="164">
        <f t="shared" si="13"/>
        <v>43828</v>
      </c>
      <c r="Q1235" s="165">
        <f t="shared" si="2"/>
        <v>0</v>
      </c>
      <c r="R1235" s="167"/>
      <c r="S1235" s="167" t="s">
        <v>910</v>
      </c>
      <c r="T1235" s="168">
        <f t="shared" si="3"/>
        <v>137311.98</v>
      </c>
      <c r="U1235" s="168">
        <f t="shared" si="4"/>
        <v>0</v>
      </c>
      <c r="V1235" s="168">
        <f t="shared" si="5"/>
        <v>0</v>
      </c>
      <c r="W1235" s="168">
        <f t="shared" si="6"/>
        <v>0</v>
      </c>
      <c r="X1235" s="168">
        <f t="shared" si="7"/>
        <v>0</v>
      </c>
      <c r="Y1235" s="168">
        <f t="shared" si="8"/>
        <v>0</v>
      </c>
      <c r="Z1235" s="168">
        <f t="shared" si="9"/>
        <v>0</v>
      </c>
    </row>
    <row r="1236" ht="14.25" customHeight="1">
      <c r="A1236" s="157" t="s">
        <v>1197</v>
      </c>
      <c r="B1236" s="158" t="s">
        <v>27</v>
      </c>
      <c r="C1236" s="158" t="s">
        <v>1182</v>
      </c>
      <c r="D1236" s="159">
        <v>43818.0</v>
      </c>
      <c r="E1236" s="157" t="s">
        <v>731</v>
      </c>
      <c r="F1236" s="160">
        <v>228273.46</v>
      </c>
      <c r="G1236" s="160">
        <v>36523.75</v>
      </c>
      <c r="H1236" s="160">
        <f t="shared" si="43"/>
        <v>264797.21</v>
      </c>
      <c r="I1236" s="160"/>
      <c r="J1236" s="161"/>
      <c r="K1236" s="160"/>
      <c r="L1236" s="160">
        <f>+'FACP$'!$H1236-'FACP$'!$I1236-'FACP$'!$K1236</f>
        <v>264797.21</v>
      </c>
      <c r="M1236" s="162" t="s">
        <v>969</v>
      </c>
      <c r="N1236" s="224" t="s">
        <v>554</v>
      </c>
      <c r="O1236" s="175">
        <v>43874.0</v>
      </c>
      <c r="P1236" s="164">
        <f t="shared" si="13"/>
        <v>43828</v>
      </c>
      <c r="Q1236" s="165">
        <f t="shared" si="2"/>
        <v>0</v>
      </c>
      <c r="R1236" s="167" t="s">
        <v>1198</v>
      </c>
      <c r="S1236" s="167" t="s">
        <v>910</v>
      </c>
      <c r="T1236" s="168">
        <f t="shared" si="3"/>
        <v>264797.21</v>
      </c>
      <c r="U1236" s="168">
        <f t="shared" si="4"/>
        <v>0</v>
      </c>
      <c r="V1236" s="168">
        <f t="shared" si="5"/>
        <v>0</v>
      </c>
      <c r="W1236" s="168">
        <f t="shared" si="6"/>
        <v>0</v>
      </c>
      <c r="X1236" s="168">
        <f t="shared" si="7"/>
        <v>0</v>
      </c>
      <c r="Y1236" s="168">
        <f t="shared" si="8"/>
        <v>0</v>
      </c>
      <c r="Z1236" s="168">
        <f t="shared" si="9"/>
        <v>0</v>
      </c>
    </row>
    <row r="1237" ht="14.25" customHeight="1">
      <c r="A1237" s="157" t="s">
        <v>1199</v>
      </c>
      <c r="B1237" s="158" t="s">
        <v>27</v>
      </c>
      <c r="C1237" s="158" t="s">
        <v>1200</v>
      </c>
      <c r="D1237" s="159">
        <v>43818.0</v>
      </c>
      <c r="E1237" s="157" t="s">
        <v>731</v>
      </c>
      <c r="F1237" s="160">
        <v>162539.36</v>
      </c>
      <c r="G1237" s="160">
        <v>26006.3</v>
      </c>
      <c r="H1237" s="160">
        <f t="shared" si="43"/>
        <v>188545.66</v>
      </c>
      <c r="I1237" s="160"/>
      <c r="J1237" s="161"/>
      <c r="K1237" s="160"/>
      <c r="L1237" s="160">
        <f>+'FACP$'!$H1237-'FACP$'!$I1237-'FACP$'!$K1237</f>
        <v>188545.66</v>
      </c>
      <c r="M1237" s="162" t="s">
        <v>969</v>
      </c>
      <c r="N1237" s="224" t="s">
        <v>554</v>
      </c>
      <c r="O1237" s="175">
        <v>43874.0</v>
      </c>
      <c r="P1237" s="164">
        <f t="shared" si="13"/>
        <v>43828</v>
      </c>
      <c r="Q1237" s="165">
        <f t="shared" si="2"/>
        <v>0</v>
      </c>
      <c r="R1237" s="167" t="s">
        <v>1198</v>
      </c>
      <c r="S1237" s="167" t="s">
        <v>910</v>
      </c>
      <c r="T1237" s="168">
        <f t="shared" si="3"/>
        <v>188545.66</v>
      </c>
      <c r="U1237" s="168">
        <f t="shared" si="4"/>
        <v>0</v>
      </c>
      <c r="V1237" s="168">
        <f t="shared" si="5"/>
        <v>0</v>
      </c>
      <c r="W1237" s="168">
        <f t="shared" si="6"/>
        <v>0</v>
      </c>
      <c r="X1237" s="168">
        <f t="shared" si="7"/>
        <v>0</v>
      </c>
      <c r="Y1237" s="168">
        <f t="shared" si="8"/>
        <v>0</v>
      </c>
      <c r="Z1237" s="168">
        <f t="shared" si="9"/>
        <v>0</v>
      </c>
    </row>
    <row r="1238" ht="14.25" customHeight="1">
      <c r="A1238" s="157" t="s">
        <v>1201</v>
      </c>
      <c r="B1238" s="158" t="s">
        <v>35</v>
      </c>
      <c r="C1238" s="158" t="s">
        <v>1095</v>
      </c>
      <c r="D1238" s="159">
        <v>43773.0</v>
      </c>
      <c r="E1238" s="157" t="s">
        <v>731</v>
      </c>
      <c r="F1238" s="160">
        <v>60399.58</v>
      </c>
      <c r="G1238" s="160">
        <v>9663.93</v>
      </c>
      <c r="H1238" s="160">
        <f t="shared" si="43"/>
        <v>70063.51</v>
      </c>
      <c r="I1238" s="160"/>
      <c r="J1238" s="161"/>
      <c r="K1238" s="160"/>
      <c r="L1238" s="160">
        <f>+'FACP$'!$H1238-'FACP$'!$I1238-'FACP$'!$K1238</f>
        <v>70063.51</v>
      </c>
      <c r="M1238" s="162" t="s">
        <v>276</v>
      </c>
      <c r="N1238" s="162" t="s">
        <v>554</v>
      </c>
      <c r="O1238" s="175">
        <v>43784.0</v>
      </c>
      <c r="P1238" s="164">
        <f t="shared" si="13"/>
        <v>43783</v>
      </c>
      <c r="Q1238" s="165">
        <f t="shared" si="2"/>
        <v>0</v>
      </c>
      <c r="R1238" s="167" t="s">
        <v>1202</v>
      </c>
      <c r="S1238" s="220" t="s">
        <v>910</v>
      </c>
      <c r="T1238" s="168">
        <f t="shared" si="3"/>
        <v>70063.51</v>
      </c>
      <c r="U1238" s="168">
        <f t="shared" si="4"/>
        <v>0</v>
      </c>
      <c r="V1238" s="168">
        <f t="shared" si="5"/>
        <v>0</v>
      </c>
      <c r="W1238" s="168">
        <f t="shared" si="6"/>
        <v>0</v>
      </c>
      <c r="X1238" s="168">
        <f t="shared" si="7"/>
        <v>0</v>
      </c>
      <c r="Y1238" s="168">
        <f t="shared" si="8"/>
        <v>0</v>
      </c>
      <c r="Z1238" s="168">
        <f t="shared" si="9"/>
        <v>0</v>
      </c>
    </row>
    <row r="1239" ht="14.25" customHeight="1">
      <c r="A1239" s="157" t="s">
        <v>1203</v>
      </c>
      <c r="B1239" s="158" t="s">
        <v>37</v>
      </c>
      <c r="C1239" s="158" t="s">
        <v>1182</v>
      </c>
      <c r="D1239" s="159">
        <v>43818.0</v>
      </c>
      <c r="E1239" s="157" t="s">
        <v>731</v>
      </c>
      <c r="F1239" s="160">
        <v>800452.9</v>
      </c>
      <c r="G1239" s="160">
        <v>128072.46</v>
      </c>
      <c r="H1239" s="160">
        <f t="shared" si="43"/>
        <v>928525.36</v>
      </c>
      <c r="I1239" s="160"/>
      <c r="J1239" s="161"/>
      <c r="K1239" s="160"/>
      <c r="L1239" s="160">
        <f>+'FACP$'!$H1239-'FACP$'!$I1239-'FACP$'!$K1239</f>
        <v>928525.36</v>
      </c>
      <c r="M1239" s="162" t="s">
        <v>116</v>
      </c>
      <c r="N1239" s="162" t="s">
        <v>554</v>
      </c>
      <c r="O1239" s="175">
        <v>43844.0</v>
      </c>
      <c r="P1239" s="164">
        <f t="shared" si="13"/>
        <v>43828</v>
      </c>
      <c r="Q1239" s="165">
        <f t="shared" si="2"/>
        <v>0</v>
      </c>
      <c r="R1239" s="167"/>
      <c r="S1239" s="167" t="s">
        <v>910</v>
      </c>
      <c r="T1239" s="168">
        <f t="shared" si="3"/>
        <v>928525.36</v>
      </c>
      <c r="U1239" s="168">
        <f t="shared" si="4"/>
        <v>0</v>
      </c>
      <c r="V1239" s="168">
        <f t="shared" si="5"/>
        <v>0</v>
      </c>
      <c r="W1239" s="168">
        <f t="shared" si="6"/>
        <v>0</v>
      </c>
      <c r="X1239" s="168">
        <f t="shared" si="7"/>
        <v>0</v>
      </c>
      <c r="Y1239" s="168">
        <f t="shared" si="8"/>
        <v>0</v>
      </c>
      <c r="Z1239" s="168">
        <f t="shared" si="9"/>
        <v>0</v>
      </c>
    </row>
    <row r="1240" ht="14.25" customHeight="1">
      <c r="A1240" s="157" t="s">
        <v>1204</v>
      </c>
      <c r="B1240" s="158" t="s">
        <v>16</v>
      </c>
      <c r="C1240" s="158" t="s">
        <v>1182</v>
      </c>
      <c r="D1240" s="159">
        <v>43818.0</v>
      </c>
      <c r="E1240" s="157" t="s">
        <v>731</v>
      </c>
      <c r="F1240" s="160">
        <v>256015.3</v>
      </c>
      <c r="G1240" s="160">
        <v>40962.45</v>
      </c>
      <c r="H1240" s="160">
        <f t="shared" si="43"/>
        <v>296977.75</v>
      </c>
      <c r="I1240" s="160"/>
      <c r="J1240" s="161"/>
      <c r="K1240" s="160"/>
      <c r="L1240" s="160">
        <f>+'FACP$'!$H1240-'FACP$'!$I1240-'FACP$'!$K1240</f>
        <v>296977.75</v>
      </c>
      <c r="M1240" s="162" t="s">
        <v>985</v>
      </c>
      <c r="N1240" s="162" t="s">
        <v>554</v>
      </c>
      <c r="O1240" s="175">
        <v>43840.0</v>
      </c>
      <c r="P1240" s="164">
        <f t="shared" si="13"/>
        <v>43828</v>
      </c>
      <c r="Q1240" s="165">
        <f t="shared" si="2"/>
        <v>0</v>
      </c>
      <c r="R1240" s="167"/>
      <c r="S1240" s="167"/>
      <c r="T1240" s="168">
        <f t="shared" si="3"/>
        <v>296977.75</v>
      </c>
      <c r="U1240" s="168">
        <f t="shared" si="4"/>
        <v>0</v>
      </c>
      <c r="V1240" s="168">
        <f t="shared" si="5"/>
        <v>0</v>
      </c>
      <c r="W1240" s="168">
        <f t="shared" si="6"/>
        <v>0</v>
      </c>
      <c r="X1240" s="168">
        <f t="shared" si="7"/>
        <v>0</v>
      </c>
      <c r="Y1240" s="168">
        <f t="shared" si="8"/>
        <v>0</v>
      </c>
      <c r="Z1240" s="168">
        <f t="shared" si="9"/>
        <v>0</v>
      </c>
    </row>
    <row r="1241" ht="14.25" customHeight="1">
      <c r="A1241" s="157" t="s">
        <v>1205</v>
      </c>
      <c r="B1241" s="158" t="s">
        <v>16</v>
      </c>
      <c r="C1241" s="158" t="s">
        <v>1206</v>
      </c>
      <c r="D1241" s="159">
        <v>43818.0</v>
      </c>
      <c r="E1241" s="157" t="s">
        <v>731</v>
      </c>
      <c r="F1241" s="160">
        <v>381613.57</v>
      </c>
      <c r="G1241" s="160">
        <v>61058.17</v>
      </c>
      <c r="H1241" s="160">
        <f t="shared" si="43"/>
        <v>442671.74</v>
      </c>
      <c r="I1241" s="160"/>
      <c r="J1241" s="161"/>
      <c r="K1241" s="160"/>
      <c r="L1241" s="160">
        <f>+'FACP$'!$H1241-'FACP$'!$I1241-'FACP$'!$K1241</f>
        <v>442671.74</v>
      </c>
      <c r="M1241" s="162" t="s">
        <v>985</v>
      </c>
      <c r="N1241" s="162" t="s">
        <v>554</v>
      </c>
      <c r="O1241" s="175">
        <v>43840.0</v>
      </c>
      <c r="P1241" s="164">
        <f t="shared" si="13"/>
        <v>43828</v>
      </c>
      <c r="Q1241" s="165">
        <f t="shared" si="2"/>
        <v>0</v>
      </c>
      <c r="R1241" s="167"/>
      <c r="S1241" s="167"/>
      <c r="T1241" s="168">
        <f t="shared" si="3"/>
        <v>442671.74</v>
      </c>
      <c r="U1241" s="168">
        <f t="shared" si="4"/>
        <v>0</v>
      </c>
      <c r="V1241" s="168">
        <f t="shared" si="5"/>
        <v>0</v>
      </c>
      <c r="W1241" s="168">
        <f t="shared" si="6"/>
        <v>0</v>
      </c>
      <c r="X1241" s="168">
        <f t="shared" si="7"/>
        <v>0</v>
      </c>
      <c r="Y1241" s="168">
        <f t="shared" si="8"/>
        <v>0</v>
      </c>
      <c r="Z1241" s="168">
        <f t="shared" si="9"/>
        <v>0</v>
      </c>
    </row>
    <row r="1242" ht="14.25" customHeight="1">
      <c r="A1242" s="157" t="s">
        <v>1207</v>
      </c>
      <c r="B1242" s="158" t="s">
        <v>18</v>
      </c>
      <c r="C1242" s="158" t="s">
        <v>1182</v>
      </c>
      <c r="D1242" s="159">
        <v>43818.0</v>
      </c>
      <c r="E1242" s="157" t="s">
        <v>731</v>
      </c>
      <c r="F1242" s="160">
        <v>112015.31</v>
      </c>
      <c r="G1242" s="160">
        <v>17922.45</v>
      </c>
      <c r="H1242" s="160">
        <f t="shared" si="43"/>
        <v>129937.76</v>
      </c>
      <c r="I1242" s="160"/>
      <c r="J1242" s="161"/>
      <c r="K1242" s="160"/>
      <c r="L1242" s="160">
        <f>+'FACP$'!$H1242-'FACP$'!$I1242-'FACP$'!$K1242</f>
        <v>129937.76</v>
      </c>
      <c r="M1242" s="162" t="s">
        <v>586</v>
      </c>
      <c r="N1242" s="162" t="s">
        <v>554</v>
      </c>
      <c r="O1242" s="175">
        <v>43826.0</v>
      </c>
      <c r="P1242" s="164">
        <f t="shared" si="13"/>
        <v>43828</v>
      </c>
      <c r="Q1242" s="165">
        <f t="shared" si="2"/>
        <v>0</v>
      </c>
      <c r="R1242" s="167"/>
      <c r="S1242" s="167" t="s">
        <v>910</v>
      </c>
      <c r="T1242" s="168">
        <f t="shared" si="3"/>
        <v>129937.76</v>
      </c>
      <c r="U1242" s="168">
        <f t="shared" si="4"/>
        <v>0</v>
      </c>
      <c r="V1242" s="168">
        <f t="shared" si="5"/>
        <v>0</v>
      </c>
      <c r="W1242" s="168">
        <f t="shared" si="6"/>
        <v>0</v>
      </c>
      <c r="X1242" s="168">
        <f t="shared" si="7"/>
        <v>0</v>
      </c>
      <c r="Y1242" s="168">
        <f t="shared" si="8"/>
        <v>0</v>
      </c>
      <c r="Z1242" s="168">
        <f t="shared" si="9"/>
        <v>0</v>
      </c>
    </row>
    <row r="1243" ht="14.25" customHeight="1">
      <c r="A1243" s="157" t="s">
        <v>1208</v>
      </c>
      <c r="B1243" s="158" t="s">
        <v>127</v>
      </c>
      <c r="C1243" s="158"/>
      <c r="D1243" s="159"/>
      <c r="E1243" s="157"/>
      <c r="F1243" s="160"/>
      <c r="G1243" s="160"/>
      <c r="H1243" s="160">
        <f t="shared" si="43"/>
        <v>0</v>
      </c>
      <c r="I1243" s="160"/>
      <c r="J1243" s="161"/>
      <c r="K1243" s="160"/>
      <c r="L1243" s="160">
        <f>+'FACP$'!$H1243-'FACP$'!$I1243-'FACP$'!$K1243</f>
        <v>0</v>
      </c>
      <c r="M1243" s="162"/>
      <c r="N1243" s="162" t="s">
        <v>127</v>
      </c>
      <c r="O1243" s="175"/>
      <c r="P1243" s="164">
        <f t="shared" si="13"/>
        <v>10</v>
      </c>
      <c r="Q1243" s="165">
        <f t="shared" si="2"/>
        <v>0</v>
      </c>
      <c r="R1243" s="167"/>
      <c r="S1243" s="167"/>
      <c r="T1243" s="168">
        <f t="shared" si="3"/>
        <v>0</v>
      </c>
      <c r="U1243" s="168">
        <f t="shared" si="4"/>
        <v>0</v>
      </c>
      <c r="V1243" s="168">
        <f t="shared" si="5"/>
        <v>0</v>
      </c>
      <c r="W1243" s="168">
        <f t="shared" si="6"/>
        <v>0</v>
      </c>
      <c r="X1243" s="168">
        <f t="shared" si="7"/>
        <v>0</v>
      </c>
      <c r="Y1243" s="168">
        <f t="shared" si="8"/>
        <v>0</v>
      </c>
      <c r="Z1243" s="168">
        <f t="shared" si="9"/>
        <v>0</v>
      </c>
    </row>
    <row r="1244" ht="14.25" customHeight="1">
      <c r="A1244" s="157" t="s">
        <v>1209</v>
      </c>
      <c r="B1244" s="158" t="s">
        <v>29</v>
      </c>
      <c r="C1244" s="158" t="s">
        <v>1182</v>
      </c>
      <c r="D1244" s="159">
        <v>43818.0</v>
      </c>
      <c r="E1244" s="157" t="s">
        <v>731</v>
      </c>
      <c r="F1244" s="160">
        <v>179060.97</v>
      </c>
      <c r="G1244" s="160">
        <v>28649.76</v>
      </c>
      <c r="H1244" s="160">
        <f t="shared" si="43"/>
        <v>207710.73</v>
      </c>
      <c r="I1244" s="160"/>
      <c r="J1244" s="161"/>
      <c r="K1244" s="160"/>
      <c r="L1244" s="160">
        <f>+'FACP$'!$H1244-'FACP$'!$I1244-'FACP$'!$K1244</f>
        <v>207710.73</v>
      </c>
      <c r="M1244" s="162" t="s">
        <v>130</v>
      </c>
      <c r="N1244" s="162" t="s">
        <v>554</v>
      </c>
      <c r="O1244" s="175">
        <v>43829.0</v>
      </c>
      <c r="P1244" s="164">
        <f t="shared" si="13"/>
        <v>43828</v>
      </c>
      <c r="Q1244" s="165">
        <f t="shared" si="2"/>
        <v>0</v>
      </c>
      <c r="R1244" s="167"/>
      <c r="S1244" s="167"/>
      <c r="T1244" s="168">
        <f t="shared" si="3"/>
        <v>207710.73</v>
      </c>
      <c r="U1244" s="168">
        <f t="shared" si="4"/>
        <v>0</v>
      </c>
      <c r="V1244" s="168">
        <f t="shared" si="5"/>
        <v>0</v>
      </c>
      <c r="W1244" s="168">
        <f t="shared" si="6"/>
        <v>0</v>
      </c>
      <c r="X1244" s="168">
        <f t="shared" si="7"/>
        <v>0</v>
      </c>
      <c r="Y1244" s="168">
        <f t="shared" si="8"/>
        <v>0</v>
      </c>
      <c r="Z1244" s="168">
        <f t="shared" si="9"/>
        <v>0</v>
      </c>
    </row>
    <row r="1245" ht="14.25" customHeight="1">
      <c r="A1245" s="157" t="s">
        <v>1210</v>
      </c>
      <c r="B1245" s="158" t="s">
        <v>29</v>
      </c>
      <c r="C1245" s="158" t="s">
        <v>1200</v>
      </c>
      <c r="D1245" s="159">
        <v>43818.0</v>
      </c>
      <c r="E1245" s="157" t="s">
        <v>731</v>
      </c>
      <c r="F1245" s="160">
        <v>279589.92</v>
      </c>
      <c r="G1245" s="160">
        <v>44734.39</v>
      </c>
      <c r="H1245" s="160">
        <f t="shared" si="43"/>
        <v>324324.31</v>
      </c>
      <c r="I1245" s="160"/>
      <c r="J1245" s="161"/>
      <c r="K1245" s="160"/>
      <c r="L1245" s="160">
        <f>+'FACP$'!$H1245-'FACP$'!$I1245-'FACP$'!$K1245</f>
        <v>324324.31</v>
      </c>
      <c r="M1245" s="162" t="s">
        <v>130</v>
      </c>
      <c r="N1245" s="162" t="s">
        <v>127</v>
      </c>
      <c r="O1245" s="175"/>
      <c r="P1245" s="164">
        <f t="shared" si="13"/>
        <v>43828</v>
      </c>
      <c r="Q1245" s="165">
        <f t="shared" si="2"/>
        <v>0</v>
      </c>
      <c r="R1245" s="167" t="s">
        <v>1211</v>
      </c>
      <c r="S1245" s="167"/>
      <c r="T1245" s="168">
        <f t="shared" si="3"/>
        <v>324324.31</v>
      </c>
      <c r="U1245" s="168">
        <f t="shared" si="4"/>
        <v>0</v>
      </c>
      <c r="V1245" s="168">
        <f t="shared" si="5"/>
        <v>0</v>
      </c>
      <c r="W1245" s="168">
        <f t="shared" si="6"/>
        <v>0</v>
      </c>
      <c r="X1245" s="168">
        <f t="shared" si="7"/>
        <v>0</v>
      </c>
      <c r="Y1245" s="168">
        <f t="shared" si="8"/>
        <v>0</v>
      </c>
      <c r="Z1245" s="168">
        <f t="shared" si="9"/>
        <v>0</v>
      </c>
    </row>
    <row r="1246" ht="14.25" customHeight="1">
      <c r="A1246" s="157" t="s">
        <v>1212</v>
      </c>
      <c r="B1246" s="158" t="s">
        <v>82</v>
      </c>
      <c r="C1246" s="158" t="s">
        <v>1213</v>
      </c>
      <c r="D1246" s="159">
        <v>43826.0</v>
      </c>
      <c r="E1246" s="157" t="s">
        <v>731</v>
      </c>
      <c r="F1246" s="160">
        <v>50000.0</v>
      </c>
      <c r="G1246" s="160">
        <v>8000.0</v>
      </c>
      <c r="H1246" s="160">
        <f t="shared" si="43"/>
        <v>58000</v>
      </c>
      <c r="I1246" s="160"/>
      <c r="J1246" s="161"/>
      <c r="K1246" s="160"/>
      <c r="L1246" s="160">
        <f>+'FACP$'!$H1246-'FACP$'!$I1246-'FACP$'!$K1246</f>
        <v>58000</v>
      </c>
      <c r="M1246" s="162" t="s">
        <v>714</v>
      </c>
      <c r="N1246" s="162" t="s">
        <v>127</v>
      </c>
      <c r="O1246" s="175"/>
      <c r="P1246" s="164">
        <f t="shared" si="13"/>
        <v>43836</v>
      </c>
      <c r="Q1246" s="165">
        <f t="shared" si="2"/>
        <v>0</v>
      </c>
      <c r="R1246" s="167"/>
      <c r="S1246" s="167"/>
      <c r="T1246" s="168">
        <f t="shared" si="3"/>
        <v>58000</v>
      </c>
      <c r="U1246" s="168">
        <f t="shared" si="4"/>
        <v>0</v>
      </c>
      <c r="V1246" s="168">
        <f t="shared" si="5"/>
        <v>0</v>
      </c>
      <c r="W1246" s="168">
        <f t="shared" si="6"/>
        <v>0</v>
      </c>
      <c r="X1246" s="168">
        <f t="shared" si="7"/>
        <v>0</v>
      </c>
      <c r="Y1246" s="168">
        <f t="shared" si="8"/>
        <v>0</v>
      </c>
      <c r="Z1246" s="168">
        <f t="shared" si="9"/>
        <v>0</v>
      </c>
    </row>
    <row r="1247" ht="14.25" customHeight="1">
      <c r="A1247" s="157" t="s">
        <v>1214</v>
      </c>
      <c r="B1247" s="158" t="s">
        <v>82</v>
      </c>
      <c r="C1247" s="158" t="s">
        <v>1213</v>
      </c>
      <c r="D1247" s="159">
        <v>43826.0</v>
      </c>
      <c r="E1247" s="157" t="s">
        <v>731</v>
      </c>
      <c r="F1247" s="160">
        <v>20000.0</v>
      </c>
      <c r="G1247" s="160">
        <v>3200.0</v>
      </c>
      <c r="H1247" s="160">
        <f t="shared" si="43"/>
        <v>23200</v>
      </c>
      <c r="I1247" s="160"/>
      <c r="J1247" s="161"/>
      <c r="K1247" s="160"/>
      <c r="L1247" s="160">
        <f>+'FACP$'!$H1247-'FACP$'!$I1247-'FACP$'!$K1247</f>
        <v>23200</v>
      </c>
      <c r="M1247" s="162" t="s">
        <v>714</v>
      </c>
      <c r="N1247" s="162" t="s">
        <v>127</v>
      </c>
      <c r="O1247" s="175"/>
      <c r="P1247" s="164">
        <f t="shared" si="13"/>
        <v>43836</v>
      </c>
      <c r="Q1247" s="165">
        <f t="shared" si="2"/>
        <v>0</v>
      </c>
      <c r="R1247" s="167"/>
      <c r="S1247" s="167"/>
      <c r="T1247" s="168">
        <f t="shared" si="3"/>
        <v>23200</v>
      </c>
      <c r="U1247" s="168">
        <f t="shared" si="4"/>
        <v>0</v>
      </c>
      <c r="V1247" s="168">
        <f t="shared" si="5"/>
        <v>0</v>
      </c>
      <c r="W1247" s="168">
        <f t="shared" si="6"/>
        <v>0</v>
      </c>
      <c r="X1247" s="168">
        <f t="shared" si="7"/>
        <v>0</v>
      </c>
      <c r="Y1247" s="168">
        <f t="shared" si="8"/>
        <v>0</v>
      </c>
      <c r="Z1247" s="168">
        <f t="shared" si="9"/>
        <v>0</v>
      </c>
    </row>
    <row r="1248" ht="14.25" customHeight="1">
      <c r="A1248" s="157" t="s">
        <v>1215</v>
      </c>
      <c r="B1248" s="158" t="s">
        <v>41</v>
      </c>
      <c r="C1248" s="158" t="s">
        <v>1182</v>
      </c>
      <c r="D1248" s="159">
        <v>43829.0</v>
      </c>
      <c r="E1248" s="157" t="s">
        <v>731</v>
      </c>
      <c r="F1248" s="160">
        <v>498191.4</v>
      </c>
      <c r="G1248" s="160">
        <v>79710.62</v>
      </c>
      <c r="H1248" s="160">
        <f t="shared" si="43"/>
        <v>577902.02</v>
      </c>
      <c r="I1248" s="160"/>
      <c r="J1248" s="161"/>
      <c r="K1248" s="160"/>
      <c r="L1248" s="160">
        <f>+'FACP$'!$H1248-'FACP$'!$I1248-'FACP$'!$K1248</f>
        <v>577902.02</v>
      </c>
      <c r="M1248" s="162" t="s">
        <v>121</v>
      </c>
      <c r="N1248" s="162" t="s">
        <v>554</v>
      </c>
      <c r="O1248" s="175">
        <v>43494.0</v>
      </c>
      <c r="P1248" s="164">
        <f t="shared" si="13"/>
        <v>43839</v>
      </c>
      <c r="Q1248" s="165">
        <f t="shared" si="2"/>
        <v>0</v>
      </c>
      <c r="R1248" s="167"/>
      <c r="S1248" s="167"/>
      <c r="T1248" s="168">
        <f t="shared" si="3"/>
        <v>577902.02</v>
      </c>
      <c r="U1248" s="168">
        <f t="shared" si="4"/>
        <v>0</v>
      </c>
      <c r="V1248" s="168">
        <f t="shared" si="5"/>
        <v>0</v>
      </c>
      <c r="W1248" s="168">
        <f t="shared" si="6"/>
        <v>0</v>
      </c>
      <c r="X1248" s="168">
        <f t="shared" si="7"/>
        <v>0</v>
      </c>
      <c r="Y1248" s="168">
        <f t="shared" si="8"/>
        <v>0</v>
      </c>
      <c r="Z1248" s="168">
        <f t="shared" si="9"/>
        <v>0</v>
      </c>
    </row>
    <row r="1249" ht="14.25" customHeight="1">
      <c r="A1249" s="157" t="s">
        <v>1216</v>
      </c>
      <c r="B1249" s="158" t="s">
        <v>43</v>
      </c>
      <c r="C1249" s="158" t="s">
        <v>1217</v>
      </c>
      <c r="D1249" s="159">
        <v>43833.0</v>
      </c>
      <c r="E1249" s="157" t="s">
        <v>731</v>
      </c>
      <c r="F1249" s="160">
        <v>1228953.0</v>
      </c>
      <c r="G1249" s="160">
        <v>196632.48</v>
      </c>
      <c r="H1249" s="160">
        <f t="shared" si="43"/>
        <v>1425585.48</v>
      </c>
      <c r="I1249" s="160"/>
      <c r="J1249" s="161"/>
      <c r="K1249" s="160"/>
      <c r="L1249" s="160">
        <f>+'FACP$'!$H1249-'FACP$'!$I1249-'FACP$'!$K1249</f>
        <v>1425585.48</v>
      </c>
      <c r="M1249" s="162" t="s">
        <v>43</v>
      </c>
      <c r="N1249" s="162" t="s">
        <v>554</v>
      </c>
      <c r="O1249" s="175">
        <v>43861.0</v>
      </c>
      <c r="P1249" s="164">
        <f t="shared" si="13"/>
        <v>43843</v>
      </c>
      <c r="Q1249" s="165">
        <f t="shared" si="2"/>
        <v>0</v>
      </c>
      <c r="R1249" s="167"/>
      <c r="S1249" s="220" t="s">
        <v>910</v>
      </c>
      <c r="T1249" s="168">
        <f t="shared" si="3"/>
        <v>1425585.48</v>
      </c>
      <c r="U1249" s="168">
        <f t="shared" si="4"/>
        <v>0</v>
      </c>
      <c r="V1249" s="168">
        <f t="shared" si="5"/>
        <v>0</v>
      </c>
      <c r="W1249" s="168">
        <f t="shared" si="6"/>
        <v>0</v>
      </c>
      <c r="X1249" s="168">
        <f t="shared" si="7"/>
        <v>0</v>
      </c>
      <c r="Y1249" s="168">
        <f t="shared" si="8"/>
        <v>0</v>
      </c>
      <c r="Z1249" s="168">
        <f t="shared" si="9"/>
        <v>0</v>
      </c>
    </row>
    <row r="1250" ht="14.25" customHeight="1">
      <c r="A1250" s="157" t="s">
        <v>1218</v>
      </c>
      <c r="B1250" s="158" t="s">
        <v>33</v>
      </c>
      <c r="C1250" s="158" t="s">
        <v>1217</v>
      </c>
      <c r="D1250" s="159">
        <v>43833.0</v>
      </c>
      <c r="E1250" s="157" t="s">
        <v>731</v>
      </c>
      <c r="F1250" s="160">
        <v>740721.62</v>
      </c>
      <c r="G1250" s="160">
        <v>118515.46</v>
      </c>
      <c r="H1250" s="160">
        <f t="shared" si="43"/>
        <v>859237.08</v>
      </c>
      <c r="I1250" s="160"/>
      <c r="J1250" s="161"/>
      <c r="K1250" s="160"/>
      <c r="L1250" s="160">
        <f>+'FACP$'!$H1250-'FACP$'!$I1250-'FACP$'!$K1250</f>
        <v>859237.08</v>
      </c>
      <c r="M1250" s="162" t="s">
        <v>958</v>
      </c>
      <c r="N1250" s="162" t="s">
        <v>554</v>
      </c>
      <c r="O1250" s="175">
        <v>43857.0</v>
      </c>
      <c r="P1250" s="164">
        <f t="shared" si="13"/>
        <v>43843</v>
      </c>
      <c r="Q1250" s="165">
        <f t="shared" si="2"/>
        <v>0</v>
      </c>
      <c r="R1250" s="167"/>
      <c r="S1250" s="167" t="s">
        <v>910</v>
      </c>
      <c r="T1250" s="168">
        <f t="shared" si="3"/>
        <v>859237.08</v>
      </c>
      <c r="U1250" s="168">
        <f t="shared" si="4"/>
        <v>0</v>
      </c>
      <c r="V1250" s="168">
        <f t="shared" si="5"/>
        <v>0</v>
      </c>
      <c r="W1250" s="168">
        <f t="shared" si="6"/>
        <v>0</v>
      </c>
      <c r="X1250" s="168">
        <f t="shared" si="7"/>
        <v>0</v>
      </c>
      <c r="Y1250" s="168">
        <f t="shared" si="8"/>
        <v>0</v>
      </c>
      <c r="Z1250" s="168">
        <f t="shared" si="9"/>
        <v>0</v>
      </c>
    </row>
    <row r="1251" ht="14.25" customHeight="1">
      <c r="A1251" s="157" t="s">
        <v>1219</v>
      </c>
      <c r="B1251" s="158" t="s">
        <v>36</v>
      </c>
      <c r="C1251" s="158" t="s">
        <v>1217</v>
      </c>
      <c r="D1251" s="159">
        <v>43833.0</v>
      </c>
      <c r="E1251" s="157" t="s">
        <v>731</v>
      </c>
      <c r="F1251" s="160">
        <v>83034.63</v>
      </c>
      <c r="G1251" s="160">
        <v>13285.54</v>
      </c>
      <c r="H1251" s="160">
        <f t="shared" si="43"/>
        <v>96320.17</v>
      </c>
      <c r="I1251" s="160"/>
      <c r="J1251" s="161"/>
      <c r="K1251" s="160"/>
      <c r="L1251" s="160">
        <f>+'FACP$'!$H1251-'FACP$'!$I1251-'FACP$'!$K1251</f>
        <v>96320.17</v>
      </c>
      <c r="M1251" s="162" t="s">
        <v>278</v>
      </c>
      <c r="N1251" s="162" t="s">
        <v>554</v>
      </c>
      <c r="O1251" s="175">
        <v>43857.0</v>
      </c>
      <c r="P1251" s="164">
        <f t="shared" si="13"/>
        <v>43843</v>
      </c>
      <c r="Q1251" s="165">
        <f t="shared" si="2"/>
        <v>0</v>
      </c>
      <c r="R1251" s="167"/>
      <c r="S1251" s="220" t="s">
        <v>910</v>
      </c>
      <c r="T1251" s="168">
        <f t="shared" si="3"/>
        <v>96320.17</v>
      </c>
      <c r="U1251" s="168">
        <f t="shared" si="4"/>
        <v>0</v>
      </c>
      <c r="V1251" s="168">
        <f t="shared" si="5"/>
        <v>0</v>
      </c>
      <c r="W1251" s="168">
        <f t="shared" si="6"/>
        <v>0</v>
      </c>
      <c r="X1251" s="168">
        <f t="shared" si="7"/>
        <v>0</v>
      </c>
      <c r="Y1251" s="168">
        <f t="shared" si="8"/>
        <v>0</v>
      </c>
      <c r="Z1251" s="168">
        <f t="shared" si="9"/>
        <v>0</v>
      </c>
    </row>
    <row r="1252" ht="14.25" customHeight="1">
      <c r="A1252" s="157" t="s">
        <v>1220</v>
      </c>
      <c r="B1252" s="158" t="s">
        <v>41</v>
      </c>
      <c r="C1252" s="158" t="s">
        <v>1217</v>
      </c>
      <c r="D1252" s="159">
        <v>43833.0</v>
      </c>
      <c r="E1252" s="157" t="s">
        <v>731</v>
      </c>
      <c r="F1252" s="160">
        <v>656095.29</v>
      </c>
      <c r="G1252" s="160">
        <v>104975.25</v>
      </c>
      <c r="H1252" s="160">
        <f t="shared" si="43"/>
        <v>761070.54</v>
      </c>
      <c r="I1252" s="160"/>
      <c r="J1252" s="161"/>
      <c r="K1252" s="160"/>
      <c r="L1252" s="160">
        <f>+'FACP$'!$H1252-'FACP$'!$I1252-'FACP$'!$K1252</f>
        <v>761070.54</v>
      </c>
      <c r="M1252" s="162" t="s">
        <v>121</v>
      </c>
      <c r="N1252" s="162" t="s">
        <v>554</v>
      </c>
      <c r="O1252" s="175">
        <v>43859.0</v>
      </c>
      <c r="P1252" s="164">
        <f t="shared" si="13"/>
        <v>43843</v>
      </c>
      <c r="Q1252" s="165">
        <f t="shared" si="2"/>
        <v>0</v>
      </c>
      <c r="R1252" s="167"/>
      <c r="S1252" s="167"/>
      <c r="T1252" s="168">
        <f t="shared" si="3"/>
        <v>761070.54</v>
      </c>
      <c r="U1252" s="168">
        <f t="shared" si="4"/>
        <v>0</v>
      </c>
      <c r="V1252" s="168">
        <f t="shared" si="5"/>
        <v>0</v>
      </c>
      <c r="W1252" s="168">
        <f t="shared" si="6"/>
        <v>0</v>
      </c>
      <c r="X1252" s="168">
        <f t="shared" si="7"/>
        <v>0</v>
      </c>
      <c r="Y1252" s="168">
        <f t="shared" si="8"/>
        <v>0</v>
      </c>
      <c r="Z1252" s="168">
        <f t="shared" si="9"/>
        <v>0</v>
      </c>
    </row>
    <row r="1253" ht="14.25" customHeight="1">
      <c r="A1253" s="157" t="s">
        <v>1221</v>
      </c>
      <c r="B1253" s="158" t="s">
        <v>1127</v>
      </c>
      <c r="C1253" s="158" t="s">
        <v>1217</v>
      </c>
      <c r="D1253" s="159">
        <v>43833.0</v>
      </c>
      <c r="E1253" s="157" t="s">
        <v>731</v>
      </c>
      <c r="F1253" s="160">
        <v>44455.4</v>
      </c>
      <c r="G1253" s="160">
        <v>7112.86</v>
      </c>
      <c r="H1253" s="160">
        <f t="shared" si="43"/>
        <v>51568.26</v>
      </c>
      <c r="I1253" s="160"/>
      <c r="J1253" s="161"/>
      <c r="K1253" s="160"/>
      <c r="L1253" s="160">
        <f>+'FACP$'!$H1253-'FACP$'!$I1253-'FACP$'!$K1253</f>
        <v>51568.26</v>
      </c>
      <c r="M1253" s="162" t="s">
        <v>580</v>
      </c>
      <c r="N1253" s="162" t="s">
        <v>554</v>
      </c>
      <c r="O1253" s="175">
        <v>43874.0</v>
      </c>
      <c r="P1253" s="164">
        <f t="shared" si="13"/>
        <v>43843</v>
      </c>
      <c r="Q1253" s="165">
        <f t="shared" si="2"/>
        <v>0</v>
      </c>
      <c r="R1253" s="167" t="s">
        <v>1128</v>
      </c>
      <c r="S1253" s="167" t="s">
        <v>910</v>
      </c>
      <c r="T1253" s="168">
        <f t="shared" si="3"/>
        <v>51568.26</v>
      </c>
      <c r="U1253" s="168">
        <f t="shared" si="4"/>
        <v>0</v>
      </c>
      <c r="V1253" s="168">
        <f t="shared" si="5"/>
        <v>0</v>
      </c>
      <c r="W1253" s="168">
        <f t="shared" si="6"/>
        <v>0</v>
      </c>
      <c r="X1253" s="168">
        <f t="shared" si="7"/>
        <v>0</v>
      </c>
      <c r="Y1253" s="168">
        <f t="shared" si="8"/>
        <v>0</v>
      </c>
      <c r="Z1253" s="168">
        <f t="shared" si="9"/>
        <v>0</v>
      </c>
    </row>
    <row r="1254" ht="14.25" customHeight="1">
      <c r="A1254" s="157" t="s">
        <v>1222</v>
      </c>
      <c r="B1254" s="158" t="s">
        <v>127</v>
      </c>
      <c r="C1254" s="158"/>
      <c r="D1254" s="159"/>
      <c r="E1254" s="157"/>
      <c r="F1254" s="160"/>
      <c r="G1254" s="160"/>
      <c r="H1254" s="160">
        <f t="shared" si="43"/>
        <v>0</v>
      </c>
      <c r="I1254" s="160"/>
      <c r="J1254" s="161"/>
      <c r="K1254" s="160"/>
      <c r="L1254" s="160">
        <f>+'FACP$'!$H1254-'FACP$'!$I1254-'FACP$'!$K1254</f>
        <v>0</v>
      </c>
      <c r="M1254" s="162"/>
      <c r="N1254" s="162" t="s">
        <v>127</v>
      </c>
      <c r="O1254" s="175"/>
      <c r="P1254" s="164">
        <f t="shared" si="13"/>
        <v>10</v>
      </c>
      <c r="Q1254" s="165">
        <f t="shared" si="2"/>
        <v>0</v>
      </c>
      <c r="R1254" s="167"/>
      <c r="S1254" s="167"/>
      <c r="T1254" s="168">
        <f t="shared" si="3"/>
        <v>0</v>
      </c>
      <c r="U1254" s="168">
        <f t="shared" si="4"/>
        <v>0</v>
      </c>
      <c r="V1254" s="168">
        <f t="shared" si="5"/>
        <v>0</v>
      </c>
      <c r="W1254" s="168">
        <f t="shared" si="6"/>
        <v>0</v>
      </c>
      <c r="X1254" s="168">
        <f t="shared" si="7"/>
        <v>0</v>
      </c>
      <c r="Y1254" s="168">
        <f t="shared" si="8"/>
        <v>0</v>
      </c>
      <c r="Z1254" s="168">
        <f t="shared" si="9"/>
        <v>0</v>
      </c>
    </row>
    <row r="1255" ht="14.25" customHeight="1">
      <c r="A1255" s="157" t="s">
        <v>1223</v>
      </c>
      <c r="B1255" s="158" t="s">
        <v>82</v>
      </c>
      <c r="C1255" s="158" t="s">
        <v>1224</v>
      </c>
      <c r="D1255" s="159">
        <v>43836.0</v>
      </c>
      <c r="E1255" s="157" t="s">
        <v>731</v>
      </c>
      <c r="F1255" s="160">
        <v>100000.0</v>
      </c>
      <c r="G1255" s="160">
        <v>16000.0</v>
      </c>
      <c r="H1255" s="160">
        <f t="shared" si="43"/>
        <v>116000</v>
      </c>
      <c r="I1255" s="160"/>
      <c r="J1255" s="161"/>
      <c r="K1255" s="160"/>
      <c r="L1255" s="160">
        <f>+'FACP$'!$H1255-'FACP$'!$I1255-'FACP$'!$K1255</f>
        <v>116000</v>
      </c>
      <c r="M1255" s="162" t="s">
        <v>714</v>
      </c>
      <c r="N1255" s="162" t="s">
        <v>127</v>
      </c>
      <c r="O1255" s="175"/>
      <c r="P1255" s="164">
        <f t="shared" si="13"/>
        <v>43846</v>
      </c>
      <c r="Q1255" s="165">
        <f t="shared" si="2"/>
        <v>0</v>
      </c>
      <c r="R1255" s="167"/>
      <c r="S1255" s="167"/>
      <c r="T1255" s="168">
        <f t="shared" si="3"/>
        <v>116000</v>
      </c>
      <c r="U1255" s="168">
        <f t="shared" si="4"/>
        <v>0</v>
      </c>
      <c r="V1255" s="168">
        <f t="shared" si="5"/>
        <v>0</v>
      </c>
      <c r="W1255" s="168">
        <f t="shared" si="6"/>
        <v>0</v>
      </c>
      <c r="X1255" s="168">
        <f t="shared" si="7"/>
        <v>0</v>
      </c>
      <c r="Y1255" s="168">
        <f t="shared" si="8"/>
        <v>0</v>
      </c>
      <c r="Z1255" s="168">
        <f t="shared" si="9"/>
        <v>0</v>
      </c>
    </row>
    <row r="1256" ht="14.25" customHeight="1">
      <c r="A1256" s="157" t="s">
        <v>1225</v>
      </c>
      <c r="B1256" s="158" t="s">
        <v>82</v>
      </c>
      <c r="C1256" s="158" t="s">
        <v>1226</v>
      </c>
      <c r="D1256" s="159">
        <v>43836.0</v>
      </c>
      <c r="E1256" s="157" t="s">
        <v>731</v>
      </c>
      <c r="F1256" s="160">
        <v>150000.0</v>
      </c>
      <c r="G1256" s="160">
        <v>24000.0</v>
      </c>
      <c r="H1256" s="160">
        <f t="shared" si="43"/>
        <v>174000</v>
      </c>
      <c r="I1256" s="160"/>
      <c r="J1256" s="161"/>
      <c r="K1256" s="160"/>
      <c r="L1256" s="160">
        <f>+'FACP$'!$H1256-'FACP$'!$I1256-'FACP$'!$K1256</f>
        <v>174000</v>
      </c>
      <c r="M1256" s="162" t="s">
        <v>714</v>
      </c>
      <c r="N1256" s="162" t="s">
        <v>127</v>
      </c>
      <c r="O1256" s="175"/>
      <c r="P1256" s="164">
        <f t="shared" si="13"/>
        <v>43846</v>
      </c>
      <c r="Q1256" s="165">
        <f t="shared" si="2"/>
        <v>0</v>
      </c>
      <c r="R1256" s="167"/>
      <c r="S1256" s="167"/>
      <c r="T1256" s="168">
        <f t="shared" si="3"/>
        <v>174000</v>
      </c>
      <c r="U1256" s="168">
        <f t="shared" si="4"/>
        <v>0</v>
      </c>
      <c r="V1256" s="168">
        <f t="shared" si="5"/>
        <v>0</v>
      </c>
      <c r="W1256" s="168">
        <f t="shared" si="6"/>
        <v>0</v>
      </c>
      <c r="X1256" s="168">
        <f t="shared" si="7"/>
        <v>0</v>
      </c>
      <c r="Y1256" s="168">
        <f t="shared" si="8"/>
        <v>0</v>
      </c>
      <c r="Z1256" s="168">
        <f t="shared" si="9"/>
        <v>0</v>
      </c>
    </row>
    <row r="1257" ht="14.25" customHeight="1">
      <c r="A1257" s="157" t="s">
        <v>1227</v>
      </c>
      <c r="B1257" s="158" t="s">
        <v>82</v>
      </c>
      <c r="C1257" s="158" t="s">
        <v>1226</v>
      </c>
      <c r="D1257" s="159">
        <v>43836.0</v>
      </c>
      <c r="E1257" s="157" t="s">
        <v>731</v>
      </c>
      <c r="F1257" s="160">
        <v>60000.0</v>
      </c>
      <c r="G1257" s="160">
        <v>9600.0</v>
      </c>
      <c r="H1257" s="160">
        <f t="shared" si="43"/>
        <v>69600</v>
      </c>
      <c r="I1257" s="160"/>
      <c r="J1257" s="161"/>
      <c r="K1257" s="160"/>
      <c r="L1257" s="160">
        <f>+'FACP$'!$H1257-'FACP$'!$I1257-'FACP$'!$K1257</f>
        <v>69600</v>
      </c>
      <c r="M1257" s="162" t="s">
        <v>714</v>
      </c>
      <c r="N1257" s="162" t="s">
        <v>127</v>
      </c>
      <c r="O1257" s="175"/>
      <c r="P1257" s="164">
        <f t="shared" si="13"/>
        <v>43846</v>
      </c>
      <c r="Q1257" s="165">
        <f t="shared" si="2"/>
        <v>0</v>
      </c>
      <c r="R1257" s="167"/>
      <c r="S1257" s="167"/>
      <c r="T1257" s="168">
        <f t="shared" si="3"/>
        <v>69600</v>
      </c>
      <c r="U1257" s="168">
        <f t="shared" si="4"/>
        <v>0</v>
      </c>
      <c r="V1257" s="168">
        <f t="shared" si="5"/>
        <v>0</v>
      </c>
      <c r="W1257" s="168">
        <f t="shared" si="6"/>
        <v>0</v>
      </c>
      <c r="X1257" s="168">
        <f t="shared" si="7"/>
        <v>0</v>
      </c>
      <c r="Y1257" s="168">
        <f t="shared" si="8"/>
        <v>0</v>
      </c>
      <c r="Z1257" s="168">
        <f t="shared" si="9"/>
        <v>0</v>
      </c>
    </row>
    <row r="1258" ht="14.25" customHeight="1">
      <c r="A1258" s="157" t="s">
        <v>1228</v>
      </c>
      <c r="B1258" s="158" t="s">
        <v>82</v>
      </c>
      <c r="C1258" s="158" t="s">
        <v>1229</v>
      </c>
      <c r="D1258" s="159">
        <v>43836.0</v>
      </c>
      <c r="E1258" s="157" t="s">
        <v>731</v>
      </c>
      <c r="F1258" s="160">
        <v>43103.45</v>
      </c>
      <c r="G1258" s="160">
        <v>6896.55</v>
      </c>
      <c r="H1258" s="160">
        <f t="shared" si="43"/>
        <v>50000</v>
      </c>
      <c r="I1258" s="160"/>
      <c r="J1258" s="161"/>
      <c r="K1258" s="160"/>
      <c r="L1258" s="160">
        <f>+'FACP$'!$H1258-'FACP$'!$I1258-'FACP$'!$K1258</f>
        <v>50000</v>
      </c>
      <c r="M1258" s="162" t="s">
        <v>714</v>
      </c>
      <c r="N1258" s="162" t="s">
        <v>127</v>
      </c>
      <c r="O1258" s="175"/>
      <c r="P1258" s="164">
        <f t="shared" si="13"/>
        <v>43846</v>
      </c>
      <c r="Q1258" s="165">
        <f t="shared" si="2"/>
        <v>0</v>
      </c>
      <c r="R1258" s="167"/>
      <c r="S1258" s="167"/>
      <c r="T1258" s="168">
        <f t="shared" si="3"/>
        <v>50000</v>
      </c>
      <c r="U1258" s="168">
        <f t="shared" si="4"/>
        <v>0</v>
      </c>
      <c r="V1258" s="168">
        <f t="shared" si="5"/>
        <v>0</v>
      </c>
      <c r="W1258" s="168">
        <f t="shared" si="6"/>
        <v>0</v>
      </c>
      <c r="X1258" s="168">
        <f t="shared" si="7"/>
        <v>0</v>
      </c>
      <c r="Y1258" s="168">
        <f t="shared" si="8"/>
        <v>0</v>
      </c>
      <c r="Z1258" s="168">
        <f t="shared" si="9"/>
        <v>0</v>
      </c>
    </row>
    <row r="1259" ht="14.25" customHeight="1">
      <c r="A1259" s="157" t="s">
        <v>1230</v>
      </c>
      <c r="B1259" s="158" t="s">
        <v>82</v>
      </c>
      <c r="C1259" s="158" t="s">
        <v>1231</v>
      </c>
      <c r="D1259" s="159">
        <v>43836.0</v>
      </c>
      <c r="E1259" s="157" t="s">
        <v>731</v>
      </c>
      <c r="F1259" s="160">
        <v>20000.0</v>
      </c>
      <c r="G1259" s="160">
        <v>3200.0</v>
      </c>
      <c r="H1259" s="160">
        <f t="shared" si="43"/>
        <v>23200</v>
      </c>
      <c r="I1259" s="160"/>
      <c r="J1259" s="161"/>
      <c r="K1259" s="160"/>
      <c r="L1259" s="160">
        <f>+'FACP$'!$H1259-'FACP$'!$I1259-'FACP$'!$K1259</f>
        <v>23200</v>
      </c>
      <c r="M1259" s="162" t="s">
        <v>714</v>
      </c>
      <c r="N1259" s="162" t="s">
        <v>127</v>
      </c>
      <c r="O1259" s="175"/>
      <c r="P1259" s="164">
        <f t="shared" si="13"/>
        <v>43846</v>
      </c>
      <c r="Q1259" s="165">
        <f t="shared" si="2"/>
        <v>0</v>
      </c>
      <c r="R1259" s="167"/>
      <c r="S1259" s="167"/>
      <c r="T1259" s="168">
        <f t="shared" si="3"/>
        <v>23200</v>
      </c>
      <c r="U1259" s="168">
        <f t="shared" si="4"/>
        <v>0</v>
      </c>
      <c r="V1259" s="168">
        <f t="shared" si="5"/>
        <v>0</v>
      </c>
      <c r="W1259" s="168">
        <f t="shared" si="6"/>
        <v>0</v>
      </c>
      <c r="X1259" s="168">
        <f t="shared" si="7"/>
        <v>0</v>
      </c>
      <c r="Y1259" s="168">
        <f t="shared" si="8"/>
        <v>0</v>
      </c>
      <c r="Z1259" s="168">
        <f t="shared" si="9"/>
        <v>0</v>
      </c>
    </row>
    <row r="1260" ht="14.25" customHeight="1">
      <c r="A1260" s="157" t="s">
        <v>1232</v>
      </c>
      <c r="B1260" s="158" t="s">
        <v>82</v>
      </c>
      <c r="C1260" s="158" t="s">
        <v>1224</v>
      </c>
      <c r="D1260" s="159">
        <v>43836.0</v>
      </c>
      <c r="E1260" s="157" t="s">
        <v>731</v>
      </c>
      <c r="F1260" s="160">
        <v>250000.0</v>
      </c>
      <c r="G1260" s="160">
        <v>40000.0</v>
      </c>
      <c r="H1260" s="160">
        <f t="shared" si="43"/>
        <v>290000</v>
      </c>
      <c r="I1260" s="160"/>
      <c r="J1260" s="161"/>
      <c r="K1260" s="160"/>
      <c r="L1260" s="160">
        <f>+'FACP$'!$H1260-'FACP$'!$I1260-'FACP$'!$K1260</f>
        <v>290000</v>
      </c>
      <c r="M1260" s="162" t="s">
        <v>714</v>
      </c>
      <c r="N1260" s="162" t="s">
        <v>554</v>
      </c>
      <c r="O1260" s="175">
        <v>43865.0</v>
      </c>
      <c r="P1260" s="164">
        <f t="shared" si="13"/>
        <v>43846</v>
      </c>
      <c r="Q1260" s="165">
        <f t="shared" si="2"/>
        <v>0</v>
      </c>
      <c r="R1260" s="167"/>
      <c r="S1260" s="167"/>
      <c r="T1260" s="168">
        <f t="shared" si="3"/>
        <v>290000</v>
      </c>
      <c r="U1260" s="168">
        <f t="shared" si="4"/>
        <v>0</v>
      </c>
      <c r="V1260" s="168">
        <f t="shared" si="5"/>
        <v>0</v>
      </c>
      <c r="W1260" s="168">
        <f t="shared" si="6"/>
        <v>0</v>
      </c>
      <c r="X1260" s="168">
        <f t="shared" si="7"/>
        <v>0</v>
      </c>
      <c r="Y1260" s="168">
        <f t="shared" si="8"/>
        <v>0</v>
      </c>
      <c r="Z1260" s="168">
        <f t="shared" si="9"/>
        <v>0</v>
      </c>
    </row>
    <row r="1261" ht="14.25" customHeight="1">
      <c r="A1261" s="157" t="s">
        <v>1233</v>
      </c>
      <c r="B1261" s="158" t="s">
        <v>82</v>
      </c>
      <c r="C1261" s="158" t="s">
        <v>1229</v>
      </c>
      <c r="D1261" s="159">
        <v>43836.0</v>
      </c>
      <c r="E1261" s="157" t="s">
        <v>731</v>
      </c>
      <c r="F1261" s="160">
        <v>50000.0</v>
      </c>
      <c r="G1261" s="160">
        <v>8000.0</v>
      </c>
      <c r="H1261" s="160">
        <f t="shared" si="43"/>
        <v>58000</v>
      </c>
      <c r="I1261" s="160"/>
      <c r="J1261" s="161"/>
      <c r="K1261" s="160"/>
      <c r="L1261" s="160">
        <f>+'FACP$'!$H1261-'FACP$'!$I1261-'FACP$'!$K1261</f>
        <v>58000</v>
      </c>
      <c r="M1261" s="162" t="s">
        <v>714</v>
      </c>
      <c r="N1261" s="162" t="s">
        <v>554</v>
      </c>
      <c r="O1261" s="175">
        <v>43865.0</v>
      </c>
      <c r="P1261" s="164">
        <f t="shared" si="13"/>
        <v>43846</v>
      </c>
      <c r="Q1261" s="165">
        <f t="shared" si="2"/>
        <v>0</v>
      </c>
      <c r="R1261" s="167"/>
      <c r="S1261" s="167"/>
      <c r="T1261" s="168">
        <f t="shared" si="3"/>
        <v>58000</v>
      </c>
      <c r="U1261" s="168">
        <f t="shared" si="4"/>
        <v>0</v>
      </c>
      <c r="V1261" s="168">
        <f t="shared" si="5"/>
        <v>0</v>
      </c>
      <c r="W1261" s="168">
        <f t="shared" si="6"/>
        <v>0</v>
      </c>
      <c r="X1261" s="168">
        <f t="shared" si="7"/>
        <v>0</v>
      </c>
      <c r="Y1261" s="168">
        <f t="shared" si="8"/>
        <v>0</v>
      </c>
      <c r="Z1261" s="168">
        <f t="shared" si="9"/>
        <v>0</v>
      </c>
    </row>
    <row r="1262" ht="14.25" customHeight="1">
      <c r="A1262" s="157" t="s">
        <v>1234</v>
      </c>
      <c r="B1262" s="158" t="s">
        <v>29</v>
      </c>
      <c r="C1262" s="158" t="s">
        <v>1217</v>
      </c>
      <c r="D1262" s="159">
        <v>43836.0</v>
      </c>
      <c r="E1262" s="157" t="s">
        <v>731</v>
      </c>
      <c r="F1262" s="160">
        <v>218084.22</v>
      </c>
      <c r="G1262" s="160">
        <v>34893.48</v>
      </c>
      <c r="H1262" s="160">
        <f t="shared" si="43"/>
        <v>252977.7</v>
      </c>
      <c r="I1262" s="160"/>
      <c r="J1262" s="161"/>
      <c r="K1262" s="160"/>
      <c r="L1262" s="160">
        <f>+'FACP$'!$H1262-'FACP$'!$I1262-'FACP$'!$K1262</f>
        <v>252977.7</v>
      </c>
      <c r="M1262" s="162" t="s">
        <v>130</v>
      </c>
      <c r="N1262" s="162" t="s">
        <v>554</v>
      </c>
      <c r="O1262" s="175">
        <v>43850.0</v>
      </c>
      <c r="P1262" s="164">
        <f t="shared" si="13"/>
        <v>43846</v>
      </c>
      <c r="Q1262" s="165">
        <f t="shared" si="2"/>
        <v>0</v>
      </c>
      <c r="R1262" s="167"/>
      <c r="S1262" s="167"/>
      <c r="T1262" s="168">
        <f t="shared" si="3"/>
        <v>252977.7</v>
      </c>
      <c r="U1262" s="168">
        <f t="shared" si="4"/>
        <v>0</v>
      </c>
      <c r="V1262" s="168">
        <f t="shared" si="5"/>
        <v>0</v>
      </c>
      <c r="W1262" s="168">
        <f t="shared" si="6"/>
        <v>0</v>
      </c>
      <c r="X1262" s="168">
        <f t="shared" si="7"/>
        <v>0</v>
      </c>
      <c r="Y1262" s="168">
        <f t="shared" si="8"/>
        <v>0</v>
      </c>
      <c r="Z1262" s="168">
        <f t="shared" si="9"/>
        <v>0</v>
      </c>
    </row>
    <row r="1263" ht="14.25" customHeight="1">
      <c r="A1263" s="157" t="s">
        <v>1235</v>
      </c>
      <c r="B1263" s="158" t="s">
        <v>29</v>
      </c>
      <c r="C1263" s="158" t="s">
        <v>1236</v>
      </c>
      <c r="D1263" s="159">
        <v>43836.0</v>
      </c>
      <c r="E1263" s="157" t="s">
        <v>731</v>
      </c>
      <c r="F1263" s="160">
        <v>340458.63</v>
      </c>
      <c r="G1263" s="160">
        <v>54473.38</v>
      </c>
      <c r="H1263" s="160">
        <f t="shared" si="43"/>
        <v>394932.01</v>
      </c>
      <c r="I1263" s="160"/>
      <c r="J1263" s="161"/>
      <c r="K1263" s="160"/>
      <c r="L1263" s="160">
        <f>+'FACP$'!$H1263-'FACP$'!$I1263-'FACP$'!$K1263</f>
        <v>394932.01</v>
      </c>
      <c r="M1263" s="162" t="s">
        <v>130</v>
      </c>
      <c r="N1263" s="162" t="s">
        <v>554</v>
      </c>
      <c r="O1263" s="175">
        <v>43850.0</v>
      </c>
      <c r="P1263" s="164">
        <f t="shared" si="13"/>
        <v>43846</v>
      </c>
      <c r="Q1263" s="165">
        <f t="shared" si="2"/>
        <v>0</v>
      </c>
      <c r="R1263" s="167"/>
      <c r="S1263" s="167"/>
      <c r="T1263" s="168">
        <f t="shared" si="3"/>
        <v>394932.01</v>
      </c>
      <c r="U1263" s="168">
        <f t="shared" si="4"/>
        <v>0</v>
      </c>
      <c r="V1263" s="168">
        <f t="shared" si="5"/>
        <v>0</v>
      </c>
      <c r="W1263" s="168">
        <f t="shared" si="6"/>
        <v>0</v>
      </c>
      <c r="X1263" s="168">
        <f t="shared" si="7"/>
        <v>0</v>
      </c>
      <c r="Y1263" s="168">
        <f t="shared" si="8"/>
        <v>0</v>
      </c>
      <c r="Z1263" s="168">
        <f t="shared" si="9"/>
        <v>0</v>
      </c>
    </row>
    <row r="1264" ht="14.25" customHeight="1">
      <c r="A1264" s="157" t="s">
        <v>1237</v>
      </c>
      <c r="B1264" s="158" t="s">
        <v>37</v>
      </c>
      <c r="C1264" s="158" t="s">
        <v>1217</v>
      </c>
      <c r="D1264" s="159">
        <v>43836.0</v>
      </c>
      <c r="E1264" s="157" t="s">
        <v>731</v>
      </c>
      <c r="F1264" s="160">
        <v>875411.7</v>
      </c>
      <c r="G1264" s="160">
        <v>140065.87</v>
      </c>
      <c r="H1264" s="160">
        <f t="shared" si="43"/>
        <v>1015477.57</v>
      </c>
      <c r="I1264" s="160"/>
      <c r="J1264" s="161"/>
      <c r="K1264" s="160"/>
      <c r="L1264" s="160">
        <f>+'FACP$'!$H1264-'FACP$'!$I1264-'FACP$'!$K1264</f>
        <v>1015477.57</v>
      </c>
      <c r="M1264" s="162" t="s">
        <v>116</v>
      </c>
      <c r="N1264" s="162" t="s">
        <v>554</v>
      </c>
      <c r="O1264" s="175">
        <v>43851.0</v>
      </c>
      <c r="P1264" s="164">
        <f t="shared" si="13"/>
        <v>43846</v>
      </c>
      <c r="Q1264" s="165">
        <f t="shared" si="2"/>
        <v>0</v>
      </c>
      <c r="R1264" s="167"/>
      <c r="S1264" s="167" t="s">
        <v>910</v>
      </c>
      <c r="T1264" s="168">
        <f t="shared" si="3"/>
        <v>1015477.57</v>
      </c>
      <c r="U1264" s="168">
        <f t="shared" si="4"/>
        <v>0</v>
      </c>
      <c r="V1264" s="168">
        <f t="shared" si="5"/>
        <v>0</v>
      </c>
      <c r="W1264" s="168">
        <f t="shared" si="6"/>
        <v>0</v>
      </c>
      <c r="X1264" s="168">
        <f t="shared" si="7"/>
        <v>0</v>
      </c>
      <c r="Y1264" s="168">
        <f t="shared" si="8"/>
        <v>0</v>
      </c>
      <c r="Z1264" s="168">
        <f t="shared" si="9"/>
        <v>0</v>
      </c>
    </row>
    <row r="1265" ht="14.25" customHeight="1">
      <c r="A1265" s="157" t="s">
        <v>1238</v>
      </c>
      <c r="B1265" s="158" t="s">
        <v>18</v>
      </c>
      <c r="C1265" s="158" t="s">
        <v>1217</v>
      </c>
      <c r="D1265" s="159">
        <v>43836.0</v>
      </c>
      <c r="E1265" s="157" t="s">
        <v>731</v>
      </c>
      <c r="F1265" s="160">
        <v>134239.98</v>
      </c>
      <c r="G1265" s="160">
        <v>21478.4</v>
      </c>
      <c r="H1265" s="160">
        <f t="shared" si="43"/>
        <v>155718.38</v>
      </c>
      <c r="I1265" s="160"/>
      <c r="J1265" s="161"/>
      <c r="K1265" s="160"/>
      <c r="L1265" s="160">
        <f>+'FACP$'!$H1265-'FACP$'!$I1265-'FACP$'!$K1265</f>
        <v>155718.38</v>
      </c>
      <c r="M1265" s="162" t="s">
        <v>586</v>
      </c>
      <c r="N1265" s="162" t="s">
        <v>554</v>
      </c>
      <c r="O1265" s="175">
        <v>43879.0</v>
      </c>
      <c r="P1265" s="164">
        <f t="shared" si="13"/>
        <v>43846</v>
      </c>
      <c r="Q1265" s="165">
        <f t="shared" si="2"/>
        <v>0</v>
      </c>
      <c r="R1265" s="167"/>
      <c r="S1265" s="167" t="s">
        <v>910</v>
      </c>
      <c r="T1265" s="168">
        <f t="shared" si="3"/>
        <v>155718.38</v>
      </c>
      <c r="U1265" s="168">
        <f t="shared" si="4"/>
        <v>0</v>
      </c>
      <c r="V1265" s="168">
        <f t="shared" si="5"/>
        <v>0</v>
      </c>
      <c r="W1265" s="168">
        <f t="shared" si="6"/>
        <v>0</v>
      </c>
      <c r="X1265" s="168">
        <f t="shared" si="7"/>
        <v>0</v>
      </c>
      <c r="Y1265" s="168">
        <f t="shared" si="8"/>
        <v>0</v>
      </c>
      <c r="Z1265" s="168">
        <f t="shared" si="9"/>
        <v>0</v>
      </c>
    </row>
    <row r="1266" ht="14.25" customHeight="1">
      <c r="A1266" s="157" t="s">
        <v>1239</v>
      </c>
      <c r="B1266" s="158" t="s">
        <v>16</v>
      </c>
      <c r="C1266" s="158" t="s">
        <v>1217</v>
      </c>
      <c r="D1266" s="159">
        <v>43836.0</v>
      </c>
      <c r="E1266" s="157" t="s">
        <v>731</v>
      </c>
      <c r="F1266" s="160">
        <v>177604.45</v>
      </c>
      <c r="G1266" s="160">
        <v>28416.71</v>
      </c>
      <c r="H1266" s="160">
        <f t="shared" si="43"/>
        <v>206021.16</v>
      </c>
      <c r="I1266" s="160"/>
      <c r="J1266" s="161"/>
      <c r="K1266" s="160"/>
      <c r="L1266" s="160">
        <f>+'FACP$'!$H1266-'FACP$'!$I1266-'FACP$'!$K1266</f>
        <v>206021.16</v>
      </c>
      <c r="M1266" s="162" t="s">
        <v>985</v>
      </c>
      <c r="N1266" s="162" t="s">
        <v>554</v>
      </c>
      <c r="O1266" s="175">
        <v>43846.0</v>
      </c>
      <c r="P1266" s="164">
        <f t="shared" si="13"/>
        <v>43846</v>
      </c>
      <c r="Q1266" s="165">
        <f t="shared" si="2"/>
        <v>0</v>
      </c>
      <c r="R1266" s="167"/>
      <c r="S1266" s="167"/>
      <c r="T1266" s="168">
        <f t="shared" si="3"/>
        <v>206021.16</v>
      </c>
      <c r="U1266" s="168">
        <f t="shared" si="4"/>
        <v>0</v>
      </c>
      <c r="V1266" s="168">
        <f t="shared" si="5"/>
        <v>0</v>
      </c>
      <c r="W1266" s="168">
        <f t="shared" si="6"/>
        <v>0</v>
      </c>
      <c r="X1266" s="168">
        <f t="shared" si="7"/>
        <v>0</v>
      </c>
      <c r="Y1266" s="168">
        <f t="shared" si="8"/>
        <v>0</v>
      </c>
      <c r="Z1266" s="168">
        <f t="shared" si="9"/>
        <v>0</v>
      </c>
    </row>
    <row r="1267" ht="14.25" customHeight="1">
      <c r="A1267" s="157" t="s">
        <v>1240</v>
      </c>
      <c r="B1267" s="158" t="s">
        <v>16</v>
      </c>
      <c r="C1267" s="158" t="s">
        <v>1241</v>
      </c>
      <c r="D1267" s="159">
        <v>43836.0</v>
      </c>
      <c r="E1267" s="157" t="s">
        <v>731</v>
      </c>
      <c r="F1267" s="160">
        <v>264689.27</v>
      </c>
      <c r="G1267" s="160">
        <v>42350.28</v>
      </c>
      <c r="H1267" s="160">
        <f t="shared" si="43"/>
        <v>307039.55</v>
      </c>
      <c r="I1267" s="160"/>
      <c r="J1267" s="161"/>
      <c r="K1267" s="160"/>
      <c r="L1267" s="160">
        <f>+'FACP$'!$H1267-'FACP$'!$I1267-'FACP$'!$K1267</f>
        <v>307039.55</v>
      </c>
      <c r="M1267" s="162" t="s">
        <v>985</v>
      </c>
      <c r="N1267" s="162" t="s">
        <v>554</v>
      </c>
      <c r="O1267" s="175">
        <v>43846.0</v>
      </c>
      <c r="P1267" s="164">
        <f t="shared" si="13"/>
        <v>43846</v>
      </c>
      <c r="Q1267" s="165">
        <f t="shared" si="2"/>
        <v>0</v>
      </c>
      <c r="R1267" s="167"/>
      <c r="S1267" s="167"/>
      <c r="T1267" s="168">
        <f t="shared" si="3"/>
        <v>307039.55</v>
      </c>
      <c r="U1267" s="168">
        <f t="shared" si="4"/>
        <v>0</v>
      </c>
      <c r="V1267" s="168">
        <f t="shared" si="5"/>
        <v>0</v>
      </c>
      <c r="W1267" s="168">
        <f t="shared" si="6"/>
        <v>0</v>
      </c>
      <c r="X1267" s="168">
        <f t="shared" si="7"/>
        <v>0</v>
      </c>
      <c r="Y1267" s="168">
        <f t="shared" si="8"/>
        <v>0</v>
      </c>
      <c r="Z1267" s="168">
        <f t="shared" si="9"/>
        <v>0</v>
      </c>
    </row>
    <row r="1268" ht="14.25" customHeight="1">
      <c r="A1268" s="157" t="s">
        <v>1242</v>
      </c>
      <c r="B1268" s="158" t="s">
        <v>82</v>
      </c>
      <c r="C1268" s="158" t="s">
        <v>1111</v>
      </c>
      <c r="D1268" s="159">
        <v>43837.0</v>
      </c>
      <c r="E1268" s="157" t="s">
        <v>731</v>
      </c>
      <c r="F1268" s="160">
        <v>50000.0</v>
      </c>
      <c r="G1268" s="160">
        <v>8000.0</v>
      </c>
      <c r="H1268" s="160">
        <f t="shared" si="43"/>
        <v>58000</v>
      </c>
      <c r="I1268" s="160"/>
      <c r="J1268" s="161"/>
      <c r="K1268" s="160"/>
      <c r="L1268" s="160">
        <f>+'FACP$'!$H1268-'FACP$'!$I1268-'FACP$'!$K1268</f>
        <v>58000</v>
      </c>
      <c r="M1268" s="162" t="s">
        <v>714</v>
      </c>
      <c r="N1268" s="162" t="s">
        <v>554</v>
      </c>
      <c r="O1268" s="175">
        <v>43865.0</v>
      </c>
      <c r="P1268" s="164">
        <f t="shared" si="13"/>
        <v>43847</v>
      </c>
      <c r="Q1268" s="165">
        <f t="shared" si="2"/>
        <v>0</v>
      </c>
      <c r="R1268" s="167"/>
      <c r="S1268" s="167"/>
      <c r="T1268" s="168">
        <f t="shared" si="3"/>
        <v>58000</v>
      </c>
      <c r="U1268" s="168">
        <f t="shared" si="4"/>
        <v>0</v>
      </c>
      <c r="V1268" s="168">
        <f t="shared" si="5"/>
        <v>0</v>
      </c>
      <c r="W1268" s="168">
        <f t="shared" si="6"/>
        <v>0</v>
      </c>
      <c r="X1268" s="168">
        <f t="shared" si="7"/>
        <v>0</v>
      </c>
      <c r="Y1268" s="168">
        <f t="shared" si="8"/>
        <v>0</v>
      </c>
      <c r="Z1268" s="168">
        <f t="shared" si="9"/>
        <v>0</v>
      </c>
    </row>
    <row r="1269" ht="14.25" customHeight="1">
      <c r="A1269" s="157" t="s">
        <v>1243</v>
      </c>
      <c r="B1269" s="158" t="s">
        <v>82</v>
      </c>
      <c r="C1269" s="158" t="s">
        <v>1111</v>
      </c>
      <c r="D1269" s="159">
        <v>43837.0</v>
      </c>
      <c r="E1269" s="157" t="s">
        <v>731</v>
      </c>
      <c r="F1269" s="160">
        <v>20000.0</v>
      </c>
      <c r="G1269" s="160">
        <v>3200.0</v>
      </c>
      <c r="H1269" s="160">
        <f t="shared" si="43"/>
        <v>23200</v>
      </c>
      <c r="I1269" s="160"/>
      <c r="J1269" s="161"/>
      <c r="K1269" s="160"/>
      <c r="L1269" s="160">
        <f>+'FACP$'!$H1269-'FACP$'!$I1269-'FACP$'!$K1269</f>
        <v>23200</v>
      </c>
      <c r="M1269" s="162" t="s">
        <v>714</v>
      </c>
      <c r="N1269" s="162" t="s">
        <v>127</v>
      </c>
      <c r="O1269" s="175"/>
      <c r="P1269" s="164">
        <f t="shared" si="13"/>
        <v>43847</v>
      </c>
      <c r="Q1269" s="165">
        <f t="shared" si="2"/>
        <v>0</v>
      </c>
      <c r="R1269" s="167"/>
      <c r="S1269" s="167"/>
      <c r="T1269" s="168">
        <f t="shared" si="3"/>
        <v>23200</v>
      </c>
      <c r="U1269" s="168">
        <f t="shared" si="4"/>
        <v>0</v>
      </c>
      <c r="V1269" s="168">
        <f t="shared" si="5"/>
        <v>0</v>
      </c>
      <c r="W1269" s="168">
        <f t="shared" si="6"/>
        <v>0</v>
      </c>
      <c r="X1269" s="168">
        <f t="shared" si="7"/>
        <v>0</v>
      </c>
      <c r="Y1269" s="168">
        <f t="shared" si="8"/>
        <v>0</v>
      </c>
      <c r="Z1269" s="168">
        <f t="shared" si="9"/>
        <v>0</v>
      </c>
    </row>
    <row r="1270" ht="14.25" customHeight="1">
      <c r="A1270" s="157" t="s">
        <v>1244</v>
      </c>
      <c r="B1270" s="158" t="s">
        <v>82</v>
      </c>
      <c r="C1270" s="158" t="s">
        <v>1157</v>
      </c>
      <c r="D1270" s="159">
        <v>43837.0</v>
      </c>
      <c r="E1270" s="157" t="s">
        <v>731</v>
      </c>
      <c r="F1270" s="160">
        <v>50000.0</v>
      </c>
      <c r="G1270" s="160">
        <v>8000.0</v>
      </c>
      <c r="H1270" s="160">
        <f t="shared" si="43"/>
        <v>58000</v>
      </c>
      <c r="I1270" s="160"/>
      <c r="J1270" s="161"/>
      <c r="K1270" s="160"/>
      <c r="L1270" s="160">
        <f>+'FACP$'!$H1270-'FACP$'!$I1270-'FACP$'!$K1270</f>
        <v>58000</v>
      </c>
      <c r="M1270" s="162" t="s">
        <v>714</v>
      </c>
      <c r="N1270" s="162" t="s">
        <v>554</v>
      </c>
      <c r="O1270" s="175">
        <v>43865.0</v>
      </c>
      <c r="P1270" s="164">
        <f t="shared" si="13"/>
        <v>43847</v>
      </c>
      <c r="Q1270" s="165">
        <f t="shared" si="2"/>
        <v>0</v>
      </c>
      <c r="R1270" s="167"/>
      <c r="S1270" s="167"/>
      <c r="T1270" s="168">
        <f t="shared" si="3"/>
        <v>58000</v>
      </c>
      <c r="U1270" s="168">
        <f t="shared" si="4"/>
        <v>0</v>
      </c>
      <c r="V1270" s="168">
        <f t="shared" si="5"/>
        <v>0</v>
      </c>
      <c r="W1270" s="168">
        <f t="shared" si="6"/>
        <v>0</v>
      </c>
      <c r="X1270" s="168">
        <f t="shared" si="7"/>
        <v>0</v>
      </c>
      <c r="Y1270" s="168">
        <f t="shared" si="8"/>
        <v>0</v>
      </c>
      <c r="Z1270" s="168">
        <f t="shared" si="9"/>
        <v>0</v>
      </c>
    </row>
    <row r="1271" ht="14.25" customHeight="1">
      <c r="A1271" s="157" t="s">
        <v>1245</v>
      </c>
      <c r="B1271" s="158" t="s">
        <v>82</v>
      </c>
      <c r="C1271" s="158" t="s">
        <v>1157</v>
      </c>
      <c r="D1271" s="159">
        <v>43837.0</v>
      </c>
      <c r="E1271" s="157" t="s">
        <v>731</v>
      </c>
      <c r="F1271" s="160">
        <v>20000.0</v>
      </c>
      <c r="G1271" s="160">
        <v>3200.0</v>
      </c>
      <c r="H1271" s="160">
        <f t="shared" si="43"/>
        <v>23200</v>
      </c>
      <c r="I1271" s="160"/>
      <c r="J1271" s="161"/>
      <c r="K1271" s="160"/>
      <c r="L1271" s="160">
        <f>+'FACP$'!$H1271-'FACP$'!$I1271-'FACP$'!$K1271</f>
        <v>23200</v>
      </c>
      <c r="M1271" s="162" t="s">
        <v>714</v>
      </c>
      <c r="N1271" s="162" t="s">
        <v>127</v>
      </c>
      <c r="O1271" s="175"/>
      <c r="P1271" s="164">
        <f t="shared" si="13"/>
        <v>43847</v>
      </c>
      <c r="Q1271" s="165">
        <f t="shared" si="2"/>
        <v>0</v>
      </c>
      <c r="R1271" s="167"/>
      <c r="S1271" s="167"/>
      <c r="T1271" s="168">
        <f t="shared" si="3"/>
        <v>23200</v>
      </c>
      <c r="U1271" s="168">
        <f t="shared" si="4"/>
        <v>0</v>
      </c>
      <c r="V1271" s="168">
        <f t="shared" si="5"/>
        <v>0</v>
      </c>
      <c r="W1271" s="168">
        <f t="shared" si="6"/>
        <v>0</v>
      </c>
      <c r="X1271" s="168">
        <f t="shared" si="7"/>
        <v>0</v>
      </c>
      <c r="Y1271" s="168">
        <f t="shared" si="8"/>
        <v>0</v>
      </c>
      <c r="Z1271" s="168">
        <f t="shared" si="9"/>
        <v>0</v>
      </c>
    </row>
    <row r="1272" ht="14.25" customHeight="1">
      <c r="A1272" s="157" t="s">
        <v>1246</v>
      </c>
      <c r="B1272" s="158" t="s">
        <v>82</v>
      </c>
      <c r="C1272" s="158" t="s">
        <v>1247</v>
      </c>
      <c r="D1272" s="159">
        <v>43837.0</v>
      </c>
      <c r="E1272" s="157" t="s">
        <v>731</v>
      </c>
      <c r="F1272" s="160">
        <v>50000.0</v>
      </c>
      <c r="G1272" s="160">
        <v>8000.0</v>
      </c>
      <c r="H1272" s="160">
        <f t="shared" si="43"/>
        <v>58000</v>
      </c>
      <c r="I1272" s="160"/>
      <c r="J1272" s="161"/>
      <c r="K1272" s="160"/>
      <c r="L1272" s="160">
        <f>+'FACP$'!$H1272-'FACP$'!$I1272-'FACP$'!$K1272</f>
        <v>58000</v>
      </c>
      <c r="M1272" s="162" t="s">
        <v>714</v>
      </c>
      <c r="N1272" s="162" t="s">
        <v>554</v>
      </c>
      <c r="O1272" s="175">
        <v>43865.0</v>
      </c>
      <c r="P1272" s="164">
        <f t="shared" si="13"/>
        <v>43847</v>
      </c>
      <c r="Q1272" s="165">
        <f t="shared" si="2"/>
        <v>0</v>
      </c>
      <c r="R1272" s="167"/>
      <c r="S1272" s="167"/>
      <c r="T1272" s="168">
        <f t="shared" si="3"/>
        <v>58000</v>
      </c>
      <c r="U1272" s="168">
        <f t="shared" si="4"/>
        <v>0</v>
      </c>
      <c r="V1272" s="168">
        <f t="shared" si="5"/>
        <v>0</v>
      </c>
      <c r="W1272" s="168">
        <f t="shared" si="6"/>
        <v>0</v>
      </c>
      <c r="X1272" s="168">
        <f t="shared" si="7"/>
        <v>0</v>
      </c>
      <c r="Y1272" s="168">
        <f t="shared" si="8"/>
        <v>0</v>
      </c>
      <c r="Z1272" s="168">
        <f t="shared" si="9"/>
        <v>0</v>
      </c>
    </row>
    <row r="1273" ht="14.25" customHeight="1">
      <c r="A1273" s="157" t="s">
        <v>1248</v>
      </c>
      <c r="B1273" s="158" t="s">
        <v>82</v>
      </c>
      <c r="C1273" s="158" t="s">
        <v>1247</v>
      </c>
      <c r="D1273" s="159">
        <v>43837.0</v>
      </c>
      <c r="E1273" s="157" t="s">
        <v>731</v>
      </c>
      <c r="F1273" s="160">
        <v>20000.0</v>
      </c>
      <c r="G1273" s="160">
        <v>3200.0</v>
      </c>
      <c r="H1273" s="160">
        <f t="shared" si="43"/>
        <v>23200</v>
      </c>
      <c r="I1273" s="160"/>
      <c r="J1273" s="161"/>
      <c r="K1273" s="160"/>
      <c r="L1273" s="160">
        <f>+'FACP$'!$H1273-'FACP$'!$I1273-'FACP$'!$K1273</f>
        <v>23200</v>
      </c>
      <c r="M1273" s="162" t="s">
        <v>714</v>
      </c>
      <c r="N1273" s="162" t="s">
        <v>127</v>
      </c>
      <c r="O1273" s="175"/>
      <c r="P1273" s="164">
        <f t="shared" si="13"/>
        <v>43847</v>
      </c>
      <c r="Q1273" s="165">
        <f t="shared" si="2"/>
        <v>0</v>
      </c>
      <c r="R1273" s="167"/>
      <c r="S1273" s="167"/>
      <c r="T1273" s="168">
        <f t="shared" si="3"/>
        <v>23200</v>
      </c>
      <c r="U1273" s="168">
        <f t="shared" si="4"/>
        <v>0</v>
      </c>
      <c r="V1273" s="168">
        <f t="shared" si="5"/>
        <v>0</v>
      </c>
      <c r="W1273" s="168">
        <f t="shared" si="6"/>
        <v>0</v>
      </c>
      <c r="X1273" s="168">
        <f t="shared" si="7"/>
        <v>0</v>
      </c>
      <c r="Y1273" s="168">
        <f t="shared" si="8"/>
        <v>0</v>
      </c>
      <c r="Z1273" s="168">
        <f t="shared" si="9"/>
        <v>0</v>
      </c>
    </row>
    <row r="1274" ht="14.25" customHeight="1">
      <c r="A1274" s="157" t="s">
        <v>1249</v>
      </c>
      <c r="B1274" s="158" t="s">
        <v>35</v>
      </c>
      <c r="C1274" s="158" t="s">
        <v>1217</v>
      </c>
      <c r="D1274" s="159">
        <v>43840.0</v>
      </c>
      <c r="E1274" s="157" t="s">
        <v>731</v>
      </c>
      <c r="F1274" s="160">
        <v>495593.63</v>
      </c>
      <c r="G1274" s="160">
        <v>79294.98</v>
      </c>
      <c r="H1274" s="160">
        <f t="shared" si="43"/>
        <v>574888.61</v>
      </c>
      <c r="I1274" s="160"/>
      <c r="J1274" s="161"/>
      <c r="K1274" s="160"/>
      <c r="L1274" s="160">
        <f>+'FACP$'!$H1274-'FACP$'!$I1274-'FACP$'!$K1274</f>
        <v>574888.61</v>
      </c>
      <c r="M1274" s="162" t="s">
        <v>276</v>
      </c>
      <c r="N1274" s="162" t="s">
        <v>554</v>
      </c>
      <c r="O1274" s="175">
        <v>43853.0</v>
      </c>
      <c r="P1274" s="164">
        <f t="shared" si="13"/>
        <v>43850</v>
      </c>
      <c r="Q1274" s="165">
        <f t="shared" si="2"/>
        <v>0</v>
      </c>
      <c r="R1274" s="167"/>
      <c r="S1274" s="167" t="s">
        <v>910</v>
      </c>
      <c r="T1274" s="168">
        <f t="shared" si="3"/>
        <v>574888.61</v>
      </c>
      <c r="U1274" s="168">
        <f t="shared" si="4"/>
        <v>0</v>
      </c>
      <c r="V1274" s="168">
        <f t="shared" si="5"/>
        <v>0</v>
      </c>
      <c r="W1274" s="168">
        <f t="shared" si="6"/>
        <v>0</v>
      </c>
      <c r="X1274" s="168">
        <f t="shared" si="7"/>
        <v>0</v>
      </c>
      <c r="Y1274" s="168">
        <f t="shared" si="8"/>
        <v>0</v>
      </c>
      <c r="Z1274" s="168">
        <f t="shared" si="9"/>
        <v>0</v>
      </c>
    </row>
    <row r="1275" ht="14.25" customHeight="1">
      <c r="A1275" s="157" t="s">
        <v>1250</v>
      </c>
      <c r="B1275" s="158" t="s">
        <v>27</v>
      </c>
      <c r="C1275" s="158" t="s">
        <v>1217</v>
      </c>
      <c r="D1275" s="159">
        <v>43840.0</v>
      </c>
      <c r="E1275" s="157" t="s">
        <v>731</v>
      </c>
      <c r="F1275" s="160">
        <v>165172.95</v>
      </c>
      <c r="G1275" s="160">
        <v>26427.67</v>
      </c>
      <c r="H1275" s="160">
        <f t="shared" si="43"/>
        <v>191600.62</v>
      </c>
      <c r="I1275" s="160"/>
      <c r="J1275" s="161"/>
      <c r="K1275" s="160"/>
      <c r="L1275" s="160">
        <f>+'FACP$'!$H1275-'FACP$'!$I1275-'FACP$'!$K1275</f>
        <v>191600.62</v>
      </c>
      <c r="M1275" s="162" t="s">
        <v>969</v>
      </c>
      <c r="N1275" s="224" t="s">
        <v>554</v>
      </c>
      <c r="O1275" s="175">
        <v>43874.0</v>
      </c>
      <c r="P1275" s="164">
        <f t="shared" si="13"/>
        <v>43850</v>
      </c>
      <c r="Q1275" s="165">
        <f t="shared" si="2"/>
        <v>0</v>
      </c>
      <c r="R1275" s="167" t="s">
        <v>1198</v>
      </c>
      <c r="S1275" s="167" t="s">
        <v>910</v>
      </c>
      <c r="T1275" s="168">
        <f t="shared" si="3"/>
        <v>191600.62</v>
      </c>
      <c r="U1275" s="168">
        <f t="shared" si="4"/>
        <v>0</v>
      </c>
      <c r="V1275" s="168">
        <f t="shared" si="5"/>
        <v>0</v>
      </c>
      <c r="W1275" s="168">
        <f t="shared" si="6"/>
        <v>0</v>
      </c>
      <c r="X1275" s="168">
        <f t="shared" si="7"/>
        <v>0</v>
      </c>
      <c r="Y1275" s="168">
        <f t="shared" si="8"/>
        <v>0</v>
      </c>
      <c r="Z1275" s="168">
        <f t="shared" si="9"/>
        <v>0</v>
      </c>
    </row>
    <row r="1276" ht="14.25" customHeight="1">
      <c r="A1276" s="157" t="s">
        <v>1251</v>
      </c>
      <c r="B1276" s="158" t="s">
        <v>27</v>
      </c>
      <c r="C1276" s="158" t="s">
        <v>1241</v>
      </c>
      <c r="D1276" s="159">
        <v>43840.0</v>
      </c>
      <c r="E1276" s="157" t="s">
        <v>731</v>
      </c>
      <c r="F1276" s="160">
        <v>115073.82</v>
      </c>
      <c r="G1276" s="160">
        <v>18411.81</v>
      </c>
      <c r="H1276" s="160">
        <f t="shared" si="43"/>
        <v>133485.63</v>
      </c>
      <c r="I1276" s="160"/>
      <c r="J1276" s="161"/>
      <c r="K1276" s="160"/>
      <c r="L1276" s="160">
        <f>+'FACP$'!$H1276-'FACP$'!$I1276-'FACP$'!$K1276</f>
        <v>133485.63</v>
      </c>
      <c r="M1276" s="162" t="s">
        <v>969</v>
      </c>
      <c r="N1276" s="224" t="s">
        <v>554</v>
      </c>
      <c r="O1276" s="175">
        <v>43874.0</v>
      </c>
      <c r="P1276" s="164">
        <f t="shared" si="13"/>
        <v>43850</v>
      </c>
      <c r="Q1276" s="165">
        <f t="shared" si="2"/>
        <v>0</v>
      </c>
      <c r="R1276" s="167" t="s">
        <v>1198</v>
      </c>
      <c r="S1276" s="167" t="s">
        <v>910</v>
      </c>
      <c r="T1276" s="168">
        <f t="shared" si="3"/>
        <v>133485.63</v>
      </c>
      <c r="U1276" s="168">
        <f t="shared" si="4"/>
        <v>0</v>
      </c>
      <c r="V1276" s="168">
        <f t="shared" si="5"/>
        <v>0</v>
      </c>
      <c r="W1276" s="168">
        <f t="shared" si="6"/>
        <v>0</v>
      </c>
      <c r="X1276" s="168">
        <f t="shared" si="7"/>
        <v>0</v>
      </c>
      <c r="Y1276" s="168">
        <f t="shared" si="8"/>
        <v>0</v>
      </c>
      <c r="Z1276" s="168">
        <f t="shared" si="9"/>
        <v>0</v>
      </c>
    </row>
    <row r="1277" ht="14.25" customHeight="1">
      <c r="A1277" s="157" t="s">
        <v>1252</v>
      </c>
      <c r="B1277" s="158" t="s">
        <v>27</v>
      </c>
      <c r="C1277" s="158" t="s">
        <v>1253</v>
      </c>
      <c r="D1277" s="159">
        <v>43846.0</v>
      </c>
      <c r="E1277" s="157" t="s">
        <v>731</v>
      </c>
      <c r="F1277" s="160">
        <v>212610.38</v>
      </c>
      <c r="G1277" s="160">
        <v>34017.66</v>
      </c>
      <c r="H1277" s="160">
        <f t="shared" si="43"/>
        <v>246628.04</v>
      </c>
      <c r="I1277" s="160"/>
      <c r="J1277" s="161"/>
      <c r="K1277" s="160"/>
      <c r="L1277" s="160">
        <f>+'FACP$'!$H1277-'FACP$'!$I1277-'FACP$'!$K1277</f>
        <v>246628.04</v>
      </c>
      <c r="M1277" s="162" t="s">
        <v>969</v>
      </c>
      <c r="N1277" s="162" t="s">
        <v>554</v>
      </c>
      <c r="O1277" s="175">
        <v>43920.0</v>
      </c>
      <c r="P1277" s="164">
        <f t="shared" si="13"/>
        <v>43856</v>
      </c>
      <c r="Q1277" s="165">
        <f t="shared" si="2"/>
        <v>0</v>
      </c>
      <c r="R1277" s="167" t="s">
        <v>1254</v>
      </c>
      <c r="S1277" s="167" t="s">
        <v>910</v>
      </c>
      <c r="T1277" s="168">
        <f t="shared" si="3"/>
        <v>246628.04</v>
      </c>
      <c r="U1277" s="168">
        <f t="shared" si="4"/>
        <v>0</v>
      </c>
      <c r="V1277" s="168">
        <f t="shared" si="5"/>
        <v>0</v>
      </c>
      <c r="W1277" s="168">
        <f t="shared" si="6"/>
        <v>0</v>
      </c>
      <c r="X1277" s="168">
        <f t="shared" si="7"/>
        <v>0</v>
      </c>
      <c r="Y1277" s="168">
        <f t="shared" si="8"/>
        <v>0</v>
      </c>
      <c r="Z1277" s="168">
        <f t="shared" si="9"/>
        <v>0</v>
      </c>
    </row>
    <row r="1278" ht="14.25" customHeight="1">
      <c r="A1278" s="157" t="s">
        <v>1255</v>
      </c>
      <c r="B1278" s="158" t="s">
        <v>27</v>
      </c>
      <c r="C1278" s="158" t="s">
        <v>1256</v>
      </c>
      <c r="D1278" s="159">
        <v>43846.0</v>
      </c>
      <c r="E1278" s="157" t="s">
        <v>731</v>
      </c>
      <c r="F1278" s="160">
        <v>159060.63</v>
      </c>
      <c r="G1278" s="160">
        <v>25449.7</v>
      </c>
      <c r="H1278" s="160">
        <f t="shared" si="43"/>
        <v>184510.33</v>
      </c>
      <c r="I1278" s="160"/>
      <c r="J1278" s="161"/>
      <c r="K1278" s="160"/>
      <c r="L1278" s="160">
        <f>+'FACP$'!$H1278-'FACP$'!$I1278-'FACP$'!$K1278</f>
        <v>184510.33</v>
      </c>
      <c r="M1278" s="162" t="s">
        <v>969</v>
      </c>
      <c r="N1278" s="162" t="s">
        <v>554</v>
      </c>
      <c r="O1278" s="175">
        <v>43920.0</v>
      </c>
      <c r="P1278" s="164">
        <f t="shared" si="13"/>
        <v>43856</v>
      </c>
      <c r="Q1278" s="165">
        <f t="shared" si="2"/>
        <v>0</v>
      </c>
      <c r="R1278" s="167" t="s">
        <v>1254</v>
      </c>
      <c r="S1278" s="167" t="s">
        <v>910</v>
      </c>
      <c r="T1278" s="168">
        <f t="shared" si="3"/>
        <v>184510.33</v>
      </c>
      <c r="U1278" s="168">
        <f t="shared" si="4"/>
        <v>0</v>
      </c>
      <c r="V1278" s="168">
        <f t="shared" si="5"/>
        <v>0</v>
      </c>
      <c r="W1278" s="168">
        <f t="shared" si="6"/>
        <v>0</v>
      </c>
      <c r="X1278" s="168">
        <f t="shared" si="7"/>
        <v>0</v>
      </c>
      <c r="Y1278" s="168">
        <f t="shared" si="8"/>
        <v>0</v>
      </c>
      <c r="Z1278" s="168">
        <f t="shared" si="9"/>
        <v>0</v>
      </c>
    </row>
    <row r="1279" ht="14.25" customHeight="1">
      <c r="A1279" s="157" t="s">
        <v>1257</v>
      </c>
      <c r="B1279" s="158" t="s">
        <v>43</v>
      </c>
      <c r="C1279" s="158" t="s">
        <v>1253</v>
      </c>
      <c r="D1279" s="159">
        <v>43846.0</v>
      </c>
      <c r="E1279" s="157" t="s">
        <v>731</v>
      </c>
      <c r="F1279" s="160">
        <v>953883.27</v>
      </c>
      <c r="G1279" s="160">
        <v>152621.32</v>
      </c>
      <c r="H1279" s="160">
        <f t="shared" si="43"/>
        <v>1106504.59</v>
      </c>
      <c r="I1279" s="160"/>
      <c r="J1279" s="161"/>
      <c r="K1279" s="160"/>
      <c r="L1279" s="160">
        <f>+'FACP$'!$H1279-'FACP$'!$I1279-'FACP$'!$K1279</f>
        <v>1106504.59</v>
      </c>
      <c r="M1279" s="162" t="s">
        <v>43</v>
      </c>
      <c r="N1279" s="162" t="s">
        <v>554</v>
      </c>
      <c r="O1279" s="175">
        <v>43882.0</v>
      </c>
      <c r="P1279" s="164">
        <f t="shared" si="13"/>
        <v>43856</v>
      </c>
      <c r="Q1279" s="165">
        <f t="shared" si="2"/>
        <v>0</v>
      </c>
      <c r="R1279" s="167"/>
      <c r="S1279" s="220" t="s">
        <v>910</v>
      </c>
      <c r="T1279" s="168">
        <f t="shared" si="3"/>
        <v>1106504.59</v>
      </c>
      <c r="U1279" s="168">
        <f t="shared" si="4"/>
        <v>0</v>
      </c>
      <c r="V1279" s="168">
        <f t="shared" si="5"/>
        <v>0</v>
      </c>
      <c r="W1279" s="168">
        <f t="shared" si="6"/>
        <v>0</v>
      </c>
      <c r="X1279" s="168">
        <f t="shared" si="7"/>
        <v>0</v>
      </c>
      <c r="Y1279" s="168">
        <f t="shared" si="8"/>
        <v>0</v>
      </c>
      <c r="Z1279" s="168">
        <f t="shared" si="9"/>
        <v>0</v>
      </c>
    </row>
    <row r="1280" ht="14.25" customHeight="1">
      <c r="A1280" s="157" t="s">
        <v>1258</v>
      </c>
      <c r="B1280" s="158" t="s">
        <v>1127</v>
      </c>
      <c r="C1280" s="158" t="s">
        <v>1253</v>
      </c>
      <c r="D1280" s="159">
        <v>43846.0</v>
      </c>
      <c r="E1280" s="157" t="s">
        <v>731</v>
      </c>
      <c r="F1280" s="160">
        <v>8611.87</v>
      </c>
      <c r="G1280" s="160">
        <v>1377.9</v>
      </c>
      <c r="H1280" s="160">
        <f t="shared" si="43"/>
        <v>9989.77</v>
      </c>
      <c r="I1280" s="160"/>
      <c r="J1280" s="161"/>
      <c r="K1280" s="160"/>
      <c r="L1280" s="160">
        <f>+'FACP$'!$H1280-'FACP$'!$I1280-'FACP$'!$K1280</f>
        <v>9989.77</v>
      </c>
      <c r="M1280" s="162" t="s">
        <v>580</v>
      </c>
      <c r="N1280" s="162" t="s">
        <v>554</v>
      </c>
      <c r="O1280" s="175">
        <v>43874.0</v>
      </c>
      <c r="P1280" s="164">
        <f t="shared" si="13"/>
        <v>43856</v>
      </c>
      <c r="Q1280" s="165">
        <f t="shared" si="2"/>
        <v>0</v>
      </c>
      <c r="R1280" s="167" t="s">
        <v>1128</v>
      </c>
      <c r="S1280" s="167" t="s">
        <v>910</v>
      </c>
      <c r="T1280" s="168">
        <f t="shared" si="3"/>
        <v>9989.77</v>
      </c>
      <c r="U1280" s="168">
        <f t="shared" si="4"/>
        <v>0</v>
      </c>
      <c r="V1280" s="168">
        <f t="shared" si="5"/>
        <v>0</v>
      </c>
      <c r="W1280" s="168">
        <f t="shared" si="6"/>
        <v>0</v>
      </c>
      <c r="X1280" s="168">
        <f t="shared" si="7"/>
        <v>0</v>
      </c>
      <c r="Y1280" s="168">
        <f t="shared" si="8"/>
        <v>0</v>
      </c>
      <c r="Z1280" s="168">
        <f t="shared" si="9"/>
        <v>0</v>
      </c>
    </row>
    <row r="1281" ht="14.25" customHeight="1">
      <c r="A1281" s="157" t="s">
        <v>1259</v>
      </c>
      <c r="B1281" s="158" t="s">
        <v>36</v>
      </c>
      <c r="C1281" s="158" t="s">
        <v>1253</v>
      </c>
      <c r="D1281" s="159">
        <v>43846.0</v>
      </c>
      <c r="E1281" s="157" t="s">
        <v>731</v>
      </c>
      <c r="F1281" s="160">
        <v>61452.86</v>
      </c>
      <c r="G1281" s="160">
        <v>9832.46</v>
      </c>
      <c r="H1281" s="160">
        <f t="shared" si="43"/>
        <v>71285.32</v>
      </c>
      <c r="I1281" s="160"/>
      <c r="J1281" s="161"/>
      <c r="K1281" s="160"/>
      <c r="L1281" s="160">
        <f>+'FACP$'!$H1281-'FACP$'!$I1281-'FACP$'!$K1281</f>
        <v>71285.32</v>
      </c>
      <c r="M1281" s="162" t="s">
        <v>278</v>
      </c>
      <c r="N1281" s="162" t="s">
        <v>554</v>
      </c>
      <c r="O1281" s="175">
        <v>43889.0</v>
      </c>
      <c r="P1281" s="164">
        <f t="shared" si="13"/>
        <v>43856</v>
      </c>
      <c r="Q1281" s="165">
        <f t="shared" si="2"/>
        <v>0</v>
      </c>
      <c r="R1281" s="167"/>
      <c r="S1281" s="220" t="s">
        <v>910</v>
      </c>
      <c r="T1281" s="168">
        <f t="shared" si="3"/>
        <v>71285.32</v>
      </c>
      <c r="U1281" s="168">
        <f t="shared" si="4"/>
        <v>0</v>
      </c>
      <c r="V1281" s="168">
        <f t="shared" si="5"/>
        <v>0</v>
      </c>
      <c r="W1281" s="168">
        <f t="shared" si="6"/>
        <v>0</v>
      </c>
      <c r="X1281" s="168">
        <f t="shared" si="7"/>
        <v>0</v>
      </c>
      <c r="Y1281" s="168">
        <f t="shared" si="8"/>
        <v>0</v>
      </c>
      <c r="Z1281" s="168">
        <f t="shared" si="9"/>
        <v>0</v>
      </c>
    </row>
    <row r="1282" ht="14.25" customHeight="1">
      <c r="A1282" s="157" t="s">
        <v>1260</v>
      </c>
      <c r="B1282" s="158" t="s">
        <v>35</v>
      </c>
      <c r="C1282" s="158" t="s">
        <v>1253</v>
      </c>
      <c r="D1282" s="159">
        <v>43846.0</v>
      </c>
      <c r="E1282" s="157" t="s">
        <v>311</v>
      </c>
      <c r="F1282" s="160">
        <v>373904.34</v>
      </c>
      <c r="G1282" s="160">
        <v>59824.69</v>
      </c>
      <c r="H1282" s="160">
        <f t="shared" si="43"/>
        <v>433729.03</v>
      </c>
      <c r="I1282" s="160"/>
      <c r="J1282" s="161"/>
      <c r="K1282" s="160"/>
      <c r="L1282" s="160">
        <f>+'FACP$'!$H1282-'FACP$'!$I1282-'FACP$'!$K1282</f>
        <v>433729.03</v>
      </c>
      <c r="M1282" s="162" t="s">
        <v>276</v>
      </c>
      <c r="N1282" s="162" t="s">
        <v>554</v>
      </c>
      <c r="O1282" s="175">
        <v>43875.0</v>
      </c>
      <c r="P1282" s="164">
        <f t="shared" si="13"/>
        <v>43856</v>
      </c>
      <c r="Q1282" s="165">
        <f t="shared" si="2"/>
        <v>0</v>
      </c>
      <c r="R1282" s="167"/>
      <c r="S1282" s="220" t="s">
        <v>910</v>
      </c>
      <c r="T1282" s="168">
        <f t="shared" si="3"/>
        <v>433729.03</v>
      </c>
      <c r="U1282" s="168">
        <f t="shared" si="4"/>
        <v>0</v>
      </c>
      <c r="V1282" s="168">
        <f t="shared" si="5"/>
        <v>0</v>
      </c>
      <c r="W1282" s="168">
        <f t="shared" si="6"/>
        <v>0</v>
      </c>
      <c r="X1282" s="168">
        <f t="shared" si="7"/>
        <v>0</v>
      </c>
      <c r="Y1282" s="168">
        <f t="shared" si="8"/>
        <v>0</v>
      </c>
      <c r="Z1282" s="168">
        <f t="shared" si="9"/>
        <v>0</v>
      </c>
    </row>
    <row r="1283" ht="14.25" customHeight="1">
      <c r="A1283" s="157" t="s">
        <v>1261</v>
      </c>
      <c r="B1283" s="158" t="s">
        <v>33</v>
      </c>
      <c r="C1283" s="158" t="s">
        <v>1253</v>
      </c>
      <c r="D1283" s="159">
        <v>43846.0</v>
      </c>
      <c r="E1283" s="157" t="s">
        <v>731</v>
      </c>
      <c r="F1283" s="160">
        <v>613026.26</v>
      </c>
      <c r="G1283" s="160">
        <v>98084.2</v>
      </c>
      <c r="H1283" s="160">
        <f t="shared" si="43"/>
        <v>711110.46</v>
      </c>
      <c r="I1283" s="160"/>
      <c r="J1283" s="161"/>
      <c r="K1283" s="160"/>
      <c r="L1283" s="160">
        <f>+'FACP$'!$H1283-'FACP$'!$I1283-'FACP$'!$K1283</f>
        <v>711110.46</v>
      </c>
      <c r="M1283" s="162" t="s">
        <v>958</v>
      </c>
      <c r="N1283" s="162" t="s">
        <v>554</v>
      </c>
      <c r="O1283" s="175">
        <v>43857.0</v>
      </c>
      <c r="P1283" s="164">
        <f t="shared" si="13"/>
        <v>43856</v>
      </c>
      <c r="Q1283" s="165">
        <f t="shared" si="2"/>
        <v>0</v>
      </c>
      <c r="R1283" s="167"/>
      <c r="S1283" s="167" t="s">
        <v>910</v>
      </c>
      <c r="T1283" s="168">
        <f t="shared" si="3"/>
        <v>711110.46</v>
      </c>
      <c r="U1283" s="168">
        <f t="shared" si="4"/>
        <v>0</v>
      </c>
      <c r="V1283" s="168">
        <f t="shared" si="5"/>
        <v>0</v>
      </c>
      <c r="W1283" s="168">
        <f t="shared" si="6"/>
        <v>0</v>
      </c>
      <c r="X1283" s="168">
        <f t="shared" si="7"/>
        <v>0</v>
      </c>
      <c r="Y1283" s="168">
        <f t="shared" si="8"/>
        <v>0</v>
      </c>
      <c r="Z1283" s="168">
        <f t="shared" si="9"/>
        <v>0</v>
      </c>
    </row>
    <row r="1284" ht="14.25" customHeight="1">
      <c r="A1284" s="157" t="s">
        <v>1262</v>
      </c>
      <c r="B1284" s="158" t="s">
        <v>30</v>
      </c>
      <c r="C1284" s="158" t="s">
        <v>1253</v>
      </c>
      <c r="D1284" s="159">
        <v>43846.0</v>
      </c>
      <c r="E1284" s="157" t="s">
        <v>731</v>
      </c>
      <c r="F1284" s="160">
        <v>26852.76</v>
      </c>
      <c r="G1284" s="160">
        <v>4296.44</v>
      </c>
      <c r="H1284" s="160">
        <f t="shared" si="43"/>
        <v>31149.2</v>
      </c>
      <c r="I1284" s="160"/>
      <c r="J1284" s="161"/>
      <c r="K1284" s="160"/>
      <c r="L1284" s="160">
        <f>+'FACP$'!$H1284-'FACP$'!$I1284-'FACP$'!$K1284</f>
        <v>31149.2</v>
      </c>
      <c r="M1284" s="162" t="s">
        <v>891</v>
      </c>
      <c r="N1284" s="162" t="s">
        <v>554</v>
      </c>
      <c r="O1284" s="175">
        <v>43861.0</v>
      </c>
      <c r="P1284" s="164">
        <f t="shared" si="13"/>
        <v>43856</v>
      </c>
      <c r="Q1284" s="165">
        <f t="shared" si="2"/>
        <v>0</v>
      </c>
      <c r="R1284" s="167"/>
      <c r="S1284" s="167" t="s">
        <v>910</v>
      </c>
      <c r="T1284" s="168">
        <f t="shared" si="3"/>
        <v>31149.2</v>
      </c>
      <c r="U1284" s="168">
        <f t="shared" si="4"/>
        <v>0</v>
      </c>
      <c r="V1284" s="168">
        <f t="shared" si="5"/>
        <v>0</v>
      </c>
      <c r="W1284" s="168">
        <f t="shared" si="6"/>
        <v>0</v>
      </c>
      <c r="X1284" s="168">
        <f t="shared" si="7"/>
        <v>0</v>
      </c>
      <c r="Y1284" s="168">
        <f t="shared" si="8"/>
        <v>0</v>
      </c>
      <c r="Z1284" s="168">
        <f t="shared" si="9"/>
        <v>0</v>
      </c>
    </row>
    <row r="1285" ht="14.25" customHeight="1">
      <c r="A1285" s="157" t="s">
        <v>1263</v>
      </c>
      <c r="B1285" s="158" t="s">
        <v>41</v>
      </c>
      <c r="C1285" s="158" t="s">
        <v>1253</v>
      </c>
      <c r="D1285" s="159">
        <v>43853.0</v>
      </c>
      <c r="E1285" s="157" t="s">
        <v>731</v>
      </c>
      <c r="F1285" s="160">
        <v>527497.12</v>
      </c>
      <c r="G1285" s="160">
        <v>84399.54</v>
      </c>
      <c r="H1285" s="160">
        <f t="shared" si="43"/>
        <v>611896.66</v>
      </c>
      <c r="I1285" s="160"/>
      <c r="J1285" s="161"/>
      <c r="K1285" s="160"/>
      <c r="L1285" s="160">
        <f>+'FACP$'!$H1285-'FACP$'!$I1285-'FACP$'!$K1285</f>
        <v>611896.66</v>
      </c>
      <c r="M1285" s="162" t="s">
        <v>121</v>
      </c>
      <c r="N1285" s="162" t="s">
        <v>554</v>
      </c>
      <c r="O1285" s="175">
        <v>43859.0</v>
      </c>
      <c r="P1285" s="164">
        <f t="shared" si="13"/>
        <v>43863</v>
      </c>
      <c r="Q1285" s="165">
        <f t="shared" si="2"/>
        <v>0</v>
      </c>
      <c r="R1285" s="167"/>
      <c r="S1285" s="167"/>
      <c r="T1285" s="168">
        <f t="shared" si="3"/>
        <v>611896.66</v>
      </c>
      <c r="U1285" s="168">
        <f t="shared" si="4"/>
        <v>0</v>
      </c>
      <c r="V1285" s="168">
        <f t="shared" si="5"/>
        <v>0</v>
      </c>
      <c r="W1285" s="168">
        <f t="shared" si="6"/>
        <v>0</v>
      </c>
      <c r="X1285" s="168">
        <f t="shared" si="7"/>
        <v>0</v>
      </c>
      <c r="Y1285" s="168">
        <f t="shared" si="8"/>
        <v>0</v>
      </c>
      <c r="Z1285" s="168">
        <f t="shared" si="9"/>
        <v>0</v>
      </c>
    </row>
    <row r="1286" ht="14.25" customHeight="1">
      <c r="A1286" s="157" t="s">
        <v>1264</v>
      </c>
      <c r="B1286" s="158" t="s">
        <v>16</v>
      </c>
      <c r="C1286" s="158" t="s">
        <v>1253</v>
      </c>
      <c r="D1286" s="159">
        <v>43858.0</v>
      </c>
      <c r="E1286" s="157" t="s">
        <v>731</v>
      </c>
      <c r="F1286" s="160">
        <v>186983.0</v>
      </c>
      <c r="G1286" s="160">
        <v>29917.28</v>
      </c>
      <c r="H1286" s="160">
        <f t="shared" si="43"/>
        <v>216900.28</v>
      </c>
      <c r="I1286" s="160"/>
      <c r="J1286" s="161"/>
      <c r="K1286" s="160"/>
      <c r="L1286" s="160">
        <f>+'FACP$'!$H1286-'FACP$'!$I1286-'FACP$'!$K1286</f>
        <v>216900.28</v>
      </c>
      <c r="M1286" s="162" t="s">
        <v>985</v>
      </c>
      <c r="N1286" s="162" t="s">
        <v>554</v>
      </c>
      <c r="O1286" s="175">
        <v>43875.0</v>
      </c>
      <c r="P1286" s="164">
        <f t="shared" si="13"/>
        <v>43868</v>
      </c>
      <c r="Q1286" s="165">
        <f t="shared" si="2"/>
        <v>0</v>
      </c>
      <c r="R1286" s="167"/>
      <c r="S1286" s="167"/>
      <c r="T1286" s="168">
        <f t="shared" si="3"/>
        <v>216900.28</v>
      </c>
      <c r="U1286" s="168">
        <f t="shared" si="4"/>
        <v>0</v>
      </c>
      <c r="V1286" s="168">
        <f t="shared" si="5"/>
        <v>0</v>
      </c>
      <c r="W1286" s="168">
        <f t="shared" si="6"/>
        <v>0</v>
      </c>
      <c r="X1286" s="168">
        <f t="shared" si="7"/>
        <v>0</v>
      </c>
      <c r="Y1286" s="168">
        <f t="shared" si="8"/>
        <v>0</v>
      </c>
      <c r="Z1286" s="168">
        <f t="shared" si="9"/>
        <v>0</v>
      </c>
    </row>
    <row r="1287" ht="14.25" customHeight="1">
      <c r="A1287" s="157" t="s">
        <v>1265</v>
      </c>
      <c r="B1287" s="158" t="s">
        <v>16</v>
      </c>
      <c r="C1287" s="158" t="s">
        <v>1256</v>
      </c>
      <c r="D1287" s="159">
        <v>43858.0</v>
      </c>
      <c r="E1287" s="157" t="s">
        <v>731</v>
      </c>
      <c r="F1287" s="160">
        <v>303457.43</v>
      </c>
      <c r="G1287" s="160">
        <v>48553.19</v>
      </c>
      <c r="H1287" s="160">
        <f t="shared" si="43"/>
        <v>352010.62</v>
      </c>
      <c r="I1287" s="160"/>
      <c r="J1287" s="161"/>
      <c r="K1287" s="160"/>
      <c r="L1287" s="160">
        <f>+'FACP$'!$H1287-'FACP$'!$I1287-'FACP$'!$K1287</f>
        <v>352010.62</v>
      </c>
      <c r="M1287" s="162" t="s">
        <v>985</v>
      </c>
      <c r="N1287" s="162" t="s">
        <v>127</v>
      </c>
      <c r="O1287" s="175"/>
      <c r="P1287" s="164">
        <f t="shared" si="13"/>
        <v>43868</v>
      </c>
      <c r="Q1287" s="165">
        <f t="shared" si="2"/>
        <v>0</v>
      </c>
      <c r="R1287" s="167"/>
      <c r="S1287" s="167"/>
      <c r="T1287" s="168">
        <f t="shared" si="3"/>
        <v>352010.62</v>
      </c>
      <c r="U1287" s="168">
        <f t="shared" si="4"/>
        <v>0</v>
      </c>
      <c r="V1287" s="168">
        <f t="shared" si="5"/>
        <v>0</v>
      </c>
      <c r="W1287" s="168">
        <f t="shared" si="6"/>
        <v>0</v>
      </c>
      <c r="X1287" s="168">
        <f t="shared" si="7"/>
        <v>0</v>
      </c>
      <c r="Y1287" s="168">
        <f t="shared" si="8"/>
        <v>0</v>
      </c>
      <c r="Z1287" s="168">
        <f t="shared" si="9"/>
        <v>0</v>
      </c>
    </row>
    <row r="1288" ht="14.25" customHeight="1">
      <c r="A1288" s="157" t="s">
        <v>1266</v>
      </c>
      <c r="B1288" s="158" t="s">
        <v>18</v>
      </c>
      <c r="C1288" s="158" t="s">
        <v>1253</v>
      </c>
      <c r="D1288" s="159">
        <v>43858.0</v>
      </c>
      <c r="E1288" s="157" t="s">
        <v>731</v>
      </c>
      <c r="F1288" s="160">
        <v>92027.96</v>
      </c>
      <c r="G1288" s="160">
        <v>14724.47</v>
      </c>
      <c r="H1288" s="160">
        <f t="shared" si="43"/>
        <v>106752.43</v>
      </c>
      <c r="I1288" s="160"/>
      <c r="J1288" s="161"/>
      <c r="K1288" s="160"/>
      <c r="L1288" s="160">
        <f>+'FACP$'!$H1288-'FACP$'!$I1288-'FACP$'!$K1288</f>
        <v>106752.43</v>
      </c>
      <c r="M1288" s="162" t="s">
        <v>586</v>
      </c>
      <c r="N1288" s="162" t="s">
        <v>554</v>
      </c>
      <c r="O1288" s="175">
        <v>43887.0</v>
      </c>
      <c r="P1288" s="164">
        <f t="shared" si="13"/>
        <v>43868</v>
      </c>
      <c r="Q1288" s="165">
        <f t="shared" si="2"/>
        <v>0</v>
      </c>
      <c r="R1288" s="167"/>
      <c r="S1288" s="167" t="s">
        <v>910</v>
      </c>
      <c r="T1288" s="168">
        <f t="shared" si="3"/>
        <v>106752.43</v>
      </c>
      <c r="U1288" s="168">
        <f t="shared" si="4"/>
        <v>0</v>
      </c>
      <c r="V1288" s="168">
        <f t="shared" si="5"/>
        <v>0</v>
      </c>
      <c r="W1288" s="168">
        <f t="shared" si="6"/>
        <v>0</v>
      </c>
      <c r="X1288" s="168">
        <f t="shared" si="7"/>
        <v>0</v>
      </c>
      <c r="Y1288" s="168">
        <f t="shared" si="8"/>
        <v>0</v>
      </c>
      <c r="Z1288" s="168">
        <f t="shared" si="9"/>
        <v>0</v>
      </c>
    </row>
    <row r="1289" ht="14.25" customHeight="1">
      <c r="A1289" s="157" t="s">
        <v>1267</v>
      </c>
      <c r="B1289" s="158" t="s">
        <v>19</v>
      </c>
      <c r="C1289" s="158" t="s">
        <v>1253</v>
      </c>
      <c r="D1289" s="159">
        <v>43858.0</v>
      </c>
      <c r="E1289" s="157" t="s">
        <v>731</v>
      </c>
      <c r="F1289" s="160">
        <v>1365.4</v>
      </c>
      <c r="G1289" s="160">
        <v>218.46</v>
      </c>
      <c r="H1289" s="160">
        <f t="shared" si="43"/>
        <v>1583.86</v>
      </c>
      <c r="I1289" s="160"/>
      <c r="J1289" s="161"/>
      <c r="K1289" s="160"/>
      <c r="L1289" s="160">
        <f>+'FACP$'!$H1289-'FACP$'!$I1289-'FACP$'!$K1289</f>
        <v>1583.86</v>
      </c>
      <c r="M1289" s="162" t="s">
        <v>732</v>
      </c>
      <c r="N1289" s="162" t="s">
        <v>554</v>
      </c>
      <c r="O1289" s="175">
        <v>43887.0</v>
      </c>
      <c r="P1289" s="164">
        <f t="shared" si="13"/>
        <v>43868</v>
      </c>
      <c r="Q1289" s="165">
        <f t="shared" si="2"/>
        <v>0</v>
      </c>
      <c r="R1289" s="167"/>
      <c r="S1289" s="167" t="s">
        <v>910</v>
      </c>
      <c r="T1289" s="168">
        <f t="shared" si="3"/>
        <v>1583.86</v>
      </c>
      <c r="U1289" s="168">
        <f t="shared" si="4"/>
        <v>0</v>
      </c>
      <c r="V1289" s="168">
        <f t="shared" si="5"/>
        <v>0</v>
      </c>
      <c r="W1289" s="168">
        <f t="shared" si="6"/>
        <v>0</v>
      </c>
      <c r="X1289" s="168">
        <f t="shared" si="7"/>
        <v>0</v>
      </c>
      <c r="Y1289" s="168">
        <f t="shared" si="8"/>
        <v>0</v>
      </c>
      <c r="Z1289" s="168">
        <f t="shared" si="9"/>
        <v>0</v>
      </c>
    </row>
    <row r="1290" ht="14.25" customHeight="1">
      <c r="A1290" s="157" t="s">
        <v>1268</v>
      </c>
      <c r="B1290" s="158" t="s">
        <v>29</v>
      </c>
      <c r="C1290" s="158" t="s">
        <v>1253</v>
      </c>
      <c r="D1290" s="159">
        <v>43858.0</v>
      </c>
      <c r="E1290" s="157" t="s">
        <v>731</v>
      </c>
      <c r="F1290" s="160">
        <v>216077.31</v>
      </c>
      <c r="G1290" s="160">
        <v>34572.37</v>
      </c>
      <c r="H1290" s="160">
        <f t="shared" si="43"/>
        <v>250649.68</v>
      </c>
      <c r="I1290" s="160"/>
      <c r="J1290" s="161"/>
      <c r="K1290" s="160"/>
      <c r="L1290" s="160">
        <f>+'FACP$'!$H1290-'FACP$'!$I1290-'FACP$'!$K1290</f>
        <v>250649.68</v>
      </c>
      <c r="M1290" s="162" t="s">
        <v>130</v>
      </c>
      <c r="N1290" s="162" t="s">
        <v>554</v>
      </c>
      <c r="O1290" s="175">
        <v>43878.0</v>
      </c>
      <c r="P1290" s="164">
        <f t="shared" si="13"/>
        <v>43868</v>
      </c>
      <c r="Q1290" s="165">
        <f t="shared" si="2"/>
        <v>0</v>
      </c>
      <c r="R1290" s="167"/>
      <c r="S1290" s="167"/>
      <c r="T1290" s="168">
        <f t="shared" si="3"/>
        <v>250649.68</v>
      </c>
      <c r="U1290" s="168">
        <f t="shared" si="4"/>
        <v>0</v>
      </c>
      <c r="V1290" s="168">
        <f t="shared" si="5"/>
        <v>0</v>
      </c>
      <c r="W1290" s="168">
        <f t="shared" si="6"/>
        <v>0</v>
      </c>
      <c r="X1290" s="168">
        <f t="shared" si="7"/>
        <v>0</v>
      </c>
      <c r="Y1290" s="168">
        <f t="shared" si="8"/>
        <v>0</v>
      </c>
      <c r="Z1290" s="168">
        <f t="shared" si="9"/>
        <v>0</v>
      </c>
    </row>
    <row r="1291" ht="14.25" customHeight="1">
      <c r="A1291" s="157" t="s">
        <v>1269</v>
      </c>
      <c r="B1291" s="158" t="s">
        <v>29</v>
      </c>
      <c r="C1291" s="158" t="s">
        <v>1256</v>
      </c>
      <c r="D1291" s="159">
        <v>43858.0</v>
      </c>
      <c r="E1291" s="157" t="s">
        <v>731</v>
      </c>
      <c r="F1291" s="160">
        <v>337414.7</v>
      </c>
      <c r="G1291" s="160">
        <v>53986.35</v>
      </c>
      <c r="H1291" s="160">
        <f t="shared" si="43"/>
        <v>391401.05</v>
      </c>
      <c r="I1291" s="160"/>
      <c r="J1291" s="161"/>
      <c r="K1291" s="160"/>
      <c r="L1291" s="160">
        <f>+'FACP$'!$H1291-'FACP$'!$I1291-'FACP$'!$K1291</f>
        <v>391401.05</v>
      </c>
      <c r="M1291" s="162" t="s">
        <v>130</v>
      </c>
      <c r="N1291" s="162" t="s">
        <v>554</v>
      </c>
      <c r="O1291" s="175">
        <v>43879.0</v>
      </c>
      <c r="P1291" s="164">
        <f t="shared" si="13"/>
        <v>43868</v>
      </c>
      <c r="Q1291" s="165">
        <f t="shared" si="2"/>
        <v>0</v>
      </c>
      <c r="R1291" s="167"/>
      <c r="S1291" s="167"/>
      <c r="T1291" s="168">
        <f t="shared" si="3"/>
        <v>391401.05</v>
      </c>
      <c r="U1291" s="168">
        <f t="shared" si="4"/>
        <v>0</v>
      </c>
      <c r="V1291" s="168">
        <f t="shared" si="5"/>
        <v>0</v>
      </c>
      <c r="W1291" s="168">
        <f t="shared" si="6"/>
        <v>0</v>
      </c>
      <c r="X1291" s="168">
        <f t="shared" si="7"/>
        <v>0</v>
      </c>
      <c r="Y1291" s="168">
        <f t="shared" si="8"/>
        <v>0</v>
      </c>
      <c r="Z1291" s="168">
        <f t="shared" si="9"/>
        <v>0</v>
      </c>
    </row>
    <row r="1292" ht="14.25" customHeight="1">
      <c r="A1292" s="157" t="s">
        <v>1270</v>
      </c>
      <c r="B1292" s="158" t="s">
        <v>37</v>
      </c>
      <c r="C1292" s="158" t="s">
        <v>1253</v>
      </c>
      <c r="D1292" s="159">
        <v>43858.0</v>
      </c>
      <c r="E1292" s="157" t="s">
        <v>731</v>
      </c>
      <c r="F1292" s="160">
        <v>730592.4</v>
      </c>
      <c r="G1292" s="160">
        <v>116894.78</v>
      </c>
      <c r="H1292" s="160">
        <f t="shared" si="43"/>
        <v>847487.18</v>
      </c>
      <c r="I1292" s="160"/>
      <c r="J1292" s="161"/>
      <c r="K1292" s="160"/>
      <c r="L1292" s="160">
        <f>+'FACP$'!$H1292-'FACP$'!$I1292-'FACP$'!$K1292</f>
        <v>847487.18</v>
      </c>
      <c r="M1292" s="162" t="s">
        <v>116</v>
      </c>
      <c r="N1292" s="162" t="s">
        <v>554</v>
      </c>
      <c r="O1292" s="175">
        <v>43872.0</v>
      </c>
      <c r="P1292" s="164">
        <f t="shared" si="13"/>
        <v>43868</v>
      </c>
      <c r="Q1292" s="165">
        <f t="shared" si="2"/>
        <v>0</v>
      </c>
      <c r="R1292" s="167"/>
      <c r="S1292" s="167" t="s">
        <v>910</v>
      </c>
      <c r="T1292" s="168">
        <f t="shared" si="3"/>
        <v>847487.18</v>
      </c>
      <c r="U1292" s="168">
        <f t="shared" si="4"/>
        <v>0</v>
      </c>
      <c r="V1292" s="168">
        <f t="shared" si="5"/>
        <v>0</v>
      </c>
      <c r="W1292" s="168">
        <f t="shared" si="6"/>
        <v>0</v>
      </c>
      <c r="X1292" s="168">
        <f t="shared" si="7"/>
        <v>0</v>
      </c>
      <c r="Y1292" s="168">
        <f t="shared" si="8"/>
        <v>0</v>
      </c>
      <c r="Z1292" s="168">
        <f t="shared" si="9"/>
        <v>0</v>
      </c>
    </row>
    <row r="1293" ht="14.25" customHeight="1">
      <c r="A1293" s="157" t="s">
        <v>1271</v>
      </c>
      <c r="B1293" s="158" t="s">
        <v>29</v>
      </c>
      <c r="C1293" s="158" t="s">
        <v>1200</v>
      </c>
      <c r="D1293" s="159">
        <v>43860.0</v>
      </c>
      <c r="E1293" s="157" t="s">
        <v>731</v>
      </c>
      <c r="F1293" s="160">
        <v>279589.92</v>
      </c>
      <c r="G1293" s="160">
        <v>44734.39</v>
      </c>
      <c r="H1293" s="160">
        <f t="shared" si="43"/>
        <v>324324.31</v>
      </c>
      <c r="I1293" s="160"/>
      <c r="J1293" s="161"/>
      <c r="K1293" s="160"/>
      <c r="L1293" s="160">
        <f>+'FACP$'!$H1293-'FACP$'!$I1293-'FACP$'!$K1293</f>
        <v>324324.31</v>
      </c>
      <c r="M1293" s="162" t="s">
        <v>130</v>
      </c>
      <c r="N1293" s="162" t="s">
        <v>554</v>
      </c>
      <c r="O1293" s="175">
        <v>43879.0</v>
      </c>
      <c r="P1293" s="164">
        <f t="shared" si="13"/>
        <v>43870</v>
      </c>
      <c r="Q1293" s="165">
        <f t="shared" si="2"/>
        <v>0</v>
      </c>
      <c r="R1293" s="167"/>
      <c r="S1293" s="167"/>
      <c r="T1293" s="168">
        <f t="shared" si="3"/>
        <v>324324.31</v>
      </c>
      <c r="U1293" s="168">
        <f t="shared" si="4"/>
        <v>0</v>
      </c>
      <c r="V1293" s="168">
        <f t="shared" si="5"/>
        <v>0</v>
      </c>
      <c r="W1293" s="168">
        <f t="shared" si="6"/>
        <v>0</v>
      </c>
      <c r="X1293" s="168">
        <f t="shared" si="7"/>
        <v>0</v>
      </c>
      <c r="Y1293" s="168">
        <f t="shared" si="8"/>
        <v>0</v>
      </c>
      <c r="Z1293" s="168">
        <f t="shared" si="9"/>
        <v>0</v>
      </c>
    </row>
    <row r="1294" ht="14.25" customHeight="1">
      <c r="A1294" s="157" t="s">
        <v>1272</v>
      </c>
      <c r="B1294" s="158" t="s">
        <v>43</v>
      </c>
      <c r="C1294" s="158" t="s">
        <v>1273</v>
      </c>
      <c r="D1294" s="159">
        <v>43865.0</v>
      </c>
      <c r="E1294" s="157" t="s">
        <v>731</v>
      </c>
      <c r="F1294" s="160">
        <v>1078450.24</v>
      </c>
      <c r="G1294" s="160">
        <v>172552.04</v>
      </c>
      <c r="H1294" s="160">
        <f t="shared" si="43"/>
        <v>1251002.28</v>
      </c>
      <c r="I1294" s="160"/>
      <c r="J1294" s="161"/>
      <c r="K1294" s="160"/>
      <c r="L1294" s="160">
        <f>+'FACP$'!$H1294-'FACP$'!$I1294-'FACP$'!$K1294</f>
        <v>1251002.28</v>
      </c>
      <c r="M1294" s="162" t="s">
        <v>43</v>
      </c>
      <c r="N1294" s="162" t="s">
        <v>554</v>
      </c>
      <c r="O1294" s="175">
        <v>43889.0</v>
      </c>
      <c r="P1294" s="164">
        <f t="shared" si="13"/>
        <v>43875</v>
      </c>
      <c r="Q1294" s="165">
        <f t="shared" si="2"/>
        <v>0</v>
      </c>
      <c r="R1294" s="167"/>
      <c r="S1294" s="220" t="s">
        <v>910</v>
      </c>
      <c r="T1294" s="168">
        <f t="shared" si="3"/>
        <v>1251002.28</v>
      </c>
      <c r="U1294" s="168">
        <f t="shared" si="4"/>
        <v>0</v>
      </c>
      <c r="V1294" s="168">
        <f t="shared" si="5"/>
        <v>0</v>
      </c>
      <c r="W1294" s="168">
        <f t="shared" si="6"/>
        <v>0</v>
      </c>
      <c r="X1294" s="168">
        <f t="shared" si="7"/>
        <v>0</v>
      </c>
      <c r="Y1294" s="168">
        <f t="shared" si="8"/>
        <v>0</v>
      </c>
      <c r="Z1294" s="168">
        <f t="shared" si="9"/>
        <v>0</v>
      </c>
    </row>
    <row r="1295" ht="14.25" customHeight="1">
      <c r="A1295" s="157" t="s">
        <v>1274</v>
      </c>
      <c r="B1295" s="158" t="s">
        <v>1127</v>
      </c>
      <c r="C1295" s="158" t="s">
        <v>1273</v>
      </c>
      <c r="D1295" s="159">
        <v>43865.0</v>
      </c>
      <c r="E1295" s="157" t="s">
        <v>731</v>
      </c>
      <c r="F1295" s="160">
        <v>46992.33</v>
      </c>
      <c r="G1295" s="160">
        <v>7518.77</v>
      </c>
      <c r="H1295" s="160">
        <f t="shared" si="43"/>
        <v>54511.1</v>
      </c>
      <c r="I1295" s="160"/>
      <c r="J1295" s="161"/>
      <c r="K1295" s="160"/>
      <c r="L1295" s="160">
        <f>+'FACP$'!$H1295-'FACP$'!$I1295-'FACP$'!$K1295</f>
        <v>54511.1</v>
      </c>
      <c r="M1295" s="162" t="s">
        <v>580</v>
      </c>
      <c r="N1295" s="162" t="s">
        <v>554</v>
      </c>
      <c r="O1295" s="175">
        <v>43874.0</v>
      </c>
      <c r="P1295" s="164">
        <f t="shared" si="13"/>
        <v>43875</v>
      </c>
      <c r="Q1295" s="165">
        <f t="shared" si="2"/>
        <v>0</v>
      </c>
      <c r="R1295" s="167" t="s">
        <v>1128</v>
      </c>
      <c r="S1295" s="167" t="s">
        <v>910</v>
      </c>
      <c r="T1295" s="168">
        <f t="shared" si="3"/>
        <v>54511.1</v>
      </c>
      <c r="U1295" s="168">
        <f t="shared" si="4"/>
        <v>0</v>
      </c>
      <c r="V1295" s="168">
        <f t="shared" si="5"/>
        <v>0</v>
      </c>
      <c r="W1295" s="168">
        <f t="shared" si="6"/>
        <v>0</v>
      </c>
      <c r="X1295" s="168">
        <f t="shared" si="7"/>
        <v>0</v>
      </c>
      <c r="Y1295" s="168">
        <f t="shared" si="8"/>
        <v>0</v>
      </c>
      <c r="Z1295" s="168">
        <f t="shared" si="9"/>
        <v>0</v>
      </c>
    </row>
    <row r="1296" ht="14.25" customHeight="1">
      <c r="A1296" s="157" t="s">
        <v>1275</v>
      </c>
      <c r="B1296" s="158" t="s">
        <v>36</v>
      </c>
      <c r="C1296" s="158" t="s">
        <v>1273</v>
      </c>
      <c r="D1296" s="159">
        <v>43865.0</v>
      </c>
      <c r="E1296" s="157" t="s">
        <v>731</v>
      </c>
      <c r="F1296" s="160">
        <v>66246.04</v>
      </c>
      <c r="G1296" s="160">
        <v>10599.37</v>
      </c>
      <c r="H1296" s="160">
        <f t="shared" si="43"/>
        <v>76845.41</v>
      </c>
      <c r="I1296" s="160"/>
      <c r="J1296" s="161"/>
      <c r="K1296" s="160"/>
      <c r="L1296" s="160">
        <f>+'FACP$'!$H1296-'FACP$'!$I1296-'FACP$'!$K1296</f>
        <v>76845.41</v>
      </c>
      <c r="M1296" s="162" t="s">
        <v>278</v>
      </c>
      <c r="N1296" s="162" t="s">
        <v>554</v>
      </c>
      <c r="O1296" s="175">
        <v>43941.0</v>
      </c>
      <c r="P1296" s="164">
        <f t="shared" si="13"/>
        <v>43875</v>
      </c>
      <c r="Q1296" s="165">
        <f t="shared" si="2"/>
        <v>0</v>
      </c>
      <c r="R1296" s="167" t="s">
        <v>1276</v>
      </c>
      <c r="S1296" s="220" t="s">
        <v>910</v>
      </c>
      <c r="T1296" s="168">
        <f t="shared" si="3"/>
        <v>76845.41</v>
      </c>
      <c r="U1296" s="168">
        <f t="shared" si="4"/>
        <v>0</v>
      </c>
      <c r="V1296" s="168">
        <f t="shared" si="5"/>
        <v>0</v>
      </c>
      <c r="W1296" s="168">
        <f t="shared" si="6"/>
        <v>0</v>
      </c>
      <c r="X1296" s="168">
        <f t="shared" si="7"/>
        <v>0</v>
      </c>
      <c r="Y1296" s="168">
        <f t="shared" si="8"/>
        <v>0</v>
      </c>
      <c r="Z1296" s="168">
        <f t="shared" si="9"/>
        <v>0</v>
      </c>
    </row>
    <row r="1297" ht="14.25" customHeight="1">
      <c r="A1297" s="157" t="s">
        <v>1277</v>
      </c>
      <c r="B1297" s="158" t="s">
        <v>33</v>
      </c>
      <c r="C1297" s="158" t="s">
        <v>1273</v>
      </c>
      <c r="D1297" s="159">
        <v>43865.0</v>
      </c>
      <c r="E1297" s="157" t="s">
        <v>731</v>
      </c>
      <c r="F1297" s="160">
        <v>653446.36</v>
      </c>
      <c r="G1297" s="160">
        <v>104551.42</v>
      </c>
      <c r="H1297" s="160">
        <f t="shared" si="43"/>
        <v>757997.78</v>
      </c>
      <c r="I1297" s="160"/>
      <c r="J1297" s="161"/>
      <c r="K1297" s="160"/>
      <c r="L1297" s="160">
        <f>+'FACP$'!$H1297-'FACP$'!$I1297-'FACP$'!$K1297</f>
        <v>757997.78</v>
      </c>
      <c r="M1297" s="162" t="s">
        <v>958</v>
      </c>
      <c r="N1297" s="162" t="s">
        <v>554</v>
      </c>
      <c r="O1297" s="175">
        <v>43878.0</v>
      </c>
      <c r="P1297" s="164">
        <f t="shared" si="13"/>
        <v>43875</v>
      </c>
      <c r="Q1297" s="165">
        <f t="shared" si="2"/>
        <v>0</v>
      </c>
      <c r="R1297" s="167"/>
      <c r="S1297" s="167" t="s">
        <v>910</v>
      </c>
      <c r="T1297" s="168">
        <f t="shared" si="3"/>
        <v>757997.78</v>
      </c>
      <c r="U1297" s="168">
        <f t="shared" si="4"/>
        <v>0</v>
      </c>
      <c r="V1297" s="168">
        <f t="shared" si="5"/>
        <v>0</v>
      </c>
      <c r="W1297" s="168">
        <f t="shared" si="6"/>
        <v>0</v>
      </c>
      <c r="X1297" s="168">
        <f t="shared" si="7"/>
        <v>0</v>
      </c>
      <c r="Y1297" s="168">
        <f t="shared" si="8"/>
        <v>0</v>
      </c>
      <c r="Z1297" s="168">
        <f t="shared" si="9"/>
        <v>0</v>
      </c>
    </row>
    <row r="1298" ht="14.25" customHeight="1">
      <c r="A1298" s="157" t="s">
        <v>1278</v>
      </c>
      <c r="B1298" s="158" t="s">
        <v>30</v>
      </c>
      <c r="C1298" s="158" t="s">
        <v>1273</v>
      </c>
      <c r="D1298" s="159">
        <v>43865.0</v>
      </c>
      <c r="E1298" s="157" t="s">
        <v>731</v>
      </c>
      <c r="F1298" s="160">
        <v>230011.52</v>
      </c>
      <c r="G1298" s="160">
        <v>36801.84</v>
      </c>
      <c r="H1298" s="160">
        <f t="shared" si="43"/>
        <v>266813.36</v>
      </c>
      <c r="I1298" s="160"/>
      <c r="J1298" s="161"/>
      <c r="K1298" s="160"/>
      <c r="L1298" s="160">
        <f>+'FACP$'!$H1298-'FACP$'!$I1298-'FACP$'!$K1298</f>
        <v>266813.36</v>
      </c>
      <c r="M1298" s="162" t="s">
        <v>891</v>
      </c>
      <c r="N1298" s="162" t="s">
        <v>554</v>
      </c>
      <c r="O1298" s="175">
        <v>43924.0</v>
      </c>
      <c r="P1298" s="164">
        <f t="shared" si="13"/>
        <v>43875</v>
      </c>
      <c r="Q1298" s="165">
        <f t="shared" si="2"/>
        <v>0</v>
      </c>
      <c r="R1298" s="167"/>
      <c r="S1298" s="167" t="s">
        <v>910</v>
      </c>
      <c r="T1298" s="168">
        <f t="shared" si="3"/>
        <v>266813.36</v>
      </c>
      <c r="U1298" s="168">
        <f t="shared" si="4"/>
        <v>0</v>
      </c>
      <c r="V1298" s="168">
        <f t="shared" si="5"/>
        <v>0</v>
      </c>
      <c r="W1298" s="168">
        <f t="shared" si="6"/>
        <v>0</v>
      </c>
      <c r="X1298" s="168">
        <f t="shared" si="7"/>
        <v>0</v>
      </c>
      <c r="Y1298" s="168">
        <f t="shared" si="8"/>
        <v>0</v>
      </c>
      <c r="Z1298" s="168">
        <f t="shared" si="9"/>
        <v>0</v>
      </c>
    </row>
    <row r="1299" ht="14.25" customHeight="1">
      <c r="A1299" s="157" t="s">
        <v>1279</v>
      </c>
      <c r="B1299" s="158" t="s">
        <v>27</v>
      </c>
      <c r="C1299" s="158" t="s">
        <v>1273</v>
      </c>
      <c r="D1299" s="159">
        <v>43865.0</v>
      </c>
      <c r="E1299" s="157" t="s">
        <v>731</v>
      </c>
      <c r="F1299" s="160">
        <v>437044.82</v>
      </c>
      <c r="G1299" s="160">
        <v>69927.17</v>
      </c>
      <c r="H1299" s="160">
        <f t="shared" si="43"/>
        <v>506971.99</v>
      </c>
      <c r="I1299" s="160"/>
      <c r="J1299" s="161"/>
      <c r="K1299" s="160"/>
      <c r="L1299" s="160">
        <f>+'FACP$'!$H1299-'FACP$'!$I1299-'FACP$'!$K1299</f>
        <v>506971.99</v>
      </c>
      <c r="M1299" s="162" t="s">
        <v>969</v>
      </c>
      <c r="N1299" s="162" t="s">
        <v>554</v>
      </c>
      <c r="O1299" s="175">
        <v>43920.0</v>
      </c>
      <c r="P1299" s="164">
        <f t="shared" si="13"/>
        <v>43875</v>
      </c>
      <c r="Q1299" s="165">
        <f t="shared" si="2"/>
        <v>0</v>
      </c>
      <c r="R1299" s="167" t="s">
        <v>1254</v>
      </c>
      <c r="S1299" s="167" t="s">
        <v>910</v>
      </c>
      <c r="T1299" s="168">
        <f t="shared" si="3"/>
        <v>506971.99</v>
      </c>
      <c r="U1299" s="168">
        <f t="shared" si="4"/>
        <v>0</v>
      </c>
      <c r="V1299" s="168">
        <f t="shared" si="5"/>
        <v>0</v>
      </c>
      <c r="W1299" s="168">
        <f t="shared" si="6"/>
        <v>0</v>
      </c>
      <c r="X1299" s="168">
        <f t="shared" si="7"/>
        <v>0</v>
      </c>
      <c r="Y1299" s="168">
        <f t="shared" si="8"/>
        <v>0</v>
      </c>
      <c r="Z1299" s="168">
        <f t="shared" si="9"/>
        <v>0</v>
      </c>
    </row>
    <row r="1300" ht="14.25" customHeight="1">
      <c r="A1300" s="157" t="s">
        <v>1280</v>
      </c>
      <c r="B1300" s="158" t="s">
        <v>27</v>
      </c>
      <c r="C1300" s="158" t="s">
        <v>1281</v>
      </c>
      <c r="D1300" s="159">
        <v>43865.0</v>
      </c>
      <c r="E1300" s="157" t="s">
        <v>731</v>
      </c>
      <c r="F1300" s="160">
        <v>327535.04</v>
      </c>
      <c r="G1300" s="160">
        <v>52405.61</v>
      </c>
      <c r="H1300" s="160">
        <f t="shared" si="43"/>
        <v>379940.65</v>
      </c>
      <c r="I1300" s="160"/>
      <c r="J1300" s="161"/>
      <c r="K1300" s="160"/>
      <c r="L1300" s="160">
        <f>+'FACP$'!$H1300-'FACP$'!$I1300-'FACP$'!$K1300</f>
        <v>379940.65</v>
      </c>
      <c r="M1300" s="162" t="s">
        <v>969</v>
      </c>
      <c r="N1300" s="162" t="s">
        <v>554</v>
      </c>
      <c r="O1300" s="175">
        <v>43920.0</v>
      </c>
      <c r="P1300" s="164">
        <f t="shared" si="13"/>
        <v>43875</v>
      </c>
      <c r="Q1300" s="165">
        <f t="shared" si="2"/>
        <v>0</v>
      </c>
      <c r="R1300" s="167" t="s">
        <v>1254</v>
      </c>
      <c r="S1300" s="167" t="s">
        <v>910</v>
      </c>
      <c r="T1300" s="168">
        <f t="shared" si="3"/>
        <v>379940.65</v>
      </c>
      <c r="U1300" s="168">
        <f t="shared" si="4"/>
        <v>0</v>
      </c>
      <c r="V1300" s="168">
        <f t="shared" si="5"/>
        <v>0</v>
      </c>
      <c r="W1300" s="168">
        <f t="shared" si="6"/>
        <v>0</v>
      </c>
      <c r="X1300" s="168">
        <f t="shared" si="7"/>
        <v>0</v>
      </c>
      <c r="Y1300" s="168">
        <f t="shared" si="8"/>
        <v>0</v>
      </c>
      <c r="Z1300" s="168">
        <f t="shared" si="9"/>
        <v>0</v>
      </c>
    </row>
    <row r="1301" ht="14.25" customHeight="1">
      <c r="A1301" s="157" t="s">
        <v>1282</v>
      </c>
      <c r="B1301" s="158" t="s">
        <v>37</v>
      </c>
      <c r="C1301" s="158" t="s">
        <v>1273</v>
      </c>
      <c r="D1301" s="159">
        <v>43865.0</v>
      </c>
      <c r="E1301" s="157" t="s">
        <v>731</v>
      </c>
      <c r="F1301" s="160">
        <v>1133414.6</v>
      </c>
      <c r="G1301" s="160">
        <v>181346.34</v>
      </c>
      <c r="H1301" s="160">
        <f t="shared" si="43"/>
        <v>1314760.94</v>
      </c>
      <c r="I1301" s="160"/>
      <c r="J1301" s="161"/>
      <c r="K1301" s="160"/>
      <c r="L1301" s="160">
        <f>+'FACP$'!$H1301-'FACP$'!$I1301-'FACP$'!$K1301</f>
        <v>1314760.94</v>
      </c>
      <c r="M1301" s="162" t="s">
        <v>116</v>
      </c>
      <c r="N1301" s="162" t="s">
        <v>554</v>
      </c>
      <c r="O1301" s="175">
        <v>43879.0</v>
      </c>
      <c r="P1301" s="164">
        <f t="shared" si="13"/>
        <v>43875</v>
      </c>
      <c r="Q1301" s="165">
        <f t="shared" si="2"/>
        <v>0</v>
      </c>
      <c r="R1301" s="167"/>
      <c r="S1301" s="167" t="s">
        <v>910</v>
      </c>
      <c r="T1301" s="168">
        <f t="shared" si="3"/>
        <v>1314760.94</v>
      </c>
      <c r="U1301" s="168">
        <f t="shared" si="4"/>
        <v>0</v>
      </c>
      <c r="V1301" s="168">
        <f t="shared" si="5"/>
        <v>0</v>
      </c>
      <c r="W1301" s="168">
        <f t="shared" si="6"/>
        <v>0</v>
      </c>
      <c r="X1301" s="168">
        <f t="shared" si="7"/>
        <v>0</v>
      </c>
      <c r="Y1301" s="168">
        <f t="shared" si="8"/>
        <v>0</v>
      </c>
      <c r="Z1301" s="168">
        <f t="shared" si="9"/>
        <v>0</v>
      </c>
    </row>
    <row r="1302" ht="14.25" customHeight="1">
      <c r="A1302" s="157" t="s">
        <v>1283</v>
      </c>
      <c r="B1302" s="158" t="s">
        <v>29</v>
      </c>
      <c r="C1302" s="158" t="s">
        <v>1273</v>
      </c>
      <c r="D1302" s="159">
        <v>43865.0</v>
      </c>
      <c r="E1302" s="157" t="s">
        <v>731</v>
      </c>
      <c r="F1302" s="160">
        <v>253759.59</v>
      </c>
      <c r="G1302" s="160">
        <v>40601.53</v>
      </c>
      <c r="H1302" s="160">
        <f t="shared" si="43"/>
        <v>294361.12</v>
      </c>
      <c r="I1302" s="160"/>
      <c r="J1302" s="161"/>
      <c r="K1302" s="160"/>
      <c r="L1302" s="160">
        <f>+'FACP$'!$H1302-'FACP$'!$I1302-'FACP$'!$K1302</f>
        <v>294361.12</v>
      </c>
      <c r="M1302" s="162" t="s">
        <v>130</v>
      </c>
      <c r="N1302" s="162" t="s">
        <v>554</v>
      </c>
      <c r="O1302" s="175">
        <v>43894.0</v>
      </c>
      <c r="P1302" s="164">
        <f t="shared" si="13"/>
        <v>43875</v>
      </c>
      <c r="Q1302" s="165">
        <f t="shared" si="2"/>
        <v>0</v>
      </c>
      <c r="R1302" s="167"/>
      <c r="S1302" s="167"/>
      <c r="T1302" s="168">
        <f t="shared" si="3"/>
        <v>294361.12</v>
      </c>
      <c r="U1302" s="168">
        <f t="shared" si="4"/>
        <v>0</v>
      </c>
      <c r="V1302" s="168">
        <f t="shared" si="5"/>
        <v>0</v>
      </c>
      <c r="W1302" s="168">
        <f t="shared" si="6"/>
        <v>0</v>
      </c>
      <c r="X1302" s="168">
        <f t="shared" si="7"/>
        <v>0</v>
      </c>
      <c r="Y1302" s="168">
        <f t="shared" si="8"/>
        <v>0</v>
      </c>
      <c r="Z1302" s="168">
        <f t="shared" si="9"/>
        <v>0</v>
      </c>
    </row>
    <row r="1303" ht="14.25" customHeight="1">
      <c r="A1303" s="157" t="s">
        <v>1284</v>
      </c>
      <c r="B1303" s="158" t="s">
        <v>29</v>
      </c>
      <c r="C1303" s="158" t="s">
        <v>1281</v>
      </c>
      <c r="D1303" s="159">
        <v>43865.0</v>
      </c>
      <c r="E1303" s="157" t="s">
        <v>731</v>
      </c>
      <c r="F1303" s="160">
        <v>431408.4</v>
      </c>
      <c r="G1303" s="160">
        <v>69025.34</v>
      </c>
      <c r="H1303" s="160">
        <f t="shared" si="43"/>
        <v>500433.74</v>
      </c>
      <c r="I1303" s="160"/>
      <c r="J1303" s="161"/>
      <c r="K1303" s="160"/>
      <c r="L1303" s="160">
        <f>+'FACP$'!$H1303-'FACP$'!$I1303-'FACP$'!$K1303</f>
        <v>500433.74</v>
      </c>
      <c r="M1303" s="162" t="s">
        <v>130</v>
      </c>
      <c r="N1303" s="162" t="s">
        <v>554</v>
      </c>
      <c r="O1303" s="175">
        <v>43871.0</v>
      </c>
      <c r="P1303" s="164">
        <f t="shared" si="13"/>
        <v>43875</v>
      </c>
      <c r="Q1303" s="165">
        <f t="shared" si="2"/>
        <v>0</v>
      </c>
      <c r="R1303" s="167"/>
      <c r="S1303" s="167"/>
      <c r="T1303" s="168">
        <f t="shared" si="3"/>
        <v>500433.74</v>
      </c>
      <c r="U1303" s="168">
        <f t="shared" si="4"/>
        <v>0</v>
      </c>
      <c r="V1303" s="168">
        <f t="shared" si="5"/>
        <v>0</v>
      </c>
      <c r="W1303" s="168">
        <f t="shared" si="6"/>
        <v>0</v>
      </c>
      <c r="X1303" s="168">
        <f t="shared" si="7"/>
        <v>0</v>
      </c>
      <c r="Y1303" s="168">
        <f t="shared" si="8"/>
        <v>0</v>
      </c>
      <c r="Z1303" s="168">
        <f t="shared" si="9"/>
        <v>0</v>
      </c>
    </row>
    <row r="1304" ht="14.25" customHeight="1">
      <c r="A1304" s="157" t="s">
        <v>1285</v>
      </c>
      <c r="B1304" s="158" t="s">
        <v>18</v>
      </c>
      <c r="C1304" s="158" t="s">
        <v>1273</v>
      </c>
      <c r="D1304" s="159">
        <v>43865.0</v>
      </c>
      <c r="E1304" s="157" t="s">
        <v>731</v>
      </c>
      <c r="F1304" s="160">
        <v>129098.57</v>
      </c>
      <c r="G1304" s="160">
        <v>20655.77</v>
      </c>
      <c r="H1304" s="160">
        <f t="shared" si="43"/>
        <v>149754.34</v>
      </c>
      <c r="I1304" s="160"/>
      <c r="J1304" s="161"/>
      <c r="K1304" s="160"/>
      <c r="L1304" s="160">
        <f>+'FACP$'!$H1304-'FACP$'!$I1304-'FACP$'!$K1304</f>
        <v>149754.34</v>
      </c>
      <c r="M1304" s="162" t="s">
        <v>586</v>
      </c>
      <c r="N1304" s="162" t="s">
        <v>554</v>
      </c>
      <c r="O1304" s="175">
        <v>43908.0</v>
      </c>
      <c r="P1304" s="164">
        <f t="shared" si="13"/>
        <v>43875</v>
      </c>
      <c r="Q1304" s="165">
        <f t="shared" si="2"/>
        <v>0</v>
      </c>
      <c r="R1304" s="167"/>
      <c r="S1304" s="167" t="s">
        <v>910</v>
      </c>
      <c r="T1304" s="168">
        <f t="shared" si="3"/>
        <v>149754.34</v>
      </c>
      <c r="U1304" s="168">
        <f t="shared" si="4"/>
        <v>0</v>
      </c>
      <c r="V1304" s="168">
        <f t="shared" si="5"/>
        <v>0</v>
      </c>
      <c r="W1304" s="168">
        <f t="shared" si="6"/>
        <v>0</v>
      </c>
      <c r="X1304" s="168">
        <f t="shared" si="7"/>
        <v>0</v>
      </c>
      <c r="Y1304" s="168">
        <f t="shared" si="8"/>
        <v>0</v>
      </c>
      <c r="Z1304" s="168">
        <f t="shared" si="9"/>
        <v>0</v>
      </c>
    </row>
    <row r="1305" ht="14.25" customHeight="1">
      <c r="A1305" s="157" t="s">
        <v>1286</v>
      </c>
      <c r="B1305" s="158" t="s">
        <v>16</v>
      </c>
      <c r="C1305" s="158" t="s">
        <v>1273</v>
      </c>
      <c r="D1305" s="159">
        <v>43865.0</v>
      </c>
      <c r="E1305" s="157" t="s">
        <v>731</v>
      </c>
      <c r="F1305" s="160">
        <v>253753.4</v>
      </c>
      <c r="G1305" s="160">
        <v>40600.54</v>
      </c>
      <c r="H1305" s="160">
        <f t="shared" si="43"/>
        <v>294353.94</v>
      </c>
      <c r="I1305" s="160"/>
      <c r="J1305" s="161"/>
      <c r="K1305" s="160"/>
      <c r="L1305" s="160">
        <f>+'FACP$'!$H1305-'FACP$'!$I1305-'FACP$'!$K1305</f>
        <v>294353.94</v>
      </c>
      <c r="M1305" s="162" t="s">
        <v>985</v>
      </c>
      <c r="N1305" s="162" t="s">
        <v>554</v>
      </c>
      <c r="O1305" s="175">
        <v>43875.0</v>
      </c>
      <c r="P1305" s="164">
        <f t="shared" si="13"/>
        <v>43875</v>
      </c>
      <c r="Q1305" s="165">
        <f t="shared" si="2"/>
        <v>0</v>
      </c>
      <c r="R1305" s="167"/>
      <c r="S1305" s="167"/>
      <c r="T1305" s="168">
        <f t="shared" si="3"/>
        <v>294353.94</v>
      </c>
      <c r="U1305" s="168">
        <f t="shared" si="4"/>
        <v>0</v>
      </c>
      <c r="V1305" s="168">
        <f t="shared" si="5"/>
        <v>0</v>
      </c>
      <c r="W1305" s="168">
        <f t="shared" si="6"/>
        <v>0</v>
      </c>
      <c r="X1305" s="168">
        <f t="shared" si="7"/>
        <v>0</v>
      </c>
      <c r="Y1305" s="168">
        <f t="shared" si="8"/>
        <v>0</v>
      </c>
      <c r="Z1305" s="168">
        <f t="shared" si="9"/>
        <v>0</v>
      </c>
    </row>
    <row r="1306" ht="14.25" customHeight="1">
      <c r="A1306" s="157" t="s">
        <v>1287</v>
      </c>
      <c r="B1306" s="158" t="s">
        <v>16</v>
      </c>
      <c r="C1306" s="158" t="s">
        <v>1281</v>
      </c>
      <c r="D1306" s="159">
        <v>43865.0</v>
      </c>
      <c r="E1306" s="157" t="s">
        <v>731</v>
      </c>
      <c r="F1306" s="160">
        <v>411775.61</v>
      </c>
      <c r="G1306" s="160">
        <v>65884.1</v>
      </c>
      <c r="H1306" s="160">
        <f t="shared" si="43"/>
        <v>477659.71</v>
      </c>
      <c r="I1306" s="160"/>
      <c r="J1306" s="161"/>
      <c r="K1306" s="160"/>
      <c r="L1306" s="160">
        <f>+'FACP$'!$H1306-'FACP$'!$I1306-'FACP$'!$K1306</f>
        <v>477659.71</v>
      </c>
      <c r="M1306" s="162" t="s">
        <v>985</v>
      </c>
      <c r="N1306" s="162" t="s">
        <v>554</v>
      </c>
      <c r="O1306" s="175">
        <v>43875.0</v>
      </c>
      <c r="P1306" s="164">
        <f t="shared" si="13"/>
        <v>43875</v>
      </c>
      <c r="Q1306" s="165">
        <f t="shared" si="2"/>
        <v>0</v>
      </c>
      <c r="R1306" s="167"/>
      <c r="S1306" s="167"/>
      <c r="T1306" s="168">
        <f t="shared" si="3"/>
        <v>477659.71</v>
      </c>
      <c r="U1306" s="168">
        <f t="shared" si="4"/>
        <v>0</v>
      </c>
      <c r="V1306" s="168">
        <f t="shared" si="5"/>
        <v>0</v>
      </c>
      <c r="W1306" s="168">
        <f t="shared" si="6"/>
        <v>0</v>
      </c>
      <c r="X1306" s="168">
        <f t="shared" si="7"/>
        <v>0</v>
      </c>
      <c r="Y1306" s="168">
        <f t="shared" si="8"/>
        <v>0</v>
      </c>
      <c r="Z1306" s="168">
        <f t="shared" si="9"/>
        <v>0</v>
      </c>
    </row>
    <row r="1307" ht="14.25" customHeight="1">
      <c r="A1307" s="157" t="s">
        <v>1288</v>
      </c>
      <c r="B1307" s="158" t="s">
        <v>82</v>
      </c>
      <c r="C1307" s="158" t="s">
        <v>1289</v>
      </c>
      <c r="D1307" s="159">
        <v>43865.0</v>
      </c>
      <c r="E1307" s="157" t="s">
        <v>731</v>
      </c>
      <c r="F1307" s="160">
        <v>50000.0</v>
      </c>
      <c r="G1307" s="160">
        <v>8000.0</v>
      </c>
      <c r="H1307" s="160">
        <f t="shared" si="43"/>
        <v>58000</v>
      </c>
      <c r="I1307" s="160"/>
      <c r="J1307" s="161"/>
      <c r="K1307" s="160"/>
      <c r="L1307" s="160">
        <f>+'FACP$'!$H1307-'FACP$'!$I1307-'FACP$'!$K1307</f>
        <v>58000</v>
      </c>
      <c r="M1307" s="162" t="s">
        <v>714</v>
      </c>
      <c r="N1307" s="162" t="s">
        <v>127</v>
      </c>
      <c r="O1307" s="175"/>
      <c r="P1307" s="164">
        <f t="shared" si="13"/>
        <v>43875</v>
      </c>
      <c r="Q1307" s="165">
        <f t="shared" si="2"/>
        <v>0</v>
      </c>
      <c r="R1307" s="167"/>
      <c r="S1307" s="167"/>
      <c r="T1307" s="168">
        <f t="shared" si="3"/>
        <v>58000</v>
      </c>
      <c r="U1307" s="168">
        <f t="shared" si="4"/>
        <v>0</v>
      </c>
      <c r="V1307" s="168">
        <f t="shared" si="5"/>
        <v>0</v>
      </c>
      <c r="W1307" s="168">
        <f t="shared" si="6"/>
        <v>0</v>
      </c>
      <c r="X1307" s="168">
        <f t="shared" si="7"/>
        <v>0</v>
      </c>
      <c r="Y1307" s="168">
        <f t="shared" si="8"/>
        <v>0</v>
      </c>
      <c r="Z1307" s="168">
        <f t="shared" si="9"/>
        <v>0</v>
      </c>
    </row>
    <row r="1308" ht="14.25" customHeight="1">
      <c r="A1308" s="157" t="s">
        <v>1290</v>
      </c>
      <c r="B1308" s="158" t="s">
        <v>82</v>
      </c>
      <c r="C1308" s="158" t="s">
        <v>1289</v>
      </c>
      <c r="D1308" s="159">
        <v>43865.0</v>
      </c>
      <c r="E1308" s="157" t="s">
        <v>731</v>
      </c>
      <c r="F1308" s="160">
        <v>20000.0</v>
      </c>
      <c r="G1308" s="160">
        <v>3200.0</v>
      </c>
      <c r="H1308" s="160">
        <f t="shared" si="43"/>
        <v>23200</v>
      </c>
      <c r="I1308" s="160"/>
      <c r="J1308" s="161"/>
      <c r="K1308" s="160"/>
      <c r="L1308" s="160">
        <f>+'FACP$'!$H1308-'FACP$'!$I1308-'FACP$'!$K1308</f>
        <v>23200</v>
      </c>
      <c r="M1308" s="162" t="s">
        <v>714</v>
      </c>
      <c r="N1308" s="162" t="s">
        <v>127</v>
      </c>
      <c r="O1308" s="175"/>
      <c r="P1308" s="164">
        <f t="shared" si="13"/>
        <v>43875</v>
      </c>
      <c r="Q1308" s="165">
        <f t="shared" si="2"/>
        <v>0</v>
      </c>
      <c r="R1308" s="167"/>
      <c r="S1308" s="167"/>
      <c r="T1308" s="168">
        <f t="shared" si="3"/>
        <v>23200</v>
      </c>
      <c r="U1308" s="168">
        <f t="shared" si="4"/>
        <v>0</v>
      </c>
      <c r="V1308" s="168">
        <f t="shared" si="5"/>
        <v>0</v>
      </c>
      <c r="W1308" s="168">
        <f t="shared" si="6"/>
        <v>0</v>
      </c>
      <c r="X1308" s="168">
        <f t="shared" si="7"/>
        <v>0</v>
      </c>
      <c r="Y1308" s="168">
        <f t="shared" si="8"/>
        <v>0</v>
      </c>
      <c r="Z1308" s="168">
        <f t="shared" si="9"/>
        <v>0</v>
      </c>
    </row>
    <row r="1309" ht="14.25" customHeight="1">
      <c r="A1309" s="157" t="s">
        <v>1291</v>
      </c>
      <c r="B1309" s="158" t="s">
        <v>41</v>
      </c>
      <c r="C1309" s="158" t="s">
        <v>1273</v>
      </c>
      <c r="D1309" s="159">
        <v>43865.0</v>
      </c>
      <c r="E1309" s="157" t="s">
        <v>731</v>
      </c>
      <c r="F1309" s="160">
        <v>431232.48</v>
      </c>
      <c r="G1309" s="160">
        <v>68997.2</v>
      </c>
      <c r="H1309" s="160">
        <f t="shared" si="43"/>
        <v>500229.68</v>
      </c>
      <c r="I1309" s="160"/>
      <c r="J1309" s="161"/>
      <c r="K1309" s="160"/>
      <c r="L1309" s="160">
        <f>+'FACP$'!$H1309-'FACP$'!$I1309-'FACP$'!$K1309</f>
        <v>500229.68</v>
      </c>
      <c r="M1309" s="162" t="s">
        <v>121</v>
      </c>
      <c r="N1309" s="162" t="s">
        <v>554</v>
      </c>
      <c r="O1309" s="175">
        <v>43879.0</v>
      </c>
      <c r="P1309" s="164">
        <f t="shared" si="13"/>
        <v>43875</v>
      </c>
      <c r="Q1309" s="165">
        <f t="shared" si="2"/>
        <v>0</v>
      </c>
      <c r="R1309" s="167"/>
      <c r="S1309" s="167"/>
      <c r="T1309" s="168">
        <f t="shared" si="3"/>
        <v>500229.68</v>
      </c>
      <c r="U1309" s="168">
        <f t="shared" si="4"/>
        <v>0</v>
      </c>
      <c r="V1309" s="168">
        <f t="shared" si="5"/>
        <v>0</v>
      </c>
      <c r="W1309" s="168">
        <f t="shared" si="6"/>
        <v>0</v>
      </c>
      <c r="X1309" s="168">
        <f t="shared" si="7"/>
        <v>0</v>
      </c>
      <c r="Y1309" s="168">
        <f t="shared" si="8"/>
        <v>0</v>
      </c>
      <c r="Z1309" s="168">
        <f t="shared" si="9"/>
        <v>0</v>
      </c>
    </row>
    <row r="1310" ht="14.25" customHeight="1">
      <c r="A1310" s="157" t="s">
        <v>1292</v>
      </c>
      <c r="B1310" s="158" t="s">
        <v>29</v>
      </c>
      <c r="C1310" s="158" t="s">
        <v>1293</v>
      </c>
      <c r="D1310" s="159">
        <v>43865.0</v>
      </c>
      <c r="E1310" s="157" t="s">
        <v>731</v>
      </c>
      <c r="F1310" s="160">
        <v>255337.0</v>
      </c>
      <c r="G1310" s="160">
        <v>40853.92</v>
      </c>
      <c r="H1310" s="160">
        <f t="shared" si="43"/>
        <v>296190.92</v>
      </c>
      <c r="I1310" s="160"/>
      <c r="J1310" s="161"/>
      <c r="K1310" s="160"/>
      <c r="L1310" s="160">
        <f>+'FACP$'!$H1310-'FACP$'!$I1310-'FACP$'!$K1310</f>
        <v>296190.92</v>
      </c>
      <c r="M1310" s="162" t="s">
        <v>850</v>
      </c>
      <c r="N1310" s="162" t="s">
        <v>554</v>
      </c>
      <c r="O1310" s="175">
        <v>43871.0</v>
      </c>
      <c r="P1310" s="164">
        <f t="shared" si="13"/>
        <v>43875</v>
      </c>
      <c r="Q1310" s="165">
        <f t="shared" si="2"/>
        <v>0</v>
      </c>
      <c r="R1310" s="167"/>
      <c r="S1310" s="167"/>
      <c r="T1310" s="168">
        <f t="shared" si="3"/>
        <v>296190.92</v>
      </c>
      <c r="U1310" s="168">
        <f t="shared" si="4"/>
        <v>0</v>
      </c>
      <c r="V1310" s="168">
        <f t="shared" si="5"/>
        <v>0</v>
      </c>
      <c r="W1310" s="168">
        <f t="shared" si="6"/>
        <v>0</v>
      </c>
      <c r="X1310" s="168">
        <f t="shared" si="7"/>
        <v>0</v>
      </c>
      <c r="Y1310" s="168">
        <f t="shared" si="8"/>
        <v>0</v>
      </c>
      <c r="Z1310" s="168">
        <f t="shared" si="9"/>
        <v>0</v>
      </c>
    </row>
    <row r="1311" ht="14.25" customHeight="1">
      <c r="A1311" s="157" t="s">
        <v>1294</v>
      </c>
      <c r="B1311" s="158" t="s">
        <v>29</v>
      </c>
      <c r="C1311" s="158" t="s">
        <v>1295</v>
      </c>
      <c r="D1311" s="159">
        <v>43865.0</v>
      </c>
      <c r="E1311" s="157" t="s">
        <v>731</v>
      </c>
      <c r="F1311" s="160">
        <v>264143.13</v>
      </c>
      <c r="G1311" s="160">
        <v>42262.9</v>
      </c>
      <c r="H1311" s="160">
        <f t="shared" si="43"/>
        <v>306406.03</v>
      </c>
      <c r="I1311" s="160"/>
      <c r="J1311" s="161"/>
      <c r="K1311" s="160"/>
      <c r="L1311" s="160">
        <f>+'FACP$'!$H1311-'FACP$'!$I1311-'FACP$'!$K1311</f>
        <v>306406.03</v>
      </c>
      <c r="M1311" s="162" t="s">
        <v>850</v>
      </c>
      <c r="N1311" s="162" t="s">
        <v>554</v>
      </c>
      <c r="O1311" s="175">
        <v>43871.0</v>
      </c>
      <c r="P1311" s="164">
        <f t="shared" si="13"/>
        <v>43875</v>
      </c>
      <c r="Q1311" s="165">
        <f t="shared" si="2"/>
        <v>0</v>
      </c>
      <c r="R1311" s="167"/>
      <c r="S1311" s="167"/>
      <c r="T1311" s="168">
        <f t="shared" si="3"/>
        <v>306406.03</v>
      </c>
      <c r="U1311" s="168">
        <f t="shared" si="4"/>
        <v>0</v>
      </c>
      <c r="V1311" s="168">
        <f t="shared" si="5"/>
        <v>0</v>
      </c>
      <c r="W1311" s="168">
        <f t="shared" si="6"/>
        <v>0</v>
      </c>
      <c r="X1311" s="168">
        <f t="shared" si="7"/>
        <v>0</v>
      </c>
      <c r="Y1311" s="168">
        <f t="shared" si="8"/>
        <v>0</v>
      </c>
      <c r="Z1311" s="168">
        <f t="shared" si="9"/>
        <v>0</v>
      </c>
    </row>
    <row r="1312" ht="14.25" customHeight="1">
      <c r="A1312" s="157" t="s">
        <v>1296</v>
      </c>
      <c r="B1312" s="158" t="s">
        <v>16</v>
      </c>
      <c r="C1312" s="158" t="s">
        <v>1256</v>
      </c>
      <c r="D1312" s="159">
        <v>43868.0</v>
      </c>
      <c r="E1312" s="157" t="s">
        <v>731</v>
      </c>
      <c r="F1312" s="160">
        <v>303457.43</v>
      </c>
      <c r="G1312" s="160">
        <v>48553.19</v>
      </c>
      <c r="H1312" s="160">
        <f t="shared" si="43"/>
        <v>352010.62</v>
      </c>
      <c r="I1312" s="160"/>
      <c r="J1312" s="161"/>
      <c r="K1312" s="160"/>
      <c r="L1312" s="160">
        <f>+'FACP$'!$H1312-'FACP$'!$I1312-'FACP$'!$K1312</f>
        <v>352010.62</v>
      </c>
      <c r="M1312" s="162" t="s">
        <v>985</v>
      </c>
      <c r="N1312" s="162" t="s">
        <v>554</v>
      </c>
      <c r="O1312" s="175">
        <v>43875.0</v>
      </c>
      <c r="P1312" s="164">
        <f t="shared" si="13"/>
        <v>43878</v>
      </c>
      <c r="Q1312" s="165">
        <f t="shared" si="2"/>
        <v>0</v>
      </c>
      <c r="R1312" s="167"/>
      <c r="S1312" s="167"/>
      <c r="T1312" s="168">
        <f t="shared" si="3"/>
        <v>352010.62</v>
      </c>
      <c r="U1312" s="168">
        <f t="shared" si="4"/>
        <v>0</v>
      </c>
      <c r="V1312" s="168">
        <f t="shared" si="5"/>
        <v>0</v>
      </c>
      <c r="W1312" s="168">
        <f t="shared" si="6"/>
        <v>0</v>
      </c>
      <c r="X1312" s="168">
        <f t="shared" si="7"/>
        <v>0</v>
      </c>
      <c r="Y1312" s="168">
        <f t="shared" si="8"/>
        <v>0</v>
      </c>
      <c r="Z1312" s="168">
        <f t="shared" si="9"/>
        <v>0</v>
      </c>
    </row>
    <row r="1313" ht="14.25" customHeight="1">
      <c r="A1313" s="157" t="s">
        <v>1297</v>
      </c>
      <c r="B1313" s="158" t="s">
        <v>35</v>
      </c>
      <c r="C1313" s="158" t="s">
        <v>1273</v>
      </c>
      <c r="D1313" s="159">
        <v>43872.0</v>
      </c>
      <c r="E1313" s="157" t="s">
        <v>731</v>
      </c>
      <c r="F1313" s="160">
        <v>374989.3</v>
      </c>
      <c r="G1313" s="160">
        <v>59998.29</v>
      </c>
      <c r="H1313" s="160">
        <f t="shared" si="43"/>
        <v>434987.59</v>
      </c>
      <c r="I1313" s="160"/>
      <c r="J1313" s="161"/>
      <c r="K1313" s="160"/>
      <c r="L1313" s="160">
        <f>+'FACP$'!$H1313-'FACP$'!$I1313-'FACP$'!$K1313</f>
        <v>434987.59</v>
      </c>
      <c r="M1313" s="162" t="s">
        <v>276</v>
      </c>
      <c r="N1313" s="162" t="s">
        <v>554</v>
      </c>
      <c r="O1313" s="175">
        <v>43882.0</v>
      </c>
      <c r="P1313" s="164">
        <f t="shared" si="13"/>
        <v>43882</v>
      </c>
      <c r="Q1313" s="165">
        <f t="shared" si="2"/>
        <v>0</v>
      </c>
      <c r="R1313" s="167"/>
      <c r="S1313" s="220" t="s">
        <v>910</v>
      </c>
      <c r="T1313" s="168">
        <f t="shared" si="3"/>
        <v>434987.59</v>
      </c>
      <c r="U1313" s="168">
        <f t="shared" si="4"/>
        <v>0</v>
      </c>
      <c r="V1313" s="168">
        <f t="shared" si="5"/>
        <v>0</v>
      </c>
      <c r="W1313" s="168">
        <f t="shared" si="6"/>
        <v>0</v>
      </c>
      <c r="X1313" s="168">
        <f t="shared" si="7"/>
        <v>0</v>
      </c>
      <c r="Y1313" s="168">
        <f t="shared" si="8"/>
        <v>0</v>
      </c>
      <c r="Z1313" s="168">
        <f t="shared" si="9"/>
        <v>0</v>
      </c>
    </row>
    <row r="1314" ht="14.25" customHeight="1">
      <c r="A1314" s="157" t="s">
        <v>1298</v>
      </c>
      <c r="B1314" s="158" t="s">
        <v>16</v>
      </c>
      <c r="C1314" s="158" t="s">
        <v>1133</v>
      </c>
      <c r="D1314" s="159">
        <v>43875.0</v>
      </c>
      <c r="E1314" s="157" t="s">
        <v>731</v>
      </c>
      <c r="F1314" s="160">
        <v>668035.48</v>
      </c>
      <c r="G1314" s="160">
        <v>106885.68</v>
      </c>
      <c r="H1314" s="160">
        <f t="shared" si="43"/>
        <v>774921.16</v>
      </c>
      <c r="I1314" s="160"/>
      <c r="J1314" s="161"/>
      <c r="K1314" s="160"/>
      <c r="L1314" s="160">
        <f>+'FACP$'!$H1314-'FACP$'!$I1314-'FACP$'!$K1314</f>
        <v>774921.16</v>
      </c>
      <c r="M1314" s="162" t="s">
        <v>985</v>
      </c>
      <c r="N1314" s="162" t="s">
        <v>127</v>
      </c>
      <c r="O1314" s="175"/>
      <c r="P1314" s="164">
        <f t="shared" si="13"/>
        <v>43885</v>
      </c>
      <c r="Q1314" s="165">
        <f t="shared" si="2"/>
        <v>0</v>
      </c>
      <c r="R1314" s="167" t="s">
        <v>1299</v>
      </c>
      <c r="S1314" s="167"/>
      <c r="T1314" s="168">
        <f t="shared" si="3"/>
        <v>774921.16</v>
      </c>
      <c r="U1314" s="168">
        <f t="shared" si="4"/>
        <v>0</v>
      </c>
      <c r="V1314" s="168">
        <f t="shared" si="5"/>
        <v>0</v>
      </c>
      <c r="W1314" s="168">
        <f t="shared" si="6"/>
        <v>0</v>
      </c>
      <c r="X1314" s="168">
        <f t="shared" si="7"/>
        <v>0</v>
      </c>
      <c r="Y1314" s="168">
        <f t="shared" si="8"/>
        <v>0</v>
      </c>
      <c r="Z1314" s="168">
        <f t="shared" si="9"/>
        <v>0</v>
      </c>
    </row>
    <row r="1315" ht="14.25" customHeight="1">
      <c r="A1315" s="157" t="s">
        <v>1300</v>
      </c>
      <c r="B1315" s="158" t="s">
        <v>16</v>
      </c>
      <c r="C1315" s="158" t="s">
        <v>1301</v>
      </c>
      <c r="D1315" s="159">
        <v>43875.0</v>
      </c>
      <c r="E1315" s="157" t="s">
        <v>731</v>
      </c>
      <c r="F1315" s="160">
        <v>668035.48</v>
      </c>
      <c r="G1315" s="160">
        <v>106885.68</v>
      </c>
      <c r="H1315" s="160">
        <f t="shared" si="43"/>
        <v>774921.16</v>
      </c>
      <c r="I1315" s="160"/>
      <c r="J1315" s="161"/>
      <c r="K1315" s="160"/>
      <c r="L1315" s="160">
        <f>+'FACP$'!$H1315-'FACP$'!$I1315-'FACP$'!$K1315</f>
        <v>774921.16</v>
      </c>
      <c r="M1315" s="162" t="s">
        <v>985</v>
      </c>
      <c r="N1315" s="162" t="s">
        <v>554</v>
      </c>
      <c r="O1315" s="175">
        <v>43888.0</v>
      </c>
      <c r="P1315" s="164">
        <f t="shared" si="13"/>
        <v>43885</v>
      </c>
      <c r="Q1315" s="165">
        <f t="shared" si="2"/>
        <v>0</v>
      </c>
      <c r="R1315" s="167"/>
      <c r="S1315" s="167"/>
      <c r="T1315" s="168">
        <f t="shared" si="3"/>
        <v>774921.16</v>
      </c>
      <c r="U1315" s="168">
        <f t="shared" si="4"/>
        <v>0</v>
      </c>
      <c r="V1315" s="168">
        <f t="shared" si="5"/>
        <v>0</v>
      </c>
      <c r="W1315" s="168">
        <f t="shared" si="6"/>
        <v>0</v>
      </c>
      <c r="X1315" s="168">
        <f t="shared" si="7"/>
        <v>0</v>
      </c>
      <c r="Y1315" s="168">
        <f t="shared" si="8"/>
        <v>0</v>
      </c>
      <c r="Z1315" s="168">
        <f t="shared" si="9"/>
        <v>0</v>
      </c>
    </row>
    <row r="1316" ht="14.25" customHeight="1">
      <c r="A1316" s="157" t="s">
        <v>1302</v>
      </c>
      <c r="B1316" s="158" t="s">
        <v>33</v>
      </c>
      <c r="C1316" s="158" t="s">
        <v>1303</v>
      </c>
      <c r="D1316" s="159">
        <v>43879.0</v>
      </c>
      <c r="E1316" s="157" t="s">
        <v>731</v>
      </c>
      <c r="F1316" s="160">
        <v>523802.88</v>
      </c>
      <c r="G1316" s="160">
        <v>83808.46</v>
      </c>
      <c r="H1316" s="160">
        <f t="shared" si="43"/>
        <v>607611.34</v>
      </c>
      <c r="I1316" s="160"/>
      <c r="J1316" s="161"/>
      <c r="K1316" s="160"/>
      <c r="L1316" s="160">
        <f>+'FACP$'!$H1316-'FACP$'!$I1316-'FACP$'!$K1316</f>
        <v>607611.34</v>
      </c>
      <c r="M1316" s="162" t="s">
        <v>958</v>
      </c>
      <c r="N1316" s="162" t="s">
        <v>554</v>
      </c>
      <c r="O1316" s="175">
        <v>43892.0</v>
      </c>
      <c r="P1316" s="164">
        <f t="shared" si="13"/>
        <v>43889</v>
      </c>
      <c r="Q1316" s="165">
        <f t="shared" si="2"/>
        <v>0</v>
      </c>
      <c r="R1316" s="167"/>
      <c r="S1316" s="167" t="s">
        <v>910</v>
      </c>
      <c r="T1316" s="168">
        <f t="shared" si="3"/>
        <v>607611.34</v>
      </c>
      <c r="U1316" s="168">
        <f t="shared" si="4"/>
        <v>0</v>
      </c>
      <c r="V1316" s="168">
        <f t="shared" si="5"/>
        <v>0</v>
      </c>
      <c r="W1316" s="168">
        <f t="shared" si="6"/>
        <v>0</v>
      </c>
      <c r="X1316" s="168">
        <f t="shared" si="7"/>
        <v>0</v>
      </c>
      <c r="Y1316" s="168">
        <f t="shared" si="8"/>
        <v>0</v>
      </c>
      <c r="Z1316" s="168">
        <f t="shared" si="9"/>
        <v>0</v>
      </c>
    </row>
    <row r="1317" ht="14.25" customHeight="1">
      <c r="A1317" s="157" t="s">
        <v>1304</v>
      </c>
      <c r="B1317" s="158" t="s">
        <v>35</v>
      </c>
      <c r="C1317" s="158" t="s">
        <v>1303</v>
      </c>
      <c r="D1317" s="159">
        <v>43879.0</v>
      </c>
      <c r="E1317" s="157" t="s">
        <v>731</v>
      </c>
      <c r="F1317" s="160">
        <v>302862.14</v>
      </c>
      <c r="G1317" s="160">
        <v>48457.94</v>
      </c>
      <c r="H1317" s="160">
        <f t="shared" si="43"/>
        <v>351320.08</v>
      </c>
      <c r="I1317" s="160"/>
      <c r="J1317" s="161"/>
      <c r="K1317" s="160"/>
      <c r="L1317" s="160">
        <f>+'FACP$'!$H1317-'FACP$'!$I1317-'FACP$'!$K1317</f>
        <v>351320.08</v>
      </c>
      <c r="M1317" s="162" t="s">
        <v>276</v>
      </c>
      <c r="N1317" s="162" t="s">
        <v>554</v>
      </c>
      <c r="O1317" s="175">
        <v>43896.0</v>
      </c>
      <c r="P1317" s="164">
        <f t="shared" si="13"/>
        <v>43889</v>
      </c>
      <c r="Q1317" s="165">
        <f t="shared" si="2"/>
        <v>0</v>
      </c>
      <c r="R1317" s="167"/>
      <c r="S1317" s="167" t="s">
        <v>910</v>
      </c>
      <c r="T1317" s="168">
        <f t="shared" si="3"/>
        <v>351320.08</v>
      </c>
      <c r="U1317" s="168">
        <f t="shared" si="4"/>
        <v>0</v>
      </c>
      <c r="V1317" s="168">
        <f t="shared" si="5"/>
        <v>0</v>
      </c>
      <c r="W1317" s="168">
        <f t="shared" si="6"/>
        <v>0</v>
      </c>
      <c r="X1317" s="168">
        <f t="shared" si="7"/>
        <v>0</v>
      </c>
      <c r="Y1317" s="168">
        <f t="shared" si="8"/>
        <v>0</v>
      </c>
      <c r="Z1317" s="168">
        <f t="shared" si="9"/>
        <v>0</v>
      </c>
    </row>
    <row r="1318" ht="14.25" customHeight="1">
      <c r="A1318" s="157" t="s">
        <v>1305</v>
      </c>
      <c r="B1318" s="158" t="s">
        <v>36</v>
      </c>
      <c r="C1318" s="158" t="s">
        <v>1303</v>
      </c>
      <c r="D1318" s="159">
        <v>43879.0</v>
      </c>
      <c r="E1318" s="157" t="s">
        <v>731</v>
      </c>
      <c r="F1318" s="160">
        <v>42385.98</v>
      </c>
      <c r="G1318" s="160">
        <v>6781.76</v>
      </c>
      <c r="H1318" s="160">
        <f t="shared" si="43"/>
        <v>49167.74</v>
      </c>
      <c r="I1318" s="160"/>
      <c r="J1318" s="161"/>
      <c r="K1318" s="160"/>
      <c r="L1318" s="160">
        <f>+'FACP$'!$H1318-'FACP$'!$I1318-'FACP$'!$K1318</f>
        <v>49167.74</v>
      </c>
      <c r="M1318" s="162" t="s">
        <v>278</v>
      </c>
      <c r="N1318" s="162" t="s">
        <v>554</v>
      </c>
      <c r="O1318" s="175">
        <v>43928.0</v>
      </c>
      <c r="P1318" s="164">
        <f t="shared" si="13"/>
        <v>43889</v>
      </c>
      <c r="Q1318" s="165">
        <f t="shared" si="2"/>
        <v>0</v>
      </c>
      <c r="R1318" s="167"/>
      <c r="S1318" s="220" t="s">
        <v>910</v>
      </c>
      <c r="T1318" s="168">
        <f t="shared" si="3"/>
        <v>49167.74</v>
      </c>
      <c r="U1318" s="168">
        <f t="shared" si="4"/>
        <v>0</v>
      </c>
      <c r="V1318" s="168">
        <f t="shared" si="5"/>
        <v>0</v>
      </c>
      <c r="W1318" s="168">
        <f t="shared" si="6"/>
        <v>0</v>
      </c>
      <c r="X1318" s="168">
        <f t="shared" si="7"/>
        <v>0</v>
      </c>
      <c r="Y1318" s="168">
        <f t="shared" si="8"/>
        <v>0</v>
      </c>
      <c r="Z1318" s="168">
        <f t="shared" si="9"/>
        <v>0</v>
      </c>
    </row>
    <row r="1319" ht="14.25" customHeight="1">
      <c r="A1319" s="157" t="s">
        <v>1306</v>
      </c>
      <c r="B1319" s="158" t="s">
        <v>1127</v>
      </c>
      <c r="C1319" s="158" t="s">
        <v>1303</v>
      </c>
      <c r="D1319" s="159">
        <v>43879.0</v>
      </c>
      <c r="E1319" s="157" t="s">
        <v>731</v>
      </c>
      <c r="F1319" s="160">
        <v>92019.13</v>
      </c>
      <c r="G1319" s="160">
        <v>14723.06</v>
      </c>
      <c r="H1319" s="160">
        <f t="shared" si="43"/>
        <v>106742.19</v>
      </c>
      <c r="I1319" s="160"/>
      <c r="J1319" s="161"/>
      <c r="K1319" s="160"/>
      <c r="L1319" s="160">
        <f>+'FACP$'!$H1319-'FACP$'!$I1319-'FACP$'!$K1319</f>
        <v>106742.19</v>
      </c>
      <c r="M1319" s="162" t="s">
        <v>580</v>
      </c>
      <c r="N1319" s="162" t="s">
        <v>554</v>
      </c>
      <c r="O1319" s="175">
        <v>43888.0</v>
      </c>
      <c r="P1319" s="164">
        <f t="shared" si="13"/>
        <v>43889</v>
      </c>
      <c r="Q1319" s="165">
        <f t="shared" si="2"/>
        <v>0</v>
      </c>
      <c r="R1319" s="167"/>
      <c r="S1319" s="167" t="s">
        <v>910</v>
      </c>
      <c r="T1319" s="168">
        <f t="shared" si="3"/>
        <v>106742.19</v>
      </c>
      <c r="U1319" s="168">
        <f t="shared" si="4"/>
        <v>0</v>
      </c>
      <c r="V1319" s="168">
        <f t="shared" si="5"/>
        <v>0</v>
      </c>
      <c r="W1319" s="168">
        <f t="shared" si="6"/>
        <v>0</v>
      </c>
      <c r="X1319" s="168">
        <f t="shared" si="7"/>
        <v>0</v>
      </c>
      <c r="Y1319" s="168">
        <f t="shared" si="8"/>
        <v>0</v>
      </c>
      <c r="Z1319" s="168">
        <f t="shared" si="9"/>
        <v>0</v>
      </c>
    </row>
    <row r="1320" ht="14.25" customHeight="1">
      <c r="A1320" s="157" t="s">
        <v>1307</v>
      </c>
      <c r="B1320" s="158" t="s">
        <v>43</v>
      </c>
      <c r="C1320" s="158" t="s">
        <v>1303</v>
      </c>
      <c r="D1320" s="159">
        <v>43879.0</v>
      </c>
      <c r="E1320" s="157" t="s">
        <v>731</v>
      </c>
      <c r="F1320" s="160">
        <v>787176.67</v>
      </c>
      <c r="G1320" s="160">
        <v>125948.27</v>
      </c>
      <c r="H1320" s="160">
        <f t="shared" si="43"/>
        <v>913124.94</v>
      </c>
      <c r="I1320" s="160"/>
      <c r="J1320" s="161"/>
      <c r="K1320" s="160"/>
      <c r="L1320" s="160">
        <f>+'FACP$'!$H1320-'FACP$'!$I1320-'FACP$'!$K1320</f>
        <v>913124.94</v>
      </c>
      <c r="M1320" s="162" t="s">
        <v>43</v>
      </c>
      <c r="N1320" s="162" t="s">
        <v>554</v>
      </c>
      <c r="O1320" s="175">
        <v>43889.0</v>
      </c>
      <c r="P1320" s="164">
        <f t="shared" si="13"/>
        <v>43889</v>
      </c>
      <c r="Q1320" s="165">
        <f t="shared" si="2"/>
        <v>0</v>
      </c>
      <c r="R1320" s="167"/>
      <c r="S1320" s="220" t="s">
        <v>910</v>
      </c>
      <c r="T1320" s="168">
        <f t="shared" si="3"/>
        <v>913124.94</v>
      </c>
      <c r="U1320" s="168">
        <f t="shared" si="4"/>
        <v>0</v>
      </c>
      <c r="V1320" s="168">
        <f t="shared" si="5"/>
        <v>0</v>
      </c>
      <c r="W1320" s="168">
        <f t="shared" si="6"/>
        <v>0</v>
      </c>
      <c r="X1320" s="168">
        <f t="shared" si="7"/>
        <v>0</v>
      </c>
      <c r="Y1320" s="168">
        <f t="shared" si="8"/>
        <v>0</v>
      </c>
      <c r="Z1320" s="168">
        <f t="shared" si="9"/>
        <v>0</v>
      </c>
    </row>
    <row r="1321" ht="14.25" customHeight="1">
      <c r="A1321" s="157" t="s">
        <v>1308</v>
      </c>
      <c r="B1321" s="158" t="s">
        <v>30</v>
      </c>
      <c r="C1321" s="158" t="s">
        <v>1303</v>
      </c>
      <c r="D1321" s="159">
        <v>43879.0</v>
      </c>
      <c r="E1321" s="157" t="s">
        <v>731</v>
      </c>
      <c r="F1321" s="160">
        <v>178298.89</v>
      </c>
      <c r="G1321" s="160">
        <v>28527.82</v>
      </c>
      <c r="H1321" s="160">
        <f t="shared" si="43"/>
        <v>206826.71</v>
      </c>
      <c r="I1321" s="160"/>
      <c r="J1321" s="161"/>
      <c r="K1321" s="160"/>
      <c r="L1321" s="160">
        <f>+'FACP$'!$H1321-'FACP$'!$I1321-'FACP$'!$K1321</f>
        <v>206826.71</v>
      </c>
      <c r="M1321" s="162" t="s">
        <v>891</v>
      </c>
      <c r="N1321" s="162" t="s">
        <v>127</v>
      </c>
      <c r="O1321" s="175"/>
      <c r="P1321" s="164">
        <f t="shared" si="13"/>
        <v>43889</v>
      </c>
      <c r="Q1321" s="165">
        <f t="shared" si="2"/>
        <v>0</v>
      </c>
      <c r="R1321" s="220" t="s">
        <v>1309</v>
      </c>
      <c r="S1321" s="167"/>
      <c r="T1321" s="168">
        <f t="shared" si="3"/>
        <v>206826.71</v>
      </c>
      <c r="U1321" s="168">
        <f t="shared" si="4"/>
        <v>0</v>
      </c>
      <c r="V1321" s="168">
        <f t="shared" si="5"/>
        <v>0</v>
      </c>
      <c r="W1321" s="168">
        <f t="shared" si="6"/>
        <v>0</v>
      </c>
      <c r="X1321" s="168">
        <f t="shared" si="7"/>
        <v>0</v>
      </c>
      <c r="Y1321" s="168">
        <f t="shared" si="8"/>
        <v>0</v>
      </c>
      <c r="Z1321" s="168">
        <f t="shared" si="9"/>
        <v>0</v>
      </c>
    </row>
    <row r="1322" ht="14.25" customHeight="1">
      <c r="A1322" s="157" t="s">
        <v>1310</v>
      </c>
      <c r="B1322" s="158" t="s">
        <v>41</v>
      </c>
      <c r="C1322" s="158" t="s">
        <v>1303</v>
      </c>
      <c r="D1322" s="159">
        <v>43885.0</v>
      </c>
      <c r="E1322" s="157" t="s">
        <v>731</v>
      </c>
      <c r="F1322" s="160">
        <v>233741.44</v>
      </c>
      <c r="G1322" s="160">
        <v>37398.63</v>
      </c>
      <c r="H1322" s="160">
        <f t="shared" si="43"/>
        <v>271140.07</v>
      </c>
      <c r="I1322" s="160"/>
      <c r="J1322" s="161"/>
      <c r="K1322" s="160"/>
      <c r="L1322" s="160">
        <f>+'FACP$'!$H1322-'FACP$'!$I1322-'FACP$'!$K1322</f>
        <v>271140.07</v>
      </c>
      <c r="M1322" s="162" t="s">
        <v>121</v>
      </c>
      <c r="N1322" s="162" t="s">
        <v>554</v>
      </c>
      <c r="O1322" s="175">
        <v>43895.0</v>
      </c>
      <c r="P1322" s="164">
        <f t="shared" si="13"/>
        <v>43895</v>
      </c>
      <c r="Q1322" s="165">
        <f t="shared" si="2"/>
        <v>0</v>
      </c>
      <c r="R1322" s="167"/>
      <c r="S1322" s="167"/>
      <c r="T1322" s="168">
        <f t="shared" si="3"/>
        <v>271140.07</v>
      </c>
      <c r="U1322" s="168">
        <f t="shared" si="4"/>
        <v>0</v>
      </c>
      <c r="V1322" s="168">
        <f t="shared" si="5"/>
        <v>0</v>
      </c>
      <c r="W1322" s="168">
        <f t="shared" si="6"/>
        <v>0</v>
      </c>
      <c r="X1322" s="168">
        <f t="shared" si="7"/>
        <v>0</v>
      </c>
      <c r="Y1322" s="168">
        <f t="shared" si="8"/>
        <v>0</v>
      </c>
      <c r="Z1322" s="168">
        <f t="shared" si="9"/>
        <v>0</v>
      </c>
    </row>
    <row r="1323" ht="14.25" customHeight="1">
      <c r="A1323" s="157" t="s">
        <v>1311</v>
      </c>
      <c r="B1323" s="158" t="s">
        <v>37</v>
      </c>
      <c r="C1323" s="158" t="s">
        <v>1303</v>
      </c>
      <c r="D1323" s="159">
        <v>43885.0</v>
      </c>
      <c r="E1323" s="157" t="s">
        <v>731</v>
      </c>
      <c r="F1323" s="160">
        <v>1117584.56</v>
      </c>
      <c r="G1323" s="160">
        <v>178813.53</v>
      </c>
      <c r="H1323" s="160">
        <f t="shared" si="43"/>
        <v>1296398.09</v>
      </c>
      <c r="I1323" s="160"/>
      <c r="J1323" s="161"/>
      <c r="K1323" s="160"/>
      <c r="L1323" s="160">
        <f>+'FACP$'!$H1323-'FACP$'!$I1323-'FACP$'!$K1323</f>
        <v>1296398.09</v>
      </c>
      <c r="M1323" s="162" t="s">
        <v>116</v>
      </c>
      <c r="N1323" s="162" t="s">
        <v>554</v>
      </c>
      <c r="O1323" s="175">
        <v>43900.0</v>
      </c>
      <c r="P1323" s="164">
        <f t="shared" si="13"/>
        <v>43895</v>
      </c>
      <c r="Q1323" s="165">
        <f t="shared" si="2"/>
        <v>0</v>
      </c>
      <c r="R1323" s="167"/>
      <c r="S1323" s="220" t="s">
        <v>910</v>
      </c>
      <c r="T1323" s="168">
        <f t="shared" si="3"/>
        <v>1296398.09</v>
      </c>
      <c r="U1323" s="168">
        <f t="shared" si="4"/>
        <v>0</v>
      </c>
      <c r="V1323" s="168">
        <f t="shared" si="5"/>
        <v>0</v>
      </c>
      <c r="W1323" s="168">
        <f t="shared" si="6"/>
        <v>0</v>
      </c>
      <c r="X1323" s="168">
        <f t="shared" si="7"/>
        <v>0</v>
      </c>
      <c r="Y1323" s="168">
        <f t="shared" si="8"/>
        <v>0</v>
      </c>
      <c r="Z1323" s="168">
        <f t="shared" si="9"/>
        <v>0</v>
      </c>
    </row>
    <row r="1324" ht="14.25" customHeight="1">
      <c r="A1324" s="157" t="s">
        <v>1312</v>
      </c>
      <c r="B1324" s="158" t="s">
        <v>29</v>
      </c>
      <c r="C1324" s="158" t="s">
        <v>1303</v>
      </c>
      <c r="D1324" s="159">
        <v>43885.0</v>
      </c>
      <c r="E1324" s="157" t="s">
        <v>731</v>
      </c>
      <c r="F1324" s="160">
        <v>207471.25</v>
      </c>
      <c r="G1324" s="160">
        <v>33195.4</v>
      </c>
      <c r="H1324" s="160">
        <f t="shared" si="43"/>
        <v>240666.65</v>
      </c>
      <c r="I1324" s="160"/>
      <c r="J1324" s="161"/>
      <c r="K1324" s="160"/>
      <c r="L1324" s="160">
        <f>+'FACP$'!$H1324-'FACP$'!$I1324-'FACP$'!$K1324</f>
        <v>240666.65</v>
      </c>
      <c r="M1324" s="162" t="s">
        <v>130</v>
      </c>
      <c r="N1324" s="162" t="s">
        <v>554</v>
      </c>
      <c r="O1324" s="175">
        <v>43894.0</v>
      </c>
      <c r="P1324" s="164">
        <f t="shared" si="13"/>
        <v>43895</v>
      </c>
      <c r="Q1324" s="165">
        <f t="shared" si="2"/>
        <v>0</v>
      </c>
      <c r="R1324" s="167"/>
      <c r="S1324" s="167"/>
      <c r="T1324" s="168">
        <f t="shared" si="3"/>
        <v>240666.65</v>
      </c>
      <c r="U1324" s="168">
        <f t="shared" si="4"/>
        <v>0</v>
      </c>
      <c r="V1324" s="168">
        <f t="shared" si="5"/>
        <v>0</v>
      </c>
      <c r="W1324" s="168">
        <f t="shared" si="6"/>
        <v>0</v>
      </c>
      <c r="X1324" s="168">
        <f t="shared" si="7"/>
        <v>0</v>
      </c>
      <c r="Y1324" s="168">
        <f t="shared" si="8"/>
        <v>0</v>
      </c>
      <c r="Z1324" s="168">
        <f t="shared" si="9"/>
        <v>0</v>
      </c>
    </row>
    <row r="1325" ht="14.25" customHeight="1">
      <c r="A1325" s="157" t="s">
        <v>1313</v>
      </c>
      <c r="B1325" s="158" t="s">
        <v>29</v>
      </c>
      <c r="C1325" s="158" t="s">
        <v>1314</v>
      </c>
      <c r="D1325" s="159">
        <v>43885.0</v>
      </c>
      <c r="E1325" s="157" t="s">
        <v>731</v>
      </c>
      <c r="F1325" s="160">
        <v>380048.45</v>
      </c>
      <c r="G1325" s="160">
        <v>60807.75</v>
      </c>
      <c r="H1325" s="160">
        <f t="shared" si="43"/>
        <v>440856.2</v>
      </c>
      <c r="I1325" s="160"/>
      <c r="J1325" s="161"/>
      <c r="K1325" s="160"/>
      <c r="L1325" s="160">
        <f>+'FACP$'!$H1325-'FACP$'!$I1325-'FACP$'!$K1325</f>
        <v>440856.2</v>
      </c>
      <c r="M1325" s="162" t="s">
        <v>130</v>
      </c>
      <c r="N1325" s="162" t="s">
        <v>554</v>
      </c>
      <c r="O1325" s="175">
        <v>43920.0</v>
      </c>
      <c r="P1325" s="164">
        <f t="shared" si="13"/>
        <v>43895</v>
      </c>
      <c r="Q1325" s="165">
        <f t="shared" si="2"/>
        <v>0</v>
      </c>
      <c r="R1325" s="167"/>
      <c r="S1325" s="167"/>
      <c r="T1325" s="168">
        <f t="shared" si="3"/>
        <v>440856.2</v>
      </c>
      <c r="U1325" s="168">
        <f t="shared" si="4"/>
        <v>0</v>
      </c>
      <c r="V1325" s="168">
        <f t="shared" si="5"/>
        <v>0</v>
      </c>
      <c r="W1325" s="168">
        <f t="shared" si="6"/>
        <v>0</v>
      </c>
      <c r="X1325" s="168">
        <f t="shared" si="7"/>
        <v>0</v>
      </c>
      <c r="Y1325" s="168">
        <f t="shared" si="8"/>
        <v>0</v>
      </c>
      <c r="Z1325" s="168">
        <f t="shared" si="9"/>
        <v>0</v>
      </c>
    </row>
    <row r="1326" ht="14.25" customHeight="1">
      <c r="A1326" s="157" t="s">
        <v>1315</v>
      </c>
      <c r="B1326" s="158" t="s">
        <v>18</v>
      </c>
      <c r="C1326" s="158" t="s">
        <v>1303</v>
      </c>
      <c r="D1326" s="159">
        <v>43885.0</v>
      </c>
      <c r="E1326" s="157" t="s">
        <v>731</v>
      </c>
      <c r="F1326" s="160">
        <v>95646.27</v>
      </c>
      <c r="G1326" s="160">
        <v>15303.4</v>
      </c>
      <c r="H1326" s="160">
        <f t="shared" si="43"/>
        <v>110949.67</v>
      </c>
      <c r="I1326" s="160"/>
      <c r="J1326" s="161"/>
      <c r="K1326" s="160"/>
      <c r="L1326" s="160">
        <f>+'FACP$'!$H1326-'FACP$'!$I1326-'FACP$'!$K1326</f>
        <v>110949.67</v>
      </c>
      <c r="M1326" s="162" t="s">
        <v>586</v>
      </c>
      <c r="N1326" s="162" t="s">
        <v>554</v>
      </c>
      <c r="O1326" s="175">
        <v>43915.0</v>
      </c>
      <c r="P1326" s="164">
        <f t="shared" si="13"/>
        <v>43895</v>
      </c>
      <c r="Q1326" s="165">
        <f t="shared" si="2"/>
        <v>0</v>
      </c>
      <c r="R1326" s="167"/>
      <c r="S1326" s="167" t="s">
        <v>910</v>
      </c>
      <c r="T1326" s="168">
        <f t="shared" si="3"/>
        <v>110949.67</v>
      </c>
      <c r="U1326" s="168">
        <f t="shared" si="4"/>
        <v>0</v>
      </c>
      <c r="V1326" s="168">
        <f t="shared" si="5"/>
        <v>0</v>
      </c>
      <c r="W1326" s="168">
        <f t="shared" si="6"/>
        <v>0</v>
      </c>
      <c r="X1326" s="168">
        <f t="shared" si="7"/>
        <v>0</v>
      </c>
      <c r="Y1326" s="168">
        <f t="shared" si="8"/>
        <v>0</v>
      </c>
      <c r="Z1326" s="168">
        <f t="shared" si="9"/>
        <v>0</v>
      </c>
    </row>
    <row r="1327" ht="14.25" customHeight="1">
      <c r="A1327" s="157" t="s">
        <v>1316</v>
      </c>
      <c r="B1327" s="158" t="s">
        <v>16</v>
      </c>
      <c r="C1327" s="158" t="s">
        <v>1303</v>
      </c>
      <c r="D1327" s="159">
        <v>43885.0</v>
      </c>
      <c r="E1327" s="157" t="s">
        <v>731</v>
      </c>
      <c r="F1327" s="160">
        <v>202755.08</v>
      </c>
      <c r="G1327" s="160">
        <v>32440.81</v>
      </c>
      <c r="H1327" s="160">
        <f t="shared" si="43"/>
        <v>235195.89</v>
      </c>
      <c r="I1327" s="160"/>
      <c r="J1327" s="161"/>
      <c r="K1327" s="160"/>
      <c r="L1327" s="160">
        <f>+'FACP$'!$H1327-'FACP$'!$I1327-'FACP$'!$K1327</f>
        <v>235195.89</v>
      </c>
      <c r="M1327" s="162" t="s">
        <v>985</v>
      </c>
      <c r="N1327" s="162" t="s">
        <v>554</v>
      </c>
      <c r="O1327" s="175">
        <v>43894.0</v>
      </c>
      <c r="P1327" s="164">
        <f t="shared" si="13"/>
        <v>43895</v>
      </c>
      <c r="Q1327" s="165">
        <f t="shared" si="2"/>
        <v>0</v>
      </c>
      <c r="R1327" s="167"/>
      <c r="S1327" s="167"/>
      <c r="T1327" s="168">
        <f t="shared" si="3"/>
        <v>235195.89</v>
      </c>
      <c r="U1327" s="168">
        <f t="shared" si="4"/>
        <v>0</v>
      </c>
      <c r="V1327" s="168">
        <f t="shared" si="5"/>
        <v>0</v>
      </c>
      <c r="W1327" s="168">
        <f t="shared" si="6"/>
        <v>0</v>
      </c>
      <c r="X1327" s="168">
        <f t="shared" si="7"/>
        <v>0</v>
      </c>
      <c r="Y1327" s="168">
        <f t="shared" si="8"/>
        <v>0</v>
      </c>
      <c r="Z1327" s="168">
        <f t="shared" si="9"/>
        <v>0</v>
      </c>
    </row>
    <row r="1328" ht="14.25" customHeight="1">
      <c r="A1328" s="157" t="s">
        <v>1317</v>
      </c>
      <c r="B1328" s="158" t="s">
        <v>16</v>
      </c>
      <c r="C1328" s="158" t="s">
        <v>1314</v>
      </c>
      <c r="D1328" s="159">
        <v>43885.0</v>
      </c>
      <c r="E1328" s="157" t="s">
        <v>731</v>
      </c>
      <c r="F1328" s="160">
        <v>354546.46</v>
      </c>
      <c r="G1328" s="160">
        <v>56727.43</v>
      </c>
      <c r="H1328" s="160">
        <f t="shared" si="43"/>
        <v>411273.89</v>
      </c>
      <c r="I1328" s="160"/>
      <c r="J1328" s="161"/>
      <c r="K1328" s="160"/>
      <c r="L1328" s="160">
        <f>+'FACP$'!$H1328-'FACP$'!$I1328-'FACP$'!$K1328</f>
        <v>411273.89</v>
      </c>
      <c r="M1328" s="162" t="s">
        <v>985</v>
      </c>
      <c r="N1328" s="162" t="s">
        <v>554</v>
      </c>
      <c r="O1328" s="175">
        <v>43894.0</v>
      </c>
      <c r="P1328" s="164">
        <f t="shared" si="13"/>
        <v>43895</v>
      </c>
      <c r="Q1328" s="165">
        <f t="shared" si="2"/>
        <v>0</v>
      </c>
      <c r="R1328" s="167"/>
      <c r="S1328" s="167"/>
      <c r="T1328" s="168">
        <f t="shared" si="3"/>
        <v>411273.89</v>
      </c>
      <c r="U1328" s="168">
        <f t="shared" si="4"/>
        <v>0</v>
      </c>
      <c r="V1328" s="168">
        <f t="shared" si="5"/>
        <v>0</v>
      </c>
      <c r="W1328" s="168">
        <f t="shared" si="6"/>
        <v>0</v>
      </c>
      <c r="X1328" s="168">
        <f t="shared" si="7"/>
        <v>0</v>
      </c>
      <c r="Y1328" s="168">
        <f t="shared" si="8"/>
        <v>0</v>
      </c>
      <c r="Z1328" s="168">
        <f t="shared" si="9"/>
        <v>0</v>
      </c>
    </row>
    <row r="1329" ht="14.25" customHeight="1">
      <c r="A1329" s="157" t="s">
        <v>1318</v>
      </c>
      <c r="B1329" s="158" t="s">
        <v>37</v>
      </c>
      <c r="C1329" s="158" t="s">
        <v>1133</v>
      </c>
      <c r="D1329" s="159">
        <v>43886.0</v>
      </c>
      <c r="E1329" s="157" t="s">
        <v>731</v>
      </c>
      <c r="F1329" s="160">
        <v>4577848.32</v>
      </c>
      <c r="G1329" s="160">
        <v>732455.73</v>
      </c>
      <c r="H1329" s="160">
        <f t="shared" si="43"/>
        <v>5310304.05</v>
      </c>
      <c r="I1329" s="160"/>
      <c r="J1329" s="161"/>
      <c r="K1329" s="160"/>
      <c r="L1329" s="160">
        <f>+'FACP$'!$H1329-'FACP$'!$I1329-'FACP$'!$K1329</f>
        <v>5310304.05</v>
      </c>
      <c r="M1329" s="162" t="s">
        <v>116</v>
      </c>
      <c r="N1329" s="162" t="s">
        <v>127</v>
      </c>
      <c r="O1329" s="175"/>
      <c r="P1329" s="164">
        <f t="shared" si="13"/>
        <v>43896</v>
      </c>
      <c r="Q1329" s="165">
        <f t="shared" si="2"/>
        <v>0</v>
      </c>
      <c r="R1329" s="167" t="s">
        <v>1319</v>
      </c>
      <c r="S1329" s="167"/>
      <c r="T1329" s="168">
        <f t="shared" si="3"/>
        <v>5310304.05</v>
      </c>
      <c r="U1329" s="168">
        <f t="shared" si="4"/>
        <v>0</v>
      </c>
      <c r="V1329" s="168">
        <f t="shared" si="5"/>
        <v>0</v>
      </c>
      <c r="W1329" s="168">
        <f t="shared" si="6"/>
        <v>0</v>
      </c>
      <c r="X1329" s="168">
        <f t="shared" si="7"/>
        <v>0</v>
      </c>
      <c r="Y1329" s="168">
        <f t="shared" si="8"/>
        <v>0</v>
      </c>
      <c r="Z1329" s="168">
        <f t="shared" si="9"/>
        <v>0</v>
      </c>
    </row>
    <row r="1330" ht="14.25" customHeight="1">
      <c r="A1330" s="157" t="s">
        <v>1320</v>
      </c>
      <c r="B1330" s="158" t="s">
        <v>29</v>
      </c>
      <c r="C1330" s="158" t="s">
        <v>1321</v>
      </c>
      <c r="D1330" s="159">
        <v>43887.0</v>
      </c>
      <c r="E1330" s="157" t="s">
        <v>731</v>
      </c>
      <c r="F1330" s="160">
        <v>198186.06</v>
      </c>
      <c r="G1330" s="160">
        <v>31709.77</v>
      </c>
      <c r="H1330" s="160">
        <f t="shared" si="43"/>
        <v>229895.83</v>
      </c>
      <c r="I1330" s="160"/>
      <c r="J1330" s="161"/>
      <c r="K1330" s="160"/>
      <c r="L1330" s="160">
        <f>+'FACP$'!$H1330-'FACP$'!$I1330-'FACP$'!$K1330</f>
        <v>229895.83</v>
      </c>
      <c r="M1330" s="162" t="s">
        <v>850</v>
      </c>
      <c r="N1330" s="162" t="s">
        <v>127</v>
      </c>
      <c r="O1330" s="175"/>
      <c r="P1330" s="164">
        <f t="shared" si="13"/>
        <v>43897</v>
      </c>
      <c r="Q1330" s="165">
        <f t="shared" si="2"/>
        <v>0</v>
      </c>
      <c r="R1330" s="167" t="s">
        <v>1322</v>
      </c>
      <c r="S1330" s="167"/>
      <c r="T1330" s="168">
        <f t="shared" si="3"/>
        <v>229895.83</v>
      </c>
      <c r="U1330" s="168">
        <f t="shared" si="4"/>
        <v>0</v>
      </c>
      <c r="V1330" s="168">
        <f t="shared" si="5"/>
        <v>0</v>
      </c>
      <c r="W1330" s="168">
        <f t="shared" si="6"/>
        <v>0</v>
      </c>
      <c r="X1330" s="168">
        <f t="shared" si="7"/>
        <v>0</v>
      </c>
      <c r="Y1330" s="168">
        <f t="shared" si="8"/>
        <v>0</v>
      </c>
      <c r="Z1330" s="168">
        <f t="shared" si="9"/>
        <v>0</v>
      </c>
    </row>
    <row r="1331" ht="14.25" customHeight="1">
      <c r="A1331" s="157" t="s">
        <v>1323</v>
      </c>
      <c r="B1331" s="158" t="s">
        <v>29</v>
      </c>
      <c r="C1331" s="158" t="s">
        <v>1324</v>
      </c>
      <c r="D1331" s="159">
        <v>43887.0</v>
      </c>
      <c r="E1331" s="157" t="s">
        <v>731</v>
      </c>
      <c r="F1331" s="160">
        <v>188228.55</v>
      </c>
      <c r="G1331" s="160">
        <v>30116.57</v>
      </c>
      <c r="H1331" s="160">
        <f t="shared" si="43"/>
        <v>218345.12</v>
      </c>
      <c r="I1331" s="160"/>
      <c r="J1331" s="161"/>
      <c r="K1331" s="160"/>
      <c r="L1331" s="160">
        <f>+'FACP$'!$H1331-'FACP$'!$I1331-'FACP$'!$K1331</f>
        <v>218345.12</v>
      </c>
      <c r="M1331" s="162" t="s">
        <v>1087</v>
      </c>
      <c r="N1331" s="162" t="s">
        <v>127</v>
      </c>
      <c r="O1331" s="175"/>
      <c r="P1331" s="164">
        <f t="shared" si="13"/>
        <v>43897</v>
      </c>
      <c r="Q1331" s="165">
        <f t="shared" si="2"/>
        <v>0</v>
      </c>
      <c r="R1331" s="167" t="s">
        <v>1325</v>
      </c>
      <c r="S1331" s="167"/>
      <c r="T1331" s="168">
        <f t="shared" si="3"/>
        <v>218345.12</v>
      </c>
      <c r="U1331" s="168">
        <f t="shared" si="4"/>
        <v>0</v>
      </c>
      <c r="V1331" s="168">
        <f t="shared" si="5"/>
        <v>0</v>
      </c>
      <c r="W1331" s="168">
        <f t="shared" si="6"/>
        <v>0</v>
      </c>
      <c r="X1331" s="168">
        <f t="shared" si="7"/>
        <v>0</v>
      </c>
      <c r="Y1331" s="168">
        <f t="shared" si="8"/>
        <v>0</v>
      </c>
      <c r="Z1331" s="168">
        <f t="shared" si="9"/>
        <v>0</v>
      </c>
    </row>
    <row r="1332" ht="14.25" customHeight="1">
      <c r="A1332" s="157" t="s">
        <v>1326</v>
      </c>
      <c r="B1332" s="158" t="s">
        <v>43</v>
      </c>
      <c r="C1332" s="158" t="s">
        <v>1327</v>
      </c>
      <c r="D1332" s="159">
        <v>43865.0</v>
      </c>
      <c r="E1332" s="157" t="s">
        <v>731</v>
      </c>
      <c r="F1332" s="160">
        <v>583965.13</v>
      </c>
      <c r="G1332" s="160">
        <v>93434.42</v>
      </c>
      <c r="H1332" s="160">
        <f t="shared" si="43"/>
        <v>677399.55</v>
      </c>
      <c r="I1332" s="160"/>
      <c r="J1332" s="161"/>
      <c r="K1332" s="160"/>
      <c r="L1332" s="160">
        <f>+'FACP$'!$H1332-'FACP$'!$I1332-'FACP$'!$K1332</f>
        <v>677399.55</v>
      </c>
      <c r="M1332" s="162" t="s">
        <v>43</v>
      </c>
      <c r="N1332" s="162" t="s">
        <v>554</v>
      </c>
      <c r="O1332" s="175">
        <v>43903.0</v>
      </c>
      <c r="P1332" s="164">
        <f t="shared" si="13"/>
        <v>43875</v>
      </c>
      <c r="Q1332" s="165">
        <f t="shared" si="2"/>
        <v>0</v>
      </c>
      <c r="R1332" s="167"/>
      <c r="S1332" s="167" t="s">
        <v>910</v>
      </c>
      <c r="T1332" s="168">
        <f t="shared" si="3"/>
        <v>677399.55</v>
      </c>
      <c r="U1332" s="168">
        <f t="shared" si="4"/>
        <v>0</v>
      </c>
      <c r="V1332" s="168">
        <f t="shared" si="5"/>
        <v>0</v>
      </c>
      <c r="W1332" s="168">
        <f t="shared" si="6"/>
        <v>0</v>
      </c>
      <c r="X1332" s="168">
        <f t="shared" si="7"/>
        <v>0</v>
      </c>
      <c r="Y1332" s="168">
        <f t="shared" si="8"/>
        <v>0</v>
      </c>
      <c r="Z1332" s="168">
        <f t="shared" si="9"/>
        <v>0</v>
      </c>
    </row>
    <row r="1333" ht="14.25" customHeight="1">
      <c r="A1333" s="157" t="s">
        <v>1328</v>
      </c>
      <c r="B1333" s="158" t="s">
        <v>30</v>
      </c>
      <c r="C1333" s="158" t="s">
        <v>1327</v>
      </c>
      <c r="D1333" s="159">
        <v>43895.0</v>
      </c>
      <c r="E1333" s="157" t="s">
        <v>731</v>
      </c>
      <c r="F1333" s="160">
        <v>186813.34</v>
      </c>
      <c r="G1333" s="160">
        <v>29890.13</v>
      </c>
      <c r="H1333" s="160">
        <f t="shared" si="43"/>
        <v>216703.47</v>
      </c>
      <c r="I1333" s="160"/>
      <c r="J1333" s="161"/>
      <c r="K1333" s="160"/>
      <c r="L1333" s="160">
        <f>+'FACP$'!$H1333-'FACP$'!$I1333-'FACP$'!$K1333</f>
        <v>216703.47</v>
      </c>
      <c r="M1333" s="162" t="s">
        <v>891</v>
      </c>
      <c r="N1333" s="162" t="s">
        <v>127</v>
      </c>
      <c r="O1333" s="175"/>
      <c r="P1333" s="164">
        <f t="shared" si="13"/>
        <v>43905</v>
      </c>
      <c r="Q1333" s="165">
        <f t="shared" si="2"/>
        <v>0</v>
      </c>
      <c r="R1333" s="220" t="s">
        <v>1309</v>
      </c>
      <c r="S1333" s="167"/>
      <c r="T1333" s="168">
        <f t="shared" si="3"/>
        <v>216703.47</v>
      </c>
      <c r="U1333" s="168">
        <f t="shared" si="4"/>
        <v>0</v>
      </c>
      <c r="V1333" s="168">
        <f t="shared" si="5"/>
        <v>0</v>
      </c>
      <c r="W1333" s="168">
        <f t="shared" si="6"/>
        <v>0</v>
      </c>
      <c r="X1333" s="168">
        <f t="shared" si="7"/>
        <v>0</v>
      </c>
      <c r="Y1333" s="168">
        <f t="shared" si="8"/>
        <v>0</v>
      </c>
      <c r="Z1333" s="168">
        <f t="shared" si="9"/>
        <v>0</v>
      </c>
    </row>
    <row r="1334" ht="14.25" customHeight="1">
      <c r="A1334" s="157" t="s">
        <v>1329</v>
      </c>
      <c r="B1334" s="158" t="s">
        <v>41</v>
      </c>
      <c r="C1334" s="158" t="s">
        <v>1327</v>
      </c>
      <c r="D1334" s="159">
        <v>43895.0</v>
      </c>
      <c r="E1334" s="157" t="s">
        <v>731</v>
      </c>
      <c r="F1334" s="160">
        <v>126037.8</v>
      </c>
      <c r="G1334" s="160">
        <v>20166.05</v>
      </c>
      <c r="H1334" s="160">
        <f t="shared" si="43"/>
        <v>146203.85</v>
      </c>
      <c r="I1334" s="160"/>
      <c r="J1334" s="161"/>
      <c r="K1334" s="160"/>
      <c r="L1334" s="160">
        <f>+'FACP$'!$H1334-'FACP$'!$I1334-'FACP$'!$K1334</f>
        <v>146203.85</v>
      </c>
      <c r="M1334" s="162" t="s">
        <v>121</v>
      </c>
      <c r="N1334" s="162" t="s">
        <v>554</v>
      </c>
      <c r="O1334" s="175">
        <v>43913.0</v>
      </c>
      <c r="P1334" s="164">
        <f t="shared" si="13"/>
        <v>43905</v>
      </c>
      <c r="Q1334" s="165">
        <f t="shared" si="2"/>
        <v>0</v>
      </c>
      <c r="R1334" s="167"/>
      <c r="S1334" s="167"/>
      <c r="T1334" s="168">
        <f t="shared" si="3"/>
        <v>146203.85</v>
      </c>
      <c r="U1334" s="168">
        <f t="shared" si="4"/>
        <v>0</v>
      </c>
      <c r="V1334" s="168">
        <f t="shared" si="5"/>
        <v>0</v>
      </c>
      <c r="W1334" s="168">
        <f t="shared" si="6"/>
        <v>0</v>
      </c>
      <c r="X1334" s="168">
        <f t="shared" si="7"/>
        <v>0</v>
      </c>
      <c r="Y1334" s="168">
        <f t="shared" si="8"/>
        <v>0</v>
      </c>
      <c r="Z1334" s="168">
        <f t="shared" si="9"/>
        <v>0</v>
      </c>
    </row>
    <row r="1335" ht="14.25" customHeight="1">
      <c r="A1335" s="157" t="s">
        <v>1330</v>
      </c>
      <c r="B1335" s="158" t="s">
        <v>33</v>
      </c>
      <c r="C1335" s="158" t="s">
        <v>1327</v>
      </c>
      <c r="D1335" s="159">
        <v>43895.0</v>
      </c>
      <c r="E1335" s="157" t="s">
        <v>731</v>
      </c>
      <c r="F1335" s="160">
        <v>531388.44</v>
      </c>
      <c r="G1335" s="160">
        <v>85022.15</v>
      </c>
      <c r="H1335" s="160">
        <f t="shared" si="43"/>
        <v>616410.59</v>
      </c>
      <c r="I1335" s="160"/>
      <c r="J1335" s="161"/>
      <c r="K1335" s="160"/>
      <c r="L1335" s="160">
        <f>+'FACP$'!$H1335-'FACP$'!$I1335-'FACP$'!$K1335</f>
        <v>616410.59</v>
      </c>
      <c r="M1335" s="162" t="s">
        <v>958</v>
      </c>
      <c r="N1335" s="162" t="s">
        <v>554</v>
      </c>
      <c r="O1335" s="175">
        <v>43907.0</v>
      </c>
      <c r="P1335" s="164">
        <f t="shared" si="13"/>
        <v>43905</v>
      </c>
      <c r="Q1335" s="165">
        <f t="shared" si="2"/>
        <v>0</v>
      </c>
      <c r="R1335" s="167"/>
      <c r="S1335" s="167" t="s">
        <v>910</v>
      </c>
      <c r="T1335" s="168">
        <f t="shared" si="3"/>
        <v>616410.59</v>
      </c>
      <c r="U1335" s="168">
        <f t="shared" si="4"/>
        <v>0</v>
      </c>
      <c r="V1335" s="168">
        <f t="shared" si="5"/>
        <v>0</v>
      </c>
      <c r="W1335" s="168">
        <f t="shared" si="6"/>
        <v>0</v>
      </c>
      <c r="X1335" s="168">
        <f t="shared" si="7"/>
        <v>0</v>
      </c>
      <c r="Y1335" s="168">
        <f t="shared" si="8"/>
        <v>0</v>
      </c>
      <c r="Z1335" s="168">
        <f t="shared" si="9"/>
        <v>0</v>
      </c>
    </row>
    <row r="1336" ht="14.25" customHeight="1">
      <c r="A1336" s="157" t="s">
        <v>1331</v>
      </c>
      <c r="B1336" s="158" t="s">
        <v>35</v>
      </c>
      <c r="C1336" s="158" t="s">
        <v>1327</v>
      </c>
      <c r="D1336" s="159">
        <v>43895.0</v>
      </c>
      <c r="E1336" s="157" t="s">
        <v>731</v>
      </c>
      <c r="F1336" s="160">
        <v>300023.99</v>
      </c>
      <c r="G1336" s="160">
        <v>48003.84</v>
      </c>
      <c r="H1336" s="160">
        <f t="shared" si="43"/>
        <v>348027.83</v>
      </c>
      <c r="I1336" s="160"/>
      <c r="J1336" s="161"/>
      <c r="K1336" s="160"/>
      <c r="L1336" s="160">
        <f>+'FACP$'!$H1336-'FACP$'!$I1336-'FACP$'!$K1336</f>
        <v>348027.83</v>
      </c>
      <c r="M1336" s="162" t="s">
        <v>276</v>
      </c>
      <c r="N1336" s="162" t="s">
        <v>554</v>
      </c>
      <c r="O1336" s="175">
        <v>43910.0</v>
      </c>
      <c r="P1336" s="164">
        <f t="shared" si="13"/>
        <v>43905</v>
      </c>
      <c r="Q1336" s="165">
        <f t="shared" si="2"/>
        <v>0</v>
      </c>
      <c r="R1336" s="167"/>
      <c r="S1336" s="167" t="s">
        <v>910</v>
      </c>
      <c r="T1336" s="168">
        <f t="shared" si="3"/>
        <v>348027.83</v>
      </c>
      <c r="U1336" s="168">
        <f t="shared" si="4"/>
        <v>0</v>
      </c>
      <c r="V1336" s="168">
        <f t="shared" si="5"/>
        <v>0</v>
      </c>
      <c r="W1336" s="168">
        <f t="shared" si="6"/>
        <v>0</v>
      </c>
      <c r="X1336" s="168">
        <f t="shared" si="7"/>
        <v>0</v>
      </c>
      <c r="Y1336" s="168">
        <f t="shared" si="8"/>
        <v>0</v>
      </c>
      <c r="Z1336" s="168">
        <f t="shared" si="9"/>
        <v>0</v>
      </c>
    </row>
    <row r="1337" ht="14.25" customHeight="1">
      <c r="A1337" s="157" t="s">
        <v>1332</v>
      </c>
      <c r="B1337" s="158" t="s">
        <v>36</v>
      </c>
      <c r="C1337" s="158" t="s">
        <v>1327</v>
      </c>
      <c r="D1337" s="159">
        <v>43895.0</v>
      </c>
      <c r="E1337" s="157" t="s">
        <v>731</v>
      </c>
      <c r="F1337" s="160">
        <v>56425.92</v>
      </c>
      <c r="G1337" s="160">
        <v>9028.15</v>
      </c>
      <c r="H1337" s="160">
        <f t="shared" si="43"/>
        <v>65454.07</v>
      </c>
      <c r="I1337" s="160"/>
      <c r="J1337" s="161"/>
      <c r="K1337" s="160"/>
      <c r="L1337" s="160">
        <f>+'FACP$'!$H1337-'FACP$'!$I1337-'FACP$'!$K1337</f>
        <v>65454.07</v>
      </c>
      <c r="M1337" s="162" t="s">
        <v>278</v>
      </c>
      <c r="N1337" s="162" t="s">
        <v>554</v>
      </c>
      <c r="O1337" s="175">
        <v>43938.0</v>
      </c>
      <c r="P1337" s="164">
        <f t="shared" si="13"/>
        <v>43905</v>
      </c>
      <c r="Q1337" s="165">
        <f t="shared" si="2"/>
        <v>0</v>
      </c>
      <c r="R1337" s="167" t="s">
        <v>1333</v>
      </c>
      <c r="S1337" s="220" t="s">
        <v>910</v>
      </c>
      <c r="T1337" s="168">
        <f t="shared" si="3"/>
        <v>65454.07</v>
      </c>
      <c r="U1337" s="168">
        <f t="shared" si="4"/>
        <v>0</v>
      </c>
      <c r="V1337" s="168">
        <f t="shared" si="5"/>
        <v>0</v>
      </c>
      <c r="W1337" s="168">
        <f t="shared" si="6"/>
        <v>0</v>
      </c>
      <c r="X1337" s="168">
        <f t="shared" si="7"/>
        <v>0</v>
      </c>
      <c r="Y1337" s="168">
        <f t="shared" si="8"/>
        <v>0</v>
      </c>
      <c r="Z1337" s="168">
        <f t="shared" si="9"/>
        <v>0</v>
      </c>
    </row>
    <row r="1338" ht="14.25" customHeight="1">
      <c r="A1338" s="157" t="s">
        <v>1334</v>
      </c>
      <c r="B1338" s="158" t="s">
        <v>1127</v>
      </c>
      <c r="C1338" s="158" t="s">
        <v>1327</v>
      </c>
      <c r="D1338" s="159">
        <v>43895.0</v>
      </c>
      <c r="E1338" s="157" t="s">
        <v>731</v>
      </c>
      <c r="F1338" s="160">
        <v>75747.07</v>
      </c>
      <c r="G1338" s="160">
        <v>12119.53</v>
      </c>
      <c r="H1338" s="160">
        <f t="shared" si="43"/>
        <v>87866.6</v>
      </c>
      <c r="I1338" s="160"/>
      <c r="J1338" s="161"/>
      <c r="K1338" s="160"/>
      <c r="L1338" s="160">
        <f>+'FACP$'!$H1338-'FACP$'!$I1338-'FACP$'!$K1338</f>
        <v>87866.6</v>
      </c>
      <c r="M1338" s="162" t="s">
        <v>580</v>
      </c>
      <c r="N1338" s="162" t="s">
        <v>554</v>
      </c>
      <c r="O1338" s="175">
        <v>43909.0</v>
      </c>
      <c r="P1338" s="164">
        <f t="shared" si="13"/>
        <v>43905</v>
      </c>
      <c r="Q1338" s="165">
        <f t="shared" si="2"/>
        <v>0</v>
      </c>
      <c r="R1338" s="167" t="s">
        <v>1335</v>
      </c>
      <c r="S1338" s="220" t="s">
        <v>910</v>
      </c>
      <c r="T1338" s="168">
        <f t="shared" si="3"/>
        <v>87866.6</v>
      </c>
      <c r="U1338" s="168">
        <f t="shared" si="4"/>
        <v>0</v>
      </c>
      <c r="V1338" s="168">
        <f t="shared" si="5"/>
        <v>0</v>
      </c>
      <c r="W1338" s="168">
        <f t="shared" si="6"/>
        <v>0</v>
      </c>
      <c r="X1338" s="168">
        <f t="shared" si="7"/>
        <v>0</v>
      </c>
      <c r="Y1338" s="168">
        <f t="shared" si="8"/>
        <v>0</v>
      </c>
      <c r="Z1338" s="168">
        <f t="shared" si="9"/>
        <v>0</v>
      </c>
    </row>
    <row r="1339" ht="14.25" customHeight="1">
      <c r="A1339" s="157" t="s">
        <v>1336</v>
      </c>
      <c r="B1339" s="158" t="s">
        <v>37</v>
      </c>
      <c r="C1339" s="158" t="s">
        <v>1133</v>
      </c>
      <c r="D1339" s="159">
        <v>43900.0</v>
      </c>
      <c r="E1339" s="157" t="s">
        <v>731</v>
      </c>
      <c r="F1339" s="160">
        <v>4577848.32</v>
      </c>
      <c r="G1339" s="160">
        <v>732455.73</v>
      </c>
      <c r="H1339" s="160">
        <f t="shared" si="43"/>
        <v>5310304.05</v>
      </c>
      <c r="I1339" s="160"/>
      <c r="J1339" s="161"/>
      <c r="K1339" s="160"/>
      <c r="L1339" s="160">
        <f>+'FACP$'!$H1339-'FACP$'!$I1339-'FACP$'!$K1339</f>
        <v>5310304.05</v>
      </c>
      <c r="M1339" s="162" t="s">
        <v>116</v>
      </c>
      <c r="N1339" s="162" t="s">
        <v>127</v>
      </c>
      <c r="O1339" s="175"/>
      <c r="P1339" s="164">
        <f t="shared" si="13"/>
        <v>43910</v>
      </c>
      <c r="Q1339" s="165">
        <f t="shared" si="2"/>
        <v>0</v>
      </c>
      <c r="R1339" s="167" t="s">
        <v>1337</v>
      </c>
      <c r="S1339" s="167"/>
      <c r="T1339" s="168">
        <f t="shared" si="3"/>
        <v>5310304.05</v>
      </c>
      <c r="U1339" s="168">
        <f t="shared" si="4"/>
        <v>0</v>
      </c>
      <c r="V1339" s="168">
        <f t="shared" si="5"/>
        <v>0</v>
      </c>
      <c r="W1339" s="168">
        <f t="shared" si="6"/>
        <v>0</v>
      </c>
      <c r="X1339" s="168">
        <f t="shared" si="7"/>
        <v>0</v>
      </c>
      <c r="Y1339" s="168">
        <f t="shared" si="8"/>
        <v>0</v>
      </c>
      <c r="Z1339" s="168">
        <f t="shared" si="9"/>
        <v>0</v>
      </c>
    </row>
    <row r="1340" ht="14.25" customHeight="1">
      <c r="A1340" s="157" t="s">
        <v>1338</v>
      </c>
      <c r="B1340" s="158" t="s">
        <v>27</v>
      </c>
      <c r="C1340" s="158" t="s">
        <v>1303</v>
      </c>
      <c r="D1340" s="159">
        <v>43902.0</v>
      </c>
      <c r="E1340" s="157" t="s">
        <v>731</v>
      </c>
      <c r="F1340" s="160">
        <v>349130.76</v>
      </c>
      <c r="G1340" s="160">
        <v>55860.92</v>
      </c>
      <c r="H1340" s="160">
        <f t="shared" si="43"/>
        <v>404991.68</v>
      </c>
      <c r="I1340" s="160"/>
      <c r="J1340" s="161"/>
      <c r="K1340" s="160"/>
      <c r="L1340" s="160">
        <f>+'FACP$'!$H1340-'FACP$'!$I1340-'FACP$'!$K1340</f>
        <v>404991.68</v>
      </c>
      <c r="M1340" s="162" t="s">
        <v>969</v>
      </c>
      <c r="N1340" s="162" t="s">
        <v>554</v>
      </c>
      <c r="O1340" s="175">
        <v>43929.0</v>
      </c>
      <c r="P1340" s="164">
        <f t="shared" si="13"/>
        <v>43912</v>
      </c>
      <c r="Q1340" s="165">
        <f t="shared" si="2"/>
        <v>0</v>
      </c>
      <c r="R1340" s="167"/>
      <c r="S1340" s="167" t="s">
        <v>910</v>
      </c>
      <c r="T1340" s="168">
        <f t="shared" si="3"/>
        <v>404991.68</v>
      </c>
      <c r="U1340" s="168">
        <f t="shared" si="4"/>
        <v>0</v>
      </c>
      <c r="V1340" s="168">
        <f t="shared" si="5"/>
        <v>0</v>
      </c>
      <c r="W1340" s="168">
        <f t="shared" si="6"/>
        <v>0</v>
      </c>
      <c r="X1340" s="168">
        <f t="shared" si="7"/>
        <v>0</v>
      </c>
      <c r="Y1340" s="168">
        <f t="shared" si="8"/>
        <v>0</v>
      </c>
      <c r="Z1340" s="168">
        <f t="shared" si="9"/>
        <v>0</v>
      </c>
    </row>
    <row r="1341" ht="14.25" customHeight="1">
      <c r="A1341" s="157" t="s">
        <v>1339</v>
      </c>
      <c r="B1341" s="158" t="s">
        <v>27</v>
      </c>
      <c r="C1341" s="158" t="s">
        <v>1314</v>
      </c>
      <c r="D1341" s="159">
        <v>43902.0</v>
      </c>
      <c r="E1341" s="157" t="s">
        <v>731</v>
      </c>
      <c r="F1341" s="160">
        <v>280802.08</v>
      </c>
      <c r="G1341" s="160">
        <v>44928.33</v>
      </c>
      <c r="H1341" s="160">
        <f t="shared" si="43"/>
        <v>325730.41</v>
      </c>
      <c r="I1341" s="160"/>
      <c r="J1341" s="161"/>
      <c r="K1341" s="160"/>
      <c r="L1341" s="160">
        <f>+'FACP$'!$H1341-'FACP$'!$I1341-'FACP$'!$K1341</f>
        <v>325730.41</v>
      </c>
      <c r="M1341" s="162" t="s">
        <v>969</v>
      </c>
      <c r="N1341" s="162" t="s">
        <v>554</v>
      </c>
      <c r="O1341" s="175">
        <v>43929.0</v>
      </c>
      <c r="P1341" s="164">
        <f t="shared" si="13"/>
        <v>43912</v>
      </c>
      <c r="Q1341" s="165">
        <f t="shared" si="2"/>
        <v>0</v>
      </c>
      <c r="R1341" s="167"/>
      <c r="S1341" s="167" t="s">
        <v>910</v>
      </c>
      <c r="T1341" s="168">
        <f t="shared" si="3"/>
        <v>325730.41</v>
      </c>
      <c r="U1341" s="168">
        <f t="shared" si="4"/>
        <v>0</v>
      </c>
      <c r="V1341" s="168">
        <f t="shared" si="5"/>
        <v>0</v>
      </c>
      <c r="W1341" s="168">
        <f t="shared" si="6"/>
        <v>0</v>
      </c>
      <c r="X1341" s="168">
        <f t="shared" si="7"/>
        <v>0</v>
      </c>
      <c r="Y1341" s="168">
        <f t="shared" si="8"/>
        <v>0</v>
      </c>
      <c r="Z1341" s="168">
        <f t="shared" si="9"/>
        <v>0</v>
      </c>
    </row>
    <row r="1342" ht="14.25" customHeight="1">
      <c r="A1342" s="157" t="s">
        <v>1340</v>
      </c>
      <c r="B1342" s="158" t="s">
        <v>27</v>
      </c>
      <c r="C1342" s="158" t="s">
        <v>1327</v>
      </c>
      <c r="D1342" s="159">
        <v>43902.0</v>
      </c>
      <c r="E1342" s="157" t="s">
        <v>731</v>
      </c>
      <c r="F1342" s="160">
        <v>436262.76</v>
      </c>
      <c r="G1342" s="160">
        <v>69802.04</v>
      </c>
      <c r="H1342" s="160">
        <f t="shared" si="43"/>
        <v>506064.8</v>
      </c>
      <c r="I1342" s="160"/>
      <c r="J1342" s="161"/>
      <c r="K1342" s="160"/>
      <c r="L1342" s="160">
        <f>+'FACP$'!$H1342-'FACP$'!$I1342-'FACP$'!$K1342</f>
        <v>506064.8</v>
      </c>
      <c r="M1342" s="162" t="s">
        <v>969</v>
      </c>
      <c r="N1342" s="162" t="s">
        <v>554</v>
      </c>
      <c r="O1342" s="175">
        <v>43944.0</v>
      </c>
      <c r="P1342" s="164">
        <f t="shared" si="13"/>
        <v>43912</v>
      </c>
      <c r="Q1342" s="165">
        <f t="shared" si="2"/>
        <v>0</v>
      </c>
      <c r="R1342" s="167"/>
      <c r="S1342" s="167" t="s">
        <v>910</v>
      </c>
      <c r="T1342" s="168">
        <f t="shared" si="3"/>
        <v>506064.8</v>
      </c>
      <c r="U1342" s="168">
        <f t="shared" si="4"/>
        <v>0</v>
      </c>
      <c r="V1342" s="168">
        <f t="shared" si="5"/>
        <v>0</v>
      </c>
      <c r="W1342" s="168">
        <f t="shared" si="6"/>
        <v>0</v>
      </c>
      <c r="X1342" s="168">
        <f t="shared" si="7"/>
        <v>0</v>
      </c>
      <c r="Y1342" s="168">
        <f t="shared" si="8"/>
        <v>0</v>
      </c>
      <c r="Z1342" s="168">
        <f t="shared" si="9"/>
        <v>0</v>
      </c>
    </row>
    <row r="1343" ht="14.25" customHeight="1">
      <c r="A1343" s="157" t="s">
        <v>1341</v>
      </c>
      <c r="B1343" s="158" t="s">
        <v>27</v>
      </c>
      <c r="C1343" s="158" t="s">
        <v>1342</v>
      </c>
      <c r="D1343" s="159">
        <v>43902.0</v>
      </c>
      <c r="E1343" s="157" t="s">
        <v>731</v>
      </c>
      <c r="F1343" s="160">
        <v>435915.16</v>
      </c>
      <c r="G1343" s="160">
        <v>69746.43</v>
      </c>
      <c r="H1343" s="160">
        <f t="shared" si="43"/>
        <v>505661.59</v>
      </c>
      <c r="I1343" s="160"/>
      <c r="J1343" s="161"/>
      <c r="K1343" s="160"/>
      <c r="L1343" s="160">
        <f>+'FACP$'!$H1343-'FACP$'!$I1343-'FACP$'!$K1343</f>
        <v>505661.59</v>
      </c>
      <c r="M1343" s="162" t="s">
        <v>969</v>
      </c>
      <c r="N1343" s="162" t="s">
        <v>554</v>
      </c>
      <c r="O1343" s="175">
        <v>43944.0</v>
      </c>
      <c r="P1343" s="164">
        <f t="shared" si="13"/>
        <v>43912</v>
      </c>
      <c r="Q1343" s="165">
        <f t="shared" si="2"/>
        <v>0</v>
      </c>
      <c r="R1343" s="167"/>
      <c r="S1343" s="167" t="s">
        <v>910</v>
      </c>
      <c r="T1343" s="168">
        <f t="shared" si="3"/>
        <v>505661.59</v>
      </c>
      <c r="U1343" s="168">
        <f t="shared" si="4"/>
        <v>0</v>
      </c>
      <c r="V1343" s="168">
        <f t="shared" si="5"/>
        <v>0</v>
      </c>
      <c r="W1343" s="168">
        <f t="shared" si="6"/>
        <v>0</v>
      </c>
      <c r="X1343" s="168">
        <f t="shared" si="7"/>
        <v>0</v>
      </c>
      <c r="Y1343" s="168">
        <f t="shared" si="8"/>
        <v>0</v>
      </c>
      <c r="Z1343" s="168">
        <f t="shared" si="9"/>
        <v>0</v>
      </c>
    </row>
    <row r="1344" ht="14.25" customHeight="1">
      <c r="A1344" s="157" t="s">
        <v>1343</v>
      </c>
      <c r="B1344" s="158" t="s">
        <v>27</v>
      </c>
      <c r="C1344" s="158" t="s">
        <v>1344</v>
      </c>
      <c r="D1344" s="159">
        <v>43902.0</v>
      </c>
      <c r="E1344" s="157" t="s">
        <v>731</v>
      </c>
      <c r="F1344" s="160">
        <v>25429.71</v>
      </c>
      <c r="G1344" s="160">
        <v>4068.75</v>
      </c>
      <c r="H1344" s="160">
        <f t="shared" si="43"/>
        <v>29498.46</v>
      </c>
      <c r="I1344" s="160"/>
      <c r="J1344" s="161"/>
      <c r="K1344" s="160"/>
      <c r="L1344" s="160">
        <f>+'FACP$'!$H1344-'FACP$'!$I1344-'FACP$'!$K1344</f>
        <v>29498.46</v>
      </c>
      <c r="M1344" s="162" t="s">
        <v>969</v>
      </c>
      <c r="N1344" s="162" t="s">
        <v>554</v>
      </c>
      <c r="O1344" s="175">
        <v>43944.0</v>
      </c>
      <c r="P1344" s="164">
        <f t="shared" si="13"/>
        <v>43912</v>
      </c>
      <c r="Q1344" s="165">
        <f t="shared" si="2"/>
        <v>0</v>
      </c>
      <c r="R1344" s="167"/>
      <c r="S1344" s="167" t="s">
        <v>910</v>
      </c>
      <c r="T1344" s="168">
        <f t="shared" si="3"/>
        <v>29498.46</v>
      </c>
      <c r="U1344" s="168">
        <f t="shared" si="4"/>
        <v>0</v>
      </c>
      <c r="V1344" s="168">
        <f t="shared" si="5"/>
        <v>0</v>
      </c>
      <c r="W1344" s="168">
        <f t="shared" si="6"/>
        <v>0</v>
      </c>
      <c r="X1344" s="168">
        <f t="shared" si="7"/>
        <v>0</v>
      </c>
      <c r="Y1344" s="168">
        <f t="shared" si="8"/>
        <v>0</v>
      </c>
      <c r="Z1344" s="168">
        <f t="shared" si="9"/>
        <v>0</v>
      </c>
    </row>
    <row r="1345" ht="14.25" customHeight="1">
      <c r="A1345" s="157" t="s">
        <v>1345</v>
      </c>
      <c r="B1345" s="158" t="s">
        <v>27</v>
      </c>
      <c r="C1345" s="158" t="s">
        <v>1346</v>
      </c>
      <c r="D1345" s="159">
        <v>43902.0</v>
      </c>
      <c r="E1345" s="157" t="s">
        <v>731</v>
      </c>
      <c r="F1345" s="160">
        <v>20452.84</v>
      </c>
      <c r="G1345" s="160">
        <v>3272.45</v>
      </c>
      <c r="H1345" s="160">
        <f t="shared" si="43"/>
        <v>23725.29</v>
      </c>
      <c r="I1345" s="160"/>
      <c r="J1345" s="161"/>
      <c r="K1345" s="160"/>
      <c r="L1345" s="160">
        <f>+'FACP$'!$H1345-'FACP$'!$I1345-'FACP$'!$K1345</f>
        <v>23725.29</v>
      </c>
      <c r="M1345" s="162" t="s">
        <v>969</v>
      </c>
      <c r="N1345" s="162" t="s">
        <v>554</v>
      </c>
      <c r="O1345" s="175">
        <v>43944.0</v>
      </c>
      <c r="P1345" s="164">
        <f t="shared" si="13"/>
        <v>43912</v>
      </c>
      <c r="Q1345" s="165">
        <f t="shared" si="2"/>
        <v>0</v>
      </c>
      <c r="R1345" s="167"/>
      <c r="S1345" s="167" t="s">
        <v>910</v>
      </c>
      <c r="T1345" s="168">
        <f t="shared" si="3"/>
        <v>23725.29</v>
      </c>
      <c r="U1345" s="168">
        <f t="shared" si="4"/>
        <v>0</v>
      </c>
      <c r="V1345" s="168">
        <f t="shared" si="5"/>
        <v>0</v>
      </c>
      <c r="W1345" s="168">
        <f t="shared" si="6"/>
        <v>0</v>
      </c>
      <c r="X1345" s="168">
        <f t="shared" si="7"/>
        <v>0</v>
      </c>
      <c r="Y1345" s="168">
        <f t="shared" si="8"/>
        <v>0</v>
      </c>
      <c r="Z1345" s="168">
        <f t="shared" si="9"/>
        <v>0</v>
      </c>
    </row>
    <row r="1346" ht="14.25" customHeight="1">
      <c r="A1346" s="157" t="s">
        <v>1347</v>
      </c>
      <c r="B1346" s="158" t="s">
        <v>16</v>
      </c>
      <c r="C1346" s="158" t="s">
        <v>1327</v>
      </c>
      <c r="D1346" s="159">
        <v>43902.0</v>
      </c>
      <c r="E1346" s="157" t="s">
        <v>731</v>
      </c>
      <c r="F1346" s="160">
        <v>195910.52</v>
      </c>
      <c r="G1346" s="160">
        <v>31345.68</v>
      </c>
      <c r="H1346" s="160">
        <f t="shared" si="43"/>
        <v>227256.2</v>
      </c>
      <c r="I1346" s="160"/>
      <c r="J1346" s="161"/>
      <c r="K1346" s="160"/>
      <c r="L1346" s="160">
        <f>+'FACP$'!$H1346-'FACP$'!$I1346-'FACP$'!$K1346</f>
        <v>227256.2</v>
      </c>
      <c r="M1346" s="162" t="s">
        <v>985</v>
      </c>
      <c r="N1346" s="162" t="s">
        <v>554</v>
      </c>
      <c r="O1346" s="175">
        <v>43910.0</v>
      </c>
      <c r="P1346" s="164">
        <f t="shared" si="13"/>
        <v>43912</v>
      </c>
      <c r="Q1346" s="165">
        <f t="shared" si="2"/>
        <v>0</v>
      </c>
      <c r="R1346" s="167"/>
      <c r="S1346" s="167"/>
      <c r="T1346" s="168">
        <f t="shared" si="3"/>
        <v>227256.2</v>
      </c>
      <c r="U1346" s="168">
        <f t="shared" si="4"/>
        <v>0</v>
      </c>
      <c r="V1346" s="168">
        <f t="shared" si="5"/>
        <v>0</v>
      </c>
      <c r="W1346" s="168">
        <f t="shared" si="6"/>
        <v>0</v>
      </c>
      <c r="X1346" s="168">
        <f t="shared" si="7"/>
        <v>0</v>
      </c>
      <c r="Y1346" s="168">
        <f t="shared" si="8"/>
        <v>0</v>
      </c>
      <c r="Z1346" s="168">
        <f t="shared" si="9"/>
        <v>0</v>
      </c>
    </row>
    <row r="1347" ht="14.25" customHeight="1">
      <c r="A1347" s="157" t="s">
        <v>1348</v>
      </c>
      <c r="B1347" s="158" t="s">
        <v>16</v>
      </c>
      <c r="C1347" s="158" t="s">
        <v>1342</v>
      </c>
      <c r="D1347" s="159">
        <v>43902.0</v>
      </c>
      <c r="E1347" s="157" t="s">
        <v>731</v>
      </c>
      <c r="F1347" s="160">
        <v>342592.59</v>
      </c>
      <c r="G1347" s="160">
        <v>54814.81</v>
      </c>
      <c r="H1347" s="160">
        <f t="shared" si="43"/>
        <v>397407.4</v>
      </c>
      <c r="I1347" s="160"/>
      <c r="J1347" s="161"/>
      <c r="K1347" s="160"/>
      <c r="L1347" s="160">
        <f>+'FACP$'!$H1347-'FACP$'!$I1347-'FACP$'!$K1347</f>
        <v>397407.4</v>
      </c>
      <c r="M1347" s="162" t="s">
        <v>985</v>
      </c>
      <c r="N1347" s="162" t="s">
        <v>554</v>
      </c>
      <c r="O1347" s="175">
        <v>43910.0</v>
      </c>
      <c r="P1347" s="164">
        <f t="shared" si="13"/>
        <v>43912</v>
      </c>
      <c r="Q1347" s="165">
        <f t="shared" si="2"/>
        <v>0</v>
      </c>
      <c r="R1347" s="167"/>
      <c r="S1347" s="167"/>
      <c r="T1347" s="168">
        <f t="shared" si="3"/>
        <v>397407.4</v>
      </c>
      <c r="U1347" s="168">
        <f t="shared" si="4"/>
        <v>0</v>
      </c>
      <c r="V1347" s="168">
        <f t="shared" si="5"/>
        <v>0</v>
      </c>
      <c r="W1347" s="168">
        <f t="shared" si="6"/>
        <v>0</v>
      </c>
      <c r="X1347" s="168">
        <f t="shared" si="7"/>
        <v>0</v>
      </c>
      <c r="Y1347" s="168">
        <f t="shared" si="8"/>
        <v>0</v>
      </c>
      <c r="Z1347" s="168">
        <f t="shared" si="9"/>
        <v>0</v>
      </c>
    </row>
    <row r="1348" ht="14.25" customHeight="1">
      <c r="A1348" s="157" t="s">
        <v>1349</v>
      </c>
      <c r="B1348" s="158" t="s">
        <v>127</v>
      </c>
      <c r="C1348" s="158"/>
      <c r="D1348" s="159"/>
      <c r="E1348" s="157"/>
      <c r="F1348" s="160"/>
      <c r="G1348" s="160"/>
      <c r="H1348" s="160">
        <f t="shared" si="43"/>
        <v>0</v>
      </c>
      <c r="I1348" s="160"/>
      <c r="J1348" s="161"/>
      <c r="K1348" s="160"/>
      <c r="L1348" s="160">
        <f>+'FACP$'!$H1348-'FACP$'!$I1348-'FACP$'!$K1348</f>
        <v>0</v>
      </c>
      <c r="M1348" s="162"/>
      <c r="N1348" s="162" t="s">
        <v>127</v>
      </c>
      <c r="O1348" s="175"/>
      <c r="P1348" s="164">
        <f t="shared" si="13"/>
        <v>10</v>
      </c>
      <c r="Q1348" s="165">
        <f t="shared" si="2"/>
        <v>0</v>
      </c>
      <c r="R1348" s="167" t="s">
        <v>1350</v>
      </c>
      <c r="S1348" s="167"/>
      <c r="T1348" s="168">
        <f t="shared" si="3"/>
        <v>0</v>
      </c>
      <c r="U1348" s="168">
        <f t="shared" si="4"/>
        <v>0</v>
      </c>
      <c r="V1348" s="168">
        <f t="shared" si="5"/>
        <v>0</v>
      </c>
      <c r="W1348" s="168">
        <f t="shared" si="6"/>
        <v>0</v>
      </c>
      <c r="X1348" s="168">
        <f t="shared" si="7"/>
        <v>0</v>
      </c>
      <c r="Y1348" s="168">
        <f t="shared" si="8"/>
        <v>0</v>
      </c>
      <c r="Z1348" s="168">
        <f t="shared" si="9"/>
        <v>0</v>
      </c>
    </row>
    <row r="1349" ht="14.25" customHeight="1">
      <c r="A1349" s="157" t="s">
        <v>1351</v>
      </c>
      <c r="B1349" s="158" t="s">
        <v>18</v>
      </c>
      <c r="C1349" s="158" t="s">
        <v>1352</v>
      </c>
      <c r="D1349" s="159">
        <v>43902.0</v>
      </c>
      <c r="E1349" s="157" t="s">
        <v>731</v>
      </c>
      <c r="F1349" s="160">
        <v>95531.8</v>
      </c>
      <c r="G1349" s="160">
        <v>15285.09</v>
      </c>
      <c r="H1349" s="160">
        <f t="shared" si="43"/>
        <v>110816.89</v>
      </c>
      <c r="I1349" s="160"/>
      <c r="J1349" s="161"/>
      <c r="K1349" s="160"/>
      <c r="L1349" s="160">
        <f>+'FACP$'!$H1349-'FACP$'!$I1349-'FACP$'!$K1349</f>
        <v>110816.89</v>
      </c>
      <c r="M1349" s="162" t="s">
        <v>586</v>
      </c>
      <c r="N1349" s="162" t="s">
        <v>554</v>
      </c>
      <c r="O1349" s="175">
        <v>43979.0</v>
      </c>
      <c r="P1349" s="164">
        <f t="shared" si="13"/>
        <v>43912</v>
      </c>
      <c r="Q1349" s="165">
        <f t="shared" si="2"/>
        <v>0</v>
      </c>
      <c r="R1349" s="167"/>
      <c r="S1349" s="167" t="s">
        <v>910</v>
      </c>
      <c r="T1349" s="168">
        <f t="shared" si="3"/>
        <v>110816.89</v>
      </c>
      <c r="U1349" s="168">
        <f t="shared" si="4"/>
        <v>0</v>
      </c>
      <c r="V1349" s="168">
        <f t="shared" si="5"/>
        <v>0</v>
      </c>
      <c r="W1349" s="168">
        <f t="shared" si="6"/>
        <v>0</v>
      </c>
      <c r="X1349" s="168">
        <f t="shared" si="7"/>
        <v>0</v>
      </c>
      <c r="Y1349" s="168">
        <f t="shared" si="8"/>
        <v>0</v>
      </c>
      <c r="Z1349" s="168">
        <f t="shared" si="9"/>
        <v>0</v>
      </c>
    </row>
    <row r="1350" ht="14.25" customHeight="1">
      <c r="A1350" s="157" t="s">
        <v>1353</v>
      </c>
      <c r="B1350" s="158" t="s">
        <v>29</v>
      </c>
      <c r="C1350" s="158" t="s">
        <v>1327</v>
      </c>
      <c r="D1350" s="159">
        <v>43902.0</v>
      </c>
      <c r="E1350" s="157" t="s">
        <v>731</v>
      </c>
      <c r="F1350" s="160">
        <v>229833.8</v>
      </c>
      <c r="G1350" s="160">
        <v>36773.41</v>
      </c>
      <c r="H1350" s="160">
        <f t="shared" si="43"/>
        <v>266607.21</v>
      </c>
      <c r="I1350" s="160"/>
      <c r="J1350" s="161"/>
      <c r="K1350" s="160"/>
      <c r="L1350" s="160">
        <f>+'FACP$'!$H1350-'FACP$'!$I1350-'FACP$'!$K1350</f>
        <v>266607.21</v>
      </c>
      <c r="M1350" s="162" t="s">
        <v>130</v>
      </c>
      <c r="N1350" s="162" t="s">
        <v>554</v>
      </c>
      <c r="O1350" s="175">
        <v>43909.0</v>
      </c>
      <c r="P1350" s="164">
        <f t="shared" si="13"/>
        <v>43912</v>
      </c>
      <c r="Q1350" s="165">
        <f t="shared" si="2"/>
        <v>0</v>
      </c>
      <c r="R1350" s="167"/>
      <c r="S1350" s="167"/>
      <c r="T1350" s="168">
        <f t="shared" si="3"/>
        <v>266607.21</v>
      </c>
      <c r="U1350" s="168">
        <f t="shared" si="4"/>
        <v>0</v>
      </c>
      <c r="V1350" s="168">
        <f t="shared" si="5"/>
        <v>0</v>
      </c>
      <c r="W1350" s="168">
        <f t="shared" si="6"/>
        <v>0</v>
      </c>
      <c r="X1350" s="168">
        <f t="shared" si="7"/>
        <v>0</v>
      </c>
      <c r="Y1350" s="168">
        <f t="shared" si="8"/>
        <v>0</v>
      </c>
      <c r="Z1350" s="168">
        <f t="shared" si="9"/>
        <v>0</v>
      </c>
    </row>
    <row r="1351" ht="14.25" customHeight="1">
      <c r="A1351" s="157" t="s">
        <v>1354</v>
      </c>
      <c r="B1351" s="158" t="s">
        <v>29</v>
      </c>
      <c r="C1351" s="158" t="s">
        <v>1342</v>
      </c>
      <c r="D1351" s="159">
        <v>43902.0</v>
      </c>
      <c r="E1351" s="157" t="s">
        <v>731</v>
      </c>
      <c r="F1351" s="160">
        <v>421074.07</v>
      </c>
      <c r="G1351" s="160">
        <v>67371.85</v>
      </c>
      <c r="H1351" s="160">
        <f t="shared" si="43"/>
        <v>488445.92</v>
      </c>
      <c r="I1351" s="160"/>
      <c r="J1351" s="161"/>
      <c r="K1351" s="160"/>
      <c r="L1351" s="160">
        <f>+'FACP$'!$H1351-'FACP$'!$I1351-'FACP$'!$K1351</f>
        <v>488445.92</v>
      </c>
      <c r="M1351" s="162" t="s">
        <v>130</v>
      </c>
      <c r="N1351" s="162" t="s">
        <v>554</v>
      </c>
      <c r="O1351" s="175">
        <v>43910.0</v>
      </c>
      <c r="P1351" s="164">
        <f t="shared" si="13"/>
        <v>43912</v>
      </c>
      <c r="Q1351" s="165">
        <f t="shared" si="2"/>
        <v>0</v>
      </c>
      <c r="R1351" s="167"/>
      <c r="S1351" s="167"/>
      <c r="T1351" s="168">
        <f t="shared" si="3"/>
        <v>488445.92</v>
      </c>
      <c r="U1351" s="168">
        <f t="shared" si="4"/>
        <v>0</v>
      </c>
      <c r="V1351" s="168">
        <f t="shared" si="5"/>
        <v>0</v>
      </c>
      <c r="W1351" s="168">
        <f t="shared" si="6"/>
        <v>0</v>
      </c>
      <c r="X1351" s="168">
        <f t="shared" si="7"/>
        <v>0</v>
      </c>
      <c r="Y1351" s="168">
        <f t="shared" si="8"/>
        <v>0</v>
      </c>
      <c r="Z1351" s="168">
        <f t="shared" si="9"/>
        <v>0</v>
      </c>
    </row>
    <row r="1352" ht="14.25" customHeight="1">
      <c r="A1352" s="157" t="s">
        <v>1355</v>
      </c>
      <c r="B1352" s="158" t="s">
        <v>37</v>
      </c>
      <c r="C1352" s="158" t="s">
        <v>1352</v>
      </c>
      <c r="D1352" s="159">
        <v>43902.0</v>
      </c>
      <c r="E1352" s="157" t="s">
        <v>731</v>
      </c>
      <c r="F1352" s="160">
        <v>1325383.0</v>
      </c>
      <c r="G1352" s="160">
        <v>212061.28</v>
      </c>
      <c r="H1352" s="160">
        <f t="shared" si="43"/>
        <v>1537444.28</v>
      </c>
      <c r="I1352" s="160"/>
      <c r="J1352" s="161"/>
      <c r="K1352" s="160"/>
      <c r="L1352" s="160">
        <f>+'FACP$'!$H1352-'FACP$'!$I1352-'FACP$'!$K1352</f>
        <v>1537444.28</v>
      </c>
      <c r="M1352" s="162" t="s">
        <v>116</v>
      </c>
      <c r="N1352" s="162" t="s">
        <v>554</v>
      </c>
      <c r="O1352" s="175">
        <v>43914.0</v>
      </c>
      <c r="P1352" s="164">
        <f t="shared" si="13"/>
        <v>43912</v>
      </c>
      <c r="Q1352" s="165">
        <f t="shared" si="2"/>
        <v>0</v>
      </c>
      <c r="R1352" s="167"/>
      <c r="S1352" s="220" t="s">
        <v>910</v>
      </c>
      <c r="T1352" s="168">
        <f t="shared" si="3"/>
        <v>1537444.28</v>
      </c>
      <c r="U1352" s="168">
        <f t="shared" si="4"/>
        <v>0</v>
      </c>
      <c r="V1352" s="168">
        <f t="shared" si="5"/>
        <v>0</v>
      </c>
      <c r="W1352" s="168">
        <f t="shared" si="6"/>
        <v>0</v>
      </c>
      <c r="X1352" s="168">
        <f t="shared" si="7"/>
        <v>0</v>
      </c>
      <c r="Y1352" s="168">
        <f t="shared" si="8"/>
        <v>0</v>
      </c>
      <c r="Z1352" s="168">
        <f t="shared" si="9"/>
        <v>0</v>
      </c>
    </row>
    <row r="1353" ht="14.25" customHeight="1">
      <c r="A1353" s="157" t="s">
        <v>1356</v>
      </c>
      <c r="B1353" s="158" t="s">
        <v>37</v>
      </c>
      <c r="C1353" s="158" t="s">
        <v>1133</v>
      </c>
      <c r="D1353" s="159">
        <v>43903.0</v>
      </c>
      <c r="E1353" s="157" t="s">
        <v>731</v>
      </c>
      <c r="F1353" s="160">
        <v>4624465.92</v>
      </c>
      <c r="G1353" s="160">
        <v>739914.55</v>
      </c>
      <c r="H1353" s="160">
        <f t="shared" si="43"/>
        <v>5364380.47</v>
      </c>
      <c r="I1353" s="160"/>
      <c r="J1353" s="161"/>
      <c r="K1353" s="160"/>
      <c r="L1353" s="160">
        <f>+'FACP$'!$H1353-'FACP$'!$I1353-'FACP$'!$K1353</f>
        <v>5364380.47</v>
      </c>
      <c r="M1353" s="162" t="s">
        <v>116</v>
      </c>
      <c r="N1353" s="162" t="s">
        <v>554</v>
      </c>
      <c r="O1353" s="175">
        <v>43928.0</v>
      </c>
      <c r="P1353" s="164">
        <f t="shared" si="13"/>
        <v>43913</v>
      </c>
      <c r="Q1353" s="165">
        <f t="shared" si="2"/>
        <v>0</v>
      </c>
      <c r="R1353" s="167"/>
      <c r="S1353" s="167" t="s">
        <v>910</v>
      </c>
      <c r="T1353" s="168">
        <f t="shared" si="3"/>
        <v>5364380.47</v>
      </c>
      <c r="U1353" s="168">
        <f t="shared" si="4"/>
        <v>0</v>
      </c>
      <c r="V1353" s="168">
        <f t="shared" si="5"/>
        <v>0</v>
      </c>
      <c r="W1353" s="168">
        <f t="shared" si="6"/>
        <v>0</v>
      </c>
      <c r="X1353" s="168">
        <f t="shared" si="7"/>
        <v>0</v>
      </c>
      <c r="Y1353" s="168">
        <f t="shared" si="8"/>
        <v>0</v>
      </c>
      <c r="Z1353" s="168">
        <f t="shared" si="9"/>
        <v>0</v>
      </c>
    </row>
    <row r="1354" ht="14.25" customHeight="1">
      <c r="A1354" s="157" t="s">
        <v>1357</v>
      </c>
      <c r="B1354" s="158" t="s">
        <v>41</v>
      </c>
      <c r="C1354" s="158" t="s">
        <v>1150</v>
      </c>
      <c r="D1354" s="159">
        <v>43903.0</v>
      </c>
      <c r="E1354" s="157" t="s">
        <v>731</v>
      </c>
      <c r="F1354" s="160">
        <v>429622.08</v>
      </c>
      <c r="G1354" s="160">
        <v>68739.53</v>
      </c>
      <c r="H1354" s="160">
        <f t="shared" si="43"/>
        <v>498361.61</v>
      </c>
      <c r="I1354" s="160"/>
      <c r="J1354" s="161"/>
      <c r="K1354" s="160"/>
      <c r="L1354" s="160">
        <f>+'FACP$'!$H1354-'FACP$'!$I1354-'FACP$'!$K1354</f>
        <v>498361.61</v>
      </c>
      <c r="M1354" s="162" t="s">
        <v>121</v>
      </c>
      <c r="N1354" s="162" t="s">
        <v>554</v>
      </c>
      <c r="O1354" s="175">
        <v>43913.0</v>
      </c>
      <c r="P1354" s="164">
        <f t="shared" si="13"/>
        <v>43913</v>
      </c>
      <c r="Q1354" s="165">
        <f t="shared" si="2"/>
        <v>0</v>
      </c>
      <c r="R1354" s="167"/>
      <c r="S1354" s="167"/>
      <c r="T1354" s="168">
        <f t="shared" si="3"/>
        <v>498361.61</v>
      </c>
      <c r="U1354" s="168">
        <f t="shared" si="4"/>
        <v>0</v>
      </c>
      <c r="V1354" s="168">
        <f t="shared" si="5"/>
        <v>0</v>
      </c>
      <c r="W1354" s="168">
        <f t="shared" si="6"/>
        <v>0</v>
      </c>
      <c r="X1354" s="168">
        <f t="shared" si="7"/>
        <v>0</v>
      </c>
      <c r="Y1354" s="168">
        <f t="shared" si="8"/>
        <v>0</v>
      </c>
      <c r="Z1354" s="168">
        <f t="shared" si="9"/>
        <v>0</v>
      </c>
    </row>
    <row r="1355" ht="14.25" customHeight="1">
      <c r="A1355" s="157" t="s">
        <v>1358</v>
      </c>
      <c r="B1355" s="158" t="s">
        <v>29</v>
      </c>
      <c r="C1355" s="158" t="s">
        <v>1321</v>
      </c>
      <c r="D1355" s="159">
        <v>43907.0</v>
      </c>
      <c r="E1355" s="157" t="s">
        <v>731</v>
      </c>
      <c r="F1355" s="160">
        <v>198186.06</v>
      </c>
      <c r="G1355" s="160">
        <v>31709.77</v>
      </c>
      <c r="H1355" s="160">
        <f t="shared" si="43"/>
        <v>229895.83</v>
      </c>
      <c r="I1355" s="160"/>
      <c r="J1355" s="161"/>
      <c r="K1355" s="160"/>
      <c r="L1355" s="160">
        <f>+'FACP$'!$H1355-'FACP$'!$I1355-'FACP$'!$K1355</f>
        <v>229895.83</v>
      </c>
      <c r="M1355" s="162" t="s">
        <v>850</v>
      </c>
      <c r="N1355" s="162" t="s">
        <v>554</v>
      </c>
      <c r="O1355" s="175">
        <v>43920.0</v>
      </c>
      <c r="P1355" s="164">
        <f t="shared" si="13"/>
        <v>43917</v>
      </c>
      <c r="Q1355" s="165">
        <f t="shared" si="2"/>
        <v>0</v>
      </c>
      <c r="R1355" s="167"/>
      <c r="S1355" s="167"/>
      <c r="T1355" s="168">
        <f t="shared" si="3"/>
        <v>229895.83</v>
      </c>
      <c r="U1355" s="168">
        <f t="shared" si="4"/>
        <v>0</v>
      </c>
      <c r="V1355" s="168">
        <f t="shared" si="5"/>
        <v>0</v>
      </c>
      <c r="W1355" s="168">
        <f t="shared" si="6"/>
        <v>0</v>
      </c>
      <c r="X1355" s="168">
        <f t="shared" si="7"/>
        <v>0</v>
      </c>
      <c r="Y1355" s="168">
        <f t="shared" si="8"/>
        <v>0</v>
      </c>
      <c r="Z1355" s="168">
        <f t="shared" si="9"/>
        <v>0</v>
      </c>
    </row>
    <row r="1356" ht="14.25" customHeight="1">
      <c r="A1356" s="157" t="s">
        <v>1359</v>
      </c>
      <c r="B1356" s="158" t="s">
        <v>29</v>
      </c>
      <c r="C1356" s="158" t="s">
        <v>1324</v>
      </c>
      <c r="D1356" s="159">
        <v>43907.0</v>
      </c>
      <c r="E1356" s="157" t="s">
        <v>731</v>
      </c>
      <c r="F1356" s="160">
        <v>188228.55</v>
      </c>
      <c r="G1356" s="160">
        <v>30116.57</v>
      </c>
      <c r="H1356" s="160">
        <f t="shared" si="43"/>
        <v>218345.12</v>
      </c>
      <c r="I1356" s="160"/>
      <c r="J1356" s="161"/>
      <c r="K1356" s="160"/>
      <c r="L1356" s="160">
        <f>+'FACP$'!$H1356-'FACP$'!$I1356-'FACP$'!$K1356</f>
        <v>218345.12</v>
      </c>
      <c r="M1356" s="162" t="s">
        <v>1087</v>
      </c>
      <c r="N1356" s="162" t="s">
        <v>554</v>
      </c>
      <c r="O1356" s="175">
        <v>43920.0</v>
      </c>
      <c r="P1356" s="164">
        <f t="shared" si="13"/>
        <v>43917</v>
      </c>
      <c r="Q1356" s="165">
        <f t="shared" si="2"/>
        <v>0</v>
      </c>
      <c r="R1356" s="167"/>
      <c r="S1356" s="167"/>
      <c r="T1356" s="168">
        <f t="shared" si="3"/>
        <v>218345.12</v>
      </c>
      <c r="U1356" s="168">
        <f t="shared" si="4"/>
        <v>0</v>
      </c>
      <c r="V1356" s="168">
        <f t="shared" si="5"/>
        <v>0</v>
      </c>
      <c r="W1356" s="168">
        <f t="shared" si="6"/>
        <v>0</v>
      </c>
      <c r="X1356" s="168">
        <f t="shared" si="7"/>
        <v>0</v>
      </c>
      <c r="Y1356" s="168">
        <f t="shared" si="8"/>
        <v>0</v>
      </c>
      <c r="Z1356" s="168">
        <f t="shared" si="9"/>
        <v>0</v>
      </c>
    </row>
    <row r="1357" ht="14.25" customHeight="1">
      <c r="A1357" s="157" t="s">
        <v>1360</v>
      </c>
      <c r="B1357" s="158" t="s">
        <v>1361</v>
      </c>
      <c r="C1357" s="158" t="s">
        <v>1362</v>
      </c>
      <c r="D1357" s="159">
        <v>43908.0</v>
      </c>
      <c r="E1357" s="157" t="s">
        <v>731</v>
      </c>
      <c r="F1357" s="160">
        <v>22778.85</v>
      </c>
      <c r="G1357" s="160">
        <v>3644.62</v>
      </c>
      <c r="H1357" s="160">
        <f t="shared" si="43"/>
        <v>26423.47</v>
      </c>
      <c r="I1357" s="160"/>
      <c r="J1357" s="161"/>
      <c r="K1357" s="160"/>
      <c r="L1357" s="160">
        <f>+'FACP$'!$H1357-'FACP$'!$I1357-'FACP$'!$K1357</f>
        <v>26423.47</v>
      </c>
      <c r="M1357" s="162" t="s">
        <v>1363</v>
      </c>
      <c r="N1357" s="162" t="s">
        <v>127</v>
      </c>
      <c r="O1357" s="175"/>
      <c r="P1357" s="164">
        <f t="shared" si="13"/>
        <v>43918</v>
      </c>
      <c r="Q1357" s="165">
        <f t="shared" si="2"/>
        <v>0</v>
      </c>
      <c r="R1357" s="167"/>
      <c r="S1357" s="167"/>
      <c r="T1357" s="168">
        <f t="shared" si="3"/>
        <v>26423.47</v>
      </c>
      <c r="U1357" s="168">
        <f t="shared" si="4"/>
        <v>0</v>
      </c>
      <c r="V1357" s="168">
        <f t="shared" si="5"/>
        <v>0</v>
      </c>
      <c r="W1357" s="168">
        <f t="shared" si="6"/>
        <v>0</v>
      </c>
      <c r="X1357" s="168">
        <f t="shared" si="7"/>
        <v>0</v>
      </c>
      <c r="Y1357" s="168">
        <f t="shared" si="8"/>
        <v>0</v>
      </c>
      <c r="Z1357" s="168">
        <f t="shared" si="9"/>
        <v>0</v>
      </c>
    </row>
    <row r="1358" ht="14.25" customHeight="1">
      <c r="A1358" s="157" t="s">
        <v>1364</v>
      </c>
      <c r="B1358" s="158" t="s">
        <v>30</v>
      </c>
      <c r="C1358" s="158" t="s">
        <v>1365</v>
      </c>
      <c r="D1358" s="159">
        <v>43909.0</v>
      </c>
      <c r="E1358" s="157" t="s">
        <v>731</v>
      </c>
      <c r="F1358" s="160">
        <v>169085.81</v>
      </c>
      <c r="G1358" s="160">
        <v>27053.73</v>
      </c>
      <c r="H1358" s="160">
        <f t="shared" si="43"/>
        <v>196139.54</v>
      </c>
      <c r="I1358" s="160"/>
      <c r="J1358" s="161"/>
      <c r="K1358" s="160"/>
      <c r="L1358" s="160">
        <f>+'FACP$'!$H1358-'FACP$'!$I1358-'FACP$'!$K1358</f>
        <v>196139.54</v>
      </c>
      <c r="M1358" s="162" t="s">
        <v>891</v>
      </c>
      <c r="N1358" s="162" t="s">
        <v>127</v>
      </c>
      <c r="O1358" s="175"/>
      <c r="P1358" s="164">
        <f t="shared" si="13"/>
        <v>43919</v>
      </c>
      <c r="Q1358" s="165">
        <f t="shared" si="2"/>
        <v>0</v>
      </c>
      <c r="R1358" s="220" t="s">
        <v>1309</v>
      </c>
      <c r="S1358" s="167"/>
      <c r="T1358" s="168">
        <f t="shared" si="3"/>
        <v>196139.54</v>
      </c>
      <c r="U1358" s="168">
        <f t="shared" si="4"/>
        <v>0</v>
      </c>
      <c r="V1358" s="168">
        <f t="shared" si="5"/>
        <v>0</v>
      </c>
      <c r="W1358" s="168">
        <f t="shared" si="6"/>
        <v>0</v>
      </c>
      <c r="X1358" s="168">
        <f t="shared" si="7"/>
        <v>0</v>
      </c>
      <c r="Y1358" s="168">
        <f t="shared" si="8"/>
        <v>0</v>
      </c>
      <c r="Z1358" s="168">
        <f t="shared" si="9"/>
        <v>0</v>
      </c>
    </row>
    <row r="1359" ht="14.25" customHeight="1">
      <c r="A1359" s="157" t="s">
        <v>1366</v>
      </c>
      <c r="B1359" s="158" t="s">
        <v>33</v>
      </c>
      <c r="C1359" s="158" t="s">
        <v>1365</v>
      </c>
      <c r="D1359" s="159">
        <v>43909.0</v>
      </c>
      <c r="E1359" s="157" t="s">
        <v>731</v>
      </c>
      <c r="F1359" s="160">
        <v>488750.65</v>
      </c>
      <c r="G1359" s="160">
        <v>78200.1</v>
      </c>
      <c r="H1359" s="160">
        <f t="shared" si="43"/>
        <v>566950.75</v>
      </c>
      <c r="I1359" s="160"/>
      <c r="J1359" s="161"/>
      <c r="K1359" s="160"/>
      <c r="L1359" s="160">
        <f>+'FACP$'!$H1359-'FACP$'!$I1359-'FACP$'!$K1359</f>
        <v>566950.75</v>
      </c>
      <c r="M1359" s="162" t="s">
        <v>958</v>
      </c>
      <c r="N1359" s="162" t="s">
        <v>554</v>
      </c>
      <c r="O1359" s="175">
        <v>43920.0</v>
      </c>
      <c r="P1359" s="164">
        <f t="shared" si="13"/>
        <v>43919</v>
      </c>
      <c r="Q1359" s="165">
        <f t="shared" si="2"/>
        <v>0</v>
      </c>
      <c r="R1359" s="167"/>
      <c r="S1359" s="167" t="s">
        <v>910</v>
      </c>
      <c r="T1359" s="168">
        <f t="shared" si="3"/>
        <v>566950.75</v>
      </c>
      <c r="U1359" s="168">
        <f t="shared" si="4"/>
        <v>0</v>
      </c>
      <c r="V1359" s="168">
        <f t="shared" si="5"/>
        <v>0</v>
      </c>
      <c r="W1359" s="168">
        <f t="shared" si="6"/>
        <v>0</v>
      </c>
      <c r="X1359" s="168">
        <f t="shared" si="7"/>
        <v>0</v>
      </c>
      <c r="Y1359" s="168">
        <f t="shared" si="8"/>
        <v>0</v>
      </c>
      <c r="Z1359" s="168">
        <f t="shared" si="9"/>
        <v>0</v>
      </c>
    </row>
    <row r="1360" ht="14.25" customHeight="1">
      <c r="A1360" s="157" t="s">
        <v>1367</v>
      </c>
      <c r="B1360" s="158" t="s">
        <v>35</v>
      </c>
      <c r="C1360" s="158" t="s">
        <v>1365</v>
      </c>
      <c r="D1360" s="159">
        <v>43909.0</v>
      </c>
      <c r="E1360" s="157" t="s">
        <v>731</v>
      </c>
      <c r="F1360" s="160">
        <v>242405.08</v>
      </c>
      <c r="G1360" s="160">
        <v>38784.81</v>
      </c>
      <c r="H1360" s="160">
        <f t="shared" si="43"/>
        <v>281189.89</v>
      </c>
      <c r="I1360" s="160"/>
      <c r="J1360" s="161"/>
      <c r="K1360" s="160"/>
      <c r="L1360" s="160">
        <f>+'FACP$'!$H1360-'FACP$'!$I1360-'FACP$'!$K1360</f>
        <v>281189.89</v>
      </c>
      <c r="M1360" s="162" t="s">
        <v>276</v>
      </c>
      <c r="N1360" s="162" t="s">
        <v>554</v>
      </c>
      <c r="O1360" s="175">
        <v>43938.0</v>
      </c>
      <c r="P1360" s="164">
        <f t="shared" si="13"/>
        <v>43919</v>
      </c>
      <c r="Q1360" s="165">
        <f t="shared" si="2"/>
        <v>0</v>
      </c>
      <c r="R1360" s="167"/>
      <c r="S1360" s="220" t="s">
        <v>910</v>
      </c>
      <c r="T1360" s="168">
        <f t="shared" si="3"/>
        <v>281189.89</v>
      </c>
      <c r="U1360" s="168">
        <f t="shared" si="4"/>
        <v>0</v>
      </c>
      <c r="V1360" s="168">
        <f t="shared" si="5"/>
        <v>0</v>
      </c>
      <c r="W1360" s="168">
        <f t="shared" si="6"/>
        <v>0</v>
      </c>
      <c r="X1360" s="168">
        <f t="shared" si="7"/>
        <v>0</v>
      </c>
      <c r="Y1360" s="168">
        <f t="shared" si="8"/>
        <v>0</v>
      </c>
      <c r="Z1360" s="168">
        <f t="shared" si="9"/>
        <v>0</v>
      </c>
    </row>
    <row r="1361" ht="14.25" customHeight="1">
      <c r="A1361" s="157" t="s">
        <v>1368</v>
      </c>
      <c r="B1361" s="158" t="s">
        <v>36</v>
      </c>
      <c r="C1361" s="158" t="s">
        <v>1365</v>
      </c>
      <c r="D1361" s="159">
        <v>43909.0</v>
      </c>
      <c r="E1361" s="157" t="s">
        <v>731</v>
      </c>
      <c r="F1361" s="160">
        <v>48237.71</v>
      </c>
      <c r="G1361" s="160">
        <v>7718.03</v>
      </c>
      <c r="H1361" s="160">
        <f t="shared" si="43"/>
        <v>55955.74</v>
      </c>
      <c r="I1361" s="160"/>
      <c r="J1361" s="161"/>
      <c r="K1361" s="160"/>
      <c r="L1361" s="160">
        <f>+'FACP$'!$H1361-'FACP$'!$I1361-'FACP$'!$K1361</f>
        <v>55955.74</v>
      </c>
      <c r="M1361" s="162" t="s">
        <v>278</v>
      </c>
      <c r="N1361" s="162" t="s">
        <v>554</v>
      </c>
      <c r="O1361" s="175">
        <v>43956.0</v>
      </c>
      <c r="P1361" s="164">
        <f t="shared" si="13"/>
        <v>43919</v>
      </c>
      <c r="Q1361" s="165">
        <f t="shared" si="2"/>
        <v>0</v>
      </c>
      <c r="R1361" s="167" t="s">
        <v>1369</v>
      </c>
      <c r="S1361" s="220" t="s">
        <v>910</v>
      </c>
      <c r="T1361" s="168">
        <f t="shared" si="3"/>
        <v>55955.74</v>
      </c>
      <c r="U1361" s="168">
        <f t="shared" si="4"/>
        <v>0</v>
      </c>
      <c r="V1361" s="168">
        <f t="shared" si="5"/>
        <v>0</v>
      </c>
      <c r="W1361" s="168">
        <f t="shared" si="6"/>
        <v>0</v>
      </c>
      <c r="X1361" s="168">
        <f t="shared" si="7"/>
        <v>0</v>
      </c>
      <c r="Y1361" s="168">
        <f t="shared" si="8"/>
        <v>0</v>
      </c>
      <c r="Z1361" s="168">
        <f t="shared" si="9"/>
        <v>0</v>
      </c>
    </row>
    <row r="1362" ht="14.25" customHeight="1">
      <c r="A1362" s="157" t="s">
        <v>1370</v>
      </c>
      <c r="B1362" s="158" t="s">
        <v>1127</v>
      </c>
      <c r="C1362" s="158" t="s">
        <v>1365</v>
      </c>
      <c r="D1362" s="159">
        <v>43909.0</v>
      </c>
      <c r="E1362" s="157" t="s">
        <v>731</v>
      </c>
      <c r="F1362" s="160">
        <v>237445.06</v>
      </c>
      <c r="G1362" s="160">
        <v>37991.21</v>
      </c>
      <c r="H1362" s="160">
        <f t="shared" si="43"/>
        <v>275436.27</v>
      </c>
      <c r="I1362" s="160"/>
      <c r="J1362" s="161"/>
      <c r="K1362" s="160"/>
      <c r="L1362" s="160">
        <f>+'FACP$'!$H1362-'FACP$'!$I1362-'FACP$'!$K1362</f>
        <v>275436.27</v>
      </c>
      <c r="M1362" s="162" t="s">
        <v>580</v>
      </c>
      <c r="N1362" s="162" t="s">
        <v>554</v>
      </c>
      <c r="O1362" s="175">
        <v>43916.0</v>
      </c>
      <c r="P1362" s="164">
        <f t="shared" si="13"/>
        <v>43919</v>
      </c>
      <c r="Q1362" s="165">
        <f t="shared" si="2"/>
        <v>0</v>
      </c>
      <c r="R1362" s="167" t="s">
        <v>1371</v>
      </c>
      <c r="S1362" s="167" t="s">
        <v>910</v>
      </c>
      <c r="T1362" s="168">
        <f t="shared" si="3"/>
        <v>275436.27</v>
      </c>
      <c r="U1362" s="168">
        <f t="shared" si="4"/>
        <v>0</v>
      </c>
      <c r="V1362" s="168">
        <f t="shared" si="5"/>
        <v>0</v>
      </c>
      <c r="W1362" s="168">
        <f t="shared" si="6"/>
        <v>0</v>
      </c>
      <c r="X1362" s="168">
        <f t="shared" si="7"/>
        <v>0</v>
      </c>
      <c r="Y1362" s="168">
        <f t="shared" si="8"/>
        <v>0</v>
      </c>
      <c r="Z1362" s="168">
        <f t="shared" si="9"/>
        <v>0</v>
      </c>
    </row>
    <row r="1363" ht="14.25" customHeight="1">
      <c r="A1363" s="157" t="s">
        <v>1372</v>
      </c>
      <c r="B1363" s="158" t="s">
        <v>43</v>
      </c>
      <c r="C1363" s="158" t="s">
        <v>1365</v>
      </c>
      <c r="D1363" s="159">
        <v>43909.0</v>
      </c>
      <c r="E1363" s="157" t="s">
        <v>731</v>
      </c>
      <c r="F1363" s="160">
        <v>475398.84</v>
      </c>
      <c r="G1363" s="160">
        <v>76063.81</v>
      </c>
      <c r="H1363" s="160">
        <f t="shared" si="43"/>
        <v>551462.65</v>
      </c>
      <c r="I1363" s="160"/>
      <c r="J1363" s="161"/>
      <c r="K1363" s="160"/>
      <c r="L1363" s="160">
        <f>+'FACP$'!$H1363-'FACP$'!$I1363-'FACP$'!$K1363</f>
        <v>551462.65</v>
      </c>
      <c r="M1363" s="162" t="s">
        <v>43</v>
      </c>
      <c r="N1363" s="162" t="s">
        <v>554</v>
      </c>
      <c r="O1363" s="175">
        <v>43929.0</v>
      </c>
      <c r="P1363" s="164">
        <f t="shared" si="13"/>
        <v>43919</v>
      </c>
      <c r="Q1363" s="165">
        <f t="shared" si="2"/>
        <v>0</v>
      </c>
      <c r="R1363" s="167"/>
      <c r="S1363" s="220" t="s">
        <v>910</v>
      </c>
      <c r="T1363" s="168">
        <f t="shared" si="3"/>
        <v>551462.65</v>
      </c>
      <c r="U1363" s="168">
        <f t="shared" si="4"/>
        <v>0</v>
      </c>
      <c r="V1363" s="168">
        <f t="shared" si="5"/>
        <v>0</v>
      </c>
      <c r="W1363" s="168">
        <f t="shared" si="6"/>
        <v>0</v>
      </c>
      <c r="X1363" s="168">
        <f t="shared" si="7"/>
        <v>0</v>
      </c>
      <c r="Y1363" s="168">
        <f t="shared" si="8"/>
        <v>0</v>
      </c>
      <c r="Z1363" s="168">
        <f t="shared" si="9"/>
        <v>0</v>
      </c>
    </row>
    <row r="1364" ht="14.25" customHeight="1">
      <c r="A1364" s="157" t="s">
        <v>1373</v>
      </c>
      <c r="B1364" s="158" t="s">
        <v>27</v>
      </c>
      <c r="C1364" s="158" t="s">
        <v>1374</v>
      </c>
      <c r="D1364" s="159">
        <v>43909.0</v>
      </c>
      <c r="E1364" s="157" t="s">
        <v>731</v>
      </c>
      <c r="F1364" s="160">
        <v>469721.96</v>
      </c>
      <c r="G1364" s="160">
        <v>75155.51</v>
      </c>
      <c r="H1364" s="160">
        <f t="shared" si="43"/>
        <v>544877.47</v>
      </c>
      <c r="I1364" s="160"/>
      <c r="J1364" s="161"/>
      <c r="K1364" s="160"/>
      <c r="L1364" s="160">
        <f>+'FACP$'!$H1364-'FACP$'!$I1364-'FACP$'!$K1364</f>
        <v>544877.47</v>
      </c>
      <c r="M1364" s="162" t="s">
        <v>969</v>
      </c>
      <c r="N1364" s="162" t="s">
        <v>554</v>
      </c>
      <c r="O1364" s="175">
        <v>43986.0</v>
      </c>
      <c r="P1364" s="164">
        <f t="shared" si="13"/>
        <v>43919</v>
      </c>
      <c r="Q1364" s="165">
        <f t="shared" si="2"/>
        <v>0</v>
      </c>
      <c r="R1364" s="167"/>
      <c r="S1364" s="167" t="s">
        <v>910</v>
      </c>
      <c r="T1364" s="168">
        <f t="shared" si="3"/>
        <v>544877.47</v>
      </c>
      <c r="U1364" s="168">
        <f t="shared" si="4"/>
        <v>0</v>
      </c>
      <c r="V1364" s="168">
        <f t="shared" si="5"/>
        <v>0</v>
      </c>
      <c r="W1364" s="168">
        <f t="shared" si="6"/>
        <v>0</v>
      </c>
      <c r="X1364" s="168">
        <f t="shared" si="7"/>
        <v>0</v>
      </c>
      <c r="Y1364" s="168">
        <f t="shared" si="8"/>
        <v>0</v>
      </c>
      <c r="Z1364" s="168">
        <f t="shared" si="9"/>
        <v>0</v>
      </c>
    </row>
    <row r="1365" ht="14.25" customHeight="1">
      <c r="A1365" s="157" t="s">
        <v>1375</v>
      </c>
      <c r="B1365" s="158" t="s">
        <v>27</v>
      </c>
      <c r="C1365" s="158" t="s">
        <v>1376</v>
      </c>
      <c r="D1365" s="159">
        <v>43909.0</v>
      </c>
      <c r="E1365" s="157" t="s">
        <v>731</v>
      </c>
      <c r="F1365" s="160">
        <v>388500.46</v>
      </c>
      <c r="G1365" s="160">
        <v>62160.07</v>
      </c>
      <c r="H1365" s="160">
        <f t="shared" si="43"/>
        <v>450660.53</v>
      </c>
      <c r="I1365" s="160"/>
      <c r="J1365" s="161"/>
      <c r="K1365" s="160"/>
      <c r="L1365" s="160">
        <f>+'FACP$'!$H1365-'FACP$'!$I1365-'FACP$'!$K1365</f>
        <v>450660.53</v>
      </c>
      <c r="M1365" s="162" t="s">
        <v>969</v>
      </c>
      <c r="N1365" s="162" t="s">
        <v>554</v>
      </c>
      <c r="O1365" s="175">
        <v>43998.0</v>
      </c>
      <c r="P1365" s="164">
        <f t="shared" si="13"/>
        <v>43919</v>
      </c>
      <c r="Q1365" s="165">
        <f t="shared" si="2"/>
        <v>0</v>
      </c>
      <c r="R1365" s="167"/>
      <c r="S1365" s="167" t="s">
        <v>910</v>
      </c>
      <c r="T1365" s="168">
        <f t="shared" si="3"/>
        <v>450660.53</v>
      </c>
      <c r="U1365" s="168">
        <f t="shared" si="4"/>
        <v>0</v>
      </c>
      <c r="V1365" s="168">
        <f t="shared" si="5"/>
        <v>0</v>
      </c>
      <c r="W1365" s="168">
        <f t="shared" si="6"/>
        <v>0</v>
      </c>
      <c r="X1365" s="168">
        <f t="shared" si="7"/>
        <v>0</v>
      </c>
      <c r="Y1365" s="168">
        <f t="shared" si="8"/>
        <v>0</v>
      </c>
      <c r="Z1365" s="168">
        <f t="shared" si="9"/>
        <v>0</v>
      </c>
    </row>
    <row r="1366" ht="14.25" customHeight="1">
      <c r="A1366" s="157" t="s">
        <v>1377</v>
      </c>
      <c r="B1366" s="158" t="s">
        <v>37</v>
      </c>
      <c r="C1366" s="158" t="s">
        <v>1365</v>
      </c>
      <c r="D1366" s="159">
        <v>43917.0</v>
      </c>
      <c r="E1366" s="157" t="s">
        <v>731</v>
      </c>
      <c r="F1366" s="160">
        <v>1252484.71</v>
      </c>
      <c r="G1366" s="160">
        <v>200397.55</v>
      </c>
      <c r="H1366" s="160">
        <f t="shared" si="43"/>
        <v>1452882.26</v>
      </c>
      <c r="I1366" s="160"/>
      <c r="J1366" s="161"/>
      <c r="K1366" s="160"/>
      <c r="L1366" s="160">
        <f>+'FACP$'!$H1366-'FACP$'!$I1366-'FACP$'!$K1366</f>
        <v>1452882.26</v>
      </c>
      <c r="M1366" s="162" t="s">
        <v>116</v>
      </c>
      <c r="N1366" s="162" t="s">
        <v>554</v>
      </c>
      <c r="O1366" s="175">
        <v>43956.0</v>
      </c>
      <c r="P1366" s="164">
        <f t="shared" si="13"/>
        <v>43927</v>
      </c>
      <c r="Q1366" s="165">
        <f t="shared" si="2"/>
        <v>0</v>
      </c>
      <c r="R1366" s="167"/>
      <c r="S1366" s="220" t="s">
        <v>910</v>
      </c>
      <c r="T1366" s="168">
        <f t="shared" si="3"/>
        <v>1452882.26</v>
      </c>
      <c r="U1366" s="168">
        <f t="shared" si="4"/>
        <v>0</v>
      </c>
      <c r="V1366" s="168">
        <f t="shared" si="5"/>
        <v>0</v>
      </c>
      <c r="W1366" s="168">
        <f t="shared" si="6"/>
        <v>0</v>
      </c>
      <c r="X1366" s="168">
        <f t="shared" si="7"/>
        <v>0</v>
      </c>
      <c r="Y1366" s="168">
        <f t="shared" si="8"/>
        <v>0</v>
      </c>
      <c r="Z1366" s="168">
        <f t="shared" si="9"/>
        <v>0</v>
      </c>
    </row>
    <row r="1367" ht="14.25" customHeight="1">
      <c r="A1367" s="157" t="s">
        <v>1378</v>
      </c>
      <c r="B1367" s="158" t="s">
        <v>29</v>
      </c>
      <c r="C1367" s="158" t="s">
        <v>1365</v>
      </c>
      <c r="D1367" s="159">
        <v>43917.0</v>
      </c>
      <c r="E1367" s="157" t="s">
        <v>731</v>
      </c>
      <c r="F1367" s="160">
        <v>202662.86</v>
      </c>
      <c r="G1367" s="160">
        <v>32426.06</v>
      </c>
      <c r="H1367" s="160">
        <f t="shared" si="43"/>
        <v>235088.92</v>
      </c>
      <c r="I1367" s="160"/>
      <c r="J1367" s="161"/>
      <c r="K1367" s="160"/>
      <c r="L1367" s="160">
        <f>+'FACP$'!$H1367-'FACP$'!$I1367-'FACP$'!$K1367</f>
        <v>235088.92</v>
      </c>
      <c r="M1367" s="162" t="s">
        <v>130</v>
      </c>
      <c r="N1367" s="162" t="s">
        <v>554</v>
      </c>
      <c r="O1367" s="175">
        <v>43942.0</v>
      </c>
      <c r="P1367" s="164">
        <f t="shared" si="13"/>
        <v>43927</v>
      </c>
      <c r="Q1367" s="165">
        <f t="shared" si="2"/>
        <v>0</v>
      </c>
      <c r="R1367" s="167"/>
      <c r="S1367" s="167"/>
      <c r="T1367" s="168">
        <f t="shared" si="3"/>
        <v>235088.92</v>
      </c>
      <c r="U1367" s="168">
        <f t="shared" si="4"/>
        <v>0</v>
      </c>
      <c r="V1367" s="168">
        <f t="shared" si="5"/>
        <v>0</v>
      </c>
      <c r="W1367" s="168">
        <f t="shared" si="6"/>
        <v>0</v>
      </c>
      <c r="X1367" s="168">
        <f t="shared" si="7"/>
        <v>0</v>
      </c>
      <c r="Y1367" s="168">
        <f t="shared" si="8"/>
        <v>0</v>
      </c>
      <c r="Z1367" s="168">
        <f t="shared" si="9"/>
        <v>0</v>
      </c>
    </row>
    <row r="1368" ht="14.25" customHeight="1">
      <c r="A1368" s="157" t="s">
        <v>1379</v>
      </c>
      <c r="B1368" s="158" t="s">
        <v>29</v>
      </c>
      <c r="C1368" s="158" t="s">
        <v>1380</v>
      </c>
      <c r="D1368" s="159">
        <v>43917.0</v>
      </c>
      <c r="E1368" s="157" t="s">
        <v>731</v>
      </c>
      <c r="F1368" s="160">
        <v>368772.33</v>
      </c>
      <c r="G1368" s="160">
        <v>59003.57</v>
      </c>
      <c r="H1368" s="160">
        <f t="shared" si="43"/>
        <v>427775.9</v>
      </c>
      <c r="I1368" s="160"/>
      <c r="J1368" s="161"/>
      <c r="K1368" s="160"/>
      <c r="L1368" s="160">
        <f>+'FACP$'!$H1368-'FACP$'!$I1368-'FACP$'!$K1368</f>
        <v>427775.9</v>
      </c>
      <c r="M1368" s="162" t="s">
        <v>130</v>
      </c>
      <c r="N1368" s="162" t="s">
        <v>554</v>
      </c>
      <c r="O1368" s="175">
        <v>43924.0</v>
      </c>
      <c r="P1368" s="164">
        <f t="shared" si="13"/>
        <v>43927</v>
      </c>
      <c r="Q1368" s="165">
        <f t="shared" si="2"/>
        <v>0</v>
      </c>
      <c r="R1368" s="167"/>
      <c r="S1368" s="167"/>
      <c r="T1368" s="168">
        <f t="shared" si="3"/>
        <v>427775.9</v>
      </c>
      <c r="U1368" s="168">
        <f t="shared" si="4"/>
        <v>0</v>
      </c>
      <c r="V1368" s="168">
        <f t="shared" si="5"/>
        <v>0</v>
      </c>
      <c r="W1368" s="168">
        <f t="shared" si="6"/>
        <v>0</v>
      </c>
      <c r="X1368" s="168">
        <f t="shared" si="7"/>
        <v>0</v>
      </c>
      <c r="Y1368" s="168">
        <f t="shared" si="8"/>
        <v>0</v>
      </c>
      <c r="Z1368" s="168">
        <f t="shared" si="9"/>
        <v>0</v>
      </c>
    </row>
    <row r="1369" ht="14.25" customHeight="1">
      <c r="A1369" s="157" t="s">
        <v>1381</v>
      </c>
      <c r="B1369" s="158" t="s">
        <v>18</v>
      </c>
      <c r="C1369" s="158" t="s">
        <v>1365</v>
      </c>
      <c r="D1369" s="159">
        <v>43917.0</v>
      </c>
      <c r="E1369" s="157" t="s">
        <v>731</v>
      </c>
      <c r="F1369" s="160">
        <v>92847.74</v>
      </c>
      <c r="G1369" s="160">
        <v>14855.64</v>
      </c>
      <c r="H1369" s="160">
        <f t="shared" si="43"/>
        <v>107703.38</v>
      </c>
      <c r="I1369" s="160"/>
      <c r="J1369" s="161"/>
      <c r="K1369" s="160"/>
      <c r="L1369" s="160">
        <f>+'FACP$'!$H1369-'FACP$'!$I1369-'FACP$'!$K1369</f>
        <v>107703.38</v>
      </c>
      <c r="M1369" s="162" t="s">
        <v>586</v>
      </c>
      <c r="N1369" s="162" t="s">
        <v>554</v>
      </c>
      <c r="O1369" s="175">
        <v>43979.0</v>
      </c>
      <c r="P1369" s="164">
        <f t="shared" si="13"/>
        <v>43927</v>
      </c>
      <c r="Q1369" s="165">
        <f t="shared" si="2"/>
        <v>0</v>
      </c>
      <c r="R1369" s="167"/>
      <c r="S1369" s="167" t="s">
        <v>910</v>
      </c>
      <c r="T1369" s="168">
        <f t="shared" si="3"/>
        <v>107703.38</v>
      </c>
      <c r="U1369" s="168">
        <f t="shared" si="4"/>
        <v>0</v>
      </c>
      <c r="V1369" s="168">
        <f t="shared" si="5"/>
        <v>0</v>
      </c>
      <c r="W1369" s="168">
        <f t="shared" si="6"/>
        <v>0</v>
      </c>
      <c r="X1369" s="168">
        <f t="shared" si="7"/>
        <v>0</v>
      </c>
      <c r="Y1369" s="168">
        <f t="shared" si="8"/>
        <v>0</v>
      </c>
      <c r="Z1369" s="168">
        <f t="shared" si="9"/>
        <v>0</v>
      </c>
    </row>
    <row r="1370" ht="14.25" customHeight="1">
      <c r="A1370" s="157" t="s">
        <v>1382</v>
      </c>
      <c r="B1370" s="158" t="s">
        <v>16</v>
      </c>
      <c r="C1370" s="158" t="s">
        <v>1365</v>
      </c>
      <c r="D1370" s="159">
        <v>43917.0</v>
      </c>
      <c r="E1370" s="157" t="s">
        <v>731</v>
      </c>
      <c r="F1370" s="160">
        <v>167968.79</v>
      </c>
      <c r="G1370" s="160">
        <v>26875.01</v>
      </c>
      <c r="H1370" s="160">
        <f t="shared" si="43"/>
        <v>194843.8</v>
      </c>
      <c r="I1370" s="160"/>
      <c r="J1370" s="161"/>
      <c r="K1370" s="160"/>
      <c r="L1370" s="160">
        <f>+'FACP$'!$H1370-'FACP$'!$I1370-'FACP$'!$K1370</f>
        <v>194843.8</v>
      </c>
      <c r="M1370" s="162" t="s">
        <v>985</v>
      </c>
      <c r="N1370" s="162" t="s">
        <v>554</v>
      </c>
      <c r="O1370" s="175">
        <v>43922.0</v>
      </c>
      <c r="P1370" s="164">
        <f t="shared" si="13"/>
        <v>43927</v>
      </c>
      <c r="Q1370" s="165">
        <f t="shared" si="2"/>
        <v>0</v>
      </c>
      <c r="R1370" s="167"/>
      <c r="S1370" s="167"/>
      <c r="T1370" s="168">
        <f t="shared" si="3"/>
        <v>194843.8</v>
      </c>
      <c r="U1370" s="168">
        <f t="shared" si="4"/>
        <v>0</v>
      </c>
      <c r="V1370" s="168">
        <f t="shared" si="5"/>
        <v>0</v>
      </c>
      <c r="W1370" s="168">
        <f t="shared" si="6"/>
        <v>0</v>
      </c>
      <c r="X1370" s="168">
        <f t="shared" si="7"/>
        <v>0</v>
      </c>
      <c r="Y1370" s="168">
        <f t="shared" si="8"/>
        <v>0</v>
      </c>
      <c r="Z1370" s="168">
        <f t="shared" si="9"/>
        <v>0</v>
      </c>
    </row>
    <row r="1371" ht="14.25" customHeight="1">
      <c r="A1371" s="157" t="s">
        <v>1383</v>
      </c>
      <c r="B1371" s="158" t="s">
        <v>16</v>
      </c>
      <c r="C1371" s="158" t="s">
        <v>1380</v>
      </c>
      <c r="D1371" s="159">
        <v>43917.0</v>
      </c>
      <c r="E1371" s="157" t="s">
        <v>731</v>
      </c>
      <c r="F1371" s="160">
        <v>291757.24</v>
      </c>
      <c r="G1371" s="160">
        <v>46681.16</v>
      </c>
      <c r="H1371" s="160">
        <f t="shared" si="43"/>
        <v>338438.4</v>
      </c>
      <c r="I1371" s="160"/>
      <c r="J1371" s="161"/>
      <c r="K1371" s="160"/>
      <c r="L1371" s="160">
        <f>+'FACP$'!$H1371-'FACP$'!$I1371-'FACP$'!$K1371</f>
        <v>338438.4</v>
      </c>
      <c r="M1371" s="162" t="s">
        <v>985</v>
      </c>
      <c r="N1371" s="162" t="s">
        <v>554</v>
      </c>
      <c r="O1371" s="175">
        <v>43922.0</v>
      </c>
      <c r="P1371" s="164">
        <f t="shared" si="13"/>
        <v>43927</v>
      </c>
      <c r="Q1371" s="165">
        <f t="shared" si="2"/>
        <v>0</v>
      </c>
      <c r="R1371" s="167"/>
      <c r="S1371" s="167"/>
      <c r="T1371" s="168">
        <f t="shared" si="3"/>
        <v>338438.4</v>
      </c>
      <c r="U1371" s="168">
        <f t="shared" si="4"/>
        <v>0</v>
      </c>
      <c r="V1371" s="168">
        <f t="shared" si="5"/>
        <v>0</v>
      </c>
      <c r="W1371" s="168">
        <f t="shared" si="6"/>
        <v>0</v>
      </c>
      <c r="X1371" s="168">
        <f t="shared" si="7"/>
        <v>0</v>
      </c>
      <c r="Y1371" s="168">
        <f t="shared" si="8"/>
        <v>0</v>
      </c>
      <c r="Z1371" s="168">
        <f t="shared" si="9"/>
        <v>0</v>
      </c>
    </row>
    <row r="1372" ht="14.25" customHeight="1">
      <c r="A1372" s="157" t="s">
        <v>1384</v>
      </c>
      <c r="B1372" s="158" t="s">
        <v>43</v>
      </c>
      <c r="C1372" s="158" t="s">
        <v>1385</v>
      </c>
      <c r="D1372" s="159">
        <v>43923.0</v>
      </c>
      <c r="E1372" s="157" t="s">
        <v>731</v>
      </c>
      <c r="F1372" s="160">
        <v>365561.74</v>
      </c>
      <c r="G1372" s="160">
        <v>58489.88</v>
      </c>
      <c r="H1372" s="160">
        <f t="shared" si="43"/>
        <v>424051.62</v>
      </c>
      <c r="I1372" s="160"/>
      <c r="J1372" s="161"/>
      <c r="K1372" s="160"/>
      <c r="L1372" s="160">
        <f>+'FACP$'!$H1372-'FACP$'!$I1372-'FACP$'!$K1372</f>
        <v>424051.62</v>
      </c>
      <c r="M1372" s="162" t="s">
        <v>43</v>
      </c>
      <c r="N1372" s="162" t="s">
        <v>554</v>
      </c>
      <c r="O1372" s="175">
        <v>43929.0</v>
      </c>
      <c r="P1372" s="164">
        <f t="shared" si="13"/>
        <v>43933</v>
      </c>
      <c r="Q1372" s="165">
        <f t="shared" si="2"/>
        <v>0</v>
      </c>
      <c r="R1372" s="167"/>
      <c r="S1372" s="220" t="s">
        <v>910</v>
      </c>
      <c r="T1372" s="168">
        <f t="shared" si="3"/>
        <v>424051.62</v>
      </c>
      <c r="U1372" s="168">
        <f t="shared" si="4"/>
        <v>0</v>
      </c>
      <c r="V1372" s="168">
        <f t="shared" si="5"/>
        <v>0</v>
      </c>
      <c r="W1372" s="168">
        <f t="shared" si="6"/>
        <v>0</v>
      </c>
      <c r="X1372" s="168">
        <f t="shared" si="7"/>
        <v>0</v>
      </c>
      <c r="Y1372" s="168">
        <f t="shared" si="8"/>
        <v>0</v>
      </c>
      <c r="Z1372" s="168">
        <f t="shared" si="9"/>
        <v>0</v>
      </c>
    </row>
    <row r="1373" ht="14.25" customHeight="1">
      <c r="A1373" s="157" t="s">
        <v>1386</v>
      </c>
      <c r="B1373" s="158" t="s">
        <v>1127</v>
      </c>
      <c r="C1373" s="158" t="s">
        <v>1385</v>
      </c>
      <c r="D1373" s="159">
        <v>43923.0</v>
      </c>
      <c r="E1373" s="157" t="s">
        <v>731</v>
      </c>
      <c r="F1373" s="160">
        <v>125590.25</v>
      </c>
      <c r="G1373" s="160">
        <v>20094.44</v>
      </c>
      <c r="H1373" s="160">
        <f t="shared" si="43"/>
        <v>145684.69</v>
      </c>
      <c r="I1373" s="160"/>
      <c r="J1373" s="161"/>
      <c r="K1373" s="160"/>
      <c r="L1373" s="160">
        <f>+'FACP$'!$H1373-'FACP$'!$I1373-'FACP$'!$K1373</f>
        <v>145684.69</v>
      </c>
      <c r="M1373" s="162" t="s">
        <v>580</v>
      </c>
      <c r="N1373" s="162" t="s">
        <v>554</v>
      </c>
      <c r="O1373" s="175">
        <v>43937.0</v>
      </c>
      <c r="P1373" s="164">
        <f t="shared" si="13"/>
        <v>43933</v>
      </c>
      <c r="Q1373" s="165">
        <f t="shared" si="2"/>
        <v>0</v>
      </c>
      <c r="R1373" s="167" t="s">
        <v>1387</v>
      </c>
      <c r="S1373" s="220" t="s">
        <v>910</v>
      </c>
      <c r="T1373" s="168">
        <f t="shared" si="3"/>
        <v>145684.69</v>
      </c>
      <c r="U1373" s="168">
        <f t="shared" si="4"/>
        <v>0</v>
      </c>
      <c r="V1373" s="168">
        <f t="shared" si="5"/>
        <v>0</v>
      </c>
      <c r="W1373" s="168">
        <f t="shared" si="6"/>
        <v>0</v>
      </c>
      <c r="X1373" s="168">
        <f t="shared" si="7"/>
        <v>0</v>
      </c>
      <c r="Y1373" s="168">
        <f t="shared" si="8"/>
        <v>0</v>
      </c>
      <c r="Z1373" s="168">
        <f t="shared" si="9"/>
        <v>0</v>
      </c>
    </row>
    <row r="1374" ht="14.25" customHeight="1">
      <c r="A1374" s="157" t="s">
        <v>1388</v>
      </c>
      <c r="B1374" s="158" t="s">
        <v>36</v>
      </c>
      <c r="C1374" s="158" t="s">
        <v>1385</v>
      </c>
      <c r="D1374" s="159">
        <v>43923.0</v>
      </c>
      <c r="E1374" s="157" t="s">
        <v>731</v>
      </c>
      <c r="F1374" s="160">
        <v>59575.25</v>
      </c>
      <c r="G1374" s="160">
        <v>9532.04</v>
      </c>
      <c r="H1374" s="160">
        <f>(F1374+G1374)</f>
        <v>69107.29</v>
      </c>
      <c r="I1374" s="160"/>
      <c r="J1374" s="161"/>
      <c r="K1374" s="160"/>
      <c r="L1374" s="160">
        <f>+'FACP$'!$H1374-'FACP$'!$I1374-'FACP$'!$K1374</f>
        <v>69107.29</v>
      </c>
      <c r="M1374" s="162" t="s">
        <v>278</v>
      </c>
      <c r="N1374" s="162" t="s">
        <v>554</v>
      </c>
      <c r="O1374" s="175">
        <v>43962.0</v>
      </c>
      <c r="P1374" s="164">
        <f t="shared" si="13"/>
        <v>43933</v>
      </c>
      <c r="Q1374" s="165">
        <f t="shared" si="2"/>
        <v>0</v>
      </c>
      <c r="R1374" s="167" t="s">
        <v>1389</v>
      </c>
      <c r="S1374" s="220" t="s">
        <v>910</v>
      </c>
      <c r="T1374" s="168">
        <f t="shared" si="3"/>
        <v>69107.29</v>
      </c>
      <c r="U1374" s="168">
        <f t="shared" si="4"/>
        <v>0</v>
      </c>
      <c r="V1374" s="168">
        <f t="shared" si="5"/>
        <v>0</v>
      </c>
      <c r="W1374" s="168">
        <f t="shared" si="6"/>
        <v>0</v>
      </c>
      <c r="X1374" s="168">
        <f t="shared" si="7"/>
        <v>0</v>
      </c>
      <c r="Y1374" s="168">
        <f t="shared" si="8"/>
        <v>0</v>
      </c>
      <c r="Z1374" s="168">
        <f t="shared" si="9"/>
        <v>0</v>
      </c>
    </row>
    <row r="1375" ht="14.25" customHeight="1">
      <c r="A1375" s="157" t="s">
        <v>1390</v>
      </c>
      <c r="B1375" s="158" t="s">
        <v>35</v>
      </c>
      <c r="C1375" s="158" t="s">
        <v>1385</v>
      </c>
      <c r="D1375" s="159">
        <v>43923.0</v>
      </c>
      <c r="E1375" s="157" t="s">
        <v>731</v>
      </c>
      <c r="F1375" s="160">
        <v>158179.49</v>
      </c>
      <c r="G1375" s="160">
        <v>25308.72</v>
      </c>
      <c r="H1375" s="160">
        <f t="shared" ref="H1375:H1425" si="44">F1375+G1375</f>
        <v>183488.21</v>
      </c>
      <c r="I1375" s="160"/>
      <c r="J1375" s="161"/>
      <c r="K1375" s="160"/>
      <c r="L1375" s="160">
        <f>+'FACP$'!$H1375-'FACP$'!$I1375-'FACP$'!$K1375</f>
        <v>183488.21</v>
      </c>
      <c r="M1375" s="162" t="s">
        <v>276</v>
      </c>
      <c r="N1375" s="162" t="s">
        <v>554</v>
      </c>
      <c r="O1375" s="175">
        <v>43973.0</v>
      </c>
      <c r="P1375" s="164">
        <f t="shared" si="13"/>
        <v>43933</v>
      </c>
      <c r="Q1375" s="165">
        <f t="shared" si="2"/>
        <v>0</v>
      </c>
      <c r="R1375" s="167"/>
      <c r="S1375" s="167" t="s">
        <v>910</v>
      </c>
      <c r="T1375" s="168">
        <f t="shared" si="3"/>
        <v>183488.21</v>
      </c>
      <c r="U1375" s="168">
        <f t="shared" si="4"/>
        <v>0</v>
      </c>
      <c r="V1375" s="168">
        <f t="shared" si="5"/>
        <v>0</v>
      </c>
      <c r="W1375" s="168">
        <f t="shared" si="6"/>
        <v>0</v>
      </c>
      <c r="X1375" s="168">
        <f t="shared" si="7"/>
        <v>0</v>
      </c>
      <c r="Y1375" s="168">
        <f t="shared" si="8"/>
        <v>0</v>
      </c>
      <c r="Z1375" s="168">
        <f t="shared" si="9"/>
        <v>0</v>
      </c>
    </row>
    <row r="1376" ht="14.25" customHeight="1">
      <c r="A1376" s="157" t="s">
        <v>1391</v>
      </c>
      <c r="B1376" s="158" t="s">
        <v>33</v>
      </c>
      <c r="C1376" s="158" t="s">
        <v>1385</v>
      </c>
      <c r="D1376" s="159">
        <v>43923.0</v>
      </c>
      <c r="E1376" s="157" t="s">
        <v>731</v>
      </c>
      <c r="F1376" s="160">
        <v>539671.96</v>
      </c>
      <c r="G1376" s="160">
        <v>86347.51</v>
      </c>
      <c r="H1376" s="160">
        <f t="shared" si="44"/>
        <v>626019.47</v>
      </c>
      <c r="I1376" s="160"/>
      <c r="J1376" s="161"/>
      <c r="K1376" s="160"/>
      <c r="L1376" s="160">
        <f>+'FACP$'!$H1376-'FACP$'!$I1376-'FACP$'!$K1376</f>
        <v>626019.47</v>
      </c>
      <c r="M1376" s="162" t="s">
        <v>958</v>
      </c>
      <c r="N1376" s="162" t="s">
        <v>554</v>
      </c>
      <c r="O1376" s="175">
        <v>43929.0</v>
      </c>
      <c r="P1376" s="164">
        <f t="shared" si="13"/>
        <v>43933</v>
      </c>
      <c r="Q1376" s="165">
        <f t="shared" si="2"/>
        <v>0</v>
      </c>
      <c r="R1376" s="167"/>
      <c r="S1376" s="167" t="s">
        <v>910</v>
      </c>
      <c r="T1376" s="168">
        <f t="shared" si="3"/>
        <v>626019.47</v>
      </c>
      <c r="U1376" s="168">
        <f t="shared" si="4"/>
        <v>0</v>
      </c>
      <c r="V1376" s="168">
        <f t="shared" si="5"/>
        <v>0</v>
      </c>
      <c r="W1376" s="168">
        <f t="shared" si="6"/>
        <v>0</v>
      </c>
      <c r="X1376" s="168">
        <f t="shared" si="7"/>
        <v>0</v>
      </c>
      <c r="Y1376" s="168">
        <f t="shared" si="8"/>
        <v>0</v>
      </c>
      <c r="Z1376" s="168">
        <f t="shared" si="9"/>
        <v>0</v>
      </c>
    </row>
    <row r="1377" ht="14.25" customHeight="1">
      <c r="A1377" s="157" t="s">
        <v>1392</v>
      </c>
      <c r="B1377" s="158" t="s">
        <v>30</v>
      </c>
      <c r="C1377" s="158" t="s">
        <v>1385</v>
      </c>
      <c r="D1377" s="159">
        <v>43923.0</v>
      </c>
      <c r="E1377" s="157" t="s">
        <v>731</v>
      </c>
      <c r="F1377" s="160">
        <v>174236.6</v>
      </c>
      <c r="G1377" s="160">
        <v>27877.86</v>
      </c>
      <c r="H1377" s="160">
        <f t="shared" si="44"/>
        <v>202114.46</v>
      </c>
      <c r="I1377" s="160"/>
      <c r="J1377" s="161"/>
      <c r="K1377" s="160"/>
      <c r="L1377" s="160">
        <f>+'FACP$'!$H1377-'FACP$'!$I1377-'FACP$'!$K1377</f>
        <v>202114.46</v>
      </c>
      <c r="M1377" s="162" t="s">
        <v>891</v>
      </c>
      <c r="N1377" s="162" t="s">
        <v>127</v>
      </c>
      <c r="O1377" s="175"/>
      <c r="P1377" s="164">
        <f t="shared" si="13"/>
        <v>43933</v>
      </c>
      <c r="Q1377" s="165">
        <f t="shared" si="2"/>
        <v>0</v>
      </c>
      <c r="R1377" s="220" t="s">
        <v>1309</v>
      </c>
      <c r="S1377" s="167"/>
      <c r="T1377" s="168">
        <f t="shared" si="3"/>
        <v>202114.46</v>
      </c>
      <c r="U1377" s="168">
        <f t="shared" si="4"/>
        <v>0</v>
      </c>
      <c r="V1377" s="168">
        <f t="shared" si="5"/>
        <v>0</v>
      </c>
      <c r="W1377" s="168">
        <f t="shared" si="6"/>
        <v>0</v>
      </c>
      <c r="X1377" s="168">
        <f t="shared" si="7"/>
        <v>0</v>
      </c>
      <c r="Y1377" s="168">
        <f t="shared" si="8"/>
        <v>0</v>
      </c>
      <c r="Z1377" s="168">
        <f t="shared" si="9"/>
        <v>0</v>
      </c>
    </row>
    <row r="1378" ht="14.25" customHeight="1">
      <c r="A1378" s="157" t="s">
        <v>1393</v>
      </c>
      <c r="B1378" s="158" t="s">
        <v>37</v>
      </c>
      <c r="C1378" s="158" t="s">
        <v>1385</v>
      </c>
      <c r="D1378" s="159">
        <v>43929.0</v>
      </c>
      <c r="E1378" s="157" t="s">
        <v>731</v>
      </c>
      <c r="F1378" s="160">
        <v>1434520.21</v>
      </c>
      <c r="G1378" s="160">
        <v>229523.23</v>
      </c>
      <c r="H1378" s="160">
        <f t="shared" si="44"/>
        <v>1664043.44</v>
      </c>
      <c r="I1378" s="160"/>
      <c r="J1378" s="161"/>
      <c r="K1378" s="160"/>
      <c r="L1378" s="160">
        <f>+'FACP$'!$H1378-'FACP$'!$I1378-'FACP$'!$K1378</f>
        <v>1664043.44</v>
      </c>
      <c r="M1378" s="162" t="s">
        <v>116</v>
      </c>
      <c r="N1378" s="162" t="s">
        <v>554</v>
      </c>
      <c r="O1378" s="175">
        <v>43941.0</v>
      </c>
      <c r="P1378" s="164">
        <f t="shared" si="13"/>
        <v>43939</v>
      </c>
      <c r="Q1378" s="165">
        <f t="shared" si="2"/>
        <v>0</v>
      </c>
      <c r="R1378" s="167"/>
      <c r="S1378" s="167" t="s">
        <v>910</v>
      </c>
      <c r="T1378" s="168">
        <f t="shared" si="3"/>
        <v>1664043.44</v>
      </c>
      <c r="U1378" s="168">
        <f t="shared" si="4"/>
        <v>0</v>
      </c>
      <c r="V1378" s="168">
        <f t="shared" si="5"/>
        <v>0</v>
      </c>
      <c r="W1378" s="168">
        <f t="shared" si="6"/>
        <v>0</v>
      </c>
      <c r="X1378" s="168">
        <f t="shared" si="7"/>
        <v>0</v>
      </c>
      <c r="Y1378" s="168">
        <f t="shared" si="8"/>
        <v>0</v>
      </c>
      <c r="Z1378" s="168">
        <f t="shared" si="9"/>
        <v>0</v>
      </c>
    </row>
    <row r="1379" ht="14.25" customHeight="1">
      <c r="A1379" s="157" t="s">
        <v>1394</v>
      </c>
      <c r="B1379" s="158" t="s">
        <v>29</v>
      </c>
      <c r="C1379" s="158" t="s">
        <v>1385</v>
      </c>
      <c r="D1379" s="159">
        <v>43929.0</v>
      </c>
      <c r="E1379" s="157" t="s">
        <v>731</v>
      </c>
      <c r="F1379" s="160">
        <v>238664.76</v>
      </c>
      <c r="G1379" s="160">
        <v>38186.36</v>
      </c>
      <c r="H1379" s="160">
        <f t="shared" si="44"/>
        <v>276851.12</v>
      </c>
      <c r="I1379" s="160"/>
      <c r="J1379" s="161"/>
      <c r="K1379" s="160"/>
      <c r="L1379" s="160">
        <f>+'FACP$'!$H1379-'FACP$'!$I1379-'FACP$'!$K1379</f>
        <v>276851.12</v>
      </c>
      <c r="M1379" s="162" t="s">
        <v>130</v>
      </c>
      <c r="N1379" s="162" t="s">
        <v>554</v>
      </c>
      <c r="O1379" s="175">
        <v>43948.0</v>
      </c>
      <c r="P1379" s="164">
        <f t="shared" si="13"/>
        <v>43939</v>
      </c>
      <c r="Q1379" s="165">
        <f t="shared" si="2"/>
        <v>0</v>
      </c>
      <c r="R1379" s="167"/>
      <c r="S1379" s="167"/>
      <c r="T1379" s="168">
        <f t="shared" si="3"/>
        <v>276851.12</v>
      </c>
      <c r="U1379" s="168">
        <f t="shared" si="4"/>
        <v>0</v>
      </c>
      <c r="V1379" s="168">
        <f t="shared" si="5"/>
        <v>0</v>
      </c>
      <c r="W1379" s="168">
        <f t="shared" si="6"/>
        <v>0</v>
      </c>
      <c r="X1379" s="168">
        <f t="shared" si="7"/>
        <v>0</v>
      </c>
      <c r="Y1379" s="168">
        <f t="shared" si="8"/>
        <v>0</v>
      </c>
      <c r="Z1379" s="168">
        <f t="shared" si="9"/>
        <v>0</v>
      </c>
    </row>
    <row r="1380" ht="14.25" customHeight="1">
      <c r="A1380" s="157" t="s">
        <v>1395</v>
      </c>
      <c r="B1380" s="158" t="s">
        <v>29</v>
      </c>
      <c r="C1380" s="158" t="s">
        <v>1396</v>
      </c>
      <c r="D1380" s="159">
        <v>43929.0</v>
      </c>
      <c r="E1380" s="157" t="s">
        <v>731</v>
      </c>
      <c r="F1380" s="160">
        <v>434310.5</v>
      </c>
      <c r="G1380" s="160">
        <v>69489.68</v>
      </c>
      <c r="H1380" s="160">
        <f t="shared" si="44"/>
        <v>503800.18</v>
      </c>
      <c r="I1380" s="160"/>
      <c r="J1380" s="161"/>
      <c r="K1380" s="160"/>
      <c r="L1380" s="160">
        <f>+'FACP$'!$H1380-'FACP$'!$I1380-'FACP$'!$K1380</f>
        <v>503800.18</v>
      </c>
      <c r="M1380" s="162" t="s">
        <v>130</v>
      </c>
      <c r="N1380" s="162" t="s">
        <v>554</v>
      </c>
      <c r="O1380" s="175">
        <v>43942.0</v>
      </c>
      <c r="P1380" s="164">
        <f t="shared" si="13"/>
        <v>43939</v>
      </c>
      <c r="Q1380" s="165">
        <f t="shared" si="2"/>
        <v>0</v>
      </c>
      <c r="R1380" s="167"/>
      <c r="S1380" s="167"/>
      <c r="T1380" s="168">
        <f t="shared" si="3"/>
        <v>503800.18</v>
      </c>
      <c r="U1380" s="168">
        <f t="shared" si="4"/>
        <v>0</v>
      </c>
      <c r="V1380" s="168">
        <f t="shared" si="5"/>
        <v>0</v>
      </c>
      <c r="W1380" s="168">
        <f t="shared" si="6"/>
        <v>0</v>
      </c>
      <c r="X1380" s="168">
        <f t="shared" si="7"/>
        <v>0</v>
      </c>
      <c r="Y1380" s="168">
        <f t="shared" si="8"/>
        <v>0</v>
      </c>
      <c r="Z1380" s="168">
        <f t="shared" si="9"/>
        <v>0</v>
      </c>
    </row>
    <row r="1381" ht="14.25" customHeight="1">
      <c r="A1381" s="157" t="s">
        <v>1397</v>
      </c>
      <c r="B1381" s="158" t="s">
        <v>18</v>
      </c>
      <c r="C1381" s="158" t="s">
        <v>1385</v>
      </c>
      <c r="D1381" s="159">
        <v>43929.0</v>
      </c>
      <c r="E1381" s="157" t="s">
        <v>731</v>
      </c>
      <c r="F1381" s="160">
        <v>97721.16</v>
      </c>
      <c r="G1381" s="160">
        <v>15635.39</v>
      </c>
      <c r="H1381" s="160">
        <f t="shared" si="44"/>
        <v>113356.55</v>
      </c>
      <c r="I1381" s="160"/>
      <c r="J1381" s="161"/>
      <c r="K1381" s="160"/>
      <c r="L1381" s="160">
        <f>+'FACP$'!$H1381-'FACP$'!$I1381-'FACP$'!$K1381</f>
        <v>113356.55</v>
      </c>
      <c r="M1381" s="162" t="s">
        <v>586</v>
      </c>
      <c r="N1381" s="162" t="s">
        <v>554</v>
      </c>
      <c r="O1381" s="175">
        <v>43979.0</v>
      </c>
      <c r="P1381" s="164">
        <f t="shared" si="13"/>
        <v>43939</v>
      </c>
      <c r="Q1381" s="165">
        <f t="shared" si="2"/>
        <v>0</v>
      </c>
      <c r="R1381" s="167"/>
      <c r="S1381" s="167" t="s">
        <v>910</v>
      </c>
      <c r="T1381" s="168">
        <f t="shared" si="3"/>
        <v>113356.55</v>
      </c>
      <c r="U1381" s="168">
        <f t="shared" si="4"/>
        <v>0</v>
      </c>
      <c r="V1381" s="168">
        <f t="shared" si="5"/>
        <v>0</v>
      </c>
      <c r="W1381" s="168">
        <f t="shared" si="6"/>
        <v>0</v>
      </c>
      <c r="X1381" s="168">
        <f t="shared" si="7"/>
        <v>0</v>
      </c>
      <c r="Y1381" s="168">
        <f t="shared" si="8"/>
        <v>0</v>
      </c>
      <c r="Z1381" s="168">
        <f t="shared" si="9"/>
        <v>0</v>
      </c>
    </row>
    <row r="1382" ht="14.25" customHeight="1">
      <c r="A1382" s="157" t="s">
        <v>1398</v>
      </c>
      <c r="B1382" s="158" t="s">
        <v>16</v>
      </c>
      <c r="C1382" s="158" t="s">
        <v>1385</v>
      </c>
      <c r="D1382" s="159">
        <v>43929.0</v>
      </c>
      <c r="E1382" s="157" t="s">
        <v>731</v>
      </c>
      <c r="F1382" s="160">
        <v>204794.93</v>
      </c>
      <c r="G1382" s="160">
        <v>32767.19</v>
      </c>
      <c r="H1382" s="160">
        <f t="shared" si="44"/>
        <v>237562.12</v>
      </c>
      <c r="I1382" s="160"/>
      <c r="J1382" s="161"/>
      <c r="K1382" s="160"/>
      <c r="L1382" s="160">
        <f>+'FACP$'!$H1382-'FACP$'!$I1382-'FACP$'!$K1382</f>
        <v>237562.12</v>
      </c>
      <c r="M1382" s="162" t="s">
        <v>985</v>
      </c>
      <c r="N1382" s="162" t="s">
        <v>554</v>
      </c>
      <c r="O1382" s="175">
        <v>43937.0</v>
      </c>
      <c r="P1382" s="164">
        <f t="shared" si="13"/>
        <v>43939</v>
      </c>
      <c r="Q1382" s="165">
        <f t="shared" si="2"/>
        <v>0</v>
      </c>
      <c r="R1382" s="167"/>
      <c r="S1382" s="167"/>
      <c r="T1382" s="168">
        <f t="shared" si="3"/>
        <v>237562.12</v>
      </c>
      <c r="U1382" s="168">
        <f t="shared" si="4"/>
        <v>0</v>
      </c>
      <c r="V1382" s="168">
        <f t="shared" si="5"/>
        <v>0</v>
      </c>
      <c r="W1382" s="168">
        <f t="shared" si="6"/>
        <v>0</v>
      </c>
      <c r="X1382" s="168">
        <f t="shared" si="7"/>
        <v>0</v>
      </c>
      <c r="Y1382" s="168">
        <f t="shared" si="8"/>
        <v>0</v>
      </c>
      <c r="Z1382" s="168">
        <f t="shared" si="9"/>
        <v>0</v>
      </c>
    </row>
    <row r="1383" ht="14.25" customHeight="1">
      <c r="A1383" s="157" t="s">
        <v>1399</v>
      </c>
      <c r="B1383" s="158" t="s">
        <v>16</v>
      </c>
      <c r="C1383" s="158" t="s">
        <v>1396</v>
      </c>
      <c r="D1383" s="159">
        <v>43929.0</v>
      </c>
      <c r="E1383" s="157" t="s">
        <v>731</v>
      </c>
      <c r="F1383" s="160">
        <v>355722.93</v>
      </c>
      <c r="G1383" s="160">
        <v>56915.67</v>
      </c>
      <c r="H1383" s="160">
        <f t="shared" si="44"/>
        <v>412638.6</v>
      </c>
      <c r="I1383" s="160"/>
      <c r="J1383" s="161"/>
      <c r="K1383" s="160"/>
      <c r="L1383" s="160">
        <f>+'FACP$'!$H1383-'FACP$'!$I1383-'FACP$'!$K1383</f>
        <v>412638.6</v>
      </c>
      <c r="M1383" s="162" t="s">
        <v>985</v>
      </c>
      <c r="N1383" s="162" t="s">
        <v>554</v>
      </c>
      <c r="O1383" s="175">
        <v>43937.0</v>
      </c>
      <c r="P1383" s="164">
        <f t="shared" si="13"/>
        <v>43939</v>
      </c>
      <c r="Q1383" s="165">
        <f t="shared" si="2"/>
        <v>0</v>
      </c>
      <c r="R1383" s="167"/>
      <c r="S1383" s="167"/>
      <c r="T1383" s="168">
        <f t="shared" si="3"/>
        <v>412638.6</v>
      </c>
      <c r="U1383" s="168">
        <f t="shared" si="4"/>
        <v>0</v>
      </c>
      <c r="V1383" s="168">
        <f t="shared" si="5"/>
        <v>0</v>
      </c>
      <c r="W1383" s="168">
        <f t="shared" si="6"/>
        <v>0</v>
      </c>
      <c r="X1383" s="168">
        <f t="shared" si="7"/>
        <v>0</v>
      </c>
      <c r="Y1383" s="168">
        <f t="shared" si="8"/>
        <v>0</v>
      </c>
      <c r="Z1383" s="168">
        <f t="shared" si="9"/>
        <v>0</v>
      </c>
    </row>
    <row r="1384" ht="14.25" customHeight="1">
      <c r="A1384" s="157" t="s">
        <v>1400</v>
      </c>
      <c r="B1384" s="158" t="s">
        <v>27</v>
      </c>
      <c r="C1384" s="158" t="s">
        <v>1401</v>
      </c>
      <c r="D1384" s="159">
        <v>43930.0</v>
      </c>
      <c r="E1384" s="157" t="s">
        <v>731</v>
      </c>
      <c r="F1384" s="160">
        <v>353245.02</v>
      </c>
      <c r="G1384" s="160">
        <v>56519.2</v>
      </c>
      <c r="H1384" s="160">
        <f t="shared" si="44"/>
        <v>409764.22</v>
      </c>
      <c r="I1384" s="160"/>
      <c r="J1384" s="161"/>
      <c r="K1384" s="160"/>
      <c r="L1384" s="160">
        <f>+'FACP$'!$H1384-'FACP$'!$I1384-'FACP$'!$K1384</f>
        <v>409764.22</v>
      </c>
      <c r="M1384" s="162" t="s">
        <v>969</v>
      </c>
      <c r="N1384" s="162" t="s">
        <v>554</v>
      </c>
      <c r="O1384" s="175">
        <v>43963.0</v>
      </c>
      <c r="P1384" s="164">
        <f t="shared" si="13"/>
        <v>43940</v>
      </c>
      <c r="Q1384" s="165">
        <f t="shared" si="2"/>
        <v>0</v>
      </c>
      <c r="R1384" s="167"/>
      <c r="S1384" s="167" t="s">
        <v>910</v>
      </c>
      <c r="T1384" s="168">
        <f t="shared" si="3"/>
        <v>409764.22</v>
      </c>
      <c r="U1384" s="168">
        <f t="shared" si="4"/>
        <v>0</v>
      </c>
      <c r="V1384" s="168">
        <f t="shared" si="5"/>
        <v>0</v>
      </c>
      <c r="W1384" s="168">
        <f t="shared" si="6"/>
        <v>0</v>
      </c>
      <c r="X1384" s="168">
        <f t="shared" si="7"/>
        <v>0</v>
      </c>
      <c r="Y1384" s="168">
        <f t="shared" si="8"/>
        <v>0</v>
      </c>
      <c r="Z1384" s="168">
        <f t="shared" si="9"/>
        <v>0</v>
      </c>
    </row>
    <row r="1385" ht="14.25" customHeight="1">
      <c r="A1385" s="157" t="s">
        <v>1402</v>
      </c>
      <c r="B1385" s="158" t="s">
        <v>27</v>
      </c>
      <c r="C1385" s="158" t="s">
        <v>1403</v>
      </c>
      <c r="D1385" s="159">
        <v>43930.0</v>
      </c>
      <c r="E1385" s="157" t="s">
        <v>731</v>
      </c>
      <c r="F1385" s="160">
        <v>290972.26</v>
      </c>
      <c r="G1385" s="160">
        <v>46555.56</v>
      </c>
      <c r="H1385" s="160">
        <f t="shared" si="44"/>
        <v>337527.82</v>
      </c>
      <c r="I1385" s="160"/>
      <c r="J1385" s="161"/>
      <c r="K1385" s="160"/>
      <c r="L1385" s="160">
        <f>+'FACP$'!$H1385-'FACP$'!$I1385-'FACP$'!$K1385</f>
        <v>337527.82</v>
      </c>
      <c r="M1385" s="162" t="s">
        <v>969</v>
      </c>
      <c r="N1385" s="162" t="s">
        <v>554</v>
      </c>
      <c r="O1385" s="175">
        <v>43963.0</v>
      </c>
      <c r="P1385" s="164">
        <f t="shared" si="13"/>
        <v>43940</v>
      </c>
      <c r="Q1385" s="165">
        <f t="shared" si="2"/>
        <v>0</v>
      </c>
      <c r="R1385" s="167"/>
      <c r="S1385" s="167" t="s">
        <v>910</v>
      </c>
      <c r="T1385" s="168">
        <f t="shared" si="3"/>
        <v>337527.82</v>
      </c>
      <c r="U1385" s="168">
        <f t="shared" si="4"/>
        <v>0</v>
      </c>
      <c r="V1385" s="168">
        <f t="shared" si="5"/>
        <v>0</v>
      </c>
      <c r="W1385" s="168">
        <f t="shared" si="6"/>
        <v>0</v>
      </c>
      <c r="X1385" s="168">
        <f t="shared" si="7"/>
        <v>0</v>
      </c>
      <c r="Y1385" s="168">
        <f t="shared" si="8"/>
        <v>0</v>
      </c>
      <c r="Z1385" s="168">
        <f t="shared" si="9"/>
        <v>0</v>
      </c>
    </row>
    <row r="1386" ht="14.25" customHeight="1">
      <c r="A1386" s="157" t="s">
        <v>1404</v>
      </c>
      <c r="B1386" s="158" t="s">
        <v>27</v>
      </c>
      <c r="C1386" s="158" t="s">
        <v>1405</v>
      </c>
      <c r="D1386" s="159">
        <v>43930.0</v>
      </c>
      <c r="E1386" s="157" t="s">
        <v>731</v>
      </c>
      <c r="F1386" s="160">
        <v>29999.03</v>
      </c>
      <c r="G1386" s="160">
        <v>4799.84</v>
      </c>
      <c r="H1386" s="160">
        <f t="shared" si="44"/>
        <v>34798.87</v>
      </c>
      <c r="I1386" s="160"/>
      <c r="J1386" s="161"/>
      <c r="K1386" s="160"/>
      <c r="L1386" s="160">
        <f>+'FACP$'!$H1386-'FACP$'!$I1386-'FACP$'!$K1386</f>
        <v>34798.87</v>
      </c>
      <c r="M1386" s="162" t="s">
        <v>969</v>
      </c>
      <c r="N1386" s="162" t="s">
        <v>554</v>
      </c>
      <c r="O1386" s="175">
        <v>43963.0</v>
      </c>
      <c r="P1386" s="164">
        <f t="shared" si="13"/>
        <v>43940</v>
      </c>
      <c r="Q1386" s="165">
        <f t="shared" si="2"/>
        <v>0</v>
      </c>
      <c r="R1386" s="167"/>
      <c r="S1386" s="167" t="s">
        <v>910</v>
      </c>
      <c r="T1386" s="168">
        <f t="shared" si="3"/>
        <v>34798.87</v>
      </c>
      <c r="U1386" s="168">
        <f t="shared" si="4"/>
        <v>0</v>
      </c>
      <c r="V1386" s="168">
        <f t="shared" si="5"/>
        <v>0</v>
      </c>
      <c r="W1386" s="168">
        <f t="shared" si="6"/>
        <v>0</v>
      </c>
      <c r="X1386" s="168">
        <f t="shared" si="7"/>
        <v>0</v>
      </c>
      <c r="Y1386" s="168">
        <f t="shared" si="8"/>
        <v>0</v>
      </c>
      <c r="Z1386" s="168">
        <f t="shared" si="9"/>
        <v>0</v>
      </c>
    </row>
    <row r="1387" ht="14.25" customHeight="1">
      <c r="A1387" s="157" t="s">
        <v>1406</v>
      </c>
      <c r="B1387" s="158" t="s">
        <v>27</v>
      </c>
      <c r="C1387" s="158" t="s">
        <v>1407</v>
      </c>
      <c r="D1387" s="159">
        <v>43930.0</v>
      </c>
      <c r="E1387" s="157" t="s">
        <v>731</v>
      </c>
      <c r="F1387" s="160">
        <v>24710.57</v>
      </c>
      <c r="G1387" s="160">
        <v>3953.69</v>
      </c>
      <c r="H1387" s="160">
        <f t="shared" si="44"/>
        <v>28664.26</v>
      </c>
      <c r="I1387" s="160"/>
      <c r="J1387" s="161"/>
      <c r="K1387" s="160"/>
      <c r="L1387" s="160">
        <f>+'FACP$'!$H1387-'FACP$'!$I1387-'FACP$'!$K1387</f>
        <v>28664.26</v>
      </c>
      <c r="M1387" s="162" t="s">
        <v>969</v>
      </c>
      <c r="N1387" s="162" t="s">
        <v>554</v>
      </c>
      <c r="O1387" s="175">
        <v>43963.0</v>
      </c>
      <c r="P1387" s="164">
        <f t="shared" si="13"/>
        <v>43940</v>
      </c>
      <c r="Q1387" s="165">
        <f t="shared" si="2"/>
        <v>0</v>
      </c>
      <c r="R1387" s="167"/>
      <c r="S1387" s="167" t="s">
        <v>910</v>
      </c>
      <c r="T1387" s="168">
        <f t="shared" si="3"/>
        <v>28664.26</v>
      </c>
      <c r="U1387" s="168">
        <f t="shared" si="4"/>
        <v>0</v>
      </c>
      <c r="V1387" s="168">
        <f t="shared" si="5"/>
        <v>0</v>
      </c>
      <c r="W1387" s="168">
        <f t="shared" si="6"/>
        <v>0</v>
      </c>
      <c r="X1387" s="168">
        <f t="shared" si="7"/>
        <v>0</v>
      </c>
      <c r="Y1387" s="168">
        <f t="shared" si="8"/>
        <v>0</v>
      </c>
      <c r="Z1387" s="168">
        <f t="shared" si="9"/>
        <v>0</v>
      </c>
    </row>
    <row r="1388" ht="14.25" customHeight="1">
      <c r="A1388" s="157" t="s">
        <v>1408</v>
      </c>
      <c r="B1388" s="158" t="s">
        <v>29</v>
      </c>
      <c r="C1388" s="158" t="s">
        <v>1409</v>
      </c>
      <c r="D1388" s="159">
        <v>43936.0</v>
      </c>
      <c r="E1388" s="157" t="s">
        <v>731</v>
      </c>
      <c r="F1388" s="160">
        <v>300897.7</v>
      </c>
      <c r="G1388" s="160">
        <v>48143.63</v>
      </c>
      <c r="H1388" s="160">
        <f t="shared" si="44"/>
        <v>349041.33</v>
      </c>
      <c r="I1388" s="160"/>
      <c r="J1388" s="161"/>
      <c r="K1388" s="160"/>
      <c r="L1388" s="160">
        <f>+'FACP$'!$H1388-'FACP$'!$I1388-'FACP$'!$K1388</f>
        <v>349041.33</v>
      </c>
      <c r="M1388" s="162" t="s">
        <v>850</v>
      </c>
      <c r="N1388" s="162" t="s">
        <v>554</v>
      </c>
      <c r="O1388" s="175">
        <v>43958.0</v>
      </c>
      <c r="P1388" s="164">
        <f t="shared" si="13"/>
        <v>43946</v>
      </c>
      <c r="Q1388" s="165">
        <f t="shared" si="2"/>
        <v>0</v>
      </c>
      <c r="R1388" s="167"/>
      <c r="S1388" s="167"/>
      <c r="T1388" s="168">
        <f t="shared" si="3"/>
        <v>349041.33</v>
      </c>
      <c r="U1388" s="168">
        <f t="shared" si="4"/>
        <v>0</v>
      </c>
      <c r="V1388" s="168">
        <f t="shared" si="5"/>
        <v>0</v>
      </c>
      <c r="W1388" s="168">
        <f t="shared" si="6"/>
        <v>0</v>
      </c>
      <c r="X1388" s="168">
        <f t="shared" si="7"/>
        <v>0</v>
      </c>
      <c r="Y1388" s="168">
        <f t="shared" si="8"/>
        <v>0</v>
      </c>
      <c r="Z1388" s="168">
        <f t="shared" si="9"/>
        <v>0</v>
      </c>
    </row>
    <row r="1389" ht="14.25" customHeight="1">
      <c r="A1389" s="157" t="s">
        <v>1410</v>
      </c>
      <c r="B1389" s="158" t="s">
        <v>29</v>
      </c>
      <c r="C1389" s="158" t="s">
        <v>1411</v>
      </c>
      <c r="D1389" s="159">
        <v>43936.0</v>
      </c>
      <c r="E1389" s="157" t="s">
        <v>731</v>
      </c>
      <c r="F1389" s="160">
        <v>264914.04</v>
      </c>
      <c r="G1389" s="160">
        <v>42386.25</v>
      </c>
      <c r="H1389" s="160">
        <f t="shared" si="44"/>
        <v>307300.29</v>
      </c>
      <c r="I1389" s="160"/>
      <c r="J1389" s="161"/>
      <c r="K1389" s="160"/>
      <c r="L1389" s="160">
        <f>+'FACP$'!$H1389-'FACP$'!$I1389-'FACP$'!$K1389</f>
        <v>307300.29</v>
      </c>
      <c r="M1389" s="162" t="s">
        <v>1087</v>
      </c>
      <c r="N1389" s="162" t="s">
        <v>554</v>
      </c>
      <c r="O1389" s="175">
        <v>43958.0</v>
      </c>
      <c r="P1389" s="164">
        <f t="shared" si="13"/>
        <v>43946</v>
      </c>
      <c r="Q1389" s="165">
        <f t="shared" si="2"/>
        <v>0</v>
      </c>
      <c r="R1389" s="167"/>
      <c r="S1389" s="167"/>
      <c r="T1389" s="168">
        <f t="shared" si="3"/>
        <v>307300.29</v>
      </c>
      <c r="U1389" s="168">
        <f t="shared" si="4"/>
        <v>0</v>
      </c>
      <c r="V1389" s="168">
        <f t="shared" si="5"/>
        <v>0</v>
      </c>
      <c r="W1389" s="168">
        <f t="shared" si="6"/>
        <v>0</v>
      </c>
      <c r="X1389" s="168">
        <f t="shared" si="7"/>
        <v>0</v>
      </c>
      <c r="Y1389" s="168">
        <f t="shared" si="8"/>
        <v>0</v>
      </c>
      <c r="Z1389" s="168">
        <f t="shared" si="9"/>
        <v>0</v>
      </c>
    </row>
    <row r="1390" ht="14.25" customHeight="1">
      <c r="A1390" s="157" t="s">
        <v>1412</v>
      </c>
      <c r="B1390" s="158" t="s">
        <v>29</v>
      </c>
      <c r="C1390" s="158" t="s">
        <v>1413</v>
      </c>
      <c r="D1390" s="159">
        <v>43936.0</v>
      </c>
      <c r="E1390" s="157" t="s">
        <v>731</v>
      </c>
      <c r="F1390" s="160">
        <v>267072.5</v>
      </c>
      <c r="G1390" s="160">
        <v>42731.6</v>
      </c>
      <c r="H1390" s="160">
        <f t="shared" si="44"/>
        <v>309804.1</v>
      </c>
      <c r="I1390" s="160"/>
      <c r="J1390" s="161"/>
      <c r="K1390" s="160"/>
      <c r="L1390" s="160">
        <f>+'FACP$'!$H1390-'FACP$'!$I1390-'FACP$'!$K1390</f>
        <v>309804.1</v>
      </c>
      <c r="M1390" s="162" t="s">
        <v>850</v>
      </c>
      <c r="N1390" s="162" t="s">
        <v>554</v>
      </c>
      <c r="O1390" s="175">
        <v>43958.0</v>
      </c>
      <c r="P1390" s="164">
        <f t="shared" si="13"/>
        <v>43946</v>
      </c>
      <c r="Q1390" s="165">
        <f t="shared" si="2"/>
        <v>0</v>
      </c>
      <c r="R1390" s="167"/>
      <c r="S1390" s="167"/>
      <c r="T1390" s="168">
        <f t="shared" si="3"/>
        <v>309804.1</v>
      </c>
      <c r="U1390" s="168">
        <f t="shared" si="4"/>
        <v>0</v>
      </c>
      <c r="V1390" s="168">
        <f t="shared" si="5"/>
        <v>0</v>
      </c>
      <c r="W1390" s="168">
        <f t="shared" si="6"/>
        <v>0</v>
      </c>
      <c r="X1390" s="168">
        <f t="shared" si="7"/>
        <v>0</v>
      </c>
      <c r="Y1390" s="168">
        <f t="shared" si="8"/>
        <v>0</v>
      </c>
      <c r="Z1390" s="168">
        <f t="shared" si="9"/>
        <v>0</v>
      </c>
    </row>
    <row r="1391" ht="14.25" customHeight="1">
      <c r="A1391" s="157" t="s">
        <v>1414</v>
      </c>
      <c r="B1391" s="158" t="s">
        <v>29</v>
      </c>
      <c r="C1391" s="158" t="s">
        <v>1415</v>
      </c>
      <c r="D1391" s="159">
        <v>43936.0</v>
      </c>
      <c r="E1391" s="157" t="s">
        <v>731</v>
      </c>
      <c r="F1391" s="160">
        <v>244943.32</v>
      </c>
      <c r="G1391" s="160">
        <v>39190.93</v>
      </c>
      <c r="H1391" s="160">
        <f t="shared" si="44"/>
        <v>284134.25</v>
      </c>
      <c r="I1391" s="160"/>
      <c r="J1391" s="161"/>
      <c r="K1391" s="160"/>
      <c r="L1391" s="160">
        <f>+'FACP$'!$H1391-'FACP$'!$I1391-'FACP$'!$K1391</f>
        <v>284134.25</v>
      </c>
      <c r="M1391" s="162" t="s">
        <v>1087</v>
      </c>
      <c r="N1391" s="162" t="s">
        <v>554</v>
      </c>
      <c r="O1391" s="175">
        <v>43958.0</v>
      </c>
      <c r="P1391" s="164">
        <f t="shared" si="13"/>
        <v>43946</v>
      </c>
      <c r="Q1391" s="165">
        <f t="shared" si="2"/>
        <v>0</v>
      </c>
      <c r="R1391" s="167"/>
      <c r="S1391" s="167"/>
      <c r="T1391" s="168">
        <f t="shared" si="3"/>
        <v>284134.25</v>
      </c>
      <c r="U1391" s="168">
        <f t="shared" si="4"/>
        <v>0</v>
      </c>
      <c r="V1391" s="168">
        <f t="shared" si="5"/>
        <v>0</v>
      </c>
      <c r="W1391" s="168">
        <f t="shared" si="6"/>
        <v>0</v>
      </c>
      <c r="X1391" s="168">
        <f t="shared" si="7"/>
        <v>0</v>
      </c>
      <c r="Y1391" s="168">
        <f t="shared" si="8"/>
        <v>0</v>
      </c>
      <c r="Z1391" s="168">
        <f t="shared" si="9"/>
        <v>0</v>
      </c>
    </row>
    <row r="1392" ht="14.25" customHeight="1">
      <c r="A1392" s="157" t="s">
        <v>1416</v>
      </c>
      <c r="B1392" s="158" t="s">
        <v>127</v>
      </c>
      <c r="C1392" s="158"/>
      <c r="D1392" s="159"/>
      <c r="E1392" s="157"/>
      <c r="F1392" s="160"/>
      <c r="G1392" s="160"/>
      <c r="H1392" s="160">
        <f t="shared" si="44"/>
        <v>0</v>
      </c>
      <c r="I1392" s="160"/>
      <c r="J1392" s="161"/>
      <c r="K1392" s="160"/>
      <c r="L1392" s="160">
        <f>+'FACP$'!$H1392-'FACP$'!$I1392-'FACP$'!$K1392</f>
        <v>0</v>
      </c>
      <c r="M1392" s="162"/>
      <c r="N1392" s="162" t="s">
        <v>127</v>
      </c>
      <c r="O1392" s="175"/>
      <c r="P1392" s="164">
        <f t="shared" si="13"/>
        <v>10</v>
      </c>
      <c r="Q1392" s="165">
        <f t="shared" si="2"/>
        <v>0</v>
      </c>
      <c r="R1392" s="167"/>
      <c r="S1392" s="167"/>
      <c r="T1392" s="168">
        <f t="shared" si="3"/>
        <v>0</v>
      </c>
      <c r="U1392" s="168">
        <f t="shared" si="4"/>
        <v>0</v>
      </c>
      <c r="V1392" s="168">
        <f t="shared" si="5"/>
        <v>0</v>
      </c>
      <c r="W1392" s="168">
        <f t="shared" si="6"/>
        <v>0</v>
      </c>
      <c r="X1392" s="168">
        <f t="shared" si="7"/>
        <v>0</v>
      </c>
      <c r="Y1392" s="168">
        <f t="shared" si="8"/>
        <v>0</v>
      </c>
      <c r="Z1392" s="168">
        <f t="shared" si="9"/>
        <v>0</v>
      </c>
    </row>
    <row r="1393" ht="14.25" customHeight="1">
      <c r="A1393" s="157" t="s">
        <v>1417</v>
      </c>
      <c r="B1393" s="158" t="s">
        <v>30</v>
      </c>
      <c r="C1393" s="158" t="s">
        <v>1418</v>
      </c>
      <c r="D1393" s="159">
        <v>43937.0</v>
      </c>
      <c r="E1393" s="157" t="s">
        <v>731</v>
      </c>
      <c r="F1393" s="160">
        <v>7906.07</v>
      </c>
      <c r="G1393" s="160">
        <v>1264.97</v>
      </c>
      <c r="H1393" s="160">
        <f t="shared" si="44"/>
        <v>9171.04</v>
      </c>
      <c r="I1393" s="160"/>
      <c r="J1393" s="161"/>
      <c r="K1393" s="160"/>
      <c r="L1393" s="160">
        <f>+'FACP$'!$H1393-'FACP$'!$I1393-'FACP$'!$K1393</f>
        <v>9171.04</v>
      </c>
      <c r="M1393" s="162" t="s">
        <v>891</v>
      </c>
      <c r="N1393" s="162" t="s">
        <v>127</v>
      </c>
      <c r="O1393" s="175"/>
      <c r="P1393" s="164">
        <f t="shared" si="13"/>
        <v>43947</v>
      </c>
      <c r="Q1393" s="165">
        <f t="shared" si="2"/>
        <v>0</v>
      </c>
      <c r="R1393" s="220" t="s">
        <v>1309</v>
      </c>
      <c r="S1393" s="167"/>
      <c r="T1393" s="168">
        <f t="shared" si="3"/>
        <v>9171.04</v>
      </c>
      <c r="U1393" s="168">
        <f t="shared" si="4"/>
        <v>0</v>
      </c>
      <c r="V1393" s="168">
        <f t="shared" si="5"/>
        <v>0</v>
      </c>
      <c r="W1393" s="168">
        <f t="shared" si="6"/>
        <v>0</v>
      </c>
      <c r="X1393" s="168">
        <f t="shared" si="7"/>
        <v>0</v>
      </c>
      <c r="Y1393" s="168">
        <f t="shared" si="8"/>
        <v>0</v>
      </c>
      <c r="Z1393" s="168">
        <f t="shared" si="9"/>
        <v>0</v>
      </c>
    </row>
    <row r="1394" ht="14.25" customHeight="1">
      <c r="A1394" s="157" t="s">
        <v>1419</v>
      </c>
      <c r="B1394" s="158" t="s">
        <v>33</v>
      </c>
      <c r="C1394" s="158" t="s">
        <v>1418</v>
      </c>
      <c r="D1394" s="159">
        <v>43937.0</v>
      </c>
      <c r="E1394" s="157" t="s">
        <v>731</v>
      </c>
      <c r="F1394" s="160">
        <v>426285.08</v>
      </c>
      <c r="G1394" s="160">
        <v>68205.61</v>
      </c>
      <c r="H1394" s="160">
        <f t="shared" si="44"/>
        <v>494490.69</v>
      </c>
      <c r="I1394" s="160"/>
      <c r="J1394" s="161"/>
      <c r="K1394" s="160"/>
      <c r="L1394" s="160">
        <f>+'FACP$'!$H1394-'FACP$'!$I1394-'FACP$'!$K1394</f>
        <v>494490.69</v>
      </c>
      <c r="M1394" s="162" t="s">
        <v>958</v>
      </c>
      <c r="N1394" s="162" t="s">
        <v>554</v>
      </c>
      <c r="O1394" s="175">
        <v>43945.0</v>
      </c>
      <c r="P1394" s="164">
        <f t="shared" si="13"/>
        <v>43947</v>
      </c>
      <c r="Q1394" s="165">
        <f t="shared" si="2"/>
        <v>0</v>
      </c>
      <c r="R1394" s="167"/>
      <c r="S1394" s="167" t="s">
        <v>910</v>
      </c>
      <c r="T1394" s="168">
        <f t="shared" si="3"/>
        <v>494490.69</v>
      </c>
      <c r="U1394" s="168">
        <f t="shared" si="4"/>
        <v>0</v>
      </c>
      <c r="V1394" s="168">
        <f t="shared" si="5"/>
        <v>0</v>
      </c>
      <c r="W1394" s="168">
        <f t="shared" si="6"/>
        <v>0</v>
      </c>
      <c r="X1394" s="168">
        <f t="shared" si="7"/>
        <v>0</v>
      </c>
      <c r="Y1394" s="168">
        <f t="shared" si="8"/>
        <v>0</v>
      </c>
      <c r="Z1394" s="168">
        <f t="shared" si="9"/>
        <v>0</v>
      </c>
    </row>
    <row r="1395" ht="14.25" customHeight="1">
      <c r="A1395" s="157" t="s">
        <v>1420</v>
      </c>
      <c r="B1395" s="158" t="s">
        <v>35</v>
      </c>
      <c r="C1395" s="158" t="s">
        <v>1418</v>
      </c>
      <c r="D1395" s="159">
        <v>43937.0</v>
      </c>
      <c r="E1395" s="157" t="s">
        <v>731</v>
      </c>
      <c r="F1395" s="160">
        <v>128945.22</v>
      </c>
      <c r="G1395" s="160">
        <v>20631.24</v>
      </c>
      <c r="H1395" s="160">
        <f t="shared" si="44"/>
        <v>149576.46</v>
      </c>
      <c r="I1395" s="160"/>
      <c r="J1395" s="161"/>
      <c r="K1395" s="160"/>
      <c r="L1395" s="160">
        <f>+'FACP$'!$H1395-'FACP$'!$I1395-'FACP$'!$K1395</f>
        <v>149576.46</v>
      </c>
      <c r="M1395" s="162" t="s">
        <v>276</v>
      </c>
      <c r="N1395" s="162" t="s">
        <v>554</v>
      </c>
      <c r="O1395" s="175">
        <v>44001.0</v>
      </c>
      <c r="P1395" s="164">
        <f t="shared" si="13"/>
        <v>43947</v>
      </c>
      <c r="Q1395" s="165">
        <f t="shared" si="2"/>
        <v>0</v>
      </c>
      <c r="R1395" s="167"/>
      <c r="S1395" s="220" t="s">
        <v>910</v>
      </c>
      <c r="T1395" s="168">
        <f t="shared" si="3"/>
        <v>149576.46</v>
      </c>
      <c r="U1395" s="168">
        <f t="shared" si="4"/>
        <v>0</v>
      </c>
      <c r="V1395" s="168">
        <f t="shared" si="5"/>
        <v>0</v>
      </c>
      <c r="W1395" s="168">
        <f t="shared" si="6"/>
        <v>0</v>
      </c>
      <c r="X1395" s="168">
        <f t="shared" si="7"/>
        <v>0</v>
      </c>
      <c r="Y1395" s="168">
        <f t="shared" si="8"/>
        <v>0</v>
      </c>
      <c r="Z1395" s="168">
        <f t="shared" si="9"/>
        <v>0</v>
      </c>
    </row>
    <row r="1396" ht="14.25" customHeight="1">
      <c r="A1396" s="157" t="s">
        <v>1421</v>
      </c>
      <c r="B1396" s="158" t="s">
        <v>36</v>
      </c>
      <c r="C1396" s="158" t="s">
        <v>1418</v>
      </c>
      <c r="D1396" s="159">
        <v>43937.0</v>
      </c>
      <c r="E1396" s="157" t="s">
        <v>731</v>
      </c>
      <c r="F1396" s="160">
        <v>35196.6</v>
      </c>
      <c r="G1396" s="160">
        <v>5631.46</v>
      </c>
      <c r="H1396" s="160">
        <f t="shared" si="44"/>
        <v>40828.06</v>
      </c>
      <c r="I1396" s="160"/>
      <c r="J1396" s="161"/>
      <c r="K1396" s="160"/>
      <c r="L1396" s="160">
        <f>+'FACP$'!$H1396-'FACP$'!$I1396-'FACP$'!$K1396</f>
        <v>40828.06</v>
      </c>
      <c r="M1396" s="162" t="s">
        <v>278</v>
      </c>
      <c r="N1396" s="162" t="s">
        <v>554</v>
      </c>
      <c r="O1396" s="175">
        <v>43990.0</v>
      </c>
      <c r="P1396" s="164">
        <f t="shared" si="13"/>
        <v>43947</v>
      </c>
      <c r="Q1396" s="165">
        <f t="shared" si="2"/>
        <v>0</v>
      </c>
      <c r="R1396" s="167"/>
      <c r="S1396" s="167" t="s">
        <v>910</v>
      </c>
      <c r="T1396" s="168">
        <f t="shared" si="3"/>
        <v>40828.06</v>
      </c>
      <c r="U1396" s="168">
        <f t="shared" si="4"/>
        <v>0</v>
      </c>
      <c r="V1396" s="168">
        <f t="shared" si="5"/>
        <v>0</v>
      </c>
      <c r="W1396" s="168">
        <f t="shared" si="6"/>
        <v>0</v>
      </c>
      <c r="X1396" s="168">
        <f t="shared" si="7"/>
        <v>0</v>
      </c>
      <c r="Y1396" s="168">
        <f t="shared" si="8"/>
        <v>0</v>
      </c>
      <c r="Z1396" s="168">
        <f t="shared" si="9"/>
        <v>0</v>
      </c>
    </row>
    <row r="1397" ht="14.25" customHeight="1">
      <c r="A1397" s="157" t="s">
        <v>1422</v>
      </c>
      <c r="B1397" s="158" t="s">
        <v>1127</v>
      </c>
      <c r="C1397" s="158" t="s">
        <v>1418</v>
      </c>
      <c r="D1397" s="159">
        <v>43937.0</v>
      </c>
      <c r="E1397" s="157" t="s">
        <v>731</v>
      </c>
      <c r="F1397" s="160">
        <v>868.18</v>
      </c>
      <c r="G1397" s="160">
        <v>138.91</v>
      </c>
      <c r="H1397" s="160">
        <f t="shared" si="44"/>
        <v>1007.09</v>
      </c>
      <c r="I1397" s="160"/>
      <c r="J1397" s="161"/>
      <c r="K1397" s="160"/>
      <c r="L1397" s="160">
        <f>+'FACP$'!$H1397-'FACP$'!$I1397-'FACP$'!$K1397</f>
        <v>1007.09</v>
      </c>
      <c r="M1397" s="162" t="s">
        <v>580</v>
      </c>
      <c r="N1397" s="162" t="s">
        <v>554</v>
      </c>
      <c r="O1397" s="175">
        <v>43951.0</v>
      </c>
      <c r="P1397" s="164">
        <f t="shared" si="13"/>
        <v>43947</v>
      </c>
      <c r="Q1397" s="165">
        <f t="shared" si="2"/>
        <v>0</v>
      </c>
      <c r="R1397" s="167" t="s">
        <v>1423</v>
      </c>
      <c r="S1397" s="220" t="s">
        <v>910</v>
      </c>
      <c r="T1397" s="168">
        <f t="shared" si="3"/>
        <v>1007.09</v>
      </c>
      <c r="U1397" s="168">
        <f t="shared" si="4"/>
        <v>0</v>
      </c>
      <c r="V1397" s="168">
        <f t="shared" si="5"/>
        <v>0</v>
      </c>
      <c r="W1397" s="168">
        <f t="shared" si="6"/>
        <v>0</v>
      </c>
      <c r="X1397" s="168">
        <f t="shared" si="7"/>
        <v>0</v>
      </c>
      <c r="Y1397" s="168">
        <f t="shared" si="8"/>
        <v>0</v>
      </c>
      <c r="Z1397" s="168">
        <f t="shared" si="9"/>
        <v>0</v>
      </c>
    </row>
    <row r="1398" ht="14.25" customHeight="1">
      <c r="A1398" s="157" t="s">
        <v>1424</v>
      </c>
      <c r="B1398" s="158" t="s">
        <v>43</v>
      </c>
      <c r="C1398" s="158" t="s">
        <v>1418</v>
      </c>
      <c r="D1398" s="159">
        <v>43937.0</v>
      </c>
      <c r="E1398" s="157" t="s">
        <v>731</v>
      </c>
      <c r="F1398" s="160">
        <v>89761.74</v>
      </c>
      <c r="G1398" s="160">
        <v>14361.88</v>
      </c>
      <c r="H1398" s="160">
        <f t="shared" si="44"/>
        <v>104123.62</v>
      </c>
      <c r="I1398" s="160"/>
      <c r="J1398" s="161"/>
      <c r="K1398" s="160"/>
      <c r="L1398" s="160">
        <f>+'FACP$'!$H1398-'FACP$'!$I1398-'FACP$'!$K1398</f>
        <v>104123.62</v>
      </c>
      <c r="M1398" s="162" t="s">
        <v>43</v>
      </c>
      <c r="N1398" s="162" t="s">
        <v>554</v>
      </c>
      <c r="O1398" s="175">
        <v>43951.0</v>
      </c>
      <c r="P1398" s="164">
        <f t="shared" si="13"/>
        <v>43947</v>
      </c>
      <c r="Q1398" s="165">
        <f t="shared" si="2"/>
        <v>0</v>
      </c>
      <c r="R1398" s="167"/>
      <c r="S1398" s="220" t="s">
        <v>910</v>
      </c>
      <c r="T1398" s="168">
        <f t="shared" si="3"/>
        <v>104123.62</v>
      </c>
      <c r="U1398" s="168">
        <f t="shared" si="4"/>
        <v>0</v>
      </c>
      <c r="V1398" s="168">
        <f t="shared" si="5"/>
        <v>0</v>
      </c>
      <c r="W1398" s="168">
        <f t="shared" si="6"/>
        <v>0</v>
      </c>
      <c r="X1398" s="168">
        <f t="shared" si="7"/>
        <v>0</v>
      </c>
      <c r="Y1398" s="168">
        <f t="shared" si="8"/>
        <v>0</v>
      </c>
      <c r="Z1398" s="168">
        <f t="shared" si="9"/>
        <v>0</v>
      </c>
    </row>
    <row r="1399" ht="14.25" customHeight="1">
      <c r="A1399" s="157" t="s">
        <v>1425</v>
      </c>
      <c r="B1399" s="158" t="s">
        <v>82</v>
      </c>
      <c r="C1399" s="158" t="s">
        <v>1426</v>
      </c>
      <c r="D1399" s="159">
        <v>43938.0</v>
      </c>
      <c r="E1399" s="157" t="s">
        <v>731</v>
      </c>
      <c r="F1399" s="160">
        <v>50000.0</v>
      </c>
      <c r="G1399" s="160">
        <v>8000.0</v>
      </c>
      <c r="H1399" s="160">
        <f t="shared" si="44"/>
        <v>58000</v>
      </c>
      <c r="I1399" s="160"/>
      <c r="J1399" s="161"/>
      <c r="K1399" s="160"/>
      <c r="L1399" s="160">
        <f>+'FACP$'!$H1399-'FACP$'!$I1399-'FACP$'!$K1399</f>
        <v>58000</v>
      </c>
      <c r="M1399" s="162" t="s">
        <v>714</v>
      </c>
      <c r="N1399" s="162" t="s">
        <v>127</v>
      </c>
      <c r="O1399" s="175"/>
      <c r="P1399" s="164">
        <f t="shared" si="13"/>
        <v>43948</v>
      </c>
      <c r="Q1399" s="165">
        <f t="shared" si="2"/>
        <v>0</v>
      </c>
      <c r="R1399" s="167"/>
      <c r="S1399" s="167"/>
      <c r="T1399" s="168">
        <f t="shared" si="3"/>
        <v>58000</v>
      </c>
      <c r="U1399" s="168">
        <f t="shared" si="4"/>
        <v>0</v>
      </c>
      <c r="V1399" s="168">
        <f t="shared" si="5"/>
        <v>0</v>
      </c>
      <c r="W1399" s="168">
        <f t="shared" si="6"/>
        <v>0</v>
      </c>
      <c r="X1399" s="168">
        <f t="shared" si="7"/>
        <v>0</v>
      </c>
      <c r="Y1399" s="168">
        <f t="shared" si="8"/>
        <v>0</v>
      </c>
      <c r="Z1399" s="168">
        <f t="shared" si="9"/>
        <v>0</v>
      </c>
    </row>
    <row r="1400" ht="14.25" customHeight="1">
      <c r="A1400" s="157" t="s">
        <v>1427</v>
      </c>
      <c r="B1400" s="158" t="s">
        <v>82</v>
      </c>
      <c r="C1400" s="158" t="s">
        <v>1426</v>
      </c>
      <c r="D1400" s="159">
        <v>43938.0</v>
      </c>
      <c r="E1400" s="157" t="s">
        <v>731</v>
      </c>
      <c r="F1400" s="160">
        <v>20000.0</v>
      </c>
      <c r="G1400" s="160">
        <v>3200.0</v>
      </c>
      <c r="H1400" s="160">
        <f t="shared" si="44"/>
        <v>23200</v>
      </c>
      <c r="I1400" s="160"/>
      <c r="J1400" s="161"/>
      <c r="K1400" s="160"/>
      <c r="L1400" s="160">
        <f>+'FACP$'!$H1400-'FACP$'!$I1400-'FACP$'!$K1400</f>
        <v>23200</v>
      </c>
      <c r="M1400" s="162" t="s">
        <v>714</v>
      </c>
      <c r="N1400" s="162" t="s">
        <v>127</v>
      </c>
      <c r="O1400" s="175"/>
      <c r="P1400" s="164">
        <f t="shared" si="13"/>
        <v>43948</v>
      </c>
      <c r="Q1400" s="165">
        <f t="shared" si="2"/>
        <v>0</v>
      </c>
      <c r="R1400" s="167"/>
      <c r="S1400" s="167"/>
      <c r="T1400" s="168">
        <f t="shared" si="3"/>
        <v>23200</v>
      </c>
      <c r="U1400" s="168">
        <f t="shared" si="4"/>
        <v>0</v>
      </c>
      <c r="V1400" s="168">
        <f t="shared" si="5"/>
        <v>0</v>
      </c>
      <c r="W1400" s="168">
        <f t="shared" si="6"/>
        <v>0</v>
      </c>
      <c r="X1400" s="168">
        <f t="shared" si="7"/>
        <v>0</v>
      </c>
      <c r="Y1400" s="168">
        <f t="shared" si="8"/>
        <v>0</v>
      </c>
      <c r="Z1400" s="168">
        <f t="shared" si="9"/>
        <v>0</v>
      </c>
    </row>
    <row r="1401" ht="14.25" customHeight="1">
      <c r="A1401" s="157" t="s">
        <v>1428</v>
      </c>
      <c r="B1401" s="158" t="s">
        <v>82</v>
      </c>
      <c r="C1401" s="158" t="s">
        <v>1429</v>
      </c>
      <c r="D1401" s="159">
        <v>43938.0</v>
      </c>
      <c r="E1401" s="157" t="s">
        <v>731</v>
      </c>
      <c r="F1401" s="160">
        <v>50000.0</v>
      </c>
      <c r="G1401" s="160">
        <v>8000.0</v>
      </c>
      <c r="H1401" s="160">
        <f t="shared" si="44"/>
        <v>58000</v>
      </c>
      <c r="I1401" s="160"/>
      <c r="J1401" s="161"/>
      <c r="K1401" s="160"/>
      <c r="L1401" s="160">
        <f>+'FACP$'!$H1401-'FACP$'!$I1401-'FACP$'!$K1401</f>
        <v>58000</v>
      </c>
      <c r="M1401" s="162" t="s">
        <v>714</v>
      </c>
      <c r="N1401" s="162" t="s">
        <v>127</v>
      </c>
      <c r="O1401" s="175"/>
      <c r="P1401" s="164">
        <f t="shared" si="13"/>
        <v>43948</v>
      </c>
      <c r="Q1401" s="165">
        <f t="shared" si="2"/>
        <v>0</v>
      </c>
      <c r="R1401" s="167"/>
      <c r="S1401" s="167"/>
      <c r="T1401" s="168">
        <f t="shared" si="3"/>
        <v>58000</v>
      </c>
      <c r="U1401" s="168">
        <f t="shared" si="4"/>
        <v>0</v>
      </c>
      <c r="V1401" s="168">
        <f t="shared" si="5"/>
        <v>0</v>
      </c>
      <c r="W1401" s="168">
        <f t="shared" si="6"/>
        <v>0</v>
      </c>
      <c r="X1401" s="168">
        <f t="shared" si="7"/>
        <v>0</v>
      </c>
      <c r="Y1401" s="168">
        <f t="shared" si="8"/>
        <v>0</v>
      </c>
      <c r="Z1401" s="168">
        <f t="shared" si="9"/>
        <v>0</v>
      </c>
    </row>
    <row r="1402" ht="14.25" customHeight="1">
      <c r="A1402" s="157" t="s">
        <v>1430</v>
      </c>
      <c r="B1402" s="158" t="s">
        <v>82</v>
      </c>
      <c r="C1402" s="158" t="s">
        <v>1429</v>
      </c>
      <c r="D1402" s="159">
        <v>43938.0</v>
      </c>
      <c r="E1402" s="157" t="s">
        <v>731</v>
      </c>
      <c r="F1402" s="160">
        <v>20000.0</v>
      </c>
      <c r="G1402" s="160">
        <v>3200.0</v>
      </c>
      <c r="H1402" s="160">
        <f t="shared" si="44"/>
        <v>23200</v>
      </c>
      <c r="I1402" s="160"/>
      <c r="J1402" s="161"/>
      <c r="K1402" s="160"/>
      <c r="L1402" s="160">
        <f>+'FACP$'!$H1402-'FACP$'!$I1402-'FACP$'!$K1402</f>
        <v>23200</v>
      </c>
      <c r="M1402" s="162" t="s">
        <v>714</v>
      </c>
      <c r="N1402" s="162" t="s">
        <v>127</v>
      </c>
      <c r="O1402" s="175"/>
      <c r="P1402" s="164">
        <f t="shared" si="13"/>
        <v>43948</v>
      </c>
      <c r="Q1402" s="165">
        <f t="shared" si="2"/>
        <v>0</v>
      </c>
      <c r="R1402" s="167"/>
      <c r="S1402" s="167"/>
      <c r="T1402" s="168">
        <f t="shared" si="3"/>
        <v>23200</v>
      </c>
      <c r="U1402" s="168">
        <f t="shared" si="4"/>
        <v>0</v>
      </c>
      <c r="V1402" s="168">
        <f t="shared" si="5"/>
        <v>0</v>
      </c>
      <c r="W1402" s="168">
        <f t="shared" si="6"/>
        <v>0</v>
      </c>
      <c r="X1402" s="168">
        <f t="shared" si="7"/>
        <v>0</v>
      </c>
      <c r="Y1402" s="168">
        <f t="shared" si="8"/>
        <v>0</v>
      </c>
      <c r="Z1402" s="168">
        <f t="shared" si="9"/>
        <v>0</v>
      </c>
    </row>
    <row r="1403" ht="14.25" customHeight="1">
      <c r="A1403" s="157" t="s">
        <v>1431</v>
      </c>
      <c r="B1403" s="158" t="s">
        <v>27</v>
      </c>
      <c r="C1403" s="158" t="s">
        <v>148</v>
      </c>
      <c r="D1403" s="159">
        <v>43942.0</v>
      </c>
      <c r="E1403" s="157" t="s">
        <v>731</v>
      </c>
      <c r="F1403" s="160">
        <v>85559.58</v>
      </c>
      <c r="G1403" s="160">
        <v>13689.53</v>
      </c>
      <c r="H1403" s="160">
        <f t="shared" si="44"/>
        <v>99249.11</v>
      </c>
      <c r="I1403" s="160"/>
      <c r="J1403" s="161"/>
      <c r="K1403" s="160"/>
      <c r="L1403" s="160">
        <f>+'FACP$'!$H1403-'FACP$'!$I1403-'FACP$'!$K1403</f>
        <v>99249.11</v>
      </c>
      <c r="M1403" s="162" t="s">
        <v>969</v>
      </c>
      <c r="N1403" s="162" t="s">
        <v>554</v>
      </c>
      <c r="O1403" s="175">
        <v>44158.0</v>
      </c>
      <c r="P1403" s="164">
        <f t="shared" si="13"/>
        <v>43952</v>
      </c>
      <c r="Q1403" s="165">
        <f t="shared" si="2"/>
        <v>0</v>
      </c>
      <c r="R1403" s="167" t="s">
        <v>1432</v>
      </c>
      <c r="S1403" s="167"/>
      <c r="T1403" s="168">
        <f t="shared" si="3"/>
        <v>99249.11</v>
      </c>
      <c r="U1403" s="168">
        <f t="shared" si="4"/>
        <v>0</v>
      </c>
      <c r="V1403" s="168">
        <f t="shared" si="5"/>
        <v>0</v>
      </c>
      <c r="W1403" s="168">
        <f t="shared" si="6"/>
        <v>0</v>
      </c>
      <c r="X1403" s="168">
        <f t="shared" si="7"/>
        <v>0</v>
      </c>
      <c r="Y1403" s="168">
        <f t="shared" si="8"/>
        <v>0</v>
      </c>
      <c r="Z1403" s="168">
        <f t="shared" si="9"/>
        <v>0</v>
      </c>
    </row>
    <row r="1404" ht="14.25" customHeight="1">
      <c r="A1404" s="157" t="s">
        <v>1433</v>
      </c>
      <c r="B1404" s="158" t="s">
        <v>30</v>
      </c>
      <c r="C1404" s="158" t="s">
        <v>1434</v>
      </c>
      <c r="D1404" s="159">
        <v>43943.0</v>
      </c>
      <c r="E1404" s="157" t="s">
        <v>731</v>
      </c>
      <c r="F1404" s="160">
        <v>7019.47</v>
      </c>
      <c r="G1404" s="160">
        <v>1123.12</v>
      </c>
      <c r="H1404" s="160">
        <f t="shared" si="44"/>
        <v>8142.59</v>
      </c>
      <c r="I1404" s="160"/>
      <c r="J1404" s="161"/>
      <c r="K1404" s="160"/>
      <c r="L1404" s="160">
        <f>+'FACP$'!$H1404-'FACP$'!$I1404-'FACP$'!$K1404</f>
        <v>8142.59</v>
      </c>
      <c r="M1404" s="162" t="s">
        <v>891</v>
      </c>
      <c r="N1404" s="162" t="s">
        <v>127</v>
      </c>
      <c r="O1404" s="175"/>
      <c r="P1404" s="164">
        <f t="shared" si="13"/>
        <v>43953</v>
      </c>
      <c r="Q1404" s="165">
        <f t="shared" si="2"/>
        <v>0</v>
      </c>
      <c r="R1404" s="220" t="s">
        <v>1309</v>
      </c>
      <c r="S1404" s="167"/>
      <c r="T1404" s="168">
        <f t="shared" si="3"/>
        <v>8142.59</v>
      </c>
      <c r="U1404" s="168">
        <f t="shared" si="4"/>
        <v>0</v>
      </c>
      <c r="V1404" s="168">
        <f t="shared" si="5"/>
        <v>0</v>
      </c>
      <c r="W1404" s="168">
        <f t="shared" si="6"/>
        <v>0</v>
      </c>
      <c r="X1404" s="168">
        <f t="shared" si="7"/>
        <v>0</v>
      </c>
      <c r="Y1404" s="168">
        <f t="shared" si="8"/>
        <v>0</v>
      </c>
      <c r="Z1404" s="168">
        <f t="shared" si="9"/>
        <v>0</v>
      </c>
    </row>
    <row r="1405" ht="14.25" customHeight="1">
      <c r="A1405" s="157" t="s">
        <v>1435</v>
      </c>
      <c r="B1405" s="158" t="s">
        <v>36</v>
      </c>
      <c r="C1405" s="158" t="s">
        <v>1434</v>
      </c>
      <c r="D1405" s="159">
        <v>43943.0</v>
      </c>
      <c r="E1405" s="157" t="s">
        <v>731</v>
      </c>
      <c r="F1405" s="160">
        <v>15033.94</v>
      </c>
      <c r="G1405" s="160">
        <v>2405.43</v>
      </c>
      <c r="H1405" s="160">
        <f t="shared" si="44"/>
        <v>17439.37</v>
      </c>
      <c r="I1405" s="160"/>
      <c r="J1405" s="161"/>
      <c r="K1405" s="160"/>
      <c r="L1405" s="160">
        <f>+'FACP$'!$H1405-'FACP$'!$I1405-'FACP$'!$K1405</f>
        <v>17439.37</v>
      </c>
      <c r="M1405" s="162" t="s">
        <v>278</v>
      </c>
      <c r="N1405" s="162" t="s">
        <v>554</v>
      </c>
      <c r="O1405" s="175">
        <v>44118.0</v>
      </c>
      <c r="P1405" s="164">
        <f t="shared" si="13"/>
        <v>43953</v>
      </c>
      <c r="Q1405" s="165">
        <f t="shared" si="2"/>
        <v>0</v>
      </c>
      <c r="R1405" s="167" t="s">
        <v>1436</v>
      </c>
      <c r="S1405" s="220" t="s">
        <v>910</v>
      </c>
      <c r="T1405" s="168">
        <f t="shared" si="3"/>
        <v>17439.37</v>
      </c>
      <c r="U1405" s="168">
        <f t="shared" si="4"/>
        <v>0</v>
      </c>
      <c r="V1405" s="168">
        <f t="shared" si="5"/>
        <v>0</v>
      </c>
      <c r="W1405" s="168">
        <f t="shared" si="6"/>
        <v>0</v>
      </c>
      <c r="X1405" s="168">
        <f t="shared" si="7"/>
        <v>0</v>
      </c>
      <c r="Y1405" s="168">
        <f t="shared" si="8"/>
        <v>0</v>
      </c>
      <c r="Z1405" s="168">
        <f t="shared" si="9"/>
        <v>0</v>
      </c>
    </row>
    <row r="1406" ht="14.25" customHeight="1">
      <c r="A1406" s="157" t="s">
        <v>1437</v>
      </c>
      <c r="B1406" s="158" t="s">
        <v>1127</v>
      </c>
      <c r="C1406" s="158" t="s">
        <v>1434</v>
      </c>
      <c r="D1406" s="159">
        <v>43943.0</v>
      </c>
      <c r="E1406" s="157" t="s">
        <v>731</v>
      </c>
      <c r="F1406" s="160">
        <v>312816.56</v>
      </c>
      <c r="G1406" s="160">
        <v>50050.65</v>
      </c>
      <c r="H1406" s="160">
        <f t="shared" si="44"/>
        <v>362867.21</v>
      </c>
      <c r="I1406" s="160"/>
      <c r="J1406" s="161"/>
      <c r="K1406" s="160"/>
      <c r="L1406" s="160">
        <f>+'FACP$'!$H1406-'FACP$'!$I1406-'FACP$'!$K1406</f>
        <v>362867.21</v>
      </c>
      <c r="M1406" s="162" t="s">
        <v>580</v>
      </c>
      <c r="N1406" s="162" t="s">
        <v>554</v>
      </c>
      <c r="O1406" s="175">
        <v>43951.0</v>
      </c>
      <c r="P1406" s="164">
        <f t="shared" si="13"/>
        <v>43953</v>
      </c>
      <c r="Q1406" s="165">
        <f t="shared" si="2"/>
        <v>0</v>
      </c>
      <c r="R1406" s="167" t="s">
        <v>1438</v>
      </c>
      <c r="S1406" s="220" t="s">
        <v>910</v>
      </c>
      <c r="T1406" s="168">
        <f t="shared" si="3"/>
        <v>362867.21</v>
      </c>
      <c r="U1406" s="168">
        <f t="shared" si="4"/>
        <v>0</v>
      </c>
      <c r="V1406" s="168">
        <f t="shared" si="5"/>
        <v>0</v>
      </c>
      <c r="W1406" s="168">
        <f t="shared" si="6"/>
        <v>0</v>
      </c>
      <c r="X1406" s="168">
        <f t="shared" si="7"/>
        <v>0</v>
      </c>
      <c r="Y1406" s="168">
        <f t="shared" si="8"/>
        <v>0</v>
      </c>
      <c r="Z1406" s="168">
        <f t="shared" si="9"/>
        <v>0</v>
      </c>
    </row>
    <row r="1407" ht="14.25" customHeight="1">
      <c r="A1407" s="157" t="s">
        <v>1439</v>
      </c>
      <c r="B1407" s="158" t="s">
        <v>33</v>
      </c>
      <c r="C1407" s="158" t="s">
        <v>1434</v>
      </c>
      <c r="D1407" s="159">
        <v>43943.0</v>
      </c>
      <c r="E1407" s="157" t="s">
        <v>731</v>
      </c>
      <c r="F1407" s="160">
        <v>23388.39</v>
      </c>
      <c r="G1407" s="160">
        <v>3742.14</v>
      </c>
      <c r="H1407" s="160">
        <f t="shared" si="44"/>
        <v>27130.53</v>
      </c>
      <c r="I1407" s="160"/>
      <c r="J1407" s="161"/>
      <c r="K1407" s="160"/>
      <c r="L1407" s="160">
        <f>+'FACP$'!$H1407-'FACP$'!$I1407-'FACP$'!$K1407</f>
        <v>27130.53</v>
      </c>
      <c r="M1407" s="162" t="s">
        <v>958</v>
      </c>
      <c r="N1407" s="162" t="s">
        <v>127</v>
      </c>
      <c r="O1407" s="175"/>
      <c r="P1407" s="164">
        <f t="shared" si="13"/>
        <v>43953</v>
      </c>
      <c r="Q1407" s="165">
        <f t="shared" si="2"/>
        <v>0</v>
      </c>
      <c r="R1407" s="167" t="s">
        <v>1440</v>
      </c>
      <c r="S1407" s="167"/>
      <c r="T1407" s="168">
        <f t="shared" si="3"/>
        <v>27130.53</v>
      </c>
      <c r="U1407" s="168">
        <f t="shared" si="4"/>
        <v>0</v>
      </c>
      <c r="V1407" s="168">
        <f t="shared" si="5"/>
        <v>0</v>
      </c>
      <c r="W1407" s="168">
        <f t="shared" si="6"/>
        <v>0</v>
      </c>
      <c r="X1407" s="168">
        <f t="shared" si="7"/>
        <v>0</v>
      </c>
      <c r="Y1407" s="168">
        <f t="shared" si="8"/>
        <v>0</v>
      </c>
      <c r="Z1407" s="168">
        <f t="shared" si="9"/>
        <v>0</v>
      </c>
    </row>
    <row r="1408" ht="14.25" customHeight="1">
      <c r="A1408" s="157" t="s">
        <v>1441</v>
      </c>
      <c r="B1408" s="158" t="s">
        <v>35</v>
      </c>
      <c r="C1408" s="158" t="s">
        <v>1434</v>
      </c>
      <c r="D1408" s="159">
        <v>43943.0</v>
      </c>
      <c r="E1408" s="157" t="s">
        <v>731</v>
      </c>
      <c r="F1408" s="160">
        <v>19575.93</v>
      </c>
      <c r="G1408" s="160">
        <v>3132.15</v>
      </c>
      <c r="H1408" s="160">
        <f t="shared" si="44"/>
        <v>22708.08</v>
      </c>
      <c r="I1408" s="160"/>
      <c r="J1408" s="161"/>
      <c r="K1408" s="160"/>
      <c r="L1408" s="160">
        <f>+'FACP$'!$H1408-'FACP$'!$I1408-'FACP$'!$K1408</f>
        <v>22708.08</v>
      </c>
      <c r="M1408" s="162" t="s">
        <v>276</v>
      </c>
      <c r="N1408" s="162" t="s">
        <v>554</v>
      </c>
      <c r="O1408" s="175">
        <v>44042.0</v>
      </c>
      <c r="P1408" s="164">
        <f t="shared" si="13"/>
        <v>43953</v>
      </c>
      <c r="Q1408" s="165">
        <f t="shared" si="2"/>
        <v>0</v>
      </c>
      <c r="R1408" s="167"/>
      <c r="S1408" s="167" t="s">
        <v>910</v>
      </c>
      <c r="T1408" s="168">
        <f t="shared" si="3"/>
        <v>22708.08</v>
      </c>
      <c r="U1408" s="168">
        <f t="shared" si="4"/>
        <v>0</v>
      </c>
      <c r="V1408" s="168">
        <f t="shared" si="5"/>
        <v>0</v>
      </c>
      <c r="W1408" s="168">
        <f t="shared" si="6"/>
        <v>0</v>
      </c>
      <c r="X1408" s="168">
        <f t="shared" si="7"/>
        <v>0</v>
      </c>
      <c r="Y1408" s="168">
        <f t="shared" si="8"/>
        <v>0</v>
      </c>
      <c r="Z1408" s="168">
        <f t="shared" si="9"/>
        <v>0</v>
      </c>
    </row>
    <row r="1409" ht="14.25" customHeight="1">
      <c r="A1409" s="157" t="s">
        <v>1442</v>
      </c>
      <c r="B1409" s="158" t="s">
        <v>16</v>
      </c>
      <c r="C1409" s="158" t="s">
        <v>1418</v>
      </c>
      <c r="D1409" s="159">
        <v>43943.0</v>
      </c>
      <c r="E1409" s="157" t="s">
        <v>731</v>
      </c>
      <c r="F1409" s="160">
        <v>138232.37</v>
      </c>
      <c r="G1409" s="160">
        <v>22117.18</v>
      </c>
      <c r="H1409" s="160">
        <f t="shared" si="44"/>
        <v>160349.55</v>
      </c>
      <c r="I1409" s="160"/>
      <c r="J1409" s="161"/>
      <c r="K1409" s="160"/>
      <c r="L1409" s="160">
        <f>+'FACP$'!$H1409-'FACP$'!$I1409-'FACP$'!$K1409</f>
        <v>160349.55</v>
      </c>
      <c r="M1409" s="162" t="s">
        <v>985</v>
      </c>
      <c r="N1409" s="162" t="s">
        <v>554</v>
      </c>
      <c r="O1409" s="175">
        <v>43951.0</v>
      </c>
      <c r="P1409" s="164">
        <f t="shared" si="13"/>
        <v>43953</v>
      </c>
      <c r="Q1409" s="165">
        <f t="shared" si="2"/>
        <v>0</v>
      </c>
      <c r="R1409" s="167"/>
      <c r="S1409" s="167"/>
      <c r="T1409" s="168">
        <f t="shared" si="3"/>
        <v>160349.55</v>
      </c>
      <c r="U1409" s="168">
        <f t="shared" si="4"/>
        <v>0</v>
      </c>
      <c r="V1409" s="168">
        <f t="shared" si="5"/>
        <v>0</v>
      </c>
      <c r="W1409" s="168">
        <f t="shared" si="6"/>
        <v>0</v>
      </c>
      <c r="X1409" s="168">
        <f t="shared" si="7"/>
        <v>0</v>
      </c>
      <c r="Y1409" s="168">
        <f t="shared" si="8"/>
        <v>0</v>
      </c>
      <c r="Z1409" s="168">
        <f t="shared" si="9"/>
        <v>0</v>
      </c>
    </row>
    <row r="1410" ht="14.25" customHeight="1">
      <c r="A1410" s="157" t="s">
        <v>1443</v>
      </c>
      <c r="B1410" s="158" t="s">
        <v>16</v>
      </c>
      <c r="C1410" s="158" t="s">
        <v>1444</v>
      </c>
      <c r="D1410" s="159">
        <v>43943.0</v>
      </c>
      <c r="E1410" s="157" t="s">
        <v>731</v>
      </c>
      <c r="F1410" s="160">
        <v>218656.24</v>
      </c>
      <c r="G1410" s="160">
        <v>34985.0</v>
      </c>
      <c r="H1410" s="160">
        <f t="shared" si="44"/>
        <v>253641.24</v>
      </c>
      <c r="I1410" s="160"/>
      <c r="J1410" s="161"/>
      <c r="K1410" s="160"/>
      <c r="L1410" s="160">
        <f>+'FACP$'!$H1410-'FACP$'!$I1410-'FACP$'!$K1410</f>
        <v>253641.24</v>
      </c>
      <c r="M1410" s="162" t="s">
        <v>985</v>
      </c>
      <c r="N1410" s="162" t="s">
        <v>554</v>
      </c>
      <c r="O1410" s="175">
        <v>43951.0</v>
      </c>
      <c r="P1410" s="164">
        <f t="shared" si="13"/>
        <v>43953</v>
      </c>
      <c r="Q1410" s="165">
        <f t="shared" si="2"/>
        <v>0</v>
      </c>
      <c r="R1410" s="167"/>
      <c r="S1410" s="167"/>
      <c r="T1410" s="168">
        <f t="shared" si="3"/>
        <v>253641.24</v>
      </c>
      <c r="U1410" s="168">
        <f t="shared" si="4"/>
        <v>0</v>
      </c>
      <c r="V1410" s="168">
        <f t="shared" si="5"/>
        <v>0</v>
      </c>
      <c r="W1410" s="168">
        <f t="shared" si="6"/>
        <v>0</v>
      </c>
      <c r="X1410" s="168">
        <f t="shared" si="7"/>
        <v>0</v>
      </c>
      <c r="Y1410" s="168">
        <f t="shared" si="8"/>
        <v>0</v>
      </c>
      <c r="Z1410" s="168">
        <f t="shared" si="9"/>
        <v>0</v>
      </c>
    </row>
    <row r="1411" ht="14.25" customHeight="1">
      <c r="A1411" s="157" t="s">
        <v>1445</v>
      </c>
      <c r="B1411" s="158" t="s">
        <v>18</v>
      </c>
      <c r="C1411" s="158" t="s">
        <v>1418</v>
      </c>
      <c r="D1411" s="159">
        <v>43943.0</v>
      </c>
      <c r="E1411" s="157" t="s">
        <v>731</v>
      </c>
      <c r="F1411" s="160">
        <v>81208.89</v>
      </c>
      <c r="G1411" s="160">
        <v>12993.42</v>
      </c>
      <c r="H1411" s="160">
        <f t="shared" si="44"/>
        <v>94202.31</v>
      </c>
      <c r="I1411" s="160"/>
      <c r="J1411" s="161"/>
      <c r="K1411" s="160"/>
      <c r="L1411" s="160">
        <f>+'FACP$'!$H1411-'FACP$'!$I1411-'FACP$'!$K1411</f>
        <v>94202.31</v>
      </c>
      <c r="M1411" s="162" t="s">
        <v>586</v>
      </c>
      <c r="N1411" s="162" t="s">
        <v>554</v>
      </c>
      <c r="O1411" s="175">
        <v>43979.0</v>
      </c>
      <c r="P1411" s="164">
        <f t="shared" si="13"/>
        <v>43953</v>
      </c>
      <c r="Q1411" s="165">
        <f t="shared" si="2"/>
        <v>0</v>
      </c>
      <c r="R1411" s="167"/>
      <c r="S1411" s="167" t="s">
        <v>910</v>
      </c>
      <c r="T1411" s="168">
        <f t="shared" si="3"/>
        <v>94202.31</v>
      </c>
      <c r="U1411" s="168">
        <f t="shared" si="4"/>
        <v>0</v>
      </c>
      <c r="V1411" s="168">
        <f t="shared" si="5"/>
        <v>0</v>
      </c>
      <c r="W1411" s="168">
        <f t="shared" si="6"/>
        <v>0</v>
      </c>
      <c r="X1411" s="168">
        <f t="shared" si="7"/>
        <v>0</v>
      </c>
      <c r="Y1411" s="168">
        <f t="shared" si="8"/>
        <v>0</v>
      </c>
      <c r="Z1411" s="168">
        <f t="shared" si="9"/>
        <v>0</v>
      </c>
    </row>
    <row r="1412" ht="14.25" customHeight="1">
      <c r="A1412" s="157" t="s">
        <v>1446</v>
      </c>
      <c r="B1412" s="158" t="s">
        <v>29</v>
      </c>
      <c r="C1412" s="158" t="s">
        <v>1418</v>
      </c>
      <c r="D1412" s="159">
        <v>43943.0</v>
      </c>
      <c r="E1412" s="157" t="s">
        <v>731</v>
      </c>
      <c r="F1412" s="160">
        <v>222975.52</v>
      </c>
      <c r="G1412" s="160">
        <v>35676.08</v>
      </c>
      <c r="H1412" s="160">
        <f t="shared" si="44"/>
        <v>258651.6</v>
      </c>
      <c r="I1412" s="160"/>
      <c r="J1412" s="161"/>
      <c r="K1412" s="160"/>
      <c r="L1412" s="160">
        <f>+'FACP$'!$H1412-'FACP$'!$I1412-'FACP$'!$K1412</f>
        <v>258651.6</v>
      </c>
      <c r="M1412" s="162" t="s">
        <v>130</v>
      </c>
      <c r="N1412" s="162" t="s">
        <v>554</v>
      </c>
      <c r="O1412" s="175">
        <v>43958.0</v>
      </c>
      <c r="P1412" s="164">
        <f t="shared" si="13"/>
        <v>43953</v>
      </c>
      <c r="Q1412" s="165">
        <f t="shared" si="2"/>
        <v>0</v>
      </c>
      <c r="R1412" s="167"/>
      <c r="S1412" s="167"/>
      <c r="T1412" s="168">
        <f t="shared" si="3"/>
        <v>258651.6</v>
      </c>
      <c r="U1412" s="168">
        <f t="shared" si="4"/>
        <v>0</v>
      </c>
      <c r="V1412" s="168">
        <f t="shared" si="5"/>
        <v>0</v>
      </c>
      <c r="W1412" s="168">
        <f t="shared" si="6"/>
        <v>0</v>
      </c>
      <c r="X1412" s="168">
        <f t="shared" si="7"/>
        <v>0</v>
      </c>
      <c r="Y1412" s="168">
        <f t="shared" si="8"/>
        <v>0</v>
      </c>
      <c r="Z1412" s="168">
        <f t="shared" si="9"/>
        <v>0</v>
      </c>
    </row>
    <row r="1413" ht="14.25" customHeight="1">
      <c r="A1413" s="157" t="s">
        <v>1447</v>
      </c>
      <c r="B1413" s="158" t="s">
        <v>29</v>
      </c>
      <c r="C1413" s="158" t="s">
        <v>1444</v>
      </c>
      <c r="D1413" s="159">
        <v>43943.0</v>
      </c>
      <c r="E1413" s="157" t="s">
        <v>731</v>
      </c>
      <c r="F1413" s="160">
        <v>369536.52</v>
      </c>
      <c r="G1413" s="160">
        <v>59125.84</v>
      </c>
      <c r="H1413" s="160">
        <f t="shared" si="44"/>
        <v>428662.36</v>
      </c>
      <c r="I1413" s="160"/>
      <c r="J1413" s="161"/>
      <c r="K1413" s="160"/>
      <c r="L1413" s="160">
        <f>+'FACP$'!$H1413-'FACP$'!$I1413-'FACP$'!$K1413</f>
        <v>428662.36</v>
      </c>
      <c r="M1413" s="162" t="s">
        <v>130</v>
      </c>
      <c r="N1413" s="162" t="s">
        <v>554</v>
      </c>
      <c r="O1413" s="175">
        <v>43958.0</v>
      </c>
      <c r="P1413" s="164">
        <f t="shared" si="13"/>
        <v>43953</v>
      </c>
      <c r="Q1413" s="165">
        <f t="shared" si="2"/>
        <v>0</v>
      </c>
      <c r="R1413" s="167"/>
      <c r="S1413" s="167"/>
      <c r="T1413" s="168">
        <f t="shared" si="3"/>
        <v>428662.36</v>
      </c>
      <c r="U1413" s="168">
        <f t="shared" si="4"/>
        <v>0</v>
      </c>
      <c r="V1413" s="168">
        <f t="shared" si="5"/>
        <v>0</v>
      </c>
      <c r="W1413" s="168">
        <f t="shared" si="6"/>
        <v>0</v>
      </c>
      <c r="X1413" s="168">
        <f t="shared" si="7"/>
        <v>0</v>
      </c>
      <c r="Y1413" s="168">
        <f t="shared" si="8"/>
        <v>0</v>
      </c>
      <c r="Z1413" s="168">
        <f t="shared" si="9"/>
        <v>0</v>
      </c>
    </row>
    <row r="1414" ht="14.25" customHeight="1">
      <c r="A1414" s="157" t="s">
        <v>1448</v>
      </c>
      <c r="B1414" s="158" t="s">
        <v>37</v>
      </c>
      <c r="C1414" s="158" t="s">
        <v>1449</v>
      </c>
      <c r="D1414" s="159">
        <v>43943.0</v>
      </c>
      <c r="E1414" s="157" t="s">
        <v>731</v>
      </c>
      <c r="F1414" s="160">
        <v>1415287.98</v>
      </c>
      <c r="G1414" s="160">
        <v>226446.08</v>
      </c>
      <c r="H1414" s="160">
        <f t="shared" si="44"/>
        <v>1641734.06</v>
      </c>
      <c r="I1414" s="160"/>
      <c r="J1414" s="161"/>
      <c r="K1414" s="160"/>
      <c r="L1414" s="160">
        <f>+'FACP$'!$H1414-'FACP$'!$I1414-'FACP$'!$K1414</f>
        <v>1641734.06</v>
      </c>
      <c r="M1414" s="162" t="s">
        <v>116</v>
      </c>
      <c r="N1414" s="162" t="s">
        <v>554</v>
      </c>
      <c r="O1414" s="175">
        <v>43962.0</v>
      </c>
      <c r="P1414" s="164">
        <f t="shared" si="13"/>
        <v>43953</v>
      </c>
      <c r="Q1414" s="165">
        <f t="shared" si="2"/>
        <v>0</v>
      </c>
      <c r="R1414" s="167"/>
      <c r="S1414" s="167" t="s">
        <v>910</v>
      </c>
      <c r="T1414" s="168">
        <f t="shared" si="3"/>
        <v>1641734.06</v>
      </c>
      <c r="U1414" s="168">
        <f t="shared" si="4"/>
        <v>0</v>
      </c>
      <c r="V1414" s="168">
        <f t="shared" si="5"/>
        <v>0</v>
      </c>
      <c r="W1414" s="168">
        <f t="shared" si="6"/>
        <v>0</v>
      </c>
      <c r="X1414" s="168">
        <f t="shared" si="7"/>
        <v>0</v>
      </c>
      <c r="Y1414" s="168">
        <f t="shared" si="8"/>
        <v>0</v>
      </c>
      <c r="Z1414" s="168">
        <f t="shared" si="9"/>
        <v>0</v>
      </c>
    </row>
    <row r="1415" ht="14.25" customHeight="1">
      <c r="A1415" s="157" t="s">
        <v>1450</v>
      </c>
      <c r="B1415" s="158" t="s">
        <v>41</v>
      </c>
      <c r="C1415" s="158" t="s">
        <v>1418</v>
      </c>
      <c r="D1415" s="159">
        <v>43943.0</v>
      </c>
      <c r="E1415" s="157" t="s">
        <v>731</v>
      </c>
      <c r="F1415" s="160">
        <v>52645.79</v>
      </c>
      <c r="G1415" s="160">
        <v>8423.33</v>
      </c>
      <c r="H1415" s="160">
        <f t="shared" si="44"/>
        <v>61069.12</v>
      </c>
      <c r="I1415" s="160"/>
      <c r="J1415" s="161"/>
      <c r="K1415" s="160"/>
      <c r="L1415" s="160">
        <f>+'FACP$'!$H1415-'FACP$'!$I1415-'FACP$'!$K1415</f>
        <v>61069.12</v>
      </c>
      <c r="M1415" s="162" t="s">
        <v>121</v>
      </c>
      <c r="N1415" s="162" t="s">
        <v>554</v>
      </c>
      <c r="O1415" s="175">
        <v>43966.0</v>
      </c>
      <c r="P1415" s="164">
        <f t="shared" si="13"/>
        <v>43953</v>
      </c>
      <c r="Q1415" s="165">
        <f t="shared" si="2"/>
        <v>0</v>
      </c>
      <c r="R1415" s="167"/>
      <c r="S1415" s="220" t="s">
        <v>910</v>
      </c>
      <c r="T1415" s="168">
        <f t="shared" si="3"/>
        <v>61069.12</v>
      </c>
      <c r="U1415" s="168">
        <f t="shared" si="4"/>
        <v>0</v>
      </c>
      <c r="V1415" s="168">
        <f t="shared" si="5"/>
        <v>0</v>
      </c>
      <c r="W1415" s="168">
        <f t="shared" si="6"/>
        <v>0</v>
      </c>
      <c r="X1415" s="168">
        <f t="shared" si="7"/>
        <v>0</v>
      </c>
      <c r="Y1415" s="168">
        <f t="shared" si="8"/>
        <v>0</v>
      </c>
      <c r="Z1415" s="168">
        <f t="shared" si="9"/>
        <v>0</v>
      </c>
    </row>
    <row r="1416" ht="14.25" customHeight="1">
      <c r="A1416" s="157" t="s">
        <v>1451</v>
      </c>
      <c r="B1416" s="158" t="s">
        <v>37</v>
      </c>
      <c r="C1416" s="158" t="s">
        <v>1452</v>
      </c>
      <c r="D1416" s="159">
        <v>43949.0</v>
      </c>
      <c r="E1416" s="157" t="s">
        <v>731</v>
      </c>
      <c r="F1416" s="160">
        <v>19128.8</v>
      </c>
      <c r="G1416" s="160">
        <v>3060.61</v>
      </c>
      <c r="H1416" s="160">
        <f t="shared" si="44"/>
        <v>22189.41</v>
      </c>
      <c r="I1416" s="160"/>
      <c r="J1416" s="161"/>
      <c r="K1416" s="160"/>
      <c r="L1416" s="160">
        <f>+'FACP$'!$H1416-'FACP$'!$I1416-'FACP$'!$K1416</f>
        <v>22189.41</v>
      </c>
      <c r="M1416" s="162" t="s">
        <v>116</v>
      </c>
      <c r="N1416" s="162" t="s">
        <v>554</v>
      </c>
      <c r="O1416" s="175">
        <v>43969.0</v>
      </c>
      <c r="P1416" s="164">
        <f t="shared" si="13"/>
        <v>43959</v>
      </c>
      <c r="Q1416" s="165">
        <f t="shared" si="2"/>
        <v>0</v>
      </c>
      <c r="R1416" s="167"/>
      <c r="S1416" s="167" t="s">
        <v>910</v>
      </c>
      <c r="T1416" s="168">
        <f t="shared" si="3"/>
        <v>22189.41</v>
      </c>
      <c r="U1416" s="168">
        <f t="shared" si="4"/>
        <v>0</v>
      </c>
      <c r="V1416" s="168">
        <f t="shared" si="5"/>
        <v>0</v>
      </c>
      <c r="W1416" s="168">
        <f t="shared" si="6"/>
        <v>0</v>
      </c>
      <c r="X1416" s="168">
        <f t="shared" si="7"/>
        <v>0</v>
      </c>
      <c r="Y1416" s="168">
        <f t="shared" si="8"/>
        <v>0</v>
      </c>
      <c r="Z1416" s="168">
        <f t="shared" si="9"/>
        <v>0</v>
      </c>
    </row>
    <row r="1417" ht="14.25" customHeight="1">
      <c r="A1417" s="157" t="s">
        <v>1453</v>
      </c>
      <c r="B1417" s="158" t="s">
        <v>18</v>
      </c>
      <c r="C1417" s="158" t="s">
        <v>1452</v>
      </c>
      <c r="D1417" s="159">
        <v>43949.0</v>
      </c>
      <c r="E1417" s="157" t="s">
        <v>731</v>
      </c>
      <c r="F1417" s="160">
        <v>1297.29</v>
      </c>
      <c r="G1417" s="160">
        <v>207.57</v>
      </c>
      <c r="H1417" s="160">
        <f t="shared" si="44"/>
        <v>1504.86</v>
      </c>
      <c r="I1417" s="160"/>
      <c r="J1417" s="161"/>
      <c r="K1417" s="160"/>
      <c r="L1417" s="160">
        <f>+'FACP$'!$H1417-'FACP$'!$I1417-'FACP$'!$K1417</f>
        <v>1504.86</v>
      </c>
      <c r="M1417" s="162" t="s">
        <v>586</v>
      </c>
      <c r="N1417" s="162" t="s">
        <v>554</v>
      </c>
      <c r="O1417" s="175">
        <v>43998.0</v>
      </c>
      <c r="P1417" s="164">
        <f t="shared" si="13"/>
        <v>43959</v>
      </c>
      <c r="Q1417" s="165">
        <f t="shared" si="2"/>
        <v>0</v>
      </c>
      <c r="R1417" s="167"/>
      <c r="S1417" s="220" t="s">
        <v>910</v>
      </c>
      <c r="T1417" s="168">
        <f t="shared" si="3"/>
        <v>1504.86</v>
      </c>
      <c r="U1417" s="168">
        <f t="shared" si="4"/>
        <v>0</v>
      </c>
      <c r="V1417" s="168">
        <f t="shared" si="5"/>
        <v>0</v>
      </c>
      <c r="W1417" s="168">
        <f t="shared" si="6"/>
        <v>0</v>
      </c>
      <c r="X1417" s="168">
        <f t="shared" si="7"/>
        <v>0</v>
      </c>
      <c r="Y1417" s="168">
        <f t="shared" si="8"/>
        <v>0</v>
      </c>
      <c r="Z1417" s="168">
        <f t="shared" si="9"/>
        <v>0</v>
      </c>
    </row>
    <row r="1418" ht="14.25" customHeight="1">
      <c r="A1418" s="157" t="s">
        <v>1454</v>
      </c>
      <c r="B1418" s="158" t="s">
        <v>29</v>
      </c>
      <c r="C1418" s="158" t="s">
        <v>1452</v>
      </c>
      <c r="D1418" s="159">
        <v>43949.0</v>
      </c>
      <c r="E1418" s="157" t="s">
        <v>731</v>
      </c>
      <c r="F1418" s="160">
        <v>3178.16</v>
      </c>
      <c r="G1418" s="160">
        <v>508.51</v>
      </c>
      <c r="H1418" s="160">
        <f t="shared" si="44"/>
        <v>3686.67</v>
      </c>
      <c r="I1418" s="160"/>
      <c r="J1418" s="161"/>
      <c r="K1418" s="160"/>
      <c r="L1418" s="160">
        <f>+'FACP$'!$H1418-'FACP$'!$I1418-'FACP$'!$K1418</f>
        <v>3686.67</v>
      </c>
      <c r="M1418" s="162" t="s">
        <v>130</v>
      </c>
      <c r="N1418" s="162" t="s">
        <v>554</v>
      </c>
      <c r="O1418" s="175">
        <v>43958.0</v>
      </c>
      <c r="P1418" s="164">
        <f t="shared" si="13"/>
        <v>43959</v>
      </c>
      <c r="Q1418" s="165">
        <f t="shared" si="2"/>
        <v>0</v>
      </c>
      <c r="R1418" s="167"/>
      <c r="S1418" s="167"/>
      <c r="T1418" s="168">
        <f t="shared" si="3"/>
        <v>3686.67</v>
      </c>
      <c r="U1418" s="168">
        <f t="shared" si="4"/>
        <v>0</v>
      </c>
      <c r="V1418" s="168">
        <f t="shared" si="5"/>
        <v>0</v>
      </c>
      <c r="W1418" s="168">
        <f t="shared" si="6"/>
        <v>0</v>
      </c>
      <c r="X1418" s="168">
        <f t="shared" si="7"/>
        <v>0</v>
      </c>
      <c r="Y1418" s="168">
        <f t="shared" si="8"/>
        <v>0</v>
      </c>
      <c r="Z1418" s="168">
        <f t="shared" si="9"/>
        <v>0</v>
      </c>
    </row>
    <row r="1419" ht="14.25" customHeight="1">
      <c r="A1419" s="157" t="s">
        <v>1455</v>
      </c>
      <c r="B1419" s="158" t="s">
        <v>29</v>
      </c>
      <c r="C1419" s="158" t="s">
        <v>1456</v>
      </c>
      <c r="D1419" s="159">
        <v>43949.0</v>
      </c>
      <c r="E1419" s="157" t="s">
        <v>731</v>
      </c>
      <c r="F1419" s="160">
        <v>5782.68</v>
      </c>
      <c r="G1419" s="160">
        <v>925.23</v>
      </c>
      <c r="H1419" s="160">
        <f t="shared" si="44"/>
        <v>6707.91</v>
      </c>
      <c r="I1419" s="160"/>
      <c r="J1419" s="161"/>
      <c r="K1419" s="160"/>
      <c r="L1419" s="160">
        <f>+'FACP$'!$H1419-'FACP$'!$I1419-'FACP$'!$K1419</f>
        <v>6707.91</v>
      </c>
      <c r="M1419" s="162" t="s">
        <v>130</v>
      </c>
      <c r="N1419" s="162" t="s">
        <v>554</v>
      </c>
      <c r="O1419" s="175">
        <v>44082.0</v>
      </c>
      <c r="P1419" s="164">
        <f t="shared" si="13"/>
        <v>43959</v>
      </c>
      <c r="Q1419" s="165">
        <f t="shared" si="2"/>
        <v>0</v>
      </c>
      <c r="R1419" s="167"/>
      <c r="S1419" s="167"/>
      <c r="T1419" s="168">
        <f t="shared" si="3"/>
        <v>6707.91</v>
      </c>
      <c r="U1419" s="168">
        <f t="shared" si="4"/>
        <v>0</v>
      </c>
      <c r="V1419" s="168">
        <f t="shared" si="5"/>
        <v>0</v>
      </c>
      <c r="W1419" s="168">
        <f t="shared" si="6"/>
        <v>0</v>
      </c>
      <c r="X1419" s="168">
        <f t="shared" si="7"/>
        <v>0</v>
      </c>
      <c r="Y1419" s="168">
        <f t="shared" si="8"/>
        <v>0</v>
      </c>
      <c r="Z1419" s="168">
        <f t="shared" si="9"/>
        <v>0</v>
      </c>
    </row>
    <row r="1420" ht="14.25" customHeight="1">
      <c r="A1420" s="157" t="s">
        <v>1457</v>
      </c>
      <c r="B1420" s="158" t="s">
        <v>16</v>
      </c>
      <c r="C1420" s="158" t="s">
        <v>1452</v>
      </c>
      <c r="D1420" s="159">
        <v>43949.0</v>
      </c>
      <c r="E1420" s="157" t="s">
        <v>731</v>
      </c>
      <c r="F1420" s="160">
        <v>2718.3</v>
      </c>
      <c r="G1420" s="160">
        <v>434.93</v>
      </c>
      <c r="H1420" s="160">
        <f t="shared" si="44"/>
        <v>3153.23</v>
      </c>
      <c r="I1420" s="160"/>
      <c r="J1420" s="161"/>
      <c r="K1420" s="160"/>
      <c r="L1420" s="160">
        <f>+'FACP$'!$H1420-'FACP$'!$I1420-'FACP$'!$K1420</f>
        <v>3153.23</v>
      </c>
      <c r="M1420" s="162" t="s">
        <v>985</v>
      </c>
      <c r="N1420" s="162" t="s">
        <v>554</v>
      </c>
      <c r="O1420" s="175">
        <v>43972.0</v>
      </c>
      <c r="P1420" s="164">
        <f t="shared" si="13"/>
        <v>43959</v>
      </c>
      <c r="Q1420" s="165">
        <f t="shared" si="2"/>
        <v>0</v>
      </c>
      <c r="R1420" s="167"/>
      <c r="S1420" s="167" t="s">
        <v>910</v>
      </c>
      <c r="T1420" s="168">
        <f t="shared" si="3"/>
        <v>3153.23</v>
      </c>
      <c r="U1420" s="168">
        <f t="shared" si="4"/>
        <v>0</v>
      </c>
      <c r="V1420" s="168">
        <f t="shared" si="5"/>
        <v>0</v>
      </c>
      <c r="W1420" s="168">
        <f t="shared" si="6"/>
        <v>0</v>
      </c>
      <c r="X1420" s="168">
        <f t="shared" si="7"/>
        <v>0</v>
      </c>
      <c r="Y1420" s="168">
        <f t="shared" si="8"/>
        <v>0</v>
      </c>
      <c r="Z1420" s="168">
        <f t="shared" si="9"/>
        <v>0</v>
      </c>
    </row>
    <row r="1421" ht="14.25" customHeight="1">
      <c r="A1421" s="157" t="s">
        <v>1458</v>
      </c>
      <c r="B1421" s="158" t="s">
        <v>16</v>
      </c>
      <c r="C1421" s="158" t="s">
        <v>1456</v>
      </c>
      <c r="D1421" s="159">
        <v>43949.0</v>
      </c>
      <c r="E1421" s="157" t="s">
        <v>731</v>
      </c>
      <c r="F1421" s="160">
        <v>4475.6</v>
      </c>
      <c r="G1421" s="160">
        <v>716.1</v>
      </c>
      <c r="H1421" s="160">
        <f t="shared" si="44"/>
        <v>5191.7</v>
      </c>
      <c r="I1421" s="160"/>
      <c r="J1421" s="161"/>
      <c r="K1421" s="160"/>
      <c r="L1421" s="160">
        <f>+'FACP$'!$H1421-'FACP$'!$I1421-'FACP$'!$K1421</f>
        <v>5191.7</v>
      </c>
      <c r="M1421" s="162" t="s">
        <v>985</v>
      </c>
      <c r="N1421" s="162" t="s">
        <v>554</v>
      </c>
      <c r="O1421" s="175">
        <v>43972.0</v>
      </c>
      <c r="P1421" s="164">
        <f t="shared" si="13"/>
        <v>43959</v>
      </c>
      <c r="Q1421" s="165">
        <f t="shared" si="2"/>
        <v>0</v>
      </c>
      <c r="R1421" s="167"/>
      <c r="S1421" s="167" t="s">
        <v>910</v>
      </c>
      <c r="T1421" s="168">
        <f t="shared" si="3"/>
        <v>5191.7</v>
      </c>
      <c r="U1421" s="168">
        <f t="shared" si="4"/>
        <v>0</v>
      </c>
      <c r="V1421" s="168">
        <f t="shared" si="5"/>
        <v>0</v>
      </c>
      <c r="W1421" s="168">
        <f t="shared" si="6"/>
        <v>0</v>
      </c>
      <c r="X1421" s="168">
        <f t="shared" si="7"/>
        <v>0</v>
      </c>
      <c r="Y1421" s="168">
        <f t="shared" si="8"/>
        <v>0</v>
      </c>
      <c r="Z1421" s="168">
        <f t="shared" si="9"/>
        <v>0</v>
      </c>
    </row>
    <row r="1422" ht="14.25" customHeight="1">
      <c r="A1422" s="157" t="s">
        <v>1459</v>
      </c>
      <c r="B1422" s="158" t="s">
        <v>27</v>
      </c>
      <c r="C1422" s="158" t="s">
        <v>1460</v>
      </c>
      <c r="D1422" s="159">
        <v>43950.0</v>
      </c>
      <c r="E1422" s="157" t="s">
        <v>731</v>
      </c>
      <c r="F1422" s="160">
        <v>226809.55</v>
      </c>
      <c r="G1422" s="160">
        <v>36289.53</v>
      </c>
      <c r="H1422" s="160">
        <f t="shared" si="44"/>
        <v>263099.08</v>
      </c>
      <c r="I1422" s="160"/>
      <c r="J1422" s="161"/>
      <c r="K1422" s="160"/>
      <c r="L1422" s="160">
        <f>+'FACP$'!$H1422-'FACP$'!$I1422-'FACP$'!$K1422</f>
        <v>263099.08</v>
      </c>
      <c r="M1422" s="162" t="s">
        <v>969</v>
      </c>
      <c r="N1422" s="162" t="s">
        <v>554</v>
      </c>
      <c r="O1422" s="175">
        <v>44005.0</v>
      </c>
      <c r="P1422" s="164">
        <f t="shared" si="13"/>
        <v>43960</v>
      </c>
      <c r="Q1422" s="165">
        <f t="shared" si="2"/>
        <v>0</v>
      </c>
      <c r="R1422" s="167"/>
      <c r="S1422" s="167" t="s">
        <v>910</v>
      </c>
      <c r="T1422" s="168">
        <f t="shared" si="3"/>
        <v>263099.08</v>
      </c>
      <c r="U1422" s="168">
        <f t="shared" si="4"/>
        <v>0</v>
      </c>
      <c r="V1422" s="168">
        <f t="shared" si="5"/>
        <v>0</v>
      </c>
      <c r="W1422" s="168">
        <f t="shared" si="6"/>
        <v>0</v>
      </c>
      <c r="X1422" s="168">
        <f t="shared" si="7"/>
        <v>0</v>
      </c>
      <c r="Y1422" s="168">
        <f t="shared" si="8"/>
        <v>0</v>
      </c>
      <c r="Z1422" s="168">
        <f t="shared" si="9"/>
        <v>0</v>
      </c>
    </row>
    <row r="1423" ht="14.25" customHeight="1">
      <c r="A1423" s="157" t="s">
        <v>1461</v>
      </c>
      <c r="B1423" s="158" t="s">
        <v>27</v>
      </c>
      <c r="C1423" s="158" t="s">
        <v>1462</v>
      </c>
      <c r="D1423" s="159">
        <v>43950.0</v>
      </c>
      <c r="E1423" s="157" t="s">
        <v>731</v>
      </c>
      <c r="F1423" s="160">
        <v>212010.45</v>
      </c>
      <c r="G1423" s="160">
        <v>33921.67</v>
      </c>
      <c r="H1423" s="160">
        <f t="shared" si="44"/>
        <v>245932.12</v>
      </c>
      <c r="I1423" s="160"/>
      <c r="J1423" s="161"/>
      <c r="K1423" s="160"/>
      <c r="L1423" s="160">
        <f>+'FACP$'!$H1423-'FACP$'!$I1423-'FACP$'!$K1423</f>
        <v>245932.12</v>
      </c>
      <c r="M1423" s="162" t="s">
        <v>969</v>
      </c>
      <c r="N1423" s="162" t="s">
        <v>554</v>
      </c>
      <c r="O1423" s="175">
        <v>44012.0</v>
      </c>
      <c r="P1423" s="164">
        <f t="shared" si="13"/>
        <v>43960</v>
      </c>
      <c r="Q1423" s="165">
        <f t="shared" si="2"/>
        <v>0</v>
      </c>
      <c r="R1423" s="167"/>
      <c r="S1423" s="167" t="s">
        <v>910</v>
      </c>
      <c r="T1423" s="168">
        <f t="shared" si="3"/>
        <v>245932.12</v>
      </c>
      <c r="U1423" s="168">
        <f t="shared" si="4"/>
        <v>0</v>
      </c>
      <c r="V1423" s="168">
        <f t="shared" si="5"/>
        <v>0</v>
      </c>
      <c r="W1423" s="168">
        <f t="shared" si="6"/>
        <v>0</v>
      </c>
      <c r="X1423" s="168">
        <f t="shared" si="7"/>
        <v>0</v>
      </c>
      <c r="Y1423" s="168">
        <f t="shared" si="8"/>
        <v>0</v>
      </c>
      <c r="Z1423" s="168">
        <f t="shared" si="9"/>
        <v>0</v>
      </c>
    </row>
    <row r="1424" ht="14.25" customHeight="1">
      <c r="A1424" s="157" t="s">
        <v>1463</v>
      </c>
      <c r="B1424" s="158" t="s">
        <v>33</v>
      </c>
      <c r="C1424" s="158" t="s">
        <v>1464</v>
      </c>
      <c r="D1424" s="159">
        <v>43955.0</v>
      </c>
      <c r="E1424" s="157" t="s">
        <v>731</v>
      </c>
      <c r="F1424" s="160">
        <v>472089.58</v>
      </c>
      <c r="G1424" s="160">
        <v>75534.33</v>
      </c>
      <c r="H1424" s="160">
        <f t="shared" si="44"/>
        <v>547623.91</v>
      </c>
      <c r="I1424" s="160"/>
      <c r="J1424" s="161"/>
      <c r="K1424" s="160"/>
      <c r="L1424" s="160">
        <f>+'FACP$'!$H1424-'FACP$'!$I1424-'FACP$'!$K1424</f>
        <v>547623.91</v>
      </c>
      <c r="M1424" s="162" t="s">
        <v>958</v>
      </c>
      <c r="N1424" s="162" t="s">
        <v>554</v>
      </c>
      <c r="O1424" s="175">
        <v>43966.0</v>
      </c>
      <c r="P1424" s="164">
        <f t="shared" si="13"/>
        <v>43965</v>
      </c>
      <c r="Q1424" s="165">
        <f t="shared" si="2"/>
        <v>0</v>
      </c>
      <c r="R1424" s="167"/>
      <c r="S1424" s="167" t="s">
        <v>910</v>
      </c>
      <c r="T1424" s="168">
        <f t="shared" si="3"/>
        <v>547623.91</v>
      </c>
      <c r="U1424" s="168">
        <f t="shared" si="4"/>
        <v>0</v>
      </c>
      <c r="V1424" s="168">
        <f t="shared" si="5"/>
        <v>0</v>
      </c>
      <c r="W1424" s="168">
        <f t="shared" si="6"/>
        <v>0</v>
      </c>
      <c r="X1424" s="168">
        <f t="shared" si="7"/>
        <v>0</v>
      </c>
      <c r="Y1424" s="168">
        <f t="shared" si="8"/>
        <v>0</v>
      </c>
      <c r="Z1424" s="168">
        <f t="shared" si="9"/>
        <v>0</v>
      </c>
    </row>
    <row r="1425" ht="14.25" customHeight="1">
      <c r="A1425" s="157" t="s">
        <v>1465</v>
      </c>
      <c r="B1425" s="158" t="s">
        <v>35</v>
      </c>
      <c r="C1425" s="158" t="s">
        <v>1464</v>
      </c>
      <c r="D1425" s="159">
        <v>43955.0</v>
      </c>
      <c r="E1425" s="157" t="s">
        <v>731</v>
      </c>
      <c r="F1425" s="160">
        <v>112636.78</v>
      </c>
      <c r="G1425" s="160">
        <v>18021.89</v>
      </c>
      <c r="H1425" s="160">
        <f t="shared" si="44"/>
        <v>130658.67</v>
      </c>
      <c r="I1425" s="160"/>
      <c r="J1425" s="161"/>
      <c r="K1425" s="160"/>
      <c r="L1425" s="160">
        <f>+'FACP$'!$H1425-'FACP$'!$I1425-'FACP$'!$K1425</f>
        <v>130658.67</v>
      </c>
      <c r="M1425" s="162" t="s">
        <v>276</v>
      </c>
      <c r="N1425" s="162" t="s">
        <v>554</v>
      </c>
      <c r="O1425" s="175">
        <v>44064.0</v>
      </c>
      <c r="P1425" s="164">
        <f t="shared" si="13"/>
        <v>43965</v>
      </c>
      <c r="Q1425" s="165">
        <f t="shared" si="2"/>
        <v>0</v>
      </c>
      <c r="R1425" s="220" t="s">
        <v>1466</v>
      </c>
      <c r="S1425" s="220" t="s">
        <v>910</v>
      </c>
      <c r="T1425" s="168">
        <f t="shared" si="3"/>
        <v>130658.67</v>
      </c>
      <c r="U1425" s="168">
        <f t="shared" si="4"/>
        <v>0</v>
      </c>
      <c r="V1425" s="168">
        <f t="shared" si="5"/>
        <v>0</v>
      </c>
      <c r="W1425" s="168">
        <f t="shared" si="6"/>
        <v>0</v>
      </c>
      <c r="X1425" s="168">
        <f t="shared" si="7"/>
        <v>0</v>
      </c>
      <c r="Y1425" s="168">
        <f t="shared" si="8"/>
        <v>0</v>
      </c>
      <c r="Z1425" s="168">
        <f t="shared" si="9"/>
        <v>0</v>
      </c>
    </row>
    <row r="1426" ht="14.25" customHeight="1">
      <c r="A1426" s="157" t="s">
        <v>1467</v>
      </c>
      <c r="B1426" s="158" t="s">
        <v>36</v>
      </c>
      <c r="C1426" s="158" t="s">
        <v>1464</v>
      </c>
      <c r="D1426" s="159">
        <v>43955.0</v>
      </c>
      <c r="E1426" s="157" t="s">
        <v>731</v>
      </c>
      <c r="F1426" s="160">
        <v>46937.6</v>
      </c>
      <c r="G1426" s="160">
        <v>7510.02</v>
      </c>
      <c r="H1426" s="160">
        <f>F1426+G1426-5475.01</f>
        <v>48972.61</v>
      </c>
      <c r="I1426" s="160"/>
      <c r="J1426" s="161"/>
      <c r="K1426" s="160"/>
      <c r="L1426" s="160">
        <f>+'FACP$'!$H1426-'FACP$'!$I1426-'FACP$'!$K1426</f>
        <v>48972.61</v>
      </c>
      <c r="M1426" s="162" t="s">
        <v>278</v>
      </c>
      <c r="N1426" s="162" t="s">
        <v>554</v>
      </c>
      <c r="O1426" s="175">
        <v>44004.0</v>
      </c>
      <c r="P1426" s="164">
        <f t="shared" si="13"/>
        <v>43965</v>
      </c>
      <c r="Q1426" s="165">
        <f t="shared" si="2"/>
        <v>0</v>
      </c>
      <c r="R1426" s="220" t="s">
        <v>1468</v>
      </c>
      <c r="S1426" s="220" t="s">
        <v>910</v>
      </c>
      <c r="T1426" s="168">
        <f t="shared" si="3"/>
        <v>48972.61</v>
      </c>
      <c r="U1426" s="168">
        <f t="shared" si="4"/>
        <v>0</v>
      </c>
      <c r="V1426" s="168">
        <f t="shared" si="5"/>
        <v>0</v>
      </c>
      <c r="W1426" s="168">
        <f t="shared" si="6"/>
        <v>0</v>
      </c>
      <c r="X1426" s="168">
        <f t="shared" si="7"/>
        <v>0</v>
      </c>
      <c r="Y1426" s="168">
        <f t="shared" si="8"/>
        <v>0</v>
      </c>
      <c r="Z1426" s="168">
        <f t="shared" si="9"/>
        <v>0</v>
      </c>
    </row>
    <row r="1427" ht="14.25" customHeight="1">
      <c r="A1427" s="157" t="s">
        <v>1469</v>
      </c>
      <c r="B1427" s="158" t="s">
        <v>27</v>
      </c>
      <c r="C1427" s="158" t="s">
        <v>1470</v>
      </c>
      <c r="D1427" s="159">
        <v>43956.0</v>
      </c>
      <c r="E1427" s="157" t="s">
        <v>731</v>
      </c>
      <c r="F1427" s="160">
        <v>228696.16</v>
      </c>
      <c r="G1427" s="160">
        <v>36591.3856</v>
      </c>
      <c r="H1427" s="160">
        <f t="shared" ref="H1427:H1532" si="45">F1427+G1427</f>
        <v>265287.5456</v>
      </c>
      <c r="I1427" s="160"/>
      <c r="J1427" s="161"/>
      <c r="K1427" s="160"/>
      <c r="L1427" s="160">
        <f>+'FACP$'!$H1427-'FACP$'!$I1427-'FACP$'!$K1427</f>
        <v>265287.5456</v>
      </c>
      <c r="M1427" s="162" t="s">
        <v>969</v>
      </c>
      <c r="N1427" s="162" t="s">
        <v>554</v>
      </c>
      <c r="O1427" s="175">
        <v>44012.0</v>
      </c>
      <c r="P1427" s="164">
        <f t="shared" si="13"/>
        <v>43966</v>
      </c>
      <c r="Q1427" s="165">
        <f t="shared" si="2"/>
        <v>0</v>
      </c>
      <c r="R1427" s="167"/>
      <c r="S1427" s="167" t="s">
        <v>910</v>
      </c>
      <c r="T1427" s="168">
        <f t="shared" si="3"/>
        <v>265287.5456</v>
      </c>
      <c r="U1427" s="168">
        <f t="shared" si="4"/>
        <v>0</v>
      </c>
      <c r="V1427" s="168">
        <f t="shared" si="5"/>
        <v>0</v>
      </c>
      <c r="W1427" s="168">
        <f t="shared" si="6"/>
        <v>0</v>
      </c>
      <c r="X1427" s="168">
        <f t="shared" si="7"/>
        <v>0</v>
      </c>
      <c r="Y1427" s="168">
        <f t="shared" si="8"/>
        <v>0</v>
      </c>
      <c r="Z1427" s="168">
        <f t="shared" si="9"/>
        <v>0</v>
      </c>
    </row>
    <row r="1428" ht="14.25" customHeight="1">
      <c r="A1428" s="157" t="s">
        <v>1471</v>
      </c>
      <c r="B1428" s="158" t="s">
        <v>27</v>
      </c>
      <c r="C1428" s="158" t="s">
        <v>1472</v>
      </c>
      <c r="D1428" s="159">
        <v>43956.0</v>
      </c>
      <c r="E1428" s="157" t="s">
        <v>731</v>
      </c>
      <c r="F1428" s="160">
        <v>217907.04</v>
      </c>
      <c r="G1428" s="160">
        <v>34865.13</v>
      </c>
      <c r="H1428" s="160">
        <f t="shared" si="45"/>
        <v>252772.17</v>
      </c>
      <c r="I1428" s="160"/>
      <c r="J1428" s="161"/>
      <c r="K1428" s="160"/>
      <c r="L1428" s="160">
        <f>+'FACP$'!$H1428-'FACP$'!$I1428-'FACP$'!$K1428</f>
        <v>252772.17</v>
      </c>
      <c r="M1428" s="162" t="s">
        <v>969</v>
      </c>
      <c r="N1428" s="162" t="s">
        <v>554</v>
      </c>
      <c r="O1428" s="175">
        <v>44019.0</v>
      </c>
      <c r="P1428" s="164">
        <f t="shared" si="13"/>
        <v>43966</v>
      </c>
      <c r="Q1428" s="165">
        <f t="shared" si="2"/>
        <v>0</v>
      </c>
      <c r="R1428" s="167"/>
      <c r="S1428" s="167" t="s">
        <v>910</v>
      </c>
      <c r="T1428" s="168">
        <f t="shared" si="3"/>
        <v>252772.17</v>
      </c>
      <c r="U1428" s="168">
        <f t="shared" si="4"/>
        <v>0</v>
      </c>
      <c r="V1428" s="168">
        <f t="shared" si="5"/>
        <v>0</v>
      </c>
      <c r="W1428" s="168">
        <f t="shared" si="6"/>
        <v>0</v>
      </c>
      <c r="X1428" s="168">
        <f t="shared" si="7"/>
        <v>0</v>
      </c>
      <c r="Y1428" s="168">
        <f t="shared" si="8"/>
        <v>0</v>
      </c>
      <c r="Z1428" s="168">
        <f t="shared" si="9"/>
        <v>0</v>
      </c>
    </row>
    <row r="1429" ht="14.25" customHeight="1">
      <c r="A1429" s="157" t="s">
        <v>1473</v>
      </c>
      <c r="B1429" s="158" t="s">
        <v>41</v>
      </c>
      <c r="C1429" s="158" t="s">
        <v>1464</v>
      </c>
      <c r="D1429" s="159">
        <v>43956.0</v>
      </c>
      <c r="E1429" s="157" t="s">
        <v>731</v>
      </c>
      <c r="F1429" s="160">
        <v>139331.53</v>
      </c>
      <c r="G1429" s="160">
        <v>22293.04</v>
      </c>
      <c r="H1429" s="160">
        <f t="shared" si="45"/>
        <v>161624.57</v>
      </c>
      <c r="I1429" s="160"/>
      <c r="J1429" s="161"/>
      <c r="K1429" s="160"/>
      <c r="L1429" s="160">
        <f>+'FACP$'!$H1429-'FACP$'!$I1429-'FACP$'!$K1429</f>
        <v>161624.57</v>
      </c>
      <c r="M1429" s="162" t="s">
        <v>121</v>
      </c>
      <c r="N1429" s="162" t="s">
        <v>554</v>
      </c>
      <c r="O1429" s="175">
        <v>43966.0</v>
      </c>
      <c r="P1429" s="164">
        <f t="shared" si="13"/>
        <v>43966</v>
      </c>
      <c r="Q1429" s="165">
        <f t="shared" si="2"/>
        <v>0</v>
      </c>
      <c r="R1429" s="167"/>
      <c r="S1429" s="220" t="s">
        <v>910</v>
      </c>
      <c r="T1429" s="168">
        <f t="shared" si="3"/>
        <v>161624.57</v>
      </c>
      <c r="U1429" s="168">
        <f t="shared" si="4"/>
        <v>0</v>
      </c>
      <c r="V1429" s="168">
        <f t="shared" si="5"/>
        <v>0</v>
      </c>
      <c r="W1429" s="168">
        <f t="shared" si="6"/>
        <v>0</v>
      </c>
      <c r="X1429" s="168">
        <f t="shared" si="7"/>
        <v>0</v>
      </c>
      <c r="Y1429" s="168">
        <f t="shared" si="8"/>
        <v>0</v>
      </c>
      <c r="Z1429" s="168">
        <f t="shared" si="9"/>
        <v>0</v>
      </c>
    </row>
    <row r="1430" ht="14.25" customHeight="1">
      <c r="A1430" s="157" t="s">
        <v>1474</v>
      </c>
      <c r="B1430" s="158" t="s">
        <v>37</v>
      </c>
      <c r="C1430" s="158" t="s">
        <v>1464</v>
      </c>
      <c r="D1430" s="159">
        <v>43956.0</v>
      </c>
      <c r="E1430" s="157" t="s">
        <v>731</v>
      </c>
      <c r="F1430" s="160">
        <v>1574844.92</v>
      </c>
      <c r="G1430" s="160">
        <v>251975.19</v>
      </c>
      <c r="H1430" s="160">
        <f t="shared" si="45"/>
        <v>1826820.11</v>
      </c>
      <c r="I1430" s="160"/>
      <c r="J1430" s="161"/>
      <c r="K1430" s="160"/>
      <c r="L1430" s="160">
        <f>+'FACP$'!$H1430-'FACP$'!$I1430-'FACP$'!$K1430</f>
        <v>1826820.11</v>
      </c>
      <c r="M1430" s="162" t="s">
        <v>116</v>
      </c>
      <c r="N1430" s="162" t="s">
        <v>554</v>
      </c>
      <c r="O1430" s="175">
        <v>43984.0</v>
      </c>
      <c r="P1430" s="164">
        <f t="shared" si="13"/>
        <v>43966</v>
      </c>
      <c r="Q1430" s="165">
        <f t="shared" si="2"/>
        <v>0</v>
      </c>
      <c r="R1430" s="167"/>
      <c r="S1430" s="167" t="s">
        <v>910</v>
      </c>
      <c r="T1430" s="168">
        <f t="shared" si="3"/>
        <v>1826820.11</v>
      </c>
      <c r="U1430" s="168">
        <f t="shared" si="4"/>
        <v>0</v>
      </c>
      <c r="V1430" s="168">
        <f t="shared" si="5"/>
        <v>0</v>
      </c>
      <c r="W1430" s="168">
        <f t="shared" si="6"/>
        <v>0</v>
      </c>
      <c r="X1430" s="168">
        <f t="shared" si="7"/>
        <v>0</v>
      </c>
      <c r="Y1430" s="168">
        <f t="shared" si="8"/>
        <v>0</v>
      </c>
      <c r="Z1430" s="168">
        <f t="shared" si="9"/>
        <v>0</v>
      </c>
    </row>
    <row r="1431" ht="14.25" customHeight="1">
      <c r="A1431" s="157" t="s">
        <v>1475</v>
      </c>
      <c r="B1431" s="158" t="s">
        <v>29</v>
      </c>
      <c r="C1431" s="158" t="s">
        <v>1464</v>
      </c>
      <c r="D1431" s="159">
        <v>43956.0</v>
      </c>
      <c r="E1431" s="157" t="s">
        <v>731</v>
      </c>
      <c r="F1431" s="160">
        <v>252803.4</v>
      </c>
      <c r="G1431" s="160">
        <v>40448.54</v>
      </c>
      <c r="H1431" s="160">
        <f t="shared" si="45"/>
        <v>293251.94</v>
      </c>
      <c r="I1431" s="160"/>
      <c r="J1431" s="161"/>
      <c r="K1431" s="160"/>
      <c r="L1431" s="160">
        <f>+'FACP$'!$H1431-'FACP$'!$I1431-'FACP$'!$K1431</f>
        <v>293251.94</v>
      </c>
      <c r="M1431" s="162" t="s">
        <v>130</v>
      </c>
      <c r="N1431" s="162" t="s">
        <v>554</v>
      </c>
      <c r="O1431" s="175">
        <v>43973.0</v>
      </c>
      <c r="P1431" s="164">
        <f t="shared" si="13"/>
        <v>43966</v>
      </c>
      <c r="Q1431" s="165">
        <f t="shared" si="2"/>
        <v>0</v>
      </c>
      <c r="R1431" s="167"/>
      <c r="S1431" s="167"/>
      <c r="T1431" s="168">
        <f t="shared" si="3"/>
        <v>293251.94</v>
      </c>
      <c r="U1431" s="168">
        <f t="shared" si="4"/>
        <v>0</v>
      </c>
      <c r="V1431" s="168">
        <f t="shared" si="5"/>
        <v>0</v>
      </c>
      <c r="W1431" s="168">
        <f t="shared" si="6"/>
        <v>0</v>
      </c>
      <c r="X1431" s="168">
        <f t="shared" si="7"/>
        <v>0</v>
      </c>
      <c r="Y1431" s="168">
        <f t="shared" si="8"/>
        <v>0</v>
      </c>
      <c r="Z1431" s="168">
        <f t="shared" si="9"/>
        <v>0</v>
      </c>
    </row>
    <row r="1432" ht="14.25" customHeight="1">
      <c r="A1432" s="157" t="s">
        <v>1476</v>
      </c>
      <c r="B1432" s="158" t="s">
        <v>29</v>
      </c>
      <c r="C1432" s="158" t="s">
        <v>1477</v>
      </c>
      <c r="D1432" s="159">
        <v>43956.0</v>
      </c>
      <c r="E1432" s="157" t="s">
        <v>731</v>
      </c>
      <c r="F1432" s="160">
        <v>418954.05</v>
      </c>
      <c r="G1432" s="160">
        <v>67032.65</v>
      </c>
      <c r="H1432" s="160">
        <f t="shared" si="45"/>
        <v>485986.7</v>
      </c>
      <c r="I1432" s="160"/>
      <c r="J1432" s="161"/>
      <c r="K1432" s="160"/>
      <c r="L1432" s="160">
        <f>+'FACP$'!$H1432-'FACP$'!$I1432-'FACP$'!$K1432</f>
        <v>485986.7</v>
      </c>
      <c r="M1432" s="162" t="s">
        <v>130</v>
      </c>
      <c r="N1432" s="162" t="s">
        <v>554</v>
      </c>
      <c r="O1432" s="175">
        <v>43973.0</v>
      </c>
      <c r="P1432" s="164">
        <f t="shared" si="13"/>
        <v>43966</v>
      </c>
      <c r="Q1432" s="165">
        <f t="shared" si="2"/>
        <v>0</v>
      </c>
      <c r="R1432" s="167"/>
      <c r="S1432" s="167"/>
      <c r="T1432" s="168">
        <f t="shared" si="3"/>
        <v>485986.7</v>
      </c>
      <c r="U1432" s="168">
        <f t="shared" si="4"/>
        <v>0</v>
      </c>
      <c r="V1432" s="168">
        <f t="shared" si="5"/>
        <v>0</v>
      </c>
      <c r="W1432" s="168">
        <f t="shared" si="6"/>
        <v>0</v>
      </c>
      <c r="X1432" s="168">
        <f t="shared" si="7"/>
        <v>0</v>
      </c>
      <c r="Y1432" s="168">
        <f t="shared" si="8"/>
        <v>0</v>
      </c>
      <c r="Z1432" s="168">
        <f t="shared" si="9"/>
        <v>0</v>
      </c>
    </row>
    <row r="1433" ht="14.25" customHeight="1">
      <c r="A1433" s="157" t="s">
        <v>1478</v>
      </c>
      <c r="B1433" s="158" t="s">
        <v>18</v>
      </c>
      <c r="C1433" s="158" t="s">
        <v>1464</v>
      </c>
      <c r="D1433" s="159">
        <v>43956.0</v>
      </c>
      <c r="E1433" s="157" t="s">
        <v>731</v>
      </c>
      <c r="F1433" s="160">
        <v>95684.09</v>
      </c>
      <c r="G1433" s="160">
        <v>15309.45</v>
      </c>
      <c r="H1433" s="160">
        <f t="shared" si="45"/>
        <v>110993.54</v>
      </c>
      <c r="I1433" s="160"/>
      <c r="J1433" s="161"/>
      <c r="K1433" s="160"/>
      <c r="L1433" s="160">
        <f>+'FACP$'!$H1433-'FACP$'!$I1433-'FACP$'!$K1433</f>
        <v>110993.54</v>
      </c>
      <c r="M1433" s="162" t="s">
        <v>586</v>
      </c>
      <c r="N1433" s="162" t="s">
        <v>554</v>
      </c>
      <c r="O1433" s="175">
        <v>43998.0</v>
      </c>
      <c r="P1433" s="164">
        <f t="shared" si="13"/>
        <v>43966</v>
      </c>
      <c r="Q1433" s="165">
        <f t="shared" si="2"/>
        <v>0</v>
      </c>
      <c r="R1433" s="167"/>
      <c r="S1433" s="220" t="s">
        <v>910</v>
      </c>
      <c r="T1433" s="168">
        <f t="shared" si="3"/>
        <v>110993.54</v>
      </c>
      <c r="U1433" s="168">
        <f t="shared" si="4"/>
        <v>0</v>
      </c>
      <c r="V1433" s="168">
        <f t="shared" si="5"/>
        <v>0</v>
      </c>
      <c r="W1433" s="168">
        <f t="shared" si="6"/>
        <v>0</v>
      </c>
      <c r="X1433" s="168">
        <f t="shared" si="7"/>
        <v>0</v>
      </c>
      <c r="Y1433" s="168">
        <f t="shared" si="8"/>
        <v>0</v>
      </c>
      <c r="Z1433" s="168">
        <f t="shared" si="9"/>
        <v>0</v>
      </c>
    </row>
    <row r="1434" ht="14.25" customHeight="1">
      <c r="A1434" s="157" t="s">
        <v>1479</v>
      </c>
      <c r="B1434" s="158" t="s">
        <v>16</v>
      </c>
      <c r="C1434" s="158" t="s">
        <v>1464</v>
      </c>
      <c r="D1434" s="159">
        <v>43956.0</v>
      </c>
      <c r="E1434" s="157" t="s">
        <v>731</v>
      </c>
      <c r="F1434" s="160">
        <v>202320.93</v>
      </c>
      <c r="G1434" s="160">
        <v>32371.35</v>
      </c>
      <c r="H1434" s="160">
        <f t="shared" si="45"/>
        <v>234692.28</v>
      </c>
      <c r="I1434" s="160"/>
      <c r="J1434" s="161"/>
      <c r="K1434" s="160"/>
      <c r="L1434" s="160">
        <f>+'FACP$'!$H1434-'FACP$'!$I1434-'FACP$'!$K1434</f>
        <v>234692.28</v>
      </c>
      <c r="M1434" s="162" t="s">
        <v>985</v>
      </c>
      <c r="N1434" s="162" t="s">
        <v>554</v>
      </c>
      <c r="O1434" s="175">
        <v>43972.0</v>
      </c>
      <c r="P1434" s="164">
        <f t="shared" si="13"/>
        <v>43966</v>
      </c>
      <c r="Q1434" s="165">
        <f t="shared" si="2"/>
        <v>0</v>
      </c>
      <c r="R1434" s="167"/>
      <c r="S1434" s="167" t="s">
        <v>910</v>
      </c>
      <c r="T1434" s="168">
        <f t="shared" si="3"/>
        <v>234692.28</v>
      </c>
      <c r="U1434" s="168">
        <f t="shared" si="4"/>
        <v>0</v>
      </c>
      <c r="V1434" s="168">
        <f t="shared" si="5"/>
        <v>0</v>
      </c>
      <c r="W1434" s="168">
        <f t="shared" si="6"/>
        <v>0</v>
      </c>
      <c r="X1434" s="168">
        <f t="shared" si="7"/>
        <v>0</v>
      </c>
      <c r="Y1434" s="168">
        <f t="shared" si="8"/>
        <v>0</v>
      </c>
      <c r="Z1434" s="168">
        <f t="shared" si="9"/>
        <v>0</v>
      </c>
    </row>
    <row r="1435" ht="14.25" customHeight="1">
      <c r="A1435" s="157" t="s">
        <v>1480</v>
      </c>
      <c r="B1435" s="158" t="s">
        <v>16</v>
      </c>
      <c r="C1435" s="158" t="s">
        <v>1477</v>
      </c>
      <c r="D1435" s="159">
        <v>43956.0</v>
      </c>
      <c r="E1435" s="157" t="s">
        <v>731</v>
      </c>
      <c r="F1435" s="160">
        <v>320031.3</v>
      </c>
      <c r="G1435" s="160">
        <v>51205.01</v>
      </c>
      <c r="H1435" s="160">
        <f t="shared" si="45"/>
        <v>371236.31</v>
      </c>
      <c r="I1435" s="160"/>
      <c r="J1435" s="161"/>
      <c r="K1435" s="160"/>
      <c r="L1435" s="160">
        <f>+'FACP$'!$H1435-'FACP$'!$I1435-'FACP$'!$K1435</f>
        <v>371236.31</v>
      </c>
      <c r="M1435" s="162" t="s">
        <v>985</v>
      </c>
      <c r="N1435" s="162" t="s">
        <v>554</v>
      </c>
      <c r="O1435" s="175">
        <v>43972.0</v>
      </c>
      <c r="P1435" s="164">
        <f t="shared" si="13"/>
        <v>43966</v>
      </c>
      <c r="Q1435" s="165">
        <f t="shared" si="2"/>
        <v>0</v>
      </c>
      <c r="R1435" s="167"/>
      <c r="S1435" s="167" t="s">
        <v>910</v>
      </c>
      <c r="T1435" s="168">
        <f t="shared" si="3"/>
        <v>371236.31</v>
      </c>
      <c r="U1435" s="168">
        <f t="shared" si="4"/>
        <v>0</v>
      </c>
      <c r="V1435" s="168">
        <f t="shared" si="5"/>
        <v>0</v>
      </c>
      <c r="W1435" s="168">
        <f t="shared" si="6"/>
        <v>0</v>
      </c>
      <c r="X1435" s="168">
        <f t="shared" si="7"/>
        <v>0</v>
      </c>
      <c r="Y1435" s="168">
        <f t="shared" si="8"/>
        <v>0</v>
      </c>
      <c r="Z1435" s="168">
        <f t="shared" si="9"/>
        <v>0</v>
      </c>
    </row>
    <row r="1436" ht="14.25" customHeight="1">
      <c r="A1436" s="157" t="s">
        <v>1481</v>
      </c>
      <c r="B1436" s="158" t="s">
        <v>82</v>
      </c>
      <c r="C1436" s="158" t="s">
        <v>1482</v>
      </c>
      <c r="D1436" s="159">
        <v>43956.0</v>
      </c>
      <c r="E1436" s="157" t="s">
        <v>731</v>
      </c>
      <c r="F1436" s="160">
        <v>50000.0</v>
      </c>
      <c r="G1436" s="160">
        <v>8000.0</v>
      </c>
      <c r="H1436" s="160">
        <f t="shared" si="45"/>
        <v>58000</v>
      </c>
      <c r="I1436" s="160"/>
      <c r="J1436" s="161"/>
      <c r="K1436" s="160"/>
      <c r="L1436" s="160">
        <f>+'FACP$'!$H1436-'FACP$'!$I1436-'FACP$'!$K1436</f>
        <v>58000</v>
      </c>
      <c r="M1436" s="162" t="s">
        <v>714</v>
      </c>
      <c r="N1436" s="162" t="s">
        <v>127</v>
      </c>
      <c r="O1436" s="175"/>
      <c r="P1436" s="164">
        <f t="shared" si="13"/>
        <v>43966</v>
      </c>
      <c r="Q1436" s="165">
        <f t="shared" si="2"/>
        <v>0</v>
      </c>
      <c r="R1436" s="167"/>
      <c r="S1436" s="167"/>
      <c r="T1436" s="168">
        <f t="shared" si="3"/>
        <v>58000</v>
      </c>
      <c r="U1436" s="168">
        <f t="shared" si="4"/>
        <v>0</v>
      </c>
      <c r="V1436" s="168">
        <f t="shared" si="5"/>
        <v>0</v>
      </c>
      <c r="W1436" s="168">
        <f t="shared" si="6"/>
        <v>0</v>
      </c>
      <c r="X1436" s="168">
        <f t="shared" si="7"/>
        <v>0</v>
      </c>
      <c r="Y1436" s="168">
        <f t="shared" si="8"/>
        <v>0</v>
      </c>
      <c r="Z1436" s="168">
        <f t="shared" si="9"/>
        <v>0</v>
      </c>
    </row>
    <row r="1437" ht="14.25" customHeight="1">
      <c r="A1437" s="157" t="s">
        <v>1483</v>
      </c>
      <c r="B1437" s="158" t="s">
        <v>82</v>
      </c>
      <c r="C1437" s="158" t="s">
        <v>1482</v>
      </c>
      <c r="D1437" s="159">
        <v>43956.0</v>
      </c>
      <c r="E1437" s="157" t="s">
        <v>731</v>
      </c>
      <c r="F1437" s="160">
        <v>20000.0</v>
      </c>
      <c r="G1437" s="160">
        <v>3200.0</v>
      </c>
      <c r="H1437" s="160">
        <f t="shared" si="45"/>
        <v>23200</v>
      </c>
      <c r="I1437" s="160"/>
      <c r="J1437" s="161"/>
      <c r="K1437" s="160"/>
      <c r="L1437" s="160">
        <f>+'FACP$'!$H1437-'FACP$'!$I1437-'FACP$'!$K1437</f>
        <v>23200</v>
      </c>
      <c r="M1437" s="162" t="s">
        <v>714</v>
      </c>
      <c r="N1437" s="162" t="s">
        <v>127</v>
      </c>
      <c r="O1437" s="175"/>
      <c r="P1437" s="164">
        <f t="shared" si="13"/>
        <v>43966</v>
      </c>
      <c r="Q1437" s="165">
        <f t="shared" si="2"/>
        <v>0</v>
      </c>
      <c r="R1437" s="167"/>
      <c r="S1437" s="167"/>
      <c r="T1437" s="168">
        <f t="shared" si="3"/>
        <v>23200</v>
      </c>
      <c r="U1437" s="168">
        <f t="shared" si="4"/>
        <v>0</v>
      </c>
      <c r="V1437" s="168">
        <f t="shared" si="5"/>
        <v>0</v>
      </c>
      <c r="W1437" s="168">
        <f t="shared" si="6"/>
        <v>0</v>
      </c>
      <c r="X1437" s="168">
        <f t="shared" si="7"/>
        <v>0</v>
      </c>
      <c r="Y1437" s="168">
        <f t="shared" si="8"/>
        <v>0</v>
      </c>
      <c r="Z1437" s="168">
        <f t="shared" si="9"/>
        <v>0</v>
      </c>
    </row>
    <row r="1438" ht="14.25" customHeight="1">
      <c r="A1438" s="157" t="s">
        <v>1484</v>
      </c>
      <c r="B1438" s="158" t="s">
        <v>43</v>
      </c>
      <c r="C1438" s="158" t="s">
        <v>1485</v>
      </c>
      <c r="D1438" s="159">
        <v>43958.0</v>
      </c>
      <c r="E1438" s="157" t="s">
        <v>731</v>
      </c>
      <c r="F1438" s="160">
        <v>47748.35</v>
      </c>
      <c r="G1438" s="160">
        <v>7639.74</v>
      </c>
      <c r="H1438" s="160">
        <f t="shared" si="45"/>
        <v>55388.09</v>
      </c>
      <c r="I1438" s="160"/>
      <c r="J1438" s="161"/>
      <c r="K1438" s="160"/>
      <c r="L1438" s="160">
        <f>+'FACP$'!$H1438-'FACP$'!$I1438-'FACP$'!$K1438</f>
        <v>55388.09</v>
      </c>
      <c r="M1438" s="162" t="s">
        <v>43</v>
      </c>
      <c r="N1438" s="162" t="s">
        <v>554</v>
      </c>
      <c r="O1438" s="175">
        <v>44012.0</v>
      </c>
      <c r="P1438" s="164">
        <f t="shared" si="13"/>
        <v>43968</v>
      </c>
      <c r="Q1438" s="165">
        <f t="shared" si="2"/>
        <v>0</v>
      </c>
      <c r="R1438" s="167"/>
      <c r="S1438" s="167" t="s">
        <v>910</v>
      </c>
      <c r="T1438" s="168">
        <f t="shared" si="3"/>
        <v>55388.09</v>
      </c>
      <c r="U1438" s="168">
        <f t="shared" si="4"/>
        <v>0</v>
      </c>
      <c r="V1438" s="168">
        <f t="shared" si="5"/>
        <v>0</v>
      </c>
      <c r="W1438" s="168">
        <f t="shared" si="6"/>
        <v>0</v>
      </c>
      <c r="X1438" s="168">
        <f t="shared" si="7"/>
        <v>0</v>
      </c>
      <c r="Y1438" s="168">
        <f t="shared" si="8"/>
        <v>0</v>
      </c>
      <c r="Z1438" s="168">
        <f t="shared" si="9"/>
        <v>0</v>
      </c>
    </row>
    <row r="1439" ht="14.25" customHeight="1">
      <c r="A1439" s="157" t="s">
        <v>1486</v>
      </c>
      <c r="B1439" s="158" t="s">
        <v>36</v>
      </c>
      <c r="C1439" s="158" t="s">
        <v>1485</v>
      </c>
      <c r="D1439" s="159">
        <v>43958.0</v>
      </c>
      <c r="E1439" s="157" t="s">
        <v>731</v>
      </c>
      <c r="F1439" s="160">
        <v>20408.24</v>
      </c>
      <c r="G1439" s="160">
        <v>3265.32</v>
      </c>
      <c r="H1439" s="160">
        <f t="shared" si="45"/>
        <v>23673.56</v>
      </c>
      <c r="I1439" s="160"/>
      <c r="J1439" s="161"/>
      <c r="K1439" s="160"/>
      <c r="L1439" s="160">
        <f>+'FACP$'!$H1439-'FACP$'!$I1439-'FACP$'!$K1439</f>
        <v>23673.56</v>
      </c>
      <c r="M1439" s="162" t="s">
        <v>278</v>
      </c>
      <c r="N1439" s="162" t="s">
        <v>554</v>
      </c>
      <c r="O1439" s="175">
        <v>44118.0</v>
      </c>
      <c r="P1439" s="164">
        <f t="shared" si="13"/>
        <v>43968</v>
      </c>
      <c r="Q1439" s="165">
        <f t="shared" si="2"/>
        <v>0</v>
      </c>
      <c r="R1439" s="167"/>
      <c r="S1439" s="220" t="s">
        <v>910</v>
      </c>
      <c r="T1439" s="168">
        <f t="shared" si="3"/>
        <v>23673.56</v>
      </c>
      <c r="U1439" s="168">
        <f t="shared" si="4"/>
        <v>0</v>
      </c>
      <c r="V1439" s="168">
        <f t="shared" si="5"/>
        <v>0</v>
      </c>
      <c r="W1439" s="168">
        <f t="shared" si="6"/>
        <v>0</v>
      </c>
      <c r="X1439" s="168">
        <f t="shared" si="7"/>
        <v>0</v>
      </c>
      <c r="Y1439" s="168">
        <f t="shared" si="8"/>
        <v>0</v>
      </c>
      <c r="Z1439" s="168">
        <f t="shared" si="9"/>
        <v>0</v>
      </c>
    </row>
    <row r="1440" ht="14.25" customHeight="1">
      <c r="A1440" s="157" t="s">
        <v>1487</v>
      </c>
      <c r="B1440" s="158" t="s">
        <v>33</v>
      </c>
      <c r="C1440" s="158" t="s">
        <v>1485</v>
      </c>
      <c r="D1440" s="159">
        <v>43958.0</v>
      </c>
      <c r="E1440" s="157" t="s">
        <v>731</v>
      </c>
      <c r="F1440" s="160">
        <v>30808.53</v>
      </c>
      <c r="G1440" s="160">
        <v>4929.36</v>
      </c>
      <c r="H1440" s="160">
        <f t="shared" si="45"/>
        <v>35737.89</v>
      </c>
      <c r="I1440" s="160"/>
      <c r="J1440" s="161"/>
      <c r="K1440" s="160"/>
      <c r="L1440" s="160">
        <f>+'FACP$'!$H1440-'FACP$'!$I1440-'FACP$'!$K1440</f>
        <v>35737.89</v>
      </c>
      <c r="M1440" s="162" t="s">
        <v>958</v>
      </c>
      <c r="N1440" s="162" t="s">
        <v>127</v>
      </c>
      <c r="O1440" s="175"/>
      <c r="P1440" s="164">
        <f t="shared" si="13"/>
        <v>43968</v>
      </c>
      <c r="Q1440" s="165">
        <f t="shared" si="2"/>
        <v>0</v>
      </c>
      <c r="R1440" s="167" t="s">
        <v>1488</v>
      </c>
      <c r="S1440" s="167"/>
      <c r="T1440" s="168">
        <f t="shared" si="3"/>
        <v>35737.89</v>
      </c>
      <c r="U1440" s="168">
        <f t="shared" si="4"/>
        <v>0</v>
      </c>
      <c r="V1440" s="168">
        <f t="shared" si="5"/>
        <v>0</v>
      </c>
      <c r="W1440" s="168">
        <f t="shared" si="6"/>
        <v>0</v>
      </c>
      <c r="X1440" s="168">
        <f t="shared" si="7"/>
        <v>0</v>
      </c>
      <c r="Y1440" s="168">
        <f t="shared" si="8"/>
        <v>0</v>
      </c>
      <c r="Z1440" s="168">
        <f t="shared" si="9"/>
        <v>0</v>
      </c>
    </row>
    <row r="1441" ht="14.25" customHeight="1">
      <c r="A1441" s="157" t="s">
        <v>1489</v>
      </c>
      <c r="B1441" s="158" t="s">
        <v>27</v>
      </c>
      <c r="C1441" s="158" t="s">
        <v>1485</v>
      </c>
      <c r="D1441" s="159">
        <v>43958.0</v>
      </c>
      <c r="E1441" s="157" t="s">
        <v>731</v>
      </c>
      <c r="F1441" s="160">
        <v>37542.82</v>
      </c>
      <c r="G1441" s="160">
        <v>6006.85</v>
      </c>
      <c r="H1441" s="160">
        <f t="shared" si="45"/>
        <v>43549.67</v>
      </c>
      <c r="I1441" s="160"/>
      <c r="J1441" s="161"/>
      <c r="K1441" s="160"/>
      <c r="L1441" s="160">
        <f>+'FACP$'!$H1441-'FACP$'!$I1441-'FACP$'!$K1441</f>
        <v>43549.67</v>
      </c>
      <c r="M1441" s="162" t="s">
        <v>969</v>
      </c>
      <c r="N1441" s="162" t="s">
        <v>554</v>
      </c>
      <c r="O1441" s="175">
        <v>44091.0</v>
      </c>
      <c r="P1441" s="164">
        <f t="shared" si="13"/>
        <v>43968</v>
      </c>
      <c r="Q1441" s="165">
        <f t="shared" si="2"/>
        <v>0</v>
      </c>
      <c r="R1441" s="167"/>
      <c r="S1441" s="167"/>
      <c r="T1441" s="168">
        <f t="shared" si="3"/>
        <v>43549.67</v>
      </c>
      <c r="U1441" s="168">
        <f t="shared" si="4"/>
        <v>0</v>
      </c>
      <c r="V1441" s="168">
        <f t="shared" si="5"/>
        <v>0</v>
      </c>
      <c r="W1441" s="168">
        <f t="shared" si="6"/>
        <v>0</v>
      </c>
      <c r="X1441" s="168">
        <f t="shared" si="7"/>
        <v>0</v>
      </c>
      <c r="Y1441" s="168">
        <f t="shared" si="8"/>
        <v>0</v>
      </c>
      <c r="Z1441" s="168">
        <f t="shared" si="9"/>
        <v>0</v>
      </c>
    </row>
    <row r="1442" ht="14.25" customHeight="1">
      <c r="A1442" s="157" t="s">
        <v>1490</v>
      </c>
      <c r="B1442" s="158" t="s">
        <v>35</v>
      </c>
      <c r="C1442" s="158" t="s">
        <v>1485</v>
      </c>
      <c r="D1442" s="159">
        <v>43958.0</v>
      </c>
      <c r="E1442" s="157" t="s">
        <v>731</v>
      </c>
      <c r="F1442" s="160">
        <v>44518.69</v>
      </c>
      <c r="G1442" s="160">
        <v>7122.99</v>
      </c>
      <c r="H1442" s="160">
        <f t="shared" si="45"/>
        <v>51641.68</v>
      </c>
      <c r="I1442" s="160"/>
      <c r="J1442" s="161"/>
      <c r="K1442" s="160"/>
      <c r="L1442" s="160">
        <f>+'FACP$'!$H1442-'FACP$'!$I1442-'FACP$'!$K1442</f>
        <v>51641.68</v>
      </c>
      <c r="M1442" s="162" t="s">
        <v>276</v>
      </c>
      <c r="N1442" s="162" t="s">
        <v>554</v>
      </c>
      <c r="O1442" s="175">
        <v>44070.0</v>
      </c>
      <c r="P1442" s="164">
        <f t="shared" si="13"/>
        <v>43968</v>
      </c>
      <c r="Q1442" s="165">
        <f t="shared" si="2"/>
        <v>0</v>
      </c>
      <c r="R1442" s="167"/>
      <c r="S1442" s="167" t="s">
        <v>910</v>
      </c>
      <c r="T1442" s="168">
        <f t="shared" si="3"/>
        <v>51641.68</v>
      </c>
      <c r="U1442" s="168">
        <f t="shared" si="4"/>
        <v>0</v>
      </c>
      <c r="V1442" s="168">
        <f t="shared" si="5"/>
        <v>0</v>
      </c>
      <c r="W1442" s="168">
        <f t="shared" si="6"/>
        <v>0</v>
      </c>
      <c r="X1442" s="168">
        <f t="shared" si="7"/>
        <v>0</v>
      </c>
      <c r="Y1442" s="168">
        <f t="shared" si="8"/>
        <v>0</v>
      </c>
      <c r="Z1442" s="168">
        <f t="shared" si="9"/>
        <v>0</v>
      </c>
    </row>
    <row r="1443" ht="14.25" customHeight="1">
      <c r="A1443" s="157" t="s">
        <v>1491</v>
      </c>
      <c r="B1443" s="158" t="s">
        <v>30</v>
      </c>
      <c r="C1443" s="158" t="s">
        <v>1485</v>
      </c>
      <c r="D1443" s="159">
        <v>43958.0</v>
      </c>
      <c r="E1443" s="157" t="s">
        <v>731</v>
      </c>
      <c r="F1443" s="222">
        <v>69529.59</v>
      </c>
      <c r="G1443" s="160">
        <v>11124.73</v>
      </c>
      <c r="H1443" s="160">
        <f t="shared" si="45"/>
        <v>80654.32</v>
      </c>
      <c r="I1443" s="160"/>
      <c r="J1443" s="161"/>
      <c r="K1443" s="160"/>
      <c r="L1443" s="160">
        <f>+'FACP$'!$H1443-'FACP$'!$I1443-'FACP$'!$K1443</f>
        <v>80654.32</v>
      </c>
      <c r="M1443" s="162" t="s">
        <v>891</v>
      </c>
      <c r="N1443" s="162" t="s">
        <v>127</v>
      </c>
      <c r="O1443" s="175"/>
      <c r="P1443" s="164">
        <f t="shared" si="13"/>
        <v>43968</v>
      </c>
      <c r="Q1443" s="165">
        <f t="shared" si="2"/>
        <v>0</v>
      </c>
      <c r="R1443" s="220" t="s">
        <v>1309</v>
      </c>
      <c r="S1443" s="167"/>
      <c r="T1443" s="168">
        <f t="shared" si="3"/>
        <v>80654.32</v>
      </c>
      <c r="U1443" s="168">
        <f t="shared" si="4"/>
        <v>0</v>
      </c>
      <c r="V1443" s="168">
        <f t="shared" si="5"/>
        <v>0</v>
      </c>
      <c r="W1443" s="168">
        <f t="shared" si="6"/>
        <v>0</v>
      </c>
      <c r="X1443" s="168">
        <f t="shared" si="7"/>
        <v>0</v>
      </c>
      <c r="Y1443" s="168">
        <f t="shared" si="8"/>
        <v>0</v>
      </c>
      <c r="Z1443" s="168">
        <f t="shared" si="9"/>
        <v>0</v>
      </c>
    </row>
    <row r="1444" ht="14.25" customHeight="1">
      <c r="A1444" s="157" t="s">
        <v>1492</v>
      </c>
      <c r="B1444" s="158" t="s">
        <v>41</v>
      </c>
      <c r="C1444" s="158" t="s">
        <v>1485</v>
      </c>
      <c r="D1444" s="159">
        <v>43958.0</v>
      </c>
      <c r="E1444" s="157" t="s">
        <v>731</v>
      </c>
      <c r="F1444" s="160">
        <v>10797.18</v>
      </c>
      <c r="G1444" s="160">
        <v>1727.55</v>
      </c>
      <c r="H1444" s="160">
        <f t="shared" si="45"/>
        <v>12524.73</v>
      </c>
      <c r="I1444" s="160"/>
      <c r="J1444" s="161"/>
      <c r="K1444" s="160"/>
      <c r="L1444" s="160">
        <f>+'FACP$'!$H1444-'FACP$'!$I1444-'FACP$'!$K1444</f>
        <v>12524.73</v>
      </c>
      <c r="M1444" s="162" t="s">
        <v>121</v>
      </c>
      <c r="N1444" s="162" t="s">
        <v>554</v>
      </c>
      <c r="O1444" s="175">
        <v>43984.0</v>
      </c>
      <c r="P1444" s="164">
        <f t="shared" si="13"/>
        <v>43968</v>
      </c>
      <c r="Q1444" s="165">
        <f t="shared" si="2"/>
        <v>0</v>
      </c>
      <c r="R1444" s="167"/>
      <c r="S1444" s="220" t="s">
        <v>910</v>
      </c>
      <c r="T1444" s="168">
        <f t="shared" si="3"/>
        <v>12524.73</v>
      </c>
      <c r="U1444" s="168">
        <f t="shared" si="4"/>
        <v>0</v>
      </c>
      <c r="V1444" s="168">
        <f t="shared" si="5"/>
        <v>0</v>
      </c>
      <c r="W1444" s="168">
        <f t="shared" si="6"/>
        <v>0</v>
      </c>
      <c r="X1444" s="168">
        <f t="shared" si="7"/>
        <v>0</v>
      </c>
      <c r="Y1444" s="168">
        <f t="shared" si="8"/>
        <v>0</v>
      </c>
      <c r="Z1444" s="168">
        <f t="shared" si="9"/>
        <v>0</v>
      </c>
    </row>
    <row r="1445" ht="14.25" customHeight="1">
      <c r="A1445" s="157" t="s">
        <v>1493</v>
      </c>
      <c r="B1445" s="158" t="s">
        <v>27</v>
      </c>
      <c r="C1445" s="158" t="s">
        <v>1494</v>
      </c>
      <c r="D1445" s="159">
        <v>43958.0</v>
      </c>
      <c r="E1445" s="157" t="s">
        <v>731</v>
      </c>
      <c r="F1445" s="222">
        <v>19533.44</v>
      </c>
      <c r="G1445" s="160">
        <v>3125.35</v>
      </c>
      <c r="H1445" s="160">
        <f t="shared" si="45"/>
        <v>22658.79</v>
      </c>
      <c r="I1445" s="160"/>
      <c r="J1445" s="161"/>
      <c r="K1445" s="160"/>
      <c r="L1445" s="160">
        <f>+'FACP$'!$H1445-'FACP$'!$I1445-'FACP$'!$K1445</f>
        <v>22658.79</v>
      </c>
      <c r="M1445" s="162" t="s">
        <v>969</v>
      </c>
      <c r="N1445" s="162" t="s">
        <v>554</v>
      </c>
      <c r="O1445" s="175">
        <v>44019.0</v>
      </c>
      <c r="P1445" s="164">
        <f t="shared" si="13"/>
        <v>43968</v>
      </c>
      <c r="Q1445" s="165">
        <f t="shared" si="2"/>
        <v>0</v>
      </c>
      <c r="R1445" s="167"/>
      <c r="S1445" s="167" t="s">
        <v>910</v>
      </c>
      <c r="T1445" s="168">
        <f t="shared" si="3"/>
        <v>22658.79</v>
      </c>
      <c r="U1445" s="168">
        <f t="shared" si="4"/>
        <v>0</v>
      </c>
      <c r="V1445" s="168">
        <f t="shared" si="5"/>
        <v>0</v>
      </c>
      <c r="W1445" s="168">
        <f t="shared" si="6"/>
        <v>0</v>
      </c>
      <c r="X1445" s="168">
        <f t="shared" si="7"/>
        <v>0</v>
      </c>
      <c r="Y1445" s="168">
        <f t="shared" si="8"/>
        <v>0</v>
      </c>
      <c r="Z1445" s="168">
        <f t="shared" si="9"/>
        <v>0</v>
      </c>
    </row>
    <row r="1446" ht="14.25" customHeight="1">
      <c r="A1446" s="157" t="s">
        <v>1495</v>
      </c>
      <c r="B1446" s="158" t="s">
        <v>27</v>
      </c>
      <c r="C1446" s="158" t="s">
        <v>1496</v>
      </c>
      <c r="D1446" s="159">
        <v>43958.0</v>
      </c>
      <c r="E1446" s="157" t="s">
        <v>731</v>
      </c>
      <c r="F1446" s="160">
        <v>18611.83</v>
      </c>
      <c r="G1446" s="160">
        <v>2977.89</v>
      </c>
      <c r="H1446" s="160">
        <f t="shared" si="45"/>
        <v>21589.72</v>
      </c>
      <c r="I1446" s="160"/>
      <c r="J1446" s="161"/>
      <c r="K1446" s="160"/>
      <c r="L1446" s="160">
        <f>+'FACP$'!$H1446-'FACP$'!$I1446-'FACP$'!$K1446</f>
        <v>21589.72</v>
      </c>
      <c r="M1446" s="162" t="s">
        <v>969</v>
      </c>
      <c r="N1446" s="162" t="s">
        <v>554</v>
      </c>
      <c r="O1446" s="175">
        <v>44019.0</v>
      </c>
      <c r="P1446" s="164">
        <f t="shared" si="13"/>
        <v>43968</v>
      </c>
      <c r="Q1446" s="165">
        <f t="shared" si="2"/>
        <v>0</v>
      </c>
      <c r="R1446" s="167"/>
      <c r="S1446" s="167" t="s">
        <v>910</v>
      </c>
      <c r="T1446" s="168">
        <f t="shared" si="3"/>
        <v>21589.72</v>
      </c>
      <c r="U1446" s="168">
        <f t="shared" si="4"/>
        <v>0</v>
      </c>
      <c r="V1446" s="168">
        <f t="shared" si="5"/>
        <v>0</v>
      </c>
      <c r="W1446" s="168">
        <f t="shared" si="6"/>
        <v>0</v>
      </c>
      <c r="X1446" s="168">
        <f t="shared" si="7"/>
        <v>0</v>
      </c>
      <c r="Y1446" s="168">
        <f t="shared" si="8"/>
        <v>0</v>
      </c>
      <c r="Z1446" s="168">
        <f t="shared" si="9"/>
        <v>0</v>
      </c>
    </row>
    <row r="1447" ht="14.25" customHeight="1">
      <c r="A1447" s="157" t="s">
        <v>1497</v>
      </c>
      <c r="B1447" s="158" t="s">
        <v>37</v>
      </c>
      <c r="C1447" s="158" t="s">
        <v>1498</v>
      </c>
      <c r="D1447" s="159">
        <v>43958.0</v>
      </c>
      <c r="E1447" s="157" t="s">
        <v>731</v>
      </c>
      <c r="F1447" s="160">
        <v>180043.14</v>
      </c>
      <c r="G1447" s="160">
        <v>28806.9</v>
      </c>
      <c r="H1447" s="160">
        <f t="shared" si="45"/>
        <v>208850.04</v>
      </c>
      <c r="I1447" s="160"/>
      <c r="J1447" s="161"/>
      <c r="K1447" s="160"/>
      <c r="L1447" s="160">
        <f>+'FACP$'!$H1447-'FACP$'!$I1447-'FACP$'!$K1447</f>
        <v>208850.04</v>
      </c>
      <c r="M1447" s="162" t="s">
        <v>116</v>
      </c>
      <c r="N1447" s="162" t="s">
        <v>127</v>
      </c>
      <c r="O1447" s="175"/>
      <c r="P1447" s="164">
        <f t="shared" si="13"/>
        <v>43968</v>
      </c>
      <c r="Q1447" s="165">
        <f t="shared" si="2"/>
        <v>0</v>
      </c>
      <c r="R1447" s="167" t="s">
        <v>1499</v>
      </c>
      <c r="S1447" s="167"/>
      <c r="T1447" s="168">
        <f t="shared" si="3"/>
        <v>208850.04</v>
      </c>
      <c r="U1447" s="168">
        <f t="shared" si="4"/>
        <v>0</v>
      </c>
      <c r="V1447" s="168">
        <f t="shared" si="5"/>
        <v>0</v>
      </c>
      <c r="W1447" s="168">
        <f t="shared" si="6"/>
        <v>0</v>
      </c>
      <c r="X1447" s="168">
        <f t="shared" si="7"/>
        <v>0</v>
      </c>
      <c r="Y1447" s="168">
        <f t="shared" si="8"/>
        <v>0</v>
      </c>
      <c r="Z1447" s="168">
        <f t="shared" si="9"/>
        <v>0</v>
      </c>
    </row>
    <row r="1448" ht="14.25" customHeight="1">
      <c r="A1448" s="157" t="s">
        <v>1500</v>
      </c>
      <c r="B1448" s="158" t="s">
        <v>29</v>
      </c>
      <c r="C1448" s="158" t="s">
        <v>1501</v>
      </c>
      <c r="D1448" s="159">
        <v>43959.0</v>
      </c>
      <c r="E1448" s="157" t="s">
        <v>731</v>
      </c>
      <c r="F1448" s="160">
        <v>256925.22</v>
      </c>
      <c r="G1448" s="160">
        <v>41108.04</v>
      </c>
      <c r="H1448" s="160">
        <f t="shared" si="45"/>
        <v>298033.26</v>
      </c>
      <c r="I1448" s="160"/>
      <c r="J1448" s="161"/>
      <c r="K1448" s="160"/>
      <c r="L1448" s="160">
        <f>+'FACP$'!$H1448-'FACP$'!$I1448-'FACP$'!$K1448</f>
        <v>298033.26</v>
      </c>
      <c r="M1448" s="162" t="s">
        <v>850</v>
      </c>
      <c r="N1448" s="162" t="s">
        <v>554</v>
      </c>
      <c r="O1448" s="175">
        <v>43990.0</v>
      </c>
      <c r="P1448" s="164">
        <f t="shared" si="13"/>
        <v>43969</v>
      </c>
      <c r="Q1448" s="165">
        <f t="shared" si="2"/>
        <v>0</v>
      </c>
      <c r="R1448" s="167"/>
      <c r="S1448" s="167"/>
      <c r="T1448" s="168">
        <f t="shared" si="3"/>
        <v>298033.26</v>
      </c>
      <c r="U1448" s="168">
        <f t="shared" si="4"/>
        <v>0</v>
      </c>
      <c r="V1448" s="168">
        <f t="shared" si="5"/>
        <v>0</v>
      </c>
      <c r="W1448" s="168">
        <f t="shared" si="6"/>
        <v>0</v>
      </c>
      <c r="X1448" s="168">
        <f t="shared" si="7"/>
        <v>0</v>
      </c>
      <c r="Y1448" s="168">
        <f t="shared" si="8"/>
        <v>0</v>
      </c>
      <c r="Z1448" s="168">
        <f t="shared" si="9"/>
        <v>0</v>
      </c>
    </row>
    <row r="1449" ht="14.25" customHeight="1">
      <c r="A1449" s="157" t="s">
        <v>1502</v>
      </c>
      <c r="B1449" s="158" t="s">
        <v>29</v>
      </c>
      <c r="C1449" s="158" t="s">
        <v>1503</v>
      </c>
      <c r="D1449" s="159">
        <v>43959.0</v>
      </c>
      <c r="E1449" s="157" t="s">
        <v>731</v>
      </c>
      <c r="F1449" s="160">
        <v>243893.16</v>
      </c>
      <c r="G1449" s="160">
        <v>39022.91</v>
      </c>
      <c r="H1449" s="160">
        <f t="shared" si="45"/>
        <v>282916.07</v>
      </c>
      <c r="I1449" s="160"/>
      <c r="J1449" s="161"/>
      <c r="K1449" s="160"/>
      <c r="L1449" s="160">
        <f>+'FACP$'!$H1449-'FACP$'!$I1449-'FACP$'!$K1449</f>
        <v>282916.07</v>
      </c>
      <c r="M1449" s="162" t="s">
        <v>1087</v>
      </c>
      <c r="N1449" s="162" t="s">
        <v>554</v>
      </c>
      <c r="O1449" s="175">
        <v>43990.0</v>
      </c>
      <c r="P1449" s="164">
        <f t="shared" si="13"/>
        <v>43969</v>
      </c>
      <c r="Q1449" s="165">
        <f t="shared" si="2"/>
        <v>0</v>
      </c>
      <c r="R1449" s="167"/>
      <c r="S1449" s="167"/>
      <c r="T1449" s="168">
        <f t="shared" si="3"/>
        <v>282916.07</v>
      </c>
      <c r="U1449" s="168">
        <f t="shared" si="4"/>
        <v>0</v>
      </c>
      <c r="V1449" s="168">
        <f t="shared" si="5"/>
        <v>0</v>
      </c>
      <c r="W1449" s="168">
        <f t="shared" si="6"/>
        <v>0</v>
      </c>
      <c r="X1449" s="168">
        <f t="shared" si="7"/>
        <v>0</v>
      </c>
      <c r="Y1449" s="168">
        <f t="shared" si="8"/>
        <v>0</v>
      </c>
      <c r="Z1449" s="168">
        <f t="shared" si="9"/>
        <v>0</v>
      </c>
    </row>
    <row r="1450" ht="14.25" customHeight="1">
      <c r="A1450" s="157" t="s">
        <v>1504</v>
      </c>
      <c r="B1450" s="158" t="s">
        <v>29</v>
      </c>
      <c r="C1450" s="158" t="s">
        <v>1505</v>
      </c>
      <c r="D1450" s="159">
        <v>43963.0</v>
      </c>
      <c r="E1450" s="157" t="s">
        <v>731</v>
      </c>
      <c r="F1450" s="160">
        <v>35168.0</v>
      </c>
      <c r="G1450" s="160">
        <v>5626.88</v>
      </c>
      <c r="H1450" s="160">
        <f t="shared" si="45"/>
        <v>40794.88</v>
      </c>
      <c r="I1450" s="160"/>
      <c r="J1450" s="161"/>
      <c r="K1450" s="160"/>
      <c r="L1450" s="160">
        <f>+'FACP$'!$H1450-'FACP$'!$I1450-'FACP$'!$K1450</f>
        <v>40794.88</v>
      </c>
      <c r="M1450" s="162" t="s">
        <v>1506</v>
      </c>
      <c r="N1450" s="162" t="s">
        <v>554</v>
      </c>
      <c r="O1450" s="175">
        <v>43983.0</v>
      </c>
      <c r="P1450" s="164">
        <f t="shared" si="13"/>
        <v>43973</v>
      </c>
      <c r="Q1450" s="165">
        <f t="shared" si="2"/>
        <v>0</v>
      </c>
      <c r="R1450" s="167"/>
      <c r="S1450" s="167"/>
      <c r="T1450" s="168">
        <f t="shared" si="3"/>
        <v>40794.88</v>
      </c>
      <c r="U1450" s="168">
        <f t="shared" si="4"/>
        <v>0</v>
      </c>
      <c r="V1450" s="168">
        <f t="shared" si="5"/>
        <v>0</v>
      </c>
      <c r="W1450" s="168">
        <f t="shared" si="6"/>
        <v>0</v>
      </c>
      <c r="X1450" s="168">
        <f t="shared" si="7"/>
        <v>0</v>
      </c>
      <c r="Y1450" s="168">
        <f t="shared" si="8"/>
        <v>0</v>
      </c>
      <c r="Z1450" s="168">
        <f t="shared" si="9"/>
        <v>0</v>
      </c>
    </row>
    <row r="1451" ht="14.25" customHeight="1">
      <c r="A1451" s="157" t="s">
        <v>1507</v>
      </c>
      <c r="B1451" s="158" t="s">
        <v>33</v>
      </c>
      <c r="C1451" s="158" t="s">
        <v>1508</v>
      </c>
      <c r="D1451" s="159">
        <v>43969.0</v>
      </c>
      <c r="E1451" s="157" t="s">
        <v>731</v>
      </c>
      <c r="F1451" s="160">
        <v>341656.73</v>
      </c>
      <c r="G1451" s="160">
        <v>54665.08</v>
      </c>
      <c r="H1451" s="160">
        <f t="shared" si="45"/>
        <v>396321.81</v>
      </c>
      <c r="I1451" s="160"/>
      <c r="J1451" s="161"/>
      <c r="K1451" s="160"/>
      <c r="L1451" s="160">
        <f>+'FACP$'!$H1451-'FACP$'!$I1451-'FACP$'!$K1451</f>
        <v>396321.81</v>
      </c>
      <c r="M1451" s="162" t="s">
        <v>33</v>
      </c>
      <c r="N1451" s="162" t="s">
        <v>554</v>
      </c>
      <c r="O1451" s="175">
        <v>43994.0</v>
      </c>
      <c r="P1451" s="164">
        <f t="shared" si="13"/>
        <v>43979</v>
      </c>
      <c r="Q1451" s="165">
        <f t="shared" si="2"/>
        <v>0</v>
      </c>
      <c r="R1451" s="167"/>
      <c r="S1451" s="220" t="s">
        <v>910</v>
      </c>
      <c r="T1451" s="168">
        <f t="shared" si="3"/>
        <v>396321.81</v>
      </c>
      <c r="U1451" s="168">
        <f t="shared" si="4"/>
        <v>0</v>
      </c>
      <c r="V1451" s="168">
        <f t="shared" si="5"/>
        <v>0</v>
      </c>
      <c r="W1451" s="168">
        <f t="shared" si="6"/>
        <v>0</v>
      </c>
      <c r="X1451" s="168">
        <f t="shared" si="7"/>
        <v>0</v>
      </c>
      <c r="Y1451" s="168">
        <f t="shared" si="8"/>
        <v>0</v>
      </c>
      <c r="Z1451" s="168">
        <f t="shared" si="9"/>
        <v>0</v>
      </c>
    </row>
    <row r="1452" ht="14.25" customHeight="1">
      <c r="A1452" s="157" t="s">
        <v>1509</v>
      </c>
      <c r="B1452" s="158" t="s">
        <v>35</v>
      </c>
      <c r="C1452" s="158" t="s">
        <v>1508</v>
      </c>
      <c r="D1452" s="159">
        <v>43969.0</v>
      </c>
      <c r="E1452" s="157" t="s">
        <v>731</v>
      </c>
      <c r="F1452" s="160">
        <v>91107.3</v>
      </c>
      <c r="G1452" s="160">
        <v>14577.17</v>
      </c>
      <c r="H1452" s="160">
        <f t="shared" si="45"/>
        <v>105684.47</v>
      </c>
      <c r="I1452" s="160"/>
      <c r="J1452" s="161"/>
      <c r="K1452" s="160"/>
      <c r="L1452" s="160">
        <f>+'FACP$'!$H1452-'FACP$'!$I1452-'FACP$'!$K1452</f>
        <v>105684.47</v>
      </c>
      <c r="M1452" s="162" t="s">
        <v>276</v>
      </c>
      <c r="N1452" s="162" t="s">
        <v>554</v>
      </c>
      <c r="O1452" s="175">
        <v>44085.0</v>
      </c>
      <c r="P1452" s="164">
        <f t="shared" si="13"/>
        <v>43979</v>
      </c>
      <c r="Q1452" s="165">
        <f t="shared" si="2"/>
        <v>0</v>
      </c>
      <c r="R1452" s="167" t="s">
        <v>1510</v>
      </c>
      <c r="S1452" s="167" t="s">
        <v>910</v>
      </c>
      <c r="T1452" s="168">
        <f t="shared" si="3"/>
        <v>105684.47</v>
      </c>
      <c r="U1452" s="168">
        <f t="shared" si="4"/>
        <v>0</v>
      </c>
      <c r="V1452" s="168">
        <f t="shared" si="5"/>
        <v>0</v>
      </c>
      <c r="W1452" s="168">
        <f t="shared" si="6"/>
        <v>0</v>
      </c>
      <c r="X1452" s="168">
        <f t="shared" si="7"/>
        <v>0</v>
      </c>
      <c r="Y1452" s="168">
        <f t="shared" si="8"/>
        <v>0</v>
      </c>
      <c r="Z1452" s="168">
        <f t="shared" si="9"/>
        <v>0</v>
      </c>
    </row>
    <row r="1453" ht="14.25" customHeight="1">
      <c r="A1453" s="157" t="s">
        <v>1511</v>
      </c>
      <c r="B1453" s="158" t="s">
        <v>36</v>
      </c>
      <c r="C1453" s="158" t="s">
        <v>1508</v>
      </c>
      <c r="D1453" s="159">
        <v>43969.0</v>
      </c>
      <c r="E1453" s="157" t="s">
        <v>731</v>
      </c>
      <c r="F1453" s="160">
        <v>35388.13</v>
      </c>
      <c r="G1453" s="160">
        <v>5662.1</v>
      </c>
      <c r="H1453" s="160">
        <f t="shared" si="45"/>
        <v>41050.23</v>
      </c>
      <c r="I1453" s="160"/>
      <c r="J1453" s="161"/>
      <c r="K1453" s="160"/>
      <c r="L1453" s="160">
        <f>+'FACP$'!$H1453-'FACP$'!$I1453-'FACP$'!$K1453</f>
        <v>41050.23</v>
      </c>
      <c r="M1453" s="162" t="s">
        <v>278</v>
      </c>
      <c r="N1453" s="162" t="s">
        <v>554</v>
      </c>
      <c r="O1453" s="175">
        <v>43990.0</v>
      </c>
      <c r="P1453" s="164">
        <f t="shared" si="13"/>
        <v>43979</v>
      </c>
      <c r="Q1453" s="165">
        <f t="shared" si="2"/>
        <v>0</v>
      </c>
      <c r="R1453" s="167"/>
      <c r="S1453" s="220" t="s">
        <v>910</v>
      </c>
      <c r="T1453" s="168">
        <f t="shared" si="3"/>
        <v>41050.23</v>
      </c>
      <c r="U1453" s="168">
        <f t="shared" si="4"/>
        <v>0</v>
      </c>
      <c r="V1453" s="168">
        <f t="shared" si="5"/>
        <v>0</v>
      </c>
      <c r="W1453" s="168">
        <f t="shared" si="6"/>
        <v>0</v>
      </c>
      <c r="X1453" s="168">
        <f t="shared" si="7"/>
        <v>0</v>
      </c>
      <c r="Y1453" s="168">
        <f t="shared" si="8"/>
        <v>0</v>
      </c>
      <c r="Z1453" s="168">
        <f t="shared" si="9"/>
        <v>0</v>
      </c>
    </row>
    <row r="1454" ht="14.25" customHeight="1">
      <c r="A1454" s="157" t="s">
        <v>1512</v>
      </c>
      <c r="B1454" s="158" t="s">
        <v>29</v>
      </c>
      <c r="C1454" s="158" t="s">
        <v>1508</v>
      </c>
      <c r="D1454" s="159">
        <v>43970.0</v>
      </c>
      <c r="E1454" s="157" t="s">
        <v>731</v>
      </c>
      <c r="F1454" s="160">
        <v>231098.4</v>
      </c>
      <c r="G1454" s="160">
        <v>36975.74</v>
      </c>
      <c r="H1454" s="160">
        <f t="shared" si="45"/>
        <v>268074.14</v>
      </c>
      <c r="I1454" s="160"/>
      <c r="J1454" s="161"/>
      <c r="K1454" s="160"/>
      <c r="L1454" s="160">
        <f>+'FACP$'!$H1454-'FACP$'!$I1454-'FACP$'!$K1454</f>
        <v>268074.14</v>
      </c>
      <c r="M1454" s="162" t="s">
        <v>130</v>
      </c>
      <c r="N1454" s="162" t="s">
        <v>554</v>
      </c>
      <c r="O1454" s="175">
        <v>43990.0</v>
      </c>
      <c r="P1454" s="164">
        <f t="shared" si="13"/>
        <v>43980</v>
      </c>
      <c r="Q1454" s="165">
        <f t="shared" si="2"/>
        <v>0</v>
      </c>
      <c r="R1454" s="167"/>
      <c r="S1454" s="167"/>
      <c r="T1454" s="168">
        <f t="shared" si="3"/>
        <v>268074.14</v>
      </c>
      <c r="U1454" s="168">
        <f t="shared" si="4"/>
        <v>0</v>
      </c>
      <c r="V1454" s="168">
        <f t="shared" si="5"/>
        <v>0</v>
      </c>
      <c r="W1454" s="168">
        <f t="shared" si="6"/>
        <v>0</v>
      </c>
      <c r="X1454" s="168">
        <f t="shared" si="7"/>
        <v>0</v>
      </c>
      <c r="Y1454" s="168">
        <f t="shared" si="8"/>
        <v>0</v>
      </c>
      <c r="Z1454" s="168">
        <f t="shared" si="9"/>
        <v>0</v>
      </c>
    </row>
    <row r="1455" ht="14.25" customHeight="1">
      <c r="A1455" s="157" t="s">
        <v>1513</v>
      </c>
      <c r="B1455" s="158" t="s">
        <v>29</v>
      </c>
      <c r="C1455" s="158" t="s">
        <v>1514</v>
      </c>
      <c r="D1455" s="159">
        <v>43970.0</v>
      </c>
      <c r="E1455" s="157" t="s">
        <v>731</v>
      </c>
      <c r="F1455" s="160">
        <v>362073.37</v>
      </c>
      <c r="G1455" s="160">
        <v>57931.74</v>
      </c>
      <c r="H1455" s="160">
        <f t="shared" si="45"/>
        <v>420005.11</v>
      </c>
      <c r="I1455" s="160"/>
      <c r="J1455" s="161"/>
      <c r="K1455" s="160"/>
      <c r="L1455" s="160">
        <f>+'FACP$'!$H1455-'FACP$'!$I1455-'FACP$'!$K1455</f>
        <v>420005.11</v>
      </c>
      <c r="M1455" s="162" t="s">
        <v>130</v>
      </c>
      <c r="N1455" s="162" t="s">
        <v>554</v>
      </c>
      <c r="O1455" s="175">
        <v>43983.0</v>
      </c>
      <c r="P1455" s="164">
        <f t="shared" si="13"/>
        <v>43980</v>
      </c>
      <c r="Q1455" s="165">
        <f t="shared" si="2"/>
        <v>0</v>
      </c>
      <c r="R1455" s="167"/>
      <c r="S1455" s="167"/>
      <c r="T1455" s="168">
        <f t="shared" si="3"/>
        <v>420005.11</v>
      </c>
      <c r="U1455" s="168">
        <f t="shared" si="4"/>
        <v>0</v>
      </c>
      <c r="V1455" s="168">
        <f t="shared" si="5"/>
        <v>0</v>
      </c>
      <c r="W1455" s="168">
        <f t="shared" si="6"/>
        <v>0</v>
      </c>
      <c r="X1455" s="168">
        <f t="shared" si="7"/>
        <v>0</v>
      </c>
      <c r="Y1455" s="168">
        <f t="shared" si="8"/>
        <v>0</v>
      </c>
      <c r="Z1455" s="168">
        <f t="shared" si="9"/>
        <v>0</v>
      </c>
    </row>
    <row r="1456" ht="14.25" customHeight="1">
      <c r="A1456" s="157" t="s">
        <v>1515</v>
      </c>
      <c r="B1456" s="158" t="s">
        <v>18</v>
      </c>
      <c r="C1456" s="158" t="s">
        <v>1516</v>
      </c>
      <c r="D1456" s="159">
        <v>43970.0</v>
      </c>
      <c r="E1456" s="157" t="s">
        <v>731</v>
      </c>
      <c r="F1456" s="160">
        <v>79841.53</v>
      </c>
      <c r="G1456" s="160">
        <v>12774.65</v>
      </c>
      <c r="H1456" s="160">
        <f t="shared" si="45"/>
        <v>92616.18</v>
      </c>
      <c r="I1456" s="160"/>
      <c r="J1456" s="161"/>
      <c r="K1456" s="160"/>
      <c r="L1456" s="160">
        <f>+'FACP$'!$H1456-'FACP$'!$I1456-'FACP$'!$K1456</f>
        <v>92616.18</v>
      </c>
      <c r="M1456" s="162" t="s">
        <v>586</v>
      </c>
      <c r="N1456" s="162" t="s">
        <v>554</v>
      </c>
      <c r="O1456" s="175">
        <v>43998.0</v>
      </c>
      <c r="P1456" s="164">
        <f t="shared" si="13"/>
        <v>43980</v>
      </c>
      <c r="Q1456" s="165">
        <f t="shared" si="2"/>
        <v>0</v>
      </c>
      <c r="R1456" s="167"/>
      <c r="S1456" s="220" t="s">
        <v>910</v>
      </c>
      <c r="T1456" s="168">
        <f t="shared" si="3"/>
        <v>92616.18</v>
      </c>
      <c r="U1456" s="168">
        <f t="shared" si="4"/>
        <v>0</v>
      </c>
      <c r="V1456" s="168">
        <f t="shared" si="5"/>
        <v>0</v>
      </c>
      <c r="W1456" s="168">
        <f t="shared" si="6"/>
        <v>0</v>
      </c>
      <c r="X1456" s="168">
        <f t="shared" si="7"/>
        <v>0</v>
      </c>
      <c r="Y1456" s="168">
        <f t="shared" si="8"/>
        <v>0</v>
      </c>
      <c r="Z1456" s="168">
        <f t="shared" si="9"/>
        <v>0</v>
      </c>
    </row>
    <row r="1457" ht="14.25" customHeight="1">
      <c r="A1457" s="157" t="s">
        <v>1517</v>
      </c>
      <c r="B1457" s="158" t="s">
        <v>37</v>
      </c>
      <c r="C1457" s="158" t="s">
        <v>1508</v>
      </c>
      <c r="D1457" s="159">
        <v>43970.0</v>
      </c>
      <c r="E1457" s="157" t="s">
        <v>731</v>
      </c>
      <c r="F1457" s="160">
        <v>1391153.58</v>
      </c>
      <c r="G1457" s="160">
        <v>222584.57</v>
      </c>
      <c r="H1457" s="160">
        <f t="shared" si="45"/>
        <v>1613738.15</v>
      </c>
      <c r="I1457" s="160"/>
      <c r="J1457" s="161"/>
      <c r="K1457" s="160"/>
      <c r="L1457" s="160">
        <f>+'FACP$'!$H1457-'FACP$'!$I1457-'FACP$'!$K1457</f>
        <v>1613738.15</v>
      </c>
      <c r="M1457" s="162" t="s">
        <v>116</v>
      </c>
      <c r="N1457" s="162" t="s">
        <v>554</v>
      </c>
      <c r="O1457" s="175">
        <v>43984.0</v>
      </c>
      <c r="P1457" s="164">
        <f t="shared" si="13"/>
        <v>43980</v>
      </c>
      <c r="Q1457" s="165">
        <f t="shared" si="2"/>
        <v>0</v>
      </c>
      <c r="R1457" s="167"/>
      <c r="S1457" s="167" t="s">
        <v>910</v>
      </c>
      <c r="T1457" s="168">
        <f t="shared" si="3"/>
        <v>1613738.15</v>
      </c>
      <c r="U1457" s="168">
        <f t="shared" si="4"/>
        <v>0</v>
      </c>
      <c r="V1457" s="168">
        <f t="shared" si="5"/>
        <v>0</v>
      </c>
      <c r="W1457" s="168">
        <f t="shared" si="6"/>
        <v>0</v>
      </c>
      <c r="X1457" s="168">
        <f t="shared" si="7"/>
        <v>0</v>
      </c>
      <c r="Y1457" s="168">
        <f t="shared" si="8"/>
        <v>0</v>
      </c>
      <c r="Z1457" s="168">
        <f t="shared" si="9"/>
        <v>0</v>
      </c>
    </row>
    <row r="1458" ht="14.25" customHeight="1">
      <c r="A1458" s="157" t="s">
        <v>1518</v>
      </c>
      <c r="B1458" s="158" t="s">
        <v>16</v>
      </c>
      <c r="C1458" s="158" t="s">
        <v>1508</v>
      </c>
      <c r="D1458" s="159">
        <v>43970.0</v>
      </c>
      <c r="E1458" s="157" t="s">
        <v>731</v>
      </c>
      <c r="F1458" s="160">
        <v>76464.31</v>
      </c>
      <c r="G1458" s="160">
        <v>12234.29</v>
      </c>
      <c r="H1458" s="160">
        <f t="shared" si="45"/>
        <v>88698.6</v>
      </c>
      <c r="I1458" s="160"/>
      <c r="J1458" s="161"/>
      <c r="K1458" s="160"/>
      <c r="L1458" s="160">
        <f>+'FACP$'!$H1458-'FACP$'!$I1458-'FACP$'!$K1458</f>
        <v>88698.6</v>
      </c>
      <c r="M1458" s="162" t="s">
        <v>985</v>
      </c>
      <c r="N1458" s="162" t="s">
        <v>554</v>
      </c>
      <c r="O1458" s="175">
        <v>43979.0</v>
      </c>
      <c r="P1458" s="164">
        <f t="shared" si="13"/>
        <v>43980</v>
      </c>
      <c r="Q1458" s="165">
        <f t="shared" si="2"/>
        <v>0</v>
      </c>
      <c r="R1458" s="167"/>
      <c r="S1458" s="167" t="s">
        <v>910</v>
      </c>
      <c r="T1458" s="168">
        <f t="shared" si="3"/>
        <v>88698.6</v>
      </c>
      <c r="U1458" s="168">
        <f t="shared" si="4"/>
        <v>0</v>
      </c>
      <c r="V1458" s="168">
        <f t="shared" si="5"/>
        <v>0</v>
      </c>
      <c r="W1458" s="168">
        <f t="shared" si="6"/>
        <v>0</v>
      </c>
      <c r="X1458" s="168">
        <f t="shared" si="7"/>
        <v>0</v>
      </c>
      <c r="Y1458" s="168">
        <f t="shared" si="8"/>
        <v>0</v>
      </c>
      <c r="Z1458" s="168">
        <f t="shared" si="9"/>
        <v>0</v>
      </c>
    </row>
    <row r="1459" ht="14.25" customHeight="1">
      <c r="A1459" s="157" t="s">
        <v>1519</v>
      </c>
      <c r="B1459" s="158" t="s">
        <v>16</v>
      </c>
      <c r="C1459" s="158" t="s">
        <v>1514</v>
      </c>
      <c r="D1459" s="159">
        <v>43970.0</v>
      </c>
      <c r="E1459" s="157" t="s">
        <v>731</v>
      </c>
      <c r="F1459" s="160">
        <v>114352.99</v>
      </c>
      <c r="G1459" s="160">
        <v>18296.48</v>
      </c>
      <c r="H1459" s="160">
        <f t="shared" si="45"/>
        <v>132649.47</v>
      </c>
      <c r="I1459" s="160"/>
      <c r="J1459" s="161"/>
      <c r="K1459" s="160"/>
      <c r="L1459" s="160">
        <f>+'FACP$'!$H1459-'FACP$'!$I1459-'FACP$'!$K1459</f>
        <v>132649.47</v>
      </c>
      <c r="M1459" s="162" t="s">
        <v>985</v>
      </c>
      <c r="N1459" s="162" t="s">
        <v>554</v>
      </c>
      <c r="O1459" s="175">
        <v>43979.0</v>
      </c>
      <c r="P1459" s="164">
        <f t="shared" si="13"/>
        <v>43980</v>
      </c>
      <c r="Q1459" s="165">
        <f t="shared" si="2"/>
        <v>0</v>
      </c>
      <c r="R1459" s="167"/>
      <c r="S1459" s="167" t="s">
        <v>910</v>
      </c>
      <c r="T1459" s="168">
        <f t="shared" si="3"/>
        <v>132649.47</v>
      </c>
      <c r="U1459" s="168">
        <f t="shared" si="4"/>
        <v>0</v>
      </c>
      <c r="V1459" s="168">
        <f t="shared" si="5"/>
        <v>0</v>
      </c>
      <c r="W1459" s="168">
        <f t="shared" si="6"/>
        <v>0</v>
      </c>
      <c r="X1459" s="168">
        <f t="shared" si="7"/>
        <v>0</v>
      </c>
      <c r="Y1459" s="168">
        <f t="shared" si="8"/>
        <v>0</v>
      </c>
      <c r="Z1459" s="168">
        <f t="shared" si="9"/>
        <v>0</v>
      </c>
    </row>
    <row r="1460" ht="14.25" customHeight="1">
      <c r="A1460" s="157" t="s">
        <v>1520</v>
      </c>
      <c r="B1460" s="158" t="s">
        <v>82</v>
      </c>
      <c r="C1460" s="158" t="s">
        <v>1224</v>
      </c>
      <c r="D1460" s="159">
        <v>43970.0</v>
      </c>
      <c r="E1460" s="157" t="s">
        <v>731</v>
      </c>
      <c r="F1460" s="160">
        <v>100000.0</v>
      </c>
      <c r="G1460" s="160">
        <v>16000.0</v>
      </c>
      <c r="H1460" s="160">
        <f t="shared" si="45"/>
        <v>116000</v>
      </c>
      <c r="I1460" s="160"/>
      <c r="J1460" s="161"/>
      <c r="K1460" s="160"/>
      <c r="L1460" s="160">
        <f>+'FACP$'!$H1460-'FACP$'!$I1460-'FACP$'!$K1460</f>
        <v>116000</v>
      </c>
      <c r="M1460" s="162" t="s">
        <v>714</v>
      </c>
      <c r="N1460" s="162" t="s">
        <v>127</v>
      </c>
      <c r="O1460" s="175"/>
      <c r="P1460" s="164">
        <f t="shared" si="13"/>
        <v>43980</v>
      </c>
      <c r="Q1460" s="165">
        <f t="shared" si="2"/>
        <v>0</v>
      </c>
      <c r="R1460" s="167"/>
      <c r="S1460" s="167"/>
      <c r="T1460" s="168">
        <f t="shared" si="3"/>
        <v>116000</v>
      </c>
      <c r="U1460" s="168">
        <f t="shared" si="4"/>
        <v>0</v>
      </c>
      <c r="V1460" s="168">
        <f t="shared" si="5"/>
        <v>0</v>
      </c>
      <c r="W1460" s="168">
        <f t="shared" si="6"/>
        <v>0</v>
      </c>
      <c r="X1460" s="168">
        <f t="shared" si="7"/>
        <v>0</v>
      </c>
      <c r="Y1460" s="168">
        <f t="shared" si="8"/>
        <v>0</v>
      </c>
      <c r="Z1460" s="168">
        <f t="shared" si="9"/>
        <v>0</v>
      </c>
    </row>
    <row r="1461" ht="14.25" customHeight="1">
      <c r="A1461" s="157" t="s">
        <v>1521</v>
      </c>
      <c r="B1461" s="158" t="s">
        <v>41</v>
      </c>
      <c r="C1461" s="158" t="s">
        <v>1508</v>
      </c>
      <c r="D1461" s="159">
        <v>43971.0</v>
      </c>
      <c r="E1461" s="157" t="s">
        <v>731</v>
      </c>
      <c r="F1461" s="160">
        <v>70961.87</v>
      </c>
      <c r="G1461" s="160">
        <v>11353.9</v>
      </c>
      <c r="H1461" s="160">
        <f t="shared" si="45"/>
        <v>82315.77</v>
      </c>
      <c r="I1461" s="160"/>
      <c r="J1461" s="161"/>
      <c r="K1461" s="160"/>
      <c r="L1461" s="160">
        <f>+'FACP$'!$H1461-'FACP$'!$I1461-'FACP$'!$K1461</f>
        <v>82315.77</v>
      </c>
      <c r="M1461" s="162" t="s">
        <v>121</v>
      </c>
      <c r="N1461" s="162" t="s">
        <v>554</v>
      </c>
      <c r="O1461" s="175">
        <v>43984.0</v>
      </c>
      <c r="P1461" s="164">
        <f t="shared" si="13"/>
        <v>43981</v>
      </c>
      <c r="Q1461" s="165">
        <f t="shared" si="2"/>
        <v>0</v>
      </c>
      <c r="R1461" s="167"/>
      <c r="S1461" s="220" t="s">
        <v>910</v>
      </c>
      <c r="T1461" s="168">
        <f t="shared" si="3"/>
        <v>82315.77</v>
      </c>
      <c r="U1461" s="168">
        <f t="shared" si="4"/>
        <v>0</v>
      </c>
      <c r="V1461" s="168">
        <f t="shared" si="5"/>
        <v>0</v>
      </c>
      <c r="W1461" s="168">
        <f t="shared" si="6"/>
        <v>0</v>
      </c>
      <c r="X1461" s="168">
        <f t="shared" si="7"/>
        <v>0</v>
      </c>
      <c r="Y1461" s="168">
        <f t="shared" si="8"/>
        <v>0</v>
      </c>
      <c r="Z1461" s="168">
        <f t="shared" si="9"/>
        <v>0</v>
      </c>
    </row>
    <row r="1462" ht="14.25" customHeight="1">
      <c r="A1462" s="157" t="s">
        <v>1522</v>
      </c>
      <c r="B1462" s="158" t="s">
        <v>27</v>
      </c>
      <c r="C1462" s="158" t="s">
        <v>1523</v>
      </c>
      <c r="D1462" s="159">
        <v>43976.0</v>
      </c>
      <c r="E1462" s="157" t="s">
        <v>731</v>
      </c>
      <c r="F1462" s="160">
        <v>298383.53</v>
      </c>
      <c r="G1462" s="160">
        <v>47741.36</v>
      </c>
      <c r="H1462" s="160">
        <f t="shared" si="45"/>
        <v>346124.89</v>
      </c>
      <c r="I1462" s="160"/>
      <c r="J1462" s="161"/>
      <c r="K1462" s="160"/>
      <c r="L1462" s="160">
        <f>+'FACP$'!$H1462-'FACP$'!$I1462-'FACP$'!$K1462</f>
        <v>346124.89</v>
      </c>
      <c r="M1462" s="162" t="s">
        <v>969</v>
      </c>
      <c r="N1462" s="162" t="s">
        <v>554</v>
      </c>
      <c r="O1462" s="175">
        <v>44019.0</v>
      </c>
      <c r="P1462" s="164">
        <f t="shared" si="13"/>
        <v>43986</v>
      </c>
      <c r="Q1462" s="165">
        <f t="shared" si="2"/>
        <v>0</v>
      </c>
      <c r="R1462" s="167"/>
      <c r="S1462" s="167" t="s">
        <v>910</v>
      </c>
      <c r="T1462" s="168">
        <f t="shared" si="3"/>
        <v>346124.89</v>
      </c>
      <c r="U1462" s="168">
        <f t="shared" si="4"/>
        <v>0</v>
      </c>
      <c r="V1462" s="168">
        <f t="shared" si="5"/>
        <v>0</v>
      </c>
      <c r="W1462" s="168">
        <f t="shared" si="6"/>
        <v>0</v>
      </c>
      <c r="X1462" s="168">
        <f t="shared" si="7"/>
        <v>0</v>
      </c>
      <c r="Y1462" s="168">
        <f t="shared" si="8"/>
        <v>0</v>
      </c>
      <c r="Z1462" s="168">
        <f t="shared" si="9"/>
        <v>0</v>
      </c>
    </row>
    <row r="1463" ht="14.25" customHeight="1">
      <c r="A1463" s="157" t="s">
        <v>1524</v>
      </c>
      <c r="B1463" s="158" t="s">
        <v>27</v>
      </c>
      <c r="C1463" s="158" t="s">
        <v>1525</v>
      </c>
      <c r="D1463" s="159">
        <v>43976.0</v>
      </c>
      <c r="E1463" s="157" t="s">
        <v>731</v>
      </c>
      <c r="F1463" s="160">
        <v>265708.96</v>
      </c>
      <c r="G1463" s="160">
        <v>42513.43</v>
      </c>
      <c r="H1463" s="160">
        <f t="shared" si="45"/>
        <v>308222.39</v>
      </c>
      <c r="I1463" s="160"/>
      <c r="J1463" s="161"/>
      <c r="K1463" s="160"/>
      <c r="L1463" s="160">
        <f>+'FACP$'!$H1463-'FACP$'!$I1463-'FACP$'!$K1463</f>
        <v>308222.39</v>
      </c>
      <c r="M1463" s="162" t="s">
        <v>969</v>
      </c>
      <c r="N1463" s="162" t="s">
        <v>554</v>
      </c>
      <c r="O1463" s="175">
        <v>44035.0</v>
      </c>
      <c r="P1463" s="164">
        <f t="shared" si="13"/>
        <v>43986</v>
      </c>
      <c r="Q1463" s="165">
        <f t="shared" si="2"/>
        <v>0</v>
      </c>
      <c r="R1463" s="167"/>
      <c r="S1463" s="167" t="s">
        <v>910</v>
      </c>
      <c r="T1463" s="168">
        <f t="shared" si="3"/>
        <v>308222.39</v>
      </c>
      <c r="U1463" s="168">
        <f t="shared" si="4"/>
        <v>0</v>
      </c>
      <c r="V1463" s="168">
        <f t="shared" si="5"/>
        <v>0</v>
      </c>
      <c r="W1463" s="168">
        <f t="shared" si="6"/>
        <v>0</v>
      </c>
      <c r="X1463" s="168">
        <f t="shared" si="7"/>
        <v>0</v>
      </c>
      <c r="Y1463" s="168">
        <f t="shared" si="8"/>
        <v>0</v>
      </c>
      <c r="Z1463" s="168">
        <f t="shared" si="9"/>
        <v>0</v>
      </c>
    </row>
    <row r="1464" ht="14.25" customHeight="1">
      <c r="A1464" s="157" t="s">
        <v>1526</v>
      </c>
      <c r="B1464" s="158" t="s">
        <v>33</v>
      </c>
      <c r="C1464" s="158" t="s">
        <v>1527</v>
      </c>
      <c r="D1464" s="159">
        <v>43984.0</v>
      </c>
      <c r="E1464" s="157" t="s">
        <v>731</v>
      </c>
      <c r="F1464" s="160">
        <v>444992.5</v>
      </c>
      <c r="G1464" s="160">
        <v>71198.8</v>
      </c>
      <c r="H1464" s="160">
        <f t="shared" si="45"/>
        <v>516191.3</v>
      </c>
      <c r="I1464" s="160"/>
      <c r="J1464" s="161"/>
      <c r="K1464" s="160"/>
      <c r="L1464" s="160">
        <f>+'FACP$'!$H1464-'FACP$'!$I1464-'FACP$'!$K1464</f>
        <v>516191.3</v>
      </c>
      <c r="M1464" s="162" t="s">
        <v>958</v>
      </c>
      <c r="N1464" s="162" t="s">
        <v>554</v>
      </c>
      <c r="O1464" s="175">
        <v>44008.0</v>
      </c>
      <c r="P1464" s="164">
        <f t="shared" si="13"/>
        <v>43994</v>
      </c>
      <c r="Q1464" s="165">
        <f t="shared" si="2"/>
        <v>0</v>
      </c>
      <c r="R1464" s="167"/>
      <c r="S1464" s="167"/>
      <c r="T1464" s="168">
        <f t="shared" si="3"/>
        <v>516191.3</v>
      </c>
      <c r="U1464" s="168">
        <f t="shared" si="4"/>
        <v>0</v>
      </c>
      <c r="V1464" s="168">
        <f t="shared" si="5"/>
        <v>0</v>
      </c>
      <c r="W1464" s="168">
        <f t="shared" si="6"/>
        <v>0</v>
      </c>
      <c r="X1464" s="168">
        <f t="shared" si="7"/>
        <v>0</v>
      </c>
      <c r="Y1464" s="168">
        <f t="shared" si="8"/>
        <v>0</v>
      </c>
      <c r="Z1464" s="168">
        <f t="shared" si="9"/>
        <v>0</v>
      </c>
    </row>
    <row r="1465" ht="14.25" customHeight="1">
      <c r="A1465" s="157" t="s">
        <v>1528</v>
      </c>
      <c r="B1465" s="158" t="s">
        <v>36</v>
      </c>
      <c r="C1465" s="158" t="s">
        <v>1527</v>
      </c>
      <c r="D1465" s="159">
        <v>43984.0</v>
      </c>
      <c r="E1465" s="157" t="s">
        <v>731</v>
      </c>
      <c r="F1465" s="160">
        <v>63537.19</v>
      </c>
      <c r="G1465" s="160">
        <v>10165.95</v>
      </c>
      <c r="H1465" s="160">
        <f t="shared" si="45"/>
        <v>73703.14</v>
      </c>
      <c r="I1465" s="160"/>
      <c r="J1465" s="161"/>
      <c r="K1465" s="160"/>
      <c r="L1465" s="160">
        <f>+'FACP$'!$H1465-'FACP$'!$I1465-'FACP$'!$K1465</f>
        <v>73703.14</v>
      </c>
      <c r="M1465" s="162" t="s">
        <v>278</v>
      </c>
      <c r="N1465" s="162" t="s">
        <v>554</v>
      </c>
      <c r="O1465" s="175">
        <v>44012.0</v>
      </c>
      <c r="P1465" s="164">
        <f t="shared" si="13"/>
        <v>43994</v>
      </c>
      <c r="Q1465" s="165">
        <f t="shared" si="2"/>
        <v>0</v>
      </c>
      <c r="R1465" s="167"/>
      <c r="S1465" s="220" t="s">
        <v>910</v>
      </c>
      <c r="T1465" s="168">
        <f t="shared" si="3"/>
        <v>73703.14</v>
      </c>
      <c r="U1465" s="168">
        <f t="shared" si="4"/>
        <v>0</v>
      </c>
      <c r="V1465" s="168">
        <f t="shared" si="5"/>
        <v>0</v>
      </c>
      <c r="W1465" s="168">
        <f t="shared" si="6"/>
        <v>0</v>
      </c>
      <c r="X1465" s="168">
        <f t="shared" si="7"/>
        <v>0</v>
      </c>
      <c r="Y1465" s="168">
        <f t="shared" si="8"/>
        <v>0</v>
      </c>
      <c r="Z1465" s="168">
        <f t="shared" si="9"/>
        <v>0</v>
      </c>
    </row>
    <row r="1466" ht="14.25" customHeight="1">
      <c r="A1466" s="157" t="s">
        <v>1529</v>
      </c>
      <c r="B1466" s="158" t="s">
        <v>1127</v>
      </c>
      <c r="C1466" s="158" t="s">
        <v>1527</v>
      </c>
      <c r="D1466" s="159">
        <v>43984.0</v>
      </c>
      <c r="E1466" s="157" t="s">
        <v>731</v>
      </c>
      <c r="F1466" s="160">
        <v>1131.79</v>
      </c>
      <c r="G1466" s="160">
        <v>181.09</v>
      </c>
      <c r="H1466" s="160">
        <f t="shared" si="45"/>
        <v>1312.88</v>
      </c>
      <c r="I1466" s="160"/>
      <c r="J1466" s="161"/>
      <c r="K1466" s="160"/>
      <c r="L1466" s="160">
        <f>+'FACP$'!$H1466-'FACP$'!$I1466-'FACP$'!$K1466</f>
        <v>1312.88</v>
      </c>
      <c r="M1466" s="162" t="s">
        <v>580</v>
      </c>
      <c r="N1466" s="162" t="s">
        <v>554</v>
      </c>
      <c r="O1466" s="175">
        <v>43998.0</v>
      </c>
      <c r="P1466" s="164">
        <f t="shared" si="13"/>
        <v>43994</v>
      </c>
      <c r="Q1466" s="165">
        <f t="shared" si="2"/>
        <v>0</v>
      </c>
      <c r="R1466" s="167" t="s">
        <v>1530</v>
      </c>
      <c r="S1466" s="220" t="s">
        <v>910</v>
      </c>
      <c r="T1466" s="168">
        <f t="shared" si="3"/>
        <v>1312.88</v>
      </c>
      <c r="U1466" s="168">
        <f t="shared" si="4"/>
        <v>0</v>
      </c>
      <c r="V1466" s="168">
        <f t="shared" si="5"/>
        <v>0</v>
      </c>
      <c r="W1466" s="168">
        <f t="shared" si="6"/>
        <v>0</v>
      </c>
      <c r="X1466" s="168">
        <f t="shared" si="7"/>
        <v>0</v>
      </c>
      <c r="Y1466" s="168">
        <f t="shared" si="8"/>
        <v>0</v>
      </c>
      <c r="Z1466" s="168">
        <f t="shared" si="9"/>
        <v>0</v>
      </c>
    </row>
    <row r="1467" ht="14.25" customHeight="1">
      <c r="A1467" s="157" t="s">
        <v>1531</v>
      </c>
      <c r="B1467" s="158" t="s">
        <v>41</v>
      </c>
      <c r="C1467" s="158" t="s">
        <v>1527</v>
      </c>
      <c r="D1467" s="159">
        <v>43984.0</v>
      </c>
      <c r="E1467" s="157" t="s">
        <v>731</v>
      </c>
      <c r="F1467" s="160">
        <v>112756.49</v>
      </c>
      <c r="G1467" s="160">
        <v>18041.04</v>
      </c>
      <c r="H1467" s="160">
        <f t="shared" si="45"/>
        <v>130797.53</v>
      </c>
      <c r="I1467" s="160"/>
      <c r="J1467" s="161"/>
      <c r="K1467" s="160"/>
      <c r="L1467" s="160">
        <f>+'FACP$'!$H1467-'FACP$'!$I1467-'FACP$'!$K1467</f>
        <v>130797.53</v>
      </c>
      <c r="M1467" s="162" t="s">
        <v>121</v>
      </c>
      <c r="N1467" s="162" t="s">
        <v>554</v>
      </c>
      <c r="O1467" s="175">
        <v>44022.0</v>
      </c>
      <c r="P1467" s="164">
        <f t="shared" si="13"/>
        <v>43994</v>
      </c>
      <c r="Q1467" s="165">
        <f t="shared" si="2"/>
        <v>0</v>
      </c>
      <c r="R1467" s="167"/>
      <c r="S1467" s="167"/>
      <c r="T1467" s="168">
        <f t="shared" si="3"/>
        <v>130797.53</v>
      </c>
      <c r="U1467" s="168">
        <f t="shared" si="4"/>
        <v>0</v>
      </c>
      <c r="V1467" s="168">
        <f t="shared" si="5"/>
        <v>0</v>
      </c>
      <c r="W1467" s="168">
        <f t="shared" si="6"/>
        <v>0</v>
      </c>
      <c r="X1467" s="168">
        <f t="shared" si="7"/>
        <v>0</v>
      </c>
      <c r="Y1467" s="168">
        <f t="shared" si="8"/>
        <v>0</v>
      </c>
      <c r="Z1467" s="168">
        <f t="shared" si="9"/>
        <v>0</v>
      </c>
    </row>
    <row r="1468" ht="14.25" customHeight="1">
      <c r="A1468" s="157" t="s">
        <v>1532</v>
      </c>
      <c r="B1468" s="158" t="s">
        <v>16</v>
      </c>
      <c r="C1468" s="158" t="s">
        <v>1527</v>
      </c>
      <c r="D1468" s="159">
        <v>43990.0</v>
      </c>
      <c r="E1468" s="157" t="s">
        <v>731</v>
      </c>
      <c r="F1468" s="160">
        <v>264493.01</v>
      </c>
      <c r="G1468" s="160">
        <v>42318.88</v>
      </c>
      <c r="H1468" s="160">
        <f t="shared" si="45"/>
        <v>306811.89</v>
      </c>
      <c r="I1468" s="160"/>
      <c r="J1468" s="161"/>
      <c r="K1468" s="160"/>
      <c r="L1468" s="160">
        <f>+'FACP$'!$H1468-'FACP$'!$I1468-'FACP$'!$K1468</f>
        <v>306811.89</v>
      </c>
      <c r="M1468" s="162" t="s">
        <v>985</v>
      </c>
      <c r="N1468" s="162" t="s">
        <v>554</v>
      </c>
      <c r="O1468" s="175">
        <v>44000.0</v>
      </c>
      <c r="P1468" s="164">
        <f t="shared" si="13"/>
        <v>44000</v>
      </c>
      <c r="Q1468" s="165">
        <f t="shared" si="2"/>
        <v>0</v>
      </c>
      <c r="R1468" s="167"/>
      <c r="S1468" s="167" t="s">
        <v>910</v>
      </c>
      <c r="T1468" s="168">
        <f t="shared" si="3"/>
        <v>306811.89</v>
      </c>
      <c r="U1468" s="168">
        <f t="shared" si="4"/>
        <v>0</v>
      </c>
      <c r="V1468" s="168">
        <f t="shared" si="5"/>
        <v>0</v>
      </c>
      <c r="W1468" s="168">
        <f t="shared" si="6"/>
        <v>0</v>
      </c>
      <c r="X1468" s="168">
        <f t="shared" si="7"/>
        <v>0</v>
      </c>
      <c r="Y1468" s="168">
        <f t="shared" si="8"/>
        <v>0</v>
      </c>
      <c r="Z1468" s="168">
        <f t="shared" si="9"/>
        <v>0</v>
      </c>
    </row>
    <row r="1469" ht="14.25" customHeight="1">
      <c r="A1469" s="157" t="s">
        <v>1533</v>
      </c>
      <c r="B1469" s="158" t="s">
        <v>16</v>
      </c>
      <c r="C1469" s="158" t="s">
        <v>1534</v>
      </c>
      <c r="D1469" s="159">
        <v>43990.0</v>
      </c>
      <c r="E1469" s="157" t="s">
        <v>731</v>
      </c>
      <c r="F1469" s="160">
        <v>395552.53</v>
      </c>
      <c r="G1469" s="160">
        <v>63288.4</v>
      </c>
      <c r="H1469" s="160">
        <f t="shared" si="45"/>
        <v>458840.93</v>
      </c>
      <c r="I1469" s="160"/>
      <c r="J1469" s="161"/>
      <c r="K1469" s="160"/>
      <c r="L1469" s="160">
        <f>+'FACP$'!$H1469-'FACP$'!$I1469-'FACP$'!$K1469</f>
        <v>458840.93</v>
      </c>
      <c r="M1469" s="162" t="s">
        <v>985</v>
      </c>
      <c r="N1469" s="162" t="s">
        <v>554</v>
      </c>
      <c r="O1469" s="175">
        <v>44000.0</v>
      </c>
      <c r="P1469" s="164">
        <f t="shared" si="13"/>
        <v>44000</v>
      </c>
      <c r="Q1469" s="165">
        <f t="shared" si="2"/>
        <v>0</v>
      </c>
      <c r="R1469" s="167"/>
      <c r="S1469" s="167" t="s">
        <v>910</v>
      </c>
      <c r="T1469" s="168">
        <f t="shared" si="3"/>
        <v>458840.93</v>
      </c>
      <c r="U1469" s="168">
        <f t="shared" si="4"/>
        <v>0</v>
      </c>
      <c r="V1469" s="168">
        <f t="shared" si="5"/>
        <v>0</v>
      </c>
      <c r="W1469" s="168">
        <f t="shared" si="6"/>
        <v>0</v>
      </c>
      <c r="X1469" s="168">
        <f t="shared" si="7"/>
        <v>0</v>
      </c>
      <c r="Y1469" s="168">
        <f t="shared" si="8"/>
        <v>0</v>
      </c>
      <c r="Z1469" s="168">
        <f t="shared" si="9"/>
        <v>0</v>
      </c>
    </row>
    <row r="1470" ht="14.25" customHeight="1">
      <c r="A1470" s="157" t="s">
        <v>1535</v>
      </c>
      <c r="B1470" s="158" t="s">
        <v>18</v>
      </c>
      <c r="C1470" s="158" t="s">
        <v>1527</v>
      </c>
      <c r="D1470" s="159">
        <v>43990.0</v>
      </c>
      <c r="E1470" s="157" t="s">
        <v>731</v>
      </c>
      <c r="F1470" s="160">
        <v>88306.25</v>
      </c>
      <c r="G1470" s="160">
        <v>14129.0</v>
      </c>
      <c r="H1470" s="160">
        <f t="shared" si="45"/>
        <v>102435.25</v>
      </c>
      <c r="I1470" s="160"/>
      <c r="J1470" s="161"/>
      <c r="K1470" s="160"/>
      <c r="L1470" s="160">
        <f>+'FACP$'!$H1470-'FACP$'!$I1470-'FACP$'!$K1470</f>
        <v>102435.25</v>
      </c>
      <c r="M1470" s="162" t="s">
        <v>586</v>
      </c>
      <c r="N1470" s="162" t="s">
        <v>554</v>
      </c>
      <c r="O1470" s="175">
        <v>43998.0</v>
      </c>
      <c r="P1470" s="164">
        <f t="shared" si="13"/>
        <v>44000</v>
      </c>
      <c r="Q1470" s="165">
        <f t="shared" si="2"/>
        <v>0</v>
      </c>
      <c r="R1470" s="167"/>
      <c r="S1470" s="220" t="s">
        <v>910</v>
      </c>
      <c r="T1470" s="168">
        <f t="shared" si="3"/>
        <v>102435.25</v>
      </c>
      <c r="U1470" s="168">
        <f t="shared" si="4"/>
        <v>0</v>
      </c>
      <c r="V1470" s="168">
        <f t="shared" si="5"/>
        <v>0</v>
      </c>
      <c r="W1470" s="168">
        <f t="shared" si="6"/>
        <v>0</v>
      </c>
      <c r="X1470" s="168">
        <f t="shared" si="7"/>
        <v>0</v>
      </c>
      <c r="Y1470" s="168">
        <f t="shared" si="8"/>
        <v>0</v>
      </c>
      <c r="Z1470" s="168">
        <f t="shared" si="9"/>
        <v>0</v>
      </c>
    </row>
    <row r="1471" ht="14.25" customHeight="1">
      <c r="A1471" s="157" t="s">
        <v>1536</v>
      </c>
      <c r="B1471" s="158" t="s">
        <v>29</v>
      </c>
      <c r="C1471" s="158" t="s">
        <v>1527</v>
      </c>
      <c r="D1471" s="159">
        <v>43990.0</v>
      </c>
      <c r="E1471" s="157" t="s">
        <v>731</v>
      </c>
      <c r="F1471" s="160">
        <v>268800.03</v>
      </c>
      <c r="G1471" s="160">
        <v>43008.0</v>
      </c>
      <c r="H1471" s="160">
        <f t="shared" si="45"/>
        <v>311808.03</v>
      </c>
      <c r="I1471" s="160"/>
      <c r="J1471" s="161"/>
      <c r="K1471" s="160"/>
      <c r="L1471" s="160">
        <f>+'FACP$'!$H1471-'FACP$'!$I1471-'FACP$'!$K1471</f>
        <v>311808.03</v>
      </c>
      <c r="M1471" s="162" t="s">
        <v>130</v>
      </c>
      <c r="N1471" s="162" t="s">
        <v>554</v>
      </c>
      <c r="O1471" s="175">
        <v>43997.0</v>
      </c>
      <c r="P1471" s="164">
        <f t="shared" si="13"/>
        <v>44000</v>
      </c>
      <c r="Q1471" s="165">
        <f t="shared" si="2"/>
        <v>0</v>
      </c>
      <c r="R1471" s="167"/>
      <c r="S1471" s="167"/>
      <c r="T1471" s="168">
        <f t="shared" si="3"/>
        <v>311808.03</v>
      </c>
      <c r="U1471" s="168">
        <f t="shared" si="4"/>
        <v>0</v>
      </c>
      <c r="V1471" s="168">
        <f t="shared" si="5"/>
        <v>0</v>
      </c>
      <c r="W1471" s="168">
        <f t="shared" si="6"/>
        <v>0</v>
      </c>
      <c r="X1471" s="168">
        <f t="shared" si="7"/>
        <v>0</v>
      </c>
      <c r="Y1471" s="168">
        <f t="shared" si="8"/>
        <v>0</v>
      </c>
      <c r="Z1471" s="168">
        <f t="shared" si="9"/>
        <v>0</v>
      </c>
    </row>
    <row r="1472" ht="14.25" customHeight="1">
      <c r="A1472" s="157" t="s">
        <v>1537</v>
      </c>
      <c r="B1472" s="158" t="s">
        <v>29</v>
      </c>
      <c r="C1472" s="158" t="s">
        <v>1534</v>
      </c>
      <c r="D1472" s="159">
        <v>43990.0</v>
      </c>
      <c r="E1472" s="157" t="s">
        <v>731</v>
      </c>
      <c r="F1472" s="160">
        <v>421169.38</v>
      </c>
      <c r="G1472" s="160">
        <v>67387.1</v>
      </c>
      <c r="H1472" s="160">
        <f t="shared" si="45"/>
        <v>488556.48</v>
      </c>
      <c r="I1472" s="160"/>
      <c r="J1472" s="161"/>
      <c r="K1472" s="160"/>
      <c r="L1472" s="160">
        <f>+'FACP$'!$H1472-'FACP$'!$I1472-'FACP$'!$K1472</f>
        <v>488556.48</v>
      </c>
      <c r="M1472" s="162" t="s">
        <v>130</v>
      </c>
      <c r="N1472" s="162" t="s">
        <v>554</v>
      </c>
      <c r="O1472" s="175">
        <v>44011.0</v>
      </c>
      <c r="P1472" s="164">
        <f t="shared" si="13"/>
        <v>44000</v>
      </c>
      <c r="Q1472" s="165">
        <f t="shared" si="2"/>
        <v>0</v>
      </c>
      <c r="R1472" s="167"/>
      <c r="S1472" s="167"/>
      <c r="T1472" s="168">
        <f t="shared" si="3"/>
        <v>488556.48</v>
      </c>
      <c r="U1472" s="168">
        <f t="shared" si="4"/>
        <v>0</v>
      </c>
      <c r="V1472" s="168">
        <f t="shared" si="5"/>
        <v>0</v>
      </c>
      <c r="W1472" s="168">
        <f t="shared" si="6"/>
        <v>0</v>
      </c>
      <c r="X1472" s="168">
        <f t="shared" si="7"/>
        <v>0</v>
      </c>
      <c r="Y1472" s="168">
        <f t="shared" si="8"/>
        <v>0</v>
      </c>
      <c r="Z1472" s="168">
        <f t="shared" si="9"/>
        <v>0</v>
      </c>
    </row>
    <row r="1473" ht="14.25" customHeight="1">
      <c r="A1473" s="157" t="s">
        <v>1538</v>
      </c>
      <c r="B1473" s="158" t="s">
        <v>37</v>
      </c>
      <c r="C1473" s="158" t="s">
        <v>1527</v>
      </c>
      <c r="D1473" s="159">
        <v>43990.0</v>
      </c>
      <c r="E1473" s="157" t="s">
        <v>731</v>
      </c>
      <c r="F1473" s="160">
        <v>1628405.1</v>
      </c>
      <c r="G1473" s="160">
        <v>260544.82</v>
      </c>
      <c r="H1473" s="160">
        <f t="shared" si="45"/>
        <v>1888949.92</v>
      </c>
      <c r="I1473" s="160"/>
      <c r="J1473" s="161"/>
      <c r="K1473" s="160"/>
      <c r="L1473" s="160">
        <f>+'FACP$'!$H1473-'FACP$'!$I1473-'FACP$'!$K1473</f>
        <v>1888949.92</v>
      </c>
      <c r="M1473" s="162" t="s">
        <v>116</v>
      </c>
      <c r="N1473" s="162" t="s">
        <v>554</v>
      </c>
      <c r="O1473" s="175">
        <v>44014.0</v>
      </c>
      <c r="P1473" s="164">
        <f t="shared" si="13"/>
        <v>44000</v>
      </c>
      <c r="Q1473" s="165">
        <f t="shared" si="2"/>
        <v>0</v>
      </c>
      <c r="R1473" s="167"/>
      <c r="S1473" s="167" t="s">
        <v>910</v>
      </c>
      <c r="T1473" s="168">
        <f t="shared" si="3"/>
        <v>1888949.92</v>
      </c>
      <c r="U1473" s="168">
        <f t="shared" si="4"/>
        <v>0</v>
      </c>
      <c r="V1473" s="168">
        <f t="shared" si="5"/>
        <v>0</v>
      </c>
      <c r="W1473" s="168">
        <f t="shared" si="6"/>
        <v>0</v>
      </c>
      <c r="X1473" s="168">
        <f t="shared" si="7"/>
        <v>0</v>
      </c>
      <c r="Y1473" s="168">
        <f t="shared" si="8"/>
        <v>0</v>
      </c>
      <c r="Z1473" s="168">
        <f t="shared" si="9"/>
        <v>0</v>
      </c>
    </row>
    <row r="1474" ht="14.25" customHeight="1">
      <c r="A1474" s="157" t="s">
        <v>1539</v>
      </c>
      <c r="B1474" s="158" t="s">
        <v>27</v>
      </c>
      <c r="C1474" s="158" t="s">
        <v>1540</v>
      </c>
      <c r="D1474" s="159">
        <v>43990.0</v>
      </c>
      <c r="E1474" s="157" t="s">
        <v>731</v>
      </c>
      <c r="F1474" s="160">
        <v>526667.74</v>
      </c>
      <c r="G1474" s="160">
        <v>84266.84</v>
      </c>
      <c r="H1474" s="160">
        <f t="shared" si="45"/>
        <v>610934.58</v>
      </c>
      <c r="I1474" s="160"/>
      <c r="J1474" s="161"/>
      <c r="K1474" s="160"/>
      <c r="L1474" s="160">
        <f>+'FACP$'!$H1474-'FACP$'!$I1474-'FACP$'!$K1474</f>
        <v>610934.58</v>
      </c>
      <c r="M1474" s="162" t="s">
        <v>969</v>
      </c>
      <c r="N1474" s="162" t="s">
        <v>127</v>
      </c>
      <c r="O1474" s="175"/>
      <c r="P1474" s="164">
        <f t="shared" si="13"/>
        <v>44000</v>
      </c>
      <c r="Q1474" s="165">
        <f t="shared" si="2"/>
        <v>0</v>
      </c>
      <c r="R1474" s="167"/>
      <c r="S1474" s="167"/>
      <c r="T1474" s="168">
        <f t="shared" si="3"/>
        <v>610934.58</v>
      </c>
      <c r="U1474" s="168">
        <f t="shared" si="4"/>
        <v>0</v>
      </c>
      <c r="V1474" s="168">
        <f t="shared" si="5"/>
        <v>0</v>
      </c>
      <c r="W1474" s="168">
        <f t="shared" si="6"/>
        <v>0</v>
      </c>
      <c r="X1474" s="168">
        <f t="shared" si="7"/>
        <v>0</v>
      </c>
      <c r="Y1474" s="168">
        <f t="shared" si="8"/>
        <v>0</v>
      </c>
      <c r="Z1474" s="168">
        <f t="shared" si="9"/>
        <v>0</v>
      </c>
    </row>
    <row r="1475" ht="14.25" customHeight="1">
      <c r="A1475" s="157" t="s">
        <v>1541</v>
      </c>
      <c r="B1475" s="158" t="s">
        <v>27</v>
      </c>
      <c r="C1475" s="158" t="s">
        <v>1542</v>
      </c>
      <c r="D1475" s="159">
        <v>43990.0</v>
      </c>
      <c r="E1475" s="157" t="s">
        <v>731</v>
      </c>
      <c r="F1475" s="160">
        <v>447933.92</v>
      </c>
      <c r="G1475" s="160">
        <v>71669.43</v>
      </c>
      <c r="H1475" s="160">
        <f t="shared" si="45"/>
        <v>519603.35</v>
      </c>
      <c r="I1475" s="160"/>
      <c r="J1475" s="161"/>
      <c r="K1475" s="160"/>
      <c r="L1475" s="160">
        <f>+'FACP$'!$H1475-'FACP$'!$I1475-'FACP$'!$K1475</f>
        <v>519603.35</v>
      </c>
      <c r="M1475" s="162" t="s">
        <v>969</v>
      </c>
      <c r="N1475" s="162" t="s">
        <v>127</v>
      </c>
      <c r="O1475" s="175"/>
      <c r="P1475" s="164">
        <f t="shared" si="13"/>
        <v>44000</v>
      </c>
      <c r="Q1475" s="165">
        <f t="shared" si="2"/>
        <v>0</v>
      </c>
      <c r="R1475" s="167"/>
      <c r="S1475" s="167"/>
      <c r="T1475" s="168">
        <f t="shared" si="3"/>
        <v>519603.35</v>
      </c>
      <c r="U1475" s="168">
        <f t="shared" si="4"/>
        <v>0</v>
      </c>
      <c r="V1475" s="168">
        <f t="shared" si="5"/>
        <v>0</v>
      </c>
      <c r="W1475" s="168">
        <f t="shared" si="6"/>
        <v>0</v>
      </c>
      <c r="X1475" s="168">
        <f t="shared" si="7"/>
        <v>0</v>
      </c>
      <c r="Y1475" s="168">
        <f t="shared" si="8"/>
        <v>0</v>
      </c>
      <c r="Z1475" s="168">
        <f t="shared" si="9"/>
        <v>0</v>
      </c>
    </row>
    <row r="1476" ht="14.25" customHeight="1">
      <c r="A1476" s="157" t="s">
        <v>1543</v>
      </c>
      <c r="B1476" s="158" t="s">
        <v>27</v>
      </c>
      <c r="C1476" s="158" t="s">
        <v>1544</v>
      </c>
      <c r="D1476" s="159">
        <v>43990.0</v>
      </c>
      <c r="E1476" s="157" t="s">
        <v>731</v>
      </c>
      <c r="F1476" s="160">
        <v>32502.12</v>
      </c>
      <c r="G1476" s="160">
        <v>5200.34</v>
      </c>
      <c r="H1476" s="160">
        <f t="shared" si="45"/>
        <v>37702.46</v>
      </c>
      <c r="I1476" s="160"/>
      <c r="J1476" s="161"/>
      <c r="K1476" s="160"/>
      <c r="L1476" s="160">
        <f>+'FACP$'!$H1476-'FACP$'!$I1476-'FACP$'!$K1476</f>
        <v>37702.46</v>
      </c>
      <c r="M1476" s="162" t="s">
        <v>969</v>
      </c>
      <c r="N1476" s="162" t="s">
        <v>554</v>
      </c>
      <c r="O1476" s="175">
        <v>44035.0</v>
      </c>
      <c r="P1476" s="164">
        <f t="shared" si="13"/>
        <v>44000</v>
      </c>
      <c r="Q1476" s="165">
        <f t="shared" si="2"/>
        <v>0</v>
      </c>
      <c r="R1476" s="167"/>
      <c r="S1476" s="167" t="s">
        <v>910</v>
      </c>
      <c r="T1476" s="168">
        <f t="shared" si="3"/>
        <v>37702.46</v>
      </c>
      <c r="U1476" s="168">
        <f t="shared" si="4"/>
        <v>0</v>
      </c>
      <c r="V1476" s="168">
        <f t="shared" si="5"/>
        <v>0</v>
      </c>
      <c r="W1476" s="168">
        <f t="shared" si="6"/>
        <v>0</v>
      </c>
      <c r="X1476" s="168">
        <f t="shared" si="7"/>
        <v>0</v>
      </c>
      <c r="Y1476" s="168">
        <f t="shared" si="8"/>
        <v>0</v>
      </c>
      <c r="Z1476" s="168">
        <f t="shared" si="9"/>
        <v>0</v>
      </c>
    </row>
    <row r="1477" ht="14.25" customHeight="1">
      <c r="A1477" s="157" t="s">
        <v>1545</v>
      </c>
      <c r="B1477" s="158" t="s">
        <v>27</v>
      </c>
      <c r="C1477" s="158" t="s">
        <v>1546</v>
      </c>
      <c r="D1477" s="159">
        <v>43990.0</v>
      </c>
      <c r="E1477" s="157" t="s">
        <v>731</v>
      </c>
      <c r="F1477" s="160">
        <v>27643.24</v>
      </c>
      <c r="G1477" s="160">
        <v>4422.92</v>
      </c>
      <c r="H1477" s="160">
        <f t="shared" si="45"/>
        <v>32066.16</v>
      </c>
      <c r="I1477" s="160"/>
      <c r="J1477" s="161"/>
      <c r="K1477" s="160"/>
      <c r="L1477" s="160">
        <f>+'FACP$'!$H1477-'FACP$'!$I1477-'FACP$'!$K1477</f>
        <v>32066.16</v>
      </c>
      <c r="M1477" s="162" t="s">
        <v>969</v>
      </c>
      <c r="N1477" s="162" t="s">
        <v>554</v>
      </c>
      <c r="O1477" s="175">
        <v>44035.0</v>
      </c>
      <c r="P1477" s="164">
        <f t="shared" si="13"/>
        <v>44000</v>
      </c>
      <c r="Q1477" s="165">
        <f t="shared" si="2"/>
        <v>0</v>
      </c>
      <c r="R1477" s="167"/>
      <c r="S1477" s="167" t="s">
        <v>910</v>
      </c>
      <c r="T1477" s="168">
        <f t="shared" si="3"/>
        <v>32066.16</v>
      </c>
      <c r="U1477" s="168">
        <f t="shared" si="4"/>
        <v>0</v>
      </c>
      <c r="V1477" s="168">
        <f t="shared" si="5"/>
        <v>0</v>
      </c>
      <c r="W1477" s="168">
        <f t="shared" si="6"/>
        <v>0</v>
      </c>
      <c r="X1477" s="168">
        <f t="shared" si="7"/>
        <v>0</v>
      </c>
      <c r="Y1477" s="168">
        <f t="shared" si="8"/>
        <v>0</v>
      </c>
      <c r="Z1477" s="168">
        <f t="shared" si="9"/>
        <v>0</v>
      </c>
    </row>
    <row r="1478" ht="14.25" customHeight="1">
      <c r="A1478" s="157" t="s">
        <v>1547</v>
      </c>
      <c r="B1478" s="158" t="s">
        <v>27</v>
      </c>
      <c r="C1478" s="158" t="s">
        <v>1542</v>
      </c>
      <c r="D1478" s="159">
        <v>43990.0</v>
      </c>
      <c r="E1478" s="157" t="s">
        <v>731</v>
      </c>
      <c r="F1478" s="160">
        <v>447933.92</v>
      </c>
      <c r="G1478" s="160">
        <v>71669.43</v>
      </c>
      <c r="H1478" s="160">
        <f t="shared" si="45"/>
        <v>519603.35</v>
      </c>
      <c r="I1478" s="160"/>
      <c r="J1478" s="161"/>
      <c r="K1478" s="160"/>
      <c r="L1478" s="160">
        <f>+'FACP$'!$H1478-'FACP$'!$I1478-'FACP$'!$K1478</f>
        <v>519603.35</v>
      </c>
      <c r="M1478" s="162" t="s">
        <v>969</v>
      </c>
      <c r="N1478" s="162" t="s">
        <v>554</v>
      </c>
      <c r="O1478" s="175">
        <v>44035.0</v>
      </c>
      <c r="P1478" s="164">
        <f t="shared" si="13"/>
        <v>44000</v>
      </c>
      <c r="Q1478" s="165">
        <f t="shared" si="2"/>
        <v>0</v>
      </c>
      <c r="R1478" s="167" t="s">
        <v>1548</v>
      </c>
      <c r="S1478" s="167" t="s">
        <v>910</v>
      </c>
      <c r="T1478" s="168">
        <f t="shared" si="3"/>
        <v>519603.35</v>
      </c>
      <c r="U1478" s="168">
        <f t="shared" si="4"/>
        <v>0</v>
      </c>
      <c r="V1478" s="168">
        <f t="shared" si="5"/>
        <v>0</v>
      </c>
      <c r="W1478" s="168">
        <f t="shared" si="6"/>
        <v>0</v>
      </c>
      <c r="X1478" s="168">
        <f t="shared" si="7"/>
        <v>0</v>
      </c>
      <c r="Y1478" s="168">
        <f t="shared" si="8"/>
        <v>0</v>
      </c>
      <c r="Z1478" s="168">
        <f t="shared" si="9"/>
        <v>0</v>
      </c>
    </row>
    <row r="1479" ht="14.25" customHeight="1">
      <c r="A1479" s="157" t="s">
        <v>1549</v>
      </c>
      <c r="B1479" s="158" t="s">
        <v>27</v>
      </c>
      <c r="C1479" s="158" t="s">
        <v>1550</v>
      </c>
      <c r="D1479" s="159">
        <v>43990.0</v>
      </c>
      <c r="E1479" s="157" t="s">
        <v>731</v>
      </c>
      <c r="F1479" s="160">
        <v>526667.74</v>
      </c>
      <c r="G1479" s="160">
        <v>84266.84</v>
      </c>
      <c r="H1479" s="160">
        <f t="shared" si="45"/>
        <v>610934.58</v>
      </c>
      <c r="I1479" s="160"/>
      <c r="J1479" s="161"/>
      <c r="K1479" s="160"/>
      <c r="L1479" s="160">
        <f>+'FACP$'!$H1479-'FACP$'!$I1479-'FACP$'!$K1479</f>
        <v>610934.58</v>
      </c>
      <c r="M1479" s="162" t="s">
        <v>969</v>
      </c>
      <c r="N1479" s="162" t="s">
        <v>554</v>
      </c>
      <c r="O1479" s="175">
        <v>44026.0</v>
      </c>
      <c r="P1479" s="164">
        <f t="shared" si="13"/>
        <v>44000</v>
      </c>
      <c r="Q1479" s="165">
        <f t="shared" si="2"/>
        <v>0</v>
      </c>
      <c r="R1479" s="167" t="s">
        <v>1551</v>
      </c>
      <c r="S1479" s="167" t="s">
        <v>910</v>
      </c>
      <c r="T1479" s="168">
        <f t="shared" si="3"/>
        <v>610934.58</v>
      </c>
      <c r="U1479" s="168">
        <f t="shared" si="4"/>
        <v>0</v>
      </c>
      <c r="V1479" s="168">
        <f t="shared" si="5"/>
        <v>0</v>
      </c>
      <c r="W1479" s="168">
        <f t="shared" si="6"/>
        <v>0</v>
      </c>
      <c r="X1479" s="168">
        <f t="shared" si="7"/>
        <v>0</v>
      </c>
      <c r="Y1479" s="168">
        <f t="shared" si="8"/>
        <v>0</v>
      </c>
      <c r="Z1479" s="168">
        <f t="shared" si="9"/>
        <v>0</v>
      </c>
    </row>
    <row r="1480" ht="14.25" customHeight="1">
      <c r="A1480" s="157" t="s">
        <v>1552</v>
      </c>
      <c r="B1480" s="158" t="s">
        <v>29</v>
      </c>
      <c r="C1480" s="158" t="s">
        <v>1231</v>
      </c>
      <c r="D1480" s="159">
        <v>43992.0</v>
      </c>
      <c r="E1480" s="157" t="s">
        <v>731</v>
      </c>
      <c r="F1480" s="160">
        <v>20000.0</v>
      </c>
      <c r="G1480" s="160">
        <v>3200.0</v>
      </c>
      <c r="H1480" s="160">
        <f t="shared" si="45"/>
        <v>23200</v>
      </c>
      <c r="I1480" s="160"/>
      <c r="J1480" s="161"/>
      <c r="K1480" s="160"/>
      <c r="L1480" s="160">
        <f>+'FACP$'!$H1480-'FACP$'!$I1480-'FACP$'!$K1480</f>
        <v>23200</v>
      </c>
      <c r="M1480" s="162" t="s">
        <v>714</v>
      </c>
      <c r="N1480" s="162" t="s">
        <v>554</v>
      </c>
      <c r="O1480" s="175">
        <v>44004.0</v>
      </c>
      <c r="P1480" s="164">
        <f t="shared" si="13"/>
        <v>44002</v>
      </c>
      <c r="Q1480" s="165">
        <f t="shared" si="2"/>
        <v>0</v>
      </c>
      <c r="R1480" s="167"/>
      <c r="S1480" s="167"/>
      <c r="T1480" s="168">
        <f t="shared" si="3"/>
        <v>23200</v>
      </c>
      <c r="U1480" s="168">
        <f t="shared" si="4"/>
        <v>0</v>
      </c>
      <c r="V1480" s="168">
        <f t="shared" si="5"/>
        <v>0</v>
      </c>
      <c r="W1480" s="168">
        <f t="shared" si="6"/>
        <v>0</v>
      </c>
      <c r="X1480" s="168">
        <f t="shared" si="7"/>
        <v>0</v>
      </c>
      <c r="Y1480" s="168">
        <f t="shared" si="8"/>
        <v>0</v>
      </c>
      <c r="Z1480" s="168">
        <f t="shared" si="9"/>
        <v>0</v>
      </c>
    </row>
    <row r="1481" ht="14.25" customHeight="1">
      <c r="A1481" s="157" t="s">
        <v>1553</v>
      </c>
      <c r="B1481" s="158" t="s">
        <v>29</v>
      </c>
      <c r="C1481" s="158" t="s">
        <v>1111</v>
      </c>
      <c r="D1481" s="159">
        <v>43992.0</v>
      </c>
      <c r="E1481" s="157" t="s">
        <v>731</v>
      </c>
      <c r="F1481" s="160">
        <v>20000.0</v>
      </c>
      <c r="G1481" s="160">
        <v>3200.0</v>
      </c>
      <c r="H1481" s="160">
        <f t="shared" si="45"/>
        <v>23200</v>
      </c>
      <c r="I1481" s="160"/>
      <c r="J1481" s="161"/>
      <c r="K1481" s="160"/>
      <c r="L1481" s="160">
        <f>+'FACP$'!$H1481-'FACP$'!$I1481-'FACP$'!$K1481</f>
        <v>23200</v>
      </c>
      <c r="M1481" s="162" t="s">
        <v>714</v>
      </c>
      <c r="N1481" s="162" t="s">
        <v>554</v>
      </c>
      <c r="O1481" s="175">
        <v>44004.0</v>
      </c>
      <c r="P1481" s="164">
        <f t="shared" si="13"/>
        <v>44002</v>
      </c>
      <c r="Q1481" s="165">
        <f t="shared" si="2"/>
        <v>0</v>
      </c>
      <c r="R1481" s="167"/>
      <c r="S1481" s="167"/>
      <c r="T1481" s="168">
        <f t="shared" si="3"/>
        <v>23200</v>
      </c>
      <c r="U1481" s="168">
        <f t="shared" si="4"/>
        <v>0</v>
      </c>
      <c r="V1481" s="168">
        <f t="shared" si="5"/>
        <v>0</v>
      </c>
      <c r="W1481" s="168">
        <f t="shared" si="6"/>
        <v>0</v>
      </c>
      <c r="X1481" s="168">
        <f t="shared" si="7"/>
        <v>0</v>
      </c>
      <c r="Y1481" s="168">
        <f t="shared" si="8"/>
        <v>0</v>
      </c>
      <c r="Z1481" s="168">
        <f t="shared" si="9"/>
        <v>0</v>
      </c>
    </row>
    <row r="1482" ht="14.25" customHeight="1">
      <c r="A1482" s="157" t="s">
        <v>1554</v>
      </c>
      <c r="B1482" s="158" t="s">
        <v>29</v>
      </c>
      <c r="C1482" s="158" t="s">
        <v>1157</v>
      </c>
      <c r="D1482" s="159">
        <v>43992.0</v>
      </c>
      <c r="E1482" s="157" t="s">
        <v>731</v>
      </c>
      <c r="F1482" s="160">
        <v>20000.0</v>
      </c>
      <c r="G1482" s="160">
        <v>3200.0</v>
      </c>
      <c r="H1482" s="160">
        <f t="shared" si="45"/>
        <v>23200</v>
      </c>
      <c r="I1482" s="160"/>
      <c r="J1482" s="161"/>
      <c r="K1482" s="160"/>
      <c r="L1482" s="160">
        <f>+'FACP$'!$H1482-'FACP$'!$I1482-'FACP$'!$K1482</f>
        <v>23200</v>
      </c>
      <c r="M1482" s="162" t="s">
        <v>714</v>
      </c>
      <c r="N1482" s="162" t="s">
        <v>554</v>
      </c>
      <c r="O1482" s="175">
        <v>44004.0</v>
      </c>
      <c r="P1482" s="164">
        <f t="shared" si="13"/>
        <v>44002</v>
      </c>
      <c r="Q1482" s="165">
        <f t="shared" si="2"/>
        <v>0</v>
      </c>
      <c r="R1482" s="167"/>
      <c r="S1482" s="167"/>
      <c r="T1482" s="168">
        <f t="shared" si="3"/>
        <v>23200</v>
      </c>
      <c r="U1482" s="168">
        <f t="shared" si="4"/>
        <v>0</v>
      </c>
      <c r="V1482" s="168">
        <f t="shared" si="5"/>
        <v>0</v>
      </c>
      <c r="W1482" s="168">
        <f t="shared" si="6"/>
        <v>0</v>
      </c>
      <c r="X1482" s="168">
        <f t="shared" si="7"/>
        <v>0</v>
      </c>
      <c r="Y1482" s="168">
        <f t="shared" si="8"/>
        <v>0</v>
      </c>
      <c r="Z1482" s="168">
        <f t="shared" si="9"/>
        <v>0</v>
      </c>
    </row>
    <row r="1483" ht="14.25" customHeight="1">
      <c r="A1483" s="157" t="s">
        <v>1555</v>
      </c>
      <c r="B1483" s="158" t="s">
        <v>29</v>
      </c>
      <c r="C1483" s="158" t="s">
        <v>1247</v>
      </c>
      <c r="D1483" s="159">
        <v>43992.0</v>
      </c>
      <c r="E1483" s="157" t="s">
        <v>731</v>
      </c>
      <c r="F1483" s="160">
        <v>20000.0</v>
      </c>
      <c r="G1483" s="160">
        <v>3200.0</v>
      </c>
      <c r="H1483" s="160">
        <f t="shared" si="45"/>
        <v>23200</v>
      </c>
      <c r="I1483" s="160"/>
      <c r="J1483" s="161"/>
      <c r="K1483" s="160"/>
      <c r="L1483" s="160">
        <f>+'FACP$'!$H1483-'FACP$'!$I1483-'FACP$'!$K1483</f>
        <v>23200</v>
      </c>
      <c r="M1483" s="162" t="s">
        <v>714</v>
      </c>
      <c r="N1483" s="162" t="s">
        <v>554</v>
      </c>
      <c r="O1483" s="175">
        <v>44004.0</v>
      </c>
      <c r="P1483" s="164">
        <f t="shared" si="13"/>
        <v>44002</v>
      </c>
      <c r="Q1483" s="165">
        <f t="shared" si="2"/>
        <v>0</v>
      </c>
      <c r="R1483" s="167"/>
      <c r="S1483" s="167"/>
      <c r="T1483" s="168">
        <f t="shared" si="3"/>
        <v>23200</v>
      </c>
      <c r="U1483" s="168">
        <f t="shared" si="4"/>
        <v>0</v>
      </c>
      <c r="V1483" s="168">
        <f t="shared" si="5"/>
        <v>0</v>
      </c>
      <c r="W1483" s="168">
        <f t="shared" si="6"/>
        <v>0</v>
      </c>
      <c r="X1483" s="168">
        <f t="shared" si="7"/>
        <v>0</v>
      </c>
      <c r="Y1483" s="168">
        <f t="shared" si="8"/>
        <v>0</v>
      </c>
      <c r="Z1483" s="168">
        <f t="shared" si="9"/>
        <v>0</v>
      </c>
    </row>
    <row r="1484" ht="14.25" customHeight="1">
      <c r="A1484" s="157" t="s">
        <v>1556</v>
      </c>
      <c r="B1484" s="158" t="s">
        <v>29</v>
      </c>
      <c r="C1484" s="158" t="s">
        <v>1289</v>
      </c>
      <c r="D1484" s="159">
        <v>43992.0</v>
      </c>
      <c r="E1484" s="157" t="s">
        <v>731</v>
      </c>
      <c r="F1484" s="160">
        <v>50000.0</v>
      </c>
      <c r="G1484" s="160">
        <v>8000.0</v>
      </c>
      <c r="H1484" s="160">
        <f t="shared" si="45"/>
        <v>58000</v>
      </c>
      <c r="I1484" s="160"/>
      <c r="J1484" s="161"/>
      <c r="K1484" s="160"/>
      <c r="L1484" s="160">
        <f>+'FACP$'!$H1484-'FACP$'!$I1484-'FACP$'!$K1484</f>
        <v>58000</v>
      </c>
      <c r="M1484" s="162" t="s">
        <v>714</v>
      </c>
      <c r="N1484" s="162" t="s">
        <v>554</v>
      </c>
      <c r="O1484" s="175">
        <v>44004.0</v>
      </c>
      <c r="P1484" s="164">
        <f t="shared" si="13"/>
        <v>44002</v>
      </c>
      <c r="Q1484" s="165">
        <f t="shared" si="2"/>
        <v>0</v>
      </c>
      <c r="R1484" s="167"/>
      <c r="S1484" s="167"/>
      <c r="T1484" s="168">
        <f t="shared" si="3"/>
        <v>58000</v>
      </c>
      <c r="U1484" s="168">
        <f t="shared" si="4"/>
        <v>0</v>
      </c>
      <c r="V1484" s="168">
        <f t="shared" si="5"/>
        <v>0</v>
      </c>
      <c r="W1484" s="168">
        <f t="shared" si="6"/>
        <v>0</v>
      </c>
      <c r="X1484" s="168">
        <f t="shared" si="7"/>
        <v>0</v>
      </c>
      <c r="Y1484" s="168">
        <f t="shared" si="8"/>
        <v>0</v>
      </c>
      <c r="Z1484" s="168">
        <f t="shared" si="9"/>
        <v>0</v>
      </c>
    </row>
    <row r="1485" ht="14.25" customHeight="1">
      <c r="A1485" s="157" t="s">
        <v>1557</v>
      </c>
      <c r="B1485" s="158" t="s">
        <v>29</v>
      </c>
      <c r="C1485" s="158" t="s">
        <v>1289</v>
      </c>
      <c r="D1485" s="159">
        <v>43992.0</v>
      </c>
      <c r="E1485" s="157" t="s">
        <v>731</v>
      </c>
      <c r="F1485" s="160">
        <v>20000.0</v>
      </c>
      <c r="G1485" s="160">
        <v>3200.0</v>
      </c>
      <c r="H1485" s="160">
        <f t="shared" si="45"/>
        <v>23200</v>
      </c>
      <c r="I1485" s="160"/>
      <c r="J1485" s="161"/>
      <c r="K1485" s="160"/>
      <c r="L1485" s="160">
        <f>+'FACP$'!$H1485-'FACP$'!$I1485-'FACP$'!$K1485</f>
        <v>23200</v>
      </c>
      <c r="M1485" s="162" t="s">
        <v>714</v>
      </c>
      <c r="N1485" s="162" t="s">
        <v>554</v>
      </c>
      <c r="O1485" s="175">
        <v>44004.0</v>
      </c>
      <c r="P1485" s="164">
        <f t="shared" si="13"/>
        <v>44002</v>
      </c>
      <c r="Q1485" s="165">
        <f t="shared" si="2"/>
        <v>0</v>
      </c>
      <c r="R1485" s="167"/>
      <c r="S1485" s="167"/>
      <c r="T1485" s="168">
        <f t="shared" si="3"/>
        <v>23200</v>
      </c>
      <c r="U1485" s="168">
        <f t="shared" si="4"/>
        <v>0</v>
      </c>
      <c r="V1485" s="168">
        <f t="shared" si="5"/>
        <v>0</v>
      </c>
      <c r="W1485" s="168">
        <f t="shared" si="6"/>
        <v>0</v>
      </c>
      <c r="X1485" s="168">
        <f t="shared" si="7"/>
        <v>0</v>
      </c>
      <c r="Y1485" s="168">
        <f t="shared" si="8"/>
        <v>0</v>
      </c>
      <c r="Z1485" s="168">
        <f t="shared" si="9"/>
        <v>0</v>
      </c>
    </row>
    <row r="1486" ht="14.25" customHeight="1">
      <c r="A1486" s="157" t="s">
        <v>1558</v>
      </c>
      <c r="B1486" s="158" t="s">
        <v>29</v>
      </c>
      <c r="C1486" s="158" t="s">
        <v>1426</v>
      </c>
      <c r="D1486" s="159">
        <v>43992.0</v>
      </c>
      <c r="E1486" s="157" t="s">
        <v>731</v>
      </c>
      <c r="F1486" s="160">
        <v>50000.0</v>
      </c>
      <c r="G1486" s="160">
        <v>8000.0</v>
      </c>
      <c r="H1486" s="160">
        <f t="shared" si="45"/>
        <v>58000</v>
      </c>
      <c r="I1486" s="160"/>
      <c r="J1486" s="161"/>
      <c r="K1486" s="160"/>
      <c r="L1486" s="160">
        <f>+'FACP$'!$H1486-'FACP$'!$I1486-'FACP$'!$K1486</f>
        <v>58000</v>
      </c>
      <c r="M1486" s="162" t="s">
        <v>714</v>
      </c>
      <c r="N1486" s="162" t="s">
        <v>554</v>
      </c>
      <c r="O1486" s="175">
        <v>44004.0</v>
      </c>
      <c r="P1486" s="164">
        <f t="shared" si="13"/>
        <v>44002</v>
      </c>
      <c r="Q1486" s="165">
        <f t="shared" si="2"/>
        <v>0</v>
      </c>
      <c r="R1486" s="167"/>
      <c r="S1486" s="167"/>
      <c r="T1486" s="168">
        <f t="shared" si="3"/>
        <v>58000</v>
      </c>
      <c r="U1486" s="168">
        <f t="shared" si="4"/>
        <v>0</v>
      </c>
      <c r="V1486" s="168">
        <f t="shared" si="5"/>
        <v>0</v>
      </c>
      <c r="W1486" s="168">
        <f t="shared" si="6"/>
        <v>0</v>
      </c>
      <c r="X1486" s="168">
        <f t="shared" si="7"/>
        <v>0</v>
      </c>
      <c r="Y1486" s="168">
        <f t="shared" si="8"/>
        <v>0</v>
      </c>
      <c r="Z1486" s="168">
        <f t="shared" si="9"/>
        <v>0</v>
      </c>
    </row>
    <row r="1487" ht="14.25" customHeight="1">
      <c r="A1487" s="157" t="s">
        <v>1559</v>
      </c>
      <c r="B1487" s="158" t="s">
        <v>29</v>
      </c>
      <c r="C1487" s="158" t="s">
        <v>1426</v>
      </c>
      <c r="D1487" s="159">
        <v>43992.0</v>
      </c>
      <c r="E1487" s="157" t="s">
        <v>731</v>
      </c>
      <c r="F1487" s="160">
        <v>20000.0</v>
      </c>
      <c r="G1487" s="160">
        <v>3200.0</v>
      </c>
      <c r="H1487" s="160">
        <f t="shared" si="45"/>
        <v>23200</v>
      </c>
      <c r="I1487" s="160"/>
      <c r="J1487" s="161"/>
      <c r="K1487" s="160"/>
      <c r="L1487" s="160">
        <f>+'FACP$'!$H1487-'FACP$'!$I1487-'FACP$'!$K1487</f>
        <v>23200</v>
      </c>
      <c r="M1487" s="162" t="s">
        <v>714</v>
      </c>
      <c r="N1487" s="162" t="s">
        <v>554</v>
      </c>
      <c r="O1487" s="175">
        <v>44004.0</v>
      </c>
      <c r="P1487" s="164">
        <f t="shared" si="13"/>
        <v>44002</v>
      </c>
      <c r="Q1487" s="165">
        <f t="shared" si="2"/>
        <v>0</v>
      </c>
      <c r="R1487" s="167"/>
      <c r="S1487" s="167"/>
      <c r="T1487" s="168">
        <f t="shared" si="3"/>
        <v>23200</v>
      </c>
      <c r="U1487" s="168">
        <f t="shared" si="4"/>
        <v>0</v>
      </c>
      <c r="V1487" s="168">
        <f t="shared" si="5"/>
        <v>0</v>
      </c>
      <c r="W1487" s="168">
        <f t="shared" si="6"/>
        <v>0</v>
      </c>
      <c r="X1487" s="168">
        <f t="shared" si="7"/>
        <v>0</v>
      </c>
      <c r="Y1487" s="168">
        <f t="shared" si="8"/>
        <v>0</v>
      </c>
      <c r="Z1487" s="168">
        <f t="shared" si="9"/>
        <v>0</v>
      </c>
    </row>
    <row r="1488" ht="14.25" customHeight="1">
      <c r="A1488" s="157" t="s">
        <v>1560</v>
      </c>
      <c r="B1488" s="158" t="s">
        <v>29</v>
      </c>
      <c r="C1488" s="158" t="s">
        <v>1429</v>
      </c>
      <c r="D1488" s="159">
        <v>43992.0</v>
      </c>
      <c r="E1488" s="157" t="s">
        <v>731</v>
      </c>
      <c r="F1488" s="160">
        <v>50000.0</v>
      </c>
      <c r="G1488" s="160">
        <v>8000.0</v>
      </c>
      <c r="H1488" s="160">
        <f t="shared" si="45"/>
        <v>58000</v>
      </c>
      <c r="I1488" s="160"/>
      <c r="J1488" s="161"/>
      <c r="K1488" s="160"/>
      <c r="L1488" s="160">
        <f>+'FACP$'!$H1488-'FACP$'!$I1488-'FACP$'!$K1488</f>
        <v>58000</v>
      </c>
      <c r="M1488" s="162" t="s">
        <v>714</v>
      </c>
      <c r="N1488" s="162" t="s">
        <v>554</v>
      </c>
      <c r="O1488" s="175">
        <v>44004.0</v>
      </c>
      <c r="P1488" s="164">
        <f t="shared" si="13"/>
        <v>44002</v>
      </c>
      <c r="Q1488" s="165">
        <f t="shared" si="2"/>
        <v>0</v>
      </c>
      <c r="R1488" s="167"/>
      <c r="S1488" s="167"/>
      <c r="T1488" s="168">
        <f t="shared" si="3"/>
        <v>58000</v>
      </c>
      <c r="U1488" s="168">
        <f t="shared" si="4"/>
        <v>0</v>
      </c>
      <c r="V1488" s="168">
        <f t="shared" si="5"/>
        <v>0</v>
      </c>
      <c r="W1488" s="168">
        <f t="shared" si="6"/>
        <v>0</v>
      </c>
      <c r="X1488" s="168">
        <f t="shared" si="7"/>
        <v>0</v>
      </c>
      <c r="Y1488" s="168">
        <f t="shared" si="8"/>
        <v>0</v>
      </c>
      <c r="Z1488" s="168">
        <f t="shared" si="9"/>
        <v>0</v>
      </c>
    </row>
    <row r="1489" ht="14.25" customHeight="1">
      <c r="A1489" s="157" t="s">
        <v>1561</v>
      </c>
      <c r="B1489" s="158" t="s">
        <v>29</v>
      </c>
      <c r="C1489" s="158" t="s">
        <v>1429</v>
      </c>
      <c r="D1489" s="159">
        <v>43992.0</v>
      </c>
      <c r="E1489" s="157" t="s">
        <v>731</v>
      </c>
      <c r="F1489" s="160">
        <v>20000.0</v>
      </c>
      <c r="G1489" s="160">
        <v>3200.0</v>
      </c>
      <c r="H1489" s="160">
        <f t="shared" si="45"/>
        <v>23200</v>
      </c>
      <c r="I1489" s="160"/>
      <c r="J1489" s="161"/>
      <c r="K1489" s="160"/>
      <c r="L1489" s="160">
        <f>+'FACP$'!$H1489-'FACP$'!$I1489-'FACP$'!$K1489</f>
        <v>23200</v>
      </c>
      <c r="M1489" s="162" t="s">
        <v>714</v>
      </c>
      <c r="N1489" s="162" t="s">
        <v>554</v>
      </c>
      <c r="O1489" s="175">
        <v>44004.0</v>
      </c>
      <c r="P1489" s="164">
        <f t="shared" si="13"/>
        <v>44002</v>
      </c>
      <c r="Q1489" s="165">
        <f t="shared" si="2"/>
        <v>0</v>
      </c>
      <c r="R1489" s="167"/>
      <c r="S1489" s="167"/>
      <c r="T1489" s="168">
        <f t="shared" si="3"/>
        <v>23200</v>
      </c>
      <c r="U1489" s="168">
        <f t="shared" si="4"/>
        <v>0</v>
      </c>
      <c r="V1489" s="168">
        <f t="shared" si="5"/>
        <v>0</v>
      </c>
      <c r="W1489" s="168">
        <f t="shared" si="6"/>
        <v>0</v>
      </c>
      <c r="X1489" s="168">
        <f t="shared" si="7"/>
        <v>0</v>
      </c>
      <c r="Y1489" s="168">
        <f t="shared" si="8"/>
        <v>0</v>
      </c>
      <c r="Z1489" s="168">
        <f t="shared" si="9"/>
        <v>0</v>
      </c>
    </row>
    <row r="1490" ht="14.25" customHeight="1">
      <c r="A1490" s="157" t="s">
        <v>1562</v>
      </c>
      <c r="B1490" s="158" t="s">
        <v>29</v>
      </c>
      <c r="C1490" s="158" t="s">
        <v>1482</v>
      </c>
      <c r="D1490" s="159">
        <v>43992.0</v>
      </c>
      <c r="E1490" s="157" t="s">
        <v>731</v>
      </c>
      <c r="F1490" s="160">
        <v>50000.0</v>
      </c>
      <c r="G1490" s="160">
        <v>8000.0</v>
      </c>
      <c r="H1490" s="160">
        <f t="shared" si="45"/>
        <v>58000</v>
      </c>
      <c r="I1490" s="160"/>
      <c r="J1490" s="161"/>
      <c r="K1490" s="160"/>
      <c r="L1490" s="160">
        <f>+'FACP$'!$H1490-'FACP$'!$I1490-'FACP$'!$K1490</f>
        <v>58000</v>
      </c>
      <c r="M1490" s="162" t="s">
        <v>714</v>
      </c>
      <c r="N1490" s="162" t="s">
        <v>554</v>
      </c>
      <c r="O1490" s="175">
        <v>44004.0</v>
      </c>
      <c r="P1490" s="164">
        <f t="shared" si="13"/>
        <v>44002</v>
      </c>
      <c r="Q1490" s="165">
        <f t="shared" si="2"/>
        <v>0</v>
      </c>
      <c r="R1490" s="167"/>
      <c r="S1490" s="167"/>
      <c r="T1490" s="168">
        <f t="shared" si="3"/>
        <v>58000</v>
      </c>
      <c r="U1490" s="168">
        <f t="shared" si="4"/>
        <v>0</v>
      </c>
      <c r="V1490" s="168">
        <f t="shared" si="5"/>
        <v>0</v>
      </c>
      <c r="W1490" s="168">
        <f t="shared" si="6"/>
        <v>0</v>
      </c>
      <c r="X1490" s="168">
        <f t="shared" si="7"/>
        <v>0</v>
      </c>
      <c r="Y1490" s="168">
        <f t="shared" si="8"/>
        <v>0</v>
      </c>
      <c r="Z1490" s="168">
        <f t="shared" si="9"/>
        <v>0</v>
      </c>
    </row>
    <row r="1491" ht="14.25" customHeight="1">
      <c r="A1491" s="157" t="s">
        <v>1563</v>
      </c>
      <c r="B1491" s="225" t="s">
        <v>29</v>
      </c>
      <c r="C1491" s="225" t="s">
        <v>1482</v>
      </c>
      <c r="D1491" s="159">
        <v>43992.0</v>
      </c>
      <c r="E1491" s="157" t="s">
        <v>731</v>
      </c>
      <c r="F1491" s="160">
        <v>20000.0</v>
      </c>
      <c r="G1491" s="160">
        <v>3200.0</v>
      </c>
      <c r="H1491" s="160">
        <f t="shared" si="45"/>
        <v>23200</v>
      </c>
      <c r="I1491" s="160"/>
      <c r="J1491" s="161"/>
      <c r="K1491" s="160"/>
      <c r="L1491" s="160">
        <f>+'FACP$'!$H1491-'FACP$'!$I1491-'FACP$'!$K1491</f>
        <v>23200</v>
      </c>
      <c r="M1491" s="162" t="s">
        <v>714</v>
      </c>
      <c r="N1491" s="162" t="s">
        <v>554</v>
      </c>
      <c r="O1491" s="175">
        <v>44004.0</v>
      </c>
      <c r="P1491" s="164">
        <f t="shared" si="13"/>
        <v>44002</v>
      </c>
      <c r="Q1491" s="165">
        <f t="shared" si="2"/>
        <v>0</v>
      </c>
      <c r="R1491" s="167"/>
      <c r="S1491" s="167"/>
      <c r="T1491" s="168">
        <f t="shared" si="3"/>
        <v>23200</v>
      </c>
      <c r="U1491" s="168">
        <f t="shared" si="4"/>
        <v>0</v>
      </c>
      <c r="V1491" s="168">
        <f t="shared" si="5"/>
        <v>0</v>
      </c>
      <c r="W1491" s="168">
        <f t="shared" si="6"/>
        <v>0</v>
      </c>
      <c r="X1491" s="168">
        <f t="shared" si="7"/>
        <v>0</v>
      </c>
      <c r="Y1491" s="168">
        <f t="shared" si="8"/>
        <v>0</v>
      </c>
      <c r="Z1491" s="168">
        <f t="shared" si="9"/>
        <v>0</v>
      </c>
    </row>
    <row r="1492" ht="14.25" customHeight="1">
      <c r="A1492" s="157" t="s">
        <v>1564</v>
      </c>
      <c r="B1492" s="158" t="s">
        <v>29</v>
      </c>
      <c r="C1492" s="158" t="s">
        <v>1224</v>
      </c>
      <c r="D1492" s="159">
        <v>43992.0</v>
      </c>
      <c r="E1492" s="157" t="s">
        <v>731</v>
      </c>
      <c r="F1492" s="160">
        <v>100000.0</v>
      </c>
      <c r="G1492" s="160">
        <v>16000.0</v>
      </c>
      <c r="H1492" s="160">
        <f t="shared" si="45"/>
        <v>116000</v>
      </c>
      <c r="I1492" s="160"/>
      <c r="J1492" s="161"/>
      <c r="K1492" s="160"/>
      <c r="L1492" s="160">
        <f>+'FACP$'!$H1492-'FACP$'!$I1492-'FACP$'!$K1492</f>
        <v>116000</v>
      </c>
      <c r="M1492" s="162" t="s">
        <v>714</v>
      </c>
      <c r="N1492" s="162" t="s">
        <v>554</v>
      </c>
      <c r="O1492" s="175">
        <v>44004.0</v>
      </c>
      <c r="P1492" s="164">
        <f t="shared" si="13"/>
        <v>44002</v>
      </c>
      <c r="Q1492" s="165">
        <f t="shared" si="2"/>
        <v>0</v>
      </c>
      <c r="R1492" s="167"/>
      <c r="S1492" s="167"/>
      <c r="T1492" s="168">
        <f t="shared" si="3"/>
        <v>116000</v>
      </c>
      <c r="U1492" s="168">
        <f t="shared" si="4"/>
        <v>0</v>
      </c>
      <c r="V1492" s="168">
        <f t="shared" si="5"/>
        <v>0</v>
      </c>
      <c r="W1492" s="168">
        <f t="shared" si="6"/>
        <v>0</v>
      </c>
      <c r="X1492" s="168">
        <f t="shared" si="7"/>
        <v>0</v>
      </c>
      <c r="Y1492" s="168">
        <f t="shared" si="8"/>
        <v>0</v>
      </c>
      <c r="Z1492" s="168">
        <f t="shared" si="9"/>
        <v>0</v>
      </c>
    </row>
    <row r="1493" ht="14.25" customHeight="1">
      <c r="A1493" s="157" t="s">
        <v>1565</v>
      </c>
      <c r="B1493" s="158" t="s">
        <v>36</v>
      </c>
      <c r="C1493" s="158" t="s">
        <v>1566</v>
      </c>
      <c r="D1493" s="159">
        <v>43997.0</v>
      </c>
      <c r="E1493" s="157" t="s">
        <v>731</v>
      </c>
      <c r="F1493" s="160">
        <v>19286.66</v>
      </c>
      <c r="G1493" s="160">
        <v>3085.86</v>
      </c>
      <c r="H1493" s="160">
        <f t="shared" si="45"/>
        <v>22372.52</v>
      </c>
      <c r="I1493" s="160"/>
      <c r="J1493" s="161"/>
      <c r="K1493" s="160"/>
      <c r="L1493" s="160">
        <f>+'FACP$'!$H1493-'FACP$'!$I1493-'FACP$'!$K1493</f>
        <v>22372.52</v>
      </c>
      <c r="M1493" s="162" t="s">
        <v>278</v>
      </c>
      <c r="N1493" s="162" t="s">
        <v>554</v>
      </c>
      <c r="O1493" s="175">
        <v>44176.0</v>
      </c>
      <c r="P1493" s="164">
        <f t="shared" si="13"/>
        <v>44007</v>
      </c>
      <c r="Q1493" s="165">
        <f t="shared" si="2"/>
        <v>0</v>
      </c>
      <c r="R1493" s="167" t="s">
        <v>1567</v>
      </c>
      <c r="S1493" s="220" t="s">
        <v>910</v>
      </c>
      <c r="T1493" s="168">
        <f t="shared" si="3"/>
        <v>22372.52</v>
      </c>
      <c r="U1493" s="168">
        <f t="shared" si="4"/>
        <v>0</v>
      </c>
      <c r="V1493" s="168">
        <f t="shared" si="5"/>
        <v>0</v>
      </c>
      <c r="W1493" s="168">
        <f t="shared" si="6"/>
        <v>0</v>
      </c>
      <c r="X1493" s="168">
        <f t="shared" si="7"/>
        <v>0</v>
      </c>
      <c r="Y1493" s="168">
        <f t="shared" si="8"/>
        <v>0</v>
      </c>
      <c r="Z1493" s="168">
        <f t="shared" si="9"/>
        <v>0</v>
      </c>
    </row>
    <row r="1494" ht="14.25" customHeight="1">
      <c r="A1494" s="157" t="s">
        <v>1568</v>
      </c>
      <c r="B1494" s="158" t="s">
        <v>33</v>
      </c>
      <c r="C1494" s="158" t="s">
        <v>1569</v>
      </c>
      <c r="D1494" s="159">
        <v>43997.0</v>
      </c>
      <c r="E1494" s="157" t="s">
        <v>731</v>
      </c>
      <c r="F1494" s="160">
        <v>21975.03</v>
      </c>
      <c r="G1494" s="160">
        <v>3516.0</v>
      </c>
      <c r="H1494" s="160">
        <f t="shared" si="45"/>
        <v>25491.03</v>
      </c>
      <c r="I1494" s="160"/>
      <c r="J1494" s="161"/>
      <c r="K1494" s="160"/>
      <c r="L1494" s="160">
        <f>+'FACP$'!$H1494-'FACP$'!$I1494-'FACP$'!$K1494</f>
        <v>25491.03</v>
      </c>
      <c r="M1494" s="162" t="s">
        <v>958</v>
      </c>
      <c r="N1494" s="162" t="s">
        <v>127</v>
      </c>
      <c r="O1494" s="175"/>
      <c r="P1494" s="164">
        <f t="shared" si="13"/>
        <v>44007</v>
      </c>
      <c r="Q1494" s="165">
        <f t="shared" si="2"/>
        <v>0</v>
      </c>
      <c r="R1494" s="167" t="s">
        <v>1570</v>
      </c>
      <c r="S1494" s="167"/>
      <c r="T1494" s="168">
        <f t="shared" si="3"/>
        <v>25491.03</v>
      </c>
      <c r="U1494" s="168">
        <f t="shared" si="4"/>
        <v>0</v>
      </c>
      <c r="V1494" s="168">
        <f t="shared" si="5"/>
        <v>0</v>
      </c>
      <c r="W1494" s="168">
        <f t="shared" si="6"/>
        <v>0</v>
      </c>
      <c r="X1494" s="168">
        <f t="shared" si="7"/>
        <v>0</v>
      </c>
      <c r="Y1494" s="168">
        <f t="shared" si="8"/>
        <v>0</v>
      </c>
      <c r="Z1494" s="168">
        <f t="shared" si="9"/>
        <v>0</v>
      </c>
    </row>
    <row r="1495" ht="14.25" customHeight="1">
      <c r="A1495" s="157" t="s">
        <v>1571</v>
      </c>
      <c r="B1495" s="158" t="s">
        <v>30</v>
      </c>
      <c r="C1495" s="158" t="s">
        <v>1566</v>
      </c>
      <c r="D1495" s="159">
        <v>43997.0</v>
      </c>
      <c r="E1495" s="157" t="s">
        <v>731</v>
      </c>
      <c r="F1495" s="160">
        <v>73725.12</v>
      </c>
      <c r="G1495" s="160">
        <v>11796.02</v>
      </c>
      <c r="H1495" s="160">
        <f t="shared" si="45"/>
        <v>85521.14</v>
      </c>
      <c r="I1495" s="160"/>
      <c r="J1495" s="161"/>
      <c r="K1495" s="160"/>
      <c r="L1495" s="160">
        <f>+'FACP$'!$H1495-'FACP$'!$I1495-'FACP$'!$K1495</f>
        <v>85521.14</v>
      </c>
      <c r="M1495" s="162" t="s">
        <v>891</v>
      </c>
      <c r="N1495" s="162" t="s">
        <v>127</v>
      </c>
      <c r="O1495" s="175"/>
      <c r="P1495" s="164">
        <f t="shared" si="13"/>
        <v>44007</v>
      </c>
      <c r="Q1495" s="165">
        <f t="shared" si="2"/>
        <v>0</v>
      </c>
      <c r="R1495" s="220" t="s">
        <v>1309</v>
      </c>
      <c r="S1495" s="167"/>
      <c r="T1495" s="168">
        <f t="shared" si="3"/>
        <v>85521.14</v>
      </c>
      <c r="U1495" s="168">
        <f t="shared" si="4"/>
        <v>0</v>
      </c>
      <c r="V1495" s="168">
        <f t="shared" si="5"/>
        <v>0</v>
      </c>
      <c r="W1495" s="168">
        <f t="shared" si="6"/>
        <v>0</v>
      </c>
      <c r="X1495" s="168">
        <f t="shared" si="7"/>
        <v>0</v>
      </c>
      <c r="Y1495" s="168">
        <f t="shared" si="8"/>
        <v>0</v>
      </c>
      <c r="Z1495" s="168">
        <f t="shared" si="9"/>
        <v>0</v>
      </c>
    </row>
    <row r="1496" ht="14.25" customHeight="1">
      <c r="A1496" s="157" t="s">
        <v>1572</v>
      </c>
      <c r="B1496" s="158" t="s">
        <v>37</v>
      </c>
      <c r="C1496" s="226" t="s">
        <v>1573</v>
      </c>
      <c r="D1496" s="159">
        <v>43997.0</v>
      </c>
      <c r="E1496" s="157" t="s">
        <v>731</v>
      </c>
      <c r="F1496" s="160">
        <v>206603.23</v>
      </c>
      <c r="G1496" s="160">
        <v>33056.52</v>
      </c>
      <c r="H1496" s="160">
        <f t="shared" si="45"/>
        <v>239659.75</v>
      </c>
      <c r="I1496" s="160"/>
      <c r="J1496" s="161"/>
      <c r="K1496" s="160"/>
      <c r="L1496" s="160">
        <f>+'FACP$'!$H1496-'FACP$'!$I1496-'FACP$'!$K1496</f>
        <v>239659.75</v>
      </c>
      <c r="M1496" s="162" t="s">
        <v>116</v>
      </c>
      <c r="N1496" s="162" t="s">
        <v>127</v>
      </c>
      <c r="O1496" s="175"/>
      <c r="P1496" s="164">
        <f t="shared" si="13"/>
        <v>44007</v>
      </c>
      <c r="Q1496" s="165">
        <f t="shared" si="2"/>
        <v>0</v>
      </c>
      <c r="R1496" s="167" t="s">
        <v>1574</v>
      </c>
      <c r="S1496" s="167"/>
      <c r="T1496" s="168">
        <f t="shared" si="3"/>
        <v>239659.75</v>
      </c>
      <c r="U1496" s="168">
        <f t="shared" si="4"/>
        <v>0</v>
      </c>
      <c r="V1496" s="168">
        <f t="shared" si="5"/>
        <v>0</v>
      </c>
      <c r="W1496" s="168">
        <f t="shared" si="6"/>
        <v>0</v>
      </c>
      <c r="X1496" s="168">
        <f t="shared" si="7"/>
        <v>0</v>
      </c>
      <c r="Y1496" s="168">
        <f t="shared" si="8"/>
        <v>0</v>
      </c>
      <c r="Z1496" s="168">
        <f t="shared" si="9"/>
        <v>0</v>
      </c>
    </row>
    <row r="1497" ht="14.25" customHeight="1">
      <c r="A1497" s="157" t="s">
        <v>1575</v>
      </c>
      <c r="B1497" s="158" t="s">
        <v>16</v>
      </c>
      <c r="C1497" s="158" t="s">
        <v>1573</v>
      </c>
      <c r="D1497" s="159">
        <v>43997.0</v>
      </c>
      <c r="E1497" s="157" t="s">
        <v>731</v>
      </c>
      <c r="F1497" s="160">
        <v>19827.35</v>
      </c>
      <c r="G1497" s="160">
        <v>3172.38</v>
      </c>
      <c r="H1497" s="160">
        <f t="shared" si="45"/>
        <v>22999.73</v>
      </c>
      <c r="I1497" s="160"/>
      <c r="J1497" s="161"/>
      <c r="K1497" s="160"/>
      <c r="L1497" s="160">
        <f>+'FACP$'!$H1497-'FACP$'!$I1497-'FACP$'!$K1497</f>
        <v>22999.73</v>
      </c>
      <c r="M1497" s="162" t="s">
        <v>985</v>
      </c>
      <c r="N1497" s="162" t="s">
        <v>554</v>
      </c>
      <c r="O1497" s="175">
        <v>44012.0</v>
      </c>
      <c r="P1497" s="164">
        <f t="shared" si="13"/>
        <v>44007</v>
      </c>
      <c r="Q1497" s="165">
        <f t="shared" si="2"/>
        <v>0</v>
      </c>
      <c r="R1497" s="167"/>
      <c r="S1497" s="167"/>
      <c r="T1497" s="168">
        <f t="shared" si="3"/>
        <v>22999.73</v>
      </c>
      <c r="U1497" s="168">
        <f t="shared" si="4"/>
        <v>0</v>
      </c>
      <c r="V1497" s="168">
        <f t="shared" si="5"/>
        <v>0</v>
      </c>
      <c r="W1497" s="168">
        <f t="shared" si="6"/>
        <v>0</v>
      </c>
      <c r="X1497" s="168">
        <f t="shared" si="7"/>
        <v>0</v>
      </c>
      <c r="Y1497" s="168">
        <f t="shared" si="8"/>
        <v>0</v>
      </c>
      <c r="Z1497" s="168">
        <f t="shared" si="9"/>
        <v>0</v>
      </c>
    </row>
    <row r="1498" ht="14.25" customHeight="1">
      <c r="A1498" s="157" t="s">
        <v>1576</v>
      </c>
      <c r="B1498" s="158" t="s">
        <v>16</v>
      </c>
      <c r="C1498" s="158" t="s">
        <v>1577</v>
      </c>
      <c r="D1498" s="159">
        <v>43997.0</v>
      </c>
      <c r="E1498" s="157" t="s">
        <v>731</v>
      </c>
      <c r="F1498" s="160">
        <v>43322.66</v>
      </c>
      <c r="G1498" s="160">
        <v>6931.63</v>
      </c>
      <c r="H1498" s="160">
        <f t="shared" si="45"/>
        <v>50254.29</v>
      </c>
      <c r="I1498" s="160"/>
      <c r="J1498" s="161"/>
      <c r="K1498" s="160"/>
      <c r="L1498" s="160">
        <f>+'FACP$'!$H1498-'FACP$'!$I1498-'FACP$'!$K1498</f>
        <v>50254.29</v>
      </c>
      <c r="M1498" s="162" t="s">
        <v>985</v>
      </c>
      <c r="N1498" s="162" t="s">
        <v>554</v>
      </c>
      <c r="O1498" s="175">
        <v>44012.0</v>
      </c>
      <c r="P1498" s="164">
        <f t="shared" si="13"/>
        <v>44007</v>
      </c>
      <c r="Q1498" s="165">
        <f t="shared" si="2"/>
        <v>0</v>
      </c>
      <c r="R1498" s="167"/>
      <c r="S1498" s="167"/>
      <c r="T1498" s="168">
        <f t="shared" si="3"/>
        <v>50254.29</v>
      </c>
      <c r="U1498" s="168">
        <f t="shared" si="4"/>
        <v>0</v>
      </c>
      <c r="V1498" s="168">
        <f t="shared" si="5"/>
        <v>0</v>
      </c>
      <c r="W1498" s="168">
        <f t="shared" si="6"/>
        <v>0</v>
      </c>
      <c r="X1498" s="168">
        <f t="shared" si="7"/>
        <v>0</v>
      </c>
      <c r="Y1498" s="168">
        <f t="shared" si="8"/>
        <v>0</v>
      </c>
      <c r="Z1498" s="168">
        <f t="shared" si="9"/>
        <v>0</v>
      </c>
    </row>
    <row r="1499" ht="14.25" customHeight="1">
      <c r="A1499" s="157" t="s">
        <v>1578</v>
      </c>
      <c r="B1499" s="158" t="s">
        <v>36</v>
      </c>
      <c r="C1499" s="158" t="s">
        <v>1579</v>
      </c>
      <c r="D1499" s="159">
        <v>43999.0</v>
      </c>
      <c r="E1499" s="157" t="s">
        <v>731</v>
      </c>
      <c r="F1499" s="160">
        <v>49387.53</v>
      </c>
      <c r="G1499" s="160">
        <v>7902.01</v>
      </c>
      <c r="H1499" s="160">
        <f t="shared" si="45"/>
        <v>57289.54</v>
      </c>
      <c r="I1499" s="160"/>
      <c r="J1499" s="161"/>
      <c r="K1499" s="160"/>
      <c r="L1499" s="160">
        <f>+'FACP$'!$H1499-'FACP$'!$I1499-'FACP$'!$K1499</f>
        <v>57289.54</v>
      </c>
      <c r="M1499" s="162" t="s">
        <v>278</v>
      </c>
      <c r="N1499" s="162" t="s">
        <v>554</v>
      </c>
      <c r="O1499" s="175">
        <v>44025.0</v>
      </c>
      <c r="P1499" s="164">
        <f t="shared" si="13"/>
        <v>44009</v>
      </c>
      <c r="Q1499" s="165">
        <f t="shared" si="2"/>
        <v>0</v>
      </c>
      <c r="R1499" s="167"/>
      <c r="S1499" s="220" t="s">
        <v>910</v>
      </c>
      <c r="T1499" s="168">
        <f t="shared" si="3"/>
        <v>57289.54</v>
      </c>
      <c r="U1499" s="168">
        <f t="shared" si="4"/>
        <v>0</v>
      </c>
      <c r="V1499" s="168">
        <f t="shared" si="5"/>
        <v>0</v>
      </c>
      <c r="W1499" s="168">
        <f t="shared" si="6"/>
        <v>0</v>
      </c>
      <c r="X1499" s="168">
        <f t="shared" si="7"/>
        <v>0</v>
      </c>
      <c r="Y1499" s="168">
        <f t="shared" si="8"/>
        <v>0</v>
      </c>
      <c r="Z1499" s="168">
        <f t="shared" si="9"/>
        <v>0</v>
      </c>
    </row>
    <row r="1500" ht="14.25" customHeight="1">
      <c r="A1500" s="157" t="s">
        <v>1580</v>
      </c>
      <c r="B1500" s="158" t="s">
        <v>1127</v>
      </c>
      <c r="C1500" s="158" t="s">
        <v>1579</v>
      </c>
      <c r="D1500" s="159">
        <v>43999.0</v>
      </c>
      <c r="E1500" s="157" t="s">
        <v>731</v>
      </c>
      <c r="F1500" s="160">
        <v>5754.02</v>
      </c>
      <c r="G1500" s="160">
        <v>920.64</v>
      </c>
      <c r="H1500" s="160">
        <f t="shared" si="45"/>
        <v>6674.66</v>
      </c>
      <c r="I1500" s="160"/>
      <c r="J1500" s="161"/>
      <c r="K1500" s="160"/>
      <c r="L1500" s="160">
        <f>+'FACP$'!$H1500-'FACP$'!$I1500-'FACP$'!$K1500</f>
        <v>6674.66</v>
      </c>
      <c r="M1500" s="162" t="s">
        <v>580</v>
      </c>
      <c r="N1500" s="162" t="s">
        <v>554</v>
      </c>
      <c r="O1500" s="175">
        <v>44007.0</v>
      </c>
      <c r="P1500" s="164">
        <f t="shared" si="13"/>
        <v>44009</v>
      </c>
      <c r="Q1500" s="165">
        <f t="shared" si="2"/>
        <v>0</v>
      </c>
      <c r="R1500" s="167" t="s">
        <v>1581</v>
      </c>
      <c r="S1500" s="220" t="s">
        <v>910</v>
      </c>
      <c r="T1500" s="168">
        <f t="shared" si="3"/>
        <v>6674.66</v>
      </c>
      <c r="U1500" s="168">
        <f t="shared" si="4"/>
        <v>0</v>
      </c>
      <c r="V1500" s="168">
        <f t="shared" si="5"/>
        <v>0</v>
      </c>
      <c r="W1500" s="168">
        <f t="shared" si="6"/>
        <v>0</v>
      </c>
      <c r="X1500" s="168">
        <f t="shared" si="7"/>
        <v>0</v>
      </c>
      <c r="Y1500" s="168">
        <f t="shared" si="8"/>
        <v>0</v>
      </c>
      <c r="Z1500" s="168">
        <f t="shared" si="9"/>
        <v>0</v>
      </c>
    </row>
    <row r="1501" ht="14.25" customHeight="1">
      <c r="A1501" s="157" t="s">
        <v>1582</v>
      </c>
      <c r="B1501" s="158" t="s">
        <v>41</v>
      </c>
      <c r="C1501" s="158" t="s">
        <v>1579</v>
      </c>
      <c r="D1501" s="159">
        <v>44000.0</v>
      </c>
      <c r="E1501" s="157" t="s">
        <v>731</v>
      </c>
      <c r="F1501" s="160">
        <v>130459.27</v>
      </c>
      <c r="G1501" s="160">
        <v>20873.48</v>
      </c>
      <c r="H1501" s="160">
        <f t="shared" si="45"/>
        <v>151332.75</v>
      </c>
      <c r="I1501" s="160"/>
      <c r="J1501" s="161"/>
      <c r="K1501" s="160"/>
      <c r="L1501" s="160">
        <f>+'FACP$'!$H1501-'FACP$'!$I1501-'FACP$'!$K1501</f>
        <v>151332.75</v>
      </c>
      <c r="M1501" s="162" t="s">
        <v>121</v>
      </c>
      <c r="N1501" s="162" t="s">
        <v>554</v>
      </c>
      <c r="O1501" s="175">
        <v>44022.0</v>
      </c>
      <c r="P1501" s="164">
        <f t="shared" si="13"/>
        <v>44010</v>
      </c>
      <c r="Q1501" s="165">
        <f t="shared" si="2"/>
        <v>0</v>
      </c>
      <c r="R1501" s="167"/>
      <c r="S1501" s="167"/>
      <c r="T1501" s="168">
        <f t="shared" si="3"/>
        <v>151332.75</v>
      </c>
      <c r="U1501" s="168">
        <f t="shared" si="4"/>
        <v>0</v>
      </c>
      <c r="V1501" s="168">
        <f t="shared" si="5"/>
        <v>0</v>
      </c>
      <c r="W1501" s="168">
        <f t="shared" si="6"/>
        <v>0</v>
      </c>
      <c r="X1501" s="168">
        <f t="shared" si="7"/>
        <v>0</v>
      </c>
      <c r="Y1501" s="168">
        <f t="shared" si="8"/>
        <v>0</v>
      </c>
      <c r="Z1501" s="168">
        <f t="shared" si="9"/>
        <v>0</v>
      </c>
    </row>
    <row r="1502" ht="14.25" customHeight="1">
      <c r="A1502" s="157" t="s">
        <v>1583</v>
      </c>
      <c r="B1502" s="158" t="s">
        <v>37</v>
      </c>
      <c r="C1502" s="158" t="s">
        <v>1579</v>
      </c>
      <c r="D1502" s="159">
        <v>44000.0</v>
      </c>
      <c r="E1502" s="157" t="s">
        <v>731</v>
      </c>
      <c r="F1502" s="160">
        <v>1334689.23</v>
      </c>
      <c r="G1502" s="160">
        <v>213550.28</v>
      </c>
      <c r="H1502" s="160">
        <f t="shared" si="45"/>
        <v>1548239.51</v>
      </c>
      <c r="I1502" s="160"/>
      <c r="J1502" s="161"/>
      <c r="K1502" s="160"/>
      <c r="L1502" s="160">
        <f>+'FACP$'!$H1502-'FACP$'!$I1502-'FACP$'!$K1502</f>
        <v>1548239.51</v>
      </c>
      <c r="M1502" s="162" t="s">
        <v>116</v>
      </c>
      <c r="N1502" s="162" t="s">
        <v>554</v>
      </c>
      <c r="O1502" s="175">
        <v>44018.0</v>
      </c>
      <c r="P1502" s="164">
        <f t="shared" si="13"/>
        <v>44010</v>
      </c>
      <c r="Q1502" s="165">
        <f t="shared" si="2"/>
        <v>0</v>
      </c>
      <c r="R1502" s="167"/>
      <c r="S1502" s="167" t="s">
        <v>910</v>
      </c>
      <c r="T1502" s="168">
        <f t="shared" si="3"/>
        <v>1548239.51</v>
      </c>
      <c r="U1502" s="168">
        <f t="shared" si="4"/>
        <v>0</v>
      </c>
      <c r="V1502" s="168">
        <f t="shared" si="5"/>
        <v>0</v>
      </c>
      <c r="W1502" s="168">
        <f t="shared" si="6"/>
        <v>0</v>
      </c>
      <c r="X1502" s="168">
        <f t="shared" si="7"/>
        <v>0</v>
      </c>
      <c r="Y1502" s="168">
        <f t="shared" si="8"/>
        <v>0</v>
      </c>
      <c r="Z1502" s="168">
        <f t="shared" si="9"/>
        <v>0</v>
      </c>
    </row>
    <row r="1503" ht="14.25" customHeight="1">
      <c r="A1503" s="157" t="s">
        <v>1584</v>
      </c>
      <c r="B1503" s="158" t="s">
        <v>16</v>
      </c>
      <c r="C1503" s="158" t="s">
        <v>1579</v>
      </c>
      <c r="D1503" s="159">
        <v>44000.0</v>
      </c>
      <c r="E1503" s="157" t="s">
        <v>731</v>
      </c>
      <c r="F1503" s="160">
        <v>176760.15</v>
      </c>
      <c r="G1503" s="160">
        <v>28281.62</v>
      </c>
      <c r="H1503" s="160">
        <f t="shared" si="45"/>
        <v>205041.77</v>
      </c>
      <c r="I1503" s="160"/>
      <c r="J1503" s="161"/>
      <c r="K1503" s="160"/>
      <c r="L1503" s="160">
        <f>+'FACP$'!$H1503-'FACP$'!$I1503-'FACP$'!$K1503</f>
        <v>205041.77</v>
      </c>
      <c r="M1503" s="162" t="s">
        <v>985</v>
      </c>
      <c r="N1503" s="162" t="s">
        <v>554</v>
      </c>
      <c r="O1503" s="175">
        <v>44012.0</v>
      </c>
      <c r="P1503" s="164">
        <f t="shared" si="13"/>
        <v>44010</v>
      </c>
      <c r="Q1503" s="165">
        <f t="shared" si="2"/>
        <v>0</v>
      </c>
      <c r="R1503" s="167"/>
      <c r="S1503" s="167"/>
      <c r="T1503" s="168">
        <f t="shared" si="3"/>
        <v>205041.77</v>
      </c>
      <c r="U1503" s="168">
        <f t="shared" si="4"/>
        <v>0</v>
      </c>
      <c r="V1503" s="168">
        <f t="shared" si="5"/>
        <v>0</v>
      </c>
      <c r="W1503" s="168">
        <f t="shared" si="6"/>
        <v>0</v>
      </c>
      <c r="X1503" s="168">
        <f t="shared" si="7"/>
        <v>0</v>
      </c>
      <c r="Y1503" s="168">
        <f t="shared" si="8"/>
        <v>0</v>
      </c>
      <c r="Z1503" s="168">
        <f t="shared" si="9"/>
        <v>0</v>
      </c>
    </row>
    <row r="1504" ht="14.25" customHeight="1">
      <c r="A1504" s="157" t="s">
        <v>1585</v>
      </c>
      <c r="B1504" s="158" t="s">
        <v>16</v>
      </c>
      <c r="C1504" s="158" t="s">
        <v>1586</v>
      </c>
      <c r="D1504" s="159">
        <v>44000.0</v>
      </c>
      <c r="E1504" s="157" t="s">
        <v>731</v>
      </c>
      <c r="F1504" s="160">
        <v>286726.88</v>
      </c>
      <c r="G1504" s="160">
        <v>45876.3</v>
      </c>
      <c r="H1504" s="160">
        <f t="shared" si="45"/>
        <v>332603.18</v>
      </c>
      <c r="I1504" s="160"/>
      <c r="J1504" s="161"/>
      <c r="K1504" s="160"/>
      <c r="L1504" s="160">
        <f>+'FACP$'!$H1504-'FACP$'!$I1504-'FACP$'!$K1504</f>
        <v>332603.18</v>
      </c>
      <c r="M1504" s="162" t="s">
        <v>985</v>
      </c>
      <c r="N1504" s="162" t="s">
        <v>554</v>
      </c>
      <c r="O1504" s="175">
        <v>44012.0</v>
      </c>
      <c r="P1504" s="164">
        <f t="shared" si="13"/>
        <v>44010</v>
      </c>
      <c r="Q1504" s="165">
        <f t="shared" si="2"/>
        <v>0</v>
      </c>
      <c r="R1504" s="167"/>
      <c r="S1504" s="167"/>
      <c r="T1504" s="168">
        <f t="shared" si="3"/>
        <v>332603.18</v>
      </c>
      <c r="U1504" s="168">
        <f t="shared" si="4"/>
        <v>0</v>
      </c>
      <c r="V1504" s="168">
        <f t="shared" si="5"/>
        <v>0</v>
      </c>
      <c r="W1504" s="168">
        <f t="shared" si="6"/>
        <v>0</v>
      </c>
      <c r="X1504" s="168">
        <f t="shared" si="7"/>
        <v>0</v>
      </c>
      <c r="Y1504" s="168">
        <f t="shared" si="8"/>
        <v>0</v>
      </c>
      <c r="Z1504" s="168">
        <f t="shared" si="9"/>
        <v>0</v>
      </c>
    </row>
    <row r="1505" ht="14.25" customHeight="1">
      <c r="A1505" s="157" t="s">
        <v>1587</v>
      </c>
      <c r="B1505" s="158" t="s">
        <v>29</v>
      </c>
      <c r="C1505" s="158" t="s">
        <v>1579</v>
      </c>
      <c r="D1505" s="159">
        <v>44000.0</v>
      </c>
      <c r="E1505" s="157" t="s">
        <v>731</v>
      </c>
      <c r="F1505" s="160">
        <v>179217.15</v>
      </c>
      <c r="G1505" s="160">
        <v>28674.74</v>
      </c>
      <c r="H1505" s="160">
        <f t="shared" si="45"/>
        <v>207891.89</v>
      </c>
      <c r="I1505" s="160"/>
      <c r="J1505" s="161"/>
      <c r="K1505" s="160"/>
      <c r="L1505" s="160">
        <f>+'FACP$'!$H1505-'FACP$'!$I1505-'FACP$'!$K1505</f>
        <v>207891.89</v>
      </c>
      <c r="M1505" s="162" t="s">
        <v>130</v>
      </c>
      <c r="N1505" s="162" t="s">
        <v>554</v>
      </c>
      <c r="O1505" s="175">
        <v>44011.0</v>
      </c>
      <c r="P1505" s="164">
        <f t="shared" si="13"/>
        <v>44010</v>
      </c>
      <c r="Q1505" s="165">
        <f t="shared" si="2"/>
        <v>0</v>
      </c>
      <c r="R1505" s="167"/>
      <c r="S1505" s="167"/>
      <c r="T1505" s="168">
        <f t="shared" si="3"/>
        <v>207891.89</v>
      </c>
      <c r="U1505" s="168">
        <f t="shared" si="4"/>
        <v>0</v>
      </c>
      <c r="V1505" s="168">
        <f t="shared" si="5"/>
        <v>0</v>
      </c>
      <c r="W1505" s="168">
        <f t="shared" si="6"/>
        <v>0</v>
      </c>
      <c r="X1505" s="168">
        <f t="shared" si="7"/>
        <v>0</v>
      </c>
      <c r="Y1505" s="168">
        <f t="shared" si="8"/>
        <v>0</v>
      </c>
      <c r="Z1505" s="168">
        <f t="shared" si="9"/>
        <v>0</v>
      </c>
    </row>
    <row r="1506" ht="14.25" customHeight="1">
      <c r="A1506" s="157" t="s">
        <v>1588</v>
      </c>
      <c r="B1506" s="158" t="s">
        <v>29</v>
      </c>
      <c r="C1506" s="158" t="s">
        <v>1586</v>
      </c>
      <c r="D1506" s="159">
        <v>44000.0</v>
      </c>
      <c r="E1506" s="157" t="s">
        <v>731</v>
      </c>
      <c r="F1506" s="160">
        <v>304527.38</v>
      </c>
      <c r="G1506" s="160">
        <v>48724.38</v>
      </c>
      <c r="H1506" s="160">
        <f t="shared" si="45"/>
        <v>353251.76</v>
      </c>
      <c r="I1506" s="160"/>
      <c r="J1506" s="161"/>
      <c r="K1506" s="160"/>
      <c r="L1506" s="160">
        <f>+'FACP$'!$H1506-'FACP$'!$I1506-'FACP$'!$K1506</f>
        <v>353251.76</v>
      </c>
      <c r="M1506" s="162" t="s">
        <v>130</v>
      </c>
      <c r="N1506" s="162" t="s">
        <v>554</v>
      </c>
      <c r="O1506" s="175">
        <v>44011.0</v>
      </c>
      <c r="P1506" s="164">
        <f t="shared" si="13"/>
        <v>44010</v>
      </c>
      <c r="Q1506" s="165">
        <f t="shared" si="2"/>
        <v>0</v>
      </c>
      <c r="R1506" s="167"/>
      <c r="S1506" s="167"/>
      <c r="T1506" s="168">
        <f t="shared" si="3"/>
        <v>353251.76</v>
      </c>
      <c r="U1506" s="168">
        <f t="shared" si="4"/>
        <v>0</v>
      </c>
      <c r="V1506" s="168">
        <f t="shared" si="5"/>
        <v>0</v>
      </c>
      <c r="W1506" s="168">
        <f t="shared" si="6"/>
        <v>0</v>
      </c>
      <c r="X1506" s="168">
        <f t="shared" si="7"/>
        <v>0</v>
      </c>
      <c r="Y1506" s="168">
        <f t="shared" si="8"/>
        <v>0</v>
      </c>
      <c r="Z1506" s="168">
        <f t="shared" si="9"/>
        <v>0</v>
      </c>
    </row>
    <row r="1507" ht="14.25" customHeight="1">
      <c r="A1507" s="157" t="s">
        <v>1589</v>
      </c>
      <c r="B1507" s="158" t="s">
        <v>18</v>
      </c>
      <c r="C1507" s="158" t="s">
        <v>1579</v>
      </c>
      <c r="D1507" s="159">
        <v>44000.0</v>
      </c>
      <c r="E1507" s="157" t="s">
        <v>731</v>
      </c>
      <c r="F1507" s="160">
        <v>72785.26</v>
      </c>
      <c r="G1507" s="160">
        <v>11645.64</v>
      </c>
      <c r="H1507" s="160">
        <f t="shared" si="45"/>
        <v>84430.9</v>
      </c>
      <c r="I1507" s="160"/>
      <c r="J1507" s="161"/>
      <c r="K1507" s="160"/>
      <c r="L1507" s="160">
        <f>+'FACP$'!$H1507-'FACP$'!$I1507-'FACP$'!$K1507</f>
        <v>84430.9</v>
      </c>
      <c r="M1507" s="162" t="s">
        <v>586</v>
      </c>
      <c r="N1507" s="162" t="s">
        <v>554</v>
      </c>
      <c r="O1507" s="175">
        <v>44012.0</v>
      </c>
      <c r="P1507" s="164">
        <f t="shared" si="13"/>
        <v>44010</v>
      </c>
      <c r="Q1507" s="165">
        <f t="shared" si="2"/>
        <v>0</v>
      </c>
      <c r="R1507" s="167"/>
      <c r="S1507" s="167" t="s">
        <v>910</v>
      </c>
      <c r="T1507" s="168">
        <f t="shared" si="3"/>
        <v>84430.9</v>
      </c>
      <c r="U1507" s="168">
        <f t="shared" si="4"/>
        <v>0</v>
      </c>
      <c r="V1507" s="168">
        <f t="shared" si="5"/>
        <v>0</v>
      </c>
      <c r="W1507" s="168">
        <f t="shared" si="6"/>
        <v>0</v>
      </c>
      <c r="X1507" s="168">
        <f t="shared" si="7"/>
        <v>0</v>
      </c>
      <c r="Y1507" s="168">
        <f t="shared" si="8"/>
        <v>0</v>
      </c>
      <c r="Z1507" s="168">
        <f t="shared" si="9"/>
        <v>0</v>
      </c>
    </row>
    <row r="1508" ht="14.25" customHeight="1">
      <c r="A1508" s="157" t="s">
        <v>1590</v>
      </c>
      <c r="B1508" s="158" t="s">
        <v>37</v>
      </c>
      <c r="C1508" s="158" t="s">
        <v>1591</v>
      </c>
      <c r="D1508" s="159">
        <v>44004.0</v>
      </c>
      <c r="E1508" s="157" t="s">
        <v>731</v>
      </c>
      <c r="F1508" s="160">
        <v>38376.0</v>
      </c>
      <c r="G1508" s="168">
        <v>6140.16</v>
      </c>
      <c r="H1508" s="160">
        <f t="shared" si="45"/>
        <v>44516.16</v>
      </c>
      <c r="I1508" s="160"/>
      <c r="J1508" s="161"/>
      <c r="K1508" s="160"/>
      <c r="L1508" s="160">
        <f>+'FACP$'!$H1508-'FACP$'!$I1508-'FACP$'!$K1508</f>
        <v>44516.16</v>
      </c>
      <c r="M1508" s="162" t="s">
        <v>116</v>
      </c>
      <c r="N1508" s="162" t="s">
        <v>127</v>
      </c>
      <c r="O1508" s="175"/>
      <c r="P1508" s="164">
        <f t="shared" si="13"/>
        <v>44014</v>
      </c>
      <c r="Q1508" s="165">
        <f t="shared" si="2"/>
        <v>0</v>
      </c>
      <c r="R1508" s="167"/>
      <c r="S1508" s="167"/>
      <c r="T1508" s="168">
        <f t="shared" si="3"/>
        <v>44516.16</v>
      </c>
      <c r="U1508" s="168">
        <f t="shared" si="4"/>
        <v>0</v>
      </c>
      <c r="V1508" s="168">
        <f t="shared" si="5"/>
        <v>0</v>
      </c>
      <c r="W1508" s="168">
        <f t="shared" si="6"/>
        <v>0</v>
      </c>
      <c r="X1508" s="168">
        <f t="shared" si="7"/>
        <v>0</v>
      </c>
      <c r="Y1508" s="168">
        <f t="shared" si="8"/>
        <v>0</v>
      </c>
      <c r="Z1508" s="168">
        <f t="shared" si="9"/>
        <v>0</v>
      </c>
    </row>
    <row r="1509" ht="14.25" customHeight="1">
      <c r="A1509" s="157" t="s">
        <v>1592</v>
      </c>
      <c r="B1509" s="158" t="s">
        <v>127</v>
      </c>
      <c r="C1509" s="158"/>
      <c r="D1509" s="159"/>
      <c r="E1509" s="157"/>
      <c r="F1509" s="160">
        <v>36376.0</v>
      </c>
      <c r="G1509" s="160"/>
      <c r="H1509" s="160">
        <f t="shared" si="45"/>
        <v>36376</v>
      </c>
      <c r="I1509" s="160"/>
      <c r="J1509" s="161"/>
      <c r="K1509" s="160"/>
      <c r="L1509" s="160">
        <f>+'FACP$'!$H1509-'FACP$'!$I1509-'FACP$'!$K1509</f>
        <v>36376</v>
      </c>
      <c r="M1509" s="162"/>
      <c r="N1509" s="162" t="s">
        <v>127</v>
      </c>
      <c r="O1509" s="175"/>
      <c r="P1509" s="164">
        <f t="shared" si="13"/>
        <v>10</v>
      </c>
      <c r="Q1509" s="165">
        <f t="shared" si="2"/>
        <v>0</v>
      </c>
      <c r="R1509" s="167"/>
      <c r="S1509" s="167"/>
      <c r="T1509" s="168">
        <f t="shared" si="3"/>
        <v>36376</v>
      </c>
      <c r="U1509" s="168">
        <f t="shared" si="4"/>
        <v>0</v>
      </c>
      <c r="V1509" s="168">
        <f t="shared" si="5"/>
        <v>0</v>
      </c>
      <c r="W1509" s="168">
        <f t="shared" si="6"/>
        <v>0</v>
      </c>
      <c r="X1509" s="168">
        <f t="shared" si="7"/>
        <v>0</v>
      </c>
      <c r="Y1509" s="168">
        <f t="shared" si="8"/>
        <v>0</v>
      </c>
      <c r="Z1509" s="168">
        <f t="shared" si="9"/>
        <v>0</v>
      </c>
    </row>
    <row r="1510" ht="14.25" customHeight="1">
      <c r="A1510" s="157" t="s">
        <v>1593</v>
      </c>
      <c r="B1510" s="158" t="s">
        <v>37</v>
      </c>
      <c r="C1510" s="158" t="s">
        <v>1591</v>
      </c>
      <c r="D1510" s="159">
        <v>44004.0</v>
      </c>
      <c r="E1510" s="157" t="s">
        <v>731</v>
      </c>
      <c r="F1510" s="160">
        <v>38376.0</v>
      </c>
      <c r="G1510" s="160">
        <v>6140.16</v>
      </c>
      <c r="H1510" s="160">
        <f t="shared" si="45"/>
        <v>44516.16</v>
      </c>
      <c r="I1510" s="160"/>
      <c r="J1510" s="161"/>
      <c r="K1510" s="160"/>
      <c r="L1510" s="160">
        <f>+'FACP$'!$H1510-'FACP$'!$I1510-'FACP$'!$K1510</f>
        <v>44516.16</v>
      </c>
      <c r="M1510" s="162" t="s">
        <v>116</v>
      </c>
      <c r="N1510" s="162" t="s">
        <v>554</v>
      </c>
      <c r="O1510" s="175">
        <v>44067.0</v>
      </c>
      <c r="P1510" s="164">
        <f t="shared" si="13"/>
        <v>44014</v>
      </c>
      <c r="Q1510" s="165">
        <f t="shared" si="2"/>
        <v>0</v>
      </c>
      <c r="R1510" s="167"/>
      <c r="S1510" s="167" t="s">
        <v>910</v>
      </c>
      <c r="T1510" s="168">
        <f t="shared" si="3"/>
        <v>44516.16</v>
      </c>
      <c r="U1510" s="168">
        <f t="shared" si="4"/>
        <v>0</v>
      </c>
      <c r="V1510" s="168">
        <f t="shared" si="5"/>
        <v>0</v>
      </c>
      <c r="W1510" s="168">
        <f t="shared" si="6"/>
        <v>0</v>
      </c>
      <c r="X1510" s="168">
        <f t="shared" si="7"/>
        <v>0</v>
      </c>
      <c r="Y1510" s="168">
        <f t="shared" si="8"/>
        <v>0</v>
      </c>
      <c r="Z1510" s="168">
        <f t="shared" si="9"/>
        <v>0</v>
      </c>
    </row>
    <row r="1511" ht="14.25" customHeight="1">
      <c r="A1511" s="157" t="s">
        <v>1594</v>
      </c>
      <c r="B1511" s="158" t="s">
        <v>37</v>
      </c>
      <c r="C1511" s="158" t="s">
        <v>1591</v>
      </c>
      <c r="D1511" s="159">
        <v>44004.0</v>
      </c>
      <c r="E1511" s="157" t="s">
        <v>731</v>
      </c>
      <c r="F1511" s="160">
        <v>38376.0</v>
      </c>
      <c r="G1511" s="160">
        <v>6140.16</v>
      </c>
      <c r="H1511" s="160">
        <f t="shared" si="45"/>
        <v>44516.16</v>
      </c>
      <c r="I1511" s="160"/>
      <c r="J1511" s="161"/>
      <c r="K1511" s="160"/>
      <c r="L1511" s="160">
        <f>+'FACP$'!$H1511-'FACP$'!$I1511-'FACP$'!$K1511</f>
        <v>44516.16</v>
      </c>
      <c r="M1511" s="162" t="s">
        <v>116</v>
      </c>
      <c r="N1511" s="162" t="s">
        <v>554</v>
      </c>
      <c r="O1511" s="175">
        <v>44067.0</v>
      </c>
      <c r="P1511" s="164">
        <f t="shared" si="13"/>
        <v>44014</v>
      </c>
      <c r="Q1511" s="165">
        <f t="shared" si="2"/>
        <v>0</v>
      </c>
      <c r="R1511" s="167"/>
      <c r="S1511" s="167" t="s">
        <v>910</v>
      </c>
      <c r="T1511" s="168">
        <f t="shared" si="3"/>
        <v>44516.16</v>
      </c>
      <c r="U1511" s="168">
        <f t="shared" si="4"/>
        <v>0</v>
      </c>
      <c r="V1511" s="168">
        <f t="shared" si="5"/>
        <v>0</v>
      </c>
      <c r="W1511" s="168">
        <f t="shared" si="6"/>
        <v>0</v>
      </c>
      <c r="X1511" s="168">
        <f t="shared" si="7"/>
        <v>0</v>
      </c>
      <c r="Y1511" s="168">
        <f t="shared" si="8"/>
        <v>0</v>
      </c>
      <c r="Z1511" s="168">
        <f t="shared" si="9"/>
        <v>0</v>
      </c>
    </row>
    <row r="1512" ht="14.25" customHeight="1">
      <c r="A1512" s="157" t="s">
        <v>1595</v>
      </c>
      <c r="B1512" s="158" t="s">
        <v>37</v>
      </c>
      <c r="C1512" s="158" t="s">
        <v>1591</v>
      </c>
      <c r="D1512" s="159">
        <v>44004.0</v>
      </c>
      <c r="E1512" s="157" t="s">
        <v>731</v>
      </c>
      <c r="F1512" s="160">
        <v>38376.0</v>
      </c>
      <c r="G1512" s="160">
        <v>6140.16</v>
      </c>
      <c r="H1512" s="160">
        <f t="shared" si="45"/>
        <v>44516.16</v>
      </c>
      <c r="I1512" s="160"/>
      <c r="J1512" s="161"/>
      <c r="K1512" s="160"/>
      <c r="L1512" s="160">
        <f>+'FACP$'!$H1512-'FACP$'!$I1512-'FACP$'!$K1512</f>
        <v>44516.16</v>
      </c>
      <c r="M1512" s="162" t="s">
        <v>116</v>
      </c>
      <c r="N1512" s="162" t="s">
        <v>554</v>
      </c>
      <c r="O1512" s="175">
        <v>44067.0</v>
      </c>
      <c r="P1512" s="164">
        <f t="shared" si="13"/>
        <v>44014</v>
      </c>
      <c r="Q1512" s="165">
        <f t="shared" si="2"/>
        <v>0</v>
      </c>
      <c r="R1512" s="167"/>
      <c r="S1512" s="167" t="s">
        <v>910</v>
      </c>
      <c r="T1512" s="168">
        <f t="shared" si="3"/>
        <v>44516.16</v>
      </c>
      <c r="U1512" s="168">
        <f t="shared" si="4"/>
        <v>0</v>
      </c>
      <c r="V1512" s="168">
        <f t="shared" si="5"/>
        <v>0</v>
      </c>
      <c r="W1512" s="168">
        <f t="shared" si="6"/>
        <v>0</v>
      </c>
      <c r="X1512" s="168">
        <f t="shared" si="7"/>
        <v>0</v>
      </c>
      <c r="Y1512" s="168">
        <f t="shared" si="8"/>
        <v>0</v>
      </c>
      <c r="Z1512" s="168">
        <f t="shared" si="9"/>
        <v>0</v>
      </c>
    </row>
    <row r="1513" ht="14.25" customHeight="1">
      <c r="A1513" s="157" t="s">
        <v>1596</v>
      </c>
      <c r="B1513" s="158" t="s">
        <v>37</v>
      </c>
      <c r="C1513" s="158" t="s">
        <v>1591</v>
      </c>
      <c r="D1513" s="159">
        <v>44004.0</v>
      </c>
      <c r="E1513" s="157" t="s">
        <v>731</v>
      </c>
      <c r="F1513" s="160">
        <v>38376.0</v>
      </c>
      <c r="G1513" s="160">
        <v>6140.16</v>
      </c>
      <c r="H1513" s="160">
        <f t="shared" si="45"/>
        <v>44516.16</v>
      </c>
      <c r="I1513" s="160"/>
      <c r="J1513" s="161"/>
      <c r="K1513" s="160"/>
      <c r="L1513" s="160">
        <f>+'FACP$'!$H1513-'FACP$'!$I1513-'FACP$'!$K1513</f>
        <v>44516.16</v>
      </c>
      <c r="M1513" s="162" t="s">
        <v>116</v>
      </c>
      <c r="N1513" s="162" t="s">
        <v>554</v>
      </c>
      <c r="O1513" s="175">
        <v>44067.0</v>
      </c>
      <c r="P1513" s="164">
        <f t="shared" si="13"/>
        <v>44014</v>
      </c>
      <c r="Q1513" s="165">
        <f t="shared" si="2"/>
        <v>0</v>
      </c>
      <c r="R1513" s="167"/>
      <c r="S1513" s="167" t="s">
        <v>910</v>
      </c>
      <c r="T1513" s="168">
        <f t="shared" si="3"/>
        <v>44516.16</v>
      </c>
      <c r="U1513" s="168">
        <f t="shared" si="4"/>
        <v>0</v>
      </c>
      <c r="V1513" s="168">
        <f t="shared" si="5"/>
        <v>0</v>
      </c>
      <c r="W1513" s="168">
        <f t="shared" si="6"/>
        <v>0</v>
      </c>
      <c r="X1513" s="168">
        <f t="shared" si="7"/>
        <v>0</v>
      </c>
      <c r="Y1513" s="168">
        <f t="shared" si="8"/>
        <v>0</v>
      </c>
      <c r="Z1513" s="168">
        <f t="shared" si="9"/>
        <v>0</v>
      </c>
    </row>
    <row r="1514" ht="14.25" customHeight="1">
      <c r="A1514" s="157" t="s">
        <v>1597</v>
      </c>
      <c r="B1514" s="158" t="s">
        <v>127</v>
      </c>
      <c r="C1514" s="158"/>
      <c r="D1514" s="159"/>
      <c r="E1514" s="157"/>
      <c r="F1514" s="160">
        <v>36376.0</v>
      </c>
      <c r="G1514" s="160"/>
      <c r="H1514" s="160">
        <f t="shared" si="45"/>
        <v>36376</v>
      </c>
      <c r="I1514" s="160"/>
      <c r="J1514" s="161"/>
      <c r="K1514" s="160"/>
      <c r="L1514" s="160">
        <f>+'FACP$'!$H1514-'FACP$'!$I1514-'FACP$'!$K1514</f>
        <v>36376</v>
      </c>
      <c r="M1514" s="162"/>
      <c r="N1514" s="162" t="s">
        <v>127</v>
      </c>
      <c r="O1514" s="175"/>
      <c r="P1514" s="164">
        <f t="shared" si="13"/>
        <v>10</v>
      </c>
      <c r="Q1514" s="165">
        <f t="shared" si="2"/>
        <v>0</v>
      </c>
      <c r="R1514" s="167"/>
      <c r="S1514" s="167"/>
      <c r="T1514" s="168">
        <f t="shared" si="3"/>
        <v>36376</v>
      </c>
      <c r="U1514" s="168">
        <f t="shared" si="4"/>
        <v>0</v>
      </c>
      <c r="V1514" s="168">
        <f t="shared" si="5"/>
        <v>0</v>
      </c>
      <c r="W1514" s="168">
        <f t="shared" si="6"/>
        <v>0</v>
      </c>
      <c r="X1514" s="168">
        <f t="shared" si="7"/>
        <v>0</v>
      </c>
      <c r="Y1514" s="168">
        <f t="shared" si="8"/>
        <v>0</v>
      </c>
      <c r="Z1514" s="168">
        <f t="shared" si="9"/>
        <v>0</v>
      </c>
    </row>
    <row r="1515" ht="14.25" customHeight="1">
      <c r="A1515" s="157" t="s">
        <v>1598</v>
      </c>
      <c r="B1515" s="158" t="s">
        <v>16</v>
      </c>
      <c r="C1515" s="158" t="s">
        <v>1591</v>
      </c>
      <c r="D1515" s="159">
        <v>44004.0</v>
      </c>
      <c r="E1515" s="157" t="s">
        <v>731</v>
      </c>
      <c r="F1515" s="160">
        <v>11316.0</v>
      </c>
      <c r="G1515" s="160">
        <v>1810.56</v>
      </c>
      <c r="H1515" s="160">
        <f t="shared" si="45"/>
        <v>13126.56</v>
      </c>
      <c r="I1515" s="160"/>
      <c r="J1515" s="161"/>
      <c r="K1515" s="160"/>
      <c r="L1515" s="160">
        <f>+'FACP$'!$H1515-'FACP$'!$I1515-'FACP$'!$K1515</f>
        <v>13126.56</v>
      </c>
      <c r="M1515" s="162" t="s">
        <v>985</v>
      </c>
      <c r="N1515" s="162" t="s">
        <v>554</v>
      </c>
      <c r="O1515" s="175">
        <v>44062.0</v>
      </c>
      <c r="P1515" s="164">
        <f t="shared" si="13"/>
        <v>44014</v>
      </c>
      <c r="Q1515" s="165">
        <f t="shared" si="2"/>
        <v>0</v>
      </c>
      <c r="R1515" s="167"/>
      <c r="S1515" s="167"/>
      <c r="T1515" s="168">
        <f t="shared" si="3"/>
        <v>13126.56</v>
      </c>
      <c r="U1515" s="168">
        <f t="shared" si="4"/>
        <v>0</v>
      </c>
      <c r="V1515" s="168">
        <f t="shared" si="5"/>
        <v>0</v>
      </c>
      <c r="W1515" s="168">
        <f t="shared" si="6"/>
        <v>0</v>
      </c>
      <c r="X1515" s="168">
        <f t="shared" si="7"/>
        <v>0</v>
      </c>
      <c r="Y1515" s="168">
        <f t="shared" si="8"/>
        <v>0</v>
      </c>
      <c r="Z1515" s="168">
        <f t="shared" si="9"/>
        <v>0</v>
      </c>
    </row>
    <row r="1516" ht="14.25" customHeight="1">
      <c r="A1516" s="157" t="s">
        <v>1599</v>
      </c>
      <c r="B1516" s="158" t="s">
        <v>37</v>
      </c>
      <c r="C1516" s="158" t="s">
        <v>1591</v>
      </c>
      <c r="D1516" s="159">
        <v>44005.0</v>
      </c>
      <c r="E1516" s="157" t="s">
        <v>731</v>
      </c>
      <c r="F1516" s="160">
        <v>38376.0</v>
      </c>
      <c r="G1516" s="160">
        <v>6140.16</v>
      </c>
      <c r="H1516" s="160">
        <f t="shared" si="45"/>
        <v>44516.16</v>
      </c>
      <c r="I1516" s="160"/>
      <c r="J1516" s="161"/>
      <c r="K1516" s="160"/>
      <c r="L1516" s="160">
        <f>+'FACP$'!$H1516-'FACP$'!$I1516-'FACP$'!$K1516</f>
        <v>44516.16</v>
      </c>
      <c r="M1516" s="162" t="s">
        <v>116</v>
      </c>
      <c r="N1516" s="162" t="s">
        <v>554</v>
      </c>
      <c r="O1516" s="175">
        <v>44067.0</v>
      </c>
      <c r="P1516" s="164">
        <f t="shared" si="13"/>
        <v>44015</v>
      </c>
      <c r="Q1516" s="165">
        <f t="shared" si="2"/>
        <v>0</v>
      </c>
      <c r="R1516" s="167"/>
      <c r="S1516" s="167" t="s">
        <v>910</v>
      </c>
      <c r="T1516" s="168">
        <f t="shared" si="3"/>
        <v>44516.16</v>
      </c>
      <c r="U1516" s="168">
        <f t="shared" si="4"/>
        <v>0</v>
      </c>
      <c r="V1516" s="168">
        <f t="shared" si="5"/>
        <v>0</v>
      </c>
      <c r="W1516" s="168">
        <f t="shared" si="6"/>
        <v>0</v>
      </c>
      <c r="X1516" s="168">
        <f t="shared" si="7"/>
        <v>0</v>
      </c>
      <c r="Y1516" s="168">
        <f t="shared" si="8"/>
        <v>0</v>
      </c>
      <c r="Z1516" s="168">
        <f t="shared" si="9"/>
        <v>0</v>
      </c>
    </row>
    <row r="1517" ht="14.25" customHeight="1">
      <c r="A1517" s="157" t="s">
        <v>1600</v>
      </c>
      <c r="B1517" s="158" t="s">
        <v>37</v>
      </c>
      <c r="C1517" s="158" t="s">
        <v>1591</v>
      </c>
      <c r="D1517" s="159">
        <v>44005.0</v>
      </c>
      <c r="E1517" s="157" t="s">
        <v>731</v>
      </c>
      <c r="F1517" s="160">
        <v>38376.0</v>
      </c>
      <c r="G1517" s="160">
        <v>6140.16</v>
      </c>
      <c r="H1517" s="160">
        <f t="shared" si="45"/>
        <v>44516.16</v>
      </c>
      <c r="I1517" s="160"/>
      <c r="J1517" s="161"/>
      <c r="K1517" s="160"/>
      <c r="L1517" s="160">
        <f>+'FACP$'!$H1517-'FACP$'!$I1517-'FACP$'!$K1517</f>
        <v>44516.16</v>
      </c>
      <c r="M1517" s="162" t="s">
        <v>116</v>
      </c>
      <c r="N1517" s="162" t="s">
        <v>554</v>
      </c>
      <c r="O1517" s="175">
        <v>44067.0</v>
      </c>
      <c r="P1517" s="164">
        <f t="shared" si="13"/>
        <v>44015</v>
      </c>
      <c r="Q1517" s="165">
        <f t="shared" si="2"/>
        <v>0</v>
      </c>
      <c r="R1517" s="167"/>
      <c r="S1517" s="167" t="s">
        <v>910</v>
      </c>
      <c r="T1517" s="168">
        <f t="shared" si="3"/>
        <v>44516.16</v>
      </c>
      <c r="U1517" s="168">
        <f t="shared" si="4"/>
        <v>0</v>
      </c>
      <c r="V1517" s="168">
        <f t="shared" si="5"/>
        <v>0</v>
      </c>
      <c r="W1517" s="168">
        <f t="shared" si="6"/>
        <v>0</v>
      </c>
      <c r="X1517" s="168">
        <f t="shared" si="7"/>
        <v>0</v>
      </c>
      <c r="Y1517" s="168">
        <f t="shared" si="8"/>
        <v>0</v>
      </c>
      <c r="Z1517" s="168">
        <f t="shared" si="9"/>
        <v>0</v>
      </c>
    </row>
    <row r="1518" ht="14.25" customHeight="1">
      <c r="A1518" s="157" t="s">
        <v>1601</v>
      </c>
      <c r="B1518" s="158" t="s">
        <v>37</v>
      </c>
      <c r="C1518" s="158" t="s">
        <v>1591</v>
      </c>
      <c r="D1518" s="159">
        <v>44005.0</v>
      </c>
      <c r="E1518" s="157" t="s">
        <v>731</v>
      </c>
      <c r="F1518" s="160">
        <v>38376.0</v>
      </c>
      <c r="G1518" s="160">
        <v>6140.16</v>
      </c>
      <c r="H1518" s="160">
        <f t="shared" si="45"/>
        <v>44516.16</v>
      </c>
      <c r="I1518" s="160"/>
      <c r="J1518" s="161"/>
      <c r="K1518" s="160"/>
      <c r="L1518" s="160">
        <f>+'FACP$'!$H1518-'FACP$'!$I1518-'FACP$'!$K1518</f>
        <v>44516.16</v>
      </c>
      <c r="M1518" s="162" t="s">
        <v>116</v>
      </c>
      <c r="N1518" s="162" t="s">
        <v>554</v>
      </c>
      <c r="O1518" s="175">
        <v>44067.0</v>
      </c>
      <c r="P1518" s="164">
        <f t="shared" si="13"/>
        <v>44015</v>
      </c>
      <c r="Q1518" s="165">
        <f t="shared" si="2"/>
        <v>0</v>
      </c>
      <c r="R1518" s="167"/>
      <c r="S1518" s="167" t="s">
        <v>910</v>
      </c>
      <c r="T1518" s="168">
        <f t="shared" si="3"/>
        <v>44516.16</v>
      </c>
      <c r="U1518" s="168">
        <f t="shared" si="4"/>
        <v>0</v>
      </c>
      <c r="V1518" s="168">
        <f t="shared" si="5"/>
        <v>0</v>
      </c>
      <c r="W1518" s="168">
        <f t="shared" si="6"/>
        <v>0</v>
      </c>
      <c r="X1518" s="168">
        <f t="shared" si="7"/>
        <v>0</v>
      </c>
      <c r="Y1518" s="168">
        <f t="shared" si="8"/>
        <v>0</v>
      </c>
      <c r="Z1518" s="168">
        <f t="shared" si="9"/>
        <v>0</v>
      </c>
    </row>
    <row r="1519" ht="14.25" customHeight="1">
      <c r="A1519" s="157" t="s">
        <v>1602</v>
      </c>
      <c r="B1519" s="158" t="s">
        <v>16</v>
      </c>
      <c r="C1519" s="158" t="s">
        <v>1591</v>
      </c>
      <c r="D1519" s="159">
        <v>44005.0</v>
      </c>
      <c r="E1519" s="157" t="s">
        <v>731</v>
      </c>
      <c r="F1519" s="160">
        <v>11316.0</v>
      </c>
      <c r="G1519" s="160">
        <v>1810.56</v>
      </c>
      <c r="H1519" s="160">
        <f t="shared" si="45"/>
        <v>13126.56</v>
      </c>
      <c r="I1519" s="160"/>
      <c r="J1519" s="161"/>
      <c r="K1519" s="160"/>
      <c r="L1519" s="160">
        <f>+'FACP$'!$H1519-'FACP$'!$I1519-'FACP$'!$K1519</f>
        <v>13126.56</v>
      </c>
      <c r="M1519" s="162" t="s">
        <v>985</v>
      </c>
      <c r="N1519" s="162" t="s">
        <v>554</v>
      </c>
      <c r="O1519" s="175">
        <v>44062.0</v>
      </c>
      <c r="P1519" s="164">
        <f t="shared" si="13"/>
        <v>44015</v>
      </c>
      <c r="Q1519" s="165">
        <f t="shared" si="2"/>
        <v>0</v>
      </c>
      <c r="R1519" s="167"/>
      <c r="S1519" s="167"/>
      <c r="T1519" s="168">
        <f t="shared" si="3"/>
        <v>13126.56</v>
      </c>
      <c r="U1519" s="168">
        <f t="shared" si="4"/>
        <v>0</v>
      </c>
      <c r="V1519" s="168">
        <f t="shared" si="5"/>
        <v>0</v>
      </c>
      <c r="W1519" s="168">
        <f t="shared" si="6"/>
        <v>0</v>
      </c>
      <c r="X1519" s="168">
        <f t="shared" si="7"/>
        <v>0</v>
      </c>
      <c r="Y1519" s="168">
        <f t="shared" si="8"/>
        <v>0</v>
      </c>
      <c r="Z1519" s="168">
        <f t="shared" si="9"/>
        <v>0</v>
      </c>
    </row>
    <row r="1520" ht="14.25" customHeight="1">
      <c r="A1520" s="157" t="s">
        <v>1603</v>
      </c>
      <c r="B1520" s="158" t="s">
        <v>29</v>
      </c>
      <c r="C1520" s="158" t="s">
        <v>1591</v>
      </c>
      <c r="D1520" s="159">
        <v>44006.0</v>
      </c>
      <c r="E1520" s="157" t="s">
        <v>731</v>
      </c>
      <c r="F1520" s="160">
        <v>19188.0</v>
      </c>
      <c r="G1520" s="160">
        <v>3070.08</v>
      </c>
      <c r="H1520" s="160">
        <f t="shared" si="45"/>
        <v>22258.08</v>
      </c>
      <c r="I1520" s="160"/>
      <c r="J1520" s="161"/>
      <c r="K1520" s="160"/>
      <c r="L1520" s="160">
        <f>+'FACP$'!$H1520-'FACP$'!$I1520-'FACP$'!$K1520</f>
        <v>22258.08</v>
      </c>
      <c r="M1520" s="162" t="s">
        <v>130</v>
      </c>
      <c r="N1520" s="162" t="s">
        <v>554</v>
      </c>
      <c r="O1520" s="175">
        <v>44067.0</v>
      </c>
      <c r="P1520" s="164">
        <f t="shared" si="13"/>
        <v>44016</v>
      </c>
      <c r="Q1520" s="165">
        <f t="shared" si="2"/>
        <v>0</v>
      </c>
      <c r="R1520" s="167"/>
      <c r="S1520" s="167"/>
      <c r="T1520" s="168">
        <f t="shared" si="3"/>
        <v>22258.08</v>
      </c>
      <c r="U1520" s="168">
        <f t="shared" si="4"/>
        <v>0</v>
      </c>
      <c r="V1520" s="168">
        <f t="shared" si="5"/>
        <v>0</v>
      </c>
      <c r="W1520" s="168">
        <f t="shared" si="6"/>
        <v>0</v>
      </c>
      <c r="X1520" s="168">
        <f t="shared" si="7"/>
        <v>0</v>
      </c>
      <c r="Y1520" s="168">
        <f t="shared" si="8"/>
        <v>0</v>
      </c>
      <c r="Z1520" s="168">
        <f t="shared" si="9"/>
        <v>0</v>
      </c>
    </row>
    <row r="1521" ht="14.25" customHeight="1">
      <c r="A1521" s="157" t="s">
        <v>1604</v>
      </c>
      <c r="B1521" s="158" t="s">
        <v>16</v>
      </c>
      <c r="C1521" s="158" t="s">
        <v>1591</v>
      </c>
      <c r="D1521" s="159">
        <v>44006.0</v>
      </c>
      <c r="E1521" s="157" t="s">
        <v>731</v>
      </c>
      <c r="F1521" s="160">
        <v>11316.0</v>
      </c>
      <c r="G1521" s="160">
        <v>1810.56</v>
      </c>
      <c r="H1521" s="160">
        <f t="shared" si="45"/>
        <v>13126.56</v>
      </c>
      <c r="I1521" s="160"/>
      <c r="J1521" s="161"/>
      <c r="K1521" s="160"/>
      <c r="L1521" s="160">
        <f>+'FACP$'!$H1521-'FACP$'!$I1521-'FACP$'!$K1521</f>
        <v>13126.56</v>
      </c>
      <c r="M1521" s="162" t="s">
        <v>985</v>
      </c>
      <c r="N1521" s="162" t="s">
        <v>554</v>
      </c>
      <c r="O1521" s="175">
        <v>44062.0</v>
      </c>
      <c r="P1521" s="164">
        <f t="shared" si="13"/>
        <v>44016</v>
      </c>
      <c r="Q1521" s="165">
        <f t="shared" si="2"/>
        <v>0</v>
      </c>
      <c r="R1521" s="167"/>
      <c r="S1521" s="167"/>
      <c r="T1521" s="168">
        <f t="shared" si="3"/>
        <v>13126.56</v>
      </c>
      <c r="U1521" s="168">
        <f t="shared" si="4"/>
        <v>0</v>
      </c>
      <c r="V1521" s="168">
        <f t="shared" si="5"/>
        <v>0</v>
      </c>
      <c r="W1521" s="168">
        <f t="shared" si="6"/>
        <v>0</v>
      </c>
      <c r="X1521" s="168">
        <f t="shared" si="7"/>
        <v>0</v>
      </c>
      <c r="Y1521" s="168">
        <f t="shared" si="8"/>
        <v>0</v>
      </c>
      <c r="Z1521" s="168">
        <f t="shared" si="9"/>
        <v>0</v>
      </c>
    </row>
    <row r="1522" ht="14.25" customHeight="1">
      <c r="A1522" s="157" t="s">
        <v>1605</v>
      </c>
      <c r="B1522" s="158" t="s">
        <v>16</v>
      </c>
      <c r="C1522" s="158" t="s">
        <v>1591</v>
      </c>
      <c r="D1522" s="159">
        <v>44006.0</v>
      </c>
      <c r="E1522" s="157" t="s">
        <v>731</v>
      </c>
      <c r="F1522" s="160">
        <v>38364.0</v>
      </c>
      <c r="G1522" s="160">
        <v>6138.24</v>
      </c>
      <c r="H1522" s="160">
        <f t="shared" si="45"/>
        <v>44502.24</v>
      </c>
      <c r="I1522" s="160"/>
      <c r="J1522" s="161"/>
      <c r="K1522" s="160"/>
      <c r="L1522" s="160">
        <f>+'FACP$'!$H1522-'FACP$'!$I1522-'FACP$'!$K1522</f>
        <v>44502.24</v>
      </c>
      <c r="M1522" s="162" t="s">
        <v>985</v>
      </c>
      <c r="N1522" s="162" t="s">
        <v>554</v>
      </c>
      <c r="O1522" s="175">
        <v>44062.0</v>
      </c>
      <c r="P1522" s="164">
        <f t="shared" si="13"/>
        <v>44016</v>
      </c>
      <c r="Q1522" s="165">
        <f t="shared" si="2"/>
        <v>0</v>
      </c>
      <c r="R1522" s="167"/>
      <c r="S1522" s="167"/>
      <c r="T1522" s="168">
        <f t="shared" si="3"/>
        <v>44502.24</v>
      </c>
      <c r="U1522" s="168">
        <f t="shared" si="4"/>
        <v>0</v>
      </c>
      <c r="V1522" s="168">
        <f t="shared" si="5"/>
        <v>0</v>
      </c>
      <c r="W1522" s="168">
        <f t="shared" si="6"/>
        <v>0</v>
      </c>
      <c r="X1522" s="168">
        <f t="shared" si="7"/>
        <v>0</v>
      </c>
      <c r="Y1522" s="168">
        <f t="shared" si="8"/>
        <v>0</v>
      </c>
      <c r="Z1522" s="168">
        <f t="shared" si="9"/>
        <v>0</v>
      </c>
    </row>
    <row r="1523" ht="14.25" customHeight="1">
      <c r="A1523" s="157" t="s">
        <v>1606</v>
      </c>
      <c r="B1523" s="158" t="s">
        <v>37</v>
      </c>
      <c r="C1523" s="158" t="s">
        <v>1591</v>
      </c>
      <c r="D1523" s="159">
        <v>44006.0</v>
      </c>
      <c r="E1523" s="157" t="s">
        <v>731</v>
      </c>
      <c r="F1523" s="160">
        <v>38376.0</v>
      </c>
      <c r="G1523" s="160">
        <v>6140.16</v>
      </c>
      <c r="H1523" s="160">
        <f t="shared" si="45"/>
        <v>44516.16</v>
      </c>
      <c r="I1523" s="160"/>
      <c r="J1523" s="161"/>
      <c r="K1523" s="160"/>
      <c r="L1523" s="160">
        <f>+'FACP$'!$H1523-'FACP$'!$I1523-'FACP$'!$K1523</f>
        <v>44516.16</v>
      </c>
      <c r="M1523" s="162" t="s">
        <v>116</v>
      </c>
      <c r="N1523" s="162" t="s">
        <v>554</v>
      </c>
      <c r="O1523" s="175">
        <v>44067.0</v>
      </c>
      <c r="P1523" s="164">
        <f t="shared" si="13"/>
        <v>44016</v>
      </c>
      <c r="Q1523" s="165">
        <f t="shared" si="2"/>
        <v>0</v>
      </c>
      <c r="R1523" s="167"/>
      <c r="S1523" s="167" t="s">
        <v>910</v>
      </c>
      <c r="T1523" s="168">
        <f t="shared" si="3"/>
        <v>44516.16</v>
      </c>
      <c r="U1523" s="168">
        <f t="shared" si="4"/>
        <v>0</v>
      </c>
      <c r="V1523" s="168">
        <f t="shared" si="5"/>
        <v>0</v>
      </c>
      <c r="W1523" s="168">
        <f t="shared" si="6"/>
        <v>0</v>
      </c>
      <c r="X1523" s="168">
        <f t="shared" si="7"/>
        <v>0</v>
      </c>
      <c r="Y1523" s="168">
        <f t="shared" si="8"/>
        <v>0</v>
      </c>
      <c r="Z1523" s="168">
        <f t="shared" si="9"/>
        <v>0</v>
      </c>
    </row>
    <row r="1524" ht="14.25" customHeight="1">
      <c r="A1524" s="157" t="s">
        <v>1607</v>
      </c>
      <c r="B1524" s="158" t="s">
        <v>37</v>
      </c>
      <c r="C1524" s="158" t="s">
        <v>1591</v>
      </c>
      <c r="D1524" s="159">
        <v>44006.0</v>
      </c>
      <c r="E1524" s="157" t="s">
        <v>731</v>
      </c>
      <c r="F1524" s="160">
        <v>38376.0</v>
      </c>
      <c r="G1524" s="160">
        <v>6140.16</v>
      </c>
      <c r="H1524" s="160">
        <f t="shared" si="45"/>
        <v>44516.16</v>
      </c>
      <c r="I1524" s="160"/>
      <c r="J1524" s="161"/>
      <c r="K1524" s="160"/>
      <c r="L1524" s="160">
        <f>+'FACP$'!$H1524-'FACP$'!$I1524-'FACP$'!$K1524</f>
        <v>44516.16</v>
      </c>
      <c r="M1524" s="162" t="s">
        <v>116</v>
      </c>
      <c r="N1524" s="162" t="s">
        <v>554</v>
      </c>
      <c r="O1524" s="175">
        <v>44067.0</v>
      </c>
      <c r="P1524" s="164">
        <f t="shared" si="13"/>
        <v>44016</v>
      </c>
      <c r="Q1524" s="165">
        <f t="shared" si="2"/>
        <v>0</v>
      </c>
      <c r="R1524" s="167"/>
      <c r="S1524" s="167" t="s">
        <v>910</v>
      </c>
      <c r="T1524" s="168">
        <f t="shared" si="3"/>
        <v>44516.16</v>
      </c>
      <c r="U1524" s="168">
        <f t="shared" si="4"/>
        <v>0</v>
      </c>
      <c r="V1524" s="168">
        <f t="shared" si="5"/>
        <v>0</v>
      </c>
      <c r="W1524" s="168">
        <f t="shared" si="6"/>
        <v>0</v>
      </c>
      <c r="X1524" s="168">
        <f t="shared" si="7"/>
        <v>0</v>
      </c>
      <c r="Y1524" s="168">
        <f t="shared" si="8"/>
        <v>0</v>
      </c>
      <c r="Z1524" s="168">
        <f t="shared" si="9"/>
        <v>0</v>
      </c>
    </row>
    <row r="1525" ht="14.25" customHeight="1">
      <c r="A1525" s="157" t="s">
        <v>1608</v>
      </c>
      <c r="B1525" s="158" t="s">
        <v>29</v>
      </c>
      <c r="C1525" s="158" t="s">
        <v>1591</v>
      </c>
      <c r="D1525" s="159">
        <v>44007.0</v>
      </c>
      <c r="E1525" s="157" t="s">
        <v>731</v>
      </c>
      <c r="F1525" s="160">
        <v>19188.0</v>
      </c>
      <c r="G1525" s="160">
        <v>3070.08</v>
      </c>
      <c r="H1525" s="160">
        <f t="shared" si="45"/>
        <v>22258.08</v>
      </c>
      <c r="I1525" s="160"/>
      <c r="J1525" s="161"/>
      <c r="K1525" s="160"/>
      <c r="L1525" s="160">
        <f>+'FACP$'!$H1525-'FACP$'!$I1525-'FACP$'!$K1525</f>
        <v>22258.08</v>
      </c>
      <c r="M1525" s="162" t="s">
        <v>130</v>
      </c>
      <c r="N1525" s="162" t="s">
        <v>554</v>
      </c>
      <c r="O1525" s="175">
        <v>44067.0</v>
      </c>
      <c r="P1525" s="164">
        <f t="shared" si="13"/>
        <v>44017</v>
      </c>
      <c r="Q1525" s="165">
        <f t="shared" si="2"/>
        <v>0</v>
      </c>
      <c r="R1525" s="167"/>
      <c r="S1525" s="167"/>
      <c r="T1525" s="168">
        <f t="shared" si="3"/>
        <v>22258.08</v>
      </c>
      <c r="U1525" s="168">
        <f t="shared" si="4"/>
        <v>0</v>
      </c>
      <c r="V1525" s="168">
        <f t="shared" si="5"/>
        <v>0</v>
      </c>
      <c r="W1525" s="168">
        <f t="shared" si="6"/>
        <v>0</v>
      </c>
      <c r="X1525" s="168">
        <f t="shared" si="7"/>
        <v>0</v>
      </c>
      <c r="Y1525" s="168">
        <f t="shared" si="8"/>
        <v>0</v>
      </c>
      <c r="Z1525" s="168">
        <f t="shared" si="9"/>
        <v>0</v>
      </c>
    </row>
    <row r="1526" ht="14.25" customHeight="1">
      <c r="A1526" s="157" t="s">
        <v>1609</v>
      </c>
      <c r="B1526" s="158" t="s">
        <v>37</v>
      </c>
      <c r="C1526" s="158" t="s">
        <v>1591</v>
      </c>
      <c r="D1526" s="159">
        <v>44007.0</v>
      </c>
      <c r="E1526" s="157" t="s">
        <v>731</v>
      </c>
      <c r="F1526" s="160">
        <v>38376.0</v>
      </c>
      <c r="G1526" s="160">
        <v>6140.16</v>
      </c>
      <c r="H1526" s="160">
        <f t="shared" si="45"/>
        <v>44516.16</v>
      </c>
      <c r="I1526" s="160"/>
      <c r="J1526" s="161"/>
      <c r="K1526" s="160"/>
      <c r="L1526" s="160">
        <f>+'FACP$'!$H1526-'FACP$'!$I1526-'FACP$'!$K1526</f>
        <v>44516.16</v>
      </c>
      <c r="M1526" s="162" t="s">
        <v>116</v>
      </c>
      <c r="N1526" s="162" t="s">
        <v>554</v>
      </c>
      <c r="O1526" s="175">
        <v>44067.0</v>
      </c>
      <c r="P1526" s="164">
        <f t="shared" si="13"/>
        <v>44017</v>
      </c>
      <c r="Q1526" s="165">
        <f t="shared" si="2"/>
        <v>0</v>
      </c>
      <c r="R1526" s="167"/>
      <c r="S1526" s="167" t="s">
        <v>910</v>
      </c>
      <c r="T1526" s="168">
        <f t="shared" si="3"/>
        <v>44516.16</v>
      </c>
      <c r="U1526" s="168">
        <f t="shared" si="4"/>
        <v>0</v>
      </c>
      <c r="V1526" s="168">
        <f t="shared" si="5"/>
        <v>0</v>
      </c>
      <c r="W1526" s="168">
        <f t="shared" si="6"/>
        <v>0</v>
      </c>
      <c r="X1526" s="168">
        <f t="shared" si="7"/>
        <v>0</v>
      </c>
      <c r="Y1526" s="168">
        <f t="shared" si="8"/>
        <v>0</v>
      </c>
      <c r="Z1526" s="168">
        <f t="shared" si="9"/>
        <v>0</v>
      </c>
    </row>
    <row r="1527" ht="14.25" customHeight="1">
      <c r="A1527" s="157" t="s">
        <v>1610</v>
      </c>
      <c r="B1527" s="158" t="s">
        <v>37</v>
      </c>
      <c r="C1527" s="158" t="s">
        <v>1591</v>
      </c>
      <c r="D1527" s="159">
        <v>44007.0</v>
      </c>
      <c r="E1527" s="157" t="s">
        <v>731</v>
      </c>
      <c r="F1527" s="160">
        <v>38376.0</v>
      </c>
      <c r="G1527" s="160">
        <v>6140.16</v>
      </c>
      <c r="H1527" s="160">
        <f t="shared" si="45"/>
        <v>44516.16</v>
      </c>
      <c r="I1527" s="160"/>
      <c r="J1527" s="161"/>
      <c r="K1527" s="160"/>
      <c r="L1527" s="160">
        <f>+'FACP$'!$H1527-'FACP$'!$I1527-'FACP$'!$K1527</f>
        <v>44516.16</v>
      </c>
      <c r="M1527" s="162" t="s">
        <v>116</v>
      </c>
      <c r="N1527" s="162" t="s">
        <v>554</v>
      </c>
      <c r="O1527" s="175">
        <v>44067.0</v>
      </c>
      <c r="P1527" s="164">
        <f t="shared" si="13"/>
        <v>44017</v>
      </c>
      <c r="Q1527" s="165">
        <f t="shared" si="2"/>
        <v>0</v>
      </c>
      <c r="R1527" s="167"/>
      <c r="S1527" s="167" t="s">
        <v>910</v>
      </c>
      <c r="T1527" s="168">
        <f t="shared" si="3"/>
        <v>44516.16</v>
      </c>
      <c r="U1527" s="168">
        <f t="shared" si="4"/>
        <v>0</v>
      </c>
      <c r="V1527" s="168">
        <f t="shared" si="5"/>
        <v>0</v>
      </c>
      <c r="W1527" s="168">
        <f t="shared" si="6"/>
        <v>0</v>
      </c>
      <c r="X1527" s="168">
        <f t="shared" si="7"/>
        <v>0</v>
      </c>
      <c r="Y1527" s="168">
        <f t="shared" si="8"/>
        <v>0</v>
      </c>
      <c r="Z1527" s="168">
        <f t="shared" si="9"/>
        <v>0</v>
      </c>
    </row>
    <row r="1528" ht="14.25" customHeight="1">
      <c r="A1528" s="157" t="s">
        <v>1611</v>
      </c>
      <c r="B1528" s="158" t="s">
        <v>16</v>
      </c>
      <c r="C1528" s="158" t="s">
        <v>1591</v>
      </c>
      <c r="D1528" s="159">
        <v>44007.0</v>
      </c>
      <c r="E1528" s="157" t="s">
        <v>731</v>
      </c>
      <c r="F1528" s="160">
        <v>11316.0</v>
      </c>
      <c r="G1528" s="160">
        <v>1810.56</v>
      </c>
      <c r="H1528" s="160">
        <f t="shared" si="45"/>
        <v>13126.56</v>
      </c>
      <c r="I1528" s="160"/>
      <c r="J1528" s="161"/>
      <c r="K1528" s="160"/>
      <c r="L1528" s="160">
        <f>+'FACP$'!$H1528-'FACP$'!$I1528-'FACP$'!$K1528</f>
        <v>13126.56</v>
      </c>
      <c r="M1528" s="162" t="s">
        <v>985</v>
      </c>
      <c r="N1528" s="162" t="s">
        <v>127</v>
      </c>
      <c r="O1528" s="175"/>
      <c r="P1528" s="164">
        <f t="shared" si="13"/>
        <v>44017</v>
      </c>
      <c r="Q1528" s="165">
        <f t="shared" si="2"/>
        <v>0</v>
      </c>
      <c r="R1528" s="167"/>
      <c r="S1528" s="167"/>
      <c r="T1528" s="168">
        <f t="shared" si="3"/>
        <v>13126.56</v>
      </c>
      <c r="U1528" s="168">
        <f t="shared" si="4"/>
        <v>0</v>
      </c>
      <c r="V1528" s="168">
        <f t="shared" si="5"/>
        <v>0</v>
      </c>
      <c r="W1528" s="168">
        <f t="shared" si="6"/>
        <v>0</v>
      </c>
      <c r="X1528" s="168">
        <f t="shared" si="7"/>
        <v>0</v>
      </c>
      <c r="Y1528" s="168">
        <f t="shared" si="8"/>
        <v>0</v>
      </c>
      <c r="Z1528" s="168">
        <f t="shared" si="9"/>
        <v>0</v>
      </c>
    </row>
    <row r="1529" ht="14.25" customHeight="1">
      <c r="A1529" s="157" t="s">
        <v>1612</v>
      </c>
      <c r="B1529" s="158" t="s">
        <v>127</v>
      </c>
      <c r="C1529" s="158"/>
      <c r="D1529" s="159"/>
      <c r="E1529" s="157"/>
      <c r="F1529" s="160"/>
      <c r="G1529" s="160"/>
      <c r="H1529" s="160">
        <f t="shared" si="45"/>
        <v>0</v>
      </c>
      <c r="I1529" s="160"/>
      <c r="J1529" s="161"/>
      <c r="K1529" s="160"/>
      <c r="L1529" s="160">
        <f>+'FACP$'!$H1529-'FACP$'!$I1529-'FACP$'!$K1529</f>
        <v>0</v>
      </c>
      <c r="M1529" s="162"/>
      <c r="N1529" s="162" t="s">
        <v>127</v>
      </c>
      <c r="O1529" s="175"/>
      <c r="P1529" s="164">
        <f t="shared" si="13"/>
        <v>10</v>
      </c>
      <c r="Q1529" s="165">
        <f t="shared" si="2"/>
        <v>0</v>
      </c>
      <c r="R1529" s="167"/>
      <c r="S1529" s="167"/>
      <c r="T1529" s="168">
        <f t="shared" si="3"/>
        <v>0</v>
      </c>
      <c r="U1529" s="168">
        <f t="shared" si="4"/>
        <v>0</v>
      </c>
      <c r="V1529" s="168">
        <f t="shared" si="5"/>
        <v>0</v>
      </c>
      <c r="W1529" s="168">
        <f t="shared" si="6"/>
        <v>0</v>
      </c>
      <c r="X1529" s="168">
        <f t="shared" si="7"/>
        <v>0</v>
      </c>
      <c r="Y1529" s="168">
        <f t="shared" si="8"/>
        <v>0</v>
      </c>
      <c r="Z1529" s="168">
        <f t="shared" si="9"/>
        <v>0</v>
      </c>
    </row>
    <row r="1530" ht="14.25" customHeight="1">
      <c r="A1530" s="157" t="s">
        <v>1613</v>
      </c>
      <c r="B1530" s="158" t="s">
        <v>16</v>
      </c>
      <c r="C1530" s="158" t="s">
        <v>1591</v>
      </c>
      <c r="D1530" s="159">
        <v>44007.0</v>
      </c>
      <c r="E1530" s="157" t="s">
        <v>731</v>
      </c>
      <c r="F1530" s="160">
        <v>11316.0</v>
      </c>
      <c r="G1530" s="160">
        <v>1810.56</v>
      </c>
      <c r="H1530" s="160">
        <f t="shared" si="45"/>
        <v>13126.56</v>
      </c>
      <c r="I1530" s="160"/>
      <c r="J1530" s="161"/>
      <c r="K1530" s="160"/>
      <c r="L1530" s="160">
        <f>+'FACP$'!$H1530-'FACP$'!$I1530-'FACP$'!$K1530</f>
        <v>13126.56</v>
      </c>
      <c r="M1530" s="162" t="s">
        <v>985</v>
      </c>
      <c r="N1530" s="162" t="s">
        <v>127</v>
      </c>
      <c r="O1530" s="175"/>
      <c r="P1530" s="164">
        <f t="shared" si="13"/>
        <v>44017</v>
      </c>
      <c r="Q1530" s="165">
        <f t="shared" si="2"/>
        <v>0</v>
      </c>
      <c r="R1530" s="167"/>
      <c r="S1530" s="167"/>
      <c r="T1530" s="168">
        <f t="shared" si="3"/>
        <v>13126.56</v>
      </c>
      <c r="U1530" s="168">
        <f t="shared" si="4"/>
        <v>0</v>
      </c>
      <c r="V1530" s="168">
        <f t="shared" si="5"/>
        <v>0</v>
      </c>
      <c r="W1530" s="168">
        <f t="shared" si="6"/>
        <v>0</v>
      </c>
      <c r="X1530" s="168">
        <f t="shared" si="7"/>
        <v>0</v>
      </c>
      <c r="Y1530" s="168">
        <f t="shared" si="8"/>
        <v>0</v>
      </c>
      <c r="Z1530" s="168">
        <f t="shared" si="9"/>
        <v>0</v>
      </c>
    </row>
    <row r="1531" ht="14.25" customHeight="1">
      <c r="A1531" s="157" t="s">
        <v>1614</v>
      </c>
      <c r="B1531" s="158" t="s">
        <v>27</v>
      </c>
      <c r="C1531" s="158" t="s">
        <v>1615</v>
      </c>
      <c r="D1531" s="159">
        <v>44007.0</v>
      </c>
      <c r="E1531" s="157" t="s">
        <v>731</v>
      </c>
      <c r="F1531" s="160">
        <v>499520.19</v>
      </c>
      <c r="G1531" s="160">
        <v>79923.23</v>
      </c>
      <c r="H1531" s="160">
        <f t="shared" si="45"/>
        <v>579443.42</v>
      </c>
      <c r="I1531" s="160"/>
      <c r="J1531" s="161"/>
      <c r="K1531" s="160"/>
      <c r="L1531" s="160">
        <f>+'FACP$'!$H1531-'FACP$'!$I1531-'FACP$'!$K1531</f>
        <v>579443.42</v>
      </c>
      <c r="M1531" s="162" t="s">
        <v>969</v>
      </c>
      <c r="N1531" s="162" t="s">
        <v>554</v>
      </c>
      <c r="O1531" s="175">
        <v>44047.0</v>
      </c>
      <c r="P1531" s="164">
        <f t="shared" si="13"/>
        <v>44017</v>
      </c>
      <c r="Q1531" s="165">
        <f t="shared" si="2"/>
        <v>0</v>
      </c>
      <c r="R1531" s="167"/>
      <c r="S1531" s="167" t="s">
        <v>910</v>
      </c>
      <c r="T1531" s="168">
        <f t="shared" si="3"/>
        <v>579443.42</v>
      </c>
      <c r="U1531" s="168">
        <f t="shared" si="4"/>
        <v>0</v>
      </c>
      <c r="V1531" s="168">
        <f t="shared" si="5"/>
        <v>0</v>
      </c>
      <c r="W1531" s="168">
        <f t="shared" si="6"/>
        <v>0</v>
      </c>
      <c r="X1531" s="168">
        <f t="shared" si="7"/>
        <v>0</v>
      </c>
      <c r="Y1531" s="168">
        <f t="shared" si="8"/>
        <v>0</v>
      </c>
      <c r="Z1531" s="168">
        <f t="shared" si="9"/>
        <v>0</v>
      </c>
    </row>
    <row r="1532" ht="14.25" customHeight="1">
      <c r="A1532" s="157" t="s">
        <v>1616</v>
      </c>
      <c r="B1532" s="158" t="s">
        <v>27</v>
      </c>
      <c r="C1532" s="158" t="s">
        <v>1617</v>
      </c>
      <c r="D1532" s="159">
        <v>44007.0</v>
      </c>
      <c r="E1532" s="157" t="s">
        <v>731</v>
      </c>
      <c r="F1532" s="160">
        <v>440225.59</v>
      </c>
      <c r="G1532" s="160">
        <v>70436.09</v>
      </c>
      <c r="H1532" s="160">
        <f t="shared" si="45"/>
        <v>510661.68</v>
      </c>
      <c r="I1532" s="160"/>
      <c r="J1532" s="161"/>
      <c r="K1532" s="160"/>
      <c r="L1532" s="160">
        <f>+'FACP$'!$H1532-'FACP$'!$I1532-'FACP$'!$K1532</f>
        <v>510661.68</v>
      </c>
      <c r="M1532" s="162" t="s">
        <v>969</v>
      </c>
      <c r="N1532" s="162" t="s">
        <v>554</v>
      </c>
      <c r="O1532" s="175">
        <v>44056.0</v>
      </c>
      <c r="P1532" s="164">
        <f t="shared" si="13"/>
        <v>44017</v>
      </c>
      <c r="Q1532" s="165">
        <f t="shared" si="2"/>
        <v>0</v>
      </c>
      <c r="R1532" s="167"/>
      <c r="S1532" s="167" t="s">
        <v>910</v>
      </c>
      <c r="T1532" s="168">
        <f t="shared" si="3"/>
        <v>510661.68</v>
      </c>
      <c r="U1532" s="168">
        <f t="shared" si="4"/>
        <v>0</v>
      </c>
      <c r="V1532" s="168">
        <f t="shared" si="5"/>
        <v>0</v>
      </c>
      <c r="W1532" s="168">
        <f t="shared" si="6"/>
        <v>0</v>
      </c>
      <c r="X1532" s="168">
        <f t="shared" si="7"/>
        <v>0</v>
      </c>
      <c r="Y1532" s="168">
        <f t="shared" si="8"/>
        <v>0</v>
      </c>
      <c r="Z1532" s="168">
        <f t="shared" si="9"/>
        <v>0</v>
      </c>
    </row>
    <row r="1533" ht="14.25" customHeight="1">
      <c r="A1533" s="157" t="s">
        <v>1618</v>
      </c>
      <c r="B1533" s="158" t="s">
        <v>127</v>
      </c>
      <c r="C1533" s="158"/>
      <c r="D1533" s="159"/>
      <c r="E1533" s="157"/>
      <c r="F1533" s="160"/>
      <c r="G1533" s="160"/>
      <c r="H1533" s="160"/>
      <c r="I1533" s="160"/>
      <c r="J1533" s="161"/>
      <c r="K1533" s="160"/>
      <c r="L1533" s="160">
        <f>+'FACP$'!$H1533-'FACP$'!$I1533-'FACP$'!$K1533</f>
        <v>0</v>
      </c>
      <c r="M1533" s="162"/>
      <c r="N1533" s="162" t="s">
        <v>127</v>
      </c>
      <c r="O1533" s="175"/>
      <c r="P1533" s="164">
        <f t="shared" si="13"/>
        <v>10</v>
      </c>
      <c r="Q1533" s="165">
        <f t="shared" si="2"/>
        <v>0</v>
      </c>
      <c r="R1533" s="167"/>
      <c r="S1533" s="167"/>
      <c r="T1533" s="168">
        <f t="shared" si="3"/>
        <v>0</v>
      </c>
      <c r="U1533" s="168">
        <f t="shared" si="4"/>
        <v>0</v>
      </c>
      <c r="V1533" s="168">
        <f t="shared" si="5"/>
        <v>0</v>
      </c>
      <c r="W1533" s="168">
        <f t="shared" si="6"/>
        <v>0</v>
      </c>
      <c r="X1533" s="168">
        <f t="shared" si="7"/>
        <v>0</v>
      </c>
      <c r="Y1533" s="168">
        <f t="shared" si="8"/>
        <v>0</v>
      </c>
      <c r="Z1533" s="168">
        <f t="shared" si="9"/>
        <v>0</v>
      </c>
    </row>
    <row r="1534" ht="14.25" customHeight="1">
      <c r="A1534" s="157" t="s">
        <v>1619</v>
      </c>
      <c r="B1534" s="158" t="s">
        <v>16</v>
      </c>
      <c r="C1534" s="158" t="s">
        <v>1591</v>
      </c>
      <c r="D1534" s="159">
        <v>44008.0</v>
      </c>
      <c r="E1534" s="157" t="s">
        <v>731</v>
      </c>
      <c r="F1534" s="160">
        <v>11316.0</v>
      </c>
      <c r="G1534" s="160">
        <v>1810.56</v>
      </c>
      <c r="H1534" s="160">
        <f t="shared" ref="H1534:H1577" si="46">F1534+G1534</f>
        <v>13126.56</v>
      </c>
      <c r="I1534" s="160"/>
      <c r="J1534" s="161"/>
      <c r="K1534" s="160"/>
      <c r="L1534" s="160">
        <f>+'FACP$'!$H1534-'FACP$'!$I1534-'FACP$'!$K1534</f>
        <v>13126.56</v>
      </c>
      <c r="M1534" s="162" t="s">
        <v>985</v>
      </c>
      <c r="N1534" s="162" t="s">
        <v>554</v>
      </c>
      <c r="O1534" s="175">
        <v>44062.0</v>
      </c>
      <c r="P1534" s="164">
        <f t="shared" si="13"/>
        <v>44018</v>
      </c>
      <c r="Q1534" s="165">
        <f t="shared" si="2"/>
        <v>0</v>
      </c>
      <c r="R1534" s="167"/>
      <c r="S1534" s="167"/>
      <c r="T1534" s="168">
        <f t="shared" si="3"/>
        <v>13126.56</v>
      </c>
      <c r="U1534" s="168">
        <f t="shared" si="4"/>
        <v>0</v>
      </c>
      <c r="V1534" s="168">
        <f t="shared" si="5"/>
        <v>0</v>
      </c>
      <c r="W1534" s="168">
        <f t="shared" si="6"/>
        <v>0</v>
      </c>
      <c r="X1534" s="168">
        <f t="shared" si="7"/>
        <v>0</v>
      </c>
      <c r="Y1534" s="168">
        <f t="shared" si="8"/>
        <v>0</v>
      </c>
      <c r="Z1534" s="168">
        <f t="shared" si="9"/>
        <v>0</v>
      </c>
    </row>
    <row r="1535" ht="14.25" customHeight="1">
      <c r="A1535" s="157" t="s">
        <v>1620</v>
      </c>
      <c r="B1535" s="158" t="s">
        <v>37</v>
      </c>
      <c r="C1535" s="158" t="s">
        <v>1591</v>
      </c>
      <c r="D1535" s="159">
        <v>44008.0</v>
      </c>
      <c r="E1535" s="157" t="s">
        <v>731</v>
      </c>
      <c r="F1535" s="160">
        <v>38376.0</v>
      </c>
      <c r="G1535" s="160">
        <v>6140.16</v>
      </c>
      <c r="H1535" s="160">
        <f t="shared" si="46"/>
        <v>44516.16</v>
      </c>
      <c r="I1535" s="160"/>
      <c r="J1535" s="161"/>
      <c r="K1535" s="160"/>
      <c r="L1535" s="160">
        <f>+'FACP$'!$H1535-'FACP$'!$I1535-'FACP$'!$K1535</f>
        <v>44516.16</v>
      </c>
      <c r="M1535" s="162" t="s">
        <v>116</v>
      </c>
      <c r="N1535" s="162" t="s">
        <v>554</v>
      </c>
      <c r="O1535" s="175">
        <v>44067.0</v>
      </c>
      <c r="P1535" s="164">
        <f t="shared" si="13"/>
        <v>44018</v>
      </c>
      <c r="Q1535" s="165">
        <f t="shared" si="2"/>
        <v>0</v>
      </c>
      <c r="R1535" s="167"/>
      <c r="S1535" s="167" t="s">
        <v>910</v>
      </c>
      <c r="T1535" s="168">
        <f t="shared" si="3"/>
        <v>44516.16</v>
      </c>
      <c r="U1535" s="168">
        <f t="shared" si="4"/>
        <v>0</v>
      </c>
      <c r="V1535" s="168">
        <f t="shared" si="5"/>
        <v>0</v>
      </c>
      <c r="W1535" s="168">
        <f t="shared" si="6"/>
        <v>0</v>
      </c>
      <c r="X1535" s="168">
        <f t="shared" si="7"/>
        <v>0</v>
      </c>
      <c r="Y1535" s="168">
        <f t="shared" si="8"/>
        <v>0</v>
      </c>
      <c r="Z1535" s="168">
        <f t="shared" si="9"/>
        <v>0</v>
      </c>
    </row>
    <row r="1536" ht="14.25" customHeight="1">
      <c r="A1536" s="157" t="s">
        <v>1621</v>
      </c>
      <c r="B1536" s="158" t="s">
        <v>37</v>
      </c>
      <c r="C1536" s="158" t="s">
        <v>1591</v>
      </c>
      <c r="D1536" s="159">
        <v>44008.0</v>
      </c>
      <c r="E1536" s="157" t="s">
        <v>731</v>
      </c>
      <c r="F1536" s="160">
        <v>38376.0</v>
      </c>
      <c r="G1536" s="160">
        <v>6140.16</v>
      </c>
      <c r="H1536" s="160">
        <f t="shared" si="46"/>
        <v>44516.16</v>
      </c>
      <c r="I1536" s="160"/>
      <c r="J1536" s="161"/>
      <c r="K1536" s="160"/>
      <c r="L1536" s="160">
        <f>+'FACP$'!$H1536-'FACP$'!$I1536-'FACP$'!$K1536</f>
        <v>44516.16</v>
      </c>
      <c r="M1536" s="162" t="s">
        <v>116</v>
      </c>
      <c r="N1536" s="162" t="s">
        <v>554</v>
      </c>
      <c r="O1536" s="175">
        <v>44067.0</v>
      </c>
      <c r="P1536" s="164">
        <f t="shared" si="13"/>
        <v>44018</v>
      </c>
      <c r="Q1536" s="165">
        <f t="shared" si="2"/>
        <v>0</v>
      </c>
      <c r="R1536" s="167"/>
      <c r="S1536" s="167" t="s">
        <v>910</v>
      </c>
      <c r="T1536" s="168">
        <f t="shared" si="3"/>
        <v>44516.16</v>
      </c>
      <c r="U1536" s="168">
        <f t="shared" si="4"/>
        <v>0</v>
      </c>
      <c r="V1536" s="168">
        <f t="shared" si="5"/>
        <v>0</v>
      </c>
      <c r="W1536" s="168">
        <f t="shared" si="6"/>
        <v>0</v>
      </c>
      <c r="X1536" s="168">
        <f t="shared" si="7"/>
        <v>0</v>
      </c>
      <c r="Y1536" s="168">
        <f t="shared" si="8"/>
        <v>0</v>
      </c>
      <c r="Z1536" s="168">
        <f t="shared" si="9"/>
        <v>0</v>
      </c>
    </row>
    <row r="1537" ht="14.25" customHeight="1">
      <c r="A1537" s="157" t="s">
        <v>1622</v>
      </c>
      <c r="B1537" s="158" t="s">
        <v>37</v>
      </c>
      <c r="C1537" s="158" t="s">
        <v>1591</v>
      </c>
      <c r="D1537" s="159">
        <v>44008.0</v>
      </c>
      <c r="E1537" s="157" t="s">
        <v>731</v>
      </c>
      <c r="F1537" s="160">
        <v>38376.0</v>
      </c>
      <c r="G1537" s="160">
        <v>6140.16</v>
      </c>
      <c r="H1537" s="160">
        <f t="shared" si="46"/>
        <v>44516.16</v>
      </c>
      <c r="I1537" s="160"/>
      <c r="J1537" s="161"/>
      <c r="K1537" s="160"/>
      <c r="L1537" s="160">
        <f>+'FACP$'!$H1537-'FACP$'!$I1537-'FACP$'!$K1537</f>
        <v>44516.16</v>
      </c>
      <c r="M1537" s="162" t="s">
        <v>116</v>
      </c>
      <c r="N1537" s="162" t="s">
        <v>554</v>
      </c>
      <c r="O1537" s="175">
        <v>44067.0</v>
      </c>
      <c r="P1537" s="164">
        <f t="shared" si="13"/>
        <v>44018</v>
      </c>
      <c r="Q1537" s="165">
        <f t="shared" si="2"/>
        <v>0</v>
      </c>
      <c r="R1537" s="167"/>
      <c r="S1537" s="167" t="s">
        <v>910</v>
      </c>
      <c r="T1537" s="168">
        <f t="shared" si="3"/>
        <v>44516.16</v>
      </c>
      <c r="U1537" s="168">
        <f t="shared" si="4"/>
        <v>0</v>
      </c>
      <c r="V1537" s="168">
        <f t="shared" si="5"/>
        <v>0</v>
      </c>
      <c r="W1537" s="168">
        <f t="shared" si="6"/>
        <v>0</v>
      </c>
      <c r="X1537" s="168">
        <f t="shared" si="7"/>
        <v>0</v>
      </c>
      <c r="Y1537" s="168">
        <f t="shared" si="8"/>
        <v>0</v>
      </c>
      <c r="Z1537" s="168">
        <f t="shared" si="9"/>
        <v>0</v>
      </c>
    </row>
    <row r="1538" ht="14.25" customHeight="1">
      <c r="A1538" s="157" t="s">
        <v>1623</v>
      </c>
      <c r="B1538" s="158" t="s">
        <v>16</v>
      </c>
      <c r="C1538" s="158" t="s">
        <v>1591</v>
      </c>
      <c r="D1538" s="159">
        <v>44008.0</v>
      </c>
      <c r="E1538" s="157" t="s">
        <v>731</v>
      </c>
      <c r="F1538" s="160">
        <v>11316.0</v>
      </c>
      <c r="G1538" s="160">
        <v>1810.56</v>
      </c>
      <c r="H1538" s="160">
        <f t="shared" si="46"/>
        <v>13126.56</v>
      </c>
      <c r="I1538" s="160"/>
      <c r="J1538" s="161"/>
      <c r="K1538" s="160"/>
      <c r="L1538" s="160">
        <f>+'FACP$'!$H1538-'FACP$'!$I1538-'FACP$'!$K1538</f>
        <v>13126.56</v>
      </c>
      <c r="M1538" s="162" t="s">
        <v>985</v>
      </c>
      <c r="N1538" s="162" t="s">
        <v>554</v>
      </c>
      <c r="O1538" s="175">
        <v>44062.0</v>
      </c>
      <c r="P1538" s="164">
        <f t="shared" si="13"/>
        <v>44018</v>
      </c>
      <c r="Q1538" s="165">
        <f t="shared" si="2"/>
        <v>0</v>
      </c>
      <c r="R1538" s="167"/>
      <c r="S1538" s="167"/>
      <c r="T1538" s="168">
        <f t="shared" si="3"/>
        <v>13126.56</v>
      </c>
      <c r="U1538" s="168">
        <f t="shared" si="4"/>
        <v>0</v>
      </c>
      <c r="V1538" s="168">
        <f t="shared" si="5"/>
        <v>0</v>
      </c>
      <c r="W1538" s="168">
        <f t="shared" si="6"/>
        <v>0</v>
      </c>
      <c r="X1538" s="168">
        <f t="shared" si="7"/>
        <v>0</v>
      </c>
      <c r="Y1538" s="168">
        <f t="shared" si="8"/>
        <v>0</v>
      </c>
      <c r="Z1538" s="168">
        <f t="shared" si="9"/>
        <v>0</v>
      </c>
    </row>
    <row r="1539" ht="14.25" customHeight="1">
      <c r="A1539" s="157" t="s">
        <v>1624</v>
      </c>
      <c r="B1539" s="158" t="s">
        <v>18</v>
      </c>
      <c r="C1539" s="158" t="s">
        <v>1591</v>
      </c>
      <c r="D1539" s="159">
        <v>44008.0</v>
      </c>
      <c r="E1539" s="157" t="s">
        <v>731</v>
      </c>
      <c r="F1539" s="160">
        <v>19188.0</v>
      </c>
      <c r="G1539" s="160">
        <v>3070.08</v>
      </c>
      <c r="H1539" s="160">
        <f t="shared" si="46"/>
        <v>22258.08</v>
      </c>
      <c r="I1539" s="160"/>
      <c r="J1539" s="161"/>
      <c r="K1539" s="160"/>
      <c r="L1539" s="160">
        <f>+'FACP$'!$H1539-'FACP$'!$I1539-'FACP$'!$K1539</f>
        <v>22258.08</v>
      </c>
      <c r="M1539" s="162" t="s">
        <v>586</v>
      </c>
      <c r="N1539" s="162" t="s">
        <v>127</v>
      </c>
      <c r="O1539" s="175"/>
      <c r="P1539" s="164">
        <f t="shared" si="13"/>
        <v>44018</v>
      </c>
      <c r="Q1539" s="165">
        <f t="shared" si="2"/>
        <v>0</v>
      </c>
      <c r="R1539" s="167"/>
      <c r="S1539" s="167"/>
      <c r="T1539" s="168">
        <f t="shared" si="3"/>
        <v>22258.08</v>
      </c>
      <c r="U1539" s="168">
        <f t="shared" si="4"/>
        <v>0</v>
      </c>
      <c r="V1539" s="168">
        <f t="shared" si="5"/>
        <v>0</v>
      </c>
      <c r="W1539" s="168">
        <f t="shared" si="6"/>
        <v>0</v>
      </c>
      <c r="X1539" s="168">
        <f t="shared" si="7"/>
        <v>0</v>
      </c>
      <c r="Y1539" s="168">
        <f t="shared" si="8"/>
        <v>0</v>
      </c>
      <c r="Z1539" s="168">
        <f t="shared" si="9"/>
        <v>0</v>
      </c>
    </row>
    <row r="1540" ht="14.25" customHeight="1">
      <c r="A1540" s="157" t="s">
        <v>1625</v>
      </c>
      <c r="B1540" s="158" t="s">
        <v>16</v>
      </c>
      <c r="C1540" s="158" t="s">
        <v>1591</v>
      </c>
      <c r="D1540" s="159">
        <v>44008.0</v>
      </c>
      <c r="E1540" s="157" t="s">
        <v>731</v>
      </c>
      <c r="F1540" s="160">
        <v>11316.0</v>
      </c>
      <c r="G1540" s="160">
        <v>1810.56</v>
      </c>
      <c r="H1540" s="160">
        <f t="shared" si="46"/>
        <v>13126.56</v>
      </c>
      <c r="I1540" s="160"/>
      <c r="J1540" s="161"/>
      <c r="K1540" s="160"/>
      <c r="L1540" s="160">
        <f>+'FACP$'!$H1540-'FACP$'!$I1540-'FACP$'!$K1540</f>
        <v>13126.56</v>
      </c>
      <c r="M1540" s="162" t="s">
        <v>985</v>
      </c>
      <c r="N1540" s="162" t="s">
        <v>554</v>
      </c>
      <c r="O1540" s="175">
        <v>44062.0</v>
      </c>
      <c r="P1540" s="164">
        <f t="shared" si="13"/>
        <v>44018</v>
      </c>
      <c r="Q1540" s="165">
        <f t="shared" si="2"/>
        <v>0</v>
      </c>
      <c r="R1540" s="167"/>
      <c r="S1540" s="167"/>
      <c r="T1540" s="168">
        <f t="shared" si="3"/>
        <v>13126.56</v>
      </c>
      <c r="U1540" s="168">
        <f t="shared" si="4"/>
        <v>0</v>
      </c>
      <c r="V1540" s="168">
        <f t="shared" si="5"/>
        <v>0</v>
      </c>
      <c r="W1540" s="168">
        <f t="shared" si="6"/>
        <v>0</v>
      </c>
      <c r="X1540" s="168">
        <f t="shared" si="7"/>
        <v>0</v>
      </c>
      <c r="Y1540" s="168">
        <f t="shared" si="8"/>
        <v>0</v>
      </c>
      <c r="Z1540" s="168">
        <f t="shared" si="9"/>
        <v>0</v>
      </c>
    </row>
    <row r="1541" ht="14.25" customHeight="1">
      <c r="A1541" s="157" t="s">
        <v>1626</v>
      </c>
      <c r="B1541" s="158" t="s">
        <v>29</v>
      </c>
      <c r="C1541" s="158" t="s">
        <v>1591</v>
      </c>
      <c r="D1541" s="159">
        <v>44008.0</v>
      </c>
      <c r="E1541" s="157" t="s">
        <v>731</v>
      </c>
      <c r="F1541" s="160">
        <v>19188.0</v>
      </c>
      <c r="G1541" s="160">
        <v>3070.08</v>
      </c>
      <c r="H1541" s="160">
        <f t="shared" si="46"/>
        <v>22258.08</v>
      </c>
      <c r="I1541" s="160"/>
      <c r="J1541" s="161"/>
      <c r="K1541" s="160"/>
      <c r="L1541" s="160">
        <f>+'FACP$'!$H1541-'FACP$'!$I1541-'FACP$'!$K1541</f>
        <v>22258.08</v>
      </c>
      <c r="M1541" s="162" t="s">
        <v>130</v>
      </c>
      <c r="N1541" s="162" t="s">
        <v>554</v>
      </c>
      <c r="O1541" s="175">
        <v>44067.0</v>
      </c>
      <c r="P1541" s="164">
        <f t="shared" si="13"/>
        <v>44018</v>
      </c>
      <c r="Q1541" s="165">
        <f t="shared" si="2"/>
        <v>0</v>
      </c>
      <c r="R1541" s="167"/>
      <c r="S1541" s="167"/>
      <c r="T1541" s="168">
        <f t="shared" si="3"/>
        <v>22258.08</v>
      </c>
      <c r="U1541" s="168">
        <f t="shared" si="4"/>
        <v>0</v>
      </c>
      <c r="V1541" s="168">
        <f t="shared" si="5"/>
        <v>0</v>
      </c>
      <c r="W1541" s="168">
        <f t="shared" si="6"/>
        <v>0</v>
      </c>
      <c r="X1541" s="168">
        <f t="shared" si="7"/>
        <v>0</v>
      </c>
      <c r="Y1541" s="168">
        <f t="shared" si="8"/>
        <v>0</v>
      </c>
      <c r="Z1541" s="168">
        <f t="shared" si="9"/>
        <v>0</v>
      </c>
    </row>
    <row r="1542" ht="14.25" customHeight="1">
      <c r="A1542" s="157" t="s">
        <v>1627</v>
      </c>
      <c r="B1542" s="158" t="s">
        <v>16</v>
      </c>
      <c r="C1542" s="158" t="s">
        <v>1591</v>
      </c>
      <c r="D1542" s="159">
        <v>44009.0</v>
      </c>
      <c r="E1542" s="157" t="s">
        <v>731</v>
      </c>
      <c r="F1542" s="160">
        <v>11316.0</v>
      </c>
      <c r="G1542" s="160">
        <v>1810.56</v>
      </c>
      <c r="H1542" s="160">
        <f t="shared" si="46"/>
        <v>13126.56</v>
      </c>
      <c r="I1542" s="160"/>
      <c r="J1542" s="161"/>
      <c r="K1542" s="160"/>
      <c r="L1542" s="160">
        <f>+'FACP$'!$H1542-'FACP$'!$I1542-'FACP$'!$K1542</f>
        <v>13126.56</v>
      </c>
      <c r="M1542" s="162" t="s">
        <v>985</v>
      </c>
      <c r="N1542" s="162" t="s">
        <v>554</v>
      </c>
      <c r="O1542" s="175">
        <v>44062.0</v>
      </c>
      <c r="P1542" s="164">
        <f t="shared" si="13"/>
        <v>44019</v>
      </c>
      <c r="Q1542" s="165">
        <f t="shared" si="2"/>
        <v>0</v>
      </c>
      <c r="R1542" s="167"/>
      <c r="S1542" s="167"/>
      <c r="T1542" s="168">
        <f t="shared" si="3"/>
        <v>13126.56</v>
      </c>
      <c r="U1542" s="168">
        <f t="shared" si="4"/>
        <v>0</v>
      </c>
      <c r="V1542" s="168">
        <f t="shared" si="5"/>
        <v>0</v>
      </c>
      <c r="W1542" s="168">
        <f t="shared" si="6"/>
        <v>0</v>
      </c>
      <c r="X1542" s="168">
        <f t="shared" si="7"/>
        <v>0</v>
      </c>
      <c r="Y1542" s="168">
        <f t="shared" si="8"/>
        <v>0</v>
      </c>
      <c r="Z1542" s="168">
        <f t="shared" si="9"/>
        <v>0</v>
      </c>
    </row>
    <row r="1543" ht="14.25" customHeight="1">
      <c r="A1543" s="157" t="s">
        <v>1628</v>
      </c>
      <c r="B1543" s="158" t="s">
        <v>37</v>
      </c>
      <c r="C1543" s="158" t="s">
        <v>1591</v>
      </c>
      <c r="D1543" s="159">
        <v>44009.0</v>
      </c>
      <c r="E1543" s="157" t="s">
        <v>731</v>
      </c>
      <c r="F1543" s="160">
        <v>38376.0</v>
      </c>
      <c r="G1543" s="160">
        <v>6140.16</v>
      </c>
      <c r="H1543" s="160">
        <f t="shared" si="46"/>
        <v>44516.16</v>
      </c>
      <c r="I1543" s="160"/>
      <c r="J1543" s="161"/>
      <c r="K1543" s="160"/>
      <c r="L1543" s="160">
        <f>+'FACP$'!$H1543-'FACP$'!$I1543-'FACP$'!$K1543</f>
        <v>44516.16</v>
      </c>
      <c r="M1543" s="162" t="s">
        <v>116</v>
      </c>
      <c r="N1543" s="162" t="s">
        <v>554</v>
      </c>
      <c r="O1543" s="175">
        <v>44067.0</v>
      </c>
      <c r="P1543" s="164">
        <f t="shared" si="13"/>
        <v>44019</v>
      </c>
      <c r="Q1543" s="165">
        <f t="shared" si="2"/>
        <v>0</v>
      </c>
      <c r="R1543" s="167"/>
      <c r="S1543" s="167" t="s">
        <v>910</v>
      </c>
      <c r="T1543" s="168">
        <f t="shared" si="3"/>
        <v>44516.16</v>
      </c>
      <c r="U1543" s="168">
        <f t="shared" si="4"/>
        <v>0</v>
      </c>
      <c r="V1543" s="168">
        <f t="shared" si="5"/>
        <v>0</v>
      </c>
      <c r="W1543" s="168">
        <f t="shared" si="6"/>
        <v>0</v>
      </c>
      <c r="X1543" s="168">
        <f t="shared" si="7"/>
        <v>0</v>
      </c>
      <c r="Y1543" s="168">
        <f t="shared" si="8"/>
        <v>0</v>
      </c>
      <c r="Z1543" s="168">
        <f t="shared" si="9"/>
        <v>0</v>
      </c>
    </row>
    <row r="1544" ht="14.25" customHeight="1">
      <c r="A1544" s="157" t="s">
        <v>1629</v>
      </c>
      <c r="B1544" s="158" t="s">
        <v>16</v>
      </c>
      <c r="C1544" s="158" t="s">
        <v>1591</v>
      </c>
      <c r="D1544" s="159">
        <v>44009.0</v>
      </c>
      <c r="E1544" s="157" t="s">
        <v>731</v>
      </c>
      <c r="F1544" s="160">
        <v>11316.0</v>
      </c>
      <c r="G1544" s="160">
        <v>1810.56</v>
      </c>
      <c r="H1544" s="160">
        <f t="shared" si="46"/>
        <v>13126.56</v>
      </c>
      <c r="I1544" s="160"/>
      <c r="J1544" s="161"/>
      <c r="K1544" s="160"/>
      <c r="L1544" s="160">
        <f>+'FACP$'!$H1544-'FACP$'!$I1544-'FACP$'!$K1544</f>
        <v>13126.56</v>
      </c>
      <c r="M1544" s="162" t="s">
        <v>985</v>
      </c>
      <c r="N1544" s="162" t="s">
        <v>554</v>
      </c>
      <c r="O1544" s="175">
        <v>44062.0</v>
      </c>
      <c r="P1544" s="164">
        <f t="shared" si="13"/>
        <v>44019</v>
      </c>
      <c r="Q1544" s="165">
        <f t="shared" si="2"/>
        <v>0</v>
      </c>
      <c r="R1544" s="167"/>
      <c r="S1544" s="167"/>
      <c r="T1544" s="168">
        <f t="shared" si="3"/>
        <v>13126.56</v>
      </c>
      <c r="U1544" s="168">
        <f t="shared" si="4"/>
        <v>0</v>
      </c>
      <c r="V1544" s="168">
        <f t="shared" si="5"/>
        <v>0</v>
      </c>
      <c r="W1544" s="168">
        <f t="shared" si="6"/>
        <v>0</v>
      </c>
      <c r="X1544" s="168">
        <f t="shared" si="7"/>
        <v>0</v>
      </c>
      <c r="Y1544" s="168">
        <f t="shared" si="8"/>
        <v>0</v>
      </c>
      <c r="Z1544" s="168">
        <f t="shared" si="9"/>
        <v>0</v>
      </c>
    </row>
    <row r="1545" ht="14.25" customHeight="1">
      <c r="A1545" s="157" t="s">
        <v>1630</v>
      </c>
      <c r="B1545" s="158" t="s">
        <v>29</v>
      </c>
      <c r="C1545" s="158" t="s">
        <v>1591</v>
      </c>
      <c r="D1545" s="159">
        <v>44009.0</v>
      </c>
      <c r="E1545" s="157" t="s">
        <v>731</v>
      </c>
      <c r="F1545" s="160">
        <v>19188.0</v>
      </c>
      <c r="G1545" s="160">
        <v>3070.08</v>
      </c>
      <c r="H1545" s="160">
        <f t="shared" si="46"/>
        <v>22258.08</v>
      </c>
      <c r="I1545" s="160"/>
      <c r="J1545" s="161"/>
      <c r="K1545" s="160"/>
      <c r="L1545" s="160">
        <f>+'FACP$'!$H1545-'FACP$'!$I1545-'FACP$'!$K1545</f>
        <v>22258.08</v>
      </c>
      <c r="M1545" s="162" t="s">
        <v>130</v>
      </c>
      <c r="N1545" s="162" t="s">
        <v>554</v>
      </c>
      <c r="O1545" s="175">
        <v>44067.0</v>
      </c>
      <c r="P1545" s="164">
        <f t="shared" si="13"/>
        <v>44019</v>
      </c>
      <c r="Q1545" s="165">
        <f t="shared" si="2"/>
        <v>0</v>
      </c>
      <c r="R1545" s="167"/>
      <c r="S1545" s="167"/>
      <c r="T1545" s="168">
        <f t="shared" si="3"/>
        <v>22258.08</v>
      </c>
      <c r="U1545" s="168">
        <f t="shared" si="4"/>
        <v>0</v>
      </c>
      <c r="V1545" s="168">
        <f t="shared" si="5"/>
        <v>0</v>
      </c>
      <c r="W1545" s="168">
        <f t="shared" si="6"/>
        <v>0</v>
      </c>
      <c r="X1545" s="168">
        <f t="shared" si="7"/>
        <v>0</v>
      </c>
      <c r="Y1545" s="168">
        <f t="shared" si="8"/>
        <v>0</v>
      </c>
      <c r="Z1545" s="168">
        <f t="shared" si="9"/>
        <v>0</v>
      </c>
    </row>
    <row r="1546" ht="14.25" customHeight="1">
      <c r="A1546" s="157" t="s">
        <v>1631</v>
      </c>
      <c r="B1546" s="158" t="s">
        <v>37</v>
      </c>
      <c r="C1546" s="158" t="s">
        <v>1591</v>
      </c>
      <c r="D1546" s="159">
        <v>44010.0</v>
      </c>
      <c r="E1546" s="157" t="s">
        <v>731</v>
      </c>
      <c r="F1546" s="160">
        <v>38376.0</v>
      </c>
      <c r="G1546" s="160">
        <v>6140.16</v>
      </c>
      <c r="H1546" s="160">
        <f t="shared" si="46"/>
        <v>44516.16</v>
      </c>
      <c r="I1546" s="160"/>
      <c r="J1546" s="161"/>
      <c r="K1546" s="160"/>
      <c r="L1546" s="160">
        <f>+'FACP$'!$H1546-'FACP$'!$I1546-'FACP$'!$K1546</f>
        <v>44516.16</v>
      </c>
      <c r="M1546" s="162" t="s">
        <v>116</v>
      </c>
      <c r="N1546" s="162" t="s">
        <v>554</v>
      </c>
      <c r="O1546" s="175">
        <v>44067.0</v>
      </c>
      <c r="P1546" s="164">
        <f t="shared" si="13"/>
        <v>44020</v>
      </c>
      <c r="Q1546" s="165">
        <f t="shared" si="2"/>
        <v>0</v>
      </c>
      <c r="R1546" s="167"/>
      <c r="S1546" s="167" t="s">
        <v>910</v>
      </c>
      <c r="T1546" s="168">
        <f t="shared" si="3"/>
        <v>44516.16</v>
      </c>
      <c r="U1546" s="168">
        <f t="shared" si="4"/>
        <v>0</v>
      </c>
      <c r="V1546" s="168">
        <f t="shared" si="5"/>
        <v>0</v>
      </c>
      <c r="W1546" s="168">
        <f t="shared" si="6"/>
        <v>0</v>
      </c>
      <c r="X1546" s="168">
        <f t="shared" si="7"/>
        <v>0</v>
      </c>
      <c r="Y1546" s="168">
        <f t="shared" si="8"/>
        <v>0</v>
      </c>
      <c r="Z1546" s="168">
        <f t="shared" si="9"/>
        <v>0</v>
      </c>
    </row>
    <row r="1547" ht="14.25" customHeight="1">
      <c r="A1547" s="157" t="s">
        <v>1632</v>
      </c>
      <c r="B1547" s="158" t="s">
        <v>37</v>
      </c>
      <c r="C1547" s="158" t="s">
        <v>1591</v>
      </c>
      <c r="D1547" s="159">
        <v>44010.0</v>
      </c>
      <c r="E1547" s="157" t="s">
        <v>731</v>
      </c>
      <c r="F1547" s="160">
        <v>38376.0</v>
      </c>
      <c r="G1547" s="160">
        <v>6140.16</v>
      </c>
      <c r="H1547" s="160">
        <f t="shared" si="46"/>
        <v>44516.16</v>
      </c>
      <c r="I1547" s="160"/>
      <c r="J1547" s="161"/>
      <c r="K1547" s="160"/>
      <c r="L1547" s="160">
        <f>+'FACP$'!$H1547-'FACP$'!$I1547-'FACP$'!$K1547</f>
        <v>44516.16</v>
      </c>
      <c r="M1547" s="162" t="s">
        <v>116</v>
      </c>
      <c r="N1547" s="227" t="s">
        <v>554</v>
      </c>
      <c r="O1547" s="175">
        <v>44067.0</v>
      </c>
      <c r="P1547" s="164">
        <f t="shared" si="13"/>
        <v>44020</v>
      </c>
      <c r="Q1547" s="165">
        <f t="shared" si="2"/>
        <v>0</v>
      </c>
      <c r="R1547" s="167"/>
      <c r="S1547" s="167" t="s">
        <v>910</v>
      </c>
      <c r="T1547" s="168">
        <f t="shared" si="3"/>
        <v>44516.16</v>
      </c>
      <c r="U1547" s="168">
        <f t="shared" si="4"/>
        <v>0</v>
      </c>
      <c r="V1547" s="168">
        <f t="shared" si="5"/>
        <v>0</v>
      </c>
      <c r="W1547" s="168">
        <f t="shared" si="6"/>
        <v>0</v>
      </c>
      <c r="X1547" s="168">
        <f t="shared" si="7"/>
        <v>0</v>
      </c>
      <c r="Y1547" s="168">
        <f t="shared" si="8"/>
        <v>0</v>
      </c>
      <c r="Z1547" s="168">
        <f t="shared" si="9"/>
        <v>0</v>
      </c>
    </row>
    <row r="1548" ht="14.25" customHeight="1">
      <c r="A1548" s="157" t="s">
        <v>1633</v>
      </c>
      <c r="B1548" s="158" t="s">
        <v>37</v>
      </c>
      <c r="C1548" s="158" t="s">
        <v>1591</v>
      </c>
      <c r="D1548" s="159">
        <v>44010.0</v>
      </c>
      <c r="E1548" s="157" t="s">
        <v>731</v>
      </c>
      <c r="F1548" s="160">
        <v>38376.0</v>
      </c>
      <c r="G1548" s="160">
        <v>6140.16</v>
      </c>
      <c r="H1548" s="160">
        <f t="shared" si="46"/>
        <v>44516.16</v>
      </c>
      <c r="I1548" s="160"/>
      <c r="J1548" s="161"/>
      <c r="K1548" s="160"/>
      <c r="L1548" s="160">
        <f>+'FACP$'!$H1548-'FACP$'!$I1548-'FACP$'!$K1548</f>
        <v>44516.16</v>
      </c>
      <c r="M1548" s="162" t="s">
        <v>116</v>
      </c>
      <c r="N1548" s="162" t="s">
        <v>554</v>
      </c>
      <c r="O1548" s="175">
        <v>44067.0</v>
      </c>
      <c r="P1548" s="164">
        <f t="shared" si="13"/>
        <v>44020</v>
      </c>
      <c r="Q1548" s="165">
        <f t="shared" si="2"/>
        <v>0</v>
      </c>
      <c r="R1548" s="167"/>
      <c r="S1548" s="167" t="s">
        <v>910</v>
      </c>
      <c r="T1548" s="168">
        <f t="shared" si="3"/>
        <v>44516.16</v>
      </c>
      <c r="U1548" s="168">
        <f t="shared" si="4"/>
        <v>0</v>
      </c>
      <c r="V1548" s="168">
        <f t="shared" si="5"/>
        <v>0</v>
      </c>
      <c r="W1548" s="168">
        <f t="shared" si="6"/>
        <v>0</v>
      </c>
      <c r="X1548" s="168">
        <f t="shared" si="7"/>
        <v>0</v>
      </c>
      <c r="Y1548" s="168">
        <f t="shared" si="8"/>
        <v>0</v>
      </c>
      <c r="Z1548" s="168">
        <f t="shared" si="9"/>
        <v>0</v>
      </c>
    </row>
    <row r="1549" ht="14.25" customHeight="1">
      <c r="A1549" s="157" t="s">
        <v>1634</v>
      </c>
      <c r="B1549" s="158" t="s">
        <v>16</v>
      </c>
      <c r="C1549" s="158" t="s">
        <v>1591</v>
      </c>
      <c r="D1549" s="159">
        <v>44010.0</v>
      </c>
      <c r="E1549" s="157" t="s">
        <v>731</v>
      </c>
      <c r="F1549" s="160">
        <v>11316.0</v>
      </c>
      <c r="G1549" s="160">
        <v>1810.56</v>
      </c>
      <c r="H1549" s="160">
        <f t="shared" si="46"/>
        <v>13126.56</v>
      </c>
      <c r="I1549" s="160"/>
      <c r="J1549" s="161"/>
      <c r="K1549" s="160"/>
      <c r="L1549" s="160">
        <f>+'FACP$'!$H1549-'FACP$'!$I1549-'FACP$'!$K1549</f>
        <v>13126.56</v>
      </c>
      <c r="M1549" s="162" t="s">
        <v>985</v>
      </c>
      <c r="N1549" s="162" t="s">
        <v>127</v>
      </c>
      <c r="O1549" s="175"/>
      <c r="P1549" s="164">
        <f t="shared" si="13"/>
        <v>44020</v>
      </c>
      <c r="Q1549" s="165">
        <f t="shared" si="2"/>
        <v>0</v>
      </c>
      <c r="R1549" s="167"/>
      <c r="S1549" s="167"/>
      <c r="T1549" s="168">
        <f t="shared" si="3"/>
        <v>13126.56</v>
      </c>
      <c r="U1549" s="168">
        <f t="shared" si="4"/>
        <v>0</v>
      </c>
      <c r="V1549" s="168">
        <f t="shared" si="5"/>
        <v>0</v>
      </c>
      <c r="W1549" s="168">
        <f t="shared" si="6"/>
        <v>0</v>
      </c>
      <c r="X1549" s="168">
        <f t="shared" si="7"/>
        <v>0</v>
      </c>
      <c r="Y1549" s="168">
        <f t="shared" si="8"/>
        <v>0</v>
      </c>
      <c r="Z1549" s="168">
        <f t="shared" si="9"/>
        <v>0</v>
      </c>
    </row>
    <row r="1550" ht="14.25" customHeight="1">
      <c r="A1550" s="157" t="s">
        <v>1635</v>
      </c>
      <c r="B1550" s="158" t="s">
        <v>16</v>
      </c>
      <c r="C1550" s="158" t="s">
        <v>1591</v>
      </c>
      <c r="D1550" s="159">
        <v>44010.0</v>
      </c>
      <c r="E1550" s="157" t="s">
        <v>731</v>
      </c>
      <c r="F1550" s="160">
        <v>11316.0</v>
      </c>
      <c r="G1550" s="160">
        <v>1810.56</v>
      </c>
      <c r="H1550" s="160">
        <f t="shared" si="46"/>
        <v>13126.56</v>
      </c>
      <c r="I1550" s="160"/>
      <c r="J1550" s="161"/>
      <c r="K1550" s="160"/>
      <c r="L1550" s="160">
        <f>+'FACP$'!$H1550-'FACP$'!$I1550-'FACP$'!$K1550</f>
        <v>13126.56</v>
      </c>
      <c r="M1550" s="162" t="s">
        <v>985</v>
      </c>
      <c r="N1550" s="162" t="s">
        <v>127</v>
      </c>
      <c r="O1550" s="175"/>
      <c r="P1550" s="164">
        <f t="shared" si="13"/>
        <v>44020</v>
      </c>
      <c r="Q1550" s="165">
        <f t="shared" si="2"/>
        <v>0</v>
      </c>
      <c r="R1550" s="167"/>
      <c r="S1550" s="167"/>
      <c r="T1550" s="168">
        <f t="shared" si="3"/>
        <v>13126.56</v>
      </c>
      <c r="U1550" s="168">
        <f t="shared" si="4"/>
        <v>0</v>
      </c>
      <c r="V1550" s="168">
        <f t="shared" si="5"/>
        <v>0</v>
      </c>
      <c r="W1550" s="168">
        <f t="shared" si="6"/>
        <v>0</v>
      </c>
      <c r="X1550" s="168">
        <f t="shared" si="7"/>
        <v>0</v>
      </c>
      <c r="Y1550" s="168">
        <f t="shared" si="8"/>
        <v>0</v>
      </c>
      <c r="Z1550" s="168">
        <f t="shared" si="9"/>
        <v>0</v>
      </c>
    </row>
    <row r="1551" ht="14.25" customHeight="1">
      <c r="A1551" s="157" t="s">
        <v>1636</v>
      </c>
      <c r="B1551" s="158" t="s">
        <v>16</v>
      </c>
      <c r="C1551" s="158" t="s">
        <v>1591</v>
      </c>
      <c r="D1551" s="159">
        <v>44010.0</v>
      </c>
      <c r="E1551" s="157" t="s">
        <v>731</v>
      </c>
      <c r="F1551" s="160">
        <v>11316.0</v>
      </c>
      <c r="G1551" s="160">
        <v>1810.56</v>
      </c>
      <c r="H1551" s="160">
        <f t="shared" si="46"/>
        <v>13126.56</v>
      </c>
      <c r="I1551" s="160"/>
      <c r="J1551" s="161"/>
      <c r="K1551" s="160"/>
      <c r="L1551" s="160">
        <f>+'FACP$'!$H1551-'FACP$'!$I1551-'FACP$'!$K1551</f>
        <v>13126.56</v>
      </c>
      <c r="M1551" s="162" t="s">
        <v>985</v>
      </c>
      <c r="N1551" s="162" t="s">
        <v>554</v>
      </c>
      <c r="O1551" s="175">
        <v>44062.0</v>
      </c>
      <c r="P1551" s="164">
        <f t="shared" si="13"/>
        <v>44020</v>
      </c>
      <c r="Q1551" s="165">
        <f t="shared" si="2"/>
        <v>0</v>
      </c>
      <c r="R1551" s="167"/>
      <c r="S1551" s="167"/>
      <c r="T1551" s="168">
        <f t="shared" si="3"/>
        <v>13126.56</v>
      </c>
      <c r="U1551" s="168">
        <f t="shared" si="4"/>
        <v>0</v>
      </c>
      <c r="V1551" s="168">
        <f t="shared" si="5"/>
        <v>0</v>
      </c>
      <c r="W1551" s="168">
        <f t="shared" si="6"/>
        <v>0</v>
      </c>
      <c r="X1551" s="168">
        <f t="shared" si="7"/>
        <v>0</v>
      </c>
      <c r="Y1551" s="168">
        <f t="shared" si="8"/>
        <v>0</v>
      </c>
      <c r="Z1551" s="168">
        <f t="shared" si="9"/>
        <v>0</v>
      </c>
    </row>
    <row r="1552" ht="14.25" customHeight="1">
      <c r="A1552" s="157" t="s">
        <v>1637</v>
      </c>
      <c r="B1552" s="158" t="s">
        <v>16</v>
      </c>
      <c r="C1552" s="158" t="s">
        <v>1591</v>
      </c>
      <c r="D1552" s="159">
        <v>44010.0</v>
      </c>
      <c r="E1552" s="157" t="s">
        <v>731</v>
      </c>
      <c r="F1552" s="160">
        <v>11316.0</v>
      </c>
      <c r="G1552" s="160">
        <v>1810.56</v>
      </c>
      <c r="H1552" s="160">
        <f t="shared" si="46"/>
        <v>13126.56</v>
      </c>
      <c r="I1552" s="160"/>
      <c r="J1552" s="161"/>
      <c r="K1552" s="160"/>
      <c r="L1552" s="160">
        <f>+'FACP$'!$H1552-'FACP$'!$I1552-'FACP$'!$K1552</f>
        <v>13126.56</v>
      </c>
      <c r="M1552" s="162" t="s">
        <v>985</v>
      </c>
      <c r="N1552" s="162" t="s">
        <v>554</v>
      </c>
      <c r="O1552" s="175">
        <v>44062.0</v>
      </c>
      <c r="P1552" s="164">
        <f t="shared" si="13"/>
        <v>44020</v>
      </c>
      <c r="Q1552" s="165">
        <f t="shared" si="2"/>
        <v>0</v>
      </c>
      <c r="R1552" s="167"/>
      <c r="S1552" s="167"/>
      <c r="T1552" s="168">
        <f t="shared" si="3"/>
        <v>13126.56</v>
      </c>
      <c r="U1552" s="168">
        <f t="shared" si="4"/>
        <v>0</v>
      </c>
      <c r="V1552" s="168">
        <f t="shared" si="5"/>
        <v>0</v>
      </c>
      <c r="W1552" s="168">
        <f t="shared" si="6"/>
        <v>0</v>
      </c>
      <c r="X1552" s="168">
        <f t="shared" si="7"/>
        <v>0</v>
      </c>
      <c r="Y1552" s="168">
        <f t="shared" si="8"/>
        <v>0</v>
      </c>
      <c r="Z1552" s="168">
        <f t="shared" si="9"/>
        <v>0</v>
      </c>
    </row>
    <row r="1553" ht="14.25" customHeight="1">
      <c r="A1553" s="157" t="s">
        <v>1638</v>
      </c>
      <c r="B1553" s="158" t="s">
        <v>16</v>
      </c>
      <c r="C1553" s="158" t="s">
        <v>1591</v>
      </c>
      <c r="D1553" s="159">
        <v>44010.0</v>
      </c>
      <c r="E1553" s="157" t="s">
        <v>731</v>
      </c>
      <c r="F1553" s="160">
        <v>11316.0</v>
      </c>
      <c r="G1553" s="160">
        <v>1810.56</v>
      </c>
      <c r="H1553" s="160">
        <f t="shared" si="46"/>
        <v>13126.56</v>
      </c>
      <c r="I1553" s="160"/>
      <c r="J1553" s="161"/>
      <c r="K1553" s="160"/>
      <c r="L1553" s="160">
        <f>+'FACP$'!$H1553-'FACP$'!$I1553-'FACP$'!$K1553</f>
        <v>13126.56</v>
      </c>
      <c r="M1553" s="162" t="s">
        <v>985</v>
      </c>
      <c r="N1553" s="162" t="s">
        <v>554</v>
      </c>
      <c r="O1553" s="175">
        <v>44062.0</v>
      </c>
      <c r="P1553" s="164">
        <f t="shared" si="13"/>
        <v>44020</v>
      </c>
      <c r="Q1553" s="165">
        <f t="shared" si="2"/>
        <v>0</v>
      </c>
      <c r="R1553" s="167"/>
      <c r="S1553" s="167"/>
      <c r="T1553" s="168">
        <f t="shared" si="3"/>
        <v>13126.56</v>
      </c>
      <c r="U1553" s="168">
        <f t="shared" si="4"/>
        <v>0</v>
      </c>
      <c r="V1553" s="168">
        <f t="shared" si="5"/>
        <v>0</v>
      </c>
      <c r="W1553" s="168">
        <f t="shared" si="6"/>
        <v>0</v>
      </c>
      <c r="X1553" s="168">
        <f t="shared" si="7"/>
        <v>0</v>
      </c>
      <c r="Y1553" s="168">
        <f t="shared" si="8"/>
        <v>0</v>
      </c>
      <c r="Z1553" s="168">
        <f t="shared" si="9"/>
        <v>0</v>
      </c>
    </row>
    <row r="1554" ht="14.25" customHeight="1">
      <c r="A1554" s="157" t="s">
        <v>1639</v>
      </c>
      <c r="B1554" s="158" t="s">
        <v>29</v>
      </c>
      <c r="C1554" s="158" t="s">
        <v>1640</v>
      </c>
      <c r="D1554" s="159">
        <v>44011.0</v>
      </c>
      <c r="E1554" s="157" t="s">
        <v>731</v>
      </c>
      <c r="F1554" s="160">
        <v>135304.45</v>
      </c>
      <c r="G1554" s="160">
        <v>21648.71</v>
      </c>
      <c r="H1554" s="160">
        <f t="shared" si="46"/>
        <v>156953.16</v>
      </c>
      <c r="I1554" s="160"/>
      <c r="J1554" s="161"/>
      <c r="K1554" s="160"/>
      <c r="L1554" s="160">
        <f>+'FACP$'!$H1554-'FACP$'!$I1554-'FACP$'!$K1554</f>
        <v>156953.16</v>
      </c>
      <c r="M1554" s="162" t="s">
        <v>850</v>
      </c>
      <c r="N1554" s="162" t="s">
        <v>554</v>
      </c>
      <c r="O1554" s="175">
        <v>44025.0</v>
      </c>
      <c r="P1554" s="164">
        <f t="shared" si="13"/>
        <v>44021</v>
      </c>
      <c r="Q1554" s="165">
        <f t="shared" si="2"/>
        <v>0</v>
      </c>
      <c r="R1554" s="167"/>
      <c r="S1554" s="167"/>
      <c r="T1554" s="168">
        <f t="shared" si="3"/>
        <v>156953.16</v>
      </c>
      <c r="U1554" s="168">
        <f t="shared" si="4"/>
        <v>0</v>
      </c>
      <c r="V1554" s="168">
        <f t="shared" si="5"/>
        <v>0</v>
      </c>
      <c r="W1554" s="168">
        <f t="shared" si="6"/>
        <v>0</v>
      </c>
      <c r="X1554" s="168">
        <f t="shared" si="7"/>
        <v>0</v>
      </c>
      <c r="Y1554" s="168">
        <f t="shared" si="8"/>
        <v>0</v>
      </c>
      <c r="Z1554" s="168">
        <f t="shared" si="9"/>
        <v>0</v>
      </c>
    </row>
    <row r="1555" ht="14.25" customHeight="1">
      <c r="A1555" s="157" t="s">
        <v>1641</v>
      </c>
      <c r="B1555" s="158" t="s">
        <v>29</v>
      </c>
      <c r="C1555" s="158" t="s">
        <v>1642</v>
      </c>
      <c r="D1555" s="159">
        <v>44011.0</v>
      </c>
      <c r="E1555" s="157" t="s">
        <v>731</v>
      </c>
      <c r="F1555" s="160">
        <v>151157.98</v>
      </c>
      <c r="G1555" s="160">
        <v>24185.28</v>
      </c>
      <c r="H1555" s="160">
        <f t="shared" si="46"/>
        <v>175343.26</v>
      </c>
      <c r="I1555" s="160"/>
      <c r="J1555" s="161"/>
      <c r="K1555" s="160"/>
      <c r="L1555" s="160">
        <f>+'FACP$'!$H1555-'FACP$'!$I1555-'FACP$'!$K1555</f>
        <v>175343.26</v>
      </c>
      <c r="M1555" s="162" t="s">
        <v>1087</v>
      </c>
      <c r="N1555" s="162" t="s">
        <v>554</v>
      </c>
      <c r="O1555" s="175">
        <v>44025.0</v>
      </c>
      <c r="P1555" s="164">
        <f t="shared" si="13"/>
        <v>44021</v>
      </c>
      <c r="Q1555" s="165">
        <f t="shared" si="2"/>
        <v>0</v>
      </c>
      <c r="R1555" s="167"/>
      <c r="S1555" s="167"/>
      <c r="T1555" s="168">
        <f t="shared" si="3"/>
        <v>175343.26</v>
      </c>
      <c r="U1555" s="168">
        <f t="shared" si="4"/>
        <v>0</v>
      </c>
      <c r="V1555" s="168">
        <f t="shared" si="5"/>
        <v>0</v>
      </c>
      <c r="W1555" s="168">
        <f t="shared" si="6"/>
        <v>0</v>
      </c>
      <c r="X1555" s="168">
        <f t="shared" si="7"/>
        <v>0</v>
      </c>
      <c r="Y1555" s="168">
        <f t="shared" si="8"/>
        <v>0</v>
      </c>
      <c r="Z1555" s="168">
        <f t="shared" si="9"/>
        <v>0</v>
      </c>
    </row>
    <row r="1556" ht="14.25" customHeight="1">
      <c r="A1556" s="157" t="s">
        <v>1643</v>
      </c>
      <c r="B1556" s="158" t="s">
        <v>27</v>
      </c>
      <c r="C1556" s="158" t="s">
        <v>1615</v>
      </c>
      <c r="D1556" s="159">
        <v>44011.0</v>
      </c>
      <c r="E1556" s="157" t="s">
        <v>731</v>
      </c>
      <c r="F1556" s="160">
        <v>91861.16</v>
      </c>
      <c r="G1556" s="160">
        <v>14697.79</v>
      </c>
      <c r="H1556" s="160">
        <f t="shared" si="46"/>
        <v>106558.95</v>
      </c>
      <c r="I1556" s="160"/>
      <c r="J1556" s="161"/>
      <c r="K1556" s="160"/>
      <c r="L1556" s="160">
        <f>+'FACP$'!$H1556-'FACP$'!$I1556-'FACP$'!$K1556</f>
        <v>106558.95</v>
      </c>
      <c r="M1556" s="162" t="s">
        <v>1644</v>
      </c>
      <c r="N1556" s="162" t="s">
        <v>554</v>
      </c>
      <c r="O1556" s="175">
        <v>44047.0</v>
      </c>
      <c r="P1556" s="164">
        <f t="shared" si="13"/>
        <v>44021</v>
      </c>
      <c r="Q1556" s="165">
        <f t="shared" si="2"/>
        <v>0</v>
      </c>
      <c r="R1556" s="167"/>
      <c r="S1556" s="167" t="s">
        <v>910</v>
      </c>
      <c r="T1556" s="168">
        <f t="shared" si="3"/>
        <v>106558.95</v>
      </c>
      <c r="U1556" s="168">
        <f t="shared" si="4"/>
        <v>0</v>
      </c>
      <c r="V1556" s="168">
        <f t="shared" si="5"/>
        <v>0</v>
      </c>
      <c r="W1556" s="168">
        <f t="shared" si="6"/>
        <v>0</v>
      </c>
      <c r="X1556" s="168">
        <f t="shared" si="7"/>
        <v>0</v>
      </c>
      <c r="Y1556" s="168">
        <f t="shared" si="8"/>
        <v>0</v>
      </c>
      <c r="Z1556" s="168">
        <f t="shared" si="9"/>
        <v>0</v>
      </c>
    </row>
    <row r="1557" ht="14.25" customHeight="1">
      <c r="A1557" s="157" t="s">
        <v>1645</v>
      </c>
      <c r="B1557" s="158" t="s">
        <v>27</v>
      </c>
      <c r="C1557" s="158" t="s">
        <v>1617</v>
      </c>
      <c r="D1557" s="159">
        <v>44011.0</v>
      </c>
      <c r="E1557" s="157" t="s">
        <v>731</v>
      </c>
      <c r="F1557" s="160">
        <v>102045.58</v>
      </c>
      <c r="G1557" s="160">
        <v>16327.29</v>
      </c>
      <c r="H1557" s="160">
        <f t="shared" si="46"/>
        <v>118372.87</v>
      </c>
      <c r="I1557" s="160"/>
      <c r="J1557" s="161"/>
      <c r="K1557" s="160"/>
      <c r="L1557" s="160">
        <f>+'FACP$'!$H1557-'FACP$'!$I1557-'FACP$'!$K1557</f>
        <v>118372.87</v>
      </c>
      <c r="M1557" s="162" t="s">
        <v>1644</v>
      </c>
      <c r="N1557" s="162" t="s">
        <v>554</v>
      </c>
      <c r="O1557" s="175">
        <v>44056.0</v>
      </c>
      <c r="P1557" s="164">
        <f t="shared" si="13"/>
        <v>44021</v>
      </c>
      <c r="Q1557" s="165">
        <f t="shared" si="2"/>
        <v>0</v>
      </c>
      <c r="R1557" s="167"/>
      <c r="S1557" s="167" t="s">
        <v>910</v>
      </c>
      <c r="T1557" s="168">
        <f t="shared" si="3"/>
        <v>118372.87</v>
      </c>
      <c r="U1557" s="168">
        <f t="shared" si="4"/>
        <v>0</v>
      </c>
      <c r="V1557" s="168">
        <f t="shared" si="5"/>
        <v>0</v>
      </c>
      <c r="W1557" s="168">
        <f t="shared" si="6"/>
        <v>0</v>
      </c>
      <c r="X1557" s="168">
        <f t="shared" si="7"/>
        <v>0</v>
      </c>
      <c r="Y1557" s="168">
        <f t="shared" si="8"/>
        <v>0</v>
      </c>
      <c r="Z1557" s="168">
        <f t="shared" si="9"/>
        <v>0</v>
      </c>
    </row>
    <row r="1558" ht="14.25" customHeight="1">
      <c r="A1558" s="157" t="s">
        <v>1646</v>
      </c>
      <c r="B1558" s="158" t="s">
        <v>37</v>
      </c>
      <c r="C1558" s="158" t="s">
        <v>1591</v>
      </c>
      <c r="D1558" s="159">
        <v>44011.0</v>
      </c>
      <c r="E1558" s="157" t="s">
        <v>731</v>
      </c>
      <c r="F1558" s="160">
        <v>38376.0</v>
      </c>
      <c r="G1558" s="160">
        <v>6140.16</v>
      </c>
      <c r="H1558" s="160">
        <f t="shared" si="46"/>
        <v>44516.16</v>
      </c>
      <c r="I1558" s="160"/>
      <c r="J1558" s="161"/>
      <c r="K1558" s="160"/>
      <c r="L1558" s="160">
        <f>+'FACP$'!$H1558-'FACP$'!$I1558-'FACP$'!$K1558</f>
        <v>44516.16</v>
      </c>
      <c r="M1558" s="162" t="s">
        <v>116</v>
      </c>
      <c r="N1558" s="162" t="s">
        <v>554</v>
      </c>
      <c r="O1558" s="175">
        <v>44067.0</v>
      </c>
      <c r="P1558" s="164">
        <f t="shared" si="13"/>
        <v>44021</v>
      </c>
      <c r="Q1558" s="165">
        <f t="shared" si="2"/>
        <v>0</v>
      </c>
      <c r="R1558" s="167"/>
      <c r="S1558" s="167" t="s">
        <v>910</v>
      </c>
      <c r="T1558" s="168">
        <f t="shared" si="3"/>
        <v>44516.16</v>
      </c>
      <c r="U1558" s="168">
        <f t="shared" si="4"/>
        <v>0</v>
      </c>
      <c r="V1558" s="168">
        <f t="shared" si="5"/>
        <v>0</v>
      </c>
      <c r="W1558" s="168">
        <f t="shared" si="6"/>
        <v>0</v>
      </c>
      <c r="X1558" s="168">
        <f t="shared" si="7"/>
        <v>0</v>
      </c>
      <c r="Y1558" s="168">
        <f t="shared" si="8"/>
        <v>0</v>
      </c>
      <c r="Z1558" s="168">
        <f t="shared" si="9"/>
        <v>0</v>
      </c>
    </row>
    <row r="1559" ht="14.25" customHeight="1">
      <c r="A1559" s="157" t="s">
        <v>1647</v>
      </c>
      <c r="B1559" s="158" t="s">
        <v>37</v>
      </c>
      <c r="C1559" s="158" t="s">
        <v>1591</v>
      </c>
      <c r="D1559" s="159">
        <v>44011.0</v>
      </c>
      <c r="E1559" s="157" t="s">
        <v>731</v>
      </c>
      <c r="F1559" s="160">
        <v>38376.0</v>
      </c>
      <c r="G1559" s="160">
        <v>6140.16</v>
      </c>
      <c r="H1559" s="160">
        <f t="shared" si="46"/>
        <v>44516.16</v>
      </c>
      <c r="I1559" s="160"/>
      <c r="J1559" s="161"/>
      <c r="K1559" s="160"/>
      <c r="L1559" s="160">
        <f>+'FACP$'!$H1559-'FACP$'!$I1559-'FACP$'!$K1559</f>
        <v>44516.16</v>
      </c>
      <c r="M1559" s="162" t="s">
        <v>116</v>
      </c>
      <c r="N1559" s="162" t="s">
        <v>554</v>
      </c>
      <c r="O1559" s="175">
        <v>44067.0</v>
      </c>
      <c r="P1559" s="164">
        <f t="shared" si="13"/>
        <v>44021</v>
      </c>
      <c r="Q1559" s="165">
        <f t="shared" si="2"/>
        <v>0</v>
      </c>
      <c r="R1559" s="167"/>
      <c r="S1559" s="167" t="s">
        <v>910</v>
      </c>
      <c r="T1559" s="168">
        <f t="shared" si="3"/>
        <v>44516.16</v>
      </c>
      <c r="U1559" s="168">
        <f t="shared" si="4"/>
        <v>0</v>
      </c>
      <c r="V1559" s="168">
        <f t="shared" si="5"/>
        <v>0</v>
      </c>
      <c r="W1559" s="168">
        <f t="shared" si="6"/>
        <v>0</v>
      </c>
      <c r="X1559" s="168">
        <f t="shared" si="7"/>
        <v>0</v>
      </c>
      <c r="Y1559" s="168">
        <f t="shared" si="8"/>
        <v>0</v>
      </c>
      <c r="Z1559" s="168">
        <f t="shared" si="9"/>
        <v>0</v>
      </c>
    </row>
    <row r="1560" ht="14.25" customHeight="1">
      <c r="A1560" s="157" t="s">
        <v>1648</v>
      </c>
      <c r="B1560" s="158" t="s">
        <v>16</v>
      </c>
      <c r="C1560" s="158" t="s">
        <v>1591</v>
      </c>
      <c r="D1560" s="159">
        <v>44011.0</v>
      </c>
      <c r="E1560" s="157" t="s">
        <v>731</v>
      </c>
      <c r="F1560" s="160">
        <v>11316.0</v>
      </c>
      <c r="G1560" s="160">
        <v>1810.56</v>
      </c>
      <c r="H1560" s="160">
        <f t="shared" si="46"/>
        <v>13126.56</v>
      </c>
      <c r="I1560" s="160"/>
      <c r="J1560" s="161"/>
      <c r="K1560" s="160"/>
      <c r="L1560" s="160">
        <f>+'FACP$'!$H1560-'FACP$'!$I1560-'FACP$'!$K1560</f>
        <v>13126.56</v>
      </c>
      <c r="M1560" s="162" t="s">
        <v>985</v>
      </c>
      <c r="N1560" s="162" t="s">
        <v>554</v>
      </c>
      <c r="O1560" s="175">
        <v>44062.0</v>
      </c>
      <c r="P1560" s="164">
        <f t="shared" si="13"/>
        <v>44021</v>
      </c>
      <c r="Q1560" s="165">
        <f t="shared" si="2"/>
        <v>0</v>
      </c>
      <c r="R1560" s="167"/>
      <c r="S1560" s="167"/>
      <c r="T1560" s="168">
        <f t="shared" si="3"/>
        <v>13126.56</v>
      </c>
      <c r="U1560" s="168">
        <f t="shared" si="4"/>
        <v>0</v>
      </c>
      <c r="V1560" s="168">
        <f t="shared" si="5"/>
        <v>0</v>
      </c>
      <c r="W1560" s="168">
        <f t="shared" si="6"/>
        <v>0</v>
      </c>
      <c r="X1560" s="168">
        <f t="shared" si="7"/>
        <v>0</v>
      </c>
      <c r="Y1560" s="168">
        <f t="shared" si="8"/>
        <v>0</v>
      </c>
      <c r="Z1560" s="168">
        <f t="shared" si="9"/>
        <v>0</v>
      </c>
    </row>
    <row r="1561" ht="14.25" customHeight="1">
      <c r="A1561" s="157" t="s">
        <v>1649</v>
      </c>
      <c r="B1561" s="158" t="s">
        <v>127</v>
      </c>
      <c r="C1561" s="158"/>
      <c r="D1561" s="159"/>
      <c r="E1561" s="157"/>
      <c r="F1561" s="160"/>
      <c r="G1561" s="160"/>
      <c r="H1561" s="160">
        <f t="shared" si="46"/>
        <v>0</v>
      </c>
      <c r="I1561" s="160"/>
      <c r="J1561" s="161"/>
      <c r="K1561" s="160"/>
      <c r="L1561" s="160">
        <f>+'FACP$'!$H1561-'FACP$'!$I1561-'FACP$'!$K1561</f>
        <v>0</v>
      </c>
      <c r="M1561" s="162"/>
      <c r="N1561" s="162" t="s">
        <v>127</v>
      </c>
      <c r="O1561" s="175"/>
      <c r="P1561" s="164">
        <f t="shared" si="13"/>
        <v>10</v>
      </c>
      <c r="Q1561" s="165">
        <f t="shared" si="2"/>
        <v>0</v>
      </c>
      <c r="R1561" s="167"/>
      <c r="S1561" s="167"/>
      <c r="T1561" s="168">
        <f t="shared" si="3"/>
        <v>0</v>
      </c>
      <c r="U1561" s="168">
        <f t="shared" si="4"/>
        <v>0</v>
      </c>
      <c r="V1561" s="168">
        <f t="shared" si="5"/>
        <v>0</v>
      </c>
      <c r="W1561" s="168">
        <f t="shared" si="6"/>
        <v>0</v>
      </c>
      <c r="X1561" s="168">
        <f t="shared" si="7"/>
        <v>0</v>
      </c>
      <c r="Y1561" s="168">
        <f t="shared" si="8"/>
        <v>0</v>
      </c>
      <c r="Z1561" s="168">
        <f t="shared" si="9"/>
        <v>0</v>
      </c>
    </row>
    <row r="1562" ht="14.25" customHeight="1">
      <c r="A1562" s="157" t="s">
        <v>1650</v>
      </c>
      <c r="B1562" s="158" t="s">
        <v>37</v>
      </c>
      <c r="C1562" s="158" t="s">
        <v>1591</v>
      </c>
      <c r="D1562" s="159">
        <v>44012.0</v>
      </c>
      <c r="E1562" s="157" t="s">
        <v>731</v>
      </c>
      <c r="F1562" s="160">
        <v>38376.0</v>
      </c>
      <c r="G1562" s="160">
        <v>6140.16</v>
      </c>
      <c r="H1562" s="160">
        <f t="shared" si="46"/>
        <v>44516.16</v>
      </c>
      <c r="I1562" s="160"/>
      <c r="J1562" s="161"/>
      <c r="K1562" s="160"/>
      <c r="L1562" s="160">
        <f>+'FACP$'!$H1562-'FACP$'!$I1562-'FACP$'!$K1562</f>
        <v>44516.16</v>
      </c>
      <c r="M1562" s="162" t="s">
        <v>116</v>
      </c>
      <c r="N1562" s="162" t="s">
        <v>554</v>
      </c>
      <c r="O1562" s="175">
        <v>44067.0</v>
      </c>
      <c r="P1562" s="164">
        <f t="shared" si="13"/>
        <v>44022</v>
      </c>
      <c r="Q1562" s="165">
        <f t="shared" si="2"/>
        <v>0</v>
      </c>
      <c r="R1562" s="167"/>
      <c r="S1562" s="167" t="s">
        <v>910</v>
      </c>
      <c r="T1562" s="168">
        <f t="shared" si="3"/>
        <v>44516.16</v>
      </c>
      <c r="U1562" s="168">
        <f t="shared" si="4"/>
        <v>0</v>
      </c>
      <c r="V1562" s="168">
        <f t="shared" si="5"/>
        <v>0</v>
      </c>
      <c r="W1562" s="168">
        <f t="shared" si="6"/>
        <v>0</v>
      </c>
      <c r="X1562" s="168">
        <f t="shared" si="7"/>
        <v>0</v>
      </c>
      <c r="Y1562" s="168">
        <f t="shared" si="8"/>
        <v>0</v>
      </c>
      <c r="Z1562" s="168">
        <f t="shared" si="9"/>
        <v>0</v>
      </c>
    </row>
    <row r="1563" ht="14.25" customHeight="1">
      <c r="A1563" s="157" t="s">
        <v>1651</v>
      </c>
      <c r="B1563" s="158" t="s">
        <v>37</v>
      </c>
      <c r="C1563" s="158" t="s">
        <v>1591</v>
      </c>
      <c r="D1563" s="159">
        <v>44012.0</v>
      </c>
      <c r="E1563" s="157" t="s">
        <v>731</v>
      </c>
      <c r="F1563" s="160">
        <v>38376.0</v>
      </c>
      <c r="G1563" s="160">
        <v>6140.16</v>
      </c>
      <c r="H1563" s="160">
        <f t="shared" si="46"/>
        <v>44516.16</v>
      </c>
      <c r="I1563" s="160"/>
      <c r="J1563" s="161"/>
      <c r="K1563" s="160"/>
      <c r="L1563" s="160">
        <f>+'FACP$'!$H1563-'FACP$'!$I1563-'FACP$'!$K1563</f>
        <v>44516.16</v>
      </c>
      <c r="M1563" s="162" t="s">
        <v>116</v>
      </c>
      <c r="N1563" s="162" t="s">
        <v>554</v>
      </c>
      <c r="O1563" s="175">
        <v>44067.0</v>
      </c>
      <c r="P1563" s="164">
        <f t="shared" si="13"/>
        <v>44022</v>
      </c>
      <c r="Q1563" s="165">
        <f t="shared" si="2"/>
        <v>0</v>
      </c>
      <c r="R1563" s="167"/>
      <c r="S1563" s="167" t="s">
        <v>910</v>
      </c>
      <c r="T1563" s="168">
        <f t="shared" si="3"/>
        <v>44516.16</v>
      </c>
      <c r="U1563" s="168">
        <f t="shared" si="4"/>
        <v>0</v>
      </c>
      <c r="V1563" s="168">
        <f t="shared" si="5"/>
        <v>0</v>
      </c>
      <c r="W1563" s="168">
        <f t="shared" si="6"/>
        <v>0</v>
      </c>
      <c r="X1563" s="168">
        <f t="shared" si="7"/>
        <v>0</v>
      </c>
      <c r="Y1563" s="168">
        <f t="shared" si="8"/>
        <v>0</v>
      </c>
      <c r="Z1563" s="168">
        <f t="shared" si="9"/>
        <v>0</v>
      </c>
    </row>
    <row r="1564" ht="14.25" customHeight="1">
      <c r="A1564" s="157" t="s">
        <v>1652</v>
      </c>
      <c r="B1564" s="158" t="s">
        <v>29</v>
      </c>
      <c r="C1564" s="158" t="s">
        <v>1591</v>
      </c>
      <c r="D1564" s="159">
        <v>44012.0</v>
      </c>
      <c r="E1564" s="157" t="s">
        <v>731</v>
      </c>
      <c r="F1564" s="160">
        <v>19188.0</v>
      </c>
      <c r="G1564" s="160">
        <v>3070.08</v>
      </c>
      <c r="H1564" s="160">
        <f t="shared" si="46"/>
        <v>22258.08</v>
      </c>
      <c r="I1564" s="160"/>
      <c r="J1564" s="161"/>
      <c r="K1564" s="160"/>
      <c r="L1564" s="160">
        <f>+'FACP$'!$H1564-'FACP$'!$I1564-'FACP$'!$K1564</f>
        <v>22258.08</v>
      </c>
      <c r="M1564" s="162" t="s">
        <v>130</v>
      </c>
      <c r="N1564" s="162" t="s">
        <v>554</v>
      </c>
      <c r="O1564" s="175">
        <v>44067.0</v>
      </c>
      <c r="P1564" s="164">
        <f t="shared" si="13"/>
        <v>44022</v>
      </c>
      <c r="Q1564" s="165">
        <f t="shared" si="2"/>
        <v>0</v>
      </c>
      <c r="R1564" s="167"/>
      <c r="S1564" s="167"/>
      <c r="T1564" s="168">
        <f t="shared" si="3"/>
        <v>22258.08</v>
      </c>
      <c r="U1564" s="168">
        <f t="shared" si="4"/>
        <v>0</v>
      </c>
      <c r="V1564" s="168">
        <f t="shared" si="5"/>
        <v>0</v>
      </c>
      <c r="W1564" s="168">
        <f t="shared" si="6"/>
        <v>0</v>
      </c>
      <c r="X1564" s="168">
        <f t="shared" si="7"/>
        <v>0</v>
      </c>
      <c r="Y1564" s="168">
        <f t="shared" si="8"/>
        <v>0</v>
      </c>
      <c r="Z1564" s="168">
        <f t="shared" si="9"/>
        <v>0</v>
      </c>
    </row>
    <row r="1565" ht="14.25" customHeight="1">
      <c r="A1565" s="157" t="s">
        <v>1653</v>
      </c>
      <c r="B1565" s="158" t="s">
        <v>16</v>
      </c>
      <c r="C1565" s="158" t="s">
        <v>1591</v>
      </c>
      <c r="D1565" s="159">
        <v>44012.0</v>
      </c>
      <c r="E1565" s="157" t="s">
        <v>731</v>
      </c>
      <c r="F1565" s="160">
        <v>11316.0</v>
      </c>
      <c r="G1565" s="160">
        <v>1810.56</v>
      </c>
      <c r="H1565" s="160">
        <f t="shared" si="46"/>
        <v>13126.56</v>
      </c>
      <c r="I1565" s="160"/>
      <c r="J1565" s="161"/>
      <c r="K1565" s="160"/>
      <c r="L1565" s="160">
        <f>+'FACP$'!$H1565-'FACP$'!$I1565-'FACP$'!$K1565</f>
        <v>13126.56</v>
      </c>
      <c r="M1565" s="162" t="s">
        <v>985</v>
      </c>
      <c r="N1565" s="162" t="s">
        <v>554</v>
      </c>
      <c r="O1565" s="175">
        <v>44062.0</v>
      </c>
      <c r="P1565" s="164">
        <f t="shared" si="13"/>
        <v>44022</v>
      </c>
      <c r="Q1565" s="165">
        <f t="shared" si="2"/>
        <v>0</v>
      </c>
      <c r="R1565" s="167"/>
      <c r="S1565" s="167"/>
      <c r="T1565" s="168">
        <f t="shared" si="3"/>
        <v>13126.56</v>
      </c>
      <c r="U1565" s="168">
        <f t="shared" si="4"/>
        <v>0</v>
      </c>
      <c r="V1565" s="168">
        <f t="shared" si="5"/>
        <v>0</v>
      </c>
      <c r="W1565" s="168">
        <f t="shared" si="6"/>
        <v>0</v>
      </c>
      <c r="X1565" s="168">
        <f t="shared" si="7"/>
        <v>0</v>
      </c>
      <c r="Y1565" s="168">
        <f t="shared" si="8"/>
        <v>0</v>
      </c>
      <c r="Z1565" s="168">
        <f t="shared" si="9"/>
        <v>0</v>
      </c>
    </row>
    <row r="1566" ht="14.25" customHeight="1">
      <c r="A1566" s="157" t="s">
        <v>1654</v>
      </c>
      <c r="B1566" s="158" t="s">
        <v>37</v>
      </c>
      <c r="C1566" s="158" t="s">
        <v>1591</v>
      </c>
      <c r="D1566" s="159">
        <v>44012.0</v>
      </c>
      <c r="E1566" s="157" t="s">
        <v>731</v>
      </c>
      <c r="F1566" s="160">
        <v>38376.0</v>
      </c>
      <c r="G1566" s="160">
        <v>6140.16</v>
      </c>
      <c r="H1566" s="160">
        <f t="shared" si="46"/>
        <v>44516.16</v>
      </c>
      <c r="I1566" s="160"/>
      <c r="J1566" s="161"/>
      <c r="K1566" s="160"/>
      <c r="L1566" s="160">
        <f>+'FACP$'!$H1566-'FACP$'!$I1566-'FACP$'!$K1566</f>
        <v>44516.16</v>
      </c>
      <c r="M1566" s="162" t="s">
        <v>116</v>
      </c>
      <c r="N1566" s="162" t="s">
        <v>554</v>
      </c>
      <c r="O1566" s="175">
        <v>44067.0</v>
      </c>
      <c r="P1566" s="164">
        <f t="shared" si="13"/>
        <v>44022</v>
      </c>
      <c r="Q1566" s="165">
        <f t="shared" si="2"/>
        <v>0</v>
      </c>
      <c r="R1566" s="167"/>
      <c r="S1566" s="167" t="s">
        <v>910</v>
      </c>
      <c r="T1566" s="168">
        <f t="shared" si="3"/>
        <v>44516.16</v>
      </c>
      <c r="U1566" s="168">
        <f t="shared" si="4"/>
        <v>0</v>
      </c>
      <c r="V1566" s="168">
        <f t="shared" si="5"/>
        <v>0</v>
      </c>
      <c r="W1566" s="168">
        <f t="shared" si="6"/>
        <v>0</v>
      </c>
      <c r="X1566" s="168">
        <f t="shared" si="7"/>
        <v>0</v>
      </c>
      <c r="Y1566" s="168">
        <f t="shared" si="8"/>
        <v>0</v>
      </c>
      <c r="Z1566" s="168">
        <f t="shared" si="9"/>
        <v>0</v>
      </c>
    </row>
    <row r="1567" ht="14.25" customHeight="1">
      <c r="A1567" s="157" t="s">
        <v>1655</v>
      </c>
      <c r="B1567" s="158" t="s">
        <v>37</v>
      </c>
      <c r="C1567" s="158" t="s">
        <v>1591</v>
      </c>
      <c r="D1567" s="159">
        <v>44012.0</v>
      </c>
      <c r="E1567" s="157" t="s">
        <v>731</v>
      </c>
      <c r="F1567" s="160">
        <v>38376.0</v>
      </c>
      <c r="G1567" s="160">
        <v>6140.16</v>
      </c>
      <c r="H1567" s="160">
        <f t="shared" si="46"/>
        <v>44516.16</v>
      </c>
      <c r="I1567" s="160"/>
      <c r="J1567" s="161"/>
      <c r="K1567" s="160"/>
      <c r="L1567" s="160">
        <f>+'FACP$'!$H1567-'FACP$'!$I1567-'FACP$'!$K1567</f>
        <v>44516.16</v>
      </c>
      <c r="M1567" s="162" t="s">
        <v>116</v>
      </c>
      <c r="N1567" s="162" t="s">
        <v>554</v>
      </c>
      <c r="O1567" s="175">
        <v>44067.0</v>
      </c>
      <c r="P1567" s="164">
        <f t="shared" si="13"/>
        <v>44022</v>
      </c>
      <c r="Q1567" s="165">
        <f t="shared" si="2"/>
        <v>0</v>
      </c>
      <c r="R1567" s="167"/>
      <c r="S1567" s="167" t="s">
        <v>910</v>
      </c>
      <c r="T1567" s="168">
        <f t="shared" si="3"/>
        <v>44516.16</v>
      </c>
      <c r="U1567" s="168">
        <f t="shared" si="4"/>
        <v>0</v>
      </c>
      <c r="V1567" s="168">
        <f t="shared" si="5"/>
        <v>0</v>
      </c>
      <c r="W1567" s="168">
        <f t="shared" si="6"/>
        <v>0</v>
      </c>
      <c r="X1567" s="168">
        <f t="shared" si="7"/>
        <v>0</v>
      </c>
      <c r="Y1567" s="168">
        <f t="shared" si="8"/>
        <v>0</v>
      </c>
      <c r="Z1567" s="168">
        <f t="shared" si="9"/>
        <v>0</v>
      </c>
    </row>
    <row r="1568" ht="14.25" customHeight="1">
      <c r="A1568" s="157" t="s">
        <v>1656</v>
      </c>
      <c r="B1568" s="158" t="s">
        <v>16</v>
      </c>
      <c r="C1568" s="158" t="s">
        <v>1591</v>
      </c>
      <c r="D1568" s="159">
        <v>44012.0</v>
      </c>
      <c r="E1568" s="157" t="s">
        <v>731</v>
      </c>
      <c r="F1568" s="160">
        <v>11316.0</v>
      </c>
      <c r="G1568" s="160">
        <v>1810.56</v>
      </c>
      <c r="H1568" s="160">
        <f t="shared" si="46"/>
        <v>13126.56</v>
      </c>
      <c r="I1568" s="160"/>
      <c r="J1568" s="161"/>
      <c r="K1568" s="160"/>
      <c r="L1568" s="160">
        <f>+'FACP$'!$H1568-'FACP$'!$I1568-'FACP$'!$K1568</f>
        <v>13126.56</v>
      </c>
      <c r="M1568" s="162" t="s">
        <v>985</v>
      </c>
      <c r="N1568" s="162" t="s">
        <v>554</v>
      </c>
      <c r="O1568" s="175">
        <v>44062.0</v>
      </c>
      <c r="P1568" s="164">
        <f t="shared" si="13"/>
        <v>44022</v>
      </c>
      <c r="Q1568" s="165">
        <f t="shared" si="2"/>
        <v>0</v>
      </c>
      <c r="R1568" s="167"/>
      <c r="S1568" s="167"/>
      <c r="T1568" s="168">
        <f t="shared" si="3"/>
        <v>13126.56</v>
      </c>
      <c r="U1568" s="168">
        <f t="shared" si="4"/>
        <v>0</v>
      </c>
      <c r="V1568" s="168">
        <f t="shared" si="5"/>
        <v>0</v>
      </c>
      <c r="W1568" s="168">
        <f t="shared" si="6"/>
        <v>0</v>
      </c>
      <c r="X1568" s="168">
        <f t="shared" si="7"/>
        <v>0</v>
      </c>
      <c r="Y1568" s="168">
        <f t="shared" si="8"/>
        <v>0</v>
      </c>
      <c r="Z1568" s="168">
        <f t="shared" si="9"/>
        <v>0</v>
      </c>
    </row>
    <row r="1569" ht="14.25" customHeight="1">
      <c r="A1569" s="157" t="s">
        <v>1657</v>
      </c>
      <c r="B1569" s="158" t="s">
        <v>29</v>
      </c>
      <c r="C1569" s="158" t="s">
        <v>1658</v>
      </c>
      <c r="D1569" s="159">
        <v>44013.0</v>
      </c>
      <c r="E1569" s="157" t="s">
        <v>731</v>
      </c>
      <c r="F1569" s="160">
        <v>19188.0</v>
      </c>
      <c r="G1569" s="160">
        <v>3070.08</v>
      </c>
      <c r="H1569" s="160">
        <f t="shared" si="46"/>
        <v>22258.08</v>
      </c>
      <c r="I1569" s="160"/>
      <c r="J1569" s="161"/>
      <c r="K1569" s="160"/>
      <c r="L1569" s="160">
        <f>+'FACP$'!$H1569-'FACP$'!$I1569-'FACP$'!$K1569</f>
        <v>22258.08</v>
      </c>
      <c r="M1569" s="162" t="s">
        <v>130</v>
      </c>
      <c r="N1569" s="162" t="s">
        <v>554</v>
      </c>
      <c r="O1569" s="175">
        <v>44067.0</v>
      </c>
      <c r="P1569" s="164">
        <f t="shared" si="13"/>
        <v>44023</v>
      </c>
      <c r="Q1569" s="165">
        <f t="shared" si="2"/>
        <v>0</v>
      </c>
      <c r="R1569" s="167" t="s">
        <v>1659</v>
      </c>
      <c r="S1569" s="167"/>
      <c r="T1569" s="168">
        <f t="shared" si="3"/>
        <v>22258.08</v>
      </c>
      <c r="U1569" s="168">
        <f t="shared" si="4"/>
        <v>0</v>
      </c>
      <c r="V1569" s="168">
        <f t="shared" si="5"/>
        <v>0</v>
      </c>
      <c r="W1569" s="168">
        <f t="shared" si="6"/>
        <v>0</v>
      </c>
      <c r="X1569" s="168">
        <f t="shared" si="7"/>
        <v>0</v>
      </c>
      <c r="Y1569" s="168">
        <f t="shared" si="8"/>
        <v>0</v>
      </c>
      <c r="Z1569" s="168">
        <f t="shared" si="9"/>
        <v>0</v>
      </c>
    </row>
    <row r="1570" ht="14.25" customHeight="1">
      <c r="A1570" s="157" t="s">
        <v>1660</v>
      </c>
      <c r="B1570" s="158" t="s">
        <v>37</v>
      </c>
      <c r="C1570" s="158" t="s">
        <v>1658</v>
      </c>
      <c r="D1570" s="159">
        <v>44013.0</v>
      </c>
      <c r="E1570" s="157" t="s">
        <v>731</v>
      </c>
      <c r="F1570" s="160">
        <v>38376.0</v>
      </c>
      <c r="G1570" s="160">
        <v>6140.16</v>
      </c>
      <c r="H1570" s="160">
        <f t="shared" si="46"/>
        <v>44516.16</v>
      </c>
      <c r="I1570" s="160"/>
      <c r="J1570" s="161"/>
      <c r="K1570" s="160"/>
      <c r="L1570" s="160">
        <f>+'FACP$'!$H1570-'FACP$'!$I1570-'FACP$'!$K1570</f>
        <v>44516.16</v>
      </c>
      <c r="M1570" s="162" t="s">
        <v>116</v>
      </c>
      <c r="N1570" s="162" t="s">
        <v>554</v>
      </c>
      <c r="O1570" s="175">
        <v>44081.0</v>
      </c>
      <c r="P1570" s="164">
        <f t="shared" si="13"/>
        <v>44023</v>
      </c>
      <c r="Q1570" s="165">
        <f t="shared" si="2"/>
        <v>0</v>
      </c>
      <c r="R1570" s="167"/>
      <c r="S1570" s="220" t="s">
        <v>910</v>
      </c>
      <c r="T1570" s="168">
        <f t="shared" si="3"/>
        <v>44516.16</v>
      </c>
      <c r="U1570" s="168">
        <f t="shared" si="4"/>
        <v>0</v>
      </c>
      <c r="V1570" s="168">
        <f t="shared" si="5"/>
        <v>0</v>
      </c>
      <c r="W1570" s="168">
        <f t="shared" si="6"/>
        <v>0</v>
      </c>
      <c r="X1570" s="168">
        <f t="shared" si="7"/>
        <v>0</v>
      </c>
      <c r="Y1570" s="168">
        <f t="shared" si="8"/>
        <v>0</v>
      </c>
      <c r="Z1570" s="168">
        <f t="shared" si="9"/>
        <v>0</v>
      </c>
    </row>
    <row r="1571" ht="14.25" customHeight="1">
      <c r="A1571" s="157" t="s">
        <v>1661</v>
      </c>
      <c r="B1571" s="158" t="s">
        <v>127</v>
      </c>
      <c r="C1571" s="158"/>
      <c r="D1571" s="159"/>
      <c r="E1571" s="157"/>
      <c r="F1571" s="160"/>
      <c r="G1571" s="160"/>
      <c r="H1571" s="160">
        <f t="shared" si="46"/>
        <v>0</v>
      </c>
      <c r="I1571" s="160"/>
      <c r="J1571" s="161"/>
      <c r="K1571" s="160"/>
      <c r="L1571" s="160">
        <f>+'FACP$'!$H1571-'FACP$'!$I1571-'FACP$'!$K1571</f>
        <v>0</v>
      </c>
      <c r="M1571" s="162"/>
      <c r="N1571" s="162" t="s">
        <v>127</v>
      </c>
      <c r="O1571" s="175"/>
      <c r="P1571" s="164">
        <f t="shared" si="13"/>
        <v>10</v>
      </c>
      <c r="Q1571" s="165">
        <f t="shared" si="2"/>
        <v>0</v>
      </c>
      <c r="R1571" s="167"/>
      <c r="S1571" s="167"/>
      <c r="T1571" s="168">
        <f t="shared" si="3"/>
        <v>0</v>
      </c>
      <c r="U1571" s="168">
        <f t="shared" si="4"/>
        <v>0</v>
      </c>
      <c r="V1571" s="168">
        <f t="shared" si="5"/>
        <v>0</v>
      </c>
      <c r="W1571" s="168">
        <f t="shared" si="6"/>
        <v>0</v>
      </c>
      <c r="X1571" s="168">
        <f t="shared" si="7"/>
        <v>0</v>
      </c>
      <c r="Y1571" s="168">
        <f t="shared" si="8"/>
        <v>0</v>
      </c>
      <c r="Z1571" s="168">
        <f t="shared" si="9"/>
        <v>0</v>
      </c>
    </row>
    <row r="1572" ht="14.25" customHeight="1">
      <c r="A1572" s="157" t="s">
        <v>1662</v>
      </c>
      <c r="B1572" s="158" t="s">
        <v>37</v>
      </c>
      <c r="C1572" s="158" t="s">
        <v>1658</v>
      </c>
      <c r="D1572" s="159">
        <v>44013.0</v>
      </c>
      <c r="E1572" s="157" t="s">
        <v>731</v>
      </c>
      <c r="F1572" s="160">
        <v>38376.0</v>
      </c>
      <c r="G1572" s="160">
        <v>6140.16</v>
      </c>
      <c r="H1572" s="160">
        <f t="shared" si="46"/>
        <v>44516.16</v>
      </c>
      <c r="I1572" s="160"/>
      <c r="J1572" s="161"/>
      <c r="K1572" s="160"/>
      <c r="L1572" s="160">
        <f>+'FACP$'!$H1572-'FACP$'!$I1572-'FACP$'!$K1572</f>
        <v>44516.16</v>
      </c>
      <c r="M1572" s="162" t="s">
        <v>116</v>
      </c>
      <c r="N1572" s="162" t="s">
        <v>554</v>
      </c>
      <c r="O1572" s="175">
        <v>44081.0</v>
      </c>
      <c r="P1572" s="164">
        <f t="shared" si="13"/>
        <v>44023</v>
      </c>
      <c r="Q1572" s="165">
        <f t="shared" si="2"/>
        <v>0</v>
      </c>
      <c r="R1572" s="167"/>
      <c r="S1572" s="220" t="s">
        <v>910</v>
      </c>
      <c r="T1572" s="168">
        <f t="shared" si="3"/>
        <v>44516.16</v>
      </c>
      <c r="U1572" s="168">
        <f t="shared" si="4"/>
        <v>0</v>
      </c>
      <c r="V1572" s="168">
        <f t="shared" si="5"/>
        <v>0</v>
      </c>
      <c r="W1572" s="168">
        <f t="shared" si="6"/>
        <v>0</v>
      </c>
      <c r="X1572" s="168">
        <f t="shared" si="7"/>
        <v>0</v>
      </c>
      <c r="Y1572" s="168">
        <f t="shared" si="8"/>
        <v>0</v>
      </c>
      <c r="Z1572" s="168">
        <f t="shared" si="9"/>
        <v>0</v>
      </c>
    </row>
    <row r="1573" ht="14.25" customHeight="1">
      <c r="A1573" s="157" t="s">
        <v>1663</v>
      </c>
      <c r="B1573" s="158" t="s">
        <v>16</v>
      </c>
      <c r="C1573" s="158" t="s">
        <v>1658</v>
      </c>
      <c r="D1573" s="159">
        <v>44013.0</v>
      </c>
      <c r="E1573" s="157" t="s">
        <v>731</v>
      </c>
      <c r="F1573" s="160">
        <v>11316.0</v>
      </c>
      <c r="G1573" s="160">
        <v>1810.56</v>
      </c>
      <c r="H1573" s="160">
        <f t="shared" si="46"/>
        <v>13126.56</v>
      </c>
      <c r="I1573" s="160"/>
      <c r="J1573" s="161"/>
      <c r="K1573" s="160"/>
      <c r="L1573" s="160">
        <f>+'FACP$'!$H1573-'FACP$'!$I1573-'FACP$'!$K1573</f>
        <v>13126.56</v>
      </c>
      <c r="M1573" s="162" t="s">
        <v>985</v>
      </c>
      <c r="N1573" s="162" t="s">
        <v>1664</v>
      </c>
      <c r="O1573" s="175">
        <v>44070.0</v>
      </c>
      <c r="P1573" s="164">
        <f t="shared" si="13"/>
        <v>44023</v>
      </c>
      <c r="Q1573" s="165" t="b">
        <f t="shared" si="2"/>
        <v>0</v>
      </c>
      <c r="R1573" s="167"/>
      <c r="S1573" s="167"/>
      <c r="T1573" s="168">
        <f t="shared" si="3"/>
        <v>0</v>
      </c>
      <c r="U1573" s="168">
        <f t="shared" si="4"/>
        <v>0</v>
      </c>
      <c r="V1573" s="168">
        <f t="shared" si="5"/>
        <v>0</v>
      </c>
      <c r="W1573" s="168">
        <f t="shared" si="6"/>
        <v>0</v>
      </c>
      <c r="X1573" s="168">
        <f t="shared" si="7"/>
        <v>0</v>
      </c>
      <c r="Y1573" s="168">
        <f t="shared" si="8"/>
        <v>0</v>
      </c>
      <c r="Z1573" s="168">
        <f t="shared" si="9"/>
        <v>13126.56</v>
      </c>
    </row>
    <row r="1574" ht="14.25" customHeight="1">
      <c r="A1574" s="157" t="s">
        <v>1665</v>
      </c>
      <c r="B1574" s="158" t="s">
        <v>16</v>
      </c>
      <c r="C1574" s="158" t="s">
        <v>1658</v>
      </c>
      <c r="D1574" s="159">
        <v>44013.0</v>
      </c>
      <c r="E1574" s="157" t="s">
        <v>731</v>
      </c>
      <c r="F1574" s="160">
        <v>11316.0</v>
      </c>
      <c r="G1574" s="160">
        <v>1810.56</v>
      </c>
      <c r="H1574" s="160">
        <f t="shared" si="46"/>
        <v>13126.56</v>
      </c>
      <c r="I1574" s="160"/>
      <c r="J1574" s="161"/>
      <c r="K1574" s="160"/>
      <c r="L1574" s="160">
        <f>+'FACP$'!$H1574-'FACP$'!$I1574-'FACP$'!$K1574</f>
        <v>13126.56</v>
      </c>
      <c r="M1574" s="162" t="s">
        <v>985</v>
      </c>
      <c r="N1574" s="162" t="s">
        <v>1664</v>
      </c>
      <c r="O1574" s="175">
        <v>44070.0</v>
      </c>
      <c r="P1574" s="164">
        <f t="shared" si="13"/>
        <v>44023</v>
      </c>
      <c r="Q1574" s="165" t="b">
        <f t="shared" si="2"/>
        <v>0</v>
      </c>
      <c r="R1574" s="167"/>
      <c r="S1574" s="167"/>
      <c r="T1574" s="168">
        <f t="shared" si="3"/>
        <v>0</v>
      </c>
      <c r="U1574" s="168">
        <f t="shared" si="4"/>
        <v>0</v>
      </c>
      <c r="V1574" s="168">
        <f t="shared" si="5"/>
        <v>0</v>
      </c>
      <c r="W1574" s="168">
        <f t="shared" si="6"/>
        <v>0</v>
      </c>
      <c r="X1574" s="168">
        <f t="shared" si="7"/>
        <v>0</v>
      </c>
      <c r="Y1574" s="168">
        <f t="shared" si="8"/>
        <v>0</v>
      </c>
      <c r="Z1574" s="168">
        <f t="shared" si="9"/>
        <v>13126.56</v>
      </c>
    </row>
    <row r="1575" ht="14.25" customHeight="1">
      <c r="A1575" s="157" t="s">
        <v>1666</v>
      </c>
      <c r="B1575" s="158" t="s">
        <v>37</v>
      </c>
      <c r="C1575" s="158" t="s">
        <v>1658</v>
      </c>
      <c r="D1575" s="159">
        <v>44013.0</v>
      </c>
      <c r="E1575" s="157" t="s">
        <v>731</v>
      </c>
      <c r="F1575" s="160">
        <v>38376.0</v>
      </c>
      <c r="G1575" s="160">
        <v>6140.16</v>
      </c>
      <c r="H1575" s="160">
        <f t="shared" si="46"/>
        <v>44516.16</v>
      </c>
      <c r="I1575" s="160"/>
      <c r="J1575" s="161"/>
      <c r="K1575" s="160"/>
      <c r="L1575" s="160">
        <f>+'FACP$'!$H1575-'FACP$'!$I1575-'FACP$'!$K1575</f>
        <v>44516.16</v>
      </c>
      <c r="M1575" s="162" t="s">
        <v>116</v>
      </c>
      <c r="N1575" s="162" t="s">
        <v>554</v>
      </c>
      <c r="O1575" s="175">
        <v>44081.0</v>
      </c>
      <c r="P1575" s="164">
        <f t="shared" si="13"/>
        <v>44023</v>
      </c>
      <c r="Q1575" s="165">
        <f t="shared" si="2"/>
        <v>0</v>
      </c>
      <c r="R1575" s="167"/>
      <c r="S1575" s="220" t="s">
        <v>910</v>
      </c>
      <c r="T1575" s="168">
        <f t="shared" si="3"/>
        <v>44516.16</v>
      </c>
      <c r="U1575" s="168">
        <f t="shared" si="4"/>
        <v>0</v>
      </c>
      <c r="V1575" s="168">
        <f t="shared" si="5"/>
        <v>0</v>
      </c>
      <c r="W1575" s="168">
        <f t="shared" si="6"/>
        <v>0</v>
      </c>
      <c r="X1575" s="168">
        <f t="shared" si="7"/>
        <v>0</v>
      </c>
      <c r="Y1575" s="168">
        <f t="shared" si="8"/>
        <v>0</v>
      </c>
      <c r="Z1575" s="168">
        <f t="shared" si="9"/>
        <v>0</v>
      </c>
    </row>
    <row r="1576" ht="14.25" customHeight="1">
      <c r="A1576" s="157" t="s">
        <v>1667</v>
      </c>
      <c r="B1576" s="158" t="s">
        <v>16</v>
      </c>
      <c r="C1576" s="158" t="s">
        <v>1658</v>
      </c>
      <c r="D1576" s="159">
        <v>44014.0</v>
      </c>
      <c r="E1576" s="157" t="s">
        <v>731</v>
      </c>
      <c r="F1576" s="160">
        <v>11316.0</v>
      </c>
      <c r="G1576" s="160">
        <v>1810.56</v>
      </c>
      <c r="H1576" s="160">
        <f t="shared" si="46"/>
        <v>13126.56</v>
      </c>
      <c r="I1576" s="160"/>
      <c r="J1576" s="161"/>
      <c r="K1576" s="160"/>
      <c r="L1576" s="160">
        <f>+'FACP$'!$H1576-'FACP$'!$I1576-'FACP$'!$K1576</f>
        <v>13126.56</v>
      </c>
      <c r="M1576" s="162" t="s">
        <v>985</v>
      </c>
      <c r="N1576" s="162" t="s">
        <v>1664</v>
      </c>
      <c r="O1576" s="175">
        <v>44070.0</v>
      </c>
      <c r="P1576" s="164">
        <f t="shared" si="13"/>
        <v>44024</v>
      </c>
      <c r="Q1576" s="165" t="b">
        <f t="shared" si="2"/>
        <v>0</v>
      </c>
      <c r="R1576" s="167"/>
      <c r="S1576" s="167"/>
      <c r="T1576" s="168">
        <f t="shared" si="3"/>
        <v>0</v>
      </c>
      <c r="U1576" s="168">
        <f t="shared" si="4"/>
        <v>0</v>
      </c>
      <c r="V1576" s="168">
        <f t="shared" si="5"/>
        <v>0</v>
      </c>
      <c r="W1576" s="168">
        <f t="shared" si="6"/>
        <v>0</v>
      </c>
      <c r="X1576" s="168">
        <f t="shared" si="7"/>
        <v>0</v>
      </c>
      <c r="Y1576" s="168">
        <f t="shared" si="8"/>
        <v>0</v>
      </c>
      <c r="Z1576" s="168">
        <f t="shared" si="9"/>
        <v>13126.56</v>
      </c>
    </row>
    <row r="1577" ht="14.25" customHeight="1">
      <c r="A1577" s="157" t="s">
        <v>1668</v>
      </c>
      <c r="B1577" s="158" t="s">
        <v>29</v>
      </c>
      <c r="C1577" s="158" t="s">
        <v>1658</v>
      </c>
      <c r="D1577" s="159">
        <v>44014.0</v>
      </c>
      <c r="E1577" s="157" t="s">
        <v>731</v>
      </c>
      <c r="F1577" s="160">
        <v>38376.0</v>
      </c>
      <c r="G1577" s="160">
        <v>6140.16</v>
      </c>
      <c r="H1577" s="160">
        <f t="shared" si="46"/>
        <v>44516.16</v>
      </c>
      <c r="I1577" s="160"/>
      <c r="J1577" s="161"/>
      <c r="K1577" s="160"/>
      <c r="L1577" s="160">
        <f>+'FACP$'!$H1577-'FACP$'!$I1577-'FACP$'!$K1577</f>
        <v>44516.16</v>
      </c>
      <c r="M1577" s="162" t="s">
        <v>130</v>
      </c>
      <c r="N1577" s="162" t="s">
        <v>554</v>
      </c>
      <c r="O1577" s="175">
        <v>44067.0</v>
      </c>
      <c r="P1577" s="164">
        <f t="shared" si="13"/>
        <v>44024</v>
      </c>
      <c r="Q1577" s="165">
        <f t="shared" si="2"/>
        <v>0</v>
      </c>
      <c r="R1577" s="167"/>
      <c r="S1577" s="167"/>
      <c r="T1577" s="168">
        <f t="shared" si="3"/>
        <v>44516.16</v>
      </c>
      <c r="U1577" s="168">
        <f t="shared" si="4"/>
        <v>0</v>
      </c>
      <c r="V1577" s="168">
        <f t="shared" si="5"/>
        <v>0</v>
      </c>
      <c r="W1577" s="168">
        <f t="shared" si="6"/>
        <v>0</v>
      </c>
      <c r="X1577" s="168">
        <f t="shared" si="7"/>
        <v>0</v>
      </c>
      <c r="Y1577" s="168">
        <f t="shared" si="8"/>
        <v>0</v>
      </c>
      <c r="Z1577" s="168">
        <f t="shared" si="9"/>
        <v>0</v>
      </c>
    </row>
    <row r="1578" ht="14.25" customHeight="1">
      <c r="A1578" s="157" t="s">
        <v>1669</v>
      </c>
      <c r="B1578" s="228" t="s">
        <v>18</v>
      </c>
      <c r="C1578" s="228" t="s">
        <v>1658</v>
      </c>
      <c r="D1578" s="229">
        <v>44014.0</v>
      </c>
      <c r="E1578" s="230" t="s">
        <v>731</v>
      </c>
      <c r="F1578" s="231">
        <v>38376.0</v>
      </c>
      <c r="G1578" s="231">
        <v>6140.16</v>
      </c>
      <c r="H1578" s="160">
        <f>F1578+G1578-2408.88</f>
        <v>42107.28</v>
      </c>
      <c r="I1578" s="231"/>
      <c r="J1578" s="232"/>
      <c r="K1578" s="231"/>
      <c r="L1578" s="231">
        <f>+'FACP$'!$H1578-'FACP$'!$I1578-'FACP$'!$K1578</f>
        <v>42107.28</v>
      </c>
      <c r="M1578" s="233" t="s">
        <v>586</v>
      </c>
      <c r="N1578" s="233" t="s">
        <v>554</v>
      </c>
      <c r="O1578" s="234">
        <v>44077.0</v>
      </c>
      <c r="P1578" s="235">
        <f t="shared" si="13"/>
        <v>44024</v>
      </c>
      <c r="Q1578" s="236">
        <f t="shared" si="2"/>
        <v>0</v>
      </c>
      <c r="R1578" s="237" t="s">
        <v>1670</v>
      </c>
      <c r="S1578" s="237" t="s">
        <v>910</v>
      </c>
      <c r="T1578" s="168">
        <f t="shared" si="3"/>
        <v>42107.28</v>
      </c>
      <c r="U1578" s="168">
        <f t="shared" si="4"/>
        <v>0</v>
      </c>
      <c r="V1578" s="168">
        <f t="shared" si="5"/>
        <v>0</v>
      </c>
      <c r="W1578" s="168">
        <f t="shared" si="6"/>
        <v>0</v>
      </c>
      <c r="X1578" s="168">
        <f t="shared" si="7"/>
        <v>0</v>
      </c>
      <c r="Y1578" s="168">
        <f t="shared" si="8"/>
        <v>0</v>
      </c>
      <c r="Z1578" s="168">
        <f t="shared" si="9"/>
        <v>0</v>
      </c>
    </row>
    <row r="1579" ht="14.25" customHeight="1">
      <c r="A1579" s="157" t="s">
        <v>1671</v>
      </c>
      <c r="B1579" s="158" t="s">
        <v>37</v>
      </c>
      <c r="C1579" s="158" t="s">
        <v>1658</v>
      </c>
      <c r="D1579" s="159">
        <v>44014.0</v>
      </c>
      <c r="E1579" s="157" t="s">
        <v>731</v>
      </c>
      <c r="F1579" s="160">
        <v>38376.0</v>
      </c>
      <c r="G1579" s="160">
        <v>6140.16</v>
      </c>
      <c r="H1579" s="160">
        <f t="shared" ref="H1579:H1640" si="47">F1579+G1579</f>
        <v>44516.16</v>
      </c>
      <c r="I1579" s="160"/>
      <c r="J1579" s="161"/>
      <c r="K1579" s="160"/>
      <c r="L1579" s="160">
        <f>+'FACP$'!$H1579-'FACP$'!$I1579-'FACP$'!$K1579</f>
        <v>44516.16</v>
      </c>
      <c r="M1579" s="162" t="s">
        <v>116</v>
      </c>
      <c r="N1579" s="162" t="s">
        <v>554</v>
      </c>
      <c r="O1579" s="175">
        <v>44081.0</v>
      </c>
      <c r="P1579" s="164">
        <f t="shared" si="13"/>
        <v>44024</v>
      </c>
      <c r="Q1579" s="165">
        <f t="shared" si="2"/>
        <v>0</v>
      </c>
      <c r="R1579" s="167"/>
      <c r="S1579" s="220" t="s">
        <v>910</v>
      </c>
      <c r="T1579" s="168">
        <f t="shared" si="3"/>
        <v>44516.16</v>
      </c>
      <c r="U1579" s="168">
        <f t="shared" si="4"/>
        <v>0</v>
      </c>
      <c r="V1579" s="168">
        <f t="shared" si="5"/>
        <v>0</v>
      </c>
      <c r="W1579" s="168">
        <f t="shared" si="6"/>
        <v>0</v>
      </c>
      <c r="X1579" s="168">
        <f t="shared" si="7"/>
        <v>0</v>
      </c>
      <c r="Y1579" s="168">
        <f t="shared" si="8"/>
        <v>0</v>
      </c>
      <c r="Z1579" s="168">
        <f t="shared" si="9"/>
        <v>0</v>
      </c>
    </row>
    <row r="1580" ht="14.25" customHeight="1">
      <c r="A1580" s="157" t="s">
        <v>1672</v>
      </c>
      <c r="B1580" s="158" t="s">
        <v>37</v>
      </c>
      <c r="C1580" s="158" t="s">
        <v>1658</v>
      </c>
      <c r="D1580" s="159">
        <v>44014.0</v>
      </c>
      <c r="E1580" s="157" t="s">
        <v>731</v>
      </c>
      <c r="F1580" s="160">
        <v>38376.0</v>
      </c>
      <c r="G1580" s="160">
        <v>6140.16</v>
      </c>
      <c r="H1580" s="160">
        <f t="shared" si="47"/>
        <v>44516.16</v>
      </c>
      <c r="I1580" s="160"/>
      <c r="J1580" s="161"/>
      <c r="K1580" s="160"/>
      <c r="L1580" s="160">
        <f>+'FACP$'!$H1580-'FACP$'!$I1580-'FACP$'!$K1580</f>
        <v>44516.16</v>
      </c>
      <c r="M1580" s="162" t="s">
        <v>116</v>
      </c>
      <c r="N1580" s="162" t="s">
        <v>554</v>
      </c>
      <c r="O1580" s="175">
        <v>44081.0</v>
      </c>
      <c r="P1580" s="164">
        <f t="shared" si="13"/>
        <v>44024</v>
      </c>
      <c r="Q1580" s="165">
        <f t="shared" si="2"/>
        <v>0</v>
      </c>
      <c r="R1580" s="167"/>
      <c r="S1580" s="220" t="s">
        <v>910</v>
      </c>
      <c r="T1580" s="168">
        <f t="shared" si="3"/>
        <v>44516.16</v>
      </c>
      <c r="U1580" s="168">
        <f t="shared" si="4"/>
        <v>0</v>
      </c>
      <c r="V1580" s="168">
        <f t="shared" si="5"/>
        <v>0</v>
      </c>
      <c r="W1580" s="168">
        <f t="shared" si="6"/>
        <v>0</v>
      </c>
      <c r="X1580" s="168">
        <f t="shared" si="7"/>
        <v>0</v>
      </c>
      <c r="Y1580" s="168">
        <f t="shared" si="8"/>
        <v>0</v>
      </c>
      <c r="Z1580" s="168">
        <f t="shared" si="9"/>
        <v>0</v>
      </c>
    </row>
    <row r="1581" ht="14.25" customHeight="1">
      <c r="A1581" s="157" t="s">
        <v>1673</v>
      </c>
      <c r="B1581" s="158" t="s">
        <v>37</v>
      </c>
      <c r="C1581" s="158" t="s">
        <v>1658</v>
      </c>
      <c r="D1581" s="159">
        <v>44014.0</v>
      </c>
      <c r="E1581" s="157" t="s">
        <v>731</v>
      </c>
      <c r="F1581" s="160">
        <v>38376.0</v>
      </c>
      <c r="G1581" s="160">
        <v>6140.16</v>
      </c>
      <c r="H1581" s="160">
        <f t="shared" si="47"/>
        <v>44516.16</v>
      </c>
      <c r="I1581" s="160"/>
      <c r="J1581" s="161"/>
      <c r="K1581" s="160"/>
      <c r="L1581" s="160">
        <f>+'FACP$'!$H1581-'FACP$'!$I1581-'FACP$'!$K1581</f>
        <v>44516.16</v>
      </c>
      <c r="M1581" s="162" t="s">
        <v>116</v>
      </c>
      <c r="N1581" s="162" t="s">
        <v>554</v>
      </c>
      <c r="O1581" s="175">
        <v>44081.0</v>
      </c>
      <c r="P1581" s="164">
        <f t="shared" si="13"/>
        <v>44024</v>
      </c>
      <c r="Q1581" s="165">
        <f t="shared" si="2"/>
        <v>0</v>
      </c>
      <c r="R1581" s="167"/>
      <c r="S1581" s="220" t="s">
        <v>910</v>
      </c>
      <c r="T1581" s="168">
        <f t="shared" si="3"/>
        <v>44516.16</v>
      </c>
      <c r="U1581" s="168">
        <f t="shared" si="4"/>
        <v>0</v>
      </c>
      <c r="V1581" s="168">
        <f t="shared" si="5"/>
        <v>0</v>
      </c>
      <c r="W1581" s="168">
        <f t="shared" si="6"/>
        <v>0</v>
      </c>
      <c r="X1581" s="168">
        <f t="shared" si="7"/>
        <v>0</v>
      </c>
      <c r="Y1581" s="168">
        <f t="shared" si="8"/>
        <v>0</v>
      </c>
      <c r="Z1581" s="168">
        <f t="shared" si="9"/>
        <v>0</v>
      </c>
    </row>
    <row r="1582" ht="14.25" customHeight="1">
      <c r="A1582" s="157" t="s">
        <v>1674</v>
      </c>
      <c r="B1582" s="158" t="s">
        <v>16</v>
      </c>
      <c r="C1582" s="158" t="s">
        <v>1658</v>
      </c>
      <c r="D1582" s="159">
        <v>44014.0</v>
      </c>
      <c r="E1582" s="157" t="s">
        <v>731</v>
      </c>
      <c r="F1582" s="160">
        <v>11316.0</v>
      </c>
      <c r="G1582" s="160">
        <v>1810.56</v>
      </c>
      <c r="H1582" s="160">
        <f t="shared" si="47"/>
        <v>13126.56</v>
      </c>
      <c r="I1582" s="160"/>
      <c r="J1582" s="161"/>
      <c r="K1582" s="160"/>
      <c r="L1582" s="160">
        <f>+'FACP$'!$H1582-'FACP$'!$I1582-'FACP$'!$K1582</f>
        <v>13126.56</v>
      </c>
      <c r="M1582" s="162" t="s">
        <v>985</v>
      </c>
      <c r="N1582" s="162" t="s">
        <v>1664</v>
      </c>
      <c r="O1582" s="175">
        <v>44070.0</v>
      </c>
      <c r="P1582" s="164">
        <f t="shared" si="13"/>
        <v>44024</v>
      </c>
      <c r="Q1582" s="165" t="b">
        <f t="shared" si="2"/>
        <v>0</v>
      </c>
      <c r="R1582" s="167"/>
      <c r="S1582" s="167"/>
      <c r="T1582" s="168">
        <f t="shared" si="3"/>
        <v>0</v>
      </c>
      <c r="U1582" s="168">
        <f t="shared" si="4"/>
        <v>0</v>
      </c>
      <c r="V1582" s="168">
        <f t="shared" si="5"/>
        <v>0</v>
      </c>
      <c r="W1582" s="168">
        <f t="shared" si="6"/>
        <v>0</v>
      </c>
      <c r="X1582" s="168">
        <f t="shared" si="7"/>
        <v>0</v>
      </c>
      <c r="Y1582" s="168">
        <f t="shared" si="8"/>
        <v>0</v>
      </c>
      <c r="Z1582" s="168">
        <f t="shared" si="9"/>
        <v>13126.56</v>
      </c>
    </row>
    <row r="1583" ht="14.25" customHeight="1">
      <c r="A1583" s="157" t="s">
        <v>1675</v>
      </c>
      <c r="B1583" s="158" t="s">
        <v>16</v>
      </c>
      <c r="C1583" s="158" t="s">
        <v>1658</v>
      </c>
      <c r="D1583" s="159">
        <v>44014.0</v>
      </c>
      <c r="E1583" s="157" t="s">
        <v>731</v>
      </c>
      <c r="F1583" s="160">
        <v>11316.0</v>
      </c>
      <c r="G1583" s="160">
        <v>1810.56</v>
      </c>
      <c r="H1583" s="160">
        <f t="shared" si="47"/>
        <v>13126.56</v>
      </c>
      <c r="I1583" s="160"/>
      <c r="J1583" s="161"/>
      <c r="K1583" s="160"/>
      <c r="L1583" s="160">
        <f>+'FACP$'!$H1583-'FACP$'!$I1583-'FACP$'!$K1583</f>
        <v>13126.56</v>
      </c>
      <c r="M1583" s="162" t="s">
        <v>985</v>
      </c>
      <c r="N1583" s="162" t="s">
        <v>1664</v>
      </c>
      <c r="O1583" s="175">
        <v>44070.0</v>
      </c>
      <c r="P1583" s="164">
        <f t="shared" si="13"/>
        <v>44024</v>
      </c>
      <c r="Q1583" s="165" t="b">
        <f t="shared" si="2"/>
        <v>0</v>
      </c>
      <c r="R1583" s="167"/>
      <c r="S1583" s="167"/>
      <c r="T1583" s="168">
        <f t="shared" si="3"/>
        <v>0</v>
      </c>
      <c r="U1583" s="168">
        <f t="shared" si="4"/>
        <v>0</v>
      </c>
      <c r="V1583" s="168">
        <f t="shared" si="5"/>
        <v>0</v>
      </c>
      <c r="W1583" s="168">
        <f t="shared" si="6"/>
        <v>0</v>
      </c>
      <c r="X1583" s="168">
        <f t="shared" si="7"/>
        <v>0</v>
      </c>
      <c r="Y1583" s="168">
        <f t="shared" si="8"/>
        <v>0</v>
      </c>
      <c r="Z1583" s="168">
        <f t="shared" si="9"/>
        <v>13126.56</v>
      </c>
    </row>
    <row r="1584" ht="14.25" customHeight="1">
      <c r="A1584" s="157" t="s">
        <v>1676</v>
      </c>
      <c r="B1584" s="158" t="s">
        <v>37</v>
      </c>
      <c r="C1584" s="158" t="s">
        <v>1658</v>
      </c>
      <c r="D1584" s="159">
        <v>44014.0</v>
      </c>
      <c r="E1584" s="157" t="s">
        <v>731</v>
      </c>
      <c r="F1584" s="160">
        <v>38376.0</v>
      </c>
      <c r="G1584" s="160">
        <v>6140.16</v>
      </c>
      <c r="H1584" s="160">
        <f t="shared" si="47"/>
        <v>44516.16</v>
      </c>
      <c r="I1584" s="160"/>
      <c r="J1584" s="161"/>
      <c r="K1584" s="160"/>
      <c r="L1584" s="160">
        <f>+'FACP$'!$H1584-'FACP$'!$I1584-'FACP$'!$K1584</f>
        <v>44516.16</v>
      </c>
      <c r="M1584" s="162" t="s">
        <v>116</v>
      </c>
      <c r="N1584" s="162" t="s">
        <v>554</v>
      </c>
      <c r="O1584" s="175">
        <v>44081.0</v>
      </c>
      <c r="P1584" s="164">
        <f t="shared" si="13"/>
        <v>44024</v>
      </c>
      <c r="Q1584" s="165">
        <f t="shared" si="2"/>
        <v>0</v>
      </c>
      <c r="R1584" s="167"/>
      <c r="S1584" s="220" t="s">
        <v>910</v>
      </c>
      <c r="T1584" s="168">
        <f t="shared" si="3"/>
        <v>44516.16</v>
      </c>
      <c r="U1584" s="168">
        <f t="shared" si="4"/>
        <v>0</v>
      </c>
      <c r="V1584" s="168">
        <f t="shared" si="5"/>
        <v>0</v>
      </c>
      <c r="W1584" s="168">
        <f t="shared" si="6"/>
        <v>0</v>
      </c>
      <c r="X1584" s="168">
        <f t="shared" si="7"/>
        <v>0</v>
      </c>
      <c r="Y1584" s="168">
        <f t="shared" si="8"/>
        <v>0</v>
      </c>
      <c r="Z1584" s="168">
        <f t="shared" si="9"/>
        <v>0</v>
      </c>
    </row>
    <row r="1585" ht="14.25" customHeight="1">
      <c r="A1585" s="157" t="s">
        <v>1677</v>
      </c>
      <c r="B1585" s="158" t="s">
        <v>37</v>
      </c>
      <c r="C1585" s="158" t="s">
        <v>1658</v>
      </c>
      <c r="D1585" s="159">
        <v>44015.0</v>
      </c>
      <c r="E1585" s="157" t="s">
        <v>731</v>
      </c>
      <c r="F1585" s="160">
        <v>38376.0</v>
      </c>
      <c r="G1585" s="160">
        <v>6140.16</v>
      </c>
      <c r="H1585" s="160">
        <f t="shared" si="47"/>
        <v>44516.16</v>
      </c>
      <c r="I1585" s="160"/>
      <c r="J1585" s="161"/>
      <c r="K1585" s="160"/>
      <c r="L1585" s="160">
        <f>+'FACP$'!$H1585-'FACP$'!$I1585-'FACP$'!$K1585</f>
        <v>44516.16</v>
      </c>
      <c r="M1585" s="162" t="s">
        <v>116</v>
      </c>
      <c r="N1585" s="162" t="s">
        <v>554</v>
      </c>
      <c r="O1585" s="175">
        <v>44081.0</v>
      </c>
      <c r="P1585" s="164">
        <f t="shared" si="13"/>
        <v>44025</v>
      </c>
      <c r="Q1585" s="165">
        <f t="shared" si="2"/>
        <v>0</v>
      </c>
      <c r="R1585" s="167"/>
      <c r="S1585" s="220" t="s">
        <v>910</v>
      </c>
      <c r="T1585" s="168">
        <f t="shared" si="3"/>
        <v>44516.16</v>
      </c>
      <c r="U1585" s="168">
        <f t="shared" si="4"/>
        <v>0</v>
      </c>
      <c r="V1585" s="168">
        <f t="shared" si="5"/>
        <v>0</v>
      </c>
      <c r="W1585" s="168">
        <f t="shared" si="6"/>
        <v>0</v>
      </c>
      <c r="X1585" s="168">
        <f t="shared" si="7"/>
        <v>0</v>
      </c>
      <c r="Y1585" s="168">
        <f t="shared" si="8"/>
        <v>0</v>
      </c>
      <c r="Z1585" s="168">
        <f t="shared" si="9"/>
        <v>0</v>
      </c>
    </row>
    <row r="1586" ht="14.25" customHeight="1">
      <c r="A1586" s="157" t="s">
        <v>1678</v>
      </c>
      <c r="B1586" s="158" t="s">
        <v>37</v>
      </c>
      <c r="C1586" s="158" t="s">
        <v>1658</v>
      </c>
      <c r="D1586" s="159">
        <v>44015.0</v>
      </c>
      <c r="E1586" s="157" t="s">
        <v>731</v>
      </c>
      <c r="F1586" s="160">
        <v>38376.0</v>
      </c>
      <c r="G1586" s="160">
        <v>6140.16</v>
      </c>
      <c r="H1586" s="160">
        <f t="shared" si="47"/>
        <v>44516.16</v>
      </c>
      <c r="I1586" s="160"/>
      <c r="J1586" s="161"/>
      <c r="K1586" s="160"/>
      <c r="L1586" s="160">
        <f>+'FACP$'!$H1586-'FACP$'!$I1586-'FACP$'!$K1586</f>
        <v>44516.16</v>
      </c>
      <c r="M1586" s="162" t="s">
        <v>116</v>
      </c>
      <c r="N1586" s="162" t="s">
        <v>554</v>
      </c>
      <c r="O1586" s="175">
        <v>44081.0</v>
      </c>
      <c r="P1586" s="164">
        <f t="shared" si="13"/>
        <v>44025</v>
      </c>
      <c r="Q1586" s="165">
        <f t="shared" si="2"/>
        <v>0</v>
      </c>
      <c r="R1586" s="167"/>
      <c r="S1586" s="220" t="s">
        <v>910</v>
      </c>
      <c r="T1586" s="168">
        <f t="shared" si="3"/>
        <v>44516.16</v>
      </c>
      <c r="U1586" s="168">
        <f t="shared" si="4"/>
        <v>0</v>
      </c>
      <c r="V1586" s="168">
        <f t="shared" si="5"/>
        <v>0</v>
      </c>
      <c r="W1586" s="168">
        <f t="shared" si="6"/>
        <v>0</v>
      </c>
      <c r="X1586" s="168">
        <f t="shared" si="7"/>
        <v>0</v>
      </c>
      <c r="Y1586" s="168">
        <f t="shared" si="8"/>
        <v>0</v>
      </c>
      <c r="Z1586" s="168">
        <f t="shared" si="9"/>
        <v>0</v>
      </c>
    </row>
    <row r="1587" ht="14.25" customHeight="1">
      <c r="A1587" s="157" t="s">
        <v>1679</v>
      </c>
      <c r="B1587" s="158" t="s">
        <v>16</v>
      </c>
      <c r="C1587" s="158" t="s">
        <v>1658</v>
      </c>
      <c r="D1587" s="159">
        <v>44015.0</v>
      </c>
      <c r="E1587" s="157" t="s">
        <v>731</v>
      </c>
      <c r="F1587" s="160">
        <v>11316.0</v>
      </c>
      <c r="G1587" s="160">
        <v>1810.56</v>
      </c>
      <c r="H1587" s="160">
        <f t="shared" si="47"/>
        <v>13126.56</v>
      </c>
      <c r="I1587" s="160"/>
      <c r="J1587" s="161"/>
      <c r="K1587" s="160"/>
      <c r="L1587" s="160">
        <f>+'FACP$'!$H1587-'FACP$'!$I1587-'FACP$'!$K1587</f>
        <v>13126.56</v>
      </c>
      <c r="M1587" s="162" t="s">
        <v>985</v>
      </c>
      <c r="N1587" s="162" t="s">
        <v>1664</v>
      </c>
      <c r="O1587" s="175">
        <v>44070.0</v>
      </c>
      <c r="P1587" s="164">
        <f t="shared" si="13"/>
        <v>44025</v>
      </c>
      <c r="Q1587" s="165" t="b">
        <f t="shared" si="2"/>
        <v>0</v>
      </c>
      <c r="R1587" s="167"/>
      <c r="S1587" s="167"/>
      <c r="T1587" s="168">
        <f t="shared" si="3"/>
        <v>0</v>
      </c>
      <c r="U1587" s="168">
        <f t="shared" si="4"/>
        <v>0</v>
      </c>
      <c r="V1587" s="168">
        <f t="shared" si="5"/>
        <v>0</v>
      </c>
      <c r="W1587" s="168">
        <f t="shared" si="6"/>
        <v>0</v>
      </c>
      <c r="X1587" s="168">
        <f t="shared" si="7"/>
        <v>0</v>
      </c>
      <c r="Y1587" s="168">
        <f t="shared" si="8"/>
        <v>0</v>
      </c>
      <c r="Z1587" s="168">
        <f t="shared" si="9"/>
        <v>13126.56</v>
      </c>
    </row>
    <row r="1588" ht="14.25" customHeight="1">
      <c r="A1588" s="157" t="s">
        <v>1680</v>
      </c>
      <c r="B1588" s="158" t="s">
        <v>16</v>
      </c>
      <c r="C1588" s="158" t="s">
        <v>1658</v>
      </c>
      <c r="D1588" s="159">
        <v>44015.0</v>
      </c>
      <c r="E1588" s="157" t="s">
        <v>731</v>
      </c>
      <c r="F1588" s="160">
        <v>11316.0</v>
      </c>
      <c r="G1588" s="160">
        <v>1810.56</v>
      </c>
      <c r="H1588" s="160">
        <f t="shared" si="47"/>
        <v>13126.56</v>
      </c>
      <c r="I1588" s="160"/>
      <c r="J1588" s="161"/>
      <c r="K1588" s="160"/>
      <c r="L1588" s="160">
        <f>+'FACP$'!$H1588-'FACP$'!$I1588-'FACP$'!$K1588</f>
        <v>13126.56</v>
      </c>
      <c r="M1588" s="162" t="s">
        <v>985</v>
      </c>
      <c r="N1588" s="162" t="s">
        <v>1664</v>
      </c>
      <c r="O1588" s="175">
        <v>44070.0</v>
      </c>
      <c r="P1588" s="164">
        <f t="shared" si="13"/>
        <v>44025</v>
      </c>
      <c r="Q1588" s="165" t="b">
        <f t="shared" si="2"/>
        <v>0</v>
      </c>
      <c r="R1588" s="167"/>
      <c r="S1588" s="167"/>
      <c r="T1588" s="168">
        <f t="shared" si="3"/>
        <v>0</v>
      </c>
      <c r="U1588" s="168">
        <f t="shared" si="4"/>
        <v>0</v>
      </c>
      <c r="V1588" s="168">
        <f t="shared" si="5"/>
        <v>0</v>
      </c>
      <c r="W1588" s="168">
        <f t="shared" si="6"/>
        <v>0</v>
      </c>
      <c r="X1588" s="168">
        <f t="shared" si="7"/>
        <v>0</v>
      </c>
      <c r="Y1588" s="168">
        <f t="shared" si="8"/>
        <v>0</v>
      </c>
      <c r="Z1588" s="168">
        <f t="shared" si="9"/>
        <v>13126.56</v>
      </c>
    </row>
    <row r="1589" ht="14.25" customHeight="1">
      <c r="A1589" s="157" t="s">
        <v>1681</v>
      </c>
      <c r="B1589" s="158" t="s">
        <v>29</v>
      </c>
      <c r="C1589" s="158" t="s">
        <v>1658</v>
      </c>
      <c r="D1589" s="159">
        <v>44015.0</v>
      </c>
      <c r="E1589" s="157" t="s">
        <v>731</v>
      </c>
      <c r="F1589" s="160">
        <v>19188.0</v>
      </c>
      <c r="G1589" s="160">
        <v>3070.08</v>
      </c>
      <c r="H1589" s="160">
        <f t="shared" si="47"/>
        <v>22258.08</v>
      </c>
      <c r="I1589" s="160"/>
      <c r="J1589" s="161"/>
      <c r="K1589" s="160"/>
      <c r="L1589" s="160">
        <f>+'FACP$'!$H1589-'FACP$'!$I1589-'FACP$'!$K1589</f>
        <v>22258.08</v>
      </c>
      <c r="M1589" s="162" t="s">
        <v>130</v>
      </c>
      <c r="N1589" s="162" t="s">
        <v>554</v>
      </c>
      <c r="O1589" s="175">
        <v>44067.0</v>
      </c>
      <c r="P1589" s="164">
        <f t="shared" si="13"/>
        <v>44025</v>
      </c>
      <c r="Q1589" s="165">
        <f t="shared" si="2"/>
        <v>0</v>
      </c>
      <c r="R1589" s="167"/>
      <c r="S1589" s="167"/>
      <c r="T1589" s="168">
        <f t="shared" si="3"/>
        <v>22258.08</v>
      </c>
      <c r="U1589" s="168">
        <f t="shared" si="4"/>
        <v>0</v>
      </c>
      <c r="V1589" s="168">
        <f t="shared" si="5"/>
        <v>0</v>
      </c>
      <c r="W1589" s="168">
        <f t="shared" si="6"/>
        <v>0</v>
      </c>
      <c r="X1589" s="168">
        <f t="shared" si="7"/>
        <v>0</v>
      </c>
      <c r="Y1589" s="168">
        <f t="shared" si="8"/>
        <v>0</v>
      </c>
      <c r="Z1589" s="168">
        <f t="shared" si="9"/>
        <v>0</v>
      </c>
    </row>
    <row r="1590" ht="14.25" customHeight="1">
      <c r="A1590" s="157" t="s">
        <v>1682</v>
      </c>
      <c r="B1590" s="158" t="s">
        <v>43</v>
      </c>
      <c r="C1590" s="158" t="s">
        <v>1683</v>
      </c>
      <c r="D1590" s="159">
        <v>44015.0</v>
      </c>
      <c r="E1590" s="157" t="s">
        <v>731</v>
      </c>
      <c r="F1590" s="160">
        <v>120579.2</v>
      </c>
      <c r="G1590" s="160">
        <v>19292.67</v>
      </c>
      <c r="H1590" s="160">
        <f t="shared" si="47"/>
        <v>139871.87</v>
      </c>
      <c r="I1590" s="160"/>
      <c r="J1590" s="161"/>
      <c r="K1590" s="160"/>
      <c r="L1590" s="160">
        <f>+'FACP$'!$H1590-'FACP$'!$I1590-'FACP$'!$K1590</f>
        <v>139871.87</v>
      </c>
      <c r="M1590" s="162" t="s">
        <v>43</v>
      </c>
      <c r="N1590" s="162" t="s">
        <v>554</v>
      </c>
      <c r="O1590" s="175">
        <v>44036.0</v>
      </c>
      <c r="P1590" s="164">
        <f t="shared" si="13"/>
        <v>44025</v>
      </c>
      <c r="Q1590" s="165">
        <f t="shared" si="2"/>
        <v>0</v>
      </c>
      <c r="R1590" s="167"/>
      <c r="S1590" s="167" t="s">
        <v>910</v>
      </c>
      <c r="T1590" s="168">
        <f t="shared" si="3"/>
        <v>139871.87</v>
      </c>
      <c r="U1590" s="168">
        <f t="shared" si="4"/>
        <v>0</v>
      </c>
      <c r="V1590" s="168">
        <f t="shared" si="5"/>
        <v>0</v>
      </c>
      <c r="W1590" s="168">
        <f t="shared" si="6"/>
        <v>0</v>
      </c>
      <c r="X1590" s="168">
        <f t="shared" si="7"/>
        <v>0</v>
      </c>
      <c r="Y1590" s="168">
        <f t="shared" si="8"/>
        <v>0</v>
      </c>
      <c r="Z1590" s="168">
        <f t="shared" si="9"/>
        <v>0</v>
      </c>
    </row>
    <row r="1591" ht="14.25" customHeight="1">
      <c r="A1591" s="157" t="s">
        <v>1684</v>
      </c>
      <c r="B1591" s="158" t="s">
        <v>36</v>
      </c>
      <c r="C1591" s="158" t="s">
        <v>1685</v>
      </c>
      <c r="D1591" s="159">
        <v>44015.0</v>
      </c>
      <c r="E1591" s="157" t="s">
        <v>731</v>
      </c>
      <c r="F1591" s="160">
        <v>55857.31</v>
      </c>
      <c r="G1591" s="160">
        <v>8937.17</v>
      </c>
      <c r="H1591" s="160">
        <f t="shared" si="47"/>
        <v>64794.48</v>
      </c>
      <c r="I1591" s="160"/>
      <c r="J1591" s="161"/>
      <c r="K1591" s="160"/>
      <c r="L1591" s="160">
        <f>+'FACP$'!$H1591-'FACP$'!$I1591-'FACP$'!$K1591</f>
        <v>64794.48</v>
      </c>
      <c r="M1591" s="162" t="s">
        <v>278</v>
      </c>
      <c r="N1591" s="162" t="s">
        <v>554</v>
      </c>
      <c r="O1591" s="175">
        <v>44056.0</v>
      </c>
      <c r="P1591" s="164">
        <f t="shared" si="13"/>
        <v>44025</v>
      </c>
      <c r="Q1591" s="165">
        <f t="shared" si="2"/>
        <v>0</v>
      </c>
      <c r="R1591" s="167"/>
      <c r="S1591" s="220" t="s">
        <v>910</v>
      </c>
      <c r="T1591" s="168">
        <f t="shared" si="3"/>
        <v>64794.48</v>
      </c>
      <c r="U1591" s="168">
        <f t="shared" si="4"/>
        <v>0</v>
      </c>
      <c r="V1591" s="168">
        <f t="shared" si="5"/>
        <v>0</v>
      </c>
      <c r="W1591" s="168">
        <f t="shared" si="6"/>
        <v>0</v>
      </c>
      <c r="X1591" s="168">
        <f t="shared" si="7"/>
        <v>0</v>
      </c>
      <c r="Y1591" s="168">
        <f t="shared" si="8"/>
        <v>0</v>
      </c>
      <c r="Z1591" s="168">
        <f t="shared" si="9"/>
        <v>0</v>
      </c>
    </row>
    <row r="1592" ht="14.25" customHeight="1">
      <c r="A1592" s="157" t="s">
        <v>1686</v>
      </c>
      <c r="B1592" s="238" t="s">
        <v>1127</v>
      </c>
      <c r="C1592" s="238" t="s">
        <v>1683</v>
      </c>
      <c r="D1592" s="159">
        <v>44015.0</v>
      </c>
      <c r="E1592" s="239" t="s">
        <v>731</v>
      </c>
      <c r="F1592" s="160">
        <v>12965.21</v>
      </c>
      <c r="G1592" s="160">
        <v>2074.43</v>
      </c>
      <c r="H1592" s="160">
        <f t="shared" si="47"/>
        <v>15039.64</v>
      </c>
      <c r="I1592" s="160"/>
      <c r="J1592" s="161"/>
      <c r="K1592" s="160"/>
      <c r="L1592" s="160">
        <f>+'FACP$'!$H1592-'FACP$'!$I1592-'FACP$'!$K1592</f>
        <v>15039.64</v>
      </c>
      <c r="M1592" s="162" t="s">
        <v>580</v>
      </c>
      <c r="N1592" s="162" t="s">
        <v>554</v>
      </c>
      <c r="O1592" s="175">
        <v>44028.0</v>
      </c>
      <c r="P1592" s="164">
        <f t="shared" si="13"/>
        <v>44025</v>
      </c>
      <c r="Q1592" s="165">
        <f t="shared" si="2"/>
        <v>0</v>
      </c>
      <c r="R1592" s="167"/>
      <c r="S1592" s="167"/>
      <c r="T1592" s="168">
        <f t="shared" si="3"/>
        <v>15039.64</v>
      </c>
      <c r="U1592" s="168">
        <f t="shared" si="4"/>
        <v>0</v>
      </c>
      <c r="V1592" s="168">
        <f t="shared" si="5"/>
        <v>0</v>
      </c>
      <c r="W1592" s="168">
        <f t="shared" si="6"/>
        <v>0</v>
      </c>
      <c r="X1592" s="168">
        <f t="shared" si="7"/>
        <v>0</v>
      </c>
      <c r="Y1592" s="168">
        <f t="shared" si="8"/>
        <v>0</v>
      </c>
      <c r="Z1592" s="168">
        <f t="shared" si="9"/>
        <v>0</v>
      </c>
    </row>
    <row r="1593" ht="14.25" customHeight="1">
      <c r="A1593" s="157" t="s">
        <v>1687</v>
      </c>
      <c r="B1593" s="158" t="s">
        <v>37</v>
      </c>
      <c r="C1593" s="158" t="s">
        <v>1658</v>
      </c>
      <c r="D1593" s="159">
        <v>44015.0</v>
      </c>
      <c r="E1593" s="157" t="s">
        <v>731</v>
      </c>
      <c r="F1593" s="160">
        <v>38376.0</v>
      </c>
      <c r="G1593" s="160">
        <v>6140.16</v>
      </c>
      <c r="H1593" s="160">
        <f t="shared" si="47"/>
        <v>44516.16</v>
      </c>
      <c r="I1593" s="160"/>
      <c r="J1593" s="161"/>
      <c r="K1593" s="160"/>
      <c r="L1593" s="160">
        <f>+'FACP$'!$H1593-'FACP$'!$I1593-'FACP$'!$K1593</f>
        <v>44516.16</v>
      </c>
      <c r="M1593" s="162" t="s">
        <v>116</v>
      </c>
      <c r="N1593" s="162" t="s">
        <v>554</v>
      </c>
      <c r="O1593" s="175">
        <v>44081.0</v>
      </c>
      <c r="P1593" s="164">
        <f t="shared" si="13"/>
        <v>44025</v>
      </c>
      <c r="Q1593" s="165">
        <f t="shared" si="2"/>
        <v>0</v>
      </c>
      <c r="R1593" s="167"/>
      <c r="S1593" s="220" t="s">
        <v>910</v>
      </c>
      <c r="T1593" s="168">
        <f t="shared" si="3"/>
        <v>44516.16</v>
      </c>
      <c r="U1593" s="168">
        <f t="shared" si="4"/>
        <v>0</v>
      </c>
      <c r="V1593" s="168">
        <f t="shared" si="5"/>
        <v>0</v>
      </c>
      <c r="W1593" s="168">
        <f t="shared" si="6"/>
        <v>0</v>
      </c>
      <c r="X1593" s="168">
        <f t="shared" si="7"/>
        <v>0</v>
      </c>
      <c r="Y1593" s="168">
        <f t="shared" si="8"/>
        <v>0</v>
      </c>
      <c r="Z1593" s="168">
        <f t="shared" si="9"/>
        <v>0</v>
      </c>
    </row>
    <row r="1594" ht="14.25" customHeight="1">
      <c r="A1594" s="157" t="s">
        <v>1688</v>
      </c>
      <c r="B1594" s="158" t="s">
        <v>37</v>
      </c>
      <c r="C1594" s="158" t="s">
        <v>1658</v>
      </c>
      <c r="D1594" s="159">
        <v>44015.0</v>
      </c>
      <c r="E1594" s="157" t="s">
        <v>731</v>
      </c>
      <c r="F1594" s="160">
        <v>38376.0</v>
      </c>
      <c r="G1594" s="160">
        <v>6140.16</v>
      </c>
      <c r="H1594" s="160">
        <f t="shared" si="47"/>
        <v>44516.16</v>
      </c>
      <c r="I1594" s="160"/>
      <c r="J1594" s="161"/>
      <c r="K1594" s="160"/>
      <c r="L1594" s="160">
        <f>+'FACP$'!$H1594-'FACP$'!$I1594-'FACP$'!$K1594</f>
        <v>44516.16</v>
      </c>
      <c r="M1594" s="162" t="s">
        <v>116</v>
      </c>
      <c r="N1594" s="162" t="s">
        <v>554</v>
      </c>
      <c r="O1594" s="175">
        <v>44081.0</v>
      </c>
      <c r="P1594" s="164">
        <f t="shared" si="13"/>
        <v>44025</v>
      </c>
      <c r="Q1594" s="165">
        <f t="shared" si="2"/>
        <v>0</v>
      </c>
      <c r="R1594" s="167"/>
      <c r="S1594" s="220" t="s">
        <v>910</v>
      </c>
      <c r="T1594" s="168">
        <f t="shared" si="3"/>
        <v>44516.16</v>
      </c>
      <c r="U1594" s="168">
        <f t="shared" si="4"/>
        <v>0</v>
      </c>
      <c r="V1594" s="168">
        <f t="shared" si="5"/>
        <v>0</v>
      </c>
      <c r="W1594" s="168">
        <f t="shared" si="6"/>
        <v>0</v>
      </c>
      <c r="X1594" s="168">
        <f t="shared" si="7"/>
        <v>0</v>
      </c>
      <c r="Y1594" s="168">
        <f t="shared" si="8"/>
        <v>0</v>
      </c>
      <c r="Z1594" s="168">
        <f t="shared" si="9"/>
        <v>0</v>
      </c>
    </row>
    <row r="1595" ht="14.25" customHeight="1">
      <c r="A1595" s="157" t="s">
        <v>1689</v>
      </c>
      <c r="B1595" s="158" t="s">
        <v>16</v>
      </c>
      <c r="C1595" s="158" t="s">
        <v>1658</v>
      </c>
      <c r="D1595" s="159">
        <v>44016.0</v>
      </c>
      <c r="E1595" s="157" t="s">
        <v>731</v>
      </c>
      <c r="F1595" s="160">
        <v>38376.0</v>
      </c>
      <c r="G1595" s="160">
        <v>6140.16</v>
      </c>
      <c r="H1595" s="160">
        <f t="shared" si="47"/>
        <v>44516.16</v>
      </c>
      <c r="I1595" s="160"/>
      <c r="J1595" s="161"/>
      <c r="K1595" s="160"/>
      <c r="L1595" s="160">
        <f>+'FACP$'!$H1595-'FACP$'!$I1595-'FACP$'!$K1595</f>
        <v>44516.16</v>
      </c>
      <c r="M1595" s="162" t="s">
        <v>985</v>
      </c>
      <c r="N1595" s="162" t="s">
        <v>1664</v>
      </c>
      <c r="O1595" s="175">
        <v>44070.0</v>
      </c>
      <c r="P1595" s="164">
        <f t="shared" si="13"/>
        <v>44026</v>
      </c>
      <c r="Q1595" s="165" t="b">
        <f t="shared" si="2"/>
        <v>0</v>
      </c>
      <c r="R1595" s="167"/>
      <c r="S1595" s="167"/>
      <c r="T1595" s="168">
        <f t="shared" si="3"/>
        <v>0</v>
      </c>
      <c r="U1595" s="168">
        <f t="shared" si="4"/>
        <v>0</v>
      </c>
      <c r="V1595" s="168">
        <f t="shared" si="5"/>
        <v>0</v>
      </c>
      <c r="W1595" s="168">
        <f t="shared" si="6"/>
        <v>0</v>
      </c>
      <c r="X1595" s="168">
        <f t="shared" si="7"/>
        <v>0</v>
      </c>
      <c r="Y1595" s="168">
        <f t="shared" si="8"/>
        <v>0</v>
      </c>
      <c r="Z1595" s="168">
        <f t="shared" si="9"/>
        <v>44516.16</v>
      </c>
    </row>
    <row r="1596" ht="14.25" customHeight="1">
      <c r="A1596" s="157" t="s">
        <v>1690</v>
      </c>
      <c r="B1596" s="158" t="s">
        <v>37</v>
      </c>
      <c r="C1596" s="158" t="s">
        <v>1658</v>
      </c>
      <c r="D1596" s="159">
        <v>44016.0</v>
      </c>
      <c r="E1596" s="157" t="s">
        <v>731</v>
      </c>
      <c r="F1596" s="160">
        <v>38376.0</v>
      </c>
      <c r="G1596" s="160">
        <v>6140.16</v>
      </c>
      <c r="H1596" s="160">
        <f t="shared" si="47"/>
        <v>44516.16</v>
      </c>
      <c r="I1596" s="160"/>
      <c r="J1596" s="161"/>
      <c r="K1596" s="160"/>
      <c r="L1596" s="160">
        <f>+'FACP$'!$H1596-'FACP$'!$I1596-'FACP$'!$K1596</f>
        <v>44516.16</v>
      </c>
      <c r="M1596" s="162" t="s">
        <v>116</v>
      </c>
      <c r="N1596" s="162" t="s">
        <v>554</v>
      </c>
      <c r="O1596" s="175">
        <v>44081.0</v>
      </c>
      <c r="P1596" s="164">
        <f t="shared" si="13"/>
        <v>44026</v>
      </c>
      <c r="Q1596" s="165">
        <f t="shared" si="2"/>
        <v>0</v>
      </c>
      <c r="R1596" s="167"/>
      <c r="S1596" s="220" t="s">
        <v>910</v>
      </c>
      <c r="T1596" s="168">
        <f t="shared" si="3"/>
        <v>44516.16</v>
      </c>
      <c r="U1596" s="168">
        <f t="shared" si="4"/>
        <v>0</v>
      </c>
      <c r="V1596" s="168">
        <f t="shared" si="5"/>
        <v>0</v>
      </c>
      <c r="W1596" s="168">
        <f t="shared" si="6"/>
        <v>0</v>
      </c>
      <c r="X1596" s="168">
        <f t="shared" si="7"/>
        <v>0</v>
      </c>
      <c r="Y1596" s="168">
        <f t="shared" si="8"/>
        <v>0</v>
      </c>
      <c r="Z1596" s="168">
        <f t="shared" si="9"/>
        <v>0</v>
      </c>
    </row>
    <row r="1597" ht="14.25" customHeight="1">
      <c r="A1597" s="157" t="s">
        <v>1691</v>
      </c>
      <c r="B1597" s="158" t="s">
        <v>16</v>
      </c>
      <c r="C1597" s="158" t="s">
        <v>1658</v>
      </c>
      <c r="D1597" s="159">
        <v>44016.0</v>
      </c>
      <c r="E1597" s="157" t="s">
        <v>731</v>
      </c>
      <c r="F1597" s="160">
        <v>11316.0</v>
      </c>
      <c r="G1597" s="160">
        <v>1810.56</v>
      </c>
      <c r="H1597" s="160">
        <f t="shared" si="47"/>
        <v>13126.56</v>
      </c>
      <c r="I1597" s="160"/>
      <c r="J1597" s="161"/>
      <c r="K1597" s="160"/>
      <c r="L1597" s="160">
        <f>+'FACP$'!$H1597-'FACP$'!$I1597-'FACP$'!$K1597</f>
        <v>13126.56</v>
      </c>
      <c r="M1597" s="162" t="s">
        <v>985</v>
      </c>
      <c r="N1597" s="162" t="s">
        <v>1664</v>
      </c>
      <c r="O1597" s="175">
        <v>44070.0</v>
      </c>
      <c r="P1597" s="164">
        <f t="shared" si="13"/>
        <v>44026</v>
      </c>
      <c r="Q1597" s="165" t="b">
        <f t="shared" si="2"/>
        <v>0</v>
      </c>
      <c r="R1597" s="167"/>
      <c r="S1597" s="167"/>
      <c r="T1597" s="168">
        <f t="shared" si="3"/>
        <v>0</v>
      </c>
      <c r="U1597" s="168">
        <f t="shared" si="4"/>
        <v>0</v>
      </c>
      <c r="V1597" s="168">
        <f t="shared" si="5"/>
        <v>0</v>
      </c>
      <c r="W1597" s="168">
        <f t="shared" si="6"/>
        <v>0</v>
      </c>
      <c r="X1597" s="168">
        <f t="shared" si="7"/>
        <v>0</v>
      </c>
      <c r="Y1597" s="168">
        <f t="shared" si="8"/>
        <v>0</v>
      </c>
      <c r="Z1597" s="168">
        <f t="shared" si="9"/>
        <v>13126.56</v>
      </c>
    </row>
    <row r="1598" ht="14.25" customHeight="1">
      <c r="A1598" s="157" t="s">
        <v>1692</v>
      </c>
      <c r="B1598" s="158" t="s">
        <v>127</v>
      </c>
      <c r="C1598" s="158"/>
      <c r="D1598" s="159"/>
      <c r="E1598" s="157"/>
      <c r="F1598" s="160"/>
      <c r="G1598" s="160"/>
      <c r="H1598" s="160">
        <f t="shared" si="47"/>
        <v>0</v>
      </c>
      <c r="I1598" s="160"/>
      <c r="J1598" s="161"/>
      <c r="K1598" s="160"/>
      <c r="L1598" s="160">
        <f>+'FACP$'!$H1598-'FACP$'!$I1598-'FACP$'!$K1598</f>
        <v>0</v>
      </c>
      <c r="M1598" s="162"/>
      <c r="N1598" s="162" t="s">
        <v>127</v>
      </c>
      <c r="O1598" s="175"/>
      <c r="P1598" s="164">
        <f t="shared" si="13"/>
        <v>10</v>
      </c>
      <c r="Q1598" s="165">
        <f t="shared" si="2"/>
        <v>0</v>
      </c>
      <c r="R1598" s="167"/>
      <c r="S1598" s="167"/>
      <c r="T1598" s="168">
        <f t="shared" si="3"/>
        <v>0</v>
      </c>
      <c r="U1598" s="168">
        <f t="shared" si="4"/>
        <v>0</v>
      </c>
      <c r="V1598" s="168">
        <f t="shared" si="5"/>
        <v>0</v>
      </c>
      <c r="W1598" s="168">
        <f t="shared" si="6"/>
        <v>0</v>
      </c>
      <c r="X1598" s="168">
        <f t="shared" si="7"/>
        <v>0</v>
      </c>
      <c r="Y1598" s="168">
        <f t="shared" si="8"/>
        <v>0</v>
      </c>
      <c r="Z1598" s="168">
        <f t="shared" si="9"/>
        <v>0</v>
      </c>
    </row>
    <row r="1599" ht="14.25" customHeight="1">
      <c r="A1599" s="157" t="s">
        <v>1693</v>
      </c>
      <c r="B1599" s="158" t="s">
        <v>29</v>
      </c>
      <c r="C1599" s="158" t="s">
        <v>1658</v>
      </c>
      <c r="D1599" s="159">
        <v>44016.0</v>
      </c>
      <c r="E1599" s="157" t="s">
        <v>731</v>
      </c>
      <c r="F1599" s="160">
        <v>19188.0</v>
      </c>
      <c r="G1599" s="160">
        <v>3070.08</v>
      </c>
      <c r="H1599" s="160">
        <f t="shared" si="47"/>
        <v>22258.08</v>
      </c>
      <c r="I1599" s="160"/>
      <c r="J1599" s="161"/>
      <c r="K1599" s="160"/>
      <c r="L1599" s="160">
        <f>+'FACP$'!$H1599-'FACP$'!$I1599-'FACP$'!$K1599</f>
        <v>22258.08</v>
      </c>
      <c r="M1599" s="162" t="s">
        <v>130</v>
      </c>
      <c r="N1599" s="162" t="s">
        <v>554</v>
      </c>
      <c r="O1599" s="175">
        <v>44067.0</v>
      </c>
      <c r="P1599" s="164">
        <f t="shared" si="13"/>
        <v>44026</v>
      </c>
      <c r="Q1599" s="165">
        <f t="shared" si="2"/>
        <v>0</v>
      </c>
      <c r="R1599" s="167"/>
      <c r="S1599" s="167"/>
      <c r="T1599" s="168">
        <f t="shared" si="3"/>
        <v>22258.08</v>
      </c>
      <c r="U1599" s="168">
        <f t="shared" si="4"/>
        <v>0</v>
      </c>
      <c r="V1599" s="168">
        <f t="shared" si="5"/>
        <v>0</v>
      </c>
      <c r="W1599" s="168">
        <f t="shared" si="6"/>
        <v>0</v>
      </c>
      <c r="X1599" s="168">
        <f t="shared" si="7"/>
        <v>0</v>
      </c>
      <c r="Y1599" s="168">
        <f t="shared" si="8"/>
        <v>0</v>
      </c>
      <c r="Z1599" s="168">
        <f t="shared" si="9"/>
        <v>0</v>
      </c>
    </row>
    <row r="1600" ht="14.25" customHeight="1">
      <c r="A1600" s="157" t="s">
        <v>1694</v>
      </c>
      <c r="B1600" s="158" t="s">
        <v>37</v>
      </c>
      <c r="C1600" s="158" t="s">
        <v>1658</v>
      </c>
      <c r="D1600" s="159">
        <v>44016.0</v>
      </c>
      <c r="E1600" s="157" t="s">
        <v>731</v>
      </c>
      <c r="F1600" s="160">
        <v>38376.0</v>
      </c>
      <c r="G1600" s="160">
        <v>6140.16</v>
      </c>
      <c r="H1600" s="160">
        <f t="shared" si="47"/>
        <v>44516.16</v>
      </c>
      <c r="I1600" s="160"/>
      <c r="J1600" s="161"/>
      <c r="K1600" s="160"/>
      <c r="L1600" s="160">
        <f>+'FACP$'!$H1600-'FACP$'!$I1600-'FACP$'!$K1600</f>
        <v>44516.16</v>
      </c>
      <c r="M1600" s="162" t="s">
        <v>116</v>
      </c>
      <c r="N1600" s="162" t="s">
        <v>554</v>
      </c>
      <c r="O1600" s="175">
        <v>44081.0</v>
      </c>
      <c r="P1600" s="164">
        <f t="shared" si="13"/>
        <v>44026</v>
      </c>
      <c r="Q1600" s="165">
        <f t="shared" si="2"/>
        <v>0</v>
      </c>
      <c r="R1600" s="167"/>
      <c r="S1600" s="220" t="s">
        <v>910</v>
      </c>
      <c r="T1600" s="168">
        <f t="shared" si="3"/>
        <v>44516.16</v>
      </c>
      <c r="U1600" s="168">
        <f t="shared" si="4"/>
        <v>0</v>
      </c>
      <c r="V1600" s="168">
        <f t="shared" si="5"/>
        <v>0</v>
      </c>
      <c r="W1600" s="168">
        <f t="shared" si="6"/>
        <v>0</v>
      </c>
      <c r="X1600" s="168">
        <f t="shared" si="7"/>
        <v>0</v>
      </c>
      <c r="Y1600" s="168">
        <f t="shared" si="8"/>
        <v>0</v>
      </c>
      <c r="Z1600" s="168">
        <f t="shared" si="9"/>
        <v>0</v>
      </c>
    </row>
    <row r="1601" ht="14.25" customHeight="1">
      <c r="A1601" s="157" t="s">
        <v>1695</v>
      </c>
      <c r="B1601" s="158" t="s">
        <v>16</v>
      </c>
      <c r="C1601" s="158" t="s">
        <v>1658</v>
      </c>
      <c r="D1601" s="159">
        <v>44016.0</v>
      </c>
      <c r="E1601" s="157" t="s">
        <v>731</v>
      </c>
      <c r="F1601" s="160">
        <v>11316.0</v>
      </c>
      <c r="G1601" s="160">
        <v>1810.56</v>
      </c>
      <c r="H1601" s="160">
        <f t="shared" si="47"/>
        <v>13126.56</v>
      </c>
      <c r="I1601" s="160"/>
      <c r="J1601" s="161"/>
      <c r="K1601" s="160"/>
      <c r="L1601" s="160">
        <f>+'FACP$'!$H1601-'FACP$'!$I1601-'FACP$'!$K1601</f>
        <v>13126.56</v>
      </c>
      <c r="M1601" s="162" t="s">
        <v>985</v>
      </c>
      <c r="N1601" s="162" t="s">
        <v>1664</v>
      </c>
      <c r="O1601" s="175">
        <v>44070.0</v>
      </c>
      <c r="P1601" s="164">
        <f t="shared" si="13"/>
        <v>44026</v>
      </c>
      <c r="Q1601" s="165" t="b">
        <f t="shared" si="2"/>
        <v>0</v>
      </c>
      <c r="R1601" s="167"/>
      <c r="S1601" s="167"/>
      <c r="T1601" s="168">
        <f t="shared" si="3"/>
        <v>0</v>
      </c>
      <c r="U1601" s="168">
        <f t="shared" si="4"/>
        <v>0</v>
      </c>
      <c r="V1601" s="168">
        <f t="shared" si="5"/>
        <v>0</v>
      </c>
      <c r="W1601" s="168">
        <f t="shared" si="6"/>
        <v>0</v>
      </c>
      <c r="X1601" s="168">
        <f t="shared" si="7"/>
        <v>0</v>
      </c>
      <c r="Y1601" s="168">
        <f t="shared" si="8"/>
        <v>0</v>
      </c>
      <c r="Z1601" s="168">
        <f t="shared" si="9"/>
        <v>13126.56</v>
      </c>
    </row>
    <row r="1602" ht="14.25" customHeight="1">
      <c r="A1602" s="157" t="s">
        <v>1696</v>
      </c>
      <c r="B1602" s="158" t="s">
        <v>16</v>
      </c>
      <c r="C1602" s="158" t="s">
        <v>1658</v>
      </c>
      <c r="D1602" s="159">
        <v>44016.0</v>
      </c>
      <c r="E1602" s="157" t="s">
        <v>731</v>
      </c>
      <c r="F1602" s="160">
        <v>11316.0</v>
      </c>
      <c r="G1602" s="160">
        <v>1810.56</v>
      </c>
      <c r="H1602" s="160">
        <f t="shared" si="47"/>
        <v>13126.56</v>
      </c>
      <c r="I1602" s="160"/>
      <c r="J1602" s="161"/>
      <c r="K1602" s="160"/>
      <c r="L1602" s="160">
        <f>+'FACP$'!$H1602-'FACP$'!$I1602-'FACP$'!$K1602</f>
        <v>13126.56</v>
      </c>
      <c r="M1602" s="162" t="s">
        <v>985</v>
      </c>
      <c r="N1602" s="162" t="s">
        <v>1664</v>
      </c>
      <c r="O1602" s="175">
        <v>44070.0</v>
      </c>
      <c r="P1602" s="164">
        <f t="shared" si="13"/>
        <v>44026</v>
      </c>
      <c r="Q1602" s="165" t="b">
        <f t="shared" si="2"/>
        <v>0</v>
      </c>
      <c r="R1602" s="167"/>
      <c r="S1602" s="167"/>
      <c r="T1602" s="168">
        <f t="shared" si="3"/>
        <v>0</v>
      </c>
      <c r="U1602" s="168">
        <f t="shared" si="4"/>
        <v>0</v>
      </c>
      <c r="V1602" s="168">
        <f t="shared" si="5"/>
        <v>0</v>
      </c>
      <c r="W1602" s="168">
        <f t="shared" si="6"/>
        <v>0</v>
      </c>
      <c r="X1602" s="168">
        <f t="shared" si="7"/>
        <v>0</v>
      </c>
      <c r="Y1602" s="168">
        <f t="shared" si="8"/>
        <v>0</v>
      </c>
      <c r="Z1602" s="168">
        <f t="shared" si="9"/>
        <v>13126.56</v>
      </c>
    </row>
    <row r="1603" ht="14.25" customHeight="1">
      <c r="A1603" s="157" t="s">
        <v>1697</v>
      </c>
      <c r="B1603" s="158" t="s">
        <v>37</v>
      </c>
      <c r="C1603" s="158" t="s">
        <v>1658</v>
      </c>
      <c r="D1603" s="159">
        <v>44018.0</v>
      </c>
      <c r="E1603" s="157" t="s">
        <v>731</v>
      </c>
      <c r="F1603" s="160">
        <v>38376.0</v>
      </c>
      <c r="G1603" s="160">
        <v>6140.16</v>
      </c>
      <c r="H1603" s="160">
        <f t="shared" si="47"/>
        <v>44516.16</v>
      </c>
      <c r="I1603" s="160"/>
      <c r="J1603" s="161"/>
      <c r="K1603" s="160"/>
      <c r="L1603" s="160">
        <f>+'FACP$'!$H1603-'FACP$'!$I1603-'FACP$'!$K1603</f>
        <v>44516.16</v>
      </c>
      <c r="M1603" s="162" t="s">
        <v>116</v>
      </c>
      <c r="N1603" s="162" t="s">
        <v>554</v>
      </c>
      <c r="O1603" s="175">
        <v>44081.0</v>
      </c>
      <c r="P1603" s="164">
        <f t="shared" si="13"/>
        <v>44028</v>
      </c>
      <c r="Q1603" s="165">
        <f t="shared" si="2"/>
        <v>0</v>
      </c>
      <c r="R1603" s="167"/>
      <c r="S1603" s="220" t="s">
        <v>910</v>
      </c>
      <c r="T1603" s="168">
        <f t="shared" si="3"/>
        <v>44516.16</v>
      </c>
      <c r="U1603" s="168">
        <f t="shared" si="4"/>
        <v>0</v>
      </c>
      <c r="V1603" s="168">
        <f t="shared" si="5"/>
        <v>0</v>
      </c>
      <c r="W1603" s="168">
        <f t="shared" si="6"/>
        <v>0</v>
      </c>
      <c r="X1603" s="168">
        <f t="shared" si="7"/>
        <v>0</v>
      </c>
      <c r="Y1603" s="168">
        <f t="shared" si="8"/>
        <v>0</v>
      </c>
      <c r="Z1603" s="168">
        <f t="shared" si="9"/>
        <v>0</v>
      </c>
    </row>
    <row r="1604" ht="14.25" customHeight="1">
      <c r="A1604" s="157" t="s">
        <v>1698</v>
      </c>
      <c r="B1604" s="158" t="s">
        <v>37</v>
      </c>
      <c r="C1604" s="158" t="s">
        <v>1658</v>
      </c>
      <c r="D1604" s="159">
        <v>44018.0</v>
      </c>
      <c r="E1604" s="157" t="s">
        <v>731</v>
      </c>
      <c r="F1604" s="160">
        <v>38376.0</v>
      </c>
      <c r="G1604" s="160">
        <v>6140.16</v>
      </c>
      <c r="H1604" s="160">
        <f t="shared" si="47"/>
        <v>44516.16</v>
      </c>
      <c r="I1604" s="160"/>
      <c r="J1604" s="161"/>
      <c r="K1604" s="160"/>
      <c r="L1604" s="160">
        <f>+'FACP$'!$H1604-'FACP$'!$I1604-'FACP$'!$K1604</f>
        <v>44516.16</v>
      </c>
      <c r="M1604" s="162" t="s">
        <v>116</v>
      </c>
      <c r="N1604" s="162" t="s">
        <v>554</v>
      </c>
      <c r="O1604" s="175">
        <v>44081.0</v>
      </c>
      <c r="P1604" s="164">
        <f t="shared" si="13"/>
        <v>44028</v>
      </c>
      <c r="Q1604" s="165">
        <f t="shared" si="2"/>
        <v>0</v>
      </c>
      <c r="R1604" s="167"/>
      <c r="S1604" s="220" t="s">
        <v>910</v>
      </c>
      <c r="T1604" s="168">
        <f t="shared" si="3"/>
        <v>44516.16</v>
      </c>
      <c r="U1604" s="168">
        <f t="shared" si="4"/>
        <v>0</v>
      </c>
      <c r="V1604" s="168">
        <f t="shared" si="5"/>
        <v>0</v>
      </c>
      <c r="W1604" s="168">
        <f t="shared" si="6"/>
        <v>0</v>
      </c>
      <c r="X1604" s="168">
        <f t="shared" si="7"/>
        <v>0</v>
      </c>
      <c r="Y1604" s="168">
        <f t="shared" si="8"/>
        <v>0</v>
      </c>
      <c r="Z1604" s="168">
        <f t="shared" si="9"/>
        <v>0</v>
      </c>
    </row>
    <row r="1605" ht="14.25" customHeight="1">
      <c r="A1605" s="157" t="s">
        <v>1699</v>
      </c>
      <c r="B1605" s="158" t="s">
        <v>16</v>
      </c>
      <c r="C1605" s="158" t="s">
        <v>1658</v>
      </c>
      <c r="D1605" s="159">
        <v>44018.0</v>
      </c>
      <c r="E1605" s="157" t="s">
        <v>731</v>
      </c>
      <c r="F1605" s="160">
        <v>11316.0</v>
      </c>
      <c r="G1605" s="160">
        <v>1810.56</v>
      </c>
      <c r="H1605" s="160">
        <f t="shared" si="47"/>
        <v>13126.56</v>
      </c>
      <c r="I1605" s="160"/>
      <c r="J1605" s="161"/>
      <c r="K1605" s="160"/>
      <c r="L1605" s="160">
        <f>+'FACP$'!$H1605-'FACP$'!$I1605-'FACP$'!$K1605</f>
        <v>13126.56</v>
      </c>
      <c r="M1605" s="162" t="s">
        <v>985</v>
      </c>
      <c r="N1605" s="162" t="s">
        <v>1664</v>
      </c>
      <c r="O1605" s="175">
        <v>44070.0</v>
      </c>
      <c r="P1605" s="164">
        <f t="shared" si="13"/>
        <v>44028</v>
      </c>
      <c r="Q1605" s="165" t="b">
        <f t="shared" si="2"/>
        <v>0</v>
      </c>
      <c r="R1605" s="167"/>
      <c r="S1605" s="167"/>
      <c r="T1605" s="168">
        <f t="shared" si="3"/>
        <v>0</v>
      </c>
      <c r="U1605" s="168">
        <f t="shared" si="4"/>
        <v>0</v>
      </c>
      <c r="V1605" s="168">
        <f t="shared" si="5"/>
        <v>0</v>
      </c>
      <c r="W1605" s="168">
        <f t="shared" si="6"/>
        <v>0</v>
      </c>
      <c r="X1605" s="168">
        <f t="shared" si="7"/>
        <v>0</v>
      </c>
      <c r="Y1605" s="168">
        <f t="shared" si="8"/>
        <v>0</v>
      </c>
      <c r="Z1605" s="168">
        <f t="shared" si="9"/>
        <v>13126.56</v>
      </c>
    </row>
    <row r="1606" ht="14.25" customHeight="1">
      <c r="A1606" s="157" t="s">
        <v>1700</v>
      </c>
      <c r="B1606" s="158" t="s">
        <v>16</v>
      </c>
      <c r="C1606" s="158" t="s">
        <v>1658</v>
      </c>
      <c r="D1606" s="159">
        <v>44018.0</v>
      </c>
      <c r="E1606" s="157" t="s">
        <v>731</v>
      </c>
      <c r="F1606" s="160">
        <v>11316.0</v>
      </c>
      <c r="G1606" s="160">
        <v>1810.56</v>
      </c>
      <c r="H1606" s="160">
        <f t="shared" si="47"/>
        <v>13126.56</v>
      </c>
      <c r="I1606" s="160"/>
      <c r="J1606" s="161"/>
      <c r="K1606" s="160"/>
      <c r="L1606" s="160">
        <f>+'FACP$'!$H1606-'FACP$'!$I1606-'FACP$'!$K1606</f>
        <v>13126.56</v>
      </c>
      <c r="M1606" s="162" t="s">
        <v>985</v>
      </c>
      <c r="N1606" s="162" t="s">
        <v>1664</v>
      </c>
      <c r="O1606" s="175">
        <v>44070.0</v>
      </c>
      <c r="P1606" s="164">
        <f t="shared" si="13"/>
        <v>44028</v>
      </c>
      <c r="Q1606" s="165" t="b">
        <f t="shared" si="2"/>
        <v>0</v>
      </c>
      <c r="R1606" s="167"/>
      <c r="S1606" s="167"/>
      <c r="T1606" s="168">
        <f t="shared" si="3"/>
        <v>0</v>
      </c>
      <c r="U1606" s="168">
        <f t="shared" si="4"/>
        <v>0</v>
      </c>
      <c r="V1606" s="168">
        <f t="shared" si="5"/>
        <v>0</v>
      </c>
      <c r="W1606" s="168">
        <f t="shared" si="6"/>
        <v>0</v>
      </c>
      <c r="X1606" s="168">
        <f t="shared" si="7"/>
        <v>0</v>
      </c>
      <c r="Y1606" s="168">
        <f t="shared" si="8"/>
        <v>0</v>
      </c>
      <c r="Z1606" s="168">
        <f t="shared" si="9"/>
        <v>13126.56</v>
      </c>
    </row>
    <row r="1607" ht="14.25" customHeight="1">
      <c r="A1607" s="157" t="s">
        <v>1701</v>
      </c>
      <c r="B1607" s="158" t="s">
        <v>18</v>
      </c>
      <c r="C1607" s="158"/>
      <c r="D1607" s="159"/>
      <c r="E1607" s="157"/>
      <c r="F1607" s="160"/>
      <c r="G1607" s="160"/>
      <c r="H1607" s="160">
        <f t="shared" si="47"/>
        <v>0</v>
      </c>
      <c r="I1607" s="160"/>
      <c r="J1607" s="161"/>
      <c r="K1607" s="160"/>
      <c r="L1607" s="160">
        <f>+'FACP$'!$H1607-'FACP$'!$I1607-'FACP$'!$K1607</f>
        <v>0</v>
      </c>
      <c r="M1607" s="162"/>
      <c r="N1607" s="162" t="s">
        <v>127</v>
      </c>
      <c r="O1607" s="175"/>
      <c r="P1607" s="164">
        <f t="shared" si="13"/>
        <v>10</v>
      </c>
      <c r="Q1607" s="165">
        <f t="shared" si="2"/>
        <v>0</v>
      </c>
      <c r="R1607" s="167"/>
      <c r="S1607" s="167"/>
      <c r="T1607" s="168">
        <f t="shared" si="3"/>
        <v>0</v>
      </c>
      <c r="U1607" s="168">
        <f t="shared" si="4"/>
        <v>0</v>
      </c>
      <c r="V1607" s="168">
        <f t="shared" si="5"/>
        <v>0</v>
      </c>
      <c r="W1607" s="168">
        <f t="shared" si="6"/>
        <v>0</v>
      </c>
      <c r="X1607" s="168">
        <f t="shared" si="7"/>
        <v>0</v>
      </c>
      <c r="Y1607" s="168">
        <f t="shared" si="8"/>
        <v>0</v>
      </c>
      <c r="Z1607" s="168">
        <f t="shared" si="9"/>
        <v>0</v>
      </c>
    </row>
    <row r="1608" ht="14.25" customHeight="1">
      <c r="A1608" s="157" t="s">
        <v>1702</v>
      </c>
      <c r="B1608" s="158" t="s">
        <v>18</v>
      </c>
      <c r="C1608" s="158"/>
      <c r="D1608" s="159"/>
      <c r="E1608" s="157"/>
      <c r="F1608" s="160"/>
      <c r="G1608" s="160"/>
      <c r="H1608" s="160">
        <f t="shared" si="47"/>
        <v>0</v>
      </c>
      <c r="I1608" s="160"/>
      <c r="J1608" s="161"/>
      <c r="K1608" s="160"/>
      <c r="L1608" s="160">
        <f>+'FACP$'!$H1608-'FACP$'!$I1608-'FACP$'!$K1608</f>
        <v>0</v>
      </c>
      <c r="M1608" s="162"/>
      <c r="N1608" s="162" t="s">
        <v>127</v>
      </c>
      <c r="O1608" s="175"/>
      <c r="P1608" s="164">
        <f t="shared" si="13"/>
        <v>10</v>
      </c>
      <c r="Q1608" s="165">
        <f t="shared" si="2"/>
        <v>0</v>
      </c>
      <c r="R1608" s="167"/>
      <c r="S1608" s="167"/>
      <c r="T1608" s="168">
        <f t="shared" si="3"/>
        <v>0</v>
      </c>
      <c r="U1608" s="168">
        <f t="shared" si="4"/>
        <v>0</v>
      </c>
      <c r="V1608" s="168">
        <f t="shared" si="5"/>
        <v>0</v>
      </c>
      <c r="W1608" s="168">
        <f t="shared" si="6"/>
        <v>0</v>
      </c>
      <c r="X1608" s="168">
        <f t="shared" si="7"/>
        <v>0</v>
      </c>
      <c r="Y1608" s="168">
        <f t="shared" si="8"/>
        <v>0</v>
      </c>
      <c r="Z1608" s="168">
        <f t="shared" si="9"/>
        <v>0</v>
      </c>
    </row>
    <row r="1609" ht="14.25" customHeight="1">
      <c r="A1609" s="157" t="s">
        <v>1703</v>
      </c>
      <c r="B1609" s="158" t="s">
        <v>27</v>
      </c>
      <c r="C1609" s="158"/>
      <c r="D1609" s="159"/>
      <c r="E1609" s="157"/>
      <c r="F1609" s="160"/>
      <c r="G1609" s="160"/>
      <c r="H1609" s="160">
        <f t="shared" si="47"/>
        <v>0</v>
      </c>
      <c r="I1609" s="160"/>
      <c r="J1609" s="161"/>
      <c r="K1609" s="160"/>
      <c r="L1609" s="160">
        <f>+'FACP$'!$H1609-'FACP$'!$I1609-'FACP$'!$K1609</f>
        <v>0</v>
      </c>
      <c r="M1609" s="162"/>
      <c r="N1609" s="162" t="s">
        <v>127</v>
      </c>
      <c r="O1609" s="175"/>
      <c r="P1609" s="164">
        <f t="shared" si="13"/>
        <v>10</v>
      </c>
      <c r="Q1609" s="165">
        <f t="shared" si="2"/>
        <v>0</v>
      </c>
      <c r="R1609" s="167"/>
      <c r="S1609" s="167"/>
      <c r="T1609" s="168">
        <f t="shared" si="3"/>
        <v>0</v>
      </c>
      <c r="U1609" s="168">
        <f t="shared" si="4"/>
        <v>0</v>
      </c>
      <c r="V1609" s="168">
        <f t="shared" si="5"/>
        <v>0</v>
      </c>
      <c r="W1609" s="168">
        <f t="shared" si="6"/>
        <v>0</v>
      </c>
      <c r="X1609" s="168">
        <f t="shared" si="7"/>
        <v>0</v>
      </c>
      <c r="Y1609" s="168">
        <f t="shared" si="8"/>
        <v>0</v>
      </c>
      <c r="Z1609" s="168">
        <f t="shared" si="9"/>
        <v>0</v>
      </c>
    </row>
    <row r="1610" ht="14.25" customHeight="1">
      <c r="A1610" s="157" t="s">
        <v>1704</v>
      </c>
      <c r="B1610" s="158" t="s">
        <v>27</v>
      </c>
      <c r="C1610" s="158" t="s">
        <v>1683</v>
      </c>
      <c r="D1610" s="159">
        <v>44019.0</v>
      </c>
      <c r="E1610" s="157" t="s">
        <v>731</v>
      </c>
      <c r="F1610" s="160">
        <v>540317.24</v>
      </c>
      <c r="G1610" s="160">
        <v>86450.76</v>
      </c>
      <c r="H1610" s="160">
        <f t="shared" si="47"/>
        <v>626768</v>
      </c>
      <c r="I1610" s="160"/>
      <c r="J1610" s="161"/>
      <c r="K1610" s="160"/>
      <c r="L1610" s="160">
        <f>+'FACP$'!$H1610-'FACP$'!$I1610-'FACP$'!$K1610</f>
        <v>626768</v>
      </c>
      <c r="M1610" s="162" t="s">
        <v>969</v>
      </c>
      <c r="N1610" s="162" t="s">
        <v>127</v>
      </c>
      <c r="O1610" s="175"/>
      <c r="P1610" s="164">
        <f t="shared" si="13"/>
        <v>44029</v>
      </c>
      <c r="Q1610" s="165">
        <f t="shared" si="2"/>
        <v>0</v>
      </c>
      <c r="R1610" s="167"/>
      <c r="S1610" s="167"/>
      <c r="T1610" s="168">
        <f t="shared" si="3"/>
        <v>626768</v>
      </c>
      <c r="U1610" s="168">
        <f t="shared" si="4"/>
        <v>0</v>
      </c>
      <c r="V1610" s="168">
        <f t="shared" si="5"/>
        <v>0</v>
      </c>
      <c r="W1610" s="168">
        <f t="shared" si="6"/>
        <v>0</v>
      </c>
      <c r="X1610" s="168">
        <f t="shared" si="7"/>
        <v>0</v>
      </c>
      <c r="Y1610" s="168">
        <f t="shared" si="8"/>
        <v>0</v>
      </c>
      <c r="Z1610" s="168">
        <f t="shared" si="9"/>
        <v>0</v>
      </c>
    </row>
    <row r="1611" ht="14.25" customHeight="1">
      <c r="A1611" s="157" t="s">
        <v>1705</v>
      </c>
      <c r="B1611" s="158" t="s">
        <v>27</v>
      </c>
      <c r="C1611" s="158"/>
      <c r="D1611" s="159"/>
      <c r="E1611" s="157"/>
      <c r="F1611" s="160"/>
      <c r="G1611" s="160"/>
      <c r="H1611" s="160">
        <f t="shared" si="47"/>
        <v>0</v>
      </c>
      <c r="I1611" s="160"/>
      <c r="J1611" s="161"/>
      <c r="K1611" s="160"/>
      <c r="L1611" s="160">
        <f>+'FACP$'!$H1611-'FACP$'!$I1611-'FACP$'!$K1611</f>
        <v>0</v>
      </c>
      <c r="M1611" s="162"/>
      <c r="N1611" s="162" t="s">
        <v>127</v>
      </c>
      <c r="O1611" s="175"/>
      <c r="P1611" s="164">
        <f t="shared" si="13"/>
        <v>10</v>
      </c>
      <c r="Q1611" s="165">
        <f t="shared" si="2"/>
        <v>0</v>
      </c>
      <c r="R1611" s="167"/>
      <c r="S1611" s="167"/>
      <c r="T1611" s="168">
        <f t="shared" si="3"/>
        <v>0</v>
      </c>
      <c r="U1611" s="168">
        <f t="shared" si="4"/>
        <v>0</v>
      </c>
      <c r="V1611" s="168">
        <f t="shared" si="5"/>
        <v>0</v>
      </c>
      <c r="W1611" s="168">
        <f t="shared" si="6"/>
        <v>0</v>
      </c>
      <c r="X1611" s="168">
        <f t="shared" si="7"/>
        <v>0</v>
      </c>
      <c r="Y1611" s="168">
        <f t="shared" si="8"/>
        <v>0</v>
      </c>
      <c r="Z1611" s="168">
        <f t="shared" si="9"/>
        <v>0</v>
      </c>
    </row>
    <row r="1612" ht="14.25" customHeight="1">
      <c r="A1612" s="157" t="s">
        <v>1706</v>
      </c>
      <c r="B1612" s="158" t="s">
        <v>27</v>
      </c>
      <c r="C1612" s="158" t="s">
        <v>1707</v>
      </c>
      <c r="D1612" s="159">
        <v>44019.0</v>
      </c>
      <c r="E1612" s="157" t="s">
        <v>731</v>
      </c>
      <c r="F1612" s="160">
        <v>34247.82</v>
      </c>
      <c r="G1612" s="160">
        <v>5479.65</v>
      </c>
      <c r="H1612" s="160">
        <f t="shared" si="47"/>
        <v>39727.47</v>
      </c>
      <c r="I1612" s="160"/>
      <c r="J1612" s="161"/>
      <c r="K1612" s="160"/>
      <c r="L1612" s="160">
        <f>+'FACP$'!$H1612-'FACP$'!$I1612-'FACP$'!$K1612</f>
        <v>39727.47</v>
      </c>
      <c r="M1612" s="162" t="s">
        <v>969</v>
      </c>
      <c r="N1612" s="162" t="s">
        <v>127</v>
      </c>
      <c r="O1612" s="175"/>
      <c r="P1612" s="164">
        <f t="shared" si="13"/>
        <v>44029</v>
      </c>
      <c r="Q1612" s="165">
        <f t="shared" si="2"/>
        <v>0</v>
      </c>
      <c r="R1612" s="167"/>
      <c r="S1612" s="167"/>
      <c r="T1612" s="168">
        <f t="shared" si="3"/>
        <v>39727.47</v>
      </c>
      <c r="U1612" s="168">
        <f t="shared" si="4"/>
        <v>0</v>
      </c>
      <c r="V1612" s="168">
        <f t="shared" si="5"/>
        <v>0</v>
      </c>
      <c r="W1612" s="168">
        <f t="shared" si="6"/>
        <v>0</v>
      </c>
      <c r="X1612" s="168">
        <f t="shared" si="7"/>
        <v>0</v>
      </c>
      <c r="Y1612" s="168">
        <f t="shared" si="8"/>
        <v>0</v>
      </c>
      <c r="Z1612" s="168">
        <f t="shared" si="9"/>
        <v>0</v>
      </c>
    </row>
    <row r="1613" ht="14.25" customHeight="1">
      <c r="A1613" s="157" t="s">
        <v>1708</v>
      </c>
      <c r="B1613" s="158" t="s">
        <v>27</v>
      </c>
      <c r="C1613" s="158" t="s">
        <v>1709</v>
      </c>
      <c r="D1613" s="159">
        <v>44019.0</v>
      </c>
      <c r="E1613" s="157" t="s">
        <v>731</v>
      </c>
      <c r="F1613" s="160">
        <v>31350.66</v>
      </c>
      <c r="G1613" s="160">
        <v>5016.11</v>
      </c>
      <c r="H1613" s="160">
        <f t="shared" si="47"/>
        <v>36366.77</v>
      </c>
      <c r="I1613" s="160"/>
      <c r="J1613" s="161"/>
      <c r="K1613" s="160"/>
      <c r="L1613" s="160">
        <f>+'FACP$'!$H1613-'FACP$'!$I1613-'FACP$'!$K1613</f>
        <v>36366.77</v>
      </c>
      <c r="M1613" s="162" t="s">
        <v>969</v>
      </c>
      <c r="N1613" s="162" t="s">
        <v>127</v>
      </c>
      <c r="O1613" s="175"/>
      <c r="P1613" s="164">
        <f t="shared" si="13"/>
        <v>44029</v>
      </c>
      <c r="Q1613" s="165">
        <f t="shared" si="2"/>
        <v>0</v>
      </c>
      <c r="R1613" s="167"/>
      <c r="S1613" s="167"/>
      <c r="T1613" s="168">
        <f t="shared" si="3"/>
        <v>36366.77</v>
      </c>
      <c r="U1613" s="168">
        <f t="shared" si="4"/>
        <v>0</v>
      </c>
      <c r="V1613" s="168">
        <f t="shared" si="5"/>
        <v>0</v>
      </c>
      <c r="W1613" s="168">
        <f t="shared" si="6"/>
        <v>0</v>
      </c>
      <c r="X1613" s="168">
        <f t="shared" si="7"/>
        <v>0</v>
      </c>
      <c r="Y1613" s="168">
        <f t="shared" si="8"/>
        <v>0</v>
      </c>
      <c r="Z1613" s="168">
        <f t="shared" si="9"/>
        <v>0</v>
      </c>
    </row>
    <row r="1614" ht="14.25" customHeight="1">
      <c r="A1614" s="157" t="s">
        <v>1710</v>
      </c>
      <c r="B1614" s="158" t="s">
        <v>27</v>
      </c>
      <c r="C1614" s="158" t="s">
        <v>1711</v>
      </c>
      <c r="D1614" s="159">
        <v>44019.0</v>
      </c>
      <c r="E1614" s="157" t="s">
        <v>731</v>
      </c>
      <c r="F1614" s="160">
        <v>494609.7</v>
      </c>
      <c r="G1614" s="160">
        <v>79137.55</v>
      </c>
      <c r="H1614" s="160">
        <f t="shared" si="47"/>
        <v>573747.25</v>
      </c>
      <c r="I1614" s="160"/>
      <c r="J1614" s="161"/>
      <c r="K1614" s="160"/>
      <c r="L1614" s="160">
        <f>+'FACP$'!$H1614-'FACP$'!$I1614-'FACP$'!$K1614</f>
        <v>573747.25</v>
      </c>
      <c r="M1614" s="162" t="s">
        <v>969</v>
      </c>
      <c r="N1614" s="162" t="s">
        <v>127</v>
      </c>
      <c r="O1614" s="175"/>
      <c r="P1614" s="164">
        <f t="shared" si="13"/>
        <v>44029</v>
      </c>
      <c r="Q1614" s="165">
        <f t="shared" si="2"/>
        <v>0</v>
      </c>
      <c r="R1614" s="167"/>
      <c r="S1614" s="167"/>
      <c r="T1614" s="168">
        <f t="shared" si="3"/>
        <v>573747.25</v>
      </c>
      <c r="U1614" s="168">
        <f t="shared" si="4"/>
        <v>0</v>
      </c>
      <c r="V1614" s="168">
        <f t="shared" si="5"/>
        <v>0</v>
      </c>
      <c r="W1614" s="168">
        <f t="shared" si="6"/>
        <v>0</v>
      </c>
      <c r="X1614" s="168">
        <f t="shared" si="7"/>
        <v>0</v>
      </c>
      <c r="Y1614" s="168">
        <f t="shared" si="8"/>
        <v>0</v>
      </c>
      <c r="Z1614" s="168">
        <f t="shared" si="9"/>
        <v>0</v>
      </c>
    </row>
    <row r="1615" ht="14.25" customHeight="1">
      <c r="A1615" s="157" t="s">
        <v>1712</v>
      </c>
      <c r="B1615" s="158" t="s">
        <v>37</v>
      </c>
      <c r="C1615" s="158" t="s">
        <v>1658</v>
      </c>
      <c r="D1615" s="159">
        <v>44019.0</v>
      </c>
      <c r="E1615" s="157" t="s">
        <v>731</v>
      </c>
      <c r="F1615" s="160">
        <v>38376.0</v>
      </c>
      <c r="G1615" s="160">
        <v>6140.16</v>
      </c>
      <c r="H1615" s="160">
        <f t="shared" si="47"/>
        <v>44516.16</v>
      </c>
      <c r="I1615" s="160"/>
      <c r="J1615" s="161"/>
      <c r="K1615" s="160"/>
      <c r="L1615" s="160">
        <f>+'FACP$'!$H1615-'FACP$'!$I1615-'FACP$'!$K1615</f>
        <v>44516.16</v>
      </c>
      <c r="M1615" s="162" t="s">
        <v>116</v>
      </c>
      <c r="N1615" s="162" t="s">
        <v>554</v>
      </c>
      <c r="O1615" s="175">
        <v>44081.0</v>
      </c>
      <c r="P1615" s="164">
        <f t="shared" si="13"/>
        <v>44029</v>
      </c>
      <c r="Q1615" s="165">
        <f t="shared" si="2"/>
        <v>0</v>
      </c>
      <c r="R1615" s="220"/>
      <c r="S1615" s="220" t="s">
        <v>910</v>
      </c>
      <c r="T1615" s="168">
        <f t="shared" si="3"/>
        <v>44516.16</v>
      </c>
      <c r="U1615" s="168">
        <f t="shared" si="4"/>
        <v>0</v>
      </c>
      <c r="V1615" s="168">
        <f t="shared" si="5"/>
        <v>0</v>
      </c>
      <c r="W1615" s="168">
        <f t="shared" si="6"/>
        <v>0</v>
      </c>
      <c r="X1615" s="168">
        <f t="shared" si="7"/>
        <v>0</v>
      </c>
      <c r="Y1615" s="168">
        <f t="shared" si="8"/>
        <v>0</v>
      </c>
      <c r="Z1615" s="168">
        <f t="shared" si="9"/>
        <v>0</v>
      </c>
    </row>
    <row r="1616" ht="14.25" customHeight="1">
      <c r="A1616" s="157" t="s">
        <v>1713</v>
      </c>
      <c r="B1616" s="158" t="s">
        <v>37</v>
      </c>
      <c r="C1616" s="158" t="s">
        <v>1658</v>
      </c>
      <c r="D1616" s="159">
        <v>44019.0</v>
      </c>
      <c r="E1616" s="157" t="s">
        <v>731</v>
      </c>
      <c r="F1616" s="160">
        <v>38376.0</v>
      </c>
      <c r="G1616" s="160">
        <v>6140.16</v>
      </c>
      <c r="H1616" s="160">
        <f t="shared" si="47"/>
        <v>44516.16</v>
      </c>
      <c r="I1616" s="160"/>
      <c r="J1616" s="161"/>
      <c r="K1616" s="160"/>
      <c r="L1616" s="160">
        <f>+'FACP$'!$H1616-'FACP$'!$I1616-'FACP$'!$K1616</f>
        <v>44516.16</v>
      </c>
      <c r="M1616" s="162" t="s">
        <v>116</v>
      </c>
      <c r="N1616" s="162" t="s">
        <v>554</v>
      </c>
      <c r="O1616" s="175">
        <v>44067.0</v>
      </c>
      <c r="P1616" s="164">
        <f t="shared" si="13"/>
        <v>44029</v>
      </c>
      <c r="Q1616" s="165">
        <f t="shared" si="2"/>
        <v>0</v>
      </c>
      <c r="R1616" s="167" t="s">
        <v>910</v>
      </c>
      <c r="S1616" s="167" t="s">
        <v>910</v>
      </c>
      <c r="T1616" s="168">
        <f t="shared" si="3"/>
        <v>44516.16</v>
      </c>
      <c r="U1616" s="168">
        <f t="shared" si="4"/>
        <v>0</v>
      </c>
      <c r="V1616" s="168">
        <f t="shared" si="5"/>
        <v>0</v>
      </c>
      <c r="W1616" s="168">
        <f t="shared" si="6"/>
        <v>0</v>
      </c>
      <c r="X1616" s="168">
        <f t="shared" si="7"/>
        <v>0</v>
      </c>
      <c r="Y1616" s="168">
        <f t="shared" si="8"/>
        <v>0</v>
      </c>
      <c r="Z1616" s="168">
        <f t="shared" si="9"/>
        <v>0</v>
      </c>
    </row>
    <row r="1617" ht="14.25" customHeight="1">
      <c r="A1617" s="157" t="s">
        <v>1714</v>
      </c>
      <c r="B1617" s="158" t="s">
        <v>37</v>
      </c>
      <c r="C1617" s="158" t="s">
        <v>1658</v>
      </c>
      <c r="D1617" s="159">
        <v>44019.0</v>
      </c>
      <c r="E1617" s="157" t="s">
        <v>731</v>
      </c>
      <c r="F1617" s="160">
        <v>38376.0</v>
      </c>
      <c r="G1617" s="160">
        <v>6140.16</v>
      </c>
      <c r="H1617" s="160">
        <f t="shared" si="47"/>
        <v>44516.16</v>
      </c>
      <c r="I1617" s="160"/>
      <c r="J1617" s="161"/>
      <c r="K1617" s="160"/>
      <c r="L1617" s="160">
        <f>+'FACP$'!$H1617-'FACP$'!$I1617-'FACP$'!$K1617</f>
        <v>44516.16</v>
      </c>
      <c r="M1617" s="162" t="s">
        <v>116</v>
      </c>
      <c r="N1617" s="162" t="s">
        <v>554</v>
      </c>
      <c r="O1617" s="175">
        <v>44067.0</v>
      </c>
      <c r="P1617" s="164">
        <f t="shared" si="13"/>
        <v>44029</v>
      </c>
      <c r="Q1617" s="165">
        <f t="shared" si="2"/>
        <v>0</v>
      </c>
      <c r="R1617" s="167" t="s">
        <v>910</v>
      </c>
      <c r="S1617" s="167" t="s">
        <v>910</v>
      </c>
      <c r="T1617" s="168">
        <f t="shared" si="3"/>
        <v>44516.16</v>
      </c>
      <c r="U1617" s="168">
        <f t="shared" si="4"/>
        <v>0</v>
      </c>
      <c r="V1617" s="168">
        <f t="shared" si="5"/>
        <v>0</v>
      </c>
      <c r="W1617" s="168">
        <f t="shared" si="6"/>
        <v>0</v>
      </c>
      <c r="X1617" s="168">
        <f t="shared" si="7"/>
        <v>0</v>
      </c>
      <c r="Y1617" s="168">
        <f t="shared" si="8"/>
        <v>0</v>
      </c>
      <c r="Z1617" s="168">
        <f t="shared" si="9"/>
        <v>0</v>
      </c>
    </row>
    <row r="1618" ht="14.25" customHeight="1">
      <c r="A1618" s="157" t="s">
        <v>1715</v>
      </c>
      <c r="B1618" s="158" t="s">
        <v>16</v>
      </c>
      <c r="C1618" s="158" t="s">
        <v>1658</v>
      </c>
      <c r="D1618" s="159">
        <v>44019.0</v>
      </c>
      <c r="E1618" s="157" t="s">
        <v>731</v>
      </c>
      <c r="F1618" s="160">
        <v>11316.0</v>
      </c>
      <c r="G1618" s="160">
        <v>1810.56</v>
      </c>
      <c r="H1618" s="160">
        <f t="shared" si="47"/>
        <v>13126.56</v>
      </c>
      <c r="I1618" s="160"/>
      <c r="J1618" s="161"/>
      <c r="K1618" s="160"/>
      <c r="L1618" s="160">
        <f>+'FACP$'!$H1618-'FACP$'!$I1618-'FACP$'!$K1618</f>
        <v>13126.56</v>
      </c>
      <c r="M1618" s="162" t="s">
        <v>985</v>
      </c>
      <c r="N1618" s="162" t="s">
        <v>1664</v>
      </c>
      <c r="O1618" s="175">
        <v>44070.0</v>
      </c>
      <c r="P1618" s="164">
        <f t="shared" si="13"/>
        <v>44029</v>
      </c>
      <c r="Q1618" s="165" t="b">
        <f t="shared" si="2"/>
        <v>0</v>
      </c>
      <c r="R1618" s="167"/>
      <c r="S1618" s="167"/>
      <c r="T1618" s="168">
        <f t="shared" si="3"/>
        <v>0</v>
      </c>
      <c r="U1618" s="168">
        <f t="shared" si="4"/>
        <v>0</v>
      </c>
      <c r="V1618" s="168">
        <f t="shared" si="5"/>
        <v>0</v>
      </c>
      <c r="W1618" s="168">
        <f t="shared" si="6"/>
        <v>0</v>
      </c>
      <c r="X1618" s="168">
        <f t="shared" si="7"/>
        <v>0</v>
      </c>
      <c r="Y1618" s="168">
        <f t="shared" si="8"/>
        <v>0</v>
      </c>
      <c r="Z1618" s="168">
        <f t="shared" si="9"/>
        <v>13126.56</v>
      </c>
    </row>
    <row r="1619" ht="14.25" customHeight="1">
      <c r="A1619" s="157" t="s">
        <v>1716</v>
      </c>
      <c r="B1619" s="158" t="s">
        <v>16</v>
      </c>
      <c r="C1619" s="158" t="s">
        <v>1658</v>
      </c>
      <c r="D1619" s="159">
        <v>44019.0</v>
      </c>
      <c r="E1619" s="157" t="s">
        <v>731</v>
      </c>
      <c r="F1619" s="160">
        <v>11316.0</v>
      </c>
      <c r="G1619" s="160">
        <v>1810.56</v>
      </c>
      <c r="H1619" s="160">
        <f t="shared" si="47"/>
        <v>13126.56</v>
      </c>
      <c r="I1619" s="160"/>
      <c r="J1619" s="161"/>
      <c r="K1619" s="160"/>
      <c r="L1619" s="160">
        <f>+'FACP$'!$H1619-'FACP$'!$I1619-'FACP$'!$K1619</f>
        <v>13126.56</v>
      </c>
      <c r="M1619" s="162" t="s">
        <v>985</v>
      </c>
      <c r="N1619" s="162" t="s">
        <v>1664</v>
      </c>
      <c r="O1619" s="175">
        <v>44070.0</v>
      </c>
      <c r="P1619" s="164">
        <f t="shared" si="13"/>
        <v>44029</v>
      </c>
      <c r="Q1619" s="165" t="b">
        <f t="shared" si="2"/>
        <v>0</v>
      </c>
      <c r="R1619" s="167"/>
      <c r="S1619" s="167"/>
      <c r="T1619" s="168">
        <f t="shared" si="3"/>
        <v>0</v>
      </c>
      <c r="U1619" s="168">
        <f t="shared" si="4"/>
        <v>0</v>
      </c>
      <c r="V1619" s="168">
        <f t="shared" si="5"/>
        <v>0</v>
      </c>
      <c r="W1619" s="168">
        <f t="shared" si="6"/>
        <v>0</v>
      </c>
      <c r="X1619" s="168">
        <f t="shared" si="7"/>
        <v>0</v>
      </c>
      <c r="Y1619" s="168">
        <f t="shared" si="8"/>
        <v>0</v>
      </c>
      <c r="Z1619" s="168">
        <f t="shared" si="9"/>
        <v>13126.56</v>
      </c>
    </row>
    <row r="1620" ht="14.25" customHeight="1">
      <c r="A1620" s="157" t="s">
        <v>1717</v>
      </c>
      <c r="B1620" s="158" t="s">
        <v>27</v>
      </c>
      <c r="C1620" s="158" t="s">
        <v>1683</v>
      </c>
      <c r="D1620" s="159">
        <v>44019.0</v>
      </c>
      <c r="E1620" s="157" t="s">
        <v>731</v>
      </c>
      <c r="F1620" s="160">
        <v>245637.26</v>
      </c>
      <c r="G1620" s="160">
        <v>39301.96</v>
      </c>
      <c r="H1620" s="160">
        <f t="shared" si="47"/>
        <v>284939.22</v>
      </c>
      <c r="I1620" s="160"/>
      <c r="J1620" s="161"/>
      <c r="K1620" s="160"/>
      <c r="L1620" s="160">
        <f>+'FACP$'!$H1620-'FACP$'!$I1620-'FACP$'!$K1620</f>
        <v>284939.22</v>
      </c>
      <c r="M1620" s="162" t="s">
        <v>1644</v>
      </c>
      <c r="N1620" s="162" t="s">
        <v>127</v>
      </c>
      <c r="O1620" s="175"/>
      <c r="P1620" s="164">
        <f t="shared" si="13"/>
        <v>44029</v>
      </c>
      <c r="Q1620" s="165">
        <f t="shared" si="2"/>
        <v>0</v>
      </c>
      <c r="R1620" s="167"/>
      <c r="S1620" s="167"/>
      <c r="T1620" s="168">
        <f t="shared" si="3"/>
        <v>284939.22</v>
      </c>
      <c r="U1620" s="168">
        <f t="shared" si="4"/>
        <v>0</v>
      </c>
      <c r="V1620" s="168">
        <f t="shared" si="5"/>
        <v>0</v>
      </c>
      <c r="W1620" s="168">
        <f t="shared" si="6"/>
        <v>0</v>
      </c>
      <c r="X1620" s="168">
        <f t="shared" si="7"/>
        <v>0</v>
      </c>
      <c r="Y1620" s="168">
        <f t="shared" si="8"/>
        <v>0</v>
      </c>
      <c r="Z1620" s="168">
        <f t="shared" si="9"/>
        <v>0</v>
      </c>
    </row>
    <row r="1621" ht="14.25" customHeight="1">
      <c r="A1621" s="157" t="s">
        <v>1718</v>
      </c>
      <c r="B1621" s="158" t="s">
        <v>27</v>
      </c>
      <c r="C1621" s="158" t="s">
        <v>1711</v>
      </c>
      <c r="D1621" s="159">
        <v>44019.0</v>
      </c>
      <c r="E1621" s="157" t="s">
        <v>731</v>
      </c>
      <c r="F1621" s="160">
        <v>280451.7</v>
      </c>
      <c r="G1621" s="160">
        <v>44872.27</v>
      </c>
      <c r="H1621" s="160">
        <f t="shared" si="47"/>
        <v>325323.97</v>
      </c>
      <c r="I1621" s="160"/>
      <c r="J1621" s="161"/>
      <c r="K1621" s="160"/>
      <c r="L1621" s="160">
        <f>+'FACP$'!$H1621-'FACP$'!$I1621-'FACP$'!$K1621</f>
        <v>325323.97</v>
      </c>
      <c r="M1621" s="162" t="s">
        <v>1644</v>
      </c>
      <c r="N1621" s="162" t="s">
        <v>127</v>
      </c>
      <c r="O1621" s="175"/>
      <c r="P1621" s="164">
        <f t="shared" si="13"/>
        <v>44029</v>
      </c>
      <c r="Q1621" s="165">
        <f t="shared" si="2"/>
        <v>0</v>
      </c>
      <c r="R1621" s="167"/>
      <c r="S1621" s="167"/>
      <c r="T1621" s="168">
        <f t="shared" si="3"/>
        <v>325323.97</v>
      </c>
      <c r="U1621" s="168">
        <f t="shared" si="4"/>
        <v>0</v>
      </c>
      <c r="V1621" s="168">
        <f t="shared" si="5"/>
        <v>0</v>
      </c>
      <c r="W1621" s="168">
        <f t="shared" si="6"/>
        <v>0</v>
      </c>
      <c r="X1621" s="168">
        <f t="shared" si="7"/>
        <v>0</v>
      </c>
      <c r="Y1621" s="168">
        <f t="shared" si="8"/>
        <v>0</v>
      </c>
      <c r="Z1621" s="168">
        <f t="shared" si="9"/>
        <v>0</v>
      </c>
    </row>
    <row r="1622" ht="14.25" customHeight="1">
      <c r="A1622" s="157" t="s">
        <v>1719</v>
      </c>
      <c r="B1622" s="158" t="s">
        <v>27</v>
      </c>
      <c r="C1622" s="158" t="s">
        <v>1720</v>
      </c>
      <c r="D1622" s="159">
        <v>44019.0</v>
      </c>
      <c r="E1622" s="157" t="s">
        <v>731</v>
      </c>
      <c r="F1622" s="160">
        <v>26994.0</v>
      </c>
      <c r="G1622" s="160">
        <v>4319.04</v>
      </c>
      <c r="H1622" s="160">
        <f t="shared" si="47"/>
        <v>31313.04</v>
      </c>
      <c r="I1622" s="160"/>
      <c r="J1622" s="161"/>
      <c r="K1622" s="160"/>
      <c r="L1622" s="160">
        <f>+'FACP$'!$H1622-'FACP$'!$I1622-'FACP$'!$K1622</f>
        <v>31313.04</v>
      </c>
      <c r="M1622" s="162" t="s">
        <v>1721</v>
      </c>
      <c r="N1622" s="162" t="s">
        <v>127</v>
      </c>
      <c r="O1622" s="175"/>
      <c r="P1622" s="164">
        <f t="shared" si="13"/>
        <v>44029</v>
      </c>
      <c r="Q1622" s="165">
        <f t="shared" si="2"/>
        <v>0</v>
      </c>
      <c r="R1622" s="167"/>
      <c r="S1622" s="167"/>
      <c r="T1622" s="168">
        <f t="shared" si="3"/>
        <v>31313.04</v>
      </c>
      <c r="U1622" s="168">
        <f t="shared" si="4"/>
        <v>0</v>
      </c>
      <c r="V1622" s="168">
        <f t="shared" si="5"/>
        <v>0</v>
      </c>
      <c r="W1622" s="168">
        <f t="shared" si="6"/>
        <v>0</v>
      </c>
      <c r="X1622" s="168">
        <f t="shared" si="7"/>
        <v>0</v>
      </c>
      <c r="Y1622" s="168">
        <f t="shared" si="8"/>
        <v>0</v>
      </c>
      <c r="Z1622" s="168">
        <f t="shared" si="9"/>
        <v>0</v>
      </c>
    </row>
    <row r="1623" ht="14.25" customHeight="1">
      <c r="A1623" s="157" t="s">
        <v>1722</v>
      </c>
      <c r="B1623" s="158" t="s">
        <v>27</v>
      </c>
      <c r="C1623" s="158" t="s">
        <v>1723</v>
      </c>
      <c r="D1623" s="159">
        <v>44019.0</v>
      </c>
      <c r="E1623" s="157" t="s">
        <v>731</v>
      </c>
      <c r="F1623" s="160">
        <v>30967.11</v>
      </c>
      <c r="G1623" s="160">
        <v>4954.74</v>
      </c>
      <c r="H1623" s="160">
        <f t="shared" si="47"/>
        <v>35921.85</v>
      </c>
      <c r="I1623" s="160"/>
      <c r="J1623" s="161"/>
      <c r="K1623" s="160"/>
      <c r="L1623" s="160">
        <f>+'FACP$'!$H1623-'FACP$'!$I1623-'FACP$'!$K1623</f>
        <v>35921.85</v>
      </c>
      <c r="M1623" s="162" t="s">
        <v>1721</v>
      </c>
      <c r="N1623" s="162" t="s">
        <v>127</v>
      </c>
      <c r="O1623" s="175"/>
      <c r="P1623" s="164">
        <f t="shared" si="13"/>
        <v>44029</v>
      </c>
      <c r="Q1623" s="165">
        <f t="shared" si="2"/>
        <v>0</v>
      </c>
      <c r="R1623" s="167"/>
      <c r="S1623" s="167"/>
      <c r="T1623" s="168">
        <f t="shared" si="3"/>
        <v>35921.85</v>
      </c>
      <c r="U1623" s="168">
        <f t="shared" si="4"/>
        <v>0</v>
      </c>
      <c r="V1623" s="168">
        <f t="shared" si="5"/>
        <v>0</v>
      </c>
      <c r="W1623" s="168">
        <f t="shared" si="6"/>
        <v>0</v>
      </c>
      <c r="X1623" s="168">
        <f t="shared" si="7"/>
        <v>0</v>
      </c>
      <c r="Y1623" s="168">
        <f t="shared" si="8"/>
        <v>0</v>
      </c>
      <c r="Z1623" s="168">
        <f t="shared" si="9"/>
        <v>0</v>
      </c>
    </row>
    <row r="1624" ht="14.25" customHeight="1">
      <c r="A1624" s="157" t="s">
        <v>1724</v>
      </c>
      <c r="B1624" s="158" t="s">
        <v>27</v>
      </c>
      <c r="C1624" s="158" t="s">
        <v>1725</v>
      </c>
      <c r="D1624" s="159">
        <v>44019.0</v>
      </c>
      <c r="E1624" s="157" t="s">
        <v>731</v>
      </c>
      <c r="F1624" s="160">
        <v>540317.24</v>
      </c>
      <c r="G1624" s="160">
        <v>86450.76</v>
      </c>
      <c r="H1624" s="160">
        <f t="shared" si="47"/>
        <v>626768</v>
      </c>
      <c r="I1624" s="160"/>
      <c r="J1624" s="161"/>
      <c r="K1624" s="160"/>
      <c r="L1624" s="160">
        <f>+'FACP$'!$H1624-'FACP$'!$I1624-'FACP$'!$K1624</f>
        <v>626768</v>
      </c>
      <c r="M1624" s="162" t="s">
        <v>969</v>
      </c>
      <c r="N1624" s="162" t="s">
        <v>554</v>
      </c>
      <c r="O1624" s="175">
        <v>44061.0</v>
      </c>
      <c r="P1624" s="164">
        <f t="shared" si="13"/>
        <v>44029</v>
      </c>
      <c r="Q1624" s="165">
        <f t="shared" si="2"/>
        <v>0</v>
      </c>
      <c r="R1624" s="167" t="s">
        <v>1726</v>
      </c>
      <c r="S1624" s="167" t="s">
        <v>910</v>
      </c>
      <c r="T1624" s="168">
        <f t="shared" si="3"/>
        <v>626768</v>
      </c>
      <c r="U1624" s="168">
        <f t="shared" si="4"/>
        <v>0</v>
      </c>
      <c r="V1624" s="168">
        <f t="shared" si="5"/>
        <v>0</v>
      </c>
      <c r="W1624" s="168">
        <f t="shared" si="6"/>
        <v>0</v>
      </c>
      <c r="X1624" s="168">
        <f t="shared" si="7"/>
        <v>0</v>
      </c>
      <c r="Y1624" s="168">
        <f t="shared" si="8"/>
        <v>0</v>
      </c>
      <c r="Z1624" s="168">
        <f t="shared" si="9"/>
        <v>0</v>
      </c>
    </row>
    <row r="1625" ht="14.25" customHeight="1">
      <c r="A1625" s="157" t="s">
        <v>1727</v>
      </c>
      <c r="B1625" s="158" t="s">
        <v>27</v>
      </c>
      <c r="C1625" s="158" t="s">
        <v>1728</v>
      </c>
      <c r="D1625" s="159">
        <v>44019.0</v>
      </c>
      <c r="E1625" s="157" t="s">
        <v>731</v>
      </c>
      <c r="F1625" s="160">
        <v>494609.7</v>
      </c>
      <c r="G1625" s="160">
        <v>79137.55</v>
      </c>
      <c r="H1625" s="160">
        <f t="shared" si="47"/>
        <v>573747.25</v>
      </c>
      <c r="I1625" s="160"/>
      <c r="J1625" s="161"/>
      <c r="K1625" s="160"/>
      <c r="L1625" s="160">
        <f>+'FACP$'!$H1625-'FACP$'!$I1625-'FACP$'!$K1625</f>
        <v>573747.25</v>
      </c>
      <c r="M1625" s="162" t="s">
        <v>969</v>
      </c>
      <c r="N1625" s="162" t="s">
        <v>554</v>
      </c>
      <c r="O1625" s="175">
        <v>44067.0</v>
      </c>
      <c r="P1625" s="164">
        <f t="shared" si="13"/>
        <v>44029</v>
      </c>
      <c r="Q1625" s="165">
        <f t="shared" si="2"/>
        <v>0</v>
      </c>
      <c r="R1625" s="167" t="s">
        <v>1729</v>
      </c>
      <c r="S1625" s="167" t="s">
        <v>910</v>
      </c>
      <c r="T1625" s="168">
        <f t="shared" si="3"/>
        <v>573747.25</v>
      </c>
      <c r="U1625" s="168">
        <f t="shared" si="4"/>
        <v>0</v>
      </c>
      <c r="V1625" s="168">
        <f t="shared" si="5"/>
        <v>0</v>
      </c>
      <c r="W1625" s="168">
        <f t="shared" si="6"/>
        <v>0</v>
      </c>
      <c r="X1625" s="168">
        <f t="shared" si="7"/>
        <v>0</v>
      </c>
      <c r="Y1625" s="168">
        <f t="shared" si="8"/>
        <v>0</v>
      </c>
      <c r="Z1625" s="168">
        <f t="shared" si="9"/>
        <v>0</v>
      </c>
    </row>
    <row r="1626" ht="14.25" customHeight="1">
      <c r="A1626" s="157" t="s">
        <v>1730</v>
      </c>
      <c r="B1626" s="158" t="s">
        <v>27</v>
      </c>
      <c r="C1626" s="158" t="s">
        <v>1725</v>
      </c>
      <c r="D1626" s="159">
        <v>44019.0</v>
      </c>
      <c r="E1626" s="157" t="s">
        <v>731</v>
      </c>
      <c r="F1626" s="160">
        <v>245637.26</v>
      </c>
      <c r="G1626" s="160">
        <v>39301.96</v>
      </c>
      <c r="H1626" s="160">
        <f t="shared" si="47"/>
        <v>284939.22</v>
      </c>
      <c r="I1626" s="160"/>
      <c r="J1626" s="161"/>
      <c r="K1626" s="160"/>
      <c r="L1626" s="160">
        <f>+'FACP$'!$H1626-'FACP$'!$I1626-'FACP$'!$K1626</f>
        <v>284939.22</v>
      </c>
      <c r="M1626" s="162" t="s">
        <v>1644</v>
      </c>
      <c r="N1626" s="162" t="s">
        <v>554</v>
      </c>
      <c r="O1626" s="175">
        <v>44077.0</v>
      </c>
      <c r="P1626" s="164">
        <f t="shared" si="13"/>
        <v>44029</v>
      </c>
      <c r="Q1626" s="165">
        <f t="shared" si="2"/>
        <v>0</v>
      </c>
      <c r="R1626" s="167" t="s">
        <v>1731</v>
      </c>
      <c r="S1626" s="167" t="s">
        <v>910</v>
      </c>
      <c r="T1626" s="168">
        <f t="shared" si="3"/>
        <v>284939.22</v>
      </c>
      <c r="U1626" s="168">
        <f t="shared" si="4"/>
        <v>0</v>
      </c>
      <c r="V1626" s="168">
        <f t="shared" si="5"/>
        <v>0</v>
      </c>
      <c r="W1626" s="168">
        <f t="shared" si="6"/>
        <v>0</v>
      </c>
      <c r="X1626" s="168">
        <f t="shared" si="7"/>
        <v>0</v>
      </c>
      <c r="Y1626" s="168">
        <f t="shared" si="8"/>
        <v>0</v>
      </c>
      <c r="Z1626" s="168">
        <f t="shared" si="9"/>
        <v>0</v>
      </c>
    </row>
    <row r="1627" ht="14.25" customHeight="1">
      <c r="A1627" s="157" t="s">
        <v>1732</v>
      </c>
      <c r="B1627" s="158" t="s">
        <v>27</v>
      </c>
      <c r="C1627" s="158" t="s">
        <v>1725</v>
      </c>
      <c r="D1627" s="159">
        <v>44019.0</v>
      </c>
      <c r="E1627" s="157" t="s">
        <v>731</v>
      </c>
      <c r="F1627" s="160">
        <v>26994.0</v>
      </c>
      <c r="G1627" s="160">
        <v>4319.04</v>
      </c>
      <c r="H1627" s="160">
        <f t="shared" si="47"/>
        <v>31313.04</v>
      </c>
      <c r="I1627" s="160"/>
      <c r="J1627" s="161"/>
      <c r="K1627" s="160"/>
      <c r="L1627" s="160">
        <f>+'FACP$'!$H1627-'FACP$'!$I1627-'FACP$'!$K1627</f>
        <v>31313.04</v>
      </c>
      <c r="M1627" s="162" t="s">
        <v>1721</v>
      </c>
      <c r="N1627" s="162" t="s">
        <v>554</v>
      </c>
      <c r="O1627" s="175">
        <v>44077.0</v>
      </c>
      <c r="P1627" s="164">
        <f t="shared" si="13"/>
        <v>44029</v>
      </c>
      <c r="Q1627" s="165">
        <f t="shared" si="2"/>
        <v>0</v>
      </c>
      <c r="R1627" s="167" t="s">
        <v>1733</v>
      </c>
      <c r="S1627" s="167" t="s">
        <v>910</v>
      </c>
      <c r="T1627" s="168">
        <f t="shared" si="3"/>
        <v>31313.04</v>
      </c>
      <c r="U1627" s="168">
        <f t="shared" si="4"/>
        <v>0</v>
      </c>
      <c r="V1627" s="168">
        <f t="shared" si="5"/>
        <v>0</v>
      </c>
      <c r="W1627" s="168">
        <f t="shared" si="6"/>
        <v>0</v>
      </c>
      <c r="X1627" s="168">
        <f t="shared" si="7"/>
        <v>0</v>
      </c>
      <c r="Y1627" s="168">
        <f t="shared" si="8"/>
        <v>0</v>
      </c>
      <c r="Z1627" s="168">
        <f t="shared" si="9"/>
        <v>0</v>
      </c>
    </row>
    <row r="1628" ht="14.25" customHeight="1">
      <c r="A1628" s="157" t="s">
        <v>1734</v>
      </c>
      <c r="B1628" s="158" t="s">
        <v>27</v>
      </c>
      <c r="C1628" s="158" t="s">
        <v>1735</v>
      </c>
      <c r="D1628" s="159">
        <v>44019.0</v>
      </c>
      <c r="E1628" s="157" t="s">
        <v>731</v>
      </c>
      <c r="F1628" s="160">
        <v>30967.11</v>
      </c>
      <c r="G1628" s="160">
        <v>4954.74</v>
      </c>
      <c r="H1628" s="160">
        <f t="shared" si="47"/>
        <v>35921.85</v>
      </c>
      <c r="I1628" s="160"/>
      <c r="J1628" s="161"/>
      <c r="K1628" s="160"/>
      <c r="L1628" s="160">
        <f>+'FACP$'!$H1628-'FACP$'!$I1628-'FACP$'!$K1628</f>
        <v>35921.85</v>
      </c>
      <c r="M1628" s="162" t="s">
        <v>1721</v>
      </c>
      <c r="N1628" s="162" t="s">
        <v>554</v>
      </c>
      <c r="O1628" s="175">
        <v>44077.0</v>
      </c>
      <c r="P1628" s="164">
        <f t="shared" si="13"/>
        <v>44029</v>
      </c>
      <c r="Q1628" s="165">
        <f t="shared" si="2"/>
        <v>0</v>
      </c>
      <c r="R1628" s="167" t="s">
        <v>1736</v>
      </c>
      <c r="S1628" s="167" t="s">
        <v>910</v>
      </c>
      <c r="T1628" s="168">
        <f t="shared" si="3"/>
        <v>35921.85</v>
      </c>
      <c r="U1628" s="168">
        <f t="shared" si="4"/>
        <v>0</v>
      </c>
      <c r="V1628" s="168">
        <f t="shared" si="5"/>
        <v>0</v>
      </c>
      <c r="W1628" s="168">
        <f t="shared" si="6"/>
        <v>0</v>
      </c>
      <c r="X1628" s="168">
        <f t="shared" si="7"/>
        <v>0</v>
      </c>
      <c r="Y1628" s="168">
        <f t="shared" si="8"/>
        <v>0</v>
      </c>
      <c r="Z1628" s="168">
        <f t="shared" si="9"/>
        <v>0</v>
      </c>
    </row>
    <row r="1629" ht="14.25" customHeight="1">
      <c r="A1629" s="157" t="s">
        <v>1737</v>
      </c>
      <c r="B1629" s="158" t="s">
        <v>16</v>
      </c>
      <c r="C1629" s="158" t="s">
        <v>1658</v>
      </c>
      <c r="D1629" s="159">
        <v>44019.0</v>
      </c>
      <c r="E1629" s="157" t="s">
        <v>731</v>
      </c>
      <c r="F1629" s="160">
        <v>11316.0</v>
      </c>
      <c r="G1629" s="160">
        <v>1810.56</v>
      </c>
      <c r="H1629" s="160">
        <f t="shared" si="47"/>
        <v>13126.56</v>
      </c>
      <c r="I1629" s="160"/>
      <c r="J1629" s="161"/>
      <c r="K1629" s="160"/>
      <c r="L1629" s="160">
        <f>+'FACP$'!$H1629-'FACP$'!$I1629-'FACP$'!$K1629</f>
        <v>13126.56</v>
      </c>
      <c r="M1629" s="162" t="s">
        <v>985</v>
      </c>
      <c r="N1629" s="162" t="s">
        <v>1664</v>
      </c>
      <c r="O1629" s="175">
        <v>44070.0</v>
      </c>
      <c r="P1629" s="164">
        <f t="shared" si="13"/>
        <v>44029</v>
      </c>
      <c r="Q1629" s="165" t="b">
        <f t="shared" si="2"/>
        <v>0</v>
      </c>
      <c r="R1629" s="167"/>
      <c r="S1629" s="167"/>
      <c r="T1629" s="168">
        <f t="shared" si="3"/>
        <v>0</v>
      </c>
      <c r="U1629" s="168">
        <f t="shared" si="4"/>
        <v>0</v>
      </c>
      <c r="V1629" s="168">
        <f t="shared" si="5"/>
        <v>0</v>
      </c>
      <c r="W1629" s="168">
        <f t="shared" si="6"/>
        <v>0</v>
      </c>
      <c r="X1629" s="168">
        <f t="shared" si="7"/>
        <v>0</v>
      </c>
      <c r="Y1629" s="168">
        <f t="shared" si="8"/>
        <v>0</v>
      </c>
      <c r="Z1629" s="168">
        <f t="shared" si="9"/>
        <v>13126.56</v>
      </c>
    </row>
    <row r="1630" ht="14.25" customHeight="1">
      <c r="A1630" s="157" t="s">
        <v>1738</v>
      </c>
      <c r="B1630" s="158" t="s">
        <v>16</v>
      </c>
      <c r="C1630" s="158" t="s">
        <v>1658</v>
      </c>
      <c r="D1630" s="159">
        <v>44019.0</v>
      </c>
      <c r="E1630" s="157" t="s">
        <v>731</v>
      </c>
      <c r="F1630" s="160">
        <v>11316.0</v>
      </c>
      <c r="G1630" s="160">
        <v>1810.56</v>
      </c>
      <c r="H1630" s="160">
        <f t="shared" si="47"/>
        <v>13126.56</v>
      </c>
      <c r="I1630" s="160"/>
      <c r="J1630" s="161"/>
      <c r="K1630" s="160"/>
      <c r="L1630" s="160">
        <f>+'FACP$'!$H1630-'FACP$'!$I1630-'FACP$'!$K1630</f>
        <v>13126.56</v>
      </c>
      <c r="M1630" s="162" t="s">
        <v>985</v>
      </c>
      <c r="N1630" s="162" t="s">
        <v>1664</v>
      </c>
      <c r="O1630" s="175">
        <v>44070.0</v>
      </c>
      <c r="P1630" s="164">
        <f t="shared" si="13"/>
        <v>44029</v>
      </c>
      <c r="Q1630" s="165" t="b">
        <f t="shared" si="2"/>
        <v>0</v>
      </c>
      <c r="R1630" s="167"/>
      <c r="S1630" s="167"/>
      <c r="T1630" s="168">
        <f t="shared" si="3"/>
        <v>0</v>
      </c>
      <c r="U1630" s="168">
        <f t="shared" si="4"/>
        <v>0</v>
      </c>
      <c r="V1630" s="168">
        <f t="shared" si="5"/>
        <v>0</v>
      </c>
      <c r="W1630" s="168">
        <f t="shared" si="6"/>
        <v>0</v>
      </c>
      <c r="X1630" s="168">
        <f t="shared" si="7"/>
        <v>0</v>
      </c>
      <c r="Y1630" s="168">
        <f t="shared" si="8"/>
        <v>0</v>
      </c>
      <c r="Z1630" s="168">
        <f t="shared" si="9"/>
        <v>13126.56</v>
      </c>
    </row>
    <row r="1631" ht="14.25" customHeight="1">
      <c r="A1631" s="157" t="s">
        <v>1739</v>
      </c>
      <c r="B1631" s="158" t="s">
        <v>37</v>
      </c>
      <c r="C1631" s="158" t="s">
        <v>1658</v>
      </c>
      <c r="D1631" s="159">
        <v>44019.0</v>
      </c>
      <c r="E1631" s="157" t="s">
        <v>731</v>
      </c>
      <c r="F1631" s="160">
        <v>38376.0</v>
      </c>
      <c r="G1631" s="160">
        <v>6140.16</v>
      </c>
      <c r="H1631" s="160">
        <f t="shared" si="47"/>
        <v>44516.16</v>
      </c>
      <c r="I1631" s="160"/>
      <c r="J1631" s="161"/>
      <c r="K1631" s="160"/>
      <c r="L1631" s="160">
        <f>+'FACP$'!$H1631-'FACP$'!$I1631-'FACP$'!$K1631</f>
        <v>44516.16</v>
      </c>
      <c r="M1631" s="162" t="s">
        <v>116</v>
      </c>
      <c r="N1631" s="162" t="s">
        <v>554</v>
      </c>
      <c r="O1631" s="175">
        <v>44067.0</v>
      </c>
      <c r="P1631" s="164">
        <f t="shared" si="13"/>
        <v>44029</v>
      </c>
      <c r="Q1631" s="165">
        <f t="shared" si="2"/>
        <v>0</v>
      </c>
      <c r="R1631" s="167" t="s">
        <v>910</v>
      </c>
      <c r="S1631" s="167" t="s">
        <v>910</v>
      </c>
      <c r="T1631" s="168">
        <f t="shared" si="3"/>
        <v>44516.16</v>
      </c>
      <c r="U1631" s="168">
        <f t="shared" si="4"/>
        <v>0</v>
      </c>
      <c r="V1631" s="168">
        <f t="shared" si="5"/>
        <v>0</v>
      </c>
      <c r="W1631" s="168">
        <f t="shared" si="6"/>
        <v>0</v>
      </c>
      <c r="X1631" s="168">
        <f t="shared" si="7"/>
        <v>0</v>
      </c>
      <c r="Y1631" s="168">
        <f t="shared" si="8"/>
        <v>0</v>
      </c>
      <c r="Z1631" s="168">
        <f t="shared" si="9"/>
        <v>0</v>
      </c>
    </row>
    <row r="1632" ht="14.25" customHeight="1">
      <c r="A1632" s="157" t="s">
        <v>1740</v>
      </c>
      <c r="B1632" s="158" t="s">
        <v>37</v>
      </c>
      <c r="C1632" s="158" t="s">
        <v>1658</v>
      </c>
      <c r="D1632" s="159">
        <v>44019.0</v>
      </c>
      <c r="E1632" s="157" t="s">
        <v>731</v>
      </c>
      <c r="F1632" s="160">
        <v>38376.0</v>
      </c>
      <c r="G1632" s="160">
        <v>6140.16</v>
      </c>
      <c r="H1632" s="160">
        <f t="shared" si="47"/>
        <v>44516.16</v>
      </c>
      <c r="I1632" s="160"/>
      <c r="J1632" s="161"/>
      <c r="K1632" s="160"/>
      <c r="L1632" s="160">
        <f>+'FACP$'!$H1632-'FACP$'!$I1632-'FACP$'!$K1632</f>
        <v>44516.16</v>
      </c>
      <c r="M1632" s="162" t="s">
        <v>116</v>
      </c>
      <c r="N1632" s="162" t="s">
        <v>554</v>
      </c>
      <c r="O1632" s="175">
        <v>44067.0</v>
      </c>
      <c r="P1632" s="164">
        <f t="shared" si="13"/>
        <v>44029</v>
      </c>
      <c r="Q1632" s="165">
        <f t="shared" si="2"/>
        <v>0</v>
      </c>
      <c r="R1632" s="167" t="s">
        <v>910</v>
      </c>
      <c r="S1632" s="167" t="s">
        <v>910</v>
      </c>
      <c r="T1632" s="168">
        <f t="shared" si="3"/>
        <v>44516.16</v>
      </c>
      <c r="U1632" s="168">
        <f t="shared" si="4"/>
        <v>0</v>
      </c>
      <c r="V1632" s="168">
        <f t="shared" si="5"/>
        <v>0</v>
      </c>
      <c r="W1632" s="168">
        <f t="shared" si="6"/>
        <v>0</v>
      </c>
      <c r="X1632" s="168">
        <f t="shared" si="7"/>
        <v>0</v>
      </c>
      <c r="Y1632" s="168">
        <f t="shared" si="8"/>
        <v>0</v>
      </c>
      <c r="Z1632" s="168">
        <f t="shared" si="9"/>
        <v>0</v>
      </c>
    </row>
    <row r="1633" ht="14.25" customHeight="1">
      <c r="A1633" s="157" t="s">
        <v>1741</v>
      </c>
      <c r="B1633" s="158" t="s">
        <v>27</v>
      </c>
      <c r="C1633" s="158" t="s">
        <v>1728</v>
      </c>
      <c r="D1633" s="159">
        <v>44020.0</v>
      </c>
      <c r="E1633" s="157" t="s">
        <v>731</v>
      </c>
      <c r="F1633" s="160">
        <v>280451.7</v>
      </c>
      <c r="G1633" s="160">
        <v>44872.27</v>
      </c>
      <c r="H1633" s="160">
        <f t="shared" si="47"/>
        <v>325323.97</v>
      </c>
      <c r="I1633" s="160"/>
      <c r="J1633" s="161"/>
      <c r="K1633" s="160"/>
      <c r="L1633" s="160">
        <f>+'FACP$'!$H1633-'FACP$'!$I1633-'FACP$'!$K1633</f>
        <v>325323.97</v>
      </c>
      <c r="M1633" s="162" t="s">
        <v>1644</v>
      </c>
      <c r="N1633" s="162" t="s">
        <v>554</v>
      </c>
      <c r="O1633" s="175">
        <v>44077.0</v>
      </c>
      <c r="P1633" s="164">
        <f t="shared" si="13"/>
        <v>44030</v>
      </c>
      <c r="Q1633" s="165">
        <f t="shared" si="2"/>
        <v>0</v>
      </c>
      <c r="R1633" s="167"/>
      <c r="S1633" s="167" t="s">
        <v>910</v>
      </c>
      <c r="T1633" s="168">
        <f t="shared" si="3"/>
        <v>325323.97</v>
      </c>
      <c r="U1633" s="168">
        <f t="shared" si="4"/>
        <v>0</v>
      </c>
      <c r="V1633" s="168">
        <f t="shared" si="5"/>
        <v>0</v>
      </c>
      <c r="W1633" s="168">
        <f t="shared" si="6"/>
        <v>0</v>
      </c>
      <c r="X1633" s="168">
        <f t="shared" si="7"/>
        <v>0</v>
      </c>
      <c r="Y1633" s="168">
        <f t="shared" si="8"/>
        <v>0</v>
      </c>
      <c r="Z1633" s="168">
        <f t="shared" si="9"/>
        <v>0</v>
      </c>
    </row>
    <row r="1634" ht="14.25" customHeight="1">
      <c r="A1634" s="157" t="s">
        <v>1742</v>
      </c>
      <c r="B1634" s="158" t="s">
        <v>16</v>
      </c>
      <c r="C1634" s="158" t="s">
        <v>1658</v>
      </c>
      <c r="D1634" s="159">
        <v>44020.0</v>
      </c>
      <c r="E1634" s="157" t="s">
        <v>731</v>
      </c>
      <c r="F1634" s="160">
        <v>11316.0</v>
      </c>
      <c r="G1634" s="160">
        <v>1810.56</v>
      </c>
      <c r="H1634" s="160">
        <f t="shared" si="47"/>
        <v>13126.56</v>
      </c>
      <c r="I1634" s="160"/>
      <c r="J1634" s="161"/>
      <c r="K1634" s="160"/>
      <c r="L1634" s="160">
        <f>+'FACP$'!$H1634-'FACP$'!$I1634-'FACP$'!$K1634</f>
        <v>13126.56</v>
      </c>
      <c r="M1634" s="162" t="s">
        <v>985</v>
      </c>
      <c r="N1634" s="162" t="s">
        <v>1664</v>
      </c>
      <c r="O1634" s="175">
        <v>44070.0</v>
      </c>
      <c r="P1634" s="164">
        <f t="shared" si="13"/>
        <v>44030</v>
      </c>
      <c r="Q1634" s="165" t="b">
        <f t="shared" si="2"/>
        <v>0</v>
      </c>
      <c r="R1634" s="167"/>
      <c r="S1634" s="167"/>
      <c r="T1634" s="168">
        <f t="shared" si="3"/>
        <v>0</v>
      </c>
      <c r="U1634" s="168">
        <f t="shared" si="4"/>
        <v>0</v>
      </c>
      <c r="V1634" s="168">
        <f t="shared" si="5"/>
        <v>0</v>
      </c>
      <c r="W1634" s="168">
        <f t="shared" si="6"/>
        <v>0</v>
      </c>
      <c r="X1634" s="168">
        <f t="shared" si="7"/>
        <v>0</v>
      </c>
      <c r="Y1634" s="168">
        <f t="shared" si="8"/>
        <v>0</v>
      </c>
      <c r="Z1634" s="168">
        <f t="shared" si="9"/>
        <v>13126.56</v>
      </c>
    </row>
    <row r="1635" ht="14.25" customHeight="1">
      <c r="A1635" s="157" t="s">
        <v>1743</v>
      </c>
      <c r="B1635" s="158" t="s">
        <v>37</v>
      </c>
      <c r="C1635" s="158" t="s">
        <v>1658</v>
      </c>
      <c r="D1635" s="159">
        <v>44020.0</v>
      </c>
      <c r="E1635" s="157" t="s">
        <v>731</v>
      </c>
      <c r="F1635" s="160">
        <v>38376.0</v>
      </c>
      <c r="G1635" s="160">
        <v>6140.16</v>
      </c>
      <c r="H1635" s="160">
        <f t="shared" si="47"/>
        <v>44516.16</v>
      </c>
      <c r="I1635" s="160"/>
      <c r="J1635" s="161"/>
      <c r="K1635" s="160"/>
      <c r="L1635" s="160">
        <f>+'FACP$'!$H1635-'FACP$'!$I1635-'FACP$'!$K1635</f>
        <v>44516.16</v>
      </c>
      <c r="M1635" s="162" t="s">
        <v>116</v>
      </c>
      <c r="N1635" s="162" t="s">
        <v>554</v>
      </c>
      <c r="O1635" s="175">
        <v>44067.0</v>
      </c>
      <c r="P1635" s="164">
        <f t="shared" si="13"/>
        <v>44030</v>
      </c>
      <c r="Q1635" s="165">
        <f t="shared" si="2"/>
        <v>0</v>
      </c>
      <c r="R1635" s="167" t="s">
        <v>910</v>
      </c>
      <c r="S1635" s="167" t="s">
        <v>910</v>
      </c>
      <c r="T1635" s="168">
        <f t="shared" si="3"/>
        <v>44516.16</v>
      </c>
      <c r="U1635" s="168">
        <f t="shared" si="4"/>
        <v>0</v>
      </c>
      <c r="V1635" s="168">
        <f t="shared" si="5"/>
        <v>0</v>
      </c>
      <c r="W1635" s="168">
        <f t="shared" si="6"/>
        <v>0</v>
      </c>
      <c r="X1635" s="168">
        <f t="shared" si="7"/>
        <v>0</v>
      </c>
      <c r="Y1635" s="168">
        <f t="shared" si="8"/>
        <v>0</v>
      </c>
      <c r="Z1635" s="168">
        <f t="shared" si="9"/>
        <v>0</v>
      </c>
    </row>
    <row r="1636" ht="14.25" customHeight="1">
      <c r="A1636" s="157" t="s">
        <v>1744</v>
      </c>
      <c r="B1636" s="158" t="s">
        <v>37</v>
      </c>
      <c r="C1636" s="158" t="s">
        <v>1658</v>
      </c>
      <c r="D1636" s="159">
        <v>44020.0</v>
      </c>
      <c r="E1636" s="157" t="s">
        <v>731</v>
      </c>
      <c r="F1636" s="160">
        <v>38376.0</v>
      </c>
      <c r="G1636" s="160">
        <v>6140.16</v>
      </c>
      <c r="H1636" s="160">
        <f t="shared" si="47"/>
        <v>44516.16</v>
      </c>
      <c r="I1636" s="160"/>
      <c r="J1636" s="161"/>
      <c r="K1636" s="160"/>
      <c r="L1636" s="160">
        <f>+'FACP$'!$H1636-'FACP$'!$I1636-'FACP$'!$K1636</f>
        <v>44516.16</v>
      </c>
      <c r="M1636" s="162" t="s">
        <v>116</v>
      </c>
      <c r="N1636" s="162" t="s">
        <v>554</v>
      </c>
      <c r="O1636" s="175">
        <v>44067.0</v>
      </c>
      <c r="P1636" s="164">
        <f t="shared" si="13"/>
        <v>44030</v>
      </c>
      <c r="Q1636" s="165">
        <f t="shared" si="2"/>
        <v>0</v>
      </c>
      <c r="R1636" s="167" t="s">
        <v>910</v>
      </c>
      <c r="S1636" s="167" t="s">
        <v>910</v>
      </c>
      <c r="T1636" s="168">
        <f t="shared" si="3"/>
        <v>44516.16</v>
      </c>
      <c r="U1636" s="168">
        <f t="shared" si="4"/>
        <v>0</v>
      </c>
      <c r="V1636" s="168">
        <f t="shared" si="5"/>
        <v>0</v>
      </c>
      <c r="W1636" s="168">
        <f t="shared" si="6"/>
        <v>0</v>
      </c>
      <c r="X1636" s="168">
        <f t="shared" si="7"/>
        <v>0</v>
      </c>
      <c r="Y1636" s="168">
        <f t="shared" si="8"/>
        <v>0</v>
      </c>
      <c r="Z1636" s="168">
        <f t="shared" si="9"/>
        <v>0</v>
      </c>
    </row>
    <row r="1637" ht="14.25" customHeight="1">
      <c r="A1637" s="157" t="s">
        <v>1745</v>
      </c>
      <c r="B1637" s="158" t="s">
        <v>16</v>
      </c>
      <c r="C1637" s="158" t="s">
        <v>1658</v>
      </c>
      <c r="D1637" s="159">
        <v>44020.0</v>
      </c>
      <c r="E1637" s="157" t="s">
        <v>731</v>
      </c>
      <c r="F1637" s="160">
        <v>11316.0</v>
      </c>
      <c r="G1637" s="160">
        <v>1810.56</v>
      </c>
      <c r="H1637" s="160">
        <f t="shared" si="47"/>
        <v>13126.56</v>
      </c>
      <c r="I1637" s="160"/>
      <c r="J1637" s="161"/>
      <c r="K1637" s="160"/>
      <c r="L1637" s="160">
        <f>+'FACP$'!$H1637-'FACP$'!$I1637-'FACP$'!$K1637</f>
        <v>13126.56</v>
      </c>
      <c r="M1637" s="162" t="s">
        <v>985</v>
      </c>
      <c r="N1637" s="162" t="s">
        <v>1664</v>
      </c>
      <c r="O1637" s="175">
        <v>44070.0</v>
      </c>
      <c r="P1637" s="164">
        <f t="shared" si="13"/>
        <v>44030</v>
      </c>
      <c r="Q1637" s="165" t="b">
        <f t="shared" si="2"/>
        <v>0</v>
      </c>
      <c r="R1637" s="167"/>
      <c r="S1637" s="167"/>
      <c r="T1637" s="168">
        <f t="shared" si="3"/>
        <v>0</v>
      </c>
      <c r="U1637" s="168">
        <f t="shared" si="4"/>
        <v>0</v>
      </c>
      <c r="V1637" s="168">
        <f t="shared" si="5"/>
        <v>0</v>
      </c>
      <c r="W1637" s="168">
        <f t="shared" si="6"/>
        <v>0</v>
      </c>
      <c r="X1637" s="168">
        <f t="shared" si="7"/>
        <v>0</v>
      </c>
      <c r="Y1637" s="168">
        <f t="shared" si="8"/>
        <v>0</v>
      </c>
      <c r="Z1637" s="168">
        <f t="shared" si="9"/>
        <v>13126.56</v>
      </c>
    </row>
    <row r="1638" ht="14.25" customHeight="1">
      <c r="A1638" s="157" t="s">
        <v>1746</v>
      </c>
      <c r="B1638" s="158" t="s">
        <v>37</v>
      </c>
      <c r="C1638" s="158" t="s">
        <v>1658</v>
      </c>
      <c r="D1638" s="159">
        <v>44021.0</v>
      </c>
      <c r="E1638" s="157" t="s">
        <v>731</v>
      </c>
      <c r="F1638" s="160">
        <v>38376.0</v>
      </c>
      <c r="G1638" s="160">
        <v>6140.16</v>
      </c>
      <c r="H1638" s="160">
        <f t="shared" si="47"/>
        <v>44516.16</v>
      </c>
      <c r="I1638" s="160"/>
      <c r="J1638" s="161"/>
      <c r="K1638" s="160"/>
      <c r="L1638" s="160">
        <f>+'FACP$'!$H1638-'FACP$'!$I1638-'FACP$'!$K1638</f>
        <v>44516.16</v>
      </c>
      <c r="M1638" s="162" t="s">
        <v>116</v>
      </c>
      <c r="N1638" s="162" t="s">
        <v>554</v>
      </c>
      <c r="O1638" s="175">
        <v>44067.0</v>
      </c>
      <c r="P1638" s="164">
        <f t="shared" si="13"/>
        <v>44031</v>
      </c>
      <c r="Q1638" s="165">
        <f t="shared" si="2"/>
        <v>0</v>
      </c>
      <c r="R1638" s="167" t="s">
        <v>910</v>
      </c>
      <c r="S1638" s="167" t="s">
        <v>910</v>
      </c>
      <c r="T1638" s="168">
        <f t="shared" si="3"/>
        <v>44516.16</v>
      </c>
      <c r="U1638" s="168">
        <f t="shared" si="4"/>
        <v>0</v>
      </c>
      <c r="V1638" s="168">
        <f t="shared" si="5"/>
        <v>0</v>
      </c>
      <c r="W1638" s="168">
        <f t="shared" si="6"/>
        <v>0</v>
      </c>
      <c r="X1638" s="168">
        <f t="shared" si="7"/>
        <v>0</v>
      </c>
      <c r="Y1638" s="168">
        <f t="shared" si="8"/>
        <v>0</v>
      </c>
      <c r="Z1638" s="168">
        <f t="shared" si="9"/>
        <v>0</v>
      </c>
    </row>
    <row r="1639" ht="14.25" customHeight="1">
      <c r="A1639" s="157" t="s">
        <v>1747</v>
      </c>
      <c r="B1639" s="158" t="s">
        <v>37</v>
      </c>
      <c r="C1639" s="158" t="s">
        <v>1658</v>
      </c>
      <c r="D1639" s="159">
        <v>44021.0</v>
      </c>
      <c r="E1639" s="157" t="s">
        <v>731</v>
      </c>
      <c r="F1639" s="160">
        <v>38376.0</v>
      </c>
      <c r="G1639" s="160">
        <v>6140.16</v>
      </c>
      <c r="H1639" s="160">
        <f t="shared" si="47"/>
        <v>44516.16</v>
      </c>
      <c r="I1639" s="160"/>
      <c r="J1639" s="161"/>
      <c r="K1639" s="160"/>
      <c r="L1639" s="160">
        <f>+'FACP$'!$H1639-'FACP$'!$I1639-'FACP$'!$K1639</f>
        <v>44516.16</v>
      </c>
      <c r="M1639" s="162" t="s">
        <v>116</v>
      </c>
      <c r="N1639" s="162" t="s">
        <v>554</v>
      </c>
      <c r="O1639" s="175">
        <v>44067.0</v>
      </c>
      <c r="P1639" s="164">
        <f t="shared" si="13"/>
        <v>44031</v>
      </c>
      <c r="Q1639" s="165">
        <f t="shared" si="2"/>
        <v>0</v>
      </c>
      <c r="R1639" s="167" t="s">
        <v>910</v>
      </c>
      <c r="S1639" s="167" t="s">
        <v>910</v>
      </c>
      <c r="T1639" s="168">
        <f t="shared" si="3"/>
        <v>44516.16</v>
      </c>
      <c r="U1639" s="168">
        <f t="shared" si="4"/>
        <v>0</v>
      </c>
      <c r="V1639" s="168">
        <f t="shared" si="5"/>
        <v>0</v>
      </c>
      <c r="W1639" s="168">
        <f t="shared" si="6"/>
        <v>0</v>
      </c>
      <c r="X1639" s="168">
        <f t="shared" si="7"/>
        <v>0</v>
      </c>
      <c r="Y1639" s="168">
        <f t="shared" si="8"/>
        <v>0</v>
      </c>
      <c r="Z1639" s="168">
        <f t="shared" si="9"/>
        <v>0</v>
      </c>
    </row>
    <row r="1640" ht="14.25" customHeight="1">
      <c r="A1640" s="157" t="s">
        <v>1748</v>
      </c>
      <c r="B1640" s="158" t="s">
        <v>16</v>
      </c>
      <c r="C1640" s="158" t="s">
        <v>1658</v>
      </c>
      <c r="D1640" s="159">
        <v>44021.0</v>
      </c>
      <c r="E1640" s="157" t="s">
        <v>731</v>
      </c>
      <c r="F1640" s="160">
        <v>11316.0</v>
      </c>
      <c r="G1640" s="160">
        <v>1810.56</v>
      </c>
      <c r="H1640" s="160">
        <f t="shared" si="47"/>
        <v>13126.56</v>
      </c>
      <c r="I1640" s="160"/>
      <c r="J1640" s="161"/>
      <c r="K1640" s="160"/>
      <c r="L1640" s="160">
        <f>+'FACP$'!$H1640-'FACP$'!$I1640-'FACP$'!$K1640</f>
        <v>13126.56</v>
      </c>
      <c r="M1640" s="162" t="s">
        <v>985</v>
      </c>
      <c r="N1640" s="162" t="s">
        <v>1664</v>
      </c>
      <c r="O1640" s="175">
        <v>44070.0</v>
      </c>
      <c r="P1640" s="164">
        <f t="shared" si="13"/>
        <v>44031</v>
      </c>
      <c r="Q1640" s="165" t="b">
        <f t="shared" si="2"/>
        <v>0</v>
      </c>
      <c r="R1640" s="167"/>
      <c r="S1640" s="167"/>
      <c r="T1640" s="168">
        <f t="shared" si="3"/>
        <v>0</v>
      </c>
      <c r="U1640" s="168">
        <f t="shared" si="4"/>
        <v>0</v>
      </c>
      <c r="V1640" s="168">
        <f t="shared" si="5"/>
        <v>0</v>
      </c>
      <c r="W1640" s="168">
        <f t="shared" si="6"/>
        <v>0</v>
      </c>
      <c r="X1640" s="168">
        <f t="shared" si="7"/>
        <v>0</v>
      </c>
      <c r="Y1640" s="168">
        <f t="shared" si="8"/>
        <v>0</v>
      </c>
      <c r="Z1640" s="168">
        <f t="shared" si="9"/>
        <v>13126.56</v>
      </c>
    </row>
    <row r="1641" ht="14.25" customHeight="1">
      <c r="A1641" s="157" t="s">
        <v>1749</v>
      </c>
      <c r="B1641" s="158" t="s">
        <v>16</v>
      </c>
      <c r="C1641" s="158" t="s">
        <v>1658</v>
      </c>
      <c r="D1641" s="159">
        <v>44021.0</v>
      </c>
      <c r="E1641" s="157" t="s">
        <v>731</v>
      </c>
      <c r="F1641" s="160">
        <v>38364.0</v>
      </c>
      <c r="G1641" s="160">
        <v>6138.24</v>
      </c>
      <c r="H1641" s="160">
        <f>F1641+G1641-22617.41</f>
        <v>21884.83</v>
      </c>
      <c r="I1641" s="160"/>
      <c r="J1641" s="161"/>
      <c r="K1641" s="160"/>
      <c r="L1641" s="160">
        <f>+'FACP$'!$H1641-'FACP$'!$I1641-'FACP$'!$K1641</f>
        <v>21884.83</v>
      </c>
      <c r="M1641" s="162" t="s">
        <v>985</v>
      </c>
      <c r="N1641" s="162" t="s">
        <v>554</v>
      </c>
      <c r="O1641" s="175">
        <v>44078.0</v>
      </c>
      <c r="P1641" s="164">
        <f t="shared" si="13"/>
        <v>44031</v>
      </c>
      <c r="Q1641" s="165">
        <f t="shared" si="2"/>
        <v>0</v>
      </c>
      <c r="R1641" s="167" t="s">
        <v>1750</v>
      </c>
      <c r="S1641" s="167"/>
      <c r="T1641" s="168">
        <f t="shared" si="3"/>
        <v>21884.83</v>
      </c>
      <c r="U1641" s="168">
        <f t="shared" si="4"/>
        <v>0</v>
      </c>
      <c r="V1641" s="168">
        <f t="shared" si="5"/>
        <v>0</v>
      </c>
      <c r="W1641" s="168">
        <f t="shared" si="6"/>
        <v>0</v>
      </c>
      <c r="X1641" s="168">
        <f t="shared" si="7"/>
        <v>0</v>
      </c>
      <c r="Y1641" s="168">
        <f t="shared" si="8"/>
        <v>0</v>
      </c>
      <c r="Z1641" s="168">
        <f t="shared" si="9"/>
        <v>0</v>
      </c>
    </row>
    <row r="1642" ht="14.25" customHeight="1">
      <c r="A1642" s="157" t="s">
        <v>1751</v>
      </c>
      <c r="B1642" s="158" t="s">
        <v>127</v>
      </c>
      <c r="C1642" s="158"/>
      <c r="D1642" s="159"/>
      <c r="E1642" s="157"/>
      <c r="F1642" s="160"/>
      <c r="G1642" s="160"/>
      <c r="H1642" s="160">
        <f t="shared" ref="H1642:H1772" si="48">F1642+G1642</f>
        <v>0</v>
      </c>
      <c r="I1642" s="160"/>
      <c r="J1642" s="161"/>
      <c r="K1642" s="160"/>
      <c r="L1642" s="160">
        <f>+'FACP$'!$H1642-'FACP$'!$I1642-'FACP$'!$K1642</f>
        <v>0</v>
      </c>
      <c r="M1642" s="162"/>
      <c r="N1642" s="162" t="s">
        <v>127</v>
      </c>
      <c r="O1642" s="175"/>
      <c r="P1642" s="164">
        <f t="shared" si="13"/>
        <v>10</v>
      </c>
      <c r="Q1642" s="165">
        <f t="shared" si="2"/>
        <v>0</v>
      </c>
      <c r="R1642" s="167"/>
      <c r="S1642" s="167"/>
      <c r="T1642" s="168">
        <f t="shared" si="3"/>
        <v>0</v>
      </c>
      <c r="U1642" s="168">
        <f t="shared" si="4"/>
        <v>0</v>
      </c>
      <c r="V1642" s="168">
        <f t="shared" si="5"/>
        <v>0</v>
      </c>
      <c r="W1642" s="168">
        <f t="shared" si="6"/>
        <v>0</v>
      </c>
      <c r="X1642" s="168">
        <f t="shared" si="7"/>
        <v>0</v>
      </c>
      <c r="Y1642" s="168">
        <f t="shared" si="8"/>
        <v>0</v>
      </c>
      <c r="Z1642" s="168">
        <f t="shared" si="9"/>
        <v>0</v>
      </c>
    </row>
    <row r="1643" ht="14.25" customHeight="1">
      <c r="A1643" s="157" t="s">
        <v>1752</v>
      </c>
      <c r="B1643" s="158" t="s">
        <v>37</v>
      </c>
      <c r="C1643" s="158" t="s">
        <v>1658</v>
      </c>
      <c r="D1643" s="159">
        <v>44021.0</v>
      </c>
      <c r="E1643" s="157" t="s">
        <v>731</v>
      </c>
      <c r="F1643" s="160">
        <v>38376.0</v>
      </c>
      <c r="G1643" s="160">
        <v>6140.16</v>
      </c>
      <c r="H1643" s="160">
        <f t="shared" si="48"/>
        <v>44516.16</v>
      </c>
      <c r="I1643" s="160"/>
      <c r="J1643" s="161"/>
      <c r="K1643" s="160"/>
      <c r="L1643" s="160">
        <f>+'FACP$'!$H1643-'FACP$'!$I1643-'FACP$'!$K1643</f>
        <v>44516.16</v>
      </c>
      <c r="M1643" s="162" t="s">
        <v>116</v>
      </c>
      <c r="N1643" s="162" t="s">
        <v>554</v>
      </c>
      <c r="O1643" s="175">
        <v>44067.0</v>
      </c>
      <c r="P1643" s="164">
        <f t="shared" si="13"/>
        <v>44031</v>
      </c>
      <c r="Q1643" s="165">
        <f t="shared" si="2"/>
        <v>0</v>
      </c>
      <c r="R1643" s="167" t="s">
        <v>910</v>
      </c>
      <c r="S1643" s="167" t="s">
        <v>910</v>
      </c>
      <c r="T1643" s="168">
        <f t="shared" si="3"/>
        <v>44516.16</v>
      </c>
      <c r="U1643" s="168">
        <f t="shared" si="4"/>
        <v>0</v>
      </c>
      <c r="V1643" s="168">
        <f t="shared" si="5"/>
        <v>0</v>
      </c>
      <c r="W1643" s="168">
        <f t="shared" si="6"/>
        <v>0</v>
      </c>
      <c r="X1643" s="168">
        <f t="shared" si="7"/>
        <v>0</v>
      </c>
      <c r="Y1643" s="168">
        <f t="shared" si="8"/>
        <v>0</v>
      </c>
      <c r="Z1643" s="168">
        <f t="shared" si="9"/>
        <v>0</v>
      </c>
    </row>
    <row r="1644" ht="14.25" customHeight="1">
      <c r="A1644" s="157" t="s">
        <v>1753</v>
      </c>
      <c r="B1644" s="158" t="s">
        <v>16</v>
      </c>
      <c r="C1644" s="158" t="s">
        <v>1658</v>
      </c>
      <c r="D1644" s="159">
        <v>44022.0</v>
      </c>
      <c r="E1644" s="157" t="s">
        <v>731</v>
      </c>
      <c r="F1644" s="160">
        <v>11316.0</v>
      </c>
      <c r="G1644" s="160">
        <v>1810.56</v>
      </c>
      <c r="H1644" s="160">
        <f t="shared" si="48"/>
        <v>13126.56</v>
      </c>
      <c r="I1644" s="160"/>
      <c r="J1644" s="161"/>
      <c r="K1644" s="160"/>
      <c r="L1644" s="160">
        <f>+'FACP$'!$H1644-'FACP$'!$I1644-'FACP$'!$K1644</f>
        <v>13126.56</v>
      </c>
      <c r="M1644" s="162" t="s">
        <v>985</v>
      </c>
      <c r="N1644" s="162" t="s">
        <v>554</v>
      </c>
      <c r="O1644" s="175">
        <v>44078.0</v>
      </c>
      <c r="P1644" s="164">
        <f t="shared" si="13"/>
        <v>44032</v>
      </c>
      <c r="Q1644" s="165">
        <f t="shared" si="2"/>
        <v>0</v>
      </c>
      <c r="R1644" s="167"/>
      <c r="S1644" s="167"/>
      <c r="T1644" s="168">
        <f t="shared" si="3"/>
        <v>13126.56</v>
      </c>
      <c r="U1644" s="168">
        <f t="shared" si="4"/>
        <v>0</v>
      </c>
      <c r="V1644" s="168">
        <f t="shared" si="5"/>
        <v>0</v>
      </c>
      <c r="W1644" s="168">
        <f t="shared" si="6"/>
        <v>0</v>
      </c>
      <c r="X1644" s="168">
        <f t="shared" si="7"/>
        <v>0</v>
      </c>
      <c r="Y1644" s="168">
        <f t="shared" si="8"/>
        <v>0</v>
      </c>
      <c r="Z1644" s="168">
        <f t="shared" si="9"/>
        <v>0</v>
      </c>
    </row>
    <row r="1645" ht="14.25" customHeight="1">
      <c r="A1645" s="157" t="s">
        <v>1754</v>
      </c>
      <c r="B1645" s="158" t="s">
        <v>18</v>
      </c>
      <c r="C1645" s="158" t="s">
        <v>1658</v>
      </c>
      <c r="D1645" s="159">
        <v>44022.0</v>
      </c>
      <c r="E1645" s="157" t="s">
        <v>731</v>
      </c>
      <c r="F1645" s="160">
        <v>11316.0</v>
      </c>
      <c r="G1645" s="160">
        <v>1810.56</v>
      </c>
      <c r="H1645" s="160">
        <f t="shared" si="48"/>
        <v>13126.56</v>
      </c>
      <c r="I1645" s="160"/>
      <c r="J1645" s="161"/>
      <c r="K1645" s="160"/>
      <c r="L1645" s="160">
        <f>+'FACP$'!$H1645-'FACP$'!$I1645-'FACP$'!$K1645</f>
        <v>13126.56</v>
      </c>
      <c r="M1645" s="162" t="s">
        <v>586</v>
      </c>
      <c r="N1645" s="162" t="s">
        <v>554</v>
      </c>
      <c r="O1645" s="175">
        <v>44077.0</v>
      </c>
      <c r="P1645" s="164">
        <f t="shared" si="13"/>
        <v>44032</v>
      </c>
      <c r="Q1645" s="165">
        <f t="shared" si="2"/>
        <v>0</v>
      </c>
      <c r="R1645" s="167"/>
      <c r="S1645" s="167" t="s">
        <v>910</v>
      </c>
      <c r="T1645" s="168">
        <f t="shared" si="3"/>
        <v>13126.56</v>
      </c>
      <c r="U1645" s="168">
        <f t="shared" si="4"/>
        <v>0</v>
      </c>
      <c r="V1645" s="168">
        <f t="shared" si="5"/>
        <v>0</v>
      </c>
      <c r="W1645" s="168">
        <f t="shared" si="6"/>
        <v>0</v>
      </c>
      <c r="X1645" s="168">
        <f t="shared" si="7"/>
        <v>0</v>
      </c>
      <c r="Y1645" s="168">
        <f t="shared" si="8"/>
        <v>0</v>
      </c>
      <c r="Z1645" s="168">
        <f t="shared" si="9"/>
        <v>0</v>
      </c>
    </row>
    <row r="1646" ht="14.25" customHeight="1">
      <c r="A1646" s="157" t="s">
        <v>1755</v>
      </c>
      <c r="B1646" s="158" t="s">
        <v>37</v>
      </c>
      <c r="C1646" s="158" t="s">
        <v>1658</v>
      </c>
      <c r="D1646" s="159">
        <v>44022.0</v>
      </c>
      <c r="E1646" s="157" t="s">
        <v>731</v>
      </c>
      <c r="F1646" s="160">
        <v>38376.0</v>
      </c>
      <c r="G1646" s="160">
        <v>6140.16</v>
      </c>
      <c r="H1646" s="160">
        <f t="shared" si="48"/>
        <v>44516.16</v>
      </c>
      <c r="I1646" s="160"/>
      <c r="J1646" s="161"/>
      <c r="K1646" s="160"/>
      <c r="L1646" s="160">
        <f>+'FACP$'!$H1646-'FACP$'!$I1646-'FACP$'!$K1646</f>
        <v>44516.16</v>
      </c>
      <c r="M1646" s="162" t="s">
        <v>116</v>
      </c>
      <c r="N1646" s="162" t="s">
        <v>554</v>
      </c>
      <c r="O1646" s="175">
        <v>44067.0</v>
      </c>
      <c r="P1646" s="164">
        <f t="shared" si="13"/>
        <v>44032</v>
      </c>
      <c r="Q1646" s="165">
        <f t="shared" si="2"/>
        <v>0</v>
      </c>
      <c r="R1646" s="167" t="s">
        <v>910</v>
      </c>
      <c r="S1646" s="167" t="s">
        <v>910</v>
      </c>
      <c r="T1646" s="168">
        <f t="shared" si="3"/>
        <v>44516.16</v>
      </c>
      <c r="U1646" s="168">
        <f t="shared" si="4"/>
        <v>0</v>
      </c>
      <c r="V1646" s="168">
        <f t="shared" si="5"/>
        <v>0</v>
      </c>
      <c r="W1646" s="168">
        <f t="shared" si="6"/>
        <v>0</v>
      </c>
      <c r="X1646" s="168">
        <f t="shared" si="7"/>
        <v>0</v>
      </c>
      <c r="Y1646" s="168">
        <f t="shared" si="8"/>
        <v>0</v>
      </c>
      <c r="Z1646" s="168">
        <f t="shared" si="9"/>
        <v>0</v>
      </c>
    </row>
    <row r="1647" ht="14.25" customHeight="1">
      <c r="A1647" s="157" t="s">
        <v>1756</v>
      </c>
      <c r="B1647" s="158" t="s">
        <v>37</v>
      </c>
      <c r="C1647" s="158" t="s">
        <v>1658</v>
      </c>
      <c r="D1647" s="159">
        <v>44022.0</v>
      </c>
      <c r="E1647" s="157" t="s">
        <v>731</v>
      </c>
      <c r="F1647" s="160">
        <v>38376.0</v>
      </c>
      <c r="G1647" s="160">
        <v>6140.16</v>
      </c>
      <c r="H1647" s="160">
        <f t="shared" si="48"/>
        <v>44516.16</v>
      </c>
      <c r="I1647" s="160"/>
      <c r="J1647" s="161"/>
      <c r="K1647" s="160"/>
      <c r="L1647" s="160">
        <f>+'FACP$'!$H1647-'FACP$'!$I1647-'FACP$'!$K1647</f>
        <v>44516.16</v>
      </c>
      <c r="M1647" s="162" t="s">
        <v>116</v>
      </c>
      <c r="N1647" s="162" t="s">
        <v>554</v>
      </c>
      <c r="O1647" s="175">
        <v>44067.0</v>
      </c>
      <c r="P1647" s="164">
        <f t="shared" si="13"/>
        <v>44032</v>
      </c>
      <c r="Q1647" s="165">
        <f t="shared" si="2"/>
        <v>0</v>
      </c>
      <c r="R1647" s="167" t="s">
        <v>910</v>
      </c>
      <c r="S1647" s="167" t="s">
        <v>910</v>
      </c>
      <c r="T1647" s="168">
        <f t="shared" si="3"/>
        <v>44516.16</v>
      </c>
      <c r="U1647" s="168">
        <f t="shared" si="4"/>
        <v>0</v>
      </c>
      <c r="V1647" s="168">
        <f t="shared" si="5"/>
        <v>0</v>
      </c>
      <c r="W1647" s="168">
        <f t="shared" si="6"/>
        <v>0</v>
      </c>
      <c r="X1647" s="168">
        <f t="shared" si="7"/>
        <v>0</v>
      </c>
      <c r="Y1647" s="168">
        <f t="shared" si="8"/>
        <v>0</v>
      </c>
      <c r="Z1647" s="168">
        <f t="shared" si="9"/>
        <v>0</v>
      </c>
    </row>
    <row r="1648" ht="14.25" customHeight="1">
      <c r="A1648" s="157" t="s">
        <v>1757</v>
      </c>
      <c r="B1648" s="158" t="s">
        <v>37</v>
      </c>
      <c r="C1648" s="158" t="s">
        <v>1658</v>
      </c>
      <c r="D1648" s="159">
        <v>44022.0</v>
      </c>
      <c r="E1648" s="157" t="s">
        <v>731</v>
      </c>
      <c r="F1648" s="160">
        <v>38376.0</v>
      </c>
      <c r="G1648" s="160">
        <v>6140.16</v>
      </c>
      <c r="H1648" s="160">
        <f t="shared" si="48"/>
        <v>44516.16</v>
      </c>
      <c r="I1648" s="160"/>
      <c r="J1648" s="161"/>
      <c r="K1648" s="160"/>
      <c r="L1648" s="160">
        <f>+'FACP$'!$H1648-'FACP$'!$I1648-'FACP$'!$K1648</f>
        <v>44516.16</v>
      </c>
      <c r="M1648" s="162" t="s">
        <v>116</v>
      </c>
      <c r="N1648" s="162" t="s">
        <v>554</v>
      </c>
      <c r="O1648" s="175">
        <v>44067.0</v>
      </c>
      <c r="P1648" s="164">
        <f t="shared" si="13"/>
        <v>44032</v>
      </c>
      <c r="Q1648" s="165">
        <f t="shared" si="2"/>
        <v>0</v>
      </c>
      <c r="R1648" s="167" t="s">
        <v>910</v>
      </c>
      <c r="S1648" s="167" t="s">
        <v>910</v>
      </c>
      <c r="T1648" s="168">
        <f t="shared" si="3"/>
        <v>44516.16</v>
      </c>
      <c r="U1648" s="168">
        <f t="shared" si="4"/>
        <v>0</v>
      </c>
      <c r="V1648" s="168">
        <f t="shared" si="5"/>
        <v>0</v>
      </c>
      <c r="W1648" s="168">
        <f t="shared" si="6"/>
        <v>0</v>
      </c>
      <c r="X1648" s="168">
        <f t="shared" si="7"/>
        <v>0</v>
      </c>
      <c r="Y1648" s="168">
        <f t="shared" si="8"/>
        <v>0</v>
      </c>
      <c r="Z1648" s="168">
        <f t="shared" si="9"/>
        <v>0</v>
      </c>
    </row>
    <row r="1649" ht="14.25" customHeight="1">
      <c r="A1649" s="157" t="s">
        <v>1758</v>
      </c>
      <c r="B1649" s="158" t="s">
        <v>16</v>
      </c>
      <c r="C1649" s="158" t="s">
        <v>1658</v>
      </c>
      <c r="D1649" s="159">
        <v>44022.0</v>
      </c>
      <c r="E1649" s="157" t="s">
        <v>731</v>
      </c>
      <c r="F1649" s="160">
        <v>11316.0</v>
      </c>
      <c r="G1649" s="160">
        <v>1810.56</v>
      </c>
      <c r="H1649" s="160">
        <f t="shared" si="48"/>
        <v>13126.56</v>
      </c>
      <c r="I1649" s="160"/>
      <c r="J1649" s="161"/>
      <c r="K1649" s="160"/>
      <c r="L1649" s="160">
        <f>+'FACP$'!$H1649-'FACP$'!$I1649-'FACP$'!$K1649</f>
        <v>13126.56</v>
      </c>
      <c r="M1649" s="162" t="s">
        <v>985</v>
      </c>
      <c r="N1649" s="162" t="s">
        <v>554</v>
      </c>
      <c r="O1649" s="175">
        <v>44078.0</v>
      </c>
      <c r="P1649" s="164">
        <f t="shared" si="13"/>
        <v>44032</v>
      </c>
      <c r="Q1649" s="165">
        <f t="shared" si="2"/>
        <v>0</v>
      </c>
      <c r="R1649" s="167"/>
      <c r="S1649" s="167"/>
      <c r="T1649" s="168">
        <f t="shared" si="3"/>
        <v>13126.56</v>
      </c>
      <c r="U1649" s="168">
        <f t="shared" si="4"/>
        <v>0</v>
      </c>
      <c r="V1649" s="168">
        <f t="shared" si="5"/>
        <v>0</v>
      </c>
      <c r="W1649" s="168">
        <f t="shared" si="6"/>
        <v>0</v>
      </c>
      <c r="X1649" s="168">
        <f t="shared" si="7"/>
        <v>0</v>
      </c>
      <c r="Y1649" s="168">
        <f t="shared" si="8"/>
        <v>0</v>
      </c>
      <c r="Z1649" s="168">
        <f t="shared" si="9"/>
        <v>0</v>
      </c>
    </row>
    <row r="1650" ht="14.25" customHeight="1">
      <c r="A1650" s="157" t="s">
        <v>1759</v>
      </c>
      <c r="B1650" s="158" t="s">
        <v>16</v>
      </c>
      <c r="C1650" s="158" t="s">
        <v>1658</v>
      </c>
      <c r="D1650" s="159">
        <v>44022.0</v>
      </c>
      <c r="E1650" s="157" t="s">
        <v>731</v>
      </c>
      <c r="F1650" s="160">
        <v>11316.0</v>
      </c>
      <c r="G1650" s="160">
        <v>1810.56</v>
      </c>
      <c r="H1650" s="160">
        <f t="shared" si="48"/>
        <v>13126.56</v>
      </c>
      <c r="I1650" s="160"/>
      <c r="J1650" s="161"/>
      <c r="K1650" s="160"/>
      <c r="L1650" s="160">
        <f>+'FACP$'!$H1650-'FACP$'!$I1650-'FACP$'!$K1650</f>
        <v>13126.56</v>
      </c>
      <c r="M1650" s="162" t="s">
        <v>985</v>
      </c>
      <c r="N1650" s="162" t="s">
        <v>554</v>
      </c>
      <c r="O1650" s="175">
        <v>44078.0</v>
      </c>
      <c r="P1650" s="164">
        <f t="shared" si="13"/>
        <v>44032</v>
      </c>
      <c r="Q1650" s="165">
        <f t="shared" si="2"/>
        <v>0</v>
      </c>
      <c r="R1650" s="167"/>
      <c r="S1650" s="167"/>
      <c r="T1650" s="168">
        <f t="shared" si="3"/>
        <v>13126.56</v>
      </c>
      <c r="U1650" s="168">
        <f t="shared" si="4"/>
        <v>0</v>
      </c>
      <c r="V1650" s="168">
        <f t="shared" si="5"/>
        <v>0</v>
      </c>
      <c r="W1650" s="168">
        <f t="shared" si="6"/>
        <v>0</v>
      </c>
      <c r="X1650" s="168">
        <f t="shared" si="7"/>
        <v>0</v>
      </c>
      <c r="Y1650" s="168">
        <f t="shared" si="8"/>
        <v>0</v>
      </c>
      <c r="Z1650" s="168">
        <f t="shared" si="9"/>
        <v>0</v>
      </c>
    </row>
    <row r="1651" ht="14.25" customHeight="1">
      <c r="A1651" s="157" t="s">
        <v>1760</v>
      </c>
      <c r="B1651" s="158" t="s">
        <v>37</v>
      </c>
      <c r="C1651" s="158" t="s">
        <v>1658</v>
      </c>
      <c r="D1651" s="159">
        <v>44023.0</v>
      </c>
      <c r="E1651" s="157" t="s">
        <v>731</v>
      </c>
      <c r="F1651" s="160">
        <v>38376.0</v>
      </c>
      <c r="G1651" s="160">
        <v>6140.16</v>
      </c>
      <c r="H1651" s="160">
        <f t="shared" si="48"/>
        <v>44516.16</v>
      </c>
      <c r="I1651" s="160"/>
      <c r="J1651" s="161"/>
      <c r="K1651" s="160"/>
      <c r="L1651" s="160">
        <f>+'FACP$'!$H1651-'FACP$'!$I1651-'FACP$'!$K1651</f>
        <v>44516.16</v>
      </c>
      <c r="M1651" s="162" t="s">
        <v>116</v>
      </c>
      <c r="N1651" s="162" t="s">
        <v>554</v>
      </c>
      <c r="O1651" s="175">
        <v>44067.0</v>
      </c>
      <c r="P1651" s="164">
        <f t="shared" si="13"/>
        <v>44033</v>
      </c>
      <c r="Q1651" s="165">
        <f t="shared" si="2"/>
        <v>0</v>
      </c>
      <c r="R1651" s="167" t="s">
        <v>910</v>
      </c>
      <c r="S1651" s="167" t="s">
        <v>910</v>
      </c>
      <c r="T1651" s="168">
        <f t="shared" si="3"/>
        <v>44516.16</v>
      </c>
      <c r="U1651" s="168">
        <f t="shared" si="4"/>
        <v>0</v>
      </c>
      <c r="V1651" s="168">
        <f t="shared" si="5"/>
        <v>0</v>
      </c>
      <c r="W1651" s="168">
        <f t="shared" si="6"/>
        <v>0</v>
      </c>
      <c r="X1651" s="168">
        <f t="shared" si="7"/>
        <v>0</v>
      </c>
      <c r="Y1651" s="168">
        <f t="shared" si="8"/>
        <v>0</v>
      </c>
      <c r="Z1651" s="168">
        <f t="shared" si="9"/>
        <v>0</v>
      </c>
    </row>
    <row r="1652" ht="14.25" customHeight="1">
      <c r="A1652" s="157" t="s">
        <v>1761</v>
      </c>
      <c r="B1652" s="158" t="s">
        <v>37</v>
      </c>
      <c r="C1652" s="158" t="s">
        <v>1658</v>
      </c>
      <c r="D1652" s="159">
        <v>44023.0</v>
      </c>
      <c r="E1652" s="157" t="s">
        <v>731</v>
      </c>
      <c r="F1652" s="160">
        <v>38376.0</v>
      </c>
      <c r="G1652" s="160">
        <v>6140.16</v>
      </c>
      <c r="H1652" s="160">
        <f t="shared" si="48"/>
        <v>44516.16</v>
      </c>
      <c r="I1652" s="160"/>
      <c r="J1652" s="161"/>
      <c r="K1652" s="160"/>
      <c r="L1652" s="160">
        <f>+'FACP$'!$H1652-'FACP$'!$I1652-'FACP$'!$K1652</f>
        <v>44516.16</v>
      </c>
      <c r="M1652" s="162" t="s">
        <v>116</v>
      </c>
      <c r="N1652" s="224" t="s">
        <v>554</v>
      </c>
      <c r="O1652" s="175">
        <v>44067.0</v>
      </c>
      <c r="P1652" s="164">
        <f t="shared" si="13"/>
        <v>44033</v>
      </c>
      <c r="Q1652" s="165">
        <f t="shared" si="2"/>
        <v>0</v>
      </c>
      <c r="R1652" s="167" t="s">
        <v>910</v>
      </c>
      <c r="S1652" s="167" t="s">
        <v>910</v>
      </c>
      <c r="T1652" s="168">
        <f t="shared" si="3"/>
        <v>44516.16</v>
      </c>
      <c r="U1652" s="168">
        <f t="shared" si="4"/>
        <v>0</v>
      </c>
      <c r="V1652" s="168">
        <f t="shared" si="5"/>
        <v>0</v>
      </c>
      <c r="W1652" s="168">
        <f t="shared" si="6"/>
        <v>0</v>
      </c>
      <c r="X1652" s="168">
        <f t="shared" si="7"/>
        <v>0</v>
      </c>
      <c r="Y1652" s="168">
        <f t="shared" si="8"/>
        <v>0</v>
      </c>
      <c r="Z1652" s="168">
        <f t="shared" si="9"/>
        <v>0</v>
      </c>
    </row>
    <row r="1653" ht="14.25" customHeight="1">
      <c r="A1653" s="157" t="s">
        <v>1762</v>
      </c>
      <c r="B1653" s="158" t="s">
        <v>16</v>
      </c>
      <c r="C1653" s="158" t="s">
        <v>1658</v>
      </c>
      <c r="D1653" s="159">
        <v>44023.0</v>
      </c>
      <c r="E1653" s="157" t="s">
        <v>731</v>
      </c>
      <c r="F1653" s="160">
        <v>11316.0</v>
      </c>
      <c r="G1653" s="160">
        <v>1810.56</v>
      </c>
      <c r="H1653" s="160">
        <f t="shared" si="48"/>
        <v>13126.56</v>
      </c>
      <c r="I1653" s="160"/>
      <c r="J1653" s="161"/>
      <c r="K1653" s="160"/>
      <c r="L1653" s="160">
        <f>+'FACP$'!$H1653-'FACP$'!$I1653-'FACP$'!$K1653</f>
        <v>13126.56</v>
      </c>
      <c r="M1653" s="162" t="s">
        <v>985</v>
      </c>
      <c r="N1653" s="162" t="s">
        <v>554</v>
      </c>
      <c r="O1653" s="175">
        <v>44078.0</v>
      </c>
      <c r="P1653" s="164">
        <f t="shared" si="13"/>
        <v>44033</v>
      </c>
      <c r="Q1653" s="165">
        <f t="shared" si="2"/>
        <v>0</v>
      </c>
      <c r="R1653" s="167"/>
      <c r="S1653" s="167"/>
      <c r="T1653" s="168">
        <f t="shared" si="3"/>
        <v>13126.56</v>
      </c>
      <c r="U1653" s="168">
        <f t="shared" si="4"/>
        <v>0</v>
      </c>
      <c r="V1653" s="168">
        <f t="shared" si="5"/>
        <v>0</v>
      </c>
      <c r="W1653" s="168">
        <f t="shared" si="6"/>
        <v>0</v>
      </c>
      <c r="X1653" s="168">
        <f t="shared" si="7"/>
        <v>0</v>
      </c>
      <c r="Y1653" s="168">
        <f t="shared" si="8"/>
        <v>0</v>
      </c>
      <c r="Z1653" s="168">
        <f t="shared" si="9"/>
        <v>0</v>
      </c>
    </row>
    <row r="1654" ht="14.25" customHeight="1">
      <c r="A1654" s="157" t="s">
        <v>1763</v>
      </c>
      <c r="B1654" s="158" t="s">
        <v>16</v>
      </c>
      <c r="C1654" s="158" t="s">
        <v>1658</v>
      </c>
      <c r="D1654" s="159">
        <v>44024.0</v>
      </c>
      <c r="E1654" s="157" t="s">
        <v>731</v>
      </c>
      <c r="F1654" s="160">
        <v>11316.0</v>
      </c>
      <c r="G1654" s="160">
        <v>1810.56</v>
      </c>
      <c r="H1654" s="160">
        <f t="shared" si="48"/>
        <v>13126.56</v>
      </c>
      <c r="I1654" s="160"/>
      <c r="J1654" s="161"/>
      <c r="K1654" s="160"/>
      <c r="L1654" s="160">
        <f>+'FACP$'!$H1654-'FACP$'!$I1654-'FACP$'!$K1654</f>
        <v>13126.56</v>
      </c>
      <c r="M1654" s="162" t="s">
        <v>985</v>
      </c>
      <c r="N1654" s="162" t="s">
        <v>554</v>
      </c>
      <c r="O1654" s="175">
        <v>44078.0</v>
      </c>
      <c r="P1654" s="164">
        <f t="shared" si="13"/>
        <v>44034</v>
      </c>
      <c r="Q1654" s="165">
        <f t="shared" si="2"/>
        <v>0</v>
      </c>
      <c r="R1654" s="167"/>
      <c r="S1654" s="167"/>
      <c r="T1654" s="168">
        <f t="shared" si="3"/>
        <v>13126.56</v>
      </c>
      <c r="U1654" s="168">
        <f t="shared" si="4"/>
        <v>0</v>
      </c>
      <c r="V1654" s="168">
        <f t="shared" si="5"/>
        <v>0</v>
      </c>
      <c r="W1654" s="168">
        <f t="shared" si="6"/>
        <v>0</v>
      </c>
      <c r="X1654" s="168">
        <f t="shared" si="7"/>
        <v>0</v>
      </c>
      <c r="Y1654" s="168">
        <f t="shared" si="8"/>
        <v>0</v>
      </c>
      <c r="Z1654" s="168">
        <f t="shared" si="9"/>
        <v>0</v>
      </c>
    </row>
    <row r="1655" ht="14.25" customHeight="1">
      <c r="A1655" s="157" t="s">
        <v>1764</v>
      </c>
      <c r="B1655" s="158" t="s">
        <v>16</v>
      </c>
      <c r="C1655" s="158" t="s">
        <v>1658</v>
      </c>
      <c r="D1655" s="159">
        <v>44024.0</v>
      </c>
      <c r="E1655" s="157" t="s">
        <v>731</v>
      </c>
      <c r="F1655" s="160">
        <v>11316.0</v>
      </c>
      <c r="G1655" s="160">
        <v>1810.56</v>
      </c>
      <c r="H1655" s="160">
        <f t="shared" si="48"/>
        <v>13126.56</v>
      </c>
      <c r="I1655" s="160"/>
      <c r="J1655" s="161"/>
      <c r="K1655" s="160"/>
      <c r="L1655" s="160">
        <f>+'FACP$'!$H1655-'FACP$'!$I1655-'FACP$'!$K1655</f>
        <v>13126.56</v>
      </c>
      <c r="M1655" s="162" t="s">
        <v>985</v>
      </c>
      <c r="N1655" s="162" t="s">
        <v>554</v>
      </c>
      <c r="O1655" s="175">
        <v>44078.0</v>
      </c>
      <c r="P1655" s="164">
        <f t="shared" si="13"/>
        <v>44034</v>
      </c>
      <c r="Q1655" s="165">
        <f t="shared" si="2"/>
        <v>0</v>
      </c>
      <c r="R1655" s="167"/>
      <c r="S1655" s="167"/>
      <c r="T1655" s="168">
        <f t="shared" si="3"/>
        <v>13126.56</v>
      </c>
      <c r="U1655" s="168">
        <f t="shared" si="4"/>
        <v>0</v>
      </c>
      <c r="V1655" s="168">
        <f t="shared" si="5"/>
        <v>0</v>
      </c>
      <c r="W1655" s="168">
        <f t="shared" si="6"/>
        <v>0</v>
      </c>
      <c r="X1655" s="168">
        <f t="shared" si="7"/>
        <v>0</v>
      </c>
      <c r="Y1655" s="168">
        <f t="shared" si="8"/>
        <v>0</v>
      </c>
      <c r="Z1655" s="168">
        <f t="shared" si="9"/>
        <v>0</v>
      </c>
    </row>
    <row r="1656" ht="14.25" customHeight="1">
      <c r="A1656" s="157" t="s">
        <v>1765</v>
      </c>
      <c r="B1656" s="158" t="s">
        <v>37</v>
      </c>
      <c r="C1656" s="158" t="s">
        <v>1658</v>
      </c>
      <c r="D1656" s="159">
        <v>44024.0</v>
      </c>
      <c r="E1656" s="157" t="s">
        <v>731</v>
      </c>
      <c r="F1656" s="160">
        <v>38376.0</v>
      </c>
      <c r="G1656" s="160">
        <v>6140.16</v>
      </c>
      <c r="H1656" s="160">
        <f t="shared" si="48"/>
        <v>44516.16</v>
      </c>
      <c r="I1656" s="160"/>
      <c r="J1656" s="161"/>
      <c r="K1656" s="160"/>
      <c r="L1656" s="160">
        <f>+'FACP$'!$H1656-'FACP$'!$I1656-'FACP$'!$K1656</f>
        <v>44516.16</v>
      </c>
      <c r="M1656" s="162" t="s">
        <v>116</v>
      </c>
      <c r="N1656" s="162" t="s">
        <v>554</v>
      </c>
      <c r="O1656" s="175">
        <v>44067.0</v>
      </c>
      <c r="P1656" s="164">
        <f t="shared" si="13"/>
        <v>44034</v>
      </c>
      <c r="Q1656" s="165">
        <f t="shared" si="2"/>
        <v>0</v>
      </c>
      <c r="R1656" s="167" t="s">
        <v>910</v>
      </c>
      <c r="S1656" s="167" t="s">
        <v>910</v>
      </c>
      <c r="T1656" s="168">
        <f t="shared" si="3"/>
        <v>44516.16</v>
      </c>
      <c r="U1656" s="168">
        <f t="shared" si="4"/>
        <v>0</v>
      </c>
      <c r="V1656" s="168">
        <f t="shared" si="5"/>
        <v>0</v>
      </c>
      <c r="W1656" s="168">
        <f t="shared" si="6"/>
        <v>0</v>
      </c>
      <c r="X1656" s="168">
        <f t="shared" si="7"/>
        <v>0</v>
      </c>
      <c r="Y1656" s="168">
        <f t="shared" si="8"/>
        <v>0</v>
      </c>
      <c r="Z1656" s="168">
        <f t="shared" si="9"/>
        <v>0</v>
      </c>
    </row>
    <row r="1657" ht="14.25" customHeight="1">
      <c r="A1657" s="157" t="s">
        <v>1766</v>
      </c>
      <c r="B1657" s="158" t="s">
        <v>37</v>
      </c>
      <c r="C1657" s="158" t="s">
        <v>1658</v>
      </c>
      <c r="D1657" s="159">
        <v>44024.0</v>
      </c>
      <c r="E1657" s="157" t="s">
        <v>731</v>
      </c>
      <c r="F1657" s="160">
        <v>38376.0</v>
      </c>
      <c r="G1657" s="160">
        <v>6140.16</v>
      </c>
      <c r="H1657" s="160">
        <f t="shared" si="48"/>
        <v>44516.16</v>
      </c>
      <c r="I1657" s="160"/>
      <c r="J1657" s="161"/>
      <c r="K1657" s="160"/>
      <c r="L1657" s="160">
        <f>+'FACP$'!$H1657-'FACP$'!$I1657-'FACP$'!$K1657</f>
        <v>44516.16</v>
      </c>
      <c r="M1657" s="162" t="s">
        <v>116</v>
      </c>
      <c r="N1657" s="162" t="s">
        <v>554</v>
      </c>
      <c r="O1657" s="175">
        <v>44067.0</v>
      </c>
      <c r="P1657" s="164">
        <f t="shared" si="13"/>
        <v>44034</v>
      </c>
      <c r="Q1657" s="165">
        <f t="shared" si="2"/>
        <v>0</v>
      </c>
      <c r="R1657" s="167" t="s">
        <v>910</v>
      </c>
      <c r="S1657" s="167" t="s">
        <v>910</v>
      </c>
      <c r="T1657" s="168">
        <f t="shared" si="3"/>
        <v>44516.16</v>
      </c>
      <c r="U1657" s="168">
        <f t="shared" si="4"/>
        <v>0</v>
      </c>
      <c r="V1657" s="168">
        <f t="shared" si="5"/>
        <v>0</v>
      </c>
      <c r="W1657" s="168">
        <f t="shared" si="6"/>
        <v>0</v>
      </c>
      <c r="X1657" s="168">
        <f t="shared" si="7"/>
        <v>0</v>
      </c>
      <c r="Y1657" s="168">
        <f t="shared" si="8"/>
        <v>0</v>
      </c>
      <c r="Z1657" s="168">
        <f t="shared" si="9"/>
        <v>0</v>
      </c>
    </row>
    <row r="1658" ht="14.25" customHeight="1">
      <c r="A1658" s="157" t="s">
        <v>1767</v>
      </c>
      <c r="B1658" s="158" t="s">
        <v>37</v>
      </c>
      <c r="C1658" s="158" t="s">
        <v>1658</v>
      </c>
      <c r="D1658" s="159">
        <v>44024.0</v>
      </c>
      <c r="E1658" s="157" t="s">
        <v>731</v>
      </c>
      <c r="F1658" s="160">
        <v>38376.0</v>
      </c>
      <c r="G1658" s="160">
        <v>6140.16</v>
      </c>
      <c r="H1658" s="160">
        <f t="shared" si="48"/>
        <v>44516.16</v>
      </c>
      <c r="I1658" s="160"/>
      <c r="J1658" s="161"/>
      <c r="K1658" s="160"/>
      <c r="L1658" s="160">
        <f>+'FACP$'!$H1658-'FACP$'!$I1658-'FACP$'!$K1658</f>
        <v>44516.16</v>
      </c>
      <c r="M1658" s="162" t="s">
        <v>116</v>
      </c>
      <c r="N1658" s="162" t="s">
        <v>554</v>
      </c>
      <c r="O1658" s="175">
        <v>44067.0</v>
      </c>
      <c r="P1658" s="164">
        <f t="shared" si="13"/>
        <v>44034</v>
      </c>
      <c r="Q1658" s="165">
        <f t="shared" si="2"/>
        <v>0</v>
      </c>
      <c r="R1658" s="167" t="s">
        <v>910</v>
      </c>
      <c r="S1658" s="167" t="s">
        <v>910</v>
      </c>
      <c r="T1658" s="168">
        <f t="shared" si="3"/>
        <v>44516.16</v>
      </c>
      <c r="U1658" s="168">
        <f t="shared" si="4"/>
        <v>0</v>
      </c>
      <c r="V1658" s="168">
        <f t="shared" si="5"/>
        <v>0</v>
      </c>
      <c r="W1658" s="168">
        <f t="shared" si="6"/>
        <v>0</v>
      </c>
      <c r="X1658" s="168">
        <f t="shared" si="7"/>
        <v>0</v>
      </c>
      <c r="Y1658" s="168">
        <f t="shared" si="8"/>
        <v>0</v>
      </c>
      <c r="Z1658" s="168">
        <f t="shared" si="9"/>
        <v>0</v>
      </c>
    </row>
    <row r="1659" ht="14.25" customHeight="1">
      <c r="A1659" s="157" t="s">
        <v>1768</v>
      </c>
      <c r="B1659" s="158" t="s">
        <v>16</v>
      </c>
      <c r="C1659" s="158" t="s">
        <v>1658</v>
      </c>
      <c r="D1659" s="159">
        <v>44024.0</v>
      </c>
      <c r="E1659" s="157" t="s">
        <v>731</v>
      </c>
      <c r="F1659" s="160">
        <v>11316.0</v>
      </c>
      <c r="G1659" s="160">
        <v>1810.56</v>
      </c>
      <c r="H1659" s="160">
        <f t="shared" si="48"/>
        <v>13126.56</v>
      </c>
      <c r="I1659" s="160"/>
      <c r="J1659" s="161"/>
      <c r="K1659" s="160"/>
      <c r="L1659" s="160">
        <f>+'FACP$'!$H1659-'FACP$'!$I1659-'FACP$'!$K1659</f>
        <v>13126.56</v>
      </c>
      <c r="M1659" s="162" t="s">
        <v>985</v>
      </c>
      <c r="N1659" s="162" t="s">
        <v>554</v>
      </c>
      <c r="O1659" s="175">
        <v>44078.0</v>
      </c>
      <c r="P1659" s="164">
        <f t="shared" si="13"/>
        <v>44034</v>
      </c>
      <c r="Q1659" s="165">
        <f t="shared" si="2"/>
        <v>0</v>
      </c>
      <c r="R1659" s="167"/>
      <c r="S1659" s="167"/>
      <c r="T1659" s="168">
        <f t="shared" si="3"/>
        <v>13126.56</v>
      </c>
      <c r="U1659" s="168">
        <f t="shared" si="4"/>
        <v>0</v>
      </c>
      <c r="V1659" s="168">
        <f t="shared" si="5"/>
        <v>0</v>
      </c>
      <c r="W1659" s="168">
        <f t="shared" si="6"/>
        <v>0</v>
      </c>
      <c r="X1659" s="168">
        <f t="shared" si="7"/>
        <v>0</v>
      </c>
      <c r="Y1659" s="168">
        <f t="shared" si="8"/>
        <v>0</v>
      </c>
      <c r="Z1659" s="168">
        <f t="shared" si="9"/>
        <v>0</v>
      </c>
    </row>
    <row r="1660" ht="14.25" customHeight="1">
      <c r="A1660" s="157" t="s">
        <v>1769</v>
      </c>
      <c r="B1660" s="158" t="s">
        <v>16</v>
      </c>
      <c r="C1660" s="158" t="s">
        <v>1658</v>
      </c>
      <c r="D1660" s="159">
        <v>44024.0</v>
      </c>
      <c r="E1660" s="157" t="s">
        <v>731</v>
      </c>
      <c r="F1660" s="160">
        <v>11316.0</v>
      </c>
      <c r="G1660" s="160">
        <v>1810.56</v>
      </c>
      <c r="H1660" s="160">
        <f t="shared" si="48"/>
        <v>13126.56</v>
      </c>
      <c r="I1660" s="160"/>
      <c r="J1660" s="161"/>
      <c r="K1660" s="160"/>
      <c r="L1660" s="160">
        <f>+'FACP$'!$H1660-'FACP$'!$I1660-'FACP$'!$K1660</f>
        <v>13126.56</v>
      </c>
      <c r="M1660" s="162" t="s">
        <v>985</v>
      </c>
      <c r="N1660" s="162" t="s">
        <v>554</v>
      </c>
      <c r="O1660" s="175">
        <v>44078.0</v>
      </c>
      <c r="P1660" s="164">
        <f t="shared" si="13"/>
        <v>44034</v>
      </c>
      <c r="Q1660" s="165">
        <f t="shared" si="2"/>
        <v>0</v>
      </c>
      <c r="R1660" s="167"/>
      <c r="S1660" s="167"/>
      <c r="T1660" s="168">
        <f t="shared" si="3"/>
        <v>13126.56</v>
      </c>
      <c r="U1660" s="168">
        <f t="shared" si="4"/>
        <v>0</v>
      </c>
      <c r="V1660" s="168">
        <f t="shared" si="5"/>
        <v>0</v>
      </c>
      <c r="W1660" s="168">
        <f t="shared" si="6"/>
        <v>0</v>
      </c>
      <c r="X1660" s="168">
        <f t="shared" si="7"/>
        <v>0</v>
      </c>
      <c r="Y1660" s="168">
        <f t="shared" si="8"/>
        <v>0</v>
      </c>
      <c r="Z1660" s="168">
        <f t="shared" si="9"/>
        <v>0</v>
      </c>
    </row>
    <row r="1661" ht="14.25" customHeight="1">
      <c r="A1661" s="157" t="s">
        <v>1770</v>
      </c>
      <c r="B1661" s="158" t="s">
        <v>37</v>
      </c>
      <c r="C1661" s="158" t="s">
        <v>1658</v>
      </c>
      <c r="D1661" s="159">
        <v>44024.0</v>
      </c>
      <c r="E1661" s="157" t="s">
        <v>731</v>
      </c>
      <c r="F1661" s="160">
        <v>38376.0</v>
      </c>
      <c r="G1661" s="160">
        <v>6140.16</v>
      </c>
      <c r="H1661" s="160">
        <f t="shared" si="48"/>
        <v>44516.16</v>
      </c>
      <c r="I1661" s="160"/>
      <c r="J1661" s="161"/>
      <c r="K1661" s="160"/>
      <c r="L1661" s="160">
        <f>+'FACP$'!$H1661-'FACP$'!$I1661-'FACP$'!$K1661</f>
        <v>44516.16</v>
      </c>
      <c r="M1661" s="162" t="s">
        <v>116</v>
      </c>
      <c r="N1661" s="162" t="s">
        <v>554</v>
      </c>
      <c r="O1661" s="175">
        <v>44067.0</v>
      </c>
      <c r="P1661" s="164">
        <f t="shared" si="13"/>
        <v>44034</v>
      </c>
      <c r="Q1661" s="165">
        <f t="shared" si="2"/>
        <v>0</v>
      </c>
      <c r="R1661" s="167" t="s">
        <v>910</v>
      </c>
      <c r="S1661" s="167" t="s">
        <v>910</v>
      </c>
      <c r="T1661" s="168">
        <f t="shared" si="3"/>
        <v>44516.16</v>
      </c>
      <c r="U1661" s="168">
        <f t="shared" si="4"/>
        <v>0</v>
      </c>
      <c r="V1661" s="168">
        <f t="shared" si="5"/>
        <v>0</v>
      </c>
      <c r="W1661" s="168">
        <f t="shared" si="6"/>
        <v>0</v>
      </c>
      <c r="X1661" s="168">
        <f t="shared" si="7"/>
        <v>0</v>
      </c>
      <c r="Y1661" s="168">
        <f t="shared" si="8"/>
        <v>0</v>
      </c>
      <c r="Z1661" s="168">
        <f t="shared" si="9"/>
        <v>0</v>
      </c>
    </row>
    <row r="1662" ht="14.25" customHeight="1">
      <c r="A1662" s="157" t="s">
        <v>1771</v>
      </c>
      <c r="B1662" s="158" t="s">
        <v>37</v>
      </c>
      <c r="C1662" s="158" t="s">
        <v>1658</v>
      </c>
      <c r="D1662" s="159">
        <v>44024.0</v>
      </c>
      <c r="E1662" s="157" t="s">
        <v>731</v>
      </c>
      <c r="F1662" s="160">
        <v>38376.0</v>
      </c>
      <c r="G1662" s="160">
        <v>6140.16</v>
      </c>
      <c r="H1662" s="160">
        <f t="shared" si="48"/>
        <v>44516.16</v>
      </c>
      <c r="I1662" s="160"/>
      <c r="J1662" s="161"/>
      <c r="K1662" s="160"/>
      <c r="L1662" s="160">
        <f>+'FACP$'!$H1662-'FACP$'!$I1662-'FACP$'!$K1662</f>
        <v>44516.16</v>
      </c>
      <c r="M1662" s="162" t="s">
        <v>116</v>
      </c>
      <c r="N1662" s="162" t="s">
        <v>554</v>
      </c>
      <c r="O1662" s="175">
        <v>44067.0</v>
      </c>
      <c r="P1662" s="164">
        <f t="shared" si="13"/>
        <v>44034</v>
      </c>
      <c r="Q1662" s="165">
        <f t="shared" si="2"/>
        <v>0</v>
      </c>
      <c r="R1662" s="167" t="s">
        <v>910</v>
      </c>
      <c r="S1662" s="167" t="s">
        <v>910</v>
      </c>
      <c r="T1662" s="168">
        <f t="shared" si="3"/>
        <v>44516.16</v>
      </c>
      <c r="U1662" s="168">
        <f t="shared" si="4"/>
        <v>0</v>
      </c>
      <c r="V1662" s="168">
        <f t="shared" si="5"/>
        <v>0</v>
      </c>
      <c r="W1662" s="168">
        <f t="shared" si="6"/>
        <v>0</v>
      </c>
      <c r="X1662" s="168">
        <f t="shared" si="7"/>
        <v>0</v>
      </c>
      <c r="Y1662" s="168">
        <f t="shared" si="8"/>
        <v>0</v>
      </c>
      <c r="Z1662" s="168">
        <f t="shared" si="9"/>
        <v>0</v>
      </c>
    </row>
    <row r="1663" ht="14.25" customHeight="1">
      <c r="A1663" s="157" t="s">
        <v>1772</v>
      </c>
      <c r="B1663" s="158" t="s">
        <v>37</v>
      </c>
      <c r="C1663" s="158" t="s">
        <v>1658</v>
      </c>
      <c r="D1663" s="159">
        <v>44025.0</v>
      </c>
      <c r="E1663" s="157" t="s">
        <v>731</v>
      </c>
      <c r="F1663" s="160">
        <v>38376.0</v>
      </c>
      <c r="G1663" s="160">
        <v>6140.16</v>
      </c>
      <c r="H1663" s="160">
        <f t="shared" si="48"/>
        <v>44516.16</v>
      </c>
      <c r="I1663" s="160"/>
      <c r="J1663" s="161"/>
      <c r="K1663" s="160"/>
      <c r="L1663" s="160">
        <f>+'FACP$'!$H1663-'FACP$'!$I1663-'FACP$'!$K1663</f>
        <v>44516.16</v>
      </c>
      <c r="M1663" s="162" t="s">
        <v>116</v>
      </c>
      <c r="N1663" s="162" t="s">
        <v>554</v>
      </c>
      <c r="O1663" s="175">
        <v>44067.0</v>
      </c>
      <c r="P1663" s="164">
        <f t="shared" si="13"/>
        <v>44035</v>
      </c>
      <c r="Q1663" s="165">
        <f t="shared" si="2"/>
        <v>0</v>
      </c>
      <c r="R1663" s="167" t="s">
        <v>910</v>
      </c>
      <c r="S1663" s="167" t="s">
        <v>910</v>
      </c>
      <c r="T1663" s="168">
        <f t="shared" si="3"/>
        <v>44516.16</v>
      </c>
      <c r="U1663" s="168">
        <f t="shared" si="4"/>
        <v>0</v>
      </c>
      <c r="V1663" s="168">
        <f t="shared" si="5"/>
        <v>0</v>
      </c>
      <c r="W1663" s="168">
        <f t="shared" si="6"/>
        <v>0</v>
      </c>
      <c r="X1663" s="168">
        <f t="shared" si="7"/>
        <v>0</v>
      </c>
      <c r="Y1663" s="168">
        <f t="shared" si="8"/>
        <v>0</v>
      </c>
      <c r="Z1663" s="168">
        <f t="shared" si="9"/>
        <v>0</v>
      </c>
    </row>
    <row r="1664" ht="14.25" customHeight="1">
      <c r="A1664" s="157" t="s">
        <v>1773</v>
      </c>
      <c r="B1664" s="158" t="s">
        <v>37</v>
      </c>
      <c r="C1664" s="158" t="s">
        <v>1658</v>
      </c>
      <c r="D1664" s="159">
        <v>44025.0</v>
      </c>
      <c r="E1664" s="157" t="s">
        <v>731</v>
      </c>
      <c r="F1664" s="160">
        <v>38376.0</v>
      </c>
      <c r="G1664" s="160">
        <v>6140.16</v>
      </c>
      <c r="H1664" s="160">
        <f t="shared" si="48"/>
        <v>44516.16</v>
      </c>
      <c r="I1664" s="160"/>
      <c r="J1664" s="161"/>
      <c r="K1664" s="160"/>
      <c r="L1664" s="160">
        <f>+'FACP$'!$H1664-'FACP$'!$I1664-'FACP$'!$K1664</f>
        <v>44516.16</v>
      </c>
      <c r="M1664" s="162" t="s">
        <v>116</v>
      </c>
      <c r="N1664" s="162" t="s">
        <v>554</v>
      </c>
      <c r="O1664" s="175">
        <v>44067.0</v>
      </c>
      <c r="P1664" s="164">
        <f t="shared" si="13"/>
        <v>44035</v>
      </c>
      <c r="Q1664" s="165">
        <f t="shared" si="2"/>
        <v>0</v>
      </c>
      <c r="R1664" s="167" t="s">
        <v>910</v>
      </c>
      <c r="S1664" s="167" t="s">
        <v>910</v>
      </c>
      <c r="T1664" s="168">
        <f t="shared" si="3"/>
        <v>44516.16</v>
      </c>
      <c r="U1664" s="168">
        <f t="shared" si="4"/>
        <v>0</v>
      </c>
      <c r="V1664" s="168">
        <f t="shared" si="5"/>
        <v>0</v>
      </c>
      <c r="W1664" s="168">
        <f t="shared" si="6"/>
        <v>0</v>
      </c>
      <c r="X1664" s="168">
        <f t="shared" si="7"/>
        <v>0</v>
      </c>
      <c r="Y1664" s="168">
        <f t="shared" si="8"/>
        <v>0</v>
      </c>
      <c r="Z1664" s="168">
        <f t="shared" si="9"/>
        <v>0</v>
      </c>
    </row>
    <row r="1665" ht="14.25" customHeight="1">
      <c r="A1665" s="157" t="s">
        <v>1774</v>
      </c>
      <c r="B1665" s="158" t="s">
        <v>16</v>
      </c>
      <c r="C1665" s="158" t="s">
        <v>1658</v>
      </c>
      <c r="D1665" s="159">
        <v>44025.0</v>
      </c>
      <c r="E1665" s="157" t="s">
        <v>731</v>
      </c>
      <c r="F1665" s="160">
        <v>11316.0</v>
      </c>
      <c r="G1665" s="160">
        <v>1810.56</v>
      </c>
      <c r="H1665" s="160">
        <f t="shared" si="48"/>
        <v>13126.56</v>
      </c>
      <c r="I1665" s="160"/>
      <c r="J1665" s="161"/>
      <c r="K1665" s="160"/>
      <c r="L1665" s="160">
        <f>+'FACP$'!$H1665-'FACP$'!$I1665-'FACP$'!$K1665</f>
        <v>13126.56</v>
      </c>
      <c r="M1665" s="162" t="s">
        <v>985</v>
      </c>
      <c r="N1665" s="162" t="s">
        <v>554</v>
      </c>
      <c r="O1665" s="175">
        <v>44078.0</v>
      </c>
      <c r="P1665" s="164">
        <f t="shared" si="13"/>
        <v>44035</v>
      </c>
      <c r="Q1665" s="165">
        <f t="shared" si="2"/>
        <v>0</v>
      </c>
      <c r="R1665" s="167"/>
      <c r="S1665" s="167"/>
      <c r="T1665" s="168">
        <f t="shared" si="3"/>
        <v>13126.56</v>
      </c>
      <c r="U1665" s="168">
        <f t="shared" si="4"/>
        <v>0</v>
      </c>
      <c r="V1665" s="168">
        <f t="shared" si="5"/>
        <v>0</v>
      </c>
      <c r="W1665" s="168">
        <f t="shared" si="6"/>
        <v>0</v>
      </c>
      <c r="X1665" s="168">
        <f t="shared" si="7"/>
        <v>0</v>
      </c>
      <c r="Y1665" s="168">
        <f t="shared" si="8"/>
        <v>0</v>
      </c>
      <c r="Z1665" s="168">
        <f t="shared" si="9"/>
        <v>0</v>
      </c>
    </row>
    <row r="1666" ht="14.25" customHeight="1">
      <c r="A1666" s="157" t="s">
        <v>1775</v>
      </c>
      <c r="B1666" s="158" t="s">
        <v>16</v>
      </c>
      <c r="C1666" s="158" t="s">
        <v>1658</v>
      </c>
      <c r="D1666" s="159">
        <v>44026.0</v>
      </c>
      <c r="E1666" s="157" t="s">
        <v>731</v>
      </c>
      <c r="F1666" s="160">
        <v>11316.0</v>
      </c>
      <c r="G1666" s="160">
        <v>1810.56</v>
      </c>
      <c r="H1666" s="160">
        <f t="shared" si="48"/>
        <v>13126.56</v>
      </c>
      <c r="I1666" s="160"/>
      <c r="J1666" s="161"/>
      <c r="K1666" s="160"/>
      <c r="L1666" s="160">
        <f>+'FACP$'!$H1666-'FACP$'!$I1666-'FACP$'!$K1666</f>
        <v>13126.56</v>
      </c>
      <c r="M1666" s="162" t="s">
        <v>985</v>
      </c>
      <c r="N1666" s="162" t="s">
        <v>554</v>
      </c>
      <c r="O1666" s="175">
        <v>44078.0</v>
      </c>
      <c r="P1666" s="164">
        <f t="shared" si="13"/>
        <v>44036</v>
      </c>
      <c r="Q1666" s="165">
        <f t="shared" si="2"/>
        <v>0</v>
      </c>
      <c r="R1666" s="167"/>
      <c r="S1666" s="167"/>
      <c r="T1666" s="168">
        <f t="shared" si="3"/>
        <v>13126.56</v>
      </c>
      <c r="U1666" s="168">
        <f t="shared" si="4"/>
        <v>0</v>
      </c>
      <c r="V1666" s="168">
        <f t="shared" si="5"/>
        <v>0</v>
      </c>
      <c r="W1666" s="168">
        <f t="shared" si="6"/>
        <v>0</v>
      </c>
      <c r="X1666" s="168">
        <f t="shared" si="7"/>
        <v>0</v>
      </c>
      <c r="Y1666" s="168">
        <f t="shared" si="8"/>
        <v>0</v>
      </c>
      <c r="Z1666" s="168">
        <f t="shared" si="9"/>
        <v>0</v>
      </c>
    </row>
    <row r="1667" ht="14.25" customHeight="1">
      <c r="A1667" s="157" t="s">
        <v>1776</v>
      </c>
      <c r="B1667" s="158" t="s">
        <v>37</v>
      </c>
      <c r="C1667" s="158" t="s">
        <v>1658</v>
      </c>
      <c r="D1667" s="159">
        <v>44026.0</v>
      </c>
      <c r="E1667" s="157" t="s">
        <v>731</v>
      </c>
      <c r="F1667" s="160">
        <v>38376.0</v>
      </c>
      <c r="G1667" s="160">
        <v>6140.16</v>
      </c>
      <c r="H1667" s="160">
        <f t="shared" si="48"/>
        <v>44516.16</v>
      </c>
      <c r="I1667" s="160"/>
      <c r="J1667" s="161"/>
      <c r="K1667" s="160"/>
      <c r="L1667" s="160">
        <f>+'FACP$'!$H1667-'FACP$'!$I1667-'FACP$'!$K1667</f>
        <v>44516.16</v>
      </c>
      <c r="M1667" s="162" t="s">
        <v>116</v>
      </c>
      <c r="N1667" s="162" t="s">
        <v>554</v>
      </c>
      <c r="O1667" s="175">
        <v>44067.0</v>
      </c>
      <c r="P1667" s="164">
        <f t="shared" si="13"/>
        <v>44036</v>
      </c>
      <c r="Q1667" s="165">
        <f t="shared" si="2"/>
        <v>0</v>
      </c>
      <c r="R1667" s="167" t="s">
        <v>910</v>
      </c>
      <c r="S1667" s="167" t="s">
        <v>910</v>
      </c>
      <c r="T1667" s="168">
        <f t="shared" si="3"/>
        <v>44516.16</v>
      </c>
      <c r="U1667" s="168">
        <f t="shared" si="4"/>
        <v>0</v>
      </c>
      <c r="V1667" s="168">
        <f t="shared" si="5"/>
        <v>0</v>
      </c>
      <c r="W1667" s="168">
        <f t="shared" si="6"/>
        <v>0</v>
      </c>
      <c r="X1667" s="168">
        <f t="shared" si="7"/>
        <v>0</v>
      </c>
      <c r="Y1667" s="168">
        <f t="shared" si="8"/>
        <v>0</v>
      </c>
      <c r="Z1667" s="168">
        <f t="shared" si="9"/>
        <v>0</v>
      </c>
    </row>
    <row r="1668" ht="14.25" customHeight="1">
      <c r="A1668" s="157" t="s">
        <v>1777</v>
      </c>
      <c r="B1668" s="158" t="s">
        <v>37</v>
      </c>
      <c r="C1668" s="158" t="s">
        <v>1658</v>
      </c>
      <c r="D1668" s="159">
        <v>44026.0</v>
      </c>
      <c r="E1668" s="157" t="s">
        <v>731</v>
      </c>
      <c r="F1668" s="160">
        <v>38376.0</v>
      </c>
      <c r="G1668" s="160">
        <v>6140.16</v>
      </c>
      <c r="H1668" s="160">
        <f t="shared" si="48"/>
        <v>44516.16</v>
      </c>
      <c r="I1668" s="160"/>
      <c r="J1668" s="161"/>
      <c r="K1668" s="160"/>
      <c r="L1668" s="160">
        <f>+'FACP$'!$H1668-'FACP$'!$I1668-'FACP$'!$K1668</f>
        <v>44516.16</v>
      </c>
      <c r="M1668" s="162" t="s">
        <v>116</v>
      </c>
      <c r="N1668" s="162" t="s">
        <v>554</v>
      </c>
      <c r="O1668" s="175">
        <v>44067.0</v>
      </c>
      <c r="P1668" s="164">
        <f t="shared" si="13"/>
        <v>44036</v>
      </c>
      <c r="Q1668" s="165">
        <f t="shared" si="2"/>
        <v>0</v>
      </c>
      <c r="R1668" s="167" t="s">
        <v>910</v>
      </c>
      <c r="S1668" s="167" t="s">
        <v>910</v>
      </c>
      <c r="T1668" s="168">
        <f t="shared" si="3"/>
        <v>44516.16</v>
      </c>
      <c r="U1668" s="168">
        <f t="shared" si="4"/>
        <v>0</v>
      </c>
      <c r="V1668" s="168">
        <f t="shared" si="5"/>
        <v>0</v>
      </c>
      <c r="W1668" s="168">
        <f t="shared" si="6"/>
        <v>0</v>
      </c>
      <c r="X1668" s="168">
        <f t="shared" si="7"/>
        <v>0</v>
      </c>
      <c r="Y1668" s="168">
        <f t="shared" si="8"/>
        <v>0</v>
      </c>
      <c r="Z1668" s="168">
        <f t="shared" si="9"/>
        <v>0</v>
      </c>
    </row>
    <row r="1669" ht="14.25" customHeight="1">
      <c r="A1669" s="157" t="s">
        <v>1778</v>
      </c>
      <c r="B1669" s="158" t="s">
        <v>29</v>
      </c>
      <c r="C1669" s="158" t="s">
        <v>1658</v>
      </c>
      <c r="D1669" s="159">
        <v>44026.0</v>
      </c>
      <c r="E1669" s="157" t="s">
        <v>731</v>
      </c>
      <c r="F1669" s="160">
        <v>19188.0</v>
      </c>
      <c r="G1669" s="160">
        <v>3070.08</v>
      </c>
      <c r="H1669" s="160">
        <f t="shared" si="48"/>
        <v>22258.08</v>
      </c>
      <c r="I1669" s="160"/>
      <c r="J1669" s="161"/>
      <c r="K1669" s="160"/>
      <c r="L1669" s="160">
        <f>+'FACP$'!$H1669-'FACP$'!$I1669-'FACP$'!$K1669</f>
        <v>22258.08</v>
      </c>
      <c r="M1669" s="162" t="s">
        <v>130</v>
      </c>
      <c r="N1669" s="162" t="s">
        <v>554</v>
      </c>
      <c r="O1669" s="175">
        <v>44067.0</v>
      </c>
      <c r="P1669" s="164">
        <f t="shared" si="13"/>
        <v>44036</v>
      </c>
      <c r="Q1669" s="165">
        <f t="shared" si="2"/>
        <v>0</v>
      </c>
      <c r="R1669" s="167"/>
      <c r="S1669" s="167"/>
      <c r="T1669" s="168">
        <f t="shared" si="3"/>
        <v>22258.08</v>
      </c>
      <c r="U1669" s="168">
        <f t="shared" si="4"/>
        <v>0</v>
      </c>
      <c r="V1669" s="168">
        <f t="shared" si="5"/>
        <v>0</v>
      </c>
      <c r="W1669" s="168">
        <f t="shared" si="6"/>
        <v>0</v>
      </c>
      <c r="X1669" s="168">
        <f t="shared" si="7"/>
        <v>0</v>
      </c>
      <c r="Y1669" s="168">
        <f t="shared" si="8"/>
        <v>0</v>
      </c>
      <c r="Z1669" s="168">
        <f t="shared" si="9"/>
        <v>0</v>
      </c>
    </row>
    <row r="1670" ht="14.25" customHeight="1">
      <c r="A1670" s="157" t="s">
        <v>1779</v>
      </c>
      <c r="B1670" s="158" t="s">
        <v>18</v>
      </c>
      <c r="C1670" s="158" t="s">
        <v>1658</v>
      </c>
      <c r="D1670" s="159">
        <v>44026.0</v>
      </c>
      <c r="E1670" s="157" t="s">
        <v>731</v>
      </c>
      <c r="F1670" s="160">
        <v>19188.0</v>
      </c>
      <c r="G1670" s="160">
        <v>3070.08</v>
      </c>
      <c r="H1670" s="160">
        <f t="shared" si="48"/>
        <v>22258.08</v>
      </c>
      <c r="I1670" s="160"/>
      <c r="J1670" s="161"/>
      <c r="K1670" s="160"/>
      <c r="L1670" s="160">
        <f>+'FACP$'!$H1670-'FACP$'!$I1670-'FACP$'!$K1670</f>
        <v>22258.08</v>
      </c>
      <c r="M1670" s="162" t="s">
        <v>586</v>
      </c>
      <c r="N1670" s="162" t="s">
        <v>554</v>
      </c>
      <c r="O1670" s="175">
        <v>44077.0</v>
      </c>
      <c r="P1670" s="164">
        <f t="shared" si="13"/>
        <v>44036</v>
      </c>
      <c r="Q1670" s="165">
        <f t="shared" si="2"/>
        <v>0</v>
      </c>
      <c r="R1670" s="167"/>
      <c r="S1670" s="167" t="s">
        <v>910</v>
      </c>
      <c r="T1670" s="168">
        <f t="shared" si="3"/>
        <v>22258.08</v>
      </c>
      <c r="U1670" s="168">
        <f t="shared" si="4"/>
        <v>0</v>
      </c>
      <c r="V1670" s="168">
        <f t="shared" si="5"/>
        <v>0</v>
      </c>
      <c r="W1670" s="168">
        <f t="shared" si="6"/>
        <v>0</v>
      </c>
      <c r="X1670" s="168">
        <f t="shared" si="7"/>
        <v>0</v>
      </c>
      <c r="Y1670" s="168">
        <f t="shared" si="8"/>
        <v>0</v>
      </c>
      <c r="Z1670" s="168">
        <f t="shared" si="9"/>
        <v>0</v>
      </c>
    </row>
    <row r="1671" ht="14.25" customHeight="1">
      <c r="A1671" s="157" t="s">
        <v>1780</v>
      </c>
      <c r="B1671" s="158" t="s">
        <v>37</v>
      </c>
      <c r="C1671" s="158" t="s">
        <v>1658</v>
      </c>
      <c r="D1671" s="159">
        <v>44026.0</v>
      </c>
      <c r="E1671" s="157" t="s">
        <v>731</v>
      </c>
      <c r="F1671" s="160">
        <v>38376.0</v>
      </c>
      <c r="G1671" s="160">
        <v>6140.16</v>
      </c>
      <c r="H1671" s="160">
        <f t="shared" si="48"/>
        <v>44516.16</v>
      </c>
      <c r="I1671" s="160"/>
      <c r="J1671" s="161"/>
      <c r="K1671" s="160"/>
      <c r="L1671" s="160">
        <f>+'FACP$'!$H1671-'FACP$'!$I1671-'FACP$'!$K1671</f>
        <v>44516.16</v>
      </c>
      <c r="M1671" s="162" t="s">
        <v>116</v>
      </c>
      <c r="N1671" s="162" t="s">
        <v>554</v>
      </c>
      <c r="O1671" s="175">
        <v>44067.0</v>
      </c>
      <c r="P1671" s="164">
        <f t="shared" si="13"/>
        <v>44036</v>
      </c>
      <c r="Q1671" s="165">
        <f t="shared" si="2"/>
        <v>0</v>
      </c>
      <c r="R1671" s="167" t="s">
        <v>910</v>
      </c>
      <c r="S1671" s="167" t="s">
        <v>910</v>
      </c>
      <c r="T1671" s="168">
        <f t="shared" si="3"/>
        <v>44516.16</v>
      </c>
      <c r="U1671" s="168">
        <f t="shared" si="4"/>
        <v>0</v>
      </c>
      <c r="V1671" s="168">
        <f t="shared" si="5"/>
        <v>0</v>
      </c>
      <c r="W1671" s="168">
        <f t="shared" si="6"/>
        <v>0</v>
      </c>
      <c r="X1671" s="168">
        <f t="shared" si="7"/>
        <v>0</v>
      </c>
      <c r="Y1671" s="168">
        <f t="shared" si="8"/>
        <v>0</v>
      </c>
      <c r="Z1671" s="168">
        <f t="shared" si="9"/>
        <v>0</v>
      </c>
    </row>
    <row r="1672" ht="14.25" customHeight="1">
      <c r="A1672" s="157" t="s">
        <v>1781</v>
      </c>
      <c r="B1672" s="158" t="s">
        <v>37</v>
      </c>
      <c r="C1672" s="158" t="s">
        <v>1658</v>
      </c>
      <c r="D1672" s="159">
        <v>44026.0</v>
      </c>
      <c r="E1672" s="157" t="s">
        <v>731</v>
      </c>
      <c r="F1672" s="160">
        <v>38376.0</v>
      </c>
      <c r="G1672" s="160">
        <v>6140.16</v>
      </c>
      <c r="H1672" s="160">
        <f t="shared" si="48"/>
        <v>44516.16</v>
      </c>
      <c r="I1672" s="160"/>
      <c r="J1672" s="161"/>
      <c r="K1672" s="160"/>
      <c r="L1672" s="160">
        <f>+'FACP$'!$H1672-'FACP$'!$I1672-'FACP$'!$K1672</f>
        <v>44516.16</v>
      </c>
      <c r="M1672" s="162" t="s">
        <v>116</v>
      </c>
      <c r="N1672" s="162" t="s">
        <v>554</v>
      </c>
      <c r="O1672" s="175">
        <v>44067.0</v>
      </c>
      <c r="P1672" s="164">
        <f t="shared" si="13"/>
        <v>44036</v>
      </c>
      <c r="Q1672" s="165">
        <f t="shared" si="2"/>
        <v>0</v>
      </c>
      <c r="R1672" s="167" t="s">
        <v>910</v>
      </c>
      <c r="S1672" s="167" t="s">
        <v>910</v>
      </c>
      <c r="T1672" s="168">
        <f t="shared" si="3"/>
        <v>44516.16</v>
      </c>
      <c r="U1672" s="168">
        <f t="shared" si="4"/>
        <v>0</v>
      </c>
      <c r="V1672" s="168">
        <f t="shared" si="5"/>
        <v>0</v>
      </c>
      <c r="W1672" s="168">
        <f t="shared" si="6"/>
        <v>0</v>
      </c>
      <c r="X1672" s="168">
        <f t="shared" si="7"/>
        <v>0</v>
      </c>
      <c r="Y1672" s="168">
        <f t="shared" si="8"/>
        <v>0</v>
      </c>
      <c r="Z1672" s="168">
        <f t="shared" si="9"/>
        <v>0</v>
      </c>
    </row>
    <row r="1673" ht="14.25" customHeight="1">
      <c r="A1673" s="157" t="s">
        <v>1782</v>
      </c>
      <c r="B1673" s="158" t="s">
        <v>16</v>
      </c>
      <c r="C1673" s="158" t="s">
        <v>1658</v>
      </c>
      <c r="D1673" s="159">
        <v>44026.0</v>
      </c>
      <c r="E1673" s="157" t="s">
        <v>731</v>
      </c>
      <c r="F1673" s="160">
        <v>11316.0</v>
      </c>
      <c r="G1673" s="160">
        <v>1810.56</v>
      </c>
      <c r="H1673" s="160">
        <f t="shared" si="48"/>
        <v>13126.56</v>
      </c>
      <c r="I1673" s="160"/>
      <c r="J1673" s="161"/>
      <c r="K1673" s="160"/>
      <c r="L1673" s="160">
        <f>+'FACP$'!$H1673-'FACP$'!$I1673-'FACP$'!$K1673</f>
        <v>13126.56</v>
      </c>
      <c r="M1673" s="162" t="s">
        <v>985</v>
      </c>
      <c r="N1673" s="162" t="s">
        <v>554</v>
      </c>
      <c r="O1673" s="175">
        <v>44078.0</v>
      </c>
      <c r="P1673" s="164">
        <f t="shared" si="13"/>
        <v>44036</v>
      </c>
      <c r="Q1673" s="165">
        <f t="shared" si="2"/>
        <v>0</v>
      </c>
      <c r="R1673" s="167"/>
      <c r="S1673" s="167"/>
      <c r="T1673" s="168">
        <f t="shared" si="3"/>
        <v>13126.56</v>
      </c>
      <c r="U1673" s="168">
        <f t="shared" si="4"/>
        <v>0</v>
      </c>
      <c r="V1673" s="168">
        <f t="shared" si="5"/>
        <v>0</v>
      </c>
      <c r="W1673" s="168">
        <f t="shared" si="6"/>
        <v>0</v>
      </c>
      <c r="X1673" s="168">
        <f t="shared" si="7"/>
        <v>0</v>
      </c>
      <c r="Y1673" s="168">
        <f t="shared" si="8"/>
        <v>0</v>
      </c>
      <c r="Z1673" s="168">
        <f t="shared" si="9"/>
        <v>0</v>
      </c>
    </row>
    <row r="1674" ht="14.25" customHeight="1">
      <c r="A1674" s="157" t="s">
        <v>1783</v>
      </c>
      <c r="B1674" s="158" t="s">
        <v>16</v>
      </c>
      <c r="C1674" s="158" t="s">
        <v>1658</v>
      </c>
      <c r="D1674" s="159">
        <v>44026.0</v>
      </c>
      <c r="E1674" s="157" t="s">
        <v>731</v>
      </c>
      <c r="F1674" s="160">
        <v>11316.0</v>
      </c>
      <c r="G1674" s="160">
        <v>1810.56</v>
      </c>
      <c r="H1674" s="160">
        <f t="shared" si="48"/>
        <v>13126.56</v>
      </c>
      <c r="I1674" s="160"/>
      <c r="J1674" s="161"/>
      <c r="K1674" s="160"/>
      <c r="L1674" s="160">
        <f>+'FACP$'!$H1674-'FACP$'!$I1674-'FACP$'!$K1674</f>
        <v>13126.56</v>
      </c>
      <c r="M1674" s="162" t="s">
        <v>985</v>
      </c>
      <c r="N1674" s="162" t="s">
        <v>554</v>
      </c>
      <c r="O1674" s="175">
        <v>44078.0</v>
      </c>
      <c r="P1674" s="164">
        <f t="shared" si="13"/>
        <v>44036</v>
      </c>
      <c r="Q1674" s="165">
        <f t="shared" si="2"/>
        <v>0</v>
      </c>
      <c r="R1674" s="167"/>
      <c r="S1674" s="167"/>
      <c r="T1674" s="168">
        <f t="shared" si="3"/>
        <v>13126.56</v>
      </c>
      <c r="U1674" s="168">
        <f t="shared" si="4"/>
        <v>0</v>
      </c>
      <c r="V1674" s="168">
        <f t="shared" si="5"/>
        <v>0</v>
      </c>
      <c r="W1674" s="168">
        <f t="shared" si="6"/>
        <v>0</v>
      </c>
      <c r="X1674" s="168">
        <f t="shared" si="7"/>
        <v>0</v>
      </c>
      <c r="Y1674" s="168">
        <f t="shared" si="8"/>
        <v>0</v>
      </c>
      <c r="Z1674" s="168">
        <f t="shared" si="9"/>
        <v>0</v>
      </c>
    </row>
    <row r="1675" ht="14.25" customHeight="1">
      <c r="A1675" s="157" t="s">
        <v>1784</v>
      </c>
      <c r="B1675" s="158" t="s">
        <v>16</v>
      </c>
      <c r="C1675" s="158" t="s">
        <v>1658</v>
      </c>
      <c r="D1675" s="159">
        <v>44027.0</v>
      </c>
      <c r="E1675" s="157" t="s">
        <v>731</v>
      </c>
      <c r="F1675" s="160">
        <v>11316.0</v>
      </c>
      <c r="G1675" s="160">
        <v>1810.56</v>
      </c>
      <c r="H1675" s="160">
        <f t="shared" si="48"/>
        <v>13126.56</v>
      </c>
      <c r="I1675" s="160"/>
      <c r="J1675" s="161"/>
      <c r="K1675" s="160"/>
      <c r="L1675" s="160">
        <f>+'FACP$'!$H1675-'FACP$'!$I1675-'FACP$'!$K1675</f>
        <v>13126.56</v>
      </c>
      <c r="M1675" s="162" t="s">
        <v>985</v>
      </c>
      <c r="N1675" s="162" t="s">
        <v>1785</v>
      </c>
      <c r="O1675" s="175">
        <v>44070.0</v>
      </c>
      <c r="P1675" s="164">
        <f t="shared" si="13"/>
        <v>44037</v>
      </c>
      <c r="Q1675" s="165" t="b">
        <f t="shared" si="2"/>
        <v>0</v>
      </c>
      <c r="R1675" s="167"/>
      <c r="S1675" s="167"/>
      <c r="T1675" s="168">
        <f t="shared" si="3"/>
        <v>0</v>
      </c>
      <c r="U1675" s="168">
        <f t="shared" si="4"/>
        <v>0</v>
      </c>
      <c r="V1675" s="168">
        <f t="shared" si="5"/>
        <v>0</v>
      </c>
      <c r="W1675" s="168">
        <f t="shared" si="6"/>
        <v>0</v>
      </c>
      <c r="X1675" s="168">
        <f t="shared" si="7"/>
        <v>0</v>
      </c>
      <c r="Y1675" s="168">
        <f t="shared" si="8"/>
        <v>0</v>
      </c>
      <c r="Z1675" s="168">
        <f t="shared" si="9"/>
        <v>13126.56</v>
      </c>
    </row>
    <row r="1676" ht="14.25" customHeight="1">
      <c r="A1676" s="157" t="s">
        <v>1786</v>
      </c>
      <c r="B1676" s="158" t="s">
        <v>37</v>
      </c>
      <c r="C1676" s="158" t="s">
        <v>1658</v>
      </c>
      <c r="D1676" s="159">
        <v>44027.0</v>
      </c>
      <c r="E1676" s="157" t="s">
        <v>731</v>
      </c>
      <c r="F1676" s="160">
        <v>38376.0</v>
      </c>
      <c r="G1676" s="160">
        <v>6140.16</v>
      </c>
      <c r="H1676" s="160">
        <f t="shared" si="48"/>
        <v>44516.16</v>
      </c>
      <c r="I1676" s="160"/>
      <c r="J1676" s="161"/>
      <c r="K1676" s="160"/>
      <c r="L1676" s="160">
        <f>+'FACP$'!$H1676-'FACP$'!$I1676-'FACP$'!$K1676</f>
        <v>44516.16</v>
      </c>
      <c r="M1676" s="162" t="s">
        <v>116</v>
      </c>
      <c r="N1676" s="162" t="s">
        <v>554</v>
      </c>
      <c r="O1676" s="175">
        <v>44123.0</v>
      </c>
      <c r="P1676" s="164">
        <f t="shared" si="13"/>
        <v>44037</v>
      </c>
      <c r="Q1676" s="165">
        <f t="shared" si="2"/>
        <v>0</v>
      </c>
      <c r="R1676" s="167"/>
      <c r="S1676" s="167" t="s">
        <v>910</v>
      </c>
      <c r="T1676" s="168">
        <f t="shared" si="3"/>
        <v>44516.16</v>
      </c>
      <c r="U1676" s="168">
        <f t="shared" si="4"/>
        <v>0</v>
      </c>
      <c r="V1676" s="168">
        <f t="shared" si="5"/>
        <v>0</v>
      </c>
      <c r="W1676" s="168">
        <f t="shared" si="6"/>
        <v>0</v>
      </c>
      <c r="X1676" s="168">
        <f t="shared" si="7"/>
        <v>0</v>
      </c>
      <c r="Y1676" s="168">
        <f t="shared" si="8"/>
        <v>0</v>
      </c>
      <c r="Z1676" s="168">
        <f t="shared" si="9"/>
        <v>0</v>
      </c>
    </row>
    <row r="1677" ht="14.25" customHeight="1">
      <c r="A1677" s="157" t="s">
        <v>1787</v>
      </c>
      <c r="B1677" s="158" t="s">
        <v>37</v>
      </c>
      <c r="C1677" s="158" t="s">
        <v>1658</v>
      </c>
      <c r="D1677" s="159">
        <v>44027.0</v>
      </c>
      <c r="E1677" s="157" t="s">
        <v>731</v>
      </c>
      <c r="F1677" s="160">
        <v>38376.0</v>
      </c>
      <c r="G1677" s="160">
        <v>6140.16</v>
      </c>
      <c r="H1677" s="160">
        <f t="shared" si="48"/>
        <v>44516.16</v>
      </c>
      <c r="I1677" s="160"/>
      <c r="J1677" s="161"/>
      <c r="K1677" s="160"/>
      <c r="L1677" s="160">
        <f>+'FACP$'!$H1677-'FACP$'!$I1677-'FACP$'!$K1677</f>
        <v>44516.16</v>
      </c>
      <c r="M1677" s="162" t="s">
        <v>116</v>
      </c>
      <c r="N1677" s="162" t="s">
        <v>554</v>
      </c>
      <c r="O1677" s="175">
        <v>44116.0</v>
      </c>
      <c r="P1677" s="164">
        <f t="shared" si="13"/>
        <v>44037</v>
      </c>
      <c r="Q1677" s="165">
        <f t="shared" si="2"/>
        <v>0</v>
      </c>
      <c r="R1677" s="167"/>
      <c r="S1677" s="167" t="s">
        <v>910</v>
      </c>
      <c r="T1677" s="168">
        <f t="shared" si="3"/>
        <v>44516.16</v>
      </c>
      <c r="U1677" s="168">
        <f t="shared" si="4"/>
        <v>0</v>
      </c>
      <c r="V1677" s="168">
        <f t="shared" si="5"/>
        <v>0</v>
      </c>
      <c r="W1677" s="168">
        <f t="shared" si="6"/>
        <v>0</v>
      </c>
      <c r="X1677" s="168">
        <f t="shared" si="7"/>
        <v>0</v>
      </c>
      <c r="Y1677" s="168">
        <f t="shared" si="8"/>
        <v>0</v>
      </c>
      <c r="Z1677" s="168">
        <f t="shared" si="9"/>
        <v>0</v>
      </c>
    </row>
    <row r="1678" ht="14.25" customHeight="1">
      <c r="A1678" s="157" t="s">
        <v>1788</v>
      </c>
      <c r="B1678" s="158" t="s">
        <v>29</v>
      </c>
      <c r="C1678" s="158" t="s">
        <v>1658</v>
      </c>
      <c r="D1678" s="159">
        <v>44027.0</v>
      </c>
      <c r="E1678" s="157" t="s">
        <v>731</v>
      </c>
      <c r="F1678" s="160">
        <v>19188.0</v>
      </c>
      <c r="G1678" s="160">
        <v>3070.08</v>
      </c>
      <c r="H1678" s="160">
        <f t="shared" si="48"/>
        <v>22258.08</v>
      </c>
      <c r="I1678" s="160"/>
      <c r="J1678" s="161"/>
      <c r="K1678" s="160"/>
      <c r="L1678" s="160">
        <f>+'FACP$'!$H1678-'FACP$'!$I1678-'FACP$'!$K1678</f>
        <v>22258.08</v>
      </c>
      <c r="M1678" s="162" t="s">
        <v>130</v>
      </c>
      <c r="N1678" s="162" t="s">
        <v>554</v>
      </c>
      <c r="O1678" s="175">
        <v>44075.0</v>
      </c>
      <c r="P1678" s="164">
        <f t="shared" si="13"/>
        <v>44037</v>
      </c>
      <c r="Q1678" s="165">
        <f t="shared" si="2"/>
        <v>0</v>
      </c>
      <c r="R1678" s="167"/>
      <c r="S1678" s="167"/>
      <c r="T1678" s="168">
        <f t="shared" si="3"/>
        <v>22258.08</v>
      </c>
      <c r="U1678" s="168">
        <f t="shared" si="4"/>
        <v>0</v>
      </c>
      <c r="V1678" s="168">
        <f t="shared" si="5"/>
        <v>0</v>
      </c>
      <c r="W1678" s="168">
        <f t="shared" si="6"/>
        <v>0</v>
      </c>
      <c r="X1678" s="168">
        <f t="shared" si="7"/>
        <v>0</v>
      </c>
      <c r="Y1678" s="168">
        <f t="shared" si="8"/>
        <v>0</v>
      </c>
      <c r="Z1678" s="168">
        <f t="shared" si="9"/>
        <v>0</v>
      </c>
    </row>
    <row r="1679" ht="14.25" customHeight="1">
      <c r="A1679" s="157" t="s">
        <v>1789</v>
      </c>
      <c r="B1679" s="158" t="s">
        <v>37</v>
      </c>
      <c r="C1679" s="158" t="s">
        <v>1658</v>
      </c>
      <c r="D1679" s="159">
        <v>44027.0</v>
      </c>
      <c r="E1679" s="157" t="s">
        <v>731</v>
      </c>
      <c r="F1679" s="160">
        <v>38376.0</v>
      </c>
      <c r="G1679" s="160">
        <v>6140.16</v>
      </c>
      <c r="H1679" s="160">
        <f t="shared" si="48"/>
        <v>44516.16</v>
      </c>
      <c r="I1679" s="160"/>
      <c r="J1679" s="161"/>
      <c r="K1679" s="160"/>
      <c r="L1679" s="160">
        <f>+'FACP$'!$H1679-'FACP$'!$I1679-'FACP$'!$K1679</f>
        <v>44516.16</v>
      </c>
      <c r="M1679" s="162" t="s">
        <v>116</v>
      </c>
      <c r="N1679" s="162" t="s">
        <v>554</v>
      </c>
      <c r="O1679" s="175">
        <v>44123.0</v>
      </c>
      <c r="P1679" s="164">
        <f t="shared" si="13"/>
        <v>44037</v>
      </c>
      <c r="Q1679" s="165">
        <f t="shared" si="2"/>
        <v>0</v>
      </c>
      <c r="R1679" s="167"/>
      <c r="S1679" s="167" t="s">
        <v>910</v>
      </c>
      <c r="T1679" s="168">
        <f t="shared" si="3"/>
        <v>44516.16</v>
      </c>
      <c r="U1679" s="168">
        <f t="shared" si="4"/>
        <v>0</v>
      </c>
      <c r="V1679" s="168">
        <f t="shared" si="5"/>
        <v>0</v>
      </c>
      <c r="W1679" s="168">
        <f t="shared" si="6"/>
        <v>0</v>
      </c>
      <c r="X1679" s="168">
        <f t="shared" si="7"/>
        <v>0</v>
      </c>
      <c r="Y1679" s="168">
        <f t="shared" si="8"/>
        <v>0</v>
      </c>
      <c r="Z1679" s="168">
        <f t="shared" si="9"/>
        <v>0</v>
      </c>
    </row>
    <row r="1680" ht="14.25" customHeight="1">
      <c r="A1680" s="157" t="s">
        <v>1790</v>
      </c>
      <c r="B1680" s="158" t="s">
        <v>16</v>
      </c>
      <c r="C1680" s="158" t="s">
        <v>1658</v>
      </c>
      <c r="D1680" s="159">
        <v>44027.0</v>
      </c>
      <c r="E1680" s="157" t="s">
        <v>731</v>
      </c>
      <c r="F1680" s="160">
        <v>11316.0</v>
      </c>
      <c r="G1680" s="160">
        <v>1810.56</v>
      </c>
      <c r="H1680" s="160">
        <f t="shared" si="48"/>
        <v>13126.56</v>
      </c>
      <c r="I1680" s="160"/>
      <c r="J1680" s="161"/>
      <c r="K1680" s="160"/>
      <c r="L1680" s="160">
        <f>+'FACP$'!$H1680-'FACP$'!$I1680-'FACP$'!$K1680</f>
        <v>13126.56</v>
      </c>
      <c r="M1680" s="162" t="s">
        <v>985</v>
      </c>
      <c r="N1680" s="162" t="s">
        <v>1785</v>
      </c>
      <c r="O1680" s="175">
        <v>44070.0</v>
      </c>
      <c r="P1680" s="164">
        <f t="shared" si="13"/>
        <v>44037</v>
      </c>
      <c r="Q1680" s="165" t="b">
        <f t="shared" si="2"/>
        <v>0</v>
      </c>
      <c r="R1680" s="167"/>
      <c r="S1680" s="167"/>
      <c r="T1680" s="168">
        <f t="shared" si="3"/>
        <v>0</v>
      </c>
      <c r="U1680" s="168">
        <f t="shared" si="4"/>
        <v>0</v>
      </c>
      <c r="V1680" s="168">
        <f t="shared" si="5"/>
        <v>0</v>
      </c>
      <c r="W1680" s="168">
        <f t="shared" si="6"/>
        <v>0</v>
      </c>
      <c r="X1680" s="168">
        <f t="shared" si="7"/>
        <v>0</v>
      </c>
      <c r="Y1680" s="168">
        <f t="shared" si="8"/>
        <v>0</v>
      </c>
      <c r="Z1680" s="168">
        <f t="shared" si="9"/>
        <v>13126.56</v>
      </c>
    </row>
    <row r="1681" ht="14.25" customHeight="1">
      <c r="A1681" s="157" t="s">
        <v>1791</v>
      </c>
      <c r="B1681" s="158" t="s">
        <v>16</v>
      </c>
      <c r="C1681" s="158" t="s">
        <v>1658</v>
      </c>
      <c r="D1681" s="159">
        <v>44027.0</v>
      </c>
      <c r="E1681" s="157" t="s">
        <v>731</v>
      </c>
      <c r="F1681" s="160">
        <v>11316.0</v>
      </c>
      <c r="G1681" s="160">
        <v>1810.56</v>
      </c>
      <c r="H1681" s="160">
        <f t="shared" si="48"/>
        <v>13126.56</v>
      </c>
      <c r="I1681" s="160"/>
      <c r="J1681" s="161"/>
      <c r="K1681" s="160"/>
      <c r="L1681" s="160">
        <f>+'FACP$'!$H1681-'FACP$'!$I1681-'FACP$'!$K1681</f>
        <v>13126.56</v>
      </c>
      <c r="M1681" s="162" t="s">
        <v>985</v>
      </c>
      <c r="N1681" s="162" t="s">
        <v>1785</v>
      </c>
      <c r="O1681" s="175">
        <v>44070.0</v>
      </c>
      <c r="P1681" s="164">
        <f t="shared" si="13"/>
        <v>44037</v>
      </c>
      <c r="Q1681" s="165" t="b">
        <f t="shared" si="2"/>
        <v>0</v>
      </c>
      <c r="R1681" s="167"/>
      <c r="S1681" s="167"/>
      <c r="T1681" s="168">
        <f t="shared" si="3"/>
        <v>0</v>
      </c>
      <c r="U1681" s="168">
        <f t="shared" si="4"/>
        <v>0</v>
      </c>
      <c r="V1681" s="168">
        <f t="shared" si="5"/>
        <v>0</v>
      </c>
      <c r="W1681" s="168">
        <f t="shared" si="6"/>
        <v>0</v>
      </c>
      <c r="X1681" s="168">
        <f t="shared" si="7"/>
        <v>0</v>
      </c>
      <c r="Y1681" s="168">
        <f t="shared" si="8"/>
        <v>0</v>
      </c>
      <c r="Z1681" s="168">
        <f t="shared" si="9"/>
        <v>13126.56</v>
      </c>
    </row>
    <row r="1682" ht="14.25" customHeight="1">
      <c r="A1682" s="157" t="s">
        <v>1792</v>
      </c>
      <c r="B1682" s="158" t="s">
        <v>37</v>
      </c>
      <c r="C1682" s="158" t="s">
        <v>1658</v>
      </c>
      <c r="D1682" s="159">
        <v>44028.0</v>
      </c>
      <c r="E1682" s="157" t="s">
        <v>731</v>
      </c>
      <c r="F1682" s="160">
        <v>38376.0</v>
      </c>
      <c r="G1682" s="160">
        <v>6140.16</v>
      </c>
      <c r="H1682" s="160">
        <f t="shared" si="48"/>
        <v>44516.16</v>
      </c>
      <c r="I1682" s="160"/>
      <c r="J1682" s="161"/>
      <c r="K1682" s="160"/>
      <c r="L1682" s="160">
        <f>+'FACP$'!$H1682-'FACP$'!$I1682-'FACP$'!$K1682</f>
        <v>44516.16</v>
      </c>
      <c r="M1682" s="162" t="s">
        <v>116</v>
      </c>
      <c r="N1682" s="162" t="s">
        <v>554</v>
      </c>
      <c r="O1682" s="175">
        <v>44123.0</v>
      </c>
      <c r="P1682" s="164">
        <f t="shared" si="13"/>
        <v>44038</v>
      </c>
      <c r="Q1682" s="165">
        <f t="shared" si="2"/>
        <v>0</v>
      </c>
      <c r="R1682" s="167"/>
      <c r="S1682" s="167" t="s">
        <v>910</v>
      </c>
      <c r="T1682" s="168">
        <f t="shared" si="3"/>
        <v>44516.16</v>
      </c>
      <c r="U1682" s="168">
        <f t="shared" si="4"/>
        <v>0</v>
      </c>
      <c r="V1682" s="168">
        <f t="shared" si="5"/>
        <v>0</v>
      </c>
      <c r="W1682" s="168">
        <f t="shared" si="6"/>
        <v>0</v>
      </c>
      <c r="X1682" s="168">
        <f t="shared" si="7"/>
        <v>0</v>
      </c>
      <c r="Y1682" s="168">
        <f t="shared" si="8"/>
        <v>0</v>
      </c>
      <c r="Z1682" s="168">
        <f t="shared" si="9"/>
        <v>0</v>
      </c>
    </row>
    <row r="1683" ht="14.25" customHeight="1">
      <c r="A1683" s="157" t="s">
        <v>1793</v>
      </c>
      <c r="B1683" s="158" t="s">
        <v>37</v>
      </c>
      <c r="C1683" s="158" t="s">
        <v>1658</v>
      </c>
      <c r="D1683" s="159">
        <v>44028.0</v>
      </c>
      <c r="E1683" s="157" t="s">
        <v>731</v>
      </c>
      <c r="F1683" s="160">
        <v>38376.0</v>
      </c>
      <c r="G1683" s="160">
        <v>6140.16</v>
      </c>
      <c r="H1683" s="160">
        <f t="shared" si="48"/>
        <v>44516.16</v>
      </c>
      <c r="I1683" s="160"/>
      <c r="J1683" s="161"/>
      <c r="K1683" s="160"/>
      <c r="L1683" s="160">
        <f>+'FACP$'!$H1683-'FACP$'!$I1683-'FACP$'!$K1683</f>
        <v>44516.16</v>
      </c>
      <c r="M1683" s="162" t="s">
        <v>116</v>
      </c>
      <c r="N1683" s="162" t="s">
        <v>554</v>
      </c>
      <c r="O1683" s="175">
        <v>44123.0</v>
      </c>
      <c r="P1683" s="164">
        <f t="shared" si="13"/>
        <v>44038</v>
      </c>
      <c r="Q1683" s="165">
        <f t="shared" si="2"/>
        <v>0</v>
      </c>
      <c r="R1683" s="167"/>
      <c r="S1683" s="167" t="s">
        <v>910</v>
      </c>
      <c r="T1683" s="168">
        <f t="shared" si="3"/>
        <v>44516.16</v>
      </c>
      <c r="U1683" s="168">
        <f t="shared" si="4"/>
        <v>0</v>
      </c>
      <c r="V1683" s="168">
        <f t="shared" si="5"/>
        <v>0</v>
      </c>
      <c r="W1683" s="168">
        <f t="shared" si="6"/>
        <v>0</v>
      </c>
      <c r="X1683" s="168">
        <f t="shared" si="7"/>
        <v>0</v>
      </c>
      <c r="Y1683" s="168">
        <f t="shared" si="8"/>
        <v>0</v>
      </c>
      <c r="Z1683" s="168">
        <f t="shared" si="9"/>
        <v>0</v>
      </c>
    </row>
    <row r="1684" ht="14.25" customHeight="1">
      <c r="A1684" s="157" t="s">
        <v>1794</v>
      </c>
      <c r="B1684" s="158" t="s">
        <v>29</v>
      </c>
      <c r="C1684" s="158" t="s">
        <v>1658</v>
      </c>
      <c r="D1684" s="159">
        <v>44028.0</v>
      </c>
      <c r="E1684" s="157" t="s">
        <v>731</v>
      </c>
      <c r="F1684" s="160">
        <v>38376.0</v>
      </c>
      <c r="G1684" s="160">
        <v>6140.16</v>
      </c>
      <c r="H1684" s="160">
        <f t="shared" si="48"/>
        <v>44516.16</v>
      </c>
      <c r="I1684" s="160"/>
      <c r="J1684" s="161"/>
      <c r="K1684" s="160"/>
      <c r="L1684" s="160">
        <f>+'FACP$'!$H1684-'FACP$'!$I1684-'FACP$'!$K1684</f>
        <v>44516.16</v>
      </c>
      <c r="M1684" s="162" t="s">
        <v>130</v>
      </c>
      <c r="N1684" s="162" t="s">
        <v>554</v>
      </c>
      <c r="O1684" s="175">
        <v>44075.0</v>
      </c>
      <c r="P1684" s="164">
        <f t="shared" si="13"/>
        <v>44038</v>
      </c>
      <c r="Q1684" s="165">
        <f t="shared" si="2"/>
        <v>0</v>
      </c>
      <c r="R1684" s="167"/>
      <c r="S1684" s="167"/>
      <c r="T1684" s="168">
        <f t="shared" si="3"/>
        <v>44516.16</v>
      </c>
      <c r="U1684" s="168">
        <f t="shared" si="4"/>
        <v>0</v>
      </c>
      <c r="V1684" s="168">
        <f t="shared" si="5"/>
        <v>0</v>
      </c>
      <c r="W1684" s="168">
        <f t="shared" si="6"/>
        <v>0</v>
      </c>
      <c r="X1684" s="168">
        <f t="shared" si="7"/>
        <v>0</v>
      </c>
      <c r="Y1684" s="168">
        <f t="shared" si="8"/>
        <v>0</v>
      </c>
      <c r="Z1684" s="168">
        <f t="shared" si="9"/>
        <v>0</v>
      </c>
    </row>
    <row r="1685" ht="14.25" customHeight="1">
      <c r="A1685" s="157" t="s">
        <v>1795</v>
      </c>
      <c r="B1685" s="158" t="s">
        <v>16</v>
      </c>
      <c r="C1685" s="158" t="s">
        <v>1658</v>
      </c>
      <c r="D1685" s="159">
        <v>44028.0</v>
      </c>
      <c r="E1685" s="157" t="s">
        <v>731</v>
      </c>
      <c r="F1685" s="160">
        <v>11316.0</v>
      </c>
      <c r="G1685" s="160">
        <v>1810.56</v>
      </c>
      <c r="H1685" s="160">
        <f t="shared" si="48"/>
        <v>13126.56</v>
      </c>
      <c r="I1685" s="160"/>
      <c r="J1685" s="161"/>
      <c r="K1685" s="160"/>
      <c r="L1685" s="160">
        <f>+'FACP$'!$H1685-'FACP$'!$I1685-'FACP$'!$K1685</f>
        <v>13126.56</v>
      </c>
      <c r="M1685" s="162" t="s">
        <v>985</v>
      </c>
      <c r="N1685" s="162" t="s">
        <v>1785</v>
      </c>
      <c r="O1685" s="175">
        <v>44070.0</v>
      </c>
      <c r="P1685" s="164">
        <f t="shared" si="13"/>
        <v>44038</v>
      </c>
      <c r="Q1685" s="165" t="b">
        <f t="shared" si="2"/>
        <v>0</v>
      </c>
      <c r="R1685" s="167"/>
      <c r="S1685" s="167"/>
      <c r="T1685" s="168">
        <f t="shared" si="3"/>
        <v>0</v>
      </c>
      <c r="U1685" s="168">
        <f t="shared" si="4"/>
        <v>0</v>
      </c>
      <c r="V1685" s="168">
        <f t="shared" si="5"/>
        <v>0</v>
      </c>
      <c r="W1685" s="168">
        <f t="shared" si="6"/>
        <v>0</v>
      </c>
      <c r="X1685" s="168">
        <f t="shared" si="7"/>
        <v>0</v>
      </c>
      <c r="Y1685" s="168">
        <f t="shared" si="8"/>
        <v>0</v>
      </c>
      <c r="Z1685" s="168">
        <f t="shared" si="9"/>
        <v>13126.56</v>
      </c>
    </row>
    <row r="1686" ht="14.25" customHeight="1">
      <c r="A1686" s="157" t="s">
        <v>1796</v>
      </c>
      <c r="B1686" s="158" t="s">
        <v>37</v>
      </c>
      <c r="C1686" s="158" t="s">
        <v>1658</v>
      </c>
      <c r="D1686" s="159">
        <v>44028.0</v>
      </c>
      <c r="E1686" s="157" t="s">
        <v>731</v>
      </c>
      <c r="F1686" s="160">
        <v>38376.0</v>
      </c>
      <c r="G1686" s="160">
        <v>6140.16</v>
      </c>
      <c r="H1686" s="160">
        <f t="shared" si="48"/>
        <v>44516.16</v>
      </c>
      <c r="I1686" s="160"/>
      <c r="J1686" s="161"/>
      <c r="K1686" s="160"/>
      <c r="L1686" s="160">
        <f>+'FACP$'!$H1686-'FACP$'!$I1686-'FACP$'!$K1686</f>
        <v>44516.16</v>
      </c>
      <c r="M1686" s="162" t="s">
        <v>116</v>
      </c>
      <c r="N1686" s="162" t="s">
        <v>554</v>
      </c>
      <c r="O1686" s="175">
        <v>44123.0</v>
      </c>
      <c r="P1686" s="164">
        <f t="shared" si="13"/>
        <v>44038</v>
      </c>
      <c r="Q1686" s="165">
        <f t="shared" si="2"/>
        <v>0</v>
      </c>
      <c r="R1686" s="167"/>
      <c r="S1686" s="167" t="s">
        <v>910</v>
      </c>
      <c r="T1686" s="168">
        <f t="shared" si="3"/>
        <v>44516.16</v>
      </c>
      <c r="U1686" s="168">
        <f t="shared" si="4"/>
        <v>0</v>
      </c>
      <c r="V1686" s="168">
        <f t="shared" si="5"/>
        <v>0</v>
      </c>
      <c r="W1686" s="168">
        <f t="shared" si="6"/>
        <v>0</v>
      </c>
      <c r="X1686" s="168">
        <f t="shared" si="7"/>
        <v>0</v>
      </c>
      <c r="Y1686" s="168">
        <f t="shared" si="8"/>
        <v>0</v>
      </c>
      <c r="Z1686" s="168">
        <f t="shared" si="9"/>
        <v>0</v>
      </c>
    </row>
    <row r="1687" ht="14.25" customHeight="1">
      <c r="A1687" s="157" t="s">
        <v>1797</v>
      </c>
      <c r="B1687" s="158" t="s">
        <v>37</v>
      </c>
      <c r="C1687" s="158" t="s">
        <v>1658</v>
      </c>
      <c r="D1687" s="159">
        <v>44028.0</v>
      </c>
      <c r="E1687" s="157" t="s">
        <v>731</v>
      </c>
      <c r="F1687" s="160">
        <v>38376.0</v>
      </c>
      <c r="G1687" s="160">
        <v>6140.16</v>
      </c>
      <c r="H1687" s="160">
        <f t="shared" si="48"/>
        <v>44516.16</v>
      </c>
      <c r="I1687" s="160"/>
      <c r="J1687" s="161"/>
      <c r="K1687" s="160"/>
      <c r="L1687" s="160">
        <f>+'FACP$'!$H1687-'FACP$'!$I1687-'FACP$'!$K1687</f>
        <v>44516.16</v>
      </c>
      <c r="M1687" s="162" t="s">
        <v>116</v>
      </c>
      <c r="N1687" s="162" t="s">
        <v>554</v>
      </c>
      <c r="O1687" s="175">
        <v>44123.0</v>
      </c>
      <c r="P1687" s="164">
        <f t="shared" si="13"/>
        <v>44038</v>
      </c>
      <c r="Q1687" s="165">
        <f t="shared" si="2"/>
        <v>0</v>
      </c>
      <c r="R1687" s="167"/>
      <c r="S1687" s="167" t="s">
        <v>910</v>
      </c>
      <c r="T1687" s="168">
        <f t="shared" si="3"/>
        <v>44516.16</v>
      </c>
      <c r="U1687" s="168">
        <f t="shared" si="4"/>
        <v>0</v>
      </c>
      <c r="V1687" s="168">
        <f t="shared" si="5"/>
        <v>0</v>
      </c>
      <c r="W1687" s="168">
        <f t="shared" si="6"/>
        <v>0</v>
      </c>
      <c r="X1687" s="168">
        <f t="shared" si="7"/>
        <v>0</v>
      </c>
      <c r="Y1687" s="168">
        <f t="shared" si="8"/>
        <v>0</v>
      </c>
      <c r="Z1687" s="168">
        <f t="shared" si="9"/>
        <v>0</v>
      </c>
      <c r="AA1687" s="240"/>
      <c r="AB1687" s="240"/>
      <c r="AC1687" s="240"/>
    </row>
    <row r="1688" ht="14.25" customHeight="1">
      <c r="A1688" s="157" t="s">
        <v>1798</v>
      </c>
      <c r="B1688" s="158" t="s">
        <v>37</v>
      </c>
      <c r="C1688" s="158" t="s">
        <v>1658</v>
      </c>
      <c r="D1688" s="159">
        <v>44028.0</v>
      </c>
      <c r="E1688" s="157" t="s">
        <v>731</v>
      </c>
      <c r="F1688" s="160">
        <v>38376.0</v>
      </c>
      <c r="G1688" s="160">
        <v>6140.16</v>
      </c>
      <c r="H1688" s="160">
        <f t="shared" si="48"/>
        <v>44516.16</v>
      </c>
      <c r="I1688" s="160"/>
      <c r="J1688" s="161"/>
      <c r="K1688" s="160"/>
      <c r="L1688" s="160">
        <f>+'FACP$'!$H1688-'FACP$'!$I1688-'FACP$'!$K1688</f>
        <v>44516.16</v>
      </c>
      <c r="M1688" s="162" t="s">
        <v>116</v>
      </c>
      <c r="N1688" s="162" t="s">
        <v>554</v>
      </c>
      <c r="O1688" s="175">
        <v>44123.0</v>
      </c>
      <c r="P1688" s="164">
        <f t="shared" si="13"/>
        <v>44038</v>
      </c>
      <c r="Q1688" s="165">
        <f t="shared" si="2"/>
        <v>0</v>
      </c>
      <c r="R1688" s="167"/>
      <c r="S1688" s="167" t="s">
        <v>910</v>
      </c>
      <c r="T1688" s="168">
        <f t="shared" si="3"/>
        <v>44516.16</v>
      </c>
      <c r="U1688" s="168">
        <f t="shared" si="4"/>
        <v>0</v>
      </c>
      <c r="V1688" s="168">
        <f t="shared" si="5"/>
        <v>0</v>
      </c>
      <c r="W1688" s="168">
        <f t="shared" si="6"/>
        <v>0</v>
      </c>
      <c r="X1688" s="168">
        <f t="shared" si="7"/>
        <v>0</v>
      </c>
      <c r="Y1688" s="168">
        <f t="shared" si="8"/>
        <v>0</v>
      </c>
      <c r="Z1688" s="168">
        <f t="shared" si="9"/>
        <v>0</v>
      </c>
    </row>
    <row r="1689" ht="14.25" customHeight="1">
      <c r="A1689" s="157" t="s">
        <v>1799</v>
      </c>
      <c r="B1689" s="158" t="s">
        <v>16</v>
      </c>
      <c r="C1689" s="158" t="s">
        <v>1658</v>
      </c>
      <c r="D1689" s="159">
        <v>44028.0</v>
      </c>
      <c r="E1689" s="157" t="s">
        <v>731</v>
      </c>
      <c r="F1689" s="160">
        <v>11316.0</v>
      </c>
      <c r="G1689" s="160">
        <v>1810.56</v>
      </c>
      <c r="H1689" s="160">
        <f t="shared" si="48"/>
        <v>13126.56</v>
      </c>
      <c r="I1689" s="160"/>
      <c r="J1689" s="161"/>
      <c r="K1689" s="160"/>
      <c r="L1689" s="160">
        <f>+'FACP$'!$H1689-'FACP$'!$I1689-'FACP$'!$K1689</f>
        <v>13126.56</v>
      </c>
      <c r="M1689" s="162" t="s">
        <v>985</v>
      </c>
      <c r="N1689" s="162" t="s">
        <v>1785</v>
      </c>
      <c r="O1689" s="175">
        <v>44070.0</v>
      </c>
      <c r="P1689" s="164">
        <f t="shared" si="13"/>
        <v>44038</v>
      </c>
      <c r="Q1689" s="165" t="b">
        <f t="shared" si="2"/>
        <v>0</v>
      </c>
      <c r="R1689" s="167"/>
      <c r="S1689" s="167"/>
      <c r="T1689" s="168">
        <f t="shared" si="3"/>
        <v>0</v>
      </c>
      <c r="U1689" s="168">
        <f t="shared" si="4"/>
        <v>0</v>
      </c>
      <c r="V1689" s="168">
        <f t="shared" si="5"/>
        <v>0</v>
      </c>
      <c r="W1689" s="168">
        <f t="shared" si="6"/>
        <v>0</v>
      </c>
      <c r="X1689" s="168">
        <f t="shared" si="7"/>
        <v>0</v>
      </c>
      <c r="Y1689" s="168">
        <f t="shared" si="8"/>
        <v>0</v>
      </c>
      <c r="Z1689" s="168">
        <f t="shared" si="9"/>
        <v>13126.56</v>
      </c>
    </row>
    <row r="1690" ht="14.25" customHeight="1">
      <c r="A1690" s="157" t="s">
        <v>1800</v>
      </c>
      <c r="B1690" s="158" t="s">
        <v>16</v>
      </c>
      <c r="C1690" s="158" t="s">
        <v>1658</v>
      </c>
      <c r="D1690" s="159">
        <v>44028.0</v>
      </c>
      <c r="E1690" s="157" t="s">
        <v>731</v>
      </c>
      <c r="F1690" s="160">
        <v>11316.0</v>
      </c>
      <c r="G1690" s="160">
        <v>1810.56</v>
      </c>
      <c r="H1690" s="160">
        <f t="shared" si="48"/>
        <v>13126.56</v>
      </c>
      <c r="I1690" s="160"/>
      <c r="J1690" s="161"/>
      <c r="K1690" s="160"/>
      <c r="L1690" s="160">
        <f>+'FACP$'!$H1690-'FACP$'!$I1690-'FACP$'!$K1690</f>
        <v>13126.56</v>
      </c>
      <c r="M1690" s="162" t="s">
        <v>985</v>
      </c>
      <c r="N1690" s="162" t="s">
        <v>1785</v>
      </c>
      <c r="O1690" s="175">
        <v>44070.0</v>
      </c>
      <c r="P1690" s="164">
        <f t="shared" si="13"/>
        <v>44038</v>
      </c>
      <c r="Q1690" s="165" t="b">
        <f t="shared" si="2"/>
        <v>0</v>
      </c>
      <c r="R1690" s="167"/>
      <c r="S1690" s="167"/>
      <c r="T1690" s="168">
        <f t="shared" si="3"/>
        <v>0</v>
      </c>
      <c r="U1690" s="168">
        <f t="shared" si="4"/>
        <v>0</v>
      </c>
      <c r="V1690" s="168">
        <f t="shared" si="5"/>
        <v>0</v>
      </c>
      <c r="W1690" s="168">
        <f t="shared" si="6"/>
        <v>0</v>
      </c>
      <c r="X1690" s="168">
        <f t="shared" si="7"/>
        <v>0</v>
      </c>
      <c r="Y1690" s="168">
        <f t="shared" si="8"/>
        <v>0</v>
      </c>
      <c r="Z1690" s="168">
        <f t="shared" si="9"/>
        <v>13126.56</v>
      </c>
    </row>
    <row r="1691" ht="14.25" customHeight="1">
      <c r="A1691" s="157" t="s">
        <v>1801</v>
      </c>
      <c r="B1691" s="158" t="s">
        <v>37</v>
      </c>
      <c r="C1691" s="158" t="s">
        <v>1658</v>
      </c>
      <c r="D1691" s="159">
        <v>44028.0</v>
      </c>
      <c r="E1691" s="157" t="s">
        <v>731</v>
      </c>
      <c r="F1691" s="160">
        <v>38376.0</v>
      </c>
      <c r="G1691" s="160">
        <v>6140.16</v>
      </c>
      <c r="H1691" s="160">
        <f t="shared" si="48"/>
        <v>44516.16</v>
      </c>
      <c r="I1691" s="160"/>
      <c r="J1691" s="161"/>
      <c r="K1691" s="160"/>
      <c r="L1691" s="160">
        <f>+'FACP$'!$H1691-'FACP$'!$I1691-'FACP$'!$K1691</f>
        <v>44516.16</v>
      </c>
      <c r="M1691" s="162" t="s">
        <v>116</v>
      </c>
      <c r="N1691" s="162" t="s">
        <v>554</v>
      </c>
      <c r="O1691" s="175">
        <v>44123.0</v>
      </c>
      <c r="P1691" s="164">
        <f t="shared" si="13"/>
        <v>44038</v>
      </c>
      <c r="Q1691" s="165">
        <f t="shared" si="2"/>
        <v>0</v>
      </c>
      <c r="R1691" s="167"/>
      <c r="S1691" s="167" t="s">
        <v>910</v>
      </c>
      <c r="T1691" s="168">
        <f t="shared" si="3"/>
        <v>44516.16</v>
      </c>
      <c r="U1691" s="168">
        <f t="shared" si="4"/>
        <v>0</v>
      </c>
      <c r="V1691" s="168">
        <f t="shared" si="5"/>
        <v>0</v>
      </c>
      <c r="W1691" s="168">
        <f t="shared" si="6"/>
        <v>0</v>
      </c>
      <c r="X1691" s="168">
        <f t="shared" si="7"/>
        <v>0</v>
      </c>
      <c r="Y1691" s="168">
        <f t="shared" si="8"/>
        <v>0</v>
      </c>
      <c r="Z1691" s="168">
        <f t="shared" si="9"/>
        <v>0</v>
      </c>
    </row>
    <row r="1692" ht="14.25" customHeight="1">
      <c r="A1692" s="157" t="s">
        <v>1802</v>
      </c>
      <c r="B1692" s="158" t="s">
        <v>37</v>
      </c>
      <c r="C1692" s="158" t="s">
        <v>1658</v>
      </c>
      <c r="D1692" s="159">
        <v>44028.0</v>
      </c>
      <c r="E1692" s="157" t="s">
        <v>731</v>
      </c>
      <c r="F1692" s="160">
        <v>38376.0</v>
      </c>
      <c r="G1692" s="160">
        <v>6140.16</v>
      </c>
      <c r="H1692" s="160">
        <f t="shared" si="48"/>
        <v>44516.16</v>
      </c>
      <c r="I1692" s="160"/>
      <c r="J1692" s="161"/>
      <c r="K1692" s="160"/>
      <c r="L1692" s="160">
        <f>+'FACP$'!$H1692-'FACP$'!$I1692-'FACP$'!$K1692</f>
        <v>44516.16</v>
      </c>
      <c r="M1692" s="162" t="s">
        <v>116</v>
      </c>
      <c r="N1692" s="162" t="s">
        <v>554</v>
      </c>
      <c r="O1692" s="175">
        <v>44123.0</v>
      </c>
      <c r="P1692" s="164">
        <f t="shared" si="13"/>
        <v>44038</v>
      </c>
      <c r="Q1692" s="165">
        <f t="shared" si="2"/>
        <v>0</v>
      </c>
      <c r="R1692" s="167"/>
      <c r="S1692" s="167" t="s">
        <v>910</v>
      </c>
      <c r="T1692" s="168">
        <f t="shared" si="3"/>
        <v>44516.16</v>
      </c>
      <c r="U1692" s="168">
        <f t="shared" si="4"/>
        <v>0</v>
      </c>
      <c r="V1692" s="168">
        <f t="shared" si="5"/>
        <v>0</v>
      </c>
      <c r="W1692" s="168">
        <f t="shared" si="6"/>
        <v>0</v>
      </c>
      <c r="X1692" s="168">
        <f t="shared" si="7"/>
        <v>0</v>
      </c>
      <c r="Y1692" s="168">
        <f t="shared" si="8"/>
        <v>0</v>
      </c>
      <c r="Z1692" s="168">
        <f t="shared" si="9"/>
        <v>0</v>
      </c>
    </row>
    <row r="1693" ht="14.25" customHeight="1">
      <c r="A1693" s="157" t="s">
        <v>1803</v>
      </c>
      <c r="B1693" s="158" t="s">
        <v>37</v>
      </c>
      <c r="C1693" s="158" t="s">
        <v>1658</v>
      </c>
      <c r="D1693" s="159">
        <v>44028.0</v>
      </c>
      <c r="E1693" s="157" t="s">
        <v>731</v>
      </c>
      <c r="F1693" s="160">
        <v>38376.0</v>
      </c>
      <c r="G1693" s="160">
        <v>6140.16</v>
      </c>
      <c r="H1693" s="160">
        <f t="shared" si="48"/>
        <v>44516.16</v>
      </c>
      <c r="I1693" s="160"/>
      <c r="J1693" s="161"/>
      <c r="K1693" s="160"/>
      <c r="L1693" s="160">
        <f>+'FACP$'!$H1693-'FACP$'!$I1693-'FACP$'!$K1693</f>
        <v>44516.16</v>
      </c>
      <c r="M1693" s="162" t="s">
        <v>116</v>
      </c>
      <c r="N1693" s="162" t="s">
        <v>554</v>
      </c>
      <c r="O1693" s="175">
        <v>44123.0</v>
      </c>
      <c r="P1693" s="164">
        <f t="shared" si="13"/>
        <v>44038</v>
      </c>
      <c r="Q1693" s="165">
        <f t="shared" si="2"/>
        <v>0</v>
      </c>
      <c r="R1693" s="167"/>
      <c r="S1693" s="167" t="s">
        <v>910</v>
      </c>
      <c r="T1693" s="168">
        <f t="shared" si="3"/>
        <v>44516.16</v>
      </c>
      <c r="U1693" s="168">
        <f t="shared" si="4"/>
        <v>0</v>
      </c>
      <c r="V1693" s="168">
        <f t="shared" si="5"/>
        <v>0</v>
      </c>
      <c r="W1693" s="168">
        <f t="shared" si="6"/>
        <v>0</v>
      </c>
      <c r="X1693" s="168">
        <f t="shared" si="7"/>
        <v>0</v>
      </c>
      <c r="Y1693" s="168">
        <f t="shared" si="8"/>
        <v>0</v>
      </c>
      <c r="Z1693" s="168">
        <f t="shared" si="9"/>
        <v>0</v>
      </c>
    </row>
    <row r="1694" ht="14.25" customHeight="1">
      <c r="A1694" s="157" t="s">
        <v>1804</v>
      </c>
      <c r="B1694" s="158" t="s">
        <v>37</v>
      </c>
      <c r="C1694" s="158" t="s">
        <v>1658</v>
      </c>
      <c r="D1694" s="159">
        <v>44029.0</v>
      </c>
      <c r="E1694" s="157" t="s">
        <v>731</v>
      </c>
      <c r="F1694" s="160">
        <v>38376.0</v>
      </c>
      <c r="G1694" s="160">
        <v>6140.16</v>
      </c>
      <c r="H1694" s="160">
        <f t="shared" si="48"/>
        <v>44516.16</v>
      </c>
      <c r="I1694" s="160"/>
      <c r="J1694" s="161"/>
      <c r="K1694" s="160"/>
      <c r="L1694" s="160">
        <f>+'FACP$'!$H1694-'FACP$'!$I1694-'FACP$'!$K1694</f>
        <v>44516.16</v>
      </c>
      <c r="M1694" s="162" t="s">
        <v>116</v>
      </c>
      <c r="N1694" s="162" t="s">
        <v>554</v>
      </c>
      <c r="O1694" s="175">
        <v>44123.0</v>
      </c>
      <c r="P1694" s="164">
        <f t="shared" si="13"/>
        <v>44039</v>
      </c>
      <c r="Q1694" s="165">
        <f t="shared" si="2"/>
        <v>0</v>
      </c>
      <c r="R1694" s="167"/>
      <c r="S1694" s="167" t="s">
        <v>910</v>
      </c>
      <c r="T1694" s="168">
        <f t="shared" si="3"/>
        <v>44516.16</v>
      </c>
      <c r="U1694" s="168">
        <f t="shared" si="4"/>
        <v>0</v>
      </c>
      <c r="V1694" s="168">
        <f t="shared" si="5"/>
        <v>0</v>
      </c>
      <c r="W1694" s="168">
        <f t="shared" si="6"/>
        <v>0</v>
      </c>
      <c r="X1694" s="168">
        <f t="shared" si="7"/>
        <v>0</v>
      </c>
      <c r="Y1694" s="168">
        <f t="shared" si="8"/>
        <v>0</v>
      </c>
      <c r="Z1694" s="168">
        <f t="shared" si="9"/>
        <v>0</v>
      </c>
    </row>
    <row r="1695" ht="14.25" customHeight="1">
      <c r="A1695" s="157" t="s">
        <v>1805</v>
      </c>
      <c r="B1695" s="158" t="s">
        <v>37</v>
      </c>
      <c r="C1695" s="158" t="s">
        <v>1658</v>
      </c>
      <c r="D1695" s="159">
        <v>44029.0</v>
      </c>
      <c r="E1695" s="157" t="s">
        <v>731</v>
      </c>
      <c r="F1695" s="160">
        <v>38376.0</v>
      </c>
      <c r="G1695" s="160">
        <v>6140.16</v>
      </c>
      <c r="H1695" s="160">
        <f t="shared" si="48"/>
        <v>44516.16</v>
      </c>
      <c r="I1695" s="160"/>
      <c r="J1695" s="161"/>
      <c r="K1695" s="160"/>
      <c r="L1695" s="160">
        <f>+'FACP$'!$H1695-'FACP$'!$I1695-'FACP$'!$K1695</f>
        <v>44516.16</v>
      </c>
      <c r="M1695" s="162" t="s">
        <v>116</v>
      </c>
      <c r="N1695" s="162" t="s">
        <v>554</v>
      </c>
      <c r="O1695" s="175">
        <v>44123.0</v>
      </c>
      <c r="P1695" s="164">
        <f t="shared" si="13"/>
        <v>44039</v>
      </c>
      <c r="Q1695" s="165">
        <f t="shared" si="2"/>
        <v>0</v>
      </c>
      <c r="R1695" s="167"/>
      <c r="S1695" s="167" t="s">
        <v>910</v>
      </c>
      <c r="T1695" s="168">
        <f t="shared" si="3"/>
        <v>44516.16</v>
      </c>
      <c r="U1695" s="168">
        <f t="shared" si="4"/>
        <v>0</v>
      </c>
      <c r="V1695" s="168">
        <f t="shared" si="5"/>
        <v>0</v>
      </c>
      <c r="W1695" s="168">
        <f t="shared" si="6"/>
        <v>0</v>
      </c>
      <c r="X1695" s="168">
        <f t="shared" si="7"/>
        <v>0</v>
      </c>
      <c r="Y1695" s="168">
        <f t="shared" si="8"/>
        <v>0</v>
      </c>
      <c r="Z1695" s="168">
        <f t="shared" si="9"/>
        <v>0</v>
      </c>
    </row>
    <row r="1696" ht="14.25" customHeight="1">
      <c r="A1696" s="157" t="s">
        <v>1806</v>
      </c>
      <c r="B1696" s="158" t="s">
        <v>127</v>
      </c>
      <c r="C1696" s="158" t="s">
        <v>1658</v>
      </c>
      <c r="D1696" s="159">
        <v>44029.0</v>
      </c>
      <c r="E1696" s="157" t="s">
        <v>731</v>
      </c>
      <c r="F1696" s="160"/>
      <c r="G1696" s="160"/>
      <c r="H1696" s="160">
        <f t="shared" si="48"/>
        <v>0</v>
      </c>
      <c r="I1696" s="160"/>
      <c r="J1696" s="161"/>
      <c r="K1696" s="160"/>
      <c r="L1696" s="160">
        <f>+'FACP$'!$H1696-'FACP$'!$I1696-'FACP$'!$K1696</f>
        <v>0</v>
      </c>
      <c r="M1696" s="162" t="s">
        <v>127</v>
      </c>
      <c r="N1696" s="162" t="s">
        <v>127</v>
      </c>
      <c r="O1696" s="175"/>
      <c r="P1696" s="164">
        <f t="shared" si="13"/>
        <v>44039</v>
      </c>
      <c r="Q1696" s="165">
        <f t="shared" si="2"/>
        <v>0</v>
      </c>
      <c r="R1696" s="167"/>
      <c r="S1696" s="167"/>
      <c r="T1696" s="168">
        <f t="shared" si="3"/>
        <v>0</v>
      </c>
      <c r="U1696" s="168">
        <f t="shared" si="4"/>
        <v>0</v>
      </c>
      <c r="V1696" s="168">
        <f t="shared" si="5"/>
        <v>0</v>
      </c>
      <c r="W1696" s="168">
        <f t="shared" si="6"/>
        <v>0</v>
      </c>
      <c r="X1696" s="168">
        <f t="shared" si="7"/>
        <v>0</v>
      </c>
      <c r="Y1696" s="168">
        <f t="shared" si="8"/>
        <v>0</v>
      </c>
      <c r="Z1696" s="168">
        <f t="shared" si="9"/>
        <v>0</v>
      </c>
    </row>
    <row r="1697" ht="14.25" customHeight="1">
      <c r="A1697" s="157" t="s">
        <v>1807</v>
      </c>
      <c r="B1697" s="158" t="s">
        <v>18</v>
      </c>
      <c r="C1697" s="158" t="s">
        <v>1658</v>
      </c>
      <c r="D1697" s="159">
        <v>44029.0</v>
      </c>
      <c r="E1697" s="157" t="s">
        <v>731</v>
      </c>
      <c r="F1697" s="160">
        <v>19188.0</v>
      </c>
      <c r="G1697" s="160">
        <v>3070.08</v>
      </c>
      <c r="H1697" s="160">
        <f t="shared" si="48"/>
        <v>22258.08</v>
      </c>
      <c r="I1697" s="160"/>
      <c r="J1697" s="161"/>
      <c r="K1697" s="160"/>
      <c r="L1697" s="160">
        <f>+'FACP$'!$H1697-'FACP$'!$I1697-'FACP$'!$K1697</f>
        <v>22258.08</v>
      </c>
      <c r="M1697" s="162" t="s">
        <v>586</v>
      </c>
      <c r="N1697" s="162" t="s">
        <v>554</v>
      </c>
      <c r="O1697" s="175">
        <v>44077.0</v>
      </c>
      <c r="P1697" s="164">
        <f t="shared" si="13"/>
        <v>44039</v>
      </c>
      <c r="Q1697" s="165">
        <f t="shared" si="2"/>
        <v>0</v>
      </c>
      <c r="R1697" s="167"/>
      <c r="S1697" s="167" t="s">
        <v>910</v>
      </c>
      <c r="T1697" s="168">
        <f t="shared" si="3"/>
        <v>22258.08</v>
      </c>
      <c r="U1697" s="168">
        <f t="shared" si="4"/>
        <v>0</v>
      </c>
      <c r="V1697" s="168">
        <f t="shared" si="5"/>
        <v>0</v>
      </c>
      <c r="W1697" s="168">
        <f t="shared" si="6"/>
        <v>0</v>
      </c>
      <c r="X1697" s="168">
        <f t="shared" si="7"/>
        <v>0</v>
      </c>
      <c r="Y1697" s="168">
        <f t="shared" si="8"/>
        <v>0</v>
      </c>
      <c r="Z1697" s="168">
        <f t="shared" si="9"/>
        <v>0</v>
      </c>
    </row>
    <row r="1698" ht="14.25" customHeight="1">
      <c r="A1698" s="157" t="s">
        <v>1808</v>
      </c>
      <c r="B1698" s="158" t="s">
        <v>16</v>
      </c>
      <c r="C1698" s="158" t="s">
        <v>1809</v>
      </c>
      <c r="D1698" s="159">
        <v>44029.0</v>
      </c>
      <c r="E1698" s="157" t="s">
        <v>731</v>
      </c>
      <c r="F1698" s="160">
        <v>49583.18</v>
      </c>
      <c r="G1698" s="160">
        <v>7933.31</v>
      </c>
      <c r="H1698" s="160">
        <f t="shared" si="48"/>
        <v>57516.49</v>
      </c>
      <c r="I1698" s="160"/>
      <c r="J1698" s="161"/>
      <c r="K1698" s="160"/>
      <c r="L1698" s="160">
        <f>+'FACP$'!$H1698-'FACP$'!$I1698-'FACP$'!$K1698</f>
        <v>57516.49</v>
      </c>
      <c r="M1698" s="162" t="s">
        <v>985</v>
      </c>
      <c r="N1698" s="162" t="s">
        <v>554</v>
      </c>
      <c r="O1698" s="175">
        <v>44056.0</v>
      </c>
      <c r="P1698" s="164">
        <f t="shared" si="13"/>
        <v>44039</v>
      </c>
      <c r="Q1698" s="165">
        <f t="shared" si="2"/>
        <v>0</v>
      </c>
      <c r="R1698" s="167"/>
      <c r="S1698" s="167"/>
      <c r="T1698" s="168">
        <f t="shared" si="3"/>
        <v>57516.49</v>
      </c>
      <c r="U1698" s="168">
        <f t="shared" si="4"/>
        <v>0</v>
      </c>
      <c r="V1698" s="168">
        <f t="shared" si="5"/>
        <v>0</v>
      </c>
      <c r="W1698" s="168">
        <f t="shared" si="6"/>
        <v>0</v>
      </c>
      <c r="X1698" s="168">
        <f t="shared" si="7"/>
        <v>0</v>
      </c>
      <c r="Y1698" s="168">
        <f t="shared" si="8"/>
        <v>0</v>
      </c>
      <c r="Z1698" s="168">
        <f t="shared" si="9"/>
        <v>0</v>
      </c>
    </row>
    <row r="1699" ht="14.25" customHeight="1">
      <c r="A1699" s="157" t="s">
        <v>1810</v>
      </c>
      <c r="B1699" s="158" t="s">
        <v>16</v>
      </c>
      <c r="C1699" s="158" t="s">
        <v>1811</v>
      </c>
      <c r="D1699" s="159">
        <v>44029.0</v>
      </c>
      <c r="E1699" s="157" t="s">
        <v>731</v>
      </c>
      <c r="F1699" s="160">
        <v>81738.0</v>
      </c>
      <c r="G1699" s="160">
        <v>13078.08</v>
      </c>
      <c r="H1699" s="160">
        <f t="shared" si="48"/>
        <v>94816.08</v>
      </c>
      <c r="I1699" s="160"/>
      <c r="J1699" s="161"/>
      <c r="K1699" s="160"/>
      <c r="L1699" s="160">
        <f>+'FACP$'!$H1699-'FACP$'!$I1699-'FACP$'!$K1699</f>
        <v>94816.08</v>
      </c>
      <c r="M1699" s="162" t="s">
        <v>985</v>
      </c>
      <c r="N1699" s="162" t="s">
        <v>554</v>
      </c>
      <c r="O1699" s="175">
        <v>44056.0</v>
      </c>
      <c r="P1699" s="164">
        <f t="shared" si="13"/>
        <v>44039</v>
      </c>
      <c r="Q1699" s="165">
        <f t="shared" si="2"/>
        <v>0</v>
      </c>
      <c r="R1699" s="167"/>
      <c r="S1699" s="167"/>
      <c r="T1699" s="168">
        <f t="shared" si="3"/>
        <v>94816.08</v>
      </c>
      <c r="U1699" s="168">
        <f t="shared" si="4"/>
        <v>0</v>
      </c>
      <c r="V1699" s="168">
        <f t="shared" si="5"/>
        <v>0</v>
      </c>
      <c r="W1699" s="168">
        <f t="shared" si="6"/>
        <v>0</v>
      </c>
      <c r="X1699" s="168">
        <f t="shared" si="7"/>
        <v>0</v>
      </c>
      <c r="Y1699" s="168">
        <f t="shared" si="8"/>
        <v>0</v>
      </c>
      <c r="Z1699" s="168">
        <f t="shared" si="9"/>
        <v>0</v>
      </c>
    </row>
    <row r="1700" ht="14.25" customHeight="1">
      <c r="A1700" s="157" t="s">
        <v>1812</v>
      </c>
      <c r="B1700" s="158" t="s">
        <v>37</v>
      </c>
      <c r="C1700" s="158" t="s">
        <v>1813</v>
      </c>
      <c r="D1700" s="159">
        <v>44029.0</v>
      </c>
      <c r="E1700" s="157" t="s">
        <v>731</v>
      </c>
      <c r="F1700" s="160">
        <v>367736.96</v>
      </c>
      <c r="G1700" s="160">
        <v>58837.91</v>
      </c>
      <c r="H1700" s="160">
        <f t="shared" si="48"/>
        <v>426574.87</v>
      </c>
      <c r="I1700" s="160"/>
      <c r="J1700" s="161"/>
      <c r="K1700" s="160"/>
      <c r="L1700" s="160">
        <f>+'FACP$'!$H1700-'FACP$'!$I1700-'FACP$'!$K1700</f>
        <v>426574.87</v>
      </c>
      <c r="M1700" s="162" t="s">
        <v>116</v>
      </c>
      <c r="N1700" s="162" t="s">
        <v>127</v>
      </c>
      <c r="O1700" s="175"/>
      <c r="P1700" s="164">
        <f t="shared" si="13"/>
        <v>44039</v>
      </c>
      <c r="Q1700" s="165">
        <f t="shared" si="2"/>
        <v>0</v>
      </c>
      <c r="R1700" s="167" t="s">
        <v>1814</v>
      </c>
      <c r="S1700" s="167"/>
      <c r="T1700" s="168">
        <f t="shared" si="3"/>
        <v>426574.87</v>
      </c>
      <c r="U1700" s="168">
        <f t="shared" si="4"/>
        <v>0</v>
      </c>
      <c r="V1700" s="168">
        <f t="shared" si="5"/>
        <v>0</v>
      </c>
      <c r="W1700" s="168">
        <f t="shared" si="6"/>
        <v>0</v>
      </c>
      <c r="X1700" s="168">
        <f t="shared" si="7"/>
        <v>0</v>
      </c>
      <c r="Y1700" s="168">
        <f t="shared" si="8"/>
        <v>0</v>
      </c>
      <c r="Z1700" s="168">
        <f t="shared" si="9"/>
        <v>0</v>
      </c>
    </row>
    <row r="1701" ht="14.25" customHeight="1">
      <c r="A1701" s="157" t="s">
        <v>1815</v>
      </c>
      <c r="B1701" s="158" t="s">
        <v>41</v>
      </c>
      <c r="C1701" s="158" t="s">
        <v>1683</v>
      </c>
      <c r="D1701" s="159">
        <v>44029.0</v>
      </c>
      <c r="E1701" s="157" t="s">
        <v>731</v>
      </c>
      <c r="F1701" s="160">
        <v>159963.74</v>
      </c>
      <c r="G1701" s="160">
        <v>25594.2</v>
      </c>
      <c r="H1701" s="160">
        <f t="shared" si="48"/>
        <v>185557.94</v>
      </c>
      <c r="I1701" s="160"/>
      <c r="J1701" s="161"/>
      <c r="K1701" s="160"/>
      <c r="L1701" s="160">
        <f>+'FACP$'!$H1701-'FACP$'!$I1701-'FACP$'!$K1701</f>
        <v>185557.94</v>
      </c>
      <c r="M1701" s="162" t="s">
        <v>121</v>
      </c>
      <c r="N1701" s="162" t="s">
        <v>554</v>
      </c>
      <c r="O1701" s="175">
        <v>44048.0</v>
      </c>
      <c r="P1701" s="164">
        <f t="shared" si="13"/>
        <v>44039</v>
      </c>
      <c r="Q1701" s="165">
        <f t="shared" si="2"/>
        <v>0</v>
      </c>
      <c r="R1701" s="167" t="s">
        <v>1816</v>
      </c>
      <c r="S1701" s="167"/>
      <c r="T1701" s="168">
        <f t="shared" si="3"/>
        <v>185557.94</v>
      </c>
      <c r="U1701" s="168">
        <f t="shared" si="4"/>
        <v>0</v>
      </c>
      <c r="V1701" s="168">
        <f t="shared" si="5"/>
        <v>0</v>
      </c>
      <c r="W1701" s="168">
        <f t="shared" si="6"/>
        <v>0</v>
      </c>
      <c r="X1701" s="168">
        <f t="shared" si="7"/>
        <v>0</v>
      </c>
      <c r="Y1701" s="168">
        <f t="shared" si="8"/>
        <v>0</v>
      </c>
      <c r="Z1701" s="168">
        <f t="shared" si="9"/>
        <v>0</v>
      </c>
    </row>
    <row r="1702" ht="14.25" customHeight="1">
      <c r="A1702" s="157" t="s">
        <v>1817</v>
      </c>
      <c r="B1702" s="158" t="s">
        <v>29</v>
      </c>
      <c r="C1702" s="158" t="s">
        <v>1658</v>
      </c>
      <c r="D1702" s="159">
        <v>44029.0</v>
      </c>
      <c r="E1702" s="157" t="s">
        <v>731</v>
      </c>
      <c r="F1702" s="160">
        <v>38376.0</v>
      </c>
      <c r="G1702" s="160">
        <v>6140.16</v>
      </c>
      <c r="H1702" s="160">
        <f t="shared" si="48"/>
        <v>44516.16</v>
      </c>
      <c r="I1702" s="160"/>
      <c r="J1702" s="161"/>
      <c r="K1702" s="160"/>
      <c r="L1702" s="160">
        <f>+'FACP$'!$H1702-'FACP$'!$I1702-'FACP$'!$K1702</f>
        <v>44516.16</v>
      </c>
      <c r="M1702" s="162" t="s">
        <v>130</v>
      </c>
      <c r="N1702" s="162" t="s">
        <v>554</v>
      </c>
      <c r="O1702" s="175">
        <v>44075.0</v>
      </c>
      <c r="P1702" s="164">
        <f t="shared" si="13"/>
        <v>44039</v>
      </c>
      <c r="Q1702" s="165">
        <f t="shared" si="2"/>
        <v>0</v>
      </c>
      <c r="R1702" s="167"/>
      <c r="S1702" s="167"/>
      <c r="T1702" s="168">
        <f t="shared" si="3"/>
        <v>44516.16</v>
      </c>
      <c r="U1702" s="168">
        <f t="shared" si="4"/>
        <v>0</v>
      </c>
      <c r="V1702" s="168">
        <f t="shared" si="5"/>
        <v>0</v>
      </c>
      <c r="W1702" s="168">
        <f t="shared" si="6"/>
        <v>0</v>
      </c>
      <c r="X1702" s="168">
        <f t="shared" si="7"/>
        <v>0</v>
      </c>
      <c r="Y1702" s="168">
        <f t="shared" si="8"/>
        <v>0</v>
      </c>
      <c r="Z1702" s="168">
        <f t="shared" si="9"/>
        <v>0</v>
      </c>
    </row>
    <row r="1703" ht="14.25" customHeight="1">
      <c r="A1703" s="157" t="s">
        <v>1818</v>
      </c>
      <c r="B1703" s="158" t="s">
        <v>16</v>
      </c>
      <c r="C1703" s="158" t="s">
        <v>1658</v>
      </c>
      <c r="D1703" s="159">
        <v>44029.0</v>
      </c>
      <c r="E1703" s="157" t="s">
        <v>731</v>
      </c>
      <c r="F1703" s="160">
        <v>11316.0</v>
      </c>
      <c r="G1703" s="160">
        <v>1810.56</v>
      </c>
      <c r="H1703" s="160">
        <f t="shared" si="48"/>
        <v>13126.56</v>
      </c>
      <c r="I1703" s="160"/>
      <c r="J1703" s="161"/>
      <c r="K1703" s="160"/>
      <c r="L1703" s="160">
        <f>+'FACP$'!$H1703-'FACP$'!$I1703-'FACP$'!$K1703</f>
        <v>13126.56</v>
      </c>
      <c r="M1703" s="162" t="s">
        <v>985</v>
      </c>
      <c r="N1703" s="162" t="s">
        <v>1785</v>
      </c>
      <c r="O1703" s="175">
        <v>44070.0</v>
      </c>
      <c r="P1703" s="164">
        <f t="shared" si="13"/>
        <v>44039</v>
      </c>
      <c r="Q1703" s="165" t="b">
        <f t="shared" si="2"/>
        <v>0</v>
      </c>
      <c r="R1703" s="167"/>
      <c r="S1703" s="167"/>
      <c r="T1703" s="168">
        <f t="shared" si="3"/>
        <v>0</v>
      </c>
      <c r="U1703" s="168">
        <f t="shared" si="4"/>
        <v>0</v>
      </c>
      <c r="V1703" s="168">
        <f t="shared" si="5"/>
        <v>0</v>
      </c>
      <c r="W1703" s="168">
        <f t="shared" si="6"/>
        <v>0</v>
      </c>
      <c r="X1703" s="168">
        <f t="shared" si="7"/>
        <v>0</v>
      </c>
      <c r="Y1703" s="168">
        <f t="shared" si="8"/>
        <v>0</v>
      </c>
      <c r="Z1703" s="168">
        <f t="shared" si="9"/>
        <v>13126.56</v>
      </c>
    </row>
    <row r="1704" ht="14.25" customHeight="1">
      <c r="A1704" s="157" t="s">
        <v>1819</v>
      </c>
      <c r="B1704" s="158" t="s">
        <v>16</v>
      </c>
      <c r="C1704" s="158" t="s">
        <v>1658</v>
      </c>
      <c r="D1704" s="159">
        <v>44029.0</v>
      </c>
      <c r="E1704" s="157" t="s">
        <v>731</v>
      </c>
      <c r="F1704" s="160">
        <v>11316.0</v>
      </c>
      <c r="G1704" s="160">
        <v>1810.56</v>
      </c>
      <c r="H1704" s="160">
        <f t="shared" si="48"/>
        <v>13126.56</v>
      </c>
      <c r="I1704" s="160"/>
      <c r="J1704" s="161"/>
      <c r="K1704" s="160"/>
      <c r="L1704" s="160">
        <f>+'FACP$'!$H1704-'FACP$'!$I1704-'FACP$'!$K1704</f>
        <v>13126.56</v>
      </c>
      <c r="M1704" s="162" t="s">
        <v>985</v>
      </c>
      <c r="N1704" s="162" t="s">
        <v>1785</v>
      </c>
      <c r="O1704" s="175">
        <v>44070.0</v>
      </c>
      <c r="P1704" s="164">
        <f t="shared" si="13"/>
        <v>44039</v>
      </c>
      <c r="Q1704" s="165" t="b">
        <f t="shared" si="2"/>
        <v>0</v>
      </c>
      <c r="R1704" s="167"/>
      <c r="S1704" s="167"/>
      <c r="T1704" s="168">
        <f t="shared" si="3"/>
        <v>0</v>
      </c>
      <c r="U1704" s="168">
        <f t="shared" si="4"/>
        <v>0</v>
      </c>
      <c r="V1704" s="168">
        <f t="shared" si="5"/>
        <v>0</v>
      </c>
      <c r="W1704" s="168">
        <f t="shared" si="6"/>
        <v>0</v>
      </c>
      <c r="X1704" s="168">
        <f t="shared" si="7"/>
        <v>0</v>
      </c>
      <c r="Y1704" s="168">
        <f t="shared" si="8"/>
        <v>0</v>
      </c>
      <c r="Z1704" s="168">
        <f t="shared" si="9"/>
        <v>13126.56</v>
      </c>
    </row>
    <row r="1705" ht="14.25" customHeight="1">
      <c r="A1705" s="157" t="s">
        <v>1820</v>
      </c>
      <c r="B1705" s="158" t="s">
        <v>16</v>
      </c>
      <c r="C1705" s="158" t="s">
        <v>1658</v>
      </c>
      <c r="D1705" s="159">
        <v>44030.0</v>
      </c>
      <c r="E1705" s="157" t="s">
        <v>731</v>
      </c>
      <c r="F1705" s="160">
        <v>11316.0</v>
      </c>
      <c r="G1705" s="160">
        <v>1810.56</v>
      </c>
      <c r="H1705" s="160">
        <f t="shared" si="48"/>
        <v>13126.56</v>
      </c>
      <c r="I1705" s="160"/>
      <c r="J1705" s="161"/>
      <c r="K1705" s="160"/>
      <c r="L1705" s="160">
        <f>+'FACP$'!$H1705-'FACP$'!$I1705-'FACP$'!$K1705</f>
        <v>13126.56</v>
      </c>
      <c r="M1705" s="162" t="s">
        <v>985</v>
      </c>
      <c r="N1705" s="162" t="s">
        <v>1785</v>
      </c>
      <c r="O1705" s="175">
        <v>44070.0</v>
      </c>
      <c r="P1705" s="164">
        <f t="shared" si="13"/>
        <v>44040</v>
      </c>
      <c r="Q1705" s="165" t="b">
        <f t="shared" si="2"/>
        <v>0</v>
      </c>
      <c r="R1705" s="167"/>
      <c r="S1705" s="167"/>
      <c r="T1705" s="168">
        <f t="shared" si="3"/>
        <v>0</v>
      </c>
      <c r="U1705" s="168">
        <f t="shared" si="4"/>
        <v>0</v>
      </c>
      <c r="V1705" s="168">
        <f t="shared" si="5"/>
        <v>0</v>
      </c>
      <c r="W1705" s="168">
        <f t="shared" si="6"/>
        <v>0</v>
      </c>
      <c r="X1705" s="168">
        <f t="shared" si="7"/>
        <v>0</v>
      </c>
      <c r="Y1705" s="168">
        <f t="shared" si="8"/>
        <v>0</v>
      </c>
      <c r="Z1705" s="168">
        <f t="shared" si="9"/>
        <v>13126.56</v>
      </c>
    </row>
    <row r="1706" ht="14.25" customHeight="1">
      <c r="A1706" s="157" t="s">
        <v>1821</v>
      </c>
      <c r="B1706" s="158" t="s">
        <v>16</v>
      </c>
      <c r="C1706" s="158" t="s">
        <v>1658</v>
      </c>
      <c r="D1706" s="159">
        <v>44030.0</v>
      </c>
      <c r="E1706" s="157" t="s">
        <v>731</v>
      </c>
      <c r="F1706" s="160">
        <v>11316.0</v>
      </c>
      <c r="G1706" s="160">
        <v>1810.56</v>
      </c>
      <c r="H1706" s="160">
        <f t="shared" si="48"/>
        <v>13126.56</v>
      </c>
      <c r="I1706" s="160"/>
      <c r="J1706" s="161"/>
      <c r="K1706" s="160"/>
      <c r="L1706" s="160">
        <f>+'FACP$'!$H1706-'FACP$'!$I1706-'FACP$'!$K1706</f>
        <v>13126.56</v>
      </c>
      <c r="M1706" s="162" t="s">
        <v>985</v>
      </c>
      <c r="N1706" s="162" t="s">
        <v>1785</v>
      </c>
      <c r="O1706" s="175">
        <v>44070.0</v>
      </c>
      <c r="P1706" s="164">
        <f t="shared" si="13"/>
        <v>44040</v>
      </c>
      <c r="Q1706" s="165" t="b">
        <f t="shared" si="2"/>
        <v>0</v>
      </c>
      <c r="R1706" s="167"/>
      <c r="S1706" s="167"/>
      <c r="T1706" s="168">
        <f t="shared" si="3"/>
        <v>0</v>
      </c>
      <c r="U1706" s="168">
        <f t="shared" si="4"/>
        <v>0</v>
      </c>
      <c r="V1706" s="168">
        <f t="shared" si="5"/>
        <v>0</v>
      </c>
      <c r="W1706" s="168">
        <f t="shared" si="6"/>
        <v>0</v>
      </c>
      <c r="X1706" s="168">
        <f t="shared" si="7"/>
        <v>0</v>
      </c>
      <c r="Y1706" s="168">
        <f t="shared" si="8"/>
        <v>0</v>
      </c>
      <c r="Z1706" s="168">
        <f t="shared" si="9"/>
        <v>13126.56</v>
      </c>
    </row>
    <row r="1707" ht="14.25" customHeight="1">
      <c r="A1707" s="157" t="s">
        <v>1822</v>
      </c>
      <c r="B1707" s="158" t="s">
        <v>37</v>
      </c>
      <c r="C1707" s="158" t="s">
        <v>1658</v>
      </c>
      <c r="D1707" s="159">
        <v>44030.0</v>
      </c>
      <c r="E1707" s="157" t="s">
        <v>731</v>
      </c>
      <c r="F1707" s="160">
        <v>38376.0</v>
      </c>
      <c r="G1707" s="160">
        <v>6140.16</v>
      </c>
      <c r="H1707" s="160">
        <f t="shared" si="48"/>
        <v>44516.16</v>
      </c>
      <c r="I1707" s="160"/>
      <c r="J1707" s="161"/>
      <c r="K1707" s="160"/>
      <c r="L1707" s="160">
        <f>+'FACP$'!$H1707-'FACP$'!$I1707-'FACP$'!$K1707</f>
        <v>44516.16</v>
      </c>
      <c r="M1707" s="162" t="s">
        <v>116</v>
      </c>
      <c r="N1707" s="162" t="s">
        <v>554</v>
      </c>
      <c r="O1707" s="175">
        <v>44123.0</v>
      </c>
      <c r="P1707" s="164">
        <f t="shared" si="13"/>
        <v>44040</v>
      </c>
      <c r="Q1707" s="165">
        <f t="shared" si="2"/>
        <v>0</v>
      </c>
      <c r="R1707" s="167"/>
      <c r="S1707" s="167" t="s">
        <v>910</v>
      </c>
      <c r="T1707" s="168">
        <f t="shared" si="3"/>
        <v>44516.16</v>
      </c>
      <c r="U1707" s="168">
        <f t="shared" si="4"/>
        <v>0</v>
      </c>
      <c r="V1707" s="168">
        <f t="shared" si="5"/>
        <v>0</v>
      </c>
      <c r="W1707" s="168">
        <f t="shared" si="6"/>
        <v>0</v>
      </c>
      <c r="X1707" s="168">
        <f t="shared" si="7"/>
        <v>0</v>
      </c>
      <c r="Y1707" s="168">
        <f t="shared" si="8"/>
        <v>0</v>
      </c>
      <c r="Z1707" s="168">
        <f t="shared" si="9"/>
        <v>0</v>
      </c>
    </row>
    <row r="1708" ht="14.25" customHeight="1">
      <c r="A1708" s="157" t="s">
        <v>1823</v>
      </c>
      <c r="B1708" s="158" t="s">
        <v>37</v>
      </c>
      <c r="C1708" s="158" t="s">
        <v>1658</v>
      </c>
      <c r="D1708" s="159">
        <v>44030.0</v>
      </c>
      <c r="E1708" s="157" t="s">
        <v>731</v>
      </c>
      <c r="F1708" s="160">
        <v>38376.0</v>
      </c>
      <c r="G1708" s="160">
        <v>6140.16</v>
      </c>
      <c r="H1708" s="160">
        <f t="shared" si="48"/>
        <v>44516.16</v>
      </c>
      <c r="I1708" s="160"/>
      <c r="J1708" s="161"/>
      <c r="K1708" s="160"/>
      <c r="L1708" s="160">
        <f>+'FACP$'!$H1708-'FACP$'!$I1708-'FACP$'!$K1708</f>
        <v>44516.16</v>
      </c>
      <c r="M1708" s="162" t="s">
        <v>116</v>
      </c>
      <c r="N1708" s="162" t="s">
        <v>554</v>
      </c>
      <c r="O1708" s="175">
        <v>44123.0</v>
      </c>
      <c r="P1708" s="164">
        <f t="shared" si="13"/>
        <v>44040</v>
      </c>
      <c r="Q1708" s="165">
        <f t="shared" si="2"/>
        <v>0</v>
      </c>
      <c r="R1708" s="167"/>
      <c r="S1708" s="167" t="s">
        <v>910</v>
      </c>
      <c r="T1708" s="168">
        <f t="shared" si="3"/>
        <v>44516.16</v>
      </c>
      <c r="U1708" s="168">
        <f t="shared" si="4"/>
        <v>0</v>
      </c>
      <c r="V1708" s="168">
        <f t="shared" si="5"/>
        <v>0</v>
      </c>
      <c r="W1708" s="168">
        <f t="shared" si="6"/>
        <v>0</v>
      </c>
      <c r="X1708" s="168">
        <f t="shared" si="7"/>
        <v>0</v>
      </c>
      <c r="Y1708" s="168">
        <f t="shared" si="8"/>
        <v>0</v>
      </c>
      <c r="Z1708" s="168">
        <f t="shared" si="9"/>
        <v>0</v>
      </c>
    </row>
    <row r="1709" ht="14.25" customHeight="1">
      <c r="A1709" s="157" t="s">
        <v>1824</v>
      </c>
      <c r="B1709" s="158" t="s">
        <v>37</v>
      </c>
      <c r="C1709" s="158" t="s">
        <v>1658</v>
      </c>
      <c r="D1709" s="159">
        <v>44030.0</v>
      </c>
      <c r="E1709" s="157" t="s">
        <v>731</v>
      </c>
      <c r="F1709" s="160">
        <v>38376.0</v>
      </c>
      <c r="G1709" s="160">
        <v>6140.16</v>
      </c>
      <c r="H1709" s="160">
        <f t="shared" si="48"/>
        <v>44516.16</v>
      </c>
      <c r="I1709" s="160"/>
      <c r="J1709" s="161"/>
      <c r="K1709" s="160"/>
      <c r="L1709" s="160">
        <f>+'FACP$'!$H1709-'FACP$'!$I1709-'FACP$'!$K1709</f>
        <v>44516.16</v>
      </c>
      <c r="M1709" s="162" t="s">
        <v>116</v>
      </c>
      <c r="N1709" s="162" t="s">
        <v>554</v>
      </c>
      <c r="O1709" s="175">
        <v>44123.0</v>
      </c>
      <c r="P1709" s="164">
        <f t="shared" si="13"/>
        <v>44040</v>
      </c>
      <c r="Q1709" s="165">
        <f t="shared" si="2"/>
        <v>0</v>
      </c>
      <c r="R1709" s="167"/>
      <c r="S1709" s="167" t="s">
        <v>910</v>
      </c>
      <c r="T1709" s="168">
        <f t="shared" si="3"/>
        <v>44516.16</v>
      </c>
      <c r="U1709" s="168">
        <f t="shared" si="4"/>
        <v>0</v>
      </c>
      <c r="V1709" s="168">
        <f t="shared" si="5"/>
        <v>0</v>
      </c>
      <c r="W1709" s="168">
        <f t="shared" si="6"/>
        <v>0</v>
      </c>
      <c r="X1709" s="168">
        <f t="shared" si="7"/>
        <v>0</v>
      </c>
      <c r="Y1709" s="168">
        <f t="shared" si="8"/>
        <v>0</v>
      </c>
      <c r="Z1709" s="168">
        <f t="shared" si="9"/>
        <v>0</v>
      </c>
    </row>
    <row r="1710" ht="14.25" customHeight="1">
      <c r="A1710" s="157" t="s">
        <v>1825</v>
      </c>
      <c r="B1710" s="158" t="s">
        <v>37</v>
      </c>
      <c r="C1710" s="158" t="s">
        <v>1658</v>
      </c>
      <c r="D1710" s="159">
        <v>44030.0</v>
      </c>
      <c r="E1710" s="157" t="s">
        <v>731</v>
      </c>
      <c r="F1710" s="160">
        <v>38376.0</v>
      </c>
      <c r="G1710" s="160">
        <v>6140.16</v>
      </c>
      <c r="H1710" s="160">
        <f t="shared" si="48"/>
        <v>44516.16</v>
      </c>
      <c r="I1710" s="160"/>
      <c r="J1710" s="161"/>
      <c r="K1710" s="160"/>
      <c r="L1710" s="160">
        <f>+'FACP$'!$H1710-'FACP$'!$I1710-'FACP$'!$K1710</f>
        <v>44516.16</v>
      </c>
      <c r="M1710" s="162" t="s">
        <v>116</v>
      </c>
      <c r="N1710" s="162" t="s">
        <v>554</v>
      </c>
      <c r="O1710" s="175">
        <v>44123.0</v>
      </c>
      <c r="P1710" s="164">
        <f t="shared" si="13"/>
        <v>44040</v>
      </c>
      <c r="Q1710" s="165">
        <f t="shared" si="2"/>
        <v>0</v>
      </c>
      <c r="R1710" s="167"/>
      <c r="S1710" s="167" t="s">
        <v>910</v>
      </c>
      <c r="T1710" s="168">
        <f t="shared" si="3"/>
        <v>44516.16</v>
      </c>
      <c r="U1710" s="168">
        <f t="shared" si="4"/>
        <v>0</v>
      </c>
      <c r="V1710" s="168">
        <f t="shared" si="5"/>
        <v>0</v>
      </c>
      <c r="W1710" s="168">
        <f t="shared" si="6"/>
        <v>0</v>
      </c>
      <c r="X1710" s="168">
        <f t="shared" si="7"/>
        <v>0</v>
      </c>
      <c r="Y1710" s="168">
        <f t="shared" si="8"/>
        <v>0</v>
      </c>
      <c r="Z1710" s="168">
        <f t="shared" si="9"/>
        <v>0</v>
      </c>
    </row>
    <row r="1711" ht="14.25" customHeight="1">
      <c r="A1711" s="157" t="s">
        <v>1826</v>
      </c>
      <c r="B1711" s="158" t="s">
        <v>16</v>
      </c>
      <c r="C1711" s="158" t="s">
        <v>1658</v>
      </c>
      <c r="D1711" s="159">
        <v>44030.0</v>
      </c>
      <c r="E1711" s="157" t="s">
        <v>731</v>
      </c>
      <c r="F1711" s="160">
        <v>11316.0</v>
      </c>
      <c r="G1711" s="160">
        <v>1810.56</v>
      </c>
      <c r="H1711" s="160">
        <f t="shared" si="48"/>
        <v>13126.56</v>
      </c>
      <c r="I1711" s="160"/>
      <c r="J1711" s="161"/>
      <c r="K1711" s="160"/>
      <c r="L1711" s="160">
        <f>+'FACP$'!$H1711-'FACP$'!$I1711-'FACP$'!$K1711</f>
        <v>13126.56</v>
      </c>
      <c r="M1711" s="162" t="s">
        <v>985</v>
      </c>
      <c r="N1711" s="162" t="s">
        <v>1785</v>
      </c>
      <c r="O1711" s="175">
        <v>44070.0</v>
      </c>
      <c r="P1711" s="164">
        <f t="shared" si="13"/>
        <v>44040</v>
      </c>
      <c r="Q1711" s="165" t="b">
        <f t="shared" si="2"/>
        <v>0</v>
      </c>
      <c r="R1711" s="167"/>
      <c r="S1711" s="167"/>
      <c r="T1711" s="168">
        <f t="shared" si="3"/>
        <v>0</v>
      </c>
      <c r="U1711" s="168">
        <f t="shared" si="4"/>
        <v>0</v>
      </c>
      <c r="V1711" s="168">
        <f t="shared" si="5"/>
        <v>0</v>
      </c>
      <c r="W1711" s="168">
        <f t="shared" si="6"/>
        <v>0</v>
      </c>
      <c r="X1711" s="168">
        <f t="shared" si="7"/>
        <v>0</v>
      </c>
      <c r="Y1711" s="168">
        <f t="shared" si="8"/>
        <v>0</v>
      </c>
      <c r="Z1711" s="168">
        <f t="shared" si="9"/>
        <v>13126.56</v>
      </c>
    </row>
    <row r="1712" ht="14.25" customHeight="1">
      <c r="A1712" s="157" t="s">
        <v>1827</v>
      </c>
      <c r="B1712" s="158" t="s">
        <v>16</v>
      </c>
      <c r="C1712" s="158" t="s">
        <v>1658</v>
      </c>
      <c r="D1712" s="159">
        <v>44030.0</v>
      </c>
      <c r="E1712" s="157" t="s">
        <v>731</v>
      </c>
      <c r="F1712" s="160">
        <v>11316.0</v>
      </c>
      <c r="G1712" s="160">
        <v>1810.56</v>
      </c>
      <c r="H1712" s="160">
        <f t="shared" si="48"/>
        <v>13126.56</v>
      </c>
      <c r="I1712" s="160"/>
      <c r="J1712" s="161"/>
      <c r="K1712" s="160"/>
      <c r="L1712" s="160">
        <f>+'FACP$'!$H1712-'FACP$'!$I1712-'FACP$'!$K1712</f>
        <v>13126.56</v>
      </c>
      <c r="M1712" s="162" t="s">
        <v>985</v>
      </c>
      <c r="N1712" s="162" t="s">
        <v>1785</v>
      </c>
      <c r="O1712" s="175">
        <v>44070.0</v>
      </c>
      <c r="P1712" s="164">
        <f t="shared" si="13"/>
        <v>44040</v>
      </c>
      <c r="Q1712" s="165" t="b">
        <f t="shared" si="2"/>
        <v>0</v>
      </c>
      <c r="R1712" s="167"/>
      <c r="S1712" s="167"/>
      <c r="T1712" s="168">
        <f t="shared" si="3"/>
        <v>0</v>
      </c>
      <c r="U1712" s="168">
        <f t="shared" si="4"/>
        <v>0</v>
      </c>
      <c r="V1712" s="168">
        <f t="shared" si="5"/>
        <v>0</v>
      </c>
      <c r="W1712" s="168">
        <f t="shared" si="6"/>
        <v>0</v>
      </c>
      <c r="X1712" s="168">
        <f t="shared" si="7"/>
        <v>0</v>
      </c>
      <c r="Y1712" s="168">
        <f t="shared" si="8"/>
        <v>0</v>
      </c>
      <c r="Z1712" s="168">
        <f t="shared" si="9"/>
        <v>13126.56</v>
      </c>
    </row>
    <row r="1713" ht="14.25" customHeight="1">
      <c r="A1713" s="157" t="s">
        <v>1828</v>
      </c>
      <c r="B1713" s="158" t="s">
        <v>37</v>
      </c>
      <c r="C1713" s="158" t="s">
        <v>1658</v>
      </c>
      <c r="D1713" s="159">
        <v>44031.0</v>
      </c>
      <c r="E1713" s="157" t="s">
        <v>731</v>
      </c>
      <c r="F1713" s="160">
        <v>38376.0</v>
      </c>
      <c r="G1713" s="160">
        <v>6140.16</v>
      </c>
      <c r="H1713" s="160">
        <f t="shared" si="48"/>
        <v>44516.16</v>
      </c>
      <c r="I1713" s="160"/>
      <c r="J1713" s="161"/>
      <c r="K1713" s="160"/>
      <c r="L1713" s="160">
        <f>+'FACP$'!$H1713-'FACP$'!$I1713-'FACP$'!$K1713</f>
        <v>44516.16</v>
      </c>
      <c r="M1713" s="162" t="s">
        <v>116</v>
      </c>
      <c r="N1713" s="162" t="s">
        <v>554</v>
      </c>
      <c r="O1713" s="175">
        <v>44123.0</v>
      </c>
      <c r="P1713" s="164">
        <f t="shared" si="13"/>
        <v>44041</v>
      </c>
      <c r="Q1713" s="165">
        <f t="shared" si="2"/>
        <v>0</v>
      </c>
      <c r="R1713" s="167"/>
      <c r="S1713" s="167" t="s">
        <v>910</v>
      </c>
      <c r="T1713" s="168">
        <f t="shared" si="3"/>
        <v>44516.16</v>
      </c>
      <c r="U1713" s="168">
        <f t="shared" si="4"/>
        <v>0</v>
      </c>
      <c r="V1713" s="168">
        <f t="shared" si="5"/>
        <v>0</v>
      </c>
      <c r="W1713" s="168">
        <f t="shared" si="6"/>
        <v>0</v>
      </c>
      <c r="X1713" s="168">
        <f t="shared" si="7"/>
        <v>0</v>
      </c>
      <c r="Y1713" s="168">
        <f t="shared" si="8"/>
        <v>0</v>
      </c>
      <c r="Z1713" s="168">
        <f t="shared" si="9"/>
        <v>0</v>
      </c>
    </row>
    <row r="1714" ht="14.25" customHeight="1">
      <c r="A1714" s="157" t="s">
        <v>1829</v>
      </c>
      <c r="B1714" s="158" t="s">
        <v>37</v>
      </c>
      <c r="C1714" s="158" t="s">
        <v>1658</v>
      </c>
      <c r="D1714" s="159">
        <v>44031.0</v>
      </c>
      <c r="E1714" s="157" t="s">
        <v>731</v>
      </c>
      <c r="F1714" s="160">
        <v>38376.0</v>
      </c>
      <c r="G1714" s="160">
        <v>6140.16</v>
      </c>
      <c r="H1714" s="160">
        <f t="shared" si="48"/>
        <v>44516.16</v>
      </c>
      <c r="I1714" s="160"/>
      <c r="J1714" s="161"/>
      <c r="K1714" s="160"/>
      <c r="L1714" s="160">
        <f>+'FACP$'!$H1714-'FACP$'!$I1714-'FACP$'!$K1714</f>
        <v>44516.16</v>
      </c>
      <c r="M1714" s="162" t="s">
        <v>116</v>
      </c>
      <c r="N1714" s="162" t="s">
        <v>554</v>
      </c>
      <c r="O1714" s="175">
        <v>44123.0</v>
      </c>
      <c r="P1714" s="164">
        <f t="shared" si="13"/>
        <v>44041</v>
      </c>
      <c r="Q1714" s="165">
        <f t="shared" si="2"/>
        <v>0</v>
      </c>
      <c r="R1714" s="167"/>
      <c r="S1714" s="167" t="s">
        <v>910</v>
      </c>
      <c r="T1714" s="168">
        <f t="shared" si="3"/>
        <v>44516.16</v>
      </c>
      <c r="U1714" s="168">
        <f t="shared" si="4"/>
        <v>0</v>
      </c>
      <c r="V1714" s="168">
        <f t="shared" si="5"/>
        <v>0</v>
      </c>
      <c r="W1714" s="168">
        <f t="shared" si="6"/>
        <v>0</v>
      </c>
      <c r="X1714" s="168">
        <f t="shared" si="7"/>
        <v>0</v>
      </c>
      <c r="Y1714" s="168">
        <f t="shared" si="8"/>
        <v>0</v>
      </c>
      <c r="Z1714" s="168">
        <f t="shared" si="9"/>
        <v>0</v>
      </c>
    </row>
    <row r="1715" ht="14.25" customHeight="1">
      <c r="A1715" s="157" t="s">
        <v>1830</v>
      </c>
      <c r="B1715" s="158" t="s">
        <v>37</v>
      </c>
      <c r="C1715" s="158" t="s">
        <v>1658</v>
      </c>
      <c r="D1715" s="159">
        <v>44031.0</v>
      </c>
      <c r="E1715" s="157" t="s">
        <v>731</v>
      </c>
      <c r="F1715" s="160">
        <v>38376.0</v>
      </c>
      <c r="G1715" s="160">
        <v>6140.16</v>
      </c>
      <c r="H1715" s="160">
        <f t="shared" si="48"/>
        <v>44516.16</v>
      </c>
      <c r="I1715" s="160"/>
      <c r="J1715" s="161"/>
      <c r="K1715" s="160"/>
      <c r="L1715" s="160">
        <f>+'FACP$'!$H1715-'FACP$'!$I1715-'FACP$'!$K1715</f>
        <v>44516.16</v>
      </c>
      <c r="M1715" s="162" t="s">
        <v>116</v>
      </c>
      <c r="N1715" s="162" t="s">
        <v>554</v>
      </c>
      <c r="O1715" s="175">
        <v>44123.0</v>
      </c>
      <c r="P1715" s="164">
        <f t="shared" si="13"/>
        <v>44041</v>
      </c>
      <c r="Q1715" s="165">
        <f t="shared" si="2"/>
        <v>0</v>
      </c>
      <c r="R1715" s="167"/>
      <c r="S1715" s="167" t="s">
        <v>910</v>
      </c>
      <c r="T1715" s="168">
        <f t="shared" si="3"/>
        <v>44516.16</v>
      </c>
      <c r="U1715" s="168">
        <f t="shared" si="4"/>
        <v>0</v>
      </c>
      <c r="V1715" s="168">
        <f t="shared" si="5"/>
        <v>0</v>
      </c>
      <c r="W1715" s="168">
        <f t="shared" si="6"/>
        <v>0</v>
      </c>
      <c r="X1715" s="168">
        <f t="shared" si="7"/>
        <v>0</v>
      </c>
      <c r="Y1715" s="168">
        <f t="shared" si="8"/>
        <v>0</v>
      </c>
      <c r="Z1715" s="168">
        <f t="shared" si="9"/>
        <v>0</v>
      </c>
    </row>
    <row r="1716" ht="14.25" customHeight="1">
      <c r="A1716" s="157" t="s">
        <v>1831</v>
      </c>
      <c r="B1716" s="158" t="s">
        <v>16</v>
      </c>
      <c r="C1716" s="158" t="s">
        <v>1658</v>
      </c>
      <c r="D1716" s="159">
        <v>44031.0</v>
      </c>
      <c r="E1716" s="157" t="s">
        <v>731</v>
      </c>
      <c r="F1716" s="160">
        <v>11316.0</v>
      </c>
      <c r="G1716" s="160">
        <v>1810.56</v>
      </c>
      <c r="H1716" s="160">
        <f t="shared" si="48"/>
        <v>13126.56</v>
      </c>
      <c r="I1716" s="160"/>
      <c r="J1716" s="161"/>
      <c r="K1716" s="160"/>
      <c r="L1716" s="160">
        <f>+'FACP$'!$H1716-'FACP$'!$I1716-'FACP$'!$K1716</f>
        <v>13126.56</v>
      </c>
      <c r="M1716" s="162" t="s">
        <v>985</v>
      </c>
      <c r="N1716" s="162" t="s">
        <v>1785</v>
      </c>
      <c r="O1716" s="175">
        <v>44070.0</v>
      </c>
      <c r="P1716" s="164">
        <f t="shared" si="13"/>
        <v>44041</v>
      </c>
      <c r="Q1716" s="165" t="b">
        <f t="shared" si="2"/>
        <v>0</v>
      </c>
      <c r="R1716" s="167"/>
      <c r="S1716" s="167"/>
      <c r="T1716" s="168">
        <f t="shared" si="3"/>
        <v>0</v>
      </c>
      <c r="U1716" s="168">
        <f t="shared" si="4"/>
        <v>0</v>
      </c>
      <c r="V1716" s="168">
        <f t="shared" si="5"/>
        <v>0</v>
      </c>
      <c r="W1716" s="168">
        <f t="shared" si="6"/>
        <v>0</v>
      </c>
      <c r="X1716" s="168">
        <f t="shared" si="7"/>
        <v>0</v>
      </c>
      <c r="Y1716" s="168">
        <f t="shared" si="8"/>
        <v>0</v>
      </c>
      <c r="Z1716" s="168">
        <f t="shared" si="9"/>
        <v>13126.56</v>
      </c>
    </row>
    <row r="1717" ht="14.25" customHeight="1">
      <c r="A1717" s="157" t="s">
        <v>1832</v>
      </c>
      <c r="B1717" s="158" t="s">
        <v>16</v>
      </c>
      <c r="C1717" s="158" t="s">
        <v>1658</v>
      </c>
      <c r="D1717" s="159">
        <v>44031.0</v>
      </c>
      <c r="E1717" s="157" t="s">
        <v>731</v>
      </c>
      <c r="F1717" s="160">
        <v>11316.0</v>
      </c>
      <c r="G1717" s="160">
        <v>1810.56</v>
      </c>
      <c r="H1717" s="160">
        <f t="shared" si="48"/>
        <v>13126.56</v>
      </c>
      <c r="I1717" s="160"/>
      <c r="J1717" s="161"/>
      <c r="K1717" s="160"/>
      <c r="L1717" s="160">
        <f>+'FACP$'!$H1717-'FACP$'!$I1717-'FACP$'!$K1717</f>
        <v>13126.56</v>
      </c>
      <c r="M1717" s="162" t="s">
        <v>985</v>
      </c>
      <c r="N1717" s="162" t="s">
        <v>1785</v>
      </c>
      <c r="O1717" s="175">
        <v>44070.0</v>
      </c>
      <c r="P1717" s="164">
        <f t="shared" si="13"/>
        <v>44041</v>
      </c>
      <c r="Q1717" s="165" t="b">
        <f t="shared" si="2"/>
        <v>0</v>
      </c>
      <c r="R1717" s="167"/>
      <c r="S1717" s="167"/>
      <c r="T1717" s="168">
        <f t="shared" si="3"/>
        <v>0</v>
      </c>
      <c r="U1717" s="168">
        <f t="shared" si="4"/>
        <v>0</v>
      </c>
      <c r="V1717" s="168">
        <f t="shared" si="5"/>
        <v>0</v>
      </c>
      <c r="W1717" s="168">
        <f t="shared" si="6"/>
        <v>0</v>
      </c>
      <c r="X1717" s="168">
        <f t="shared" si="7"/>
        <v>0</v>
      </c>
      <c r="Y1717" s="168">
        <f t="shared" si="8"/>
        <v>0</v>
      </c>
      <c r="Z1717" s="168">
        <f t="shared" si="9"/>
        <v>13126.56</v>
      </c>
    </row>
    <row r="1718" ht="14.25" customHeight="1">
      <c r="A1718" s="157" t="s">
        <v>1833</v>
      </c>
      <c r="B1718" s="158" t="s">
        <v>29</v>
      </c>
      <c r="C1718" s="158" t="s">
        <v>1658</v>
      </c>
      <c r="D1718" s="159">
        <v>44031.0</v>
      </c>
      <c r="E1718" s="157" t="s">
        <v>731</v>
      </c>
      <c r="F1718" s="160">
        <v>19188.0</v>
      </c>
      <c r="G1718" s="160">
        <v>3070.08</v>
      </c>
      <c r="H1718" s="160">
        <f t="shared" si="48"/>
        <v>22258.08</v>
      </c>
      <c r="I1718" s="160"/>
      <c r="J1718" s="161"/>
      <c r="K1718" s="160"/>
      <c r="L1718" s="160">
        <f>+'FACP$'!$H1718-'FACP$'!$I1718-'FACP$'!$K1718</f>
        <v>22258.08</v>
      </c>
      <c r="M1718" s="162" t="s">
        <v>130</v>
      </c>
      <c r="N1718" s="162" t="s">
        <v>554</v>
      </c>
      <c r="O1718" s="175">
        <v>44075.0</v>
      </c>
      <c r="P1718" s="164">
        <f t="shared" si="13"/>
        <v>44041</v>
      </c>
      <c r="Q1718" s="165">
        <f t="shared" si="2"/>
        <v>0</v>
      </c>
      <c r="R1718" s="167"/>
      <c r="S1718" s="167"/>
      <c r="T1718" s="168">
        <f t="shared" si="3"/>
        <v>22258.08</v>
      </c>
      <c r="U1718" s="168">
        <f t="shared" si="4"/>
        <v>0</v>
      </c>
      <c r="V1718" s="168">
        <f t="shared" si="5"/>
        <v>0</v>
      </c>
      <c r="W1718" s="168">
        <f t="shared" si="6"/>
        <v>0</v>
      </c>
      <c r="X1718" s="168">
        <f t="shared" si="7"/>
        <v>0</v>
      </c>
      <c r="Y1718" s="168">
        <f t="shared" si="8"/>
        <v>0</v>
      </c>
      <c r="Z1718" s="168">
        <f t="shared" si="9"/>
        <v>0</v>
      </c>
    </row>
    <row r="1719" ht="14.25" customHeight="1">
      <c r="A1719" s="157" t="s">
        <v>1834</v>
      </c>
      <c r="B1719" s="158" t="s">
        <v>37</v>
      </c>
      <c r="C1719" s="158" t="s">
        <v>1658</v>
      </c>
      <c r="D1719" s="159">
        <v>44032.0</v>
      </c>
      <c r="E1719" s="157" t="s">
        <v>731</v>
      </c>
      <c r="F1719" s="160">
        <v>38376.0</v>
      </c>
      <c r="G1719" s="160">
        <v>6140.16</v>
      </c>
      <c r="H1719" s="160">
        <f t="shared" si="48"/>
        <v>44516.16</v>
      </c>
      <c r="I1719" s="160"/>
      <c r="J1719" s="161"/>
      <c r="K1719" s="160"/>
      <c r="L1719" s="160">
        <f>+'FACP$'!$H1719-'FACP$'!$I1719-'FACP$'!$K1719</f>
        <v>44516.16</v>
      </c>
      <c r="M1719" s="162" t="s">
        <v>116</v>
      </c>
      <c r="N1719" s="162" t="s">
        <v>554</v>
      </c>
      <c r="O1719" s="175">
        <v>44123.0</v>
      </c>
      <c r="P1719" s="164">
        <f t="shared" si="13"/>
        <v>44042</v>
      </c>
      <c r="Q1719" s="165">
        <f t="shared" si="2"/>
        <v>0</v>
      </c>
      <c r="R1719" s="167"/>
      <c r="S1719" s="167" t="s">
        <v>910</v>
      </c>
      <c r="T1719" s="168">
        <f t="shared" si="3"/>
        <v>44516.16</v>
      </c>
      <c r="U1719" s="168">
        <f t="shared" si="4"/>
        <v>0</v>
      </c>
      <c r="V1719" s="168">
        <f t="shared" si="5"/>
        <v>0</v>
      </c>
      <c r="W1719" s="168">
        <f t="shared" si="6"/>
        <v>0</v>
      </c>
      <c r="X1719" s="168">
        <f t="shared" si="7"/>
        <v>0</v>
      </c>
      <c r="Y1719" s="168">
        <f t="shared" si="8"/>
        <v>0</v>
      </c>
      <c r="Z1719" s="168">
        <f t="shared" si="9"/>
        <v>0</v>
      </c>
    </row>
    <row r="1720" ht="14.25" customHeight="1">
      <c r="A1720" s="157" t="s">
        <v>1835</v>
      </c>
      <c r="B1720" s="158" t="s">
        <v>37</v>
      </c>
      <c r="C1720" s="158" t="s">
        <v>1658</v>
      </c>
      <c r="D1720" s="159">
        <v>44032.0</v>
      </c>
      <c r="E1720" s="157" t="s">
        <v>731</v>
      </c>
      <c r="F1720" s="160">
        <v>38376.0</v>
      </c>
      <c r="G1720" s="160">
        <v>6140.16</v>
      </c>
      <c r="H1720" s="160">
        <f t="shared" si="48"/>
        <v>44516.16</v>
      </c>
      <c r="I1720" s="160"/>
      <c r="J1720" s="161"/>
      <c r="K1720" s="160"/>
      <c r="L1720" s="160">
        <f>+'FACP$'!$H1720-'FACP$'!$I1720-'FACP$'!$K1720</f>
        <v>44516.16</v>
      </c>
      <c r="M1720" s="162" t="s">
        <v>116</v>
      </c>
      <c r="N1720" s="162" t="s">
        <v>554</v>
      </c>
      <c r="O1720" s="175">
        <v>44123.0</v>
      </c>
      <c r="P1720" s="164">
        <f t="shared" si="13"/>
        <v>44042</v>
      </c>
      <c r="Q1720" s="165">
        <f t="shared" si="2"/>
        <v>0</v>
      </c>
      <c r="R1720" s="167"/>
      <c r="S1720" s="167" t="s">
        <v>910</v>
      </c>
      <c r="T1720" s="168">
        <f t="shared" si="3"/>
        <v>44516.16</v>
      </c>
      <c r="U1720" s="168">
        <f t="shared" si="4"/>
        <v>0</v>
      </c>
      <c r="V1720" s="168">
        <f t="shared" si="5"/>
        <v>0</v>
      </c>
      <c r="W1720" s="168">
        <f t="shared" si="6"/>
        <v>0</v>
      </c>
      <c r="X1720" s="168">
        <f t="shared" si="7"/>
        <v>0</v>
      </c>
      <c r="Y1720" s="168">
        <f t="shared" si="8"/>
        <v>0</v>
      </c>
      <c r="Z1720" s="168">
        <f t="shared" si="9"/>
        <v>0</v>
      </c>
    </row>
    <row r="1721" ht="14.25" customHeight="1">
      <c r="A1721" s="157" t="s">
        <v>1836</v>
      </c>
      <c r="B1721" s="158" t="s">
        <v>16</v>
      </c>
      <c r="C1721" s="158" t="s">
        <v>1658</v>
      </c>
      <c r="D1721" s="159">
        <v>44032.0</v>
      </c>
      <c r="E1721" s="157" t="s">
        <v>731</v>
      </c>
      <c r="F1721" s="160">
        <v>11316.0</v>
      </c>
      <c r="G1721" s="160">
        <v>1810.56</v>
      </c>
      <c r="H1721" s="160">
        <f t="shared" si="48"/>
        <v>13126.56</v>
      </c>
      <c r="I1721" s="160"/>
      <c r="J1721" s="161"/>
      <c r="K1721" s="160"/>
      <c r="L1721" s="160">
        <f>+'FACP$'!$H1721-'FACP$'!$I1721-'FACP$'!$K1721</f>
        <v>13126.56</v>
      </c>
      <c r="M1721" s="162" t="s">
        <v>985</v>
      </c>
      <c r="N1721" s="162" t="s">
        <v>1785</v>
      </c>
      <c r="O1721" s="175">
        <v>44070.0</v>
      </c>
      <c r="P1721" s="164">
        <f t="shared" si="13"/>
        <v>44042</v>
      </c>
      <c r="Q1721" s="165" t="b">
        <f t="shared" si="2"/>
        <v>0</v>
      </c>
      <c r="R1721" s="167"/>
      <c r="S1721" s="167"/>
      <c r="T1721" s="168">
        <f t="shared" si="3"/>
        <v>0</v>
      </c>
      <c r="U1721" s="168">
        <f t="shared" si="4"/>
        <v>0</v>
      </c>
      <c r="V1721" s="168">
        <f t="shared" si="5"/>
        <v>0</v>
      </c>
      <c r="W1721" s="168">
        <f t="shared" si="6"/>
        <v>0</v>
      </c>
      <c r="X1721" s="168">
        <f t="shared" si="7"/>
        <v>0</v>
      </c>
      <c r="Y1721" s="168">
        <f t="shared" si="8"/>
        <v>0</v>
      </c>
      <c r="Z1721" s="168">
        <f t="shared" si="9"/>
        <v>13126.56</v>
      </c>
    </row>
    <row r="1722" ht="14.25" customHeight="1">
      <c r="A1722" s="157" t="s">
        <v>1837</v>
      </c>
      <c r="B1722" s="158" t="s">
        <v>16</v>
      </c>
      <c r="C1722" s="158" t="s">
        <v>1658</v>
      </c>
      <c r="D1722" s="159">
        <v>44032.0</v>
      </c>
      <c r="E1722" s="157" t="s">
        <v>731</v>
      </c>
      <c r="F1722" s="160">
        <v>11316.0</v>
      </c>
      <c r="G1722" s="160">
        <v>1810.56</v>
      </c>
      <c r="H1722" s="160">
        <f t="shared" si="48"/>
        <v>13126.56</v>
      </c>
      <c r="I1722" s="160"/>
      <c r="J1722" s="161"/>
      <c r="K1722" s="160"/>
      <c r="L1722" s="160">
        <f>+'FACP$'!$H1722-'FACP$'!$I1722-'FACP$'!$K1722</f>
        <v>13126.56</v>
      </c>
      <c r="M1722" s="162" t="s">
        <v>985</v>
      </c>
      <c r="N1722" s="162" t="s">
        <v>1785</v>
      </c>
      <c r="O1722" s="175">
        <v>44070.0</v>
      </c>
      <c r="P1722" s="164">
        <f t="shared" si="13"/>
        <v>44042</v>
      </c>
      <c r="Q1722" s="165" t="b">
        <f t="shared" si="2"/>
        <v>0</v>
      </c>
      <c r="R1722" s="167"/>
      <c r="S1722" s="167"/>
      <c r="T1722" s="168">
        <f t="shared" si="3"/>
        <v>0</v>
      </c>
      <c r="U1722" s="168">
        <f t="shared" si="4"/>
        <v>0</v>
      </c>
      <c r="V1722" s="168">
        <f t="shared" si="5"/>
        <v>0</v>
      </c>
      <c r="W1722" s="168">
        <f t="shared" si="6"/>
        <v>0</v>
      </c>
      <c r="X1722" s="168">
        <f t="shared" si="7"/>
        <v>0</v>
      </c>
      <c r="Y1722" s="168">
        <f t="shared" si="8"/>
        <v>0</v>
      </c>
      <c r="Z1722" s="168">
        <f t="shared" si="9"/>
        <v>13126.56</v>
      </c>
    </row>
    <row r="1723" ht="14.25" customHeight="1">
      <c r="A1723" s="157" t="s">
        <v>1838</v>
      </c>
      <c r="B1723" s="158" t="s">
        <v>37</v>
      </c>
      <c r="C1723" s="158" t="s">
        <v>1839</v>
      </c>
      <c r="D1723" s="159">
        <v>44032.0</v>
      </c>
      <c r="E1723" s="157" t="s">
        <v>731</v>
      </c>
      <c r="F1723" s="160">
        <v>235061.06</v>
      </c>
      <c r="G1723" s="160">
        <v>37609.77</v>
      </c>
      <c r="H1723" s="160">
        <f t="shared" si="48"/>
        <v>272670.83</v>
      </c>
      <c r="I1723" s="160"/>
      <c r="J1723" s="161"/>
      <c r="K1723" s="160"/>
      <c r="L1723" s="160">
        <f>+'FACP$'!$H1723-'FACP$'!$I1723-'FACP$'!$K1723</f>
        <v>272670.83</v>
      </c>
      <c r="M1723" s="162" t="s">
        <v>116</v>
      </c>
      <c r="N1723" s="162" t="s">
        <v>554</v>
      </c>
      <c r="O1723" s="175">
        <v>44067.0</v>
      </c>
      <c r="P1723" s="164">
        <f t="shared" si="13"/>
        <v>44042</v>
      </c>
      <c r="Q1723" s="165">
        <f t="shared" si="2"/>
        <v>0</v>
      </c>
      <c r="R1723" s="167"/>
      <c r="S1723" s="167" t="s">
        <v>910</v>
      </c>
      <c r="T1723" s="168">
        <f t="shared" si="3"/>
        <v>272670.83</v>
      </c>
      <c r="U1723" s="168">
        <f t="shared" si="4"/>
        <v>0</v>
      </c>
      <c r="V1723" s="168">
        <f t="shared" si="5"/>
        <v>0</v>
      </c>
      <c r="W1723" s="168">
        <f t="shared" si="6"/>
        <v>0</v>
      </c>
      <c r="X1723" s="168">
        <f t="shared" si="7"/>
        <v>0</v>
      </c>
      <c r="Y1723" s="168">
        <f t="shared" si="8"/>
        <v>0</v>
      </c>
      <c r="Z1723" s="168">
        <f t="shared" si="9"/>
        <v>0</v>
      </c>
    </row>
    <row r="1724" ht="14.25" customHeight="1">
      <c r="A1724" s="157" t="s">
        <v>1840</v>
      </c>
      <c r="B1724" s="158" t="s">
        <v>37</v>
      </c>
      <c r="C1724" s="158" t="s">
        <v>1658</v>
      </c>
      <c r="D1724" s="159">
        <v>44032.0</v>
      </c>
      <c r="E1724" s="157" t="s">
        <v>731</v>
      </c>
      <c r="F1724" s="160">
        <v>38376.0</v>
      </c>
      <c r="G1724" s="160">
        <v>6140.16</v>
      </c>
      <c r="H1724" s="160">
        <f t="shared" si="48"/>
        <v>44516.16</v>
      </c>
      <c r="I1724" s="160"/>
      <c r="J1724" s="161"/>
      <c r="K1724" s="160"/>
      <c r="L1724" s="160">
        <f>+'FACP$'!$H1724-'FACP$'!$I1724-'FACP$'!$K1724</f>
        <v>44516.16</v>
      </c>
      <c r="M1724" s="162" t="s">
        <v>116</v>
      </c>
      <c r="N1724" s="162" t="s">
        <v>554</v>
      </c>
      <c r="O1724" s="175">
        <v>44123.0</v>
      </c>
      <c r="P1724" s="164">
        <f t="shared" si="13"/>
        <v>44042</v>
      </c>
      <c r="Q1724" s="165">
        <f t="shared" si="2"/>
        <v>0</v>
      </c>
      <c r="R1724" s="167"/>
      <c r="S1724" s="167" t="s">
        <v>910</v>
      </c>
      <c r="T1724" s="168">
        <f t="shared" si="3"/>
        <v>44516.16</v>
      </c>
      <c r="U1724" s="168">
        <f t="shared" si="4"/>
        <v>0</v>
      </c>
      <c r="V1724" s="168">
        <f t="shared" si="5"/>
        <v>0</v>
      </c>
      <c r="W1724" s="168">
        <f t="shared" si="6"/>
        <v>0</v>
      </c>
      <c r="X1724" s="168">
        <f t="shared" si="7"/>
        <v>0</v>
      </c>
      <c r="Y1724" s="168">
        <f t="shared" si="8"/>
        <v>0</v>
      </c>
      <c r="Z1724" s="168">
        <f t="shared" si="9"/>
        <v>0</v>
      </c>
    </row>
    <row r="1725" ht="14.25" customHeight="1">
      <c r="A1725" s="157" t="s">
        <v>1841</v>
      </c>
      <c r="B1725" s="158" t="s">
        <v>37</v>
      </c>
      <c r="C1725" s="158" t="s">
        <v>1658</v>
      </c>
      <c r="D1725" s="159">
        <v>44032.0</v>
      </c>
      <c r="E1725" s="157" t="s">
        <v>731</v>
      </c>
      <c r="F1725" s="160">
        <v>38376.0</v>
      </c>
      <c r="G1725" s="160">
        <v>6140.16</v>
      </c>
      <c r="H1725" s="160">
        <f t="shared" si="48"/>
        <v>44516.16</v>
      </c>
      <c r="I1725" s="160"/>
      <c r="J1725" s="161"/>
      <c r="K1725" s="160"/>
      <c r="L1725" s="160">
        <f>+'FACP$'!$H1725-'FACP$'!$I1725-'FACP$'!$K1725</f>
        <v>44516.16</v>
      </c>
      <c r="M1725" s="162" t="s">
        <v>116</v>
      </c>
      <c r="N1725" s="162" t="s">
        <v>554</v>
      </c>
      <c r="O1725" s="175">
        <v>44123.0</v>
      </c>
      <c r="P1725" s="164">
        <f t="shared" si="13"/>
        <v>44042</v>
      </c>
      <c r="Q1725" s="165">
        <f t="shared" si="2"/>
        <v>0</v>
      </c>
      <c r="R1725" s="167"/>
      <c r="S1725" s="167" t="s">
        <v>910</v>
      </c>
      <c r="T1725" s="168">
        <f t="shared" si="3"/>
        <v>44516.16</v>
      </c>
      <c r="U1725" s="168">
        <f t="shared" si="4"/>
        <v>0</v>
      </c>
      <c r="V1725" s="168">
        <f t="shared" si="5"/>
        <v>0</v>
      </c>
      <c r="W1725" s="168">
        <f t="shared" si="6"/>
        <v>0</v>
      </c>
      <c r="X1725" s="168">
        <f t="shared" si="7"/>
        <v>0</v>
      </c>
      <c r="Y1725" s="168">
        <f t="shared" si="8"/>
        <v>0</v>
      </c>
      <c r="Z1725" s="168">
        <f t="shared" si="9"/>
        <v>0</v>
      </c>
    </row>
    <row r="1726" ht="14.25" customHeight="1">
      <c r="A1726" s="157" t="s">
        <v>1842</v>
      </c>
      <c r="B1726" s="158" t="s">
        <v>16</v>
      </c>
      <c r="C1726" s="158" t="s">
        <v>1658</v>
      </c>
      <c r="D1726" s="159">
        <v>44032.0</v>
      </c>
      <c r="E1726" s="157" t="s">
        <v>731</v>
      </c>
      <c r="F1726" s="160">
        <v>11316.0</v>
      </c>
      <c r="G1726" s="160">
        <v>1810.56</v>
      </c>
      <c r="H1726" s="160">
        <f t="shared" si="48"/>
        <v>13126.56</v>
      </c>
      <c r="I1726" s="160"/>
      <c r="J1726" s="161"/>
      <c r="K1726" s="160"/>
      <c r="L1726" s="160">
        <f>+'FACP$'!$H1726-'FACP$'!$I1726-'FACP$'!$K1726</f>
        <v>13126.56</v>
      </c>
      <c r="M1726" s="162" t="s">
        <v>985</v>
      </c>
      <c r="N1726" s="162" t="s">
        <v>1785</v>
      </c>
      <c r="O1726" s="175">
        <v>44070.0</v>
      </c>
      <c r="P1726" s="164">
        <f t="shared" si="13"/>
        <v>44042</v>
      </c>
      <c r="Q1726" s="165" t="b">
        <f t="shared" si="2"/>
        <v>0</v>
      </c>
      <c r="R1726" s="167"/>
      <c r="S1726" s="167"/>
      <c r="T1726" s="168">
        <f t="shared" si="3"/>
        <v>0</v>
      </c>
      <c r="U1726" s="168">
        <f t="shared" si="4"/>
        <v>0</v>
      </c>
      <c r="V1726" s="168">
        <f t="shared" si="5"/>
        <v>0</v>
      </c>
      <c r="W1726" s="168">
        <f t="shared" si="6"/>
        <v>0</v>
      </c>
      <c r="X1726" s="168">
        <f t="shared" si="7"/>
        <v>0</v>
      </c>
      <c r="Y1726" s="168">
        <f t="shared" si="8"/>
        <v>0</v>
      </c>
      <c r="Z1726" s="168">
        <f t="shared" si="9"/>
        <v>13126.56</v>
      </c>
    </row>
    <row r="1727" ht="14.25" customHeight="1">
      <c r="A1727" s="157" t="s">
        <v>1843</v>
      </c>
      <c r="B1727" s="158" t="s">
        <v>29</v>
      </c>
      <c r="C1727" s="158" t="s">
        <v>1658</v>
      </c>
      <c r="D1727" s="159">
        <v>44033.0</v>
      </c>
      <c r="E1727" s="157" t="s">
        <v>731</v>
      </c>
      <c r="F1727" s="160">
        <v>19188.0</v>
      </c>
      <c r="G1727" s="160">
        <v>3070.08</v>
      </c>
      <c r="H1727" s="160">
        <f t="shared" si="48"/>
        <v>22258.08</v>
      </c>
      <c r="I1727" s="160"/>
      <c r="J1727" s="161"/>
      <c r="K1727" s="160"/>
      <c r="L1727" s="160">
        <f>+'FACP$'!$H1727-'FACP$'!$I1727-'FACP$'!$K1727</f>
        <v>22258.08</v>
      </c>
      <c r="M1727" s="162" t="s">
        <v>130</v>
      </c>
      <c r="N1727" s="162" t="s">
        <v>554</v>
      </c>
      <c r="O1727" s="175">
        <v>44075.0</v>
      </c>
      <c r="P1727" s="164">
        <f t="shared" si="13"/>
        <v>44043</v>
      </c>
      <c r="Q1727" s="165">
        <f t="shared" si="2"/>
        <v>0</v>
      </c>
      <c r="R1727" s="167"/>
      <c r="S1727" s="167"/>
      <c r="T1727" s="168">
        <f t="shared" si="3"/>
        <v>22258.08</v>
      </c>
      <c r="U1727" s="168">
        <f t="shared" si="4"/>
        <v>0</v>
      </c>
      <c r="V1727" s="168">
        <f t="shared" si="5"/>
        <v>0</v>
      </c>
      <c r="W1727" s="168">
        <f t="shared" si="6"/>
        <v>0</v>
      </c>
      <c r="X1727" s="168">
        <f t="shared" si="7"/>
        <v>0</v>
      </c>
      <c r="Y1727" s="168">
        <f t="shared" si="8"/>
        <v>0</v>
      </c>
      <c r="Z1727" s="168">
        <f t="shared" si="9"/>
        <v>0</v>
      </c>
    </row>
    <row r="1728" ht="14.25" customHeight="1">
      <c r="A1728" s="157" t="s">
        <v>1844</v>
      </c>
      <c r="B1728" s="158" t="s">
        <v>37</v>
      </c>
      <c r="C1728" s="158" t="s">
        <v>1658</v>
      </c>
      <c r="D1728" s="159">
        <v>44033.0</v>
      </c>
      <c r="E1728" s="157" t="s">
        <v>731</v>
      </c>
      <c r="F1728" s="160">
        <v>38376.0</v>
      </c>
      <c r="G1728" s="160">
        <v>6140.16</v>
      </c>
      <c r="H1728" s="160">
        <f t="shared" si="48"/>
        <v>44516.16</v>
      </c>
      <c r="I1728" s="160"/>
      <c r="J1728" s="161"/>
      <c r="K1728" s="160"/>
      <c r="L1728" s="160">
        <f>+'FACP$'!$H1728-'FACP$'!$I1728-'FACP$'!$K1728</f>
        <v>44516.16</v>
      </c>
      <c r="M1728" s="162" t="s">
        <v>116</v>
      </c>
      <c r="N1728" s="162" t="s">
        <v>554</v>
      </c>
      <c r="O1728" s="175">
        <v>44123.0</v>
      </c>
      <c r="P1728" s="164">
        <f t="shared" si="13"/>
        <v>44043</v>
      </c>
      <c r="Q1728" s="165">
        <f t="shared" si="2"/>
        <v>0</v>
      </c>
      <c r="R1728" s="167"/>
      <c r="S1728" s="167" t="s">
        <v>910</v>
      </c>
      <c r="T1728" s="168">
        <f t="shared" si="3"/>
        <v>44516.16</v>
      </c>
      <c r="U1728" s="168">
        <f t="shared" si="4"/>
        <v>0</v>
      </c>
      <c r="V1728" s="168">
        <f t="shared" si="5"/>
        <v>0</v>
      </c>
      <c r="W1728" s="168">
        <f t="shared" si="6"/>
        <v>0</v>
      </c>
      <c r="X1728" s="168">
        <f t="shared" si="7"/>
        <v>0</v>
      </c>
      <c r="Y1728" s="168">
        <f t="shared" si="8"/>
        <v>0</v>
      </c>
      <c r="Z1728" s="168">
        <f t="shared" si="9"/>
        <v>0</v>
      </c>
    </row>
    <row r="1729" ht="14.25" customHeight="1">
      <c r="A1729" s="157" t="s">
        <v>1845</v>
      </c>
      <c r="B1729" s="158" t="s">
        <v>37</v>
      </c>
      <c r="C1729" s="158" t="s">
        <v>1658</v>
      </c>
      <c r="D1729" s="159">
        <v>44033.0</v>
      </c>
      <c r="E1729" s="157" t="s">
        <v>731</v>
      </c>
      <c r="F1729" s="160">
        <v>38376.0</v>
      </c>
      <c r="G1729" s="160">
        <v>6140.16</v>
      </c>
      <c r="H1729" s="160">
        <f t="shared" si="48"/>
        <v>44516.16</v>
      </c>
      <c r="I1729" s="160"/>
      <c r="J1729" s="161"/>
      <c r="K1729" s="160"/>
      <c r="L1729" s="160">
        <f>+'FACP$'!$H1729-'FACP$'!$I1729-'FACP$'!$K1729</f>
        <v>44516.16</v>
      </c>
      <c r="M1729" s="162" t="s">
        <v>116</v>
      </c>
      <c r="N1729" s="162" t="s">
        <v>554</v>
      </c>
      <c r="O1729" s="175">
        <v>44123.0</v>
      </c>
      <c r="P1729" s="164">
        <f t="shared" si="13"/>
        <v>44043</v>
      </c>
      <c r="Q1729" s="165">
        <f t="shared" si="2"/>
        <v>0</v>
      </c>
      <c r="R1729" s="167"/>
      <c r="S1729" s="167" t="s">
        <v>910</v>
      </c>
      <c r="T1729" s="168">
        <f t="shared" si="3"/>
        <v>44516.16</v>
      </c>
      <c r="U1729" s="168">
        <f t="shared" si="4"/>
        <v>0</v>
      </c>
      <c r="V1729" s="168">
        <f t="shared" si="5"/>
        <v>0</v>
      </c>
      <c r="W1729" s="168">
        <f t="shared" si="6"/>
        <v>0</v>
      </c>
      <c r="X1729" s="168">
        <f t="shared" si="7"/>
        <v>0</v>
      </c>
      <c r="Y1729" s="168">
        <f t="shared" si="8"/>
        <v>0</v>
      </c>
      <c r="Z1729" s="168">
        <f t="shared" si="9"/>
        <v>0</v>
      </c>
    </row>
    <row r="1730" ht="14.25" customHeight="1">
      <c r="A1730" s="157" t="s">
        <v>1846</v>
      </c>
      <c r="B1730" s="158" t="s">
        <v>37</v>
      </c>
      <c r="C1730" s="158" t="s">
        <v>1658</v>
      </c>
      <c r="D1730" s="159">
        <v>44033.0</v>
      </c>
      <c r="E1730" s="157" t="s">
        <v>731</v>
      </c>
      <c r="F1730" s="160">
        <v>38376.0</v>
      </c>
      <c r="G1730" s="160">
        <v>6140.16</v>
      </c>
      <c r="H1730" s="160">
        <f t="shared" si="48"/>
        <v>44516.16</v>
      </c>
      <c r="I1730" s="160"/>
      <c r="J1730" s="161"/>
      <c r="K1730" s="160"/>
      <c r="L1730" s="160">
        <f>+'FACP$'!$H1730-'FACP$'!$I1730-'FACP$'!$K1730</f>
        <v>44516.16</v>
      </c>
      <c r="M1730" s="162" t="s">
        <v>116</v>
      </c>
      <c r="N1730" s="162" t="s">
        <v>554</v>
      </c>
      <c r="O1730" s="175">
        <v>44123.0</v>
      </c>
      <c r="P1730" s="164">
        <f t="shared" si="13"/>
        <v>44043</v>
      </c>
      <c r="Q1730" s="165">
        <f t="shared" si="2"/>
        <v>0</v>
      </c>
      <c r="R1730" s="167"/>
      <c r="S1730" s="167" t="s">
        <v>910</v>
      </c>
      <c r="T1730" s="168">
        <f t="shared" si="3"/>
        <v>44516.16</v>
      </c>
      <c r="U1730" s="168">
        <f t="shared" si="4"/>
        <v>0</v>
      </c>
      <c r="V1730" s="168">
        <f t="shared" si="5"/>
        <v>0</v>
      </c>
      <c r="W1730" s="168">
        <f t="shared" si="6"/>
        <v>0</v>
      </c>
      <c r="X1730" s="168">
        <f t="shared" si="7"/>
        <v>0</v>
      </c>
      <c r="Y1730" s="168">
        <f t="shared" si="8"/>
        <v>0</v>
      </c>
      <c r="Z1730" s="168">
        <f t="shared" si="9"/>
        <v>0</v>
      </c>
    </row>
    <row r="1731" ht="14.25" customHeight="1">
      <c r="A1731" s="157" t="s">
        <v>1847</v>
      </c>
      <c r="B1731" s="158" t="s">
        <v>16</v>
      </c>
      <c r="C1731" s="158" t="s">
        <v>1658</v>
      </c>
      <c r="D1731" s="159">
        <v>44033.0</v>
      </c>
      <c r="E1731" s="157" t="s">
        <v>731</v>
      </c>
      <c r="F1731" s="160">
        <v>11316.0</v>
      </c>
      <c r="G1731" s="160">
        <v>1810.56</v>
      </c>
      <c r="H1731" s="160">
        <f t="shared" si="48"/>
        <v>13126.56</v>
      </c>
      <c r="I1731" s="160"/>
      <c r="J1731" s="161"/>
      <c r="K1731" s="160"/>
      <c r="L1731" s="160">
        <f>+'FACP$'!$H1731-'FACP$'!$I1731-'FACP$'!$K1731</f>
        <v>13126.56</v>
      </c>
      <c r="M1731" s="162" t="s">
        <v>985</v>
      </c>
      <c r="N1731" s="162" t="s">
        <v>1785</v>
      </c>
      <c r="O1731" s="175">
        <v>44070.0</v>
      </c>
      <c r="P1731" s="164">
        <f t="shared" si="13"/>
        <v>44043</v>
      </c>
      <c r="Q1731" s="165" t="b">
        <f t="shared" si="2"/>
        <v>0</v>
      </c>
      <c r="R1731" s="167"/>
      <c r="S1731" s="167"/>
      <c r="T1731" s="168">
        <f t="shared" si="3"/>
        <v>0</v>
      </c>
      <c r="U1731" s="168">
        <f t="shared" si="4"/>
        <v>0</v>
      </c>
      <c r="V1731" s="168">
        <f t="shared" si="5"/>
        <v>0</v>
      </c>
      <c r="W1731" s="168">
        <f t="shared" si="6"/>
        <v>0</v>
      </c>
      <c r="X1731" s="168">
        <f t="shared" si="7"/>
        <v>0</v>
      </c>
      <c r="Y1731" s="168">
        <f t="shared" si="8"/>
        <v>0</v>
      </c>
      <c r="Z1731" s="168">
        <f t="shared" si="9"/>
        <v>13126.56</v>
      </c>
    </row>
    <row r="1732" ht="14.25" customHeight="1">
      <c r="A1732" s="157" t="s">
        <v>1848</v>
      </c>
      <c r="B1732" s="158" t="s">
        <v>29</v>
      </c>
      <c r="C1732" s="158" t="s">
        <v>1849</v>
      </c>
      <c r="D1732" s="159">
        <v>44033.0</v>
      </c>
      <c r="E1732" s="157" t="s">
        <v>731</v>
      </c>
      <c r="F1732" s="160">
        <v>86283.76</v>
      </c>
      <c r="G1732" s="160">
        <v>13805.4</v>
      </c>
      <c r="H1732" s="160">
        <f t="shared" si="48"/>
        <v>100089.16</v>
      </c>
      <c r="I1732" s="160"/>
      <c r="J1732" s="161"/>
      <c r="K1732" s="160"/>
      <c r="L1732" s="160">
        <f>+'FACP$'!$H1732-'FACP$'!$I1732-'FACP$'!$K1732</f>
        <v>100089.16</v>
      </c>
      <c r="M1732" s="162" t="s">
        <v>130</v>
      </c>
      <c r="N1732" s="162" t="s">
        <v>554</v>
      </c>
      <c r="O1732" s="175">
        <v>44067.0</v>
      </c>
      <c r="P1732" s="164">
        <f t="shared" si="13"/>
        <v>44043</v>
      </c>
      <c r="Q1732" s="165">
        <f t="shared" si="2"/>
        <v>0</v>
      </c>
      <c r="R1732" s="167"/>
      <c r="S1732" s="167"/>
      <c r="T1732" s="168">
        <f t="shared" si="3"/>
        <v>100089.16</v>
      </c>
      <c r="U1732" s="168">
        <f t="shared" si="4"/>
        <v>0</v>
      </c>
      <c r="V1732" s="168">
        <f t="shared" si="5"/>
        <v>0</v>
      </c>
      <c r="W1732" s="168">
        <f t="shared" si="6"/>
        <v>0</v>
      </c>
      <c r="X1732" s="168">
        <f t="shared" si="7"/>
        <v>0</v>
      </c>
      <c r="Y1732" s="168">
        <f t="shared" si="8"/>
        <v>0</v>
      </c>
      <c r="Z1732" s="168">
        <f t="shared" si="9"/>
        <v>0</v>
      </c>
    </row>
    <row r="1733" ht="14.25" customHeight="1">
      <c r="A1733" s="157" t="s">
        <v>1850</v>
      </c>
      <c r="B1733" s="158" t="s">
        <v>29</v>
      </c>
      <c r="C1733" s="158" t="s">
        <v>1711</v>
      </c>
      <c r="D1733" s="159">
        <v>44033.0</v>
      </c>
      <c r="E1733" s="157" t="s">
        <v>731</v>
      </c>
      <c r="F1733" s="160">
        <v>342291.31</v>
      </c>
      <c r="G1733" s="160">
        <v>54766.61</v>
      </c>
      <c r="H1733" s="160">
        <f t="shared" si="48"/>
        <v>397057.92</v>
      </c>
      <c r="I1733" s="160"/>
      <c r="J1733" s="161"/>
      <c r="K1733" s="160"/>
      <c r="L1733" s="160">
        <f>+'FACP$'!$H1733-'FACP$'!$I1733-'FACP$'!$K1733</f>
        <v>397057.92</v>
      </c>
      <c r="M1733" s="162" t="s">
        <v>130</v>
      </c>
      <c r="N1733" s="162" t="s">
        <v>554</v>
      </c>
      <c r="O1733" s="175">
        <v>44053.0</v>
      </c>
      <c r="P1733" s="164">
        <f t="shared" si="13"/>
        <v>44043</v>
      </c>
      <c r="Q1733" s="165">
        <f t="shared" si="2"/>
        <v>0</v>
      </c>
      <c r="R1733" s="167"/>
      <c r="S1733" s="167"/>
      <c r="T1733" s="168">
        <f t="shared" si="3"/>
        <v>397057.92</v>
      </c>
      <c r="U1733" s="168">
        <f t="shared" si="4"/>
        <v>0</v>
      </c>
      <c r="V1733" s="168">
        <f t="shared" si="5"/>
        <v>0</v>
      </c>
      <c r="W1733" s="168">
        <f t="shared" si="6"/>
        <v>0</v>
      </c>
      <c r="X1733" s="168">
        <f t="shared" si="7"/>
        <v>0</v>
      </c>
      <c r="Y1733" s="168">
        <f t="shared" si="8"/>
        <v>0</v>
      </c>
      <c r="Z1733" s="168">
        <f t="shared" si="9"/>
        <v>0</v>
      </c>
    </row>
    <row r="1734" ht="14.25" customHeight="1">
      <c r="A1734" s="157" t="s">
        <v>1851</v>
      </c>
      <c r="B1734" s="158" t="s">
        <v>18</v>
      </c>
      <c r="C1734" s="158" t="s">
        <v>1839</v>
      </c>
      <c r="D1734" s="159">
        <v>44033.0</v>
      </c>
      <c r="E1734" s="157" t="s">
        <v>731</v>
      </c>
      <c r="F1734" s="160">
        <v>77107.95</v>
      </c>
      <c r="G1734" s="160">
        <v>12337.27</v>
      </c>
      <c r="H1734" s="160">
        <f t="shared" si="48"/>
        <v>89445.22</v>
      </c>
      <c r="I1734" s="160"/>
      <c r="J1734" s="161"/>
      <c r="K1734" s="160"/>
      <c r="L1734" s="160">
        <f>+'FACP$'!$H1734-'FACP$'!$I1734-'FACP$'!$K1734</f>
        <v>89445.22</v>
      </c>
      <c r="M1734" s="162" t="s">
        <v>586</v>
      </c>
      <c r="N1734" s="162" t="s">
        <v>554</v>
      </c>
      <c r="O1734" s="175">
        <v>44077.0</v>
      </c>
      <c r="P1734" s="164">
        <f t="shared" si="13"/>
        <v>44043</v>
      </c>
      <c r="Q1734" s="165">
        <f t="shared" si="2"/>
        <v>0</v>
      </c>
      <c r="R1734" s="167"/>
      <c r="S1734" s="167" t="s">
        <v>910</v>
      </c>
      <c r="T1734" s="168">
        <f t="shared" si="3"/>
        <v>89445.22</v>
      </c>
      <c r="U1734" s="168">
        <f t="shared" si="4"/>
        <v>0</v>
      </c>
      <c r="V1734" s="168">
        <f t="shared" si="5"/>
        <v>0</v>
      </c>
      <c r="W1734" s="168">
        <f t="shared" si="6"/>
        <v>0</v>
      </c>
      <c r="X1734" s="168">
        <f t="shared" si="7"/>
        <v>0</v>
      </c>
      <c r="Y1734" s="168">
        <f t="shared" si="8"/>
        <v>0</v>
      </c>
      <c r="Z1734" s="168">
        <f t="shared" si="9"/>
        <v>0</v>
      </c>
    </row>
    <row r="1735" ht="14.25" customHeight="1">
      <c r="A1735" s="157" t="s">
        <v>1852</v>
      </c>
      <c r="B1735" s="158" t="s">
        <v>37</v>
      </c>
      <c r="C1735" s="158" t="s">
        <v>1658</v>
      </c>
      <c r="D1735" s="159">
        <v>44033.0</v>
      </c>
      <c r="E1735" s="157" t="s">
        <v>731</v>
      </c>
      <c r="F1735" s="160">
        <v>38376.0</v>
      </c>
      <c r="G1735" s="160">
        <v>6140.16</v>
      </c>
      <c r="H1735" s="160">
        <f t="shared" si="48"/>
        <v>44516.16</v>
      </c>
      <c r="I1735" s="160"/>
      <c r="J1735" s="161"/>
      <c r="K1735" s="160"/>
      <c r="L1735" s="160">
        <f>+'FACP$'!$H1735-'FACP$'!$I1735-'FACP$'!$K1735</f>
        <v>44516.16</v>
      </c>
      <c r="M1735" s="162" t="s">
        <v>116</v>
      </c>
      <c r="N1735" s="162" t="s">
        <v>127</v>
      </c>
      <c r="O1735" s="175"/>
      <c r="P1735" s="164">
        <f t="shared" si="13"/>
        <v>44043</v>
      </c>
      <c r="Q1735" s="165">
        <f t="shared" si="2"/>
        <v>0</v>
      </c>
      <c r="R1735" s="167"/>
      <c r="S1735" s="167"/>
      <c r="T1735" s="168">
        <f t="shared" si="3"/>
        <v>44516.16</v>
      </c>
      <c r="U1735" s="168">
        <f t="shared" si="4"/>
        <v>0</v>
      </c>
      <c r="V1735" s="168">
        <f t="shared" si="5"/>
        <v>0</v>
      </c>
      <c r="W1735" s="168">
        <f t="shared" si="6"/>
        <v>0</v>
      </c>
      <c r="X1735" s="168">
        <f t="shared" si="7"/>
        <v>0</v>
      </c>
      <c r="Y1735" s="168">
        <f t="shared" si="8"/>
        <v>0</v>
      </c>
      <c r="Z1735" s="168">
        <f t="shared" si="9"/>
        <v>0</v>
      </c>
    </row>
    <row r="1736" ht="14.25" customHeight="1">
      <c r="A1736" s="157" t="s">
        <v>1853</v>
      </c>
      <c r="B1736" s="158" t="s">
        <v>16</v>
      </c>
      <c r="C1736" s="158" t="s">
        <v>1839</v>
      </c>
      <c r="D1736" s="159">
        <v>44033.0</v>
      </c>
      <c r="E1736" s="157" t="s">
        <v>731</v>
      </c>
      <c r="F1736" s="160">
        <v>14553.54</v>
      </c>
      <c r="G1736" s="160">
        <v>2328.57</v>
      </c>
      <c r="H1736" s="160">
        <f t="shared" si="48"/>
        <v>16882.11</v>
      </c>
      <c r="I1736" s="160"/>
      <c r="J1736" s="161"/>
      <c r="K1736" s="160"/>
      <c r="L1736" s="160">
        <f>+'FACP$'!$H1736-'FACP$'!$I1736-'FACP$'!$K1736</f>
        <v>16882.11</v>
      </c>
      <c r="M1736" s="162" t="s">
        <v>985</v>
      </c>
      <c r="N1736" s="162" t="s">
        <v>554</v>
      </c>
      <c r="O1736" s="175">
        <v>44056.0</v>
      </c>
      <c r="P1736" s="164">
        <f t="shared" si="13"/>
        <v>44043</v>
      </c>
      <c r="Q1736" s="165">
        <f t="shared" si="2"/>
        <v>0</v>
      </c>
      <c r="R1736" s="167"/>
      <c r="S1736" s="167"/>
      <c r="T1736" s="168">
        <f t="shared" si="3"/>
        <v>16882.11</v>
      </c>
      <c r="U1736" s="168">
        <f t="shared" si="4"/>
        <v>0</v>
      </c>
      <c r="V1736" s="168">
        <f t="shared" si="5"/>
        <v>0</v>
      </c>
      <c r="W1736" s="168">
        <f t="shared" si="6"/>
        <v>0</v>
      </c>
      <c r="X1736" s="168">
        <f t="shared" si="7"/>
        <v>0</v>
      </c>
      <c r="Y1736" s="168">
        <f t="shared" si="8"/>
        <v>0</v>
      </c>
      <c r="Z1736" s="168">
        <f t="shared" si="9"/>
        <v>0</v>
      </c>
    </row>
    <row r="1737" ht="14.25" customHeight="1">
      <c r="A1737" s="157" t="s">
        <v>1854</v>
      </c>
      <c r="B1737" s="158" t="s">
        <v>16</v>
      </c>
      <c r="C1737" s="158" t="s">
        <v>1711</v>
      </c>
      <c r="D1737" s="159">
        <v>44033.0</v>
      </c>
      <c r="E1737" s="157" t="s">
        <v>731</v>
      </c>
      <c r="F1737" s="160">
        <v>233904.04</v>
      </c>
      <c r="G1737" s="160">
        <v>37424.65</v>
      </c>
      <c r="H1737" s="160">
        <f t="shared" si="48"/>
        <v>271328.69</v>
      </c>
      <c r="I1737" s="160"/>
      <c r="J1737" s="161"/>
      <c r="K1737" s="160"/>
      <c r="L1737" s="160">
        <f>+'FACP$'!$H1737-'FACP$'!$I1737-'FACP$'!$K1737</f>
        <v>271328.69</v>
      </c>
      <c r="M1737" s="162" t="s">
        <v>985</v>
      </c>
      <c r="N1737" s="162" t="s">
        <v>554</v>
      </c>
      <c r="O1737" s="175">
        <v>44056.0</v>
      </c>
      <c r="P1737" s="164">
        <f t="shared" si="13"/>
        <v>44043</v>
      </c>
      <c r="Q1737" s="165">
        <f t="shared" si="2"/>
        <v>0</v>
      </c>
      <c r="R1737" s="167"/>
      <c r="S1737" s="167"/>
      <c r="T1737" s="168">
        <f t="shared" si="3"/>
        <v>271328.69</v>
      </c>
      <c r="U1737" s="168">
        <f t="shared" si="4"/>
        <v>0</v>
      </c>
      <c r="V1737" s="168">
        <f t="shared" si="5"/>
        <v>0</v>
      </c>
      <c r="W1737" s="168">
        <f t="shared" si="6"/>
        <v>0</v>
      </c>
      <c r="X1737" s="168">
        <f t="shared" si="7"/>
        <v>0</v>
      </c>
      <c r="Y1737" s="168">
        <f t="shared" si="8"/>
        <v>0</v>
      </c>
      <c r="Z1737" s="168">
        <f t="shared" si="9"/>
        <v>0</v>
      </c>
    </row>
    <row r="1738" ht="14.25" customHeight="1">
      <c r="A1738" s="157" t="s">
        <v>1855</v>
      </c>
      <c r="B1738" s="158" t="s">
        <v>37</v>
      </c>
      <c r="C1738" s="158" t="s">
        <v>1658</v>
      </c>
      <c r="D1738" s="159">
        <v>44033.0</v>
      </c>
      <c r="E1738" s="157" t="s">
        <v>731</v>
      </c>
      <c r="F1738" s="160">
        <v>38376.0</v>
      </c>
      <c r="G1738" s="160">
        <v>6140.16</v>
      </c>
      <c r="H1738" s="160">
        <f t="shared" si="48"/>
        <v>44516.16</v>
      </c>
      <c r="I1738" s="160"/>
      <c r="J1738" s="161"/>
      <c r="K1738" s="160"/>
      <c r="L1738" s="160">
        <f>+'FACP$'!$H1738-'FACP$'!$I1738-'FACP$'!$K1738</f>
        <v>44516.16</v>
      </c>
      <c r="M1738" s="162" t="s">
        <v>116</v>
      </c>
      <c r="N1738" s="162" t="s">
        <v>554</v>
      </c>
      <c r="O1738" s="175">
        <v>44123.0</v>
      </c>
      <c r="P1738" s="164">
        <f t="shared" si="13"/>
        <v>44043</v>
      </c>
      <c r="Q1738" s="165">
        <f t="shared" si="2"/>
        <v>0</v>
      </c>
      <c r="R1738" s="167"/>
      <c r="S1738" s="167" t="s">
        <v>910</v>
      </c>
      <c r="T1738" s="168">
        <f t="shared" si="3"/>
        <v>44516.16</v>
      </c>
      <c r="U1738" s="168">
        <f t="shared" si="4"/>
        <v>0</v>
      </c>
      <c r="V1738" s="168">
        <f t="shared" si="5"/>
        <v>0</v>
      </c>
      <c r="W1738" s="168">
        <f t="shared" si="6"/>
        <v>0</v>
      </c>
      <c r="X1738" s="168">
        <f t="shared" si="7"/>
        <v>0</v>
      </c>
      <c r="Y1738" s="168">
        <f t="shared" si="8"/>
        <v>0</v>
      </c>
      <c r="Z1738" s="168">
        <f t="shared" si="9"/>
        <v>0</v>
      </c>
    </row>
    <row r="1739" ht="14.25" customHeight="1">
      <c r="A1739" s="157" t="s">
        <v>1856</v>
      </c>
      <c r="B1739" s="158" t="s">
        <v>37</v>
      </c>
      <c r="C1739" s="158" t="s">
        <v>1658</v>
      </c>
      <c r="D1739" s="159">
        <v>44033.0</v>
      </c>
      <c r="E1739" s="157" t="s">
        <v>731</v>
      </c>
      <c r="F1739" s="160">
        <v>38376.0</v>
      </c>
      <c r="G1739" s="160">
        <v>6140.16</v>
      </c>
      <c r="H1739" s="160">
        <f t="shared" si="48"/>
        <v>44516.16</v>
      </c>
      <c r="I1739" s="160"/>
      <c r="J1739" s="161"/>
      <c r="K1739" s="160"/>
      <c r="L1739" s="160">
        <f>+'FACP$'!$H1739-'FACP$'!$I1739-'FACP$'!$K1739</f>
        <v>44516.16</v>
      </c>
      <c r="M1739" s="162" t="s">
        <v>116</v>
      </c>
      <c r="N1739" s="162" t="s">
        <v>554</v>
      </c>
      <c r="O1739" s="175">
        <v>44123.0</v>
      </c>
      <c r="P1739" s="164">
        <f t="shared" si="13"/>
        <v>44043</v>
      </c>
      <c r="Q1739" s="165">
        <f t="shared" si="2"/>
        <v>0</v>
      </c>
      <c r="R1739" s="167"/>
      <c r="S1739" s="167" t="s">
        <v>910</v>
      </c>
      <c r="T1739" s="168">
        <f t="shared" si="3"/>
        <v>44516.16</v>
      </c>
      <c r="U1739" s="168">
        <f t="shared" si="4"/>
        <v>0</v>
      </c>
      <c r="V1739" s="168">
        <f t="shared" si="5"/>
        <v>0</v>
      </c>
      <c r="W1739" s="168">
        <f t="shared" si="6"/>
        <v>0</v>
      </c>
      <c r="X1739" s="168">
        <f t="shared" si="7"/>
        <v>0</v>
      </c>
      <c r="Y1739" s="168">
        <f t="shared" si="8"/>
        <v>0</v>
      </c>
      <c r="Z1739" s="168">
        <f t="shared" si="9"/>
        <v>0</v>
      </c>
    </row>
    <row r="1740" ht="14.25" customHeight="1">
      <c r="A1740" s="157" t="s">
        <v>1857</v>
      </c>
      <c r="B1740" s="158" t="s">
        <v>37</v>
      </c>
      <c r="C1740" s="158" t="s">
        <v>1658</v>
      </c>
      <c r="D1740" s="159">
        <v>44033.0</v>
      </c>
      <c r="E1740" s="157" t="s">
        <v>731</v>
      </c>
      <c r="F1740" s="160">
        <v>38376.0</v>
      </c>
      <c r="G1740" s="160">
        <v>6140.16</v>
      </c>
      <c r="H1740" s="160">
        <f t="shared" si="48"/>
        <v>44516.16</v>
      </c>
      <c r="I1740" s="160"/>
      <c r="J1740" s="161"/>
      <c r="K1740" s="160"/>
      <c r="L1740" s="160">
        <f>+'FACP$'!$H1740-'FACP$'!$I1740-'FACP$'!$K1740</f>
        <v>44516.16</v>
      </c>
      <c r="M1740" s="162" t="s">
        <v>116</v>
      </c>
      <c r="N1740" s="162" t="s">
        <v>554</v>
      </c>
      <c r="O1740" s="175">
        <v>44123.0</v>
      </c>
      <c r="P1740" s="164">
        <f t="shared" si="13"/>
        <v>44043</v>
      </c>
      <c r="Q1740" s="165">
        <f t="shared" si="2"/>
        <v>0</v>
      </c>
      <c r="R1740" s="167"/>
      <c r="S1740" s="167" t="s">
        <v>910</v>
      </c>
      <c r="T1740" s="168">
        <f t="shared" si="3"/>
        <v>44516.16</v>
      </c>
      <c r="U1740" s="168">
        <f t="shared" si="4"/>
        <v>0</v>
      </c>
      <c r="V1740" s="168">
        <f t="shared" si="5"/>
        <v>0</v>
      </c>
      <c r="W1740" s="168">
        <f t="shared" si="6"/>
        <v>0</v>
      </c>
      <c r="X1740" s="168">
        <f t="shared" si="7"/>
        <v>0</v>
      </c>
      <c r="Y1740" s="168">
        <f t="shared" si="8"/>
        <v>0</v>
      </c>
      <c r="Z1740" s="168">
        <f t="shared" si="9"/>
        <v>0</v>
      </c>
    </row>
    <row r="1741" ht="14.25" customHeight="1">
      <c r="A1741" s="157" t="s">
        <v>1858</v>
      </c>
      <c r="B1741" s="158" t="s">
        <v>16</v>
      </c>
      <c r="C1741" s="158" t="s">
        <v>1658</v>
      </c>
      <c r="D1741" s="159">
        <v>44033.0</v>
      </c>
      <c r="E1741" s="157" t="s">
        <v>731</v>
      </c>
      <c r="F1741" s="160">
        <v>11316.0</v>
      </c>
      <c r="G1741" s="160">
        <v>1810.56</v>
      </c>
      <c r="H1741" s="160">
        <f t="shared" si="48"/>
        <v>13126.56</v>
      </c>
      <c r="I1741" s="160"/>
      <c r="J1741" s="161"/>
      <c r="K1741" s="160"/>
      <c r="L1741" s="160">
        <f>+'FACP$'!$H1741-'FACP$'!$I1741-'FACP$'!$K1741</f>
        <v>13126.56</v>
      </c>
      <c r="M1741" s="162" t="s">
        <v>985</v>
      </c>
      <c r="N1741" s="162" t="s">
        <v>1785</v>
      </c>
      <c r="O1741" s="175">
        <v>44070.0</v>
      </c>
      <c r="P1741" s="164">
        <f t="shared" si="13"/>
        <v>44043</v>
      </c>
      <c r="Q1741" s="165" t="b">
        <f t="shared" si="2"/>
        <v>0</v>
      </c>
      <c r="R1741" s="167"/>
      <c r="S1741" s="167"/>
      <c r="T1741" s="168">
        <f t="shared" si="3"/>
        <v>0</v>
      </c>
      <c r="U1741" s="168">
        <f t="shared" si="4"/>
        <v>0</v>
      </c>
      <c r="V1741" s="168">
        <f t="shared" si="5"/>
        <v>0</v>
      </c>
      <c r="W1741" s="168">
        <f t="shared" si="6"/>
        <v>0</v>
      </c>
      <c r="X1741" s="168">
        <f t="shared" si="7"/>
        <v>0</v>
      </c>
      <c r="Y1741" s="168">
        <f t="shared" si="8"/>
        <v>0</v>
      </c>
      <c r="Z1741" s="168">
        <f t="shared" si="9"/>
        <v>13126.56</v>
      </c>
    </row>
    <row r="1742" ht="14.25" customHeight="1">
      <c r="A1742" s="157" t="s">
        <v>1859</v>
      </c>
      <c r="B1742" s="158" t="s">
        <v>37</v>
      </c>
      <c r="C1742" s="158" t="s">
        <v>1658</v>
      </c>
      <c r="D1742" s="159">
        <v>44033.0</v>
      </c>
      <c r="E1742" s="157" t="s">
        <v>731</v>
      </c>
      <c r="F1742" s="160">
        <v>38376.0</v>
      </c>
      <c r="G1742" s="160">
        <v>6140.16</v>
      </c>
      <c r="H1742" s="160">
        <f t="shared" si="48"/>
        <v>44516.16</v>
      </c>
      <c r="I1742" s="160"/>
      <c r="J1742" s="161"/>
      <c r="K1742" s="160"/>
      <c r="L1742" s="160">
        <f>+'FACP$'!$H1742-'FACP$'!$I1742-'FACP$'!$K1742</f>
        <v>44516.16</v>
      </c>
      <c r="M1742" s="162" t="s">
        <v>116</v>
      </c>
      <c r="N1742" s="162" t="s">
        <v>554</v>
      </c>
      <c r="O1742" s="175">
        <v>44123.0</v>
      </c>
      <c r="P1742" s="164">
        <f t="shared" si="13"/>
        <v>44043</v>
      </c>
      <c r="Q1742" s="165">
        <f t="shared" si="2"/>
        <v>0</v>
      </c>
      <c r="R1742" s="167"/>
      <c r="S1742" s="167" t="s">
        <v>910</v>
      </c>
      <c r="T1742" s="168">
        <f t="shared" si="3"/>
        <v>44516.16</v>
      </c>
      <c r="U1742" s="168">
        <f t="shared" si="4"/>
        <v>0</v>
      </c>
      <c r="V1742" s="168">
        <f t="shared" si="5"/>
        <v>0</v>
      </c>
      <c r="W1742" s="168">
        <f t="shared" si="6"/>
        <v>0</v>
      </c>
      <c r="X1742" s="168">
        <f t="shared" si="7"/>
        <v>0</v>
      </c>
      <c r="Y1742" s="168">
        <f t="shared" si="8"/>
        <v>0</v>
      </c>
      <c r="Z1742" s="168">
        <f t="shared" si="9"/>
        <v>0</v>
      </c>
    </row>
    <row r="1743" ht="14.25" customHeight="1">
      <c r="A1743" s="157" t="s">
        <v>1860</v>
      </c>
      <c r="B1743" s="158" t="s">
        <v>37</v>
      </c>
      <c r="C1743" s="158" t="s">
        <v>1658</v>
      </c>
      <c r="D1743" s="159">
        <v>44033.0</v>
      </c>
      <c r="E1743" s="157" t="s">
        <v>731</v>
      </c>
      <c r="F1743" s="160">
        <v>38376.0</v>
      </c>
      <c r="G1743" s="160">
        <v>6140.16</v>
      </c>
      <c r="H1743" s="160">
        <f t="shared" si="48"/>
        <v>44516.16</v>
      </c>
      <c r="I1743" s="160"/>
      <c r="J1743" s="161"/>
      <c r="K1743" s="160"/>
      <c r="L1743" s="160">
        <f>+'FACP$'!$H1743-'FACP$'!$I1743-'FACP$'!$K1743</f>
        <v>44516.16</v>
      </c>
      <c r="M1743" s="162" t="s">
        <v>116</v>
      </c>
      <c r="N1743" s="162" t="s">
        <v>554</v>
      </c>
      <c r="O1743" s="175">
        <v>44123.0</v>
      </c>
      <c r="P1743" s="164">
        <f t="shared" si="13"/>
        <v>44043</v>
      </c>
      <c r="Q1743" s="165">
        <f t="shared" si="2"/>
        <v>0</v>
      </c>
      <c r="R1743" s="167"/>
      <c r="S1743" s="167" t="s">
        <v>910</v>
      </c>
      <c r="T1743" s="168">
        <f t="shared" si="3"/>
        <v>44516.16</v>
      </c>
      <c r="U1743" s="168">
        <f t="shared" si="4"/>
        <v>0</v>
      </c>
      <c r="V1743" s="168">
        <f t="shared" si="5"/>
        <v>0</v>
      </c>
      <c r="W1743" s="168">
        <f t="shared" si="6"/>
        <v>0</v>
      </c>
      <c r="X1743" s="168">
        <f t="shared" si="7"/>
        <v>0</v>
      </c>
      <c r="Y1743" s="168">
        <f t="shared" si="8"/>
        <v>0</v>
      </c>
      <c r="Z1743" s="168">
        <f t="shared" si="9"/>
        <v>0</v>
      </c>
    </row>
    <row r="1744" ht="14.25" customHeight="1">
      <c r="A1744" s="157" t="s">
        <v>1861</v>
      </c>
      <c r="B1744" s="158" t="s">
        <v>37</v>
      </c>
      <c r="C1744" s="158" t="s">
        <v>1658</v>
      </c>
      <c r="D1744" s="159">
        <v>44033.0</v>
      </c>
      <c r="E1744" s="157" t="s">
        <v>731</v>
      </c>
      <c r="F1744" s="160">
        <v>38376.0</v>
      </c>
      <c r="G1744" s="160">
        <v>6140.16</v>
      </c>
      <c r="H1744" s="160">
        <f t="shared" si="48"/>
        <v>44516.16</v>
      </c>
      <c r="I1744" s="160"/>
      <c r="J1744" s="161"/>
      <c r="K1744" s="160"/>
      <c r="L1744" s="160">
        <f>+'FACP$'!$H1744-'FACP$'!$I1744-'FACP$'!$K1744</f>
        <v>44516.16</v>
      </c>
      <c r="M1744" s="162" t="s">
        <v>116</v>
      </c>
      <c r="N1744" s="162" t="s">
        <v>554</v>
      </c>
      <c r="O1744" s="175">
        <v>44123.0</v>
      </c>
      <c r="P1744" s="164">
        <f t="shared" si="13"/>
        <v>44043</v>
      </c>
      <c r="Q1744" s="165">
        <f t="shared" si="2"/>
        <v>0</v>
      </c>
      <c r="R1744" s="167"/>
      <c r="S1744" s="167" t="s">
        <v>910</v>
      </c>
      <c r="T1744" s="168">
        <f t="shared" si="3"/>
        <v>44516.16</v>
      </c>
      <c r="U1744" s="168">
        <f t="shared" si="4"/>
        <v>0</v>
      </c>
      <c r="V1744" s="168">
        <f t="shared" si="5"/>
        <v>0</v>
      </c>
      <c r="W1744" s="168">
        <f t="shared" si="6"/>
        <v>0</v>
      </c>
      <c r="X1744" s="168">
        <f t="shared" si="7"/>
        <v>0</v>
      </c>
      <c r="Y1744" s="168">
        <f t="shared" si="8"/>
        <v>0</v>
      </c>
      <c r="Z1744" s="168">
        <f t="shared" si="9"/>
        <v>0</v>
      </c>
    </row>
    <row r="1745" ht="14.25" customHeight="1">
      <c r="A1745" s="157" t="s">
        <v>1862</v>
      </c>
      <c r="B1745" s="158" t="s">
        <v>18</v>
      </c>
      <c r="C1745" s="158" t="s">
        <v>1658</v>
      </c>
      <c r="D1745" s="159">
        <v>44033.0</v>
      </c>
      <c r="E1745" s="157" t="s">
        <v>731</v>
      </c>
      <c r="F1745" s="160">
        <v>11316.0</v>
      </c>
      <c r="G1745" s="160">
        <v>1810.56</v>
      </c>
      <c r="H1745" s="160">
        <f t="shared" si="48"/>
        <v>13126.56</v>
      </c>
      <c r="I1745" s="160"/>
      <c r="J1745" s="161"/>
      <c r="K1745" s="160"/>
      <c r="L1745" s="160">
        <f>+'FACP$'!$H1745-'FACP$'!$I1745-'FACP$'!$K1745</f>
        <v>13126.56</v>
      </c>
      <c r="M1745" s="162" t="s">
        <v>586</v>
      </c>
      <c r="N1745" s="162" t="s">
        <v>554</v>
      </c>
      <c r="O1745" s="175">
        <v>44077.0</v>
      </c>
      <c r="P1745" s="164">
        <f t="shared" si="13"/>
        <v>44043</v>
      </c>
      <c r="Q1745" s="165">
        <f t="shared" si="2"/>
        <v>0</v>
      </c>
      <c r="R1745" s="167"/>
      <c r="S1745" s="167" t="s">
        <v>910</v>
      </c>
      <c r="T1745" s="168">
        <f t="shared" si="3"/>
        <v>13126.56</v>
      </c>
      <c r="U1745" s="168">
        <f t="shared" si="4"/>
        <v>0</v>
      </c>
      <c r="V1745" s="168">
        <f t="shared" si="5"/>
        <v>0</v>
      </c>
      <c r="W1745" s="168">
        <f t="shared" si="6"/>
        <v>0</v>
      </c>
      <c r="X1745" s="168">
        <f t="shared" si="7"/>
        <v>0</v>
      </c>
      <c r="Y1745" s="168">
        <f t="shared" si="8"/>
        <v>0</v>
      </c>
      <c r="Z1745" s="168">
        <f t="shared" si="9"/>
        <v>0</v>
      </c>
    </row>
    <row r="1746" ht="14.25" customHeight="1">
      <c r="A1746" s="157" t="s">
        <v>1863</v>
      </c>
      <c r="B1746" s="158" t="s">
        <v>37</v>
      </c>
      <c r="C1746" s="158" t="s">
        <v>1658</v>
      </c>
      <c r="D1746" s="159">
        <v>44034.0</v>
      </c>
      <c r="E1746" s="157" t="s">
        <v>731</v>
      </c>
      <c r="F1746" s="160">
        <v>38376.0</v>
      </c>
      <c r="G1746" s="160">
        <v>6140.16</v>
      </c>
      <c r="H1746" s="160">
        <f t="shared" si="48"/>
        <v>44516.16</v>
      </c>
      <c r="I1746" s="160"/>
      <c r="J1746" s="161"/>
      <c r="K1746" s="160"/>
      <c r="L1746" s="160">
        <f>+'FACP$'!$H1746-'FACP$'!$I1746-'FACP$'!$K1746</f>
        <v>44516.16</v>
      </c>
      <c r="M1746" s="162" t="s">
        <v>116</v>
      </c>
      <c r="N1746" s="162" t="s">
        <v>554</v>
      </c>
      <c r="O1746" s="175">
        <v>44123.0</v>
      </c>
      <c r="P1746" s="164">
        <f t="shared" si="13"/>
        <v>44044</v>
      </c>
      <c r="Q1746" s="165">
        <f t="shared" si="2"/>
        <v>0</v>
      </c>
      <c r="R1746" s="167"/>
      <c r="S1746" s="167" t="s">
        <v>910</v>
      </c>
      <c r="T1746" s="168">
        <f t="shared" si="3"/>
        <v>44516.16</v>
      </c>
      <c r="U1746" s="168">
        <f t="shared" si="4"/>
        <v>0</v>
      </c>
      <c r="V1746" s="168">
        <f t="shared" si="5"/>
        <v>0</v>
      </c>
      <c r="W1746" s="168">
        <f t="shared" si="6"/>
        <v>0</v>
      </c>
      <c r="X1746" s="168">
        <f t="shared" si="7"/>
        <v>0</v>
      </c>
      <c r="Y1746" s="168">
        <f t="shared" si="8"/>
        <v>0</v>
      </c>
      <c r="Z1746" s="168">
        <f t="shared" si="9"/>
        <v>0</v>
      </c>
    </row>
    <row r="1747" ht="14.25" customHeight="1">
      <c r="A1747" s="157" t="s">
        <v>1864</v>
      </c>
      <c r="B1747" s="158" t="s">
        <v>41</v>
      </c>
      <c r="C1747" s="158" t="s">
        <v>1658</v>
      </c>
      <c r="D1747" s="159">
        <v>44034.0</v>
      </c>
      <c r="E1747" s="157" t="s">
        <v>731</v>
      </c>
      <c r="F1747" s="160">
        <v>38376.0</v>
      </c>
      <c r="G1747" s="160">
        <v>6140.16</v>
      </c>
      <c r="H1747" s="160">
        <f t="shared" si="48"/>
        <v>44516.16</v>
      </c>
      <c r="I1747" s="160"/>
      <c r="J1747" s="161"/>
      <c r="K1747" s="160"/>
      <c r="L1747" s="160">
        <f>+'FACP$'!$H1747-'FACP$'!$I1747-'FACP$'!$K1747</f>
        <v>44516.16</v>
      </c>
      <c r="M1747" s="162" t="s">
        <v>121</v>
      </c>
      <c r="N1747" s="162" t="s">
        <v>554</v>
      </c>
      <c r="O1747" s="175">
        <v>44099.0</v>
      </c>
      <c r="P1747" s="164">
        <f t="shared" si="13"/>
        <v>44044</v>
      </c>
      <c r="Q1747" s="165">
        <f t="shared" si="2"/>
        <v>0</v>
      </c>
      <c r="R1747" s="167"/>
      <c r="S1747" s="167"/>
      <c r="T1747" s="168">
        <f t="shared" si="3"/>
        <v>44516.16</v>
      </c>
      <c r="U1747" s="168">
        <f t="shared" si="4"/>
        <v>0</v>
      </c>
      <c r="V1747" s="168">
        <f t="shared" si="5"/>
        <v>0</v>
      </c>
      <c r="W1747" s="168">
        <f t="shared" si="6"/>
        <v>0</v>
      </c>
      <c r="X1747" s="168">
        <f t="shared" si="7"/>
        <v>0</v>
      </c>
      <c r="Y1747" s="168">
        <f t="shared" si="8"/>
        <v>0</v>
      </c>
      <c r="Z1747" s="168">
        <f t="shared" si="9"/>
        <v>0</v>
      </c>
    </row>
    <row r="1748" ht="14.25" customHeight="1">
      <c r="A1748" s="157" t="s">
        <v>1865</v>
      </c>
      <c r="B1748" s="158" t="s">
        <v>37</v>
      </c>
      <c r="C1748" s="158" t="s">
        <v>1658</v>
      </c>
      <c r="D1748" s="159">
        <v>44034.0</v>
      </c>
      <c r="E1748" s="157" t="s">
        <v>731</v>
      </c>
      <c r="F1748" s="160">
        <v>38376.0</v>
      </c>
      <c r="G1748" s="160">
        <v>6140.16</v>
      </c>
      <c r="H1748" s="160">
        <f t="shared" si="48"/>
        <v>44516.16</v>
      </c>
      <c r="I1748" s="160"/>
      <c r="J1748" s="161"/>
      <c r="K1748" s="160"/>
      <c r="L1748" s="160">
        <f>+'FACP$'!$H1748-'FACP$'!$I1748-'FACP$'!$K1748</f>
        <v>44516.16</v>
      </c>
      <c r="M1748" s="162" t="s">
        <v>116</v>
      </c>
      <c r="N1748" s="162" t="s">
        <v>554</v>
      </c>
      <c r="O1748" s="175">
        <v>44123.0</v>
      </c>
      <c r="P1748" s="164">
        <f t="shared" si="13"/>
        <v>44044</v>
      </c>
      <c r="Q1748" s="165">
        <f t="shared" si="2"/>
        <v>0</v>
      </c>
      <c r="R1748" s="167"/>
      <c r="S1748" s="167" t="s">
        <v>910</v>
      </c>
      <c r="T1748" s="168">
        <f t="shared" si="3"/>
        <v>44516.16</v>
      </c>
      <c r="U1748" s="168">
        <f t="shared" si="4"/>
        <v>0</v>
      </c>
      <c r="V1748" s="168">
        <f t="shared" si="5"/>
        <v>0</v>
      </c>
      <c r="W1748" s="168">
        <f t="shared" si="6"/>
        <v>0</v>
      </c>
      <c r="X1748" s="168">
        <f t="shared" si="7"/>
        <v>0</v>
      </c>
      <c r="Y1748" s="168">
        <f t="shared" si="8"/>
        <v>0</v>
      </c>
      <c r="Z1748" s="168">
        <f t="shared" si="9"/>
        <v>0</v>
      </c>
    </row>
    <row r="1749" ht="14.25" customHeight="1">
      <c r="A1749" s="157" t="s">
        <v>1866</v>
      </c>
      <c r="B1749" s="158" t="s">
        <v>37</v>
      </c>
      <c r="C1749" s="158" t="s">
        <v>1658</v>
      </c>
      <c r="D1749" s="159">
        <v>44034.0</v>
      </c>
      <c r="E1749" s="157" t="s">
        <v>731</v>
      </c>
      <c r="F1749" s="160">
        <v>38376.0</v>
      </c>
      <c r="G1749" s="160">
        <v>6140.16</v>
      </c>
      <c r="H1749" s="160">
        <f t="shared" si="48"/>
        <v>44516.16</v>
      </c>
      <c r="I1749" s="160"/>
      <c r="J1749" s="161"/>
      <c r="K1749" s="160"/>
      <c r="L1749" s="160">
        <f>+'FACP$'!$H1749-'FACP$'!$I1749-'FACP$'!$K1749</f>
        <v>44516.16</v>
      </c>
      <c r="M1749" s="162" t="s">
        <v>116</v>
      </c>
      <c r="N1749" s="162" t="s">
        <v>554</v>
      </c>
      <c r="O1749" s="175">
        <v>44123.0</v>
      </c>
      <c r="P1749" s="164">
        <f t="shared" si="13"/>
        <v>44044</v>
      </c>
      <c r="Q1749" s="165">
        <f t="shared" si="2"/>
        <v>0</v>
      </c>
      <c r="R1749" s="167"/>
      <c r="S1749" s="167" t="s">
        <v>910</v>
      </c>
      <c r="T1749" s="168">
        <f t="shared" si="3"/>
        <v>44516.16</v>
      </c>
      <c r="U1749" s="168">
        <f t="shared" si="4"/>
        <v>0</v>
      </c>
      <c r="V1749" s="168">
        <f t="shared" si="5"/>
        <v>0</v>
      </c>
      <c r="W1749" s="168">
        <f t="shared" si="6"/>
        <v>0</v>
      </c>
      <c r="X1749" s="168">
        <f t="shared" si="7"/>
        <v>0</v>
      </c>
      <c r="Y1749" s="168">
        <f t="shared" si="8"/>
        <v>0</v>
      </c>
      <c r="Z1749" s="168">
        <f t="shared" si="9"/>
        <v>0</v>
      </c>
    </row>
    <row r="1750" ht="14.25" customHeight="1">
      <c r="A1750" s="157" t="s">
        <v>1867</v>
      </c>
      <c r="B1750" s="158" t="s">
        <v>37</v>
      </c>
      <c r="C1750" s="158" t="s">
        <v>1658</v>
      </c>
      <c r="D1750" s="159">
        <v>44034.0</v>
      </c>
      <c r="E1750" s="157" t="s">
        <v>731</v>
      </c>
      <c r="F1750" s="160">
        <v>38376.0</v>
      </c>
      <c r="G1750" s="160">
        <v>6140.16</v>
      </c>
      <c r="H1750" s="160">
        <f t="shared" si="48"/>
        <v>44516.16</v>
      </c>
      <c r="I1750" s="160"/>
      <c r="J1750" s="161"/>
      <c r="K1750" s="160"/>
      <c r="L1750" s="160">
        <f>+'FACP$'!$H1750-'FACP$'!$I1750-'FACP$'!$K1750</f>
        <v>44516.16</v>
      </c>
      <c r="M1750" s="162" t="s">
        <v>116</v>
      </c>
      <c r="N1750" s="162" t="s">
        <v>554</v>
      </c>
      <c r="O1750" s="175">
        <v>44123.0</v>
      </c>
      <c r="P1750" s="164">
        <f t="shared" si="13"/>
        <v>44044</v>
      </c>
      <c r="Q1750" s="165">
        <f t="shared" si="2"/>
        <v>0</v>
      </c>
      <c r="R1750" s="167"/>
      <c r="S1750" s="167" t="s">
        <v>910</v>
      </c>
      <c r="T1750" s="168">
        <f t="shared" si="3"/>
        <v>44516.16</v>
      </c>
      <c r="U1750" s="168">
        <f t="shared" si="4"/>
        <v>0</v>
      </c>
      <c r="V1750" s="168">
        <f t="shared" si="5"/>
        <v>0</v>
      </c>
      <c r="W1750" s="168">
        <f t="shared" si="6"/>
        <v>0</v>
      </c>
      <c r="X1750" s="168">
        <f t="shared" si="7"/>
        <v>0</v>
      </c>
      <c r="Y1750" s="168">
        <f t="shared" si="8"/>
        <v>0</v>
      </c>
      <c r="Z1750" s="168">
        <f t="shared" si="9"/>
        <v>0</v>
      </c>
    </row>
    <row r="1751" ht="14.25" customHeight="1">
      <c r="A1751" s="157" t="s">
        <v>1868</v>
      </c>
      <c r="B1751" s="158" t="s">
        <v>37</v>
      </c>
      <c r="C1751" s="158" t="s">
        <v>1658</v>
      </c>
      <c r="D1751" s="159">
        <v>44034.0</v>
      </c>
      <c r="E1751" s="157" t="s">
        <v>731</v>
      </c>
      <c r="F1751" s="160">
        <v>38376.0</v>
      </c>
      <c r="G1751" s="160">
        <v>6140.16</v>
      </c>
      <c r="H1751" s="160">
        <f t="shared" si="48"/>
        <v>44516.16</v>
      </c>
      <c r="I1751" s="160"/>
      <c r="J1751" s="161"/>
      <c r="K1751" s="160"/>
      <c r="L1751" s="160">
        <f>+'FACP$'!$H1751-'FACP$'!$I1751-'FACP$'!$K1751</f>
        <v>44516.16</v>
      </c>
      <c r="M1751" s="162" t="s">
        <v>116</v>
      </c>
      <c r="N1751" s="162" t="s">
        <v>554</v>
      </c>
      <c r="O1751" s="175">
        <v>44123.0</v>
      </c>
      <c r="P1751" s="164">
        <f t="shared" si="13"/>
        <v>44044</v>
      </c>
      <c r="Q1751" s="165">
        <f t="shared" si="2"/>
        <v>0</v>
      </c>
      <c r="R1751" s="167"/>
      <c r="S1751" s="167" t="s">
        <v>910</v>
      </c>
      <c r="T1751" s="168">
        <f t="shared" si="3"/>
        <v>44516.16</v>
      </c>
      <c r="U1751" s="168">
        <f t="shared" si="4"/>
        <v>0</v>
      </c>
      <c r="V1751" s="168">
        <f t="shared" si="5"/>
        <v>0</v>
      </c>
      <c r="W1751" s="168">
        <f t="shared" si="6"/>
        <v>0</v>
      </c>
      <c r="X1751" s="168">
        <f t="shared" si="7"/>
        <v>0</v>
      </c>
      <c r="Y1751" s="168">
        <f t="shared" si="8"/>
        <v>0</v>
      </c>
      <c r="Z1751" s="168">
        <f t="shared" si="9"/>
        <v>0</v>
      </c>
    </row>
    <row r="1752" ht="14.25" customHeight="1">
      <c r="A1752" s="157" t="s">
        <v>1869</v>
      </c>
      <c r="B1752" s="158" t="s">
        <v>16</v>
      </c>
      <c r="C1752" s="158" t="s">
        <v>1658</v>
      </c>
      <c r="D1752" s="159">
        <v>44034.0</v>
      </c>
      <c r="E1752" s="157" t="s">
        <v>731</v>
      </c>
      <c r="F1752" s="160">
        <v>11316.0</v>
      </c>
      <c r="G1752" s="160">
        <v>1810.56</v>
      </c>
      <c r="H1752" s="160">
        <f t="shared" si="48"/>
        <v>13126.56</v>
      </c>
      <c r="I1752" s="160"/>
      <c r="J1752" s="161"/>
      <c r="K1752" s="160"/>
      <c r="L1752" s="160">
        <f>+'FACP$'!$H1752-'FACP$'!$I1752-'FACP$'!$K1752</f>
        <v>13126.56</v>
      </c>
      <c r="M1752" s="162" t="s">
        <v>985</v>
      </c>
      <c r="N1752" s="162" t="s">
        <v>1785</v>
      </c>
      <c r="O1752" s="175">
        <v>44070.0</v>
      </c>
      <c r="P1752" s="164">
        <f t="shared" si="13"/>
        <v>44044</v>
      </c>
      <c r="Q1752" s="165" t="b">
        <f t="shared" si="2"/>
        <v>0</v>
      </c>
      <c r="R1752" s="167"/>
      <c r="S1752" s="167"/>
      <c r="T1752" s="168">
        <f t="shared" si="3"/>
        <v>0</v>
      </c>
      <c r="U1752" s="168">
        <f t="shared" si="4"/>
        <v>0</v>
      </c>
      <c r="V1752" s="168">
        <f t="shared" si="5"/>
        <v>0</v>
      </c>
      <c r="W1752" s="168">
        <f t="shared" si="6"/>
        <v>0</v>
      </c>
      <c r="X1752" s="168">
        <f t="shared" si="7"/>
        <v>0</v>
      </c>
      <c r="Y1752" s="168">
        <f t="shared" si="8"/>
        <v>0</v>
      </c>
      <c r="Z1752" s="168">
        <f t="shared" si="9"/>
        <v>13126.56</v>
      </c>
    </row>
    <row r="1753" ht="14.25" customHeight="1">
      <c r="A1753" s="157" t="s">
        <v>1870</v>
      </c>
      <c r="B1753" s="158" t="s">
        <v>29</v>
      </c>
      <c r="C1753" s="158" t="s">
        <v>1658</v>
      </c>
      <c r="D1753" s="159">
        <v>44034.0</v>
      </c>
      <c r="E1753" s="157" t="s">
        <v>731</v>
      </c>
      <c r="F1753" s="160">
        <v>19188.0</v>
      </c>
      <c r="G1753" s="160">
        <v>3070.08</v>
      </c>
      <c r="H1753" s="160">
        <f t="shared" si="48"/>
        <v>22258.08</v>
      </c>
      <c r="I1753" s="160"/>
      <c r="J1753" s="161"/>
      <c r="K1753" s="160"/>
      <c r="L1753" s="160">
        <f>+'FACP$'!$H1753-'FACP$'!$I1753-'FACP$'!$K1753</f>
        <v>22258.08</v>
      </c>
      <c r="M1753" s="162" t="s">
        <v>130</v>
      </c>
      <c r="N1753" s="162" t="s">
        <v>554</v>
      </c>
      <c r="O1753" s="175">
        <v>44075.0</v>
      </c>
      <c r="P1753" s="164">
        <f t="shared" si="13"/>
        <v>44044</v>
      </c>
      <c r="Q1753" s="165">
        <f t="shared" si="2"/>
        <v>0</v>
      </c>
      <c r="R1753" s="167"/>
      <c r="S1753" s="167"/>
      <c r="T1753" s="168">
        <f t="shared" si="3"/>
        <v>22258.08</v>
      </c>
      <c r="U1753" s="168">
        <f t="shared" si="4"/>
        <v>0</v>
      </c>
      <c r="V1753" s="168">
        <f t="shared" si="5"/>
        <v>0</v>
      </c>
      <c r="W1753" s="168">
        <f t="shared" si="6"/>
        <v>0</v>
      </c>
      <c r="X1753" s="168">
        <f t="shared" si="7"/>
        <v>0</v>
      </c>
      <c r="Y1753" s="168">
        <f t="shared" si="8"/>
        <v>0</v>
      </c>
      <c r="Z1753" s="168">
        <f t="shared" si="9"/>
        <v>0</v>
      </c>
    </row>
    <row r="1754" ht="14.25" customHeight="1">
      <c r="A1754" s="157" t="s">
        <v>1871</v>
      </c>
      <c r="B1754" s="158" t="s">
        <v>41</v>
      </c>
      <c r="C1754" s="158" t="s">
        <v>1658</v>
      </c>
      <c r="D1754" s="159">
        <v>44034.0</v>
      </c>
      <c r="E1754" s="157" t="s">
        <v>731</v>
      </c>
      <c r="F1754" s="160">
        <v>19188.0</v>
      </c>
      <c r="G1754" s="160">
        <v>3070.08</v>
      </c>
      <c r="H1754" s="160">
        <f t="shared" si="48"/>
        <v>22258.08</v>
      </c>
      <c r="I1754" s="160"/>
      <c r="J1754" s="161"/>
      <c r="K1754" s="160"/>
      <c r="L1754" s="160">
        <f>+'FACP$'!$H1754-'FACP$'!$I1754-'FACP$'!$K1754</f>
        <v>22258.08</v>
      </c>
      <c r="M1754" s="162" t="s">
        <v>121</v>
      </c>
      <c r="N1754" s="162" t="s">
        <v>554</v>
      </c>
      <c r="O1754" s="175">
        <v>44099.0</v>
      </c>
      <c r="P1754" s="164">
        <f t="shared" si="13"/>
        <v>44044</v>
      </c>
      <c r="Q1754" s="165">
        <f t="shared" si="2"/>
        <v>0</v>
      </c>
      <c r="R1754" s="167"/>
      <c r="S1754" s="167"/>
      <c r="T1754" s="168">
        <f t="shared" si="3"/>
        <v>22258.08</v>
      </c>
      <c r="U1754" s="168">
        <f t="shared" si="4"/>
        <v>0</v>
      </c>
      <c r="V1754" s="168">
        <f t="shared" si="5"/>
        <v>0</v>
      </c>
      <c r="W1754" s="168">
        <f t="shared" si="6"/>
        <v>0</v>
      </c>
      <c r="X1754" s="168">
        <f t="shared" si="7"/>
        <v>0</v>
      </c>
      <c r="Y1754" s="168">
        <f t="shared" si="8"/>
        <v>0</v>
      </c>
      <c r="Z1754" s="168">
        <f t="shared" si="9"/>
        <v>0</v>
      </c>
    </row>
    <row r="1755" ht="14.25" customHeight="1">
      <c r="A1755" s="157" t="s">
        <v>1872</v>
      </c>
      <c r="B1755" s="158" t="s">
        <v>36</v>
      </c>
      <c r="C1755" s="158" t="s">
        <v>1873</v>
      </c>
      <c r="D1755" s="159">
        <v>44034.0</v>
      </c>
      <c r="E1755" s="157" t="s">
        <v>731</v>
      </c>
      <c r="F1755" s="160">
        <v>46780.74</v>
      </c>
      <c r="G1755" s="160">
        <v>7484.92</v>
      </c>
      <c r="H1755" s="160">
        <f t="shared" si="48"/>
        <v>54265.66</v>
      </c>
      <c r="I1755" s="160"/>
      <c r="J1755" s="161"/>
      <c r="K1755" s="160"/>
      <c r="L1755" s="160">
        <f>+'FACP$'!$H1755-'FACP$'!$I1755-'FACP$'!$K1755</f>
        <v>54265.66</v>
      </c>
      <c r="M1755" s="162" t="s">
        <v>278</v>
      </c>
      <c r="N1755" s="162" t="s">
        <v>554</v>
      </c>
      <c r="O1755" s="175">
        <v>44057.0</v>
      </c>
      <c r="P1755" s="164">
        <f t="shared" si="13"/>
        <v>44044</v>
      </c>
      <c r="Q1755" s="165">
        <f t="shared" si="2"/>
        <v>0</v>
      </c>
      <c r="R1755" s="167"/>
      <c r="S1755" s="220" t="s">
        <v>910</v>
      </c>
      <c r="T1755" s="168">
        <f t="shared" si="3"/>
        <v>54265.66</v>
      </c>
      <c r="U1755" s="168">
        <f t="shared" si="4"/>
        <v>0</v>
      </c>
      <c r="V1755" s="168">
        <f t="shared" si="5"/>
        <v>0</v>
      </c>
      <c r="W1755" s="168">
        <f t="shared" si="6"/>
        <v>0</v>
      </c>
      <c r="X1755" s="168">
        <f t="shared" si="7"/>
        <v>0</v>
      </c>
      <c r="Y1755" s="168">
        <f t="shared" si="8"/>
        <v>0</v>
      </c>
      <c r="Z1755" s="168">
        <f t="shared" si="9"/>
        <v>0</v>
      </c>
    </row>
    <row r="1756" ht="14.25" customHeight="1">
      <c r="A1756" s="157" t="s">
        <v>1874</v>
      </c>
      <c r="B1756" s="158" t="s">
        <v>43</v>
      </c>
      <c r="C1756" s="158" t="s">
        <v>1873</v>
      </c>
      <c r="D1756" s="159">
        <v>44034.0</v>
      </c>
      <c r="E1756" s="157" t="s">
        <v>731</v>
      </c>
      <c r="F1756" s="160">
        <v>188598.62</v>
      </c>
      <c r="G1756" s="160">
        <v>30175.78</v>
      </c>
      <c r="H1756" s="160">
        <f t="shared" si="48"/>
        <v>218774.4</v>
      </c>
      <c r="I1756" s="160"/>
      <c r="J1756" s="161"/>
      <c r="K1756" s="160"/>
      <c r="L1756" s="160">
        <f>+'FACP$'!$H1756-'FACP$'!$I1756-'FACP$'!$K1756</f>
        <v>218774.4</v>
      </c>
      <c r="M1756" s="162" t="s">
        <v>43</v>
      </c>
      <c r="N1756" s="162" t="s">
        <v>554</v>
      </c>
      <c r="O1756" s="175">
        <v>44064.0</v>
      </c>
      <c r="P1756" s="164">
        <f t="shared" si="13"/>
        <v>44044</v>
      </c>
      <c r="Q1756" s="165">
        <f t="shared" si="2"/>
        <v>0</v>
      </c>
      <c r="R1756" s="167"/>
      <c r="S1756" s="220" t="s">
        <v>910</v>
      </c>
      <c r="T1756" s="168">
        <f t="shared" si="3"/>
        <v>218774.4</v>
      </c>
      <c r="U1756" s="168">
        <f t="shared" si="4"/>
        <v>0</v>
      </c>
      <c r="V1756" s="168">
        <f t="shared" si="5"/>
        <v>0</v>
      </c>
      <c r="W1756" s="168">
        <f t="shared" si="6"/>
        <v>0</v>
      </c>
      <c r="X1756" s="168">
        <f t="shared" si="7"/>
        <v>0</v>
      </c>
      <c r="Y1756" s="168">
        <f t="shared" si="8"/>
        <v>0</v>
      </c>
      <c r="Z1756" s="168">
        <f t="shared" si="9"/>
        <v>0</v>
      </c>
    </row>
    <row r="1757" ht="14.25" customHeight="1">
      <c r="A1757" s="157" t="s">
        <v>1875</v>
      </c>
      <c r="B1757" s="158" t="s">
        <v>41</v>
      </c>
      <c r="C1757" s="158" t="s">
        <v>1873</v>
      </c>
      <c r="D1757" s="159">
        <v>44034.0</v>
      </c>
      <c r="E1757" s="157" t="s">
        <v>731</v>
      </c>
      <c r="F1757" s="160">
        <v>231210.56</v>
      </c>
      <c r="G1757" s="160">
        <v>36993.69</v>
      </c>
      <c r="H1757" s="160">
        <f t="shared" si="48"/>
        <v>268204.25</v>
      </c>
      <c r="I1757" s="160"/>
      <c r="J1757" s="161"/>
      <c r="K1757" s="160"/>
      <c r="L1757" s="160">
        <f>+'FACP$'!$H1757-'FACP$'!$I1757-'FACP$'!$K1757</f>
        <v>268204.25</v>
      </c>
      <c r="M1757" s="162" t="s">
        <v>121</v>
      </c>
      <c r="N1757" s="162" t="s">
        <v>554</v>
      </c>
      <c r="O1757" s="175">
        <v>44099.0</v>
      </c>
      <c r="P1757" s="164">
        <f t="shared" si="13"/>
        <v>44044</v>
      </c>
      <c r="Q1757" s="165">
        <f t="shared" si="2"/>
        <v>0</v>
      </c>
      <c r="R1757" s="167"/>
      <c r="S1757" s="167"/>
      <c r="T1757" s="168">
        <f t="shared" si="3"/>
        <v>268204.25</v>
      </c>
      <c r="U1757" s="168">
        <f t="shared" si="4"/>
        <v>0</v>
      </c>
      <c r="V1757" s="168">
        <f t="shared" si="5"/>
        <v>0</v>
      </c>
      <c r="W1757" s="168">
        <f t="shared" si="6"/>
        <v>0</v>
      </c>
      <c r="X1757" s="168">
        <f t="shared" si="7"/>
        <v>0</v>
      </c>
      <c r="Y1757" s="168">
        <f t="shared" si="8"/>
        <v>0</v>
      </c>
      <c r="Z1757" s="168">
        <f t="shared" si="9"/>
        <v>0</v>
      </c>
    </row>
    <row r="1758" ht="14.25" customHeight="1">
      <c r="A1758" s="157" t="s">
        <v>1876</v>
      </c>
      <c r="B1758" s="158" t="s">
        <v>37</v>
      </c>
      <c r="C1758" s="158" t="s">
        <v>1658</v>
      </c>
      <c r="D1758" s="159">
        <v>44034.0</v>
      </c>
      <c r="E1758" s="157" t="s">
        <v>731</v>
      </c>
      <c r="F1758" s="160">
        <v>38376.0</v>
      </c>
      <c r="G1758" s="160">
        <v>6140.16</v>
      </c>
      <c r="H1758" s="160">
        <f t="shared" si="48"/>
        <v>44516.16</v>
      </c>
      <c r="I1758" s="160"/>
      <c r="J1758" s="161"/>
      <c r="K1758" s="160"/>
      <c r="L1758" s="160">
        <f>+'FACP$'!$H1758-'FACP$'!$I1758-'FACP$'!$K1758</f>
        <v>44516.16</v>
      </c>
      <c r="M1758" s="162" t="s">
        <v>116</v>
      </c>
      <c r="N1758" s="162" t="s">
        <v>554</v>
      </c>
      <c r="O1758" s="175">
        <v>44123.0</v>
      </c>
      <c r="P1758" s="164">
        <f t="shared" si="13"/>
        <v>44044</v>
      </c>
      <c r="Q1758" s="165">
        <f t="shared" si="2"/>
        <v>0</v>
      </c>
      <c r="R1758" s="167"/>
      <c r="S1758" s="167" t="s">
        <v>910</v>
      </c>
      <c r="T1758" s="168">
        <f t="shared" si="3"/>
        <v>44516.16</v>
      </c>
      <c r="U1758" s="168">
        <f t="shared" si="4"/>
        <v>0</v>
      </c>
      <c r="V1758" s="168">
        <f t="shared" si="5"/>
        <v>0</v>
      </c>
      <c r="W1758" s="168">
        <f t="shared" si="6"/>
        <v>0</v>
      </c>
      <c r="X1758" s="168">
        <f t="shared" si="7"/>
        <v>0</v>
      </c>
      <c r="Y1758" s="168">
        <f t="shared" si="8"/>
        <v>0</v>
      </c>
      <c r="Z1758" s="168">
        <f t="shared" si="9"/>
        <v>0</v>
      </c>
    </row>
    <row r="1759" ht="14.25" customHeight="1">
      <c r="A1759" s="157" t="s">
        <v>1877</v>
      </c>
      <c r="B1759" s="158" t="s">
        <v>37</v>
      </c>
      <c r="C1759" s="158" t="s">
        <v>1658</v>
      </c>
      <c r="D1759" s="159">
        <v>44034.0</v>
      </c>
      <c r="E1759" s="157" t="s">
        <v>731</v>
      </c>
      <c r="F1759" s="160">
        <v>38376.0</v>
      </c>
      <c r="G1759" s="160">
        <v>6140.16</v>
      </c>
      <c r="H1759" s="160">
        <f t="shared" si="48"/>
        <v>44516.16</v>
      </c>
      <c r="I1759" s="160"/>
      <c r="J1759" s="161"/>
      <c r="K1759" s="160"/>
      <c r="L1759" s="160">
        <f>+'FACP$'!$H1759-'FACP$'!$I1759-'FACP$'!$K1759</f>
        <v>44516.16</v>
      </c>
      <c r="M1759" s="162" t="s">
        <v>116</v>
      </c>
      <c r="N1759" s="162" t="s">
        <v>554</v>
      </c>
      <c r="O1759" s="175">
        <v>44123.0</v>
      </c>
      <c r="P1759" s="164">
        <f t="shared" si="13"/>
        <v>44044</v>
      </c>
      <c r="Q1759" s="165">
        <f t="shared" si="2"/>
        <v>0</v>
      </c>
      <c r="R1759" s="167"/>
      <c r="S1759" s="167" t="s">
        <v>910</v>
      </c>
      <c r="T1759" s="168">
        <f t="shared" si="3"/>
        <v>44516.16</v>
      </c>
      <c r="U1759" s="168">
        <f t="shared" si="4"/>
        <v>0</v>
      </c>
      <c r="V1759" s="168">
        <f t="shared" si="5"/>
        <v>0</v>
      </c>
      <c r="W1759" s="168">
        <f t="shared" si="6"/>
        <v>0</v>
      </c>
      <c r="X1759" s="168">
        <f t="shared" si="7"/>
        <v>0</v>
      </c>
      <c r="Y1759" s="168">
        <f t="shared" si="8"/>
        <v>0</v>
      </c>
      <c r="Z1759" s="168">
        <f t="shared" si="9"/>
        <v>0</v>
      </c>
    </row>
    <row r="1760" ht="14.25" customHeight="1">
      <c r="A1760" s="157" t="s">
        <v>1878</v>
      </c>
      <c r="B1760" s="158" t="s">
        <v>37</v>
      </c>
      <c r="C1760" s="158" t="s">
        <v>1658</v>
      </c>
      <c r="D1760" s="159">
        <v>44034.0</v>
      </c>
      <c r="E1760" s="157" t="s">
        <v>731</v>
      </c>
      <c r="F1760" s="160">
        <v>38376.0</v>
      </c>
      <c r="G1760" s="160">
        <v>6140.16</v>
      </c>
      <c r="H1760" s="160">
        <f t="shared" si="48"/>
        <v>44516.16</v>
      </c>
      <c r="I1760" s="160"/>
      <c r="J1760" s="161"/>
      <c r="K1760" s="160"/>
      <c r="L1760" s="160">
        <f>+'FACP$'!$H1760-'FACP$'!$I1760-'FACP$'!$K1760</f>
        <v>44516.16</v>
      </c>
      <c r="M1760" s="162" t="s">
        <v>116</v>
      </c>
      <c r="N1760" s="162" t="s">
        <v>554</v>
      </c>
      <c r="O1760" s="175">
        <v>44123.0</v>
      </c>
      <c r="P1760" s="164">
        <f t="shared" si="13"/>
        <v>44044</v>
      </c>
      <c r="Q1760" s="165">
        <f t="shared" si="2"/>
        <v>0</v>
      </c>
      <c r="R1760" s="167"/>
      <c r="S1760" s="167" t="s">
        <v>910</v>
      </c>
      <c r="T1760" s="168">
        <f t="shared" si="3"/>
        <v>44516.16</v>
      </c>
      <c r="U1760" s="168">
        <f t="shared" si="4"/>
        <v>0</v>
      </c>
      <c r="V1760" s="168">
        <f t="shared" si="5"/>
        <v>0</v>
      </c>
      <c r="W1760" s="168">
        <f t="shared" si="6"/>
        <v>0</v>
      </c>
      <c r="X1760" s="168">
        <f t="shared" si="7"/>
        <v>0</v>
      </c>
      <c r="Y1760" s="168">
        <f t="shared" si="8"/>
        <v>0</v>
      </c>
      <c r="Z1760" s="168">
        <f t="shared" si="9"/>
        <v>0</v>
      </c>
    </row>
    <row r="1761" ht="14.25" customHeight="1">
      <c r="A1761" s="157" t="s">
        <v>1879</v>
      </c>
      <c r="B1761" s="158" t="s">
        <v>37</v>
      </c>
      <c r="C1761" s="158" t="s">
        <v>1658</v>
      </c>
      <c r="D1761" s="159">
        <v>44034.0</v>
      </c>
      <c r="E1761" s="157" t="s">
        <v>731</v>
      </c>
      <c r="F1761" s="160">
        <v>38376.0</v>
      </c>
      <c r="G1761" s="160">
        <v>6140.16</v>
      </c>
      <c r="H1761" s="160">
        <f t="shared" si="48"/>
        <v>44516.16</v>
      </c>
      <c r="I1761" s="160"/>
      <c r="J1761" s="161"/>
      <c r="K1761" s="160"/>
      <c r="L1761" s="160">
        <f>+'FACP$'!$H1761-'FACP$'!$I1761-'FACP$'!$K1761</f>
        <v>44516.16</v>
      </c>
      <c r="M1761" s="162" t="s">
        <v>116</v>
      </c>
      <c r="N1761" s="162" t="s">
        <v>554</v>
      </c>
      <c r="O1761" s="175">
        <v>44123.0</v>
      </c>
      <c r="P1761" s="164">
        <f t="shared" si="13"/>
        <v>44044</v>
      </c>
      <c r="Q1761" s="165">
        <f t="shared" si="2"/>
        <v>0</v>
      </c>
      <c r="R1761" s="167"/>
      <c r="S1761" s="167" t="s">
        <v>910</v>
      </c>
      <c r="T1761" s="168">
        <f t="shared" si="3"/>
        <v>44516.16</v>
      </c>
      <c r="U1761" s="168">
        <f t="shared" si="4"/>
        <v>0</v>
      </c>
      <c r="V1761" s="168">
        <f t="shared" si="5"/>
        <v>0</v>
      </c>
      <c r="W1761" s="168">
        <f t="shared" si="6"/>
        <v>0</v>
      </c>
      <c r="X1761" s="168">
        <f t="shared" si="7"/>
        <v>0</v>
      </c>
      <c r="Y1761" s="168">
        <f t="shared" si="8"/>
        <v>0</v>
      </c>
      <c r="Z1761" s="168">
        <f t="shared" si="9"/>
        <v>0</v>
      </c>
    </row>
    <row r="1762" ht="14.25" customHeight="1">
      <c r="A1762" s="157" t="s">
        <v>1880</v>
      </c>
      <c r="B1762" s="158" t="s">
        <v>37</v>
      </c>
      <c r="C1762" s="158" t="s">
        <v>1658</v>
      </c>
      <c r="D1762" s="159">
        <v>44034.0</v>
      </c>
      <c r="E1762" s="157" t="s">
        <v>731</v>
      </c>
      <c r="F1762" s="160">
        <v>38376.0</v>
      </c>
      <c r="G1762" s="160">
        <v>6140.16</v>
      </c>
      <c r="H1762" s="160">
        <f t="shared" si="48"/>
        <v>44516.16</v>
      </c>
      <c r="I1762" s="160"/>
      <c r="J1762" s="161"/>
      <c r="K1762" s="160"/>
      <c r="L1762" s="160">
        <f>+'FACP$'!$H1762-'FACP$'!$I1762-'FACP$'!$K1762</f>
        <v>44516.16</v>
      </c>
      <c r="M1762" s="162" t="s">
        <v>116</v>
      </c>
      <c r="N1762" s="162" t="s">
        <v>554</v>
      </c>
      <c r="O1762" s="175">
        <v>44123.0</v>
      </c>
      <c r="P1762" s="164">
        <f t="shared" si="13"/>
        <v>44044</v>
      </c>
      <c r="Q1762" s="165">
        <f t="shared" si="2"/>
        <v>0</v>
      </c>
      <c r="R1762" s="167"/>
      <c r="S1762" s="167" t="s">
        <v>910</v>
      </c>
      <c r="T1762" s="168">
        <f t="shared" si="3"/>
        <v>44516.16</v>
      </c>
      <c r="U1762" s="168">
        <f t="shared" si="4"/>
        <v>0</v>
      </c>
      <c r="V1762" s="168">
        <f t="shared" si="5"/>
        <v>0</v>
      </c>
      <c r="W1762" s="168">
        <f t="shared" si="6"/>
        <v>0</v>
      </c>
      <c r="X1762" s="168">
        <f t="shared" si="7"/>
        <v>0</v>
      </c>
      <c r="Y1762" s="168">
        <f t="shared" si="8"/>
        <v>0</v>
      </c>
      <c r="Z1762" s="168">
        <f t="shared" si="9"/>
        <v>0</v>
      </c>
    </row>
    <row r="1763" ht="14.25" customHeight="1">
      <c r="A1763" s="157" t="s">
        <v>1881</v>
      </c>
      <c r="B1763" s="158" t="s">
        <v>37</v>
      </c>
      <c r="C1763" s="158" t="s">
        <v>1658</v>
      </c>
      <c r="D1763" s="159">
        <v>44034.0</v>
      </c>
      <c r="E1763" s="157" t="s">
        <v>731</v>
      </c>
      <c r="F1763" s="160">
        <v>38376.0</v>
      </c>
      <c r="G1763" s="160">
        <v>6140.16</v>
      </c>
      <c r="H1763" s="160">
        <f t="shared" si="48"/>
        <v>44516.16</v>
      </c>
      <c r="I1763" s="160"/>
      <c r="J1763" s="161"/>
      <c r="K1763" s="160"/>
      <c r="L1763" s="160">
        <f>+'FACP$'!$H1763-'FACP$'!$I1763-'FACP$'!$K1763</f>
        <v>44516.16</v>
      </c>
      <c r="M1763" s="162" t="s">
        <v>116</v>
      </c>
      <c r="N1763" s="162" t="s">
        <v>554</v>
      </c>
      <c r="O1763" s="175">
        <v>44123.0</v>
      </c>
      <c r="P1763" s="164">
        <f t="shared" si="13"/>
        <v>44044</v>
      </c>
      <c r="Q1763" s="165">
        <f t="shared" si="2"/>
        <v>0</v>
      </c>
      <c r="R1763" s="167"/>
      <c r="S1763" s="167" t="s">
        <v>910</v>
      </c>
      <c r="T1763" s="168">
        <f t="shared" si="3"/>
        <v>44516.16</v>
      </c>
      <c r="U1763" s="168">
        <f t="shared" si="4"/>
        <v>0</v>
      </c>
      <c r="V1763" s="168">
        <f t="shared" si="5"/>
        <v>0</v>
      </c>
      <c r="W1763" s="168">
        <f t="shared" si="6"/>
        <v>0</v>
      </c>
      <c r="X1763" s="168">
        <f t="shared" si="7"/>
        <v>0</v>
      </c>
      <c r="Y1763" s="168">
        <f t="shared" si="8"/>
        <v>0</v>
      </c>
      <c r="Z1763" s="168">
        <f t="shared" si="9"/>
        <v>0</v>
      </c>
    </row>
    <row r="1764" ht="14.25" customHeight="1">
      <c r="A1764" s="157" t="s">
        <v>1882</v>
      </c>
      <c r="B1764" s="158" t="s">
        <v>16</v>
      </c>
      <c r="C1764" s="158" t="s">
        <v>1658</v>
      </c>
      <c r="D1764" s="159">
        <v>44034.0</v>
      </c>
      <c r="E1764" s="157" t="s">
        <v>731</v>
      </c>
      <c r="F1764" s="160">
        <v>11316.0</v>
      </c>
      <c r="G1764" s="160">
        <v>1810.56</v>
      </c>
      <c r="H1764" s="160">
        <f t="shared" si="48"/>
        <v>13126.56</v>
      </c>
      <c r="I1764" s="160"/>
      <c r="J1764" s="161"/>
      <c r="K1764" s="160"/>
      <c r="L1764" s="160">
        <f>+'FACP$'!$H1764-'FACP$'!$I1764-'FACP$'!$K1764</f>
        <v>13126.56</v>
      </c>
      <c r="M1764" s="162" t="s">
        <v>985</v>
      </c>
      <c r="N1764" s="162" t="s">
        <v>1785</v>
      </c>
      <c r="O1764" s="175">
        <v>44070.0</v>
      </c>
      <c r="P1764" s="164">
        <f t="shared" si="13"/>
        <v>44044</v>
      </c>
      <c r="Q1764" s="165" t="b">
        <f t="shared" si="2"/>
        <v>0</v>
      </c>
      <c r="R1764" s="167"/>
      <c r="S1764" s="167"/>
      <c r="T1764" s="168">
        <f t="shared" si="3"/>
        <v>0</v>
      </c>
      <c r="U1764" s="168">
        <f t="shared" si="4"/>
        <v>0</v>
      </c>
      <c r="V1764" s="168">
        <f t="shared" si="5"/>
        <v>0</v>
      </c>
      <c r="W1764" s="168">
        <f t="shared" si="6"/>
        <v>0</v>
      </c>
      <c r="X1764" s="168">
        <f t="shared" si="7"/>
        <v>0</v>
      </c>
      <c r="Y1764" s="168">
        <f t="shared" si="8"/>
        <v>0</v>
      </c>
      <c r="Z1764" s="168">
        <f t="shared" si="9"/>
        <v>13126.56</v>
      </c>
    </row>
    <row r="1765" ht="14.25" customHeight="1">
      <c r="A1765" s="157" t="s">
        <v>1883</v>
      </c>
      <c r="B1765" s="158" t="s">
        <v>16</v>
      </c>
      <c r="C1765" s="158" t="s">
        <v>1658</v>
      </c>
      <c r="D1765" s="159">
        <v>44034.0</v>
      </c>
      <c r="E1765" s="157" t="s">
        <v>731</v>
      </c>
      <c r="F1765" s="160">
        <v>11316.0</v>
      </c>
      <c r="G1765" s="160">
        <v>1810.56</v>
      </c>
      <c r="H1765" s="160">
        <f t="shared" si="48"/>
        <v>13126.56</v>
      </c>
      <c r="I1765" s="160"/>
      <c r="J1765" s="161"/>
      <c r="K1765" s="160"/>
      <c r="L1765" s="160">
        <f>+'FACP$'!$H1765-'FACP$'!$I1765-'FACP$'!$K1765</f>
        <v>13126.56</v>
      </c>
      <c r="M1765" s="162" t="s">
        <v>985</v>
      </c>
      <c r="N1765" s="162" t="s">
        <v>1785</v>
      </c>
      <c r="O1765" s="175">
        <v>44070.0</v>
      </c>
      <c r="P1765" s="164">
        <f t="shared" si="13"/>
        <v>44044</v>
      </c>
      <c r="Q1765" s="165" t="b">
        <f t="shared" si="2"/>
        <v>0</v>
      </c>
      <c r="R1765" s="167"/>
      <c r="S1765" s="167"/>
      <c r="T1765" s="168">
        <f t="shared" si="3"/>
        <v>0</v>
      </c>
      <c r="U1765" s="168">
        <f t="shared" si="4"/>
        <v>0</v>
      </c>
      <c r="V1765" s="168">
        <f t="shared" si="5"/>
        <v>0</v>
      </c>
      <c r="W1765" s="168">
        <f t="shared" si="6"/>
        <v>0</v>
      </c>
      <c r="X1765" s="168">
        <f t="shared" si="7"/>
        <v>0</v>
      </c>
      <c r="Y1765" s="168">
        <f t="shared" si="8"/>
        <v>0</v>
      </c>
      <c r="Z1765" s="168">
        <f t="shared" si="9"/>
        <v>13126.56</v>
      </c>
    </row>
    <row r="1766" ht="14.25" customHeight="1">
      <c r="A1766" s="157" t="s">
        <v>1884</v>
      </c>
      <c r="B1766" s="158" t="s">
        <v>37</v>
      </c>
      <c r="C1766" s="158" t="s">
        <v>1658</v>
      </c>
      <c r="D1766" s="159">
        <v>44034.0</v>
      </c>
      <c r="E1766" s="157" t="s">
        <v>731</v>
      </c>
      <c r="F1766" s="160">
        <v>38376.0</v>
      </c>
      <c r="G1766" s="160">
        <v>6140.16</v>
      </c>
      <c r="H1766" s="160">
        <f t="shared" si="48"/>
        <v>44516.16</v>
      </c>
      <c r="I1766" s="160"/>
      <c r="J1766" s="161"/>
      <c r="K1766" s="160"/>
      <c r="L1766" s="160">
        <f>+'FACP$'!$H1766-'FACP$'!$I1766-'FACP$'!$K1766</f>
        <v>44516.16</v>
      </c>
      <c r="M1766" s="162" t="s">
        <v>116</v>
      </c>
      <c r="N1766" s="162" t="s">
        <v>554</v>
      </c>
      <c r="O1766" s="175">
        <v>44123.0</v>
      </c>
      <c r="P1766" s="164">
        <f t="shared" si="13"/>
        <v>44044</v>
      </c>
      <c r="Q1766" s="165">
        <f t="shared" si="2"/>
        <v>0</v>
      </c>
      <c r="R1766" s="167"/>
      <c r="S1766" s="167" t="s">
        <v>910</v>
      </c>
      <c r="T1766" s="168">
        <f t="shared" si="3"/>
        <v>44516.16</v>
      </c>
      <c r="U1766" s="168">
        <f t="shared" si="4"/>
        <v>0</v>
      </c>
      <c r="V1766" s="168">
        <f t="shared" si="5"/>
        <v>0</v>
      </c>
      <c r="W1766" s="168">
        <f t="shared" si="6"/>
        <v>0</v>
      </c>
      <c r="X1766" s="168">
        <f t="shared" si="7"/>
        <v>0</v>
      </c>
      <c r="Y1766" s="168">
        <f t="shared" si="8"/>
        <v>0</v>
      </c>
      <c r="Z1766" s="168">
        <f t="shared" si="9"/>
        <v>0</v>
      </c>
    </row>
    <row r="1767" ht="14.25" customHeight="1">
      <c r="A1767" s="157" t="s">
        <v>1885</v>
      </c>
      <c r="B1767" s="158" t="s">
        <v>27</v>
      </c>
      <c r="C1767" s="158" t="s">
        <v>1873</v>
      </c>
      <c r="D1767" s="159">
        <v>44035.0</v>
      </c>
      <c r="E1767" s="157" t="s">
        <v>731</v>
      </c>
      <c r="F1767" s="160">
        <v>82870.97</v>
      </c>
      <c r="G1767" s="160">
        <v>13259.36</v>
      </c>
      <c r="H1767" s="160">
        <f t="shared" si="48"/>
        <v>96130.33</v>
      </c>
      <c r="I1767" s="160"/>
      <c r="J1767" s="161"/>
      <c r="K1767" s="160"/>
      <c r="L1767" s="160">
        <f>+'FACP$'!$H1767-'FACP$'!$I1767-'FACP$'!$K1767</f>
        <v>96130.33</v>
      </c>
      <c r="M1767" s="162" t="s">
        <v>1721</v>
      </c>
      <c r="N1767" s="162" t="s">
        <v>127</v>
      </c>
      <c r="O1767" s="175"/>
      <c r="P1767" s="164">
        <f t="shared" si="13"/>
        <v>44045</v>
      </c>
      <c r="Q1767" s="165">
        <f t="shared" si="2"/>
        <v>0</v>
      </c>
      <c r="R1767" s="167"/>
      <c r="S1767" s="167"/>
      <c r="T1767" s="168">
        <f t="shared" si="3"/>
        <v>96130.33</v>
      </c>
      <c r="U1767" s="168">
        <f t="shared" si="4"/>
        <v>0</v>
      </c>
      <c r="V1767" s="168">
        <f t="shared" si="5"/>
        <v>0</v>
      </c>
      <c r="W1767" s="168">
        <f t="shared" si="6"/>
        <v>0</v>
      </c>
      <c r="X1767" s="168">
        <f t="shared" si="7"/>
        <v>0</v>
      </c>
      <c r="Y1767" s="168">
        <f t="shared" si="8"/>
        <v>0</v>
      </c>
      <c r="Z1767" s="168">
        <f t="shared" si="9"/>
        <v>0</v>
      </c>
    </row>
    <row r="1768" ht="14.25" customHeight="1">
      <c r="A1768" s="157" t="s">
        <v>1886</v>
      </c>
      <c r="B1768" s="158" t="s">
        <v>27</v>
      </c>
      <c r="C1768" s="158" t="s">
        <v>1887</v>
      </c>
      <c r="D1768" s="159">
        <v>44035.0</v>
      </c>
      <c r="E1768" s="157" t="s">
        <v>731</v>
      </c>
      <c r="F1768" s="160">
        <v>98329.29</v>
      </c>
      <c r="G1768" s="160">
        <v>15732.69</v>
      </c>
      <c r="H1768" s="160">
        <f t="shared" si="48"/>
        <v>114061.98</v>
      </c>
      <c r="I1768" s="160"/>
      <c r="J1768" s="161"/>
      <c r="K1768" s="160"/>
      <c r="L1768" s="160">
        <f>+'FACP$'!$H1768-'FACP$'!$I1768-'FACP$'!$K1768</f>
        <v>114061.98</v>
      </c>
      <c r="M1768" s="162" t="s">
        <v>1721</v>
      </c>
      <c r="N1768" s="162" t="s">
        <v>127</v>
      </c>
      <c r="O1768" s="175"/>
      <c r="P1768" s="164">
        <f t="shared" si="13"/>
        <v>44045</v>
      </c>
      <c r="Q1768" s="165">
        <f t="shared" si="2"/>
        <v>0</v>
      </c>
      <c r="R1768" s="167"/>
      <c r="S1768" s="167"/>
      <c r="T1768" s="168">
        <f t="shared" si="3"/>
        <v>114061.98</v>
      </c>
      <c r="U1768" s="168">
        <f t="shared" si="4"/>
        <v>0</v>
      </c>
      <c r="V1768" s="168">
        <f t="shared" si="5"/>
        <v>0</v>
      </c>
      <c r="W1768" s="168">
        <f t="shared" si="6"/>
        <v>0</v>
      </c>
      <c r="X1768" s="168">
        <f t="shared" si="7"/>
        <v>0</v>
      </c>
      <c r="Y1768" s="168">
        <f t="shared" si="8"/>
        <v>0</v>
      </c>
      <c r="Z1768" s="168">
        <f t="shared" si="9"/>
        <v>0</v>
      </c>
    </row>
    <row r="1769" ht="14.25" customHeight="1">
      <c r="A1769" s="157" t="s">
        <v>1888</v>
      </c>
      <c r="B1769" s="158" t="s">
        <v>27</v>
      </c>
      <c r="C1769" s="158" t="s">
        <v>1873</v>
      </c>
      <c r="D1769" s="159">
        <v>44035.0</v>
      </c>
      <c r="E1769" s="157" t="s">
        <v>731</v>
      </c>
      <c r="F1769" s="160">
        <v>507610.67</v>
      </c>
      <c r="G1769" s="160">
        <v>81217.71</v>
      </c>
      <c r="H1769" s="160">
        <f t="shared" si="48"/>
        <v>588828.38</v>
      </c>
      <c r="I1769" s="160"/>
      <c r="J1769" s="161"/>
      <c r="K1769" s="160"/>
      <c r="L1769" s="160">
        <f>+'FACP$'!$H1769-'FACP$'!$I1769-'FACP$'!$K1769</f>
        <v>588828.38</v>
      </c>
      <c r="M1769" s="162" t="s">
        <v>969</v>
      </c>
      <c r="N1769" s="162" t="s">
        <v>554</v>
      </c>
      <c r="O1769" s="175">
        <v>44084.0</v>
      </c>
      <c r="P1769" s="164">
        <f t="shared" si="13"/>
        <v>44045</v>
      </c>
      <c r="Q1769" s="165">
        <f t="shared" si="2"/>
        <v>0</v>
      </c>
      <c r="R1769" s="167"/>
      <c r="S1769" s="167" t="s">
        <v>910</v>
      </c>
      <c r="T1769" s="168">
        <f t="shared" si="3"/>
        <v>588828.38</v>
      </c>
      <c r="U1769" s="168">
        <f t="shared" si="4"/>
        <v>0</v>
      </c>
      <c r="V1769" s="168">
        <f t="shared" si="5"/>
        <v>0</v>
      </c>
      <c r="W1769" s="168">
        <f t="shared" si="6"/>
        <v>0</v>
      </c>
      <c r="X1769" s="168">
        <f t="shared" si="7"/>
        <v>0</v>
      </c>
      <c r="Y1769" s="168">
        <f t="shared" si="8"/>
        <v>0</v>
      </c>
      <c r="Z1769" s="168">
        <f t="shared" si="9"/>
        <v>0</v>
      </c>
    </row>
    <row r="1770" ht="14.25" customHeight="1">
      <c r="A1770" s="157" t="s">
        <v>1889</v>
      </c>
      <c r="B1770" s="158" t="s">
        <v>27</v>
      </c>
      <c r="C1770" s="158" t="s">
        <v>1887</v>
      </c>
      <c r="D1770" s="159">
        <v>44035.0</v>
      </c>
      <c r="E1770" s="157" t="s">
        <v>731</v>
      </c>
      <c r="F1770" s="160">
        <v>481793.52</v>
      </c>
      <c r="G1770" s="160">
        <v>77086.96</v>
      </c>
      <c r="H1770" s="160">
        <f t="shared" si="48"/>
        <v>558880.48</v>
      </c>
      <c r="I1770" s="160"/>
      <c r="J1770" s="161"/>
      <c r="K1770" s="160"/>
      <c r="L1770" s="160">
        <f>+'FACP$'!$H1770-'FACP$'!$I1770-'FACP$'!$K1770</f>
        <v>558880.48</v>
      </c>
      <c r="M1770" s="162" t="s">
        <v>969</v>
      </c>
      <c r="N1770" s="162" t="s">
        <v>127</v>
      </c>
      <c r="O1770" s="175"/>
      <c r="P1770" s="164">
        <f t="shared" si="13"/>
        <v>44045</v>
      </c>
      <c r="Q1770" s="165">
        <f t="shared" si="2"/>
        <v>0</v>
      </c>
      <c r="R1770" s="167"/>
      <c r="S1770" s="167"/>
      <c r="T1770" s="168">
        <f t="shared" si="3"/>
        <v>558880.48</v>
      </c>
      <c r="U1770" s="168">
        <f t="shared" si="4"/>
        <v>0</v>
      </c>
      <c r="V1770" s="168">
        <f t="shared" si="5"/>
        <v>0</v>
      </c>
      <c r="W1770" s="168">
        <f t="shared" si="6"/>
        <v>0</v>
      </c>
      <c r="X1770" s="168">
        <f t="shared" si="7"/>
        <v>0</v>
      </c>
      <c r="Y1770" s="168">
        <f t="shared" si="8"/>
        <v>0</v>
      </c>
      <c r="Z1770" s="168">
        <f t="shared" si="9"/>
        <v>0</v>
      </c>
    </row>
    <row r="1771" ht="14.25" customHeight="1">
      <c r="A1771" s="157" t="s">
        <v>1890</v>
      </c>
      <c r="B1771" s="158" t="s">
        <v>27</v>
      </c>
      <c r="C1771" s="158" t="s">
        <v>1873</v>
      </c>
      <c r="D1771" s="159">
        <v>44035.0</v>
      </c>
      <c r="E1771" s="157" t="s">
        <v>731</v>
      </c>
      <c r="F1771" s="160">
        <v>275209.32</v>
      </c>
      <c r="G1771" s="160">
        <v>44033.49</v>
      </c>
      <c r="H1771" s="160">
        <f t="shared" si="48"/>
        <v>319242.81</v>
      </c>
      <c r="I1771" s="160"/>
      <c r="J1771" s="161"/>
      <c r="K1771" s="160"/>
      <c r="L1771" s="160">
        <f>+'FACP$'!$H1771-'FACP$'!$I1771-'FACP$'!$K1771</f>
        <v>319242.81</v>
      </c>
      <c r="M1771" s="162" t="s">
        <v>1644</v>
      </c>
      <c r="N1771" s="162" t="s">
        <v>127</v>
      </c>
      <c r="O1771" s="175"/>
      <c r="P1771" s="164">
        <f t="shared" si="13"/>
        <v>44045</v>
      </c>
      <c r="Q1771" s="165">
        <f t="shared" si="2"/>
        <v>0</v>
      </c>
      <c r="R1771" s="167"/>
      <c r="S1771" s="167"/>
      <c r="T1771" s="168">
        <f t="shared" si="3"/>
        <v>319242.81</v>
      </c>
      <c r="U1771" s="168">
        <f t="shared" si="4"/>
        <v>0</v>
      </c>
      <c r="V1771" s="168">
        <f t="shared" si="5"/>
        <v>0</v>
      </c>
      <c r="W1771" s="168">
        <f t="shared" si="6"/>
        <v>0</v>
      </c>
      <c r="X1771" s="168">
        <f t="shared" si="7"/>
        <v>0</v>
      </c>
      <c r="Y1771" s="168">
        <f t="shared" si="8"/>
        <v>0</v>
      </c>
      <c r="Z1771" s="168">
        <f t="shared" si="9"/>
        <v>0</v>
      </c>
    </row>
    <row r="1772" ht="14.25" customHeight="1">
      <c r="A1772" s="157" t="s">
        <v>1891</v>
      </c>
      <c r="B1772" s="158" t="s">
        <v>27</v>
      </c>
      <c r="C1772" s="158" t="s">
        <v>1887</v>
      </c>
      <c r="D1772" s="159">
        <v>44035.0</v>
      </c>
      <c r="E1772" s="157" t="s">
        <v>731</v>
      </c>
      <c r="F1772" s="160">
        <v>325561.47</v>
      </c>
      <c r="G1772" s="160">
        <v>52089.84</v>
      </c>
      <c r="H1772" s="160">
        <f t="shared" si="48"/>
        <v>377651.31</v>
      </c>
      <c r="I1772" s="160"/>
      <c r="J1772" s="161"/>
      <c r="K1772" s="160"/>
      <c r="L1772" s="160">
        <f>+'FACP$'!$H1772-'FACP$'!$I1772-'FACP$'!$K1772</f>
        <v>377651.31</v>
      </c>
      <c r="M1772" s="162" t="s">
        <v>1644</v>
      </c>
      <c r="N1772" s="162" t="s">
        <v>127</v>
      </c>
      <c r="O1772" s="175"/>
      <c r="P1772" s="164">
        <f t="shared" si="13"/>
        <v>44045</v>
      </c>
      <c r="Q1772" s="165">
        <f t="shared" si="2"/>
        <v>0</v>
      </c>
      <c r="R1772" s="167"/>
      <c r="S1772" s="167"/>
      <c r="T1772" s="168">
        <f t="shared" si="3"/>
        <v>377651.31</v>
      </c>
      <c r="U1772" s="168">
        <f t="shared" si="4"/>
        <v>0</v>
      </c>
      <c r="V1772" s="168">
        <f t="shared" si="5"/>
        <v>0</v>
      </c>
      <c r="W1772" s="168">
        <f t="shared" si="6"/>
        <v>0</v>
      </c>
      <c r="X1772" s="168">
        <f t="shared" si="7"/>
        <v>0</v>
      </c>
      <c r="Y1772" s="168">
        <f t="shared" si="8"/>
        <v>0</v>
      </c>
      <c r="Z1772" s="168">
        <f t="shared" si="9"/>
        <v>0</v>
      </c>
    </row>
    <row r="1773" ht="14.25" customHeight="1">
      <c r="A1773" s="157" t="s">
        <v>1892</v>
      </c>
      <c r="B1773" s="158" t="s">
        <v>16</v>
      </c>
      <c r="C1773" s="158" t="s">
        <v>1658</v>
      </c>
      <c r="D1773" s="159">
        <v>44035.0</v>
      </c>
      <c r="E1773" s="157" t="s">
        <v>731</v>
      </c>
      <c r="F1773" s="160">
        <v>11316.0</v>
      </c>
      <c r="G1773" s="160">
        <v>1810.56</v>
      </c>
      <c r="H1773" s="160">
        <f>F1773+G1773-4958.29</f>
        <v>8168.27</v>
      </c>
      <c r="I1773" s="160"/>
      <c r="J1773" s="161"/>
      <c r="K1773" s="160"/>
      <c r="L1773" s="160">
        <f>+'FACP$'!$H1773-'FACP$'!$I1773-'FACP$'!$K1773</f>
        <v>8168.27</v>
      </c>
      <c r="M1773" s="162" t="s">
        <v>985</v>
      </c>
      <c r="N1773" s="162" t="s">
        <v>554</v>
      </c>
      <c r="O1773" s="175">
        <v>44078.0</v>
      </c>
      <c r="P1773" s="164">
        <f t="shared" si="13"/>
        <v>44045</v>
      </c>
      <c r="Q1773" s="165">
        <f t="shared" si="2"/>
        <v>0</v>
      </c>
      <c r="R1773" s="220" t="s">
        <v>1893</v>
      </c>
      <c r="S1773" s="167"/>
      <c r="T1773" s="168">
        <f t="shared" si="3"/>
        <v>8168.27</v>
      </c>
      <c r="U1773" s="168">
        <f t="shared" si="4"/>
        <v>0</v>
      </c>
      <c r="V1773" s="168">
        <f t="shared" si="5"/>
        <v>0</v>
      </c>
      <c r="W1773" s="168">
        <f t="shared" si="6"/>
        <v>0</v>
      </c>
      <c r="X1773" s="168">
        <f t="shared" si="7"/>
        <v>0</v>
      </c>
      <c r="Y1773" s="168">
        <f t="shared" si="8"/>
        <v>0</v>
      </c>
      <c r="Z1773" s="168">
        <f t="shared" si="9"/>
        <v>0</v>
      </c>
    </row>
    <row r="1774" ht="14.25" customHeight="1">
      <c r="A1774" s="157" t="s">
        <v>1894</v>
      </c>
      <c r="B1774" s="158" t="s">
        <v>37</v>
      </c>
      <c r="C1774" s="158" t="s">
        <v>1658</v>
      </c>
      <c r="D1774" s="159">
        <v>44035.0</v>
      </c>
      <c r="E1774" s="157" t="s">
        <v>731</v>
      </c>
      <c r="F1774" s="160">
        <v>38376.0</v>
      </c>
      <c r="G1774" s="160">
        <v>6140.16</v>
      </c>
      <c r="H1774" s="160">
        <f t="shared" ref="H1774:H1932" si="49">F1774+G1774</f>
        <v>44516.16</v>
      </c>
      <c r="I1774" s="160"/>
      <c r="J1774" s="161"/>
      <c r="K1774" s="160"/>
      <c r="L1774" s="160">
        <f>+'FACP$'!$H1774-'FACP$'!$I1774-'FACP$'!$K1774</f>
        <v>44516.16</v>
      </c>
      <c r="M1774" s="162" t="s">
        <v>116</v>
      </c>
      <c r="N1774" s="162" t="s">
        <v>554</v>
      </c>
      <c r="O1774" s="175">
        <v>44123.0</v>
      </c>
      <c r="P1774" s="164">
        <f t="shared" si="13"/>
        <v>44045</v>
      </c>
      <c r="Q1774" s="165">
        <f t="shared" si="2"/>
        <v>0</v>
      </c>
      <c r="R1774" s="220"/>
      <c r="S1774" s="167" t="s">
        <v>910</v>
      </c>
      <c r="T1774" s="168">
        <f t="shared" si="3"/>
        <v>44516.16</v>
      </c>
      <c r="U1774" s="168">
        <f t="shared" si="4"/>
        <v>0</v>
      </c>
      <c r="V1774" s="168">
        <f t="shared" si="5"/>
        <v>0</v>
      </c>
      <c r="W1774" s="168">
        <f t="shared" si="6"/>
        <v>0</v>
      </c>
      <c r="X1774" s="168">
        <f t="shared" si="7"/>
        <v>0</v>
      </c>
      <c r="Y1774" s="168">
        <f t="shared" si="8"/>
        <v>0</v>
      </c>
      <c r="Z1774" s="168">
        <f t="shared" si="9"/>
        <v>0</v>
      </c>
    </row>
    <row r="1775" ht="14.25" customHeight="1">
      <c r="A1775" s="157" t="s">
        <v>1895</v>
      </c>
      <c r="B1775" s="158" t="s">
        <v>16</v>
      </c>
      <c r="C1775" s="158" t="s">
        <v>1658</v>
      </c>
      <c r="D1775" s="159">
        <v>44035.0</v>
      </c>
      <c r="E1775" s="157" t="s">
        <v>731</v>
      </c>
      <c r="F1775" s="160">
        <v>11316.0</v>
      </c>
      <c r="G1775" s="160">
        <v>1810.56</v>
      </c>
      <c r="H1775" s="160">
        <f t="shared" si="49"/>
        <v>13126.56</v>
      </c>
      <c r="I1775" s="160"/>
      <c r="J1775" s="161"/>
      <c r="K1775" s="160"/>
      <c r="L1775" s="160">
        <f>+'FACP$'!$H1775-'FACP$'!$I1775-'FACP$'!$K1775</f>
        <v>13126.56</v>
      </c>
      <c r="M1775" s="162" t="s">
        <v>985</v>
      </c>
      <c r="N1775" s="162" t="s">
        <v>554</v>
      </c>
      <c r="O1775" s="175">
        <v>44078.0</v>
      </c>
      <c r="P1775" s="164">
        <f t="shared" si="13"/>
        <v>44045</v>
      </c>
      <c r="Q1775" s="165">
        <f t="shared" si="2"/>
        <v>0</v>
      </c>
      <c r="R1775" s="167"/>
      <c r="S1775" s="167"/>
      <c r="T1775" s="168">
        <f t="shared" si="3"/>
        <v>13126.56</v>
      </c>
      <c r="U1775" s="168">
        <f t="shared" si="4"/>
        <v>0</v>
      </c>
      <c r="V1775" s="168">
        <f t="shared" si="5"/>
        <v>0</v>
      </c>
      <c r="W1775" s="168">
        <f t="shared" si="6"/>
        <v>0</v>
      </c>
      <c r="X1775" s="168">
        <f t="shared" si="7"/>
        <v>0</v>
      </c>
      <c r="Y1775" s="168">
        <f t="shared" si="8"/>
        <v>0</v>
      </c>
      <c r="Z1775" s="168">
        <f t="shared" si="9"/>
        <v>0</v>
      </c>
    </row>
    <row r="1776" ht="14.25" customHeight="1">
      <c r="A1776" s="157" t="s">
        <v>1896</v>
      </c>
      <c r="B1776" s="158" t="s">
        <v>29</v>
      </c>
      <c r="C1776" s="158" t="s">
        <v>1658</v>
      </c>
      <c r="D1776" s="159">
        <v>44035.0</v>
      </c>
      <c r="E1776" s="157" t="s">
        <v>731</v>
      </c>
      <c r="F1776" s="160">
        <v>19188.0</v>
      </c>
      <c r="G1776" s="160">
        <v>3070.08</v>
      </c>
      <c r="H1776" s="160">
        <f t="shared" si="49"/>
        <v>22258.08</v>
      </c>
      <c r="I1776" s="160"/>
      <c r="J1776" s="161"/>
      <c r="K1776" s="160"/>
      <c r="L1776" s="160">
        <f>+'FACP$'!$H1776-'FACP$'!$I1776-'FACP$'!$K1776</f>
        <v>22258.08</v>
      </c>
      <c r="M1776" s="162" t="s">
        <v>130</v>
      </c>
      <c r="N1776" s="162" t="s">
        <v>554</v>
      </c>
      <c r="O1776" s="175">
        <v>44075.0</v>
      </c>
      <c r="P1776" s="164">
        <f t="shared" si="13"/>
        <v>44045</v>
      </c>
      <c r="Q1776" s="165">
        <f t="shared" si="2"/>
        <v>0</v>
      </c>
      <c r="R1776" s="167"/>
      <c r="S1776" s="167"/>
      <c r="T1776" s="168">
        <f t="shared" si="3"/>
        <v>22258.08</v>
      </c>
      <c r="U1776" s="168">
        <f t="shared" si="4"/>
        <v>0</v>
      </c>
      <c r="V1776" s="168">
        <f t="shared" si="5"/>
        <v>0</v>
      </c>
      <c r="W1776" s="168">
        <f t="shared" si="6"/>
        <v>0</v>
      </c>
      <c r="X1776" s="168">
        <f t="shared" si="7"/>
        <v>0</v>
      </c>
      <c r="Y1776" s="168">
        <f t="shared" si="8"/>
        <v>0</v>
      </c>
      <c r="Z1776" s="168">
        <f t="shared" si="9"/>
        <v>0</v>
      </c>
    </row>
    <row r="1777" ht="14.25" customHeight="1">
      <c r="A1777" s="157" t="s">
        <v>1897</v>
      </c>
      <c r="B1777" s="158" t="s">
        <v>41</v>
      </c>
      <c r="C1777" s="158" t="s">
        <v>1658</v>
      </c>
      <c r="D1777" s="159">
        <v>44035.0</v>
      </c>
      <c r="E1777" s="157" t="s">
        <v>731</v>
      </c>
      <c r="F1777" s="160">
        <v>19188.0</v>
      </c>
      <c r="G1777" s="160">
        <v>3070.08</v>
      </c>
      <c r="H1777" s="160">
        <f t="shared" si="49"/>
        <v>22258.08</v>
      </c>
      <c r="I1777" s="160"/>
      <c r="J1777" s="161"/>
      <c r="K1777" s="160"/>
      <c r="L1777" s="160">
        <f>+'FACP$'!$H1777-'FACP$'!$I1777-'FACP$'!$K1777</f>
        <v>22258.08</v>
      </c>
      <c r="M1777" s="162" t="s">
        <v>121</v>
      </c>
      <c r="N1777" s="162" t="s">
        <v>554</v>
      </c>
      <c r="O1777" s="175">
        <v>44099.0</v>
      </c>
      <c r="P1777" s="164">
        <f t="shared" si="13"/>
        <v>44045</v>
      </c>
      <c r="Q1777" s="165">
        <f t="shared" si="2"/>
        <v>0</v>
      </c>
      <c r="R1777" s="167"/>
      <c r="S1777" s="167"/>
      <c r="T1777" s="168">
        <f t="shared" si="3"/>
        <v>22258.08</v>
      </c>
      <c r="U1777" s="168">
        <f t="shared" si="4"/>
        <v>0</v>
      </c>
      <c r="V1777" s="168">
        <f t="shared" si="5"/>
        <v>0</v>
      </c>
      <c r="W1777" s="168">
        <f t="shared" si="6"/>
        <v>0</v>
      </c>
      <c r="X1777" s="168">
        <f t="shared" si="7"/>
        <v>0</v>
      </c>
      <c r="Y1777" s="168">
        <f t="shared" si="8"/>
        <v>0</v>
      </c>
      <c r="Z1777" s="168">
        <f t="shared" si="9"/>
        <v>0</v>
      </c>
    </row>
    <row r="1778" ht="14.25" customHeight="1">
      <c r="A1778" s="157" t="s">
        <v>1898</v>
      </c>
      <c r="B1778" s="158" t="s">
        <v>37</v>
      </c>
      <c r="C1778" s="158" t="s">
        <v>1658</v>
      </c>
      <c r="D1778" s="159">
        <v>44035.0</v>
      </c>
      <c r="E1778" s="157" t="s">
        <v>731</v>
      </c>
      <c r="F1778" s="160">
        <v>38376.0</v>
      </c>
      <c r="G1778" s="160">
        <v>6140.16</v>
      </c>
      <c r="H1778" s="160">
        <f t="shared" si="49"/>
        <v>44516.16</v>
      </c>
      <c r="I1778" s="160"/>
      <c r="J1778" s="161"/>
      <c r="K1778" s="160"/>
      <c r="L1778" s="160">
        <f>+'FACP$'!$H1778-'FACP$'!$I1778-'FACP$'!$K1778</f>
        <v>44516.16</v>
      </c>
      <c r="M1778" s="162" t="s">
        <v>116</v>
      </c>
      <c r="N1778" s="162" t="s">
        <v>554</v>
      </c>
      <c r="O1778" s="175">
        <v>44081.0</v>
      </c>
      <c r="P1778" s="164">
        <f t="shared" si="13"/>
        <v>44045</v>
      </c>
      <c r="Q1778" s="165">
        <f t="shared" si="2"/>
        <v>0</v>
      </c>
      <c r="R1778" s="167"/>
      <c r="S1778" s="220" t="s">
        <v>910</v>
      </c>
      <c r="T1778" s="168">
        <f t="shared" si="3"/>
        <v>44516.16</v>
      </c>
      <c r="U1778" s="168">
        <f t="shared" si="4"/>
        <v>0</v>
      </c>
      <c r="V1778" s="168">
        <f t="shared" si="5"/>
        <v>0</v>
      </c>
      <c r="W1778" s="168">
        <f t="shared" si="6"/>
        <v>0</v>
      </c>
      <c r="X1778" s="168">
        <f t="shared" si="7"/>
        <v>0</v>
      </c>
      <c r="Y1778" s="168">
        <f t="shared" si="8"/>
        <v>0</v>
      </c>
      <c r="Z1778" s="168">
        <f t="shared" si="9"/>
        <v>0</v>
      </c>
    </row>
    <row r="1779" ht="14.25" customHeight="1">
      <c r="A1779" s="157" t="s">
        <v>1899</v>
      </c>
      <c r="B1779" s="158" t="s">
        <v>37</v>
      </c>
      <c r="C1779" s="158" t="s">
        <v>1658</v>
      </c>
      <c r="D1779" s="159">
        <v>44035.0</v>
      </c>
      <c r="E1779" s="157" t="s">
        <v>731</v>
      </c>
      <c r="F1779" s="160">
        <v>38376.0</v>
      </c>
      <c r="G1779" s="160">
        <v>6140.16</v>
      </c>
      <c r="H1779" s="160">
        <f t="shared" si="49"/>
        <v>44516.16</v>
      </c>
      <c r="I1779" s="160"/>
      <c r="J1779" s="161"/>
      <c r="K1779" s="160"/>
      <c r="L1779" s="160">
        <f>+'FACP$'!$H1779-'FACP$'!$I1779-'FACP$'!$K1779</f>
        <v>44516.16</v>
      </c>
      <c r="M1779" s="162" t="s">
        <v>116</v>
      </c>
      <c r="N1779" s="162" t="s">
        <v>554</v>
      </c>
      <c r="O1779" s="175">
        <v>44081.0</v>
      </c>
      <c r="P1779" s="164">
        <f t="shared" si="13"/>
        <v>44045</v>
      </c>
      <c r="Q1779" s="165">
        <f t="shared" si="2"/>
        <v>0</v>
      </c>
      <c r="R1779" s="167"/>
      <c r="S1779" s="220" t="s">
        <v>910</v>
      </c>
      <c r="T1779" s="168">
        <f t="shared" si="3"/>
        <v>44516.16</v>
      </c>
      <c r="U1779" s="168">
        <f t="shared" si="4"/>
        <v>0</v>
      </c>
      <c r="V1779" s="168">
        <f t="shared" si="5"/>
        <v>0</v>
      </c>
      <c r="W1779" s="168">
        <f t="shared" si="6"/>
        <v>0</v>
      </c>
      <c r="X1779" s="168">
        <f t="shared" si="7"/>
        <v>0</v>
      </c>
      <c r="Y1779" s="168">
        <f t="shared" si="8"/>
        <v>0</v>
      </c>
      <c r="Z1779" s="168">
        <f t="shared" si="9"/>
        <v>0</v>
      </c>
    </row>
    <row r="1780" ht="14.25" customHeight="1">
      <c r="A1780" s="157" t="s">
        <v>1900</v>
      </c>
      <c r="B1780" s="158" t="s">
        <v>37</v>
      </c>
      <c r="C1780" s="158" t="s">
        <v>1658</v>
      </c>
      <c r="D1780" s="159">
        <v>44035.0</v>
      </c>
      <c r="E1780" s="157" t="s">
        <v>731</v>
      </c>
      <c r="F1780" s="160">
        <v>38376.0</v>
      </c>
      <c r="G1780" s="160">
        <v>6140.16</v>
      </c>
      <c r="H1780" s="160">
        <f t="shared" si="49"/>
        <v>44516.16</v>
      </c>
      <c r="I1780" s="160"/>
      <c r="J1780" s="161"/>
      <c r="K1780" s="160"/>
      <c r="L1780" s="160">
        <f>+'FACP$'!$H1780-'FACP$'!$I1780-'FACP$'!$K1780</f>
        <v>44516.16</v>
      </c>
      <c r="M1780" s="162" t="s">
        <v>116</v>
      </c>
      <c r="N1780" s="162" t="s">
        <v>554</v>
      </c>
      <c r="O1780" s="175">
        <v>44081.0</v>
      </c>
      <c r="P1780" s="164">
        <f t="shared" si="13"/>
        <v>44045</v>
      </c>
      <c r="Q1780" s="165">
        <f t="shared" si="2"/>
        <v>0</v>
      </c>
      <c r="R1780" s="167"/>
      <c r="S1780" s="220" t="s">
        <v>910</v>
      </c>
      <c r="T1780" s="168">
        <f t="shared" si="3"/>
        <v>44516.16</v>
      </c>
      <c r="U1780" s="168">
        <f t="shared" si="4"/>
        <v>0</v>
      </c>
      <c r="V1780" s="168">
        <f t="shared" si="5"/>
        <v>0</v>
      </c>
      <c r="W1780" s="168">
        <f t="shared" si="6"/>
        <v>0</v>
      </c>
      <c r="X1780" s="168">
        <f t="shared" si="7"/>
        <v>0</v>
      </c>
      <c r="Y1780" s="168">
        <f t="shared" si="8"/>
        <v>0</v>
      </c>
      <c r="Z1780" s="168">
        <f t="shared" si="9"/>
        <v>0</v>
      </c>
    </row>
    <row r="1781" ht="14.25" customHeight="1">
      <c r="A1781" s="157" t="s">
        <v>1901</v>
      </c>
      <c r="B1781" s="158" t="s">
        <v>37</v>
      </c>
      <c r="C1781" s="158" t="s">
        <v>1658</v>
      </c>
      <c r="D1781" s="159">
        <v>44035.0</v>
      </c>
      <c r="E1781" s="157" t="s">
        <v>731</v>
      </c>
      <c r="F1781" s="160">
        <v>38376.0</v>
      </c>
      <c r="G1781" s="160">
        <v>6140.16</v>
      </c>
      <c r="H1781" s="160">
        <f t="shared" si="49"/>
        <v>44516.16</v>
      </c>
      <c r="I1781" s="160"/>
      <c r="J1781" s="161"/>
      <c r="K1781" s="160"/>
      <c r="L1781" s="160">
        <f>+'FACP$'!$H1781-'FACP$'!$I1781-'FACP$'!$K1781</f>
        <v>44516.16</v>
      </c>
      <c r="M1781" s="162" t="s">
        <v>116</v>
      </c>
      <c r="N1781" s="162" t="s">
        <v>554</v>
      </c>
      <c r="O1781" s="175">
        <v>44081.0</v>
      </c>
      <c r="P1781" s="164">
        <f t="shared" si="13"/>
        <v>44045</v>
      </c>
      <c r="Q1781" s="165">
        <f t="shared" si="2"/>
        <v>0</v>
      </c>
      <c r="R1781" s="167"/>
      <c r="S1781" s="220" t="s">
        <v>910</v>
      </c>
      <c r="T1781" s="168">
        <f t="shared" si="3"/>
        <v>44516.16</v>
      </c>
      <c r="U1781" s="168">
        <f t="shared" si="4"/>
        <v>0</v>
      </c>
      <c r="V1781" s="168">
        <f t="shared" si="5"/>
        <v>0</v>
      </c>
      <c r="W1781" s="168">
        <f t="shared" si="6"/>
        <v>0</v>
      </c>
      <c r="X1781" s="168">
        <f t="shared" si="7"/>
        <v>0</v>
      </c>
      <c r="Y1781" s="168">
        <f t="shared" si="8"/>
        <v>0</v>
      </c>
      <c r="Z1781" s="168">
        <f t="shared" si="9"/>
        <v>0</v>
      </c>
    </row>
    <row r="1782" ht="14.25" customHeight="1">
      <c r="A1782" s="157" t="s">
        <v>1902</v>
      </c>
      <c r="B1782" s="158" t="s">
        <v>16</v>
      </c>
      <c r="C1782" s="158" t="s">
        <v>1658</v>
      </c>
      <c r="D1782" s="159">
        <v>44035.0</v>
      </c>
      <c r="E1782" s="157" t="s">
        <v>731</v>
      </c>
      <c r="F1782" s="160">
        <v>11316.0</v>
      </c>
      <c r="G1782" s="160">
        <v>1810.56</v>
      </c>
      <c r="H1782" s="160">
        <f t="shared" si="49"/>
        <v>13126.56</v>
      </c>
      <c r="I1782" s="160"/>
      <c r="J1782" s="161"/>
      <c r="K1782" s="160"/>
      <c r="L1782" s="160">
        <f>+'FACP$'!$H1782-'FACP$'!$I1782-'FACP$'!$K1782</f>
        <v>13126.56</v>
      </c>
      <c r="M1782" s="162" t="s">
        <v>985</v>
      </c>
      <c r="N1782" s="162" t="s">
        <v>554</v>
      </c>
      <c r="O1782" s="175">
        <v>44078.0</v>
      </c>
      <c r="P1782" s="164">
        <f t="shared" si="13"/>
        <v>44045</v>
      </c>
      <c r="Q1782" s="165">
        <f t="shared" si="2"/>
        <v>0</v>
      </c>
      <c r="R1782" s="167"/>
      <c r="S1782" s="167"/>
      <c r="T1782" s="168">
        <f t="shared" si="3"/>
        <v>13126.56</v>
      </c>
      <c r="U1782" s="168">
        <f t="shared" si="4"/>
        <v>0</v>
      </c>
      <c r="V1782" s="168">
        <f t="shared" si="5"/>
        <v>0</v>
      </c>
      <c r="W1782" s="168">
        <f t="shared" si="6"/>
        <v>0</v>
      </c>
      <c r="X1782" s="168">
        <f t="shared" si="7"/>
        <v>0</v>
      </c>
      <c r="Y1782" s="168">
        <f t="shared" si="8"/>
        <v>0</v>
      </c>
      <c r="Z1782" s="168">
        <f t="shared" si="9"/>
        <v>0</v>
      </c>
    </row>
    <row r="1783" ht="14.25" customHeight="1">
      <c r="A1783" s="157" t="s">
        <v>1903</v>
      </c>
      <c r="B1783" s="158" t="s">
        <v>16</v>
      </c>
      <c r="C1783" s="158" t="s">
        <v>1658</v>
      </c>
      <c r="D1783" s="159">
        <v>44035.0</v>
      </c>
      <c r="E1783" s="157" t="s">
        <v>731</v>
      </c>
      <c r="F1783" s="160">
        <v>11316.0</v>
      </c>
      <c r="G1783" s="160">
        <v>1810.56</v>
      </c>
      <c r="H1783" s="160">
        <f t="shared" si="49"/>
        <v>13126.56</v>
      </c>
      <c r="I1783" s="160"/>
      <c r="J1783" s="161"/>
      <c r="K1783" s="160"/>
      <c r="L1783" s="160">
        <f>+'FACP$'!$H1783-'FACP$'!$I1783-'FACP$'!$K1783</f>
        <v>13126.56</v>
      </c>
      <c r="M1783" s="162" t="s">
        <v>985</v>
      </c>
      <c r="N1783" s="162" t="s">
        <v>554</v>
      </c>
      <c r="O1783" s="175">
        <v>44078.0</v>
      </c>
      <c r="P1783" s="164">
        <f t="shared" si="13"/>
        <v>44045</v>
      </c>
      <c r="Q1783" s="165">
        <f t="shared" si="2"/>
        <v>0</v>
      </c>
      <c r="R1783" s="167"/>
      <c r="S1783" s="167"/>
      <c r="T1783" s="168">
        <f t="shared" si="3"/>
        <v>13126.56</v>
      </c>
      <c r="U1783" s="168">
        <f t="shared" si="4"/>
        <v>0</v>
      </c>
      <c r="V1783" s="168">
        <f t="shared" si="5"/>
        <v>0</v>
      </c>
      <c r="W1783" s="168">
        <f t="shared" si="6"/>
        <v>0</v>
      </c>
      <c r="X1783" s="168">
        <f t="shared" si="7"/>
        <v>0</v>
      </c>
      <c r="Y1783" s="168">
        <f t="shared" si="8"/>
        <v>0</v>
      </c>
      <c r="Z1783" s="168">
        <f t="shared" si="9"/>
        <v>0</v>
      </c>
    </row>
    <row r="1784" ht="14.25" customHeight="1">
      <c r="A1784" s="157" t="s">
        <v>1904</v>
      </c>
      <c r="B1784" s="158" t="s">
        <v>37</v>
      </c>
      <c r="C1784" s="158" t="s">
        <v>1658</v>
      </c>
      <c r="D1784" s="159">
        <v>44036.0</v>
      </c>
      <c r="E1784" s="157" t="s">
        <v>731</v>
      </c>
      <c r="F1784" s="160">
        <v>38376.0</v>
      </c>
      <c r="G1784" s="160">
        <v>6140.16</v>
      </c>
      <c r="H1784" s="160">
        <f t="shared" si="49"/>
        <v>44516.16</v>
      </c>
      <c r="I1784" s="160"/>
      <c r="J1784" s="161"/>
      <c r="K1784" s="160"/>
      <c r="L1784" s="160">
        <f>+'FACP$'!$H1784-'FACP$'!$I1784-'FACP$'!$K1784</f>
        <v>44516.16</v>
      </c>
      <c r="M1784" s="162" t="s">
        <v>116</v>
      </c>
      <c r="N1784" s="162" t="s">
        <v>554</v>
      </c>
      <c r="O1784" s="175">
        <v>44081.0</v>
      </c>
      <c r="P1784" s="164">
        <f t="shared" si="13"/>
        <v>44046</v>
      </c>
      <c r="Q1784" s="165">
        <f t="shared" si="2"/>
        <v>0</v>
      </c>
      <c r="R1784" s="167"/>
      <c r="S1784" s="220" t="s">
        <v>910</v>
      </c>
      <c r="T1784" s="168">
        <f t="shared" si="3"/>
        <v>44516.16</v>
      </c>
      <c r="U1784" s="168">
        <f t="shared" si="4"/>
        <v>0</v>
      </c>
      <c r="V1784" s="168">
        <f t="shared" si="5"/>
        <v>0</v>
      </c>
      <c r="W1784" s="168">
        <f t="shared" si="6"/>
        <v>0</v>
      </c>
      <c r="X1784" s="168">
        <f t="shared" si="7"/>
        <v>0</v>
      </c>
      <c r="Y1784" s="168">
        <f t="shared" si="8"/>
        <v>0</v>
      </c>
      <c r="Z1784" s="168">
        <f t="shared" si="9"/>
        <v>0</v>
      </c>
    </row>
    <row r="1785" ht="14.25" customHeight="1">
      <c r="A1785" s="157" t="s">
        <v>1905</v>
      </c>
      <c r="B1785" s="158" t="s">
        <v>29</v>
      </c>
      <c r="C1785" s="158" t="s">
        <v>1658</v>
      </c>
      <c r="D1785" s="159">
        <v>44036.0</v>
      </c>
      <c r="E1785" s="157" t="s">
        <v>731</v>
      </c>
      <c r="F1785" s="160">
        <v>19188.0</v>
      </c>
      <c r="G1785" s="160">
        <v>3070.08</v>
      </c>
      <c r="H1785" s="160">
        <f t="shared" si="49"/>
        <v>22258.08</v>
      </c>
      <c r="I1785" s="160"/>
      <c r="J1785" s="161"/>
      <c r="K1785" s="160"/>
      <c r="L1785" s="160">
        <f>+'FACP$'!$H1785-'FACP$'!$I1785-'FACP$'!$K1785</f>
        <v>22258.08</v>
      </c>
      <c r="M1785" s="162" t="s">
        <v>130</v>
      </c>
      <c r="N1785" s="162" t="s">
        <v>554</v>
      </c>
      <c r="O1785" s="175">
        <v>44075.0</v>
      </c>
      <c r="P1785" s="164">
        <f t="shared" si="13"/>
        <v>44046</v>
      </c>
      <c r="Q1785" s="165">
        <f t="shared" si="2"/>
        <v>0</v>
      </c>
      <c r="R1785" s="167"/>
      <c r="S1785" s="167"/>
      <c r="T1785" s="168">
        <f t="shared" si="3"/>
        <v>22258.08</v>
      </c>
      <c r="U1785" s="168">
        <f t="shared" si="4"/>
        <v>0</v>
      </c>
      <c r="V1785" s="168">
        <f t="shared" si="5"/>
        <v>0</v>
      </c>
      <c r="W1785" s="168">
        <f t="shared" si="6"/>
        <v>0</v>
      </c>
      <c r="X1785" s="168">
        <f t="shared" si="7"/>
        <v>0</v>
      </c>
      <c r="Y1785" s="168">
        <f t="shared" si="8"/>
        <v>0</v>
      </c>
      <c r="Z1785" s="168">
        <f t="shared" si="9"/>
        <v>0</v>
      </c>
    </row>
    <row r="1786" ht="14.25" customHeight="1">
      <c r="A1786" s="157" t="s">
        <v>1906</v>
      </c>
      <c r="B1786" s="158" t="s">
        <v>18</v>
      </c>
      <c r="C1786" s="158" t="s">
        <v>1658</v>
      </c>
      <c r="D1786" s="159">
        <v>44036.0</v>
      </c>
      <c r="E1786" s="157" t="s">
        <v>731</v>
      </c>
      <c r="F1786" s="160">
        <v>19188.0</v>
      </c>
      <c r="G1786" s="160">
        <v>3070.08</v>
      </c>
      <c r="H1786" s="160">
        <f t="shared" si="49"/>
        <v>22258.08</v>
      </c>
      <c r="I1786" s="160"/>
      <c r="J1786" s="161"/>
      <c r="K1786" s="160"/>
      <c r="L1786" s="160">
        <f>+'FACP$'!$H1786-'FACP$'!$I1786-'FACP$'!$K1786</f>
        <v>22258.08</v>
      </c>
      <c r="M1786" s="162" t="s">
        <v>586</v>
      </c>
      <c r="N1786" s="162" t="s">
        <v>554</v>
      </c>
      <c r="O1786" s="175">
        <v>44077.0</v>
      </c>
      <c r="P1786" s="164">
        <f t="shared" si="13"/>
        <v>44046</v>
      </c>
      <c r="Q1786" s="165">
        <f t="shared" si="2"/>
        <v>0</v>
      </c>
      <c r="R1786" s="167"/>
      <c r="S1786" s="167" t="s">
        <v>910</v>
      </c>
      <c r="T1786" s="168">
        <f t="shared" si="3"/>
        <v>22258.08</v>
      </c>
      <c r="U1786" s="168">
        <f t="shared" si="4"/>
        <v>0</v>
      </c>
      <c r="V1786" s="168">
        <f t="shared" si="5"/>
        <v>0</v>
      </c>
      <c r="W1786" s="168">
        <f t="shared" si="6"/>
        <v>0</v>
      </c>
      <c r="X1786" s="168">
        <f t="shared" si="7"/>
        <v>0</v>
      </c>
      <c r="Y1786" s="168">
        <f t="shared" si="8"/>
        <v>0</v>
      </c>
      <c r="Z1786" s="168">
        <f t="shared" si="9"/>
        <v>0</v>
      </c>
    </row>
    <row r="1787" ht="14.25" customHeight="1">
      <c r="A1787" s="157" t="s">
        <v>1907</v>
      </c>
      <c r="B1787" s="158" t="s">
        <v>16</v>
      </c>
      <c r="C1787" s="158" t="s">
        <v>1658</v>
      </c>
      <c r="D1787" s="159">
        <v>44036.0</v>
      </c>
      <c r="E1787" s="157" t="s">
        <v>731</v>
      </c>
      <c r="F1787" s="160">
        <v>11316.0</v>
      </c>
      <c r="G1787" s="160">
        <v>1810.56</v>
      </c>
      <c r="H1787" s="160">
        <f t="shared" si="49"/>
        <v>13126.56</v>
      </c>
      <c r="I1787" s="160"/>
      <c r="J1787" s="161"/>
      <c r="K1787" s="160"/>
      <c r="L1787" s="160">
        <f>+'FACP$'!$H1787-'FACP$'!$I1787-'FACP$'!$K1787</f>
        <v>13126.56</v>
      </c>
      <c r="M1787" s="162" t="s">
        <v>985</v>
      </c>
      <c r="N1787" s="162" t="s">
        <v>554</v>
      </c>
      <c r="O1787" s="175">
        <v>44078.0</v>
      </c>
      <c r="P1787" s="164">
        <f t="shared" si="13"/>
        <v>44046</v>
      </c>
      <c r="Q1787" s="165">
        <f t="shared" si="2"/>
        <v>0</v>
      </c>
      <c r="R1787" s="167"/>
      <c r="S1787" s="167"/>
      <c r="T1787" s="168">
        <f t="shared" si="3"/>
        <v>13126.56</v>
      </c>
      <c r="U1787" s="168">
        <f t="shared" si="4"/>
        <v>0</v>
      </c>
      <c r="V1787" s="168">
        <f t="shared" si="5"/>
        <v>0</v>
      </c>
      <c r="W1787" s="168">
        <f t="shared" si="6"/>
        <v>0</v>
      </c>
      <c r="X1787" s="168">
        <f t="shared" si="7"/>
        <v>0</v>
      </c>
      <c r="Y1787" s="168">
        <f t="shared" si="8"/>
        <v>0</v>
      </c>
      <c r="Z1787" s="168">
        <f t="shared" si="9"/>
        <v>0</v>
      </c>
    </row>
    <row r="1788" ht="14.25" customHeight="1">
      <c r="A1788" s="157" t="s">
        <v>1908</v>
      </c>
      <c r="B1788" s="158" t="s">
        <v>16</v>
      </c>
      <c r="C1788" s="158" t="s">
        <v>1658</v>
      </c>
      <c r="D1788" s="159">
        <v>44036.0</v>
      </c>
      <c r="E1788" s="157" t="s">
        <v>731</v>
      </c>
      <c r="F1788" s="160">
        <v>11316.0</v>
      </c>
      <c r="G1788" s="160">
        <v>1810.56</v>
      </c>
      <c r="H1788" s="160">
        <f t="shared" si="49"/>
        <v>13126.56</v>
      </c>
      <c r="I1788" s="160"/>
      <c r="J1788" s="161"/>
      <c r="K1788" s="160"/>
      <c r="L1788" s="160">
        <f>+'FACP$'!$H1788-'FACP$'!$I1788-'FACP$'!$K1788</f>
        <v>13126.56</v>
      </c>
      <c r="M1788" s="162" t="s">
        <v>985</v>
      </c>
      <c r="N1788" s="162" t="s">
        <v>554</v>
      </c>
      <c r="O1788" s="175">
        <v>44078.0</v>
      </c>
      <c r="P1788" s="164">
        <f t="shared" si="13"/>
        <v>44046</v>
      </c>
      <c r="Q1788" s="165">
        <f t="shared" si="2"/>
        <v>0</v>
      </c>
      <c r="R1788" s="167"/>
      <c r="S1788" s="167"/>
      <c r="T1788" s="168">
        <f t="shared" si="3"/>
        <v>13126.56</v>
      </c>
      <c r="U1788" s="168">
        <f t="shared" si="4"/>
        <v>0</v>
      </c>
      <c r="V1788" s="168">
        <f t="shared" si="5"/>
        <v>0</v>
      </c>
      <c r="W1788" s="168">
        <f t="shared" si="6"/>
        <v>0</v>
      </c>
      <c r="X1788" s="168">
        <f t="shared" si="7"/>
        <v>0</v>
      </c>
      <c r="Y1788" s="168">
        <f t="shared" si="8"/>
        <v>0</v>
      </c>
      <c r="Z1788" s="168">
        <f t="shared" si="9"/>
        <v>0</v>
      </c>
    </row>
    <row r="1789" ht="14.25" customHeight="1">
      <c r="A1789" s="157" t="s">
        <v>1909</v>
      </c>
      <c r="B1789" s="158" t="s">
        <v>16</v>
      </c>
      <c r="C1789" s="158" t="s">
        <v>1658</v>
      </c>
      <c r="D1789" s="159">
        <v>44036.0</v>
      </c>
      <c r="E1789" s="157" t="s">
        <v>731</v>
      </c>
      <c r="F1789" s="160">
        <v>11316.0</v>
      </c>
      <c r="G1789" s="160">
        <v>1810.56</v>
      </c>
      <c r="H1789" s="160">
        <f t="shared" si="49"/>
        <v>13126.56</v>
      </c>
      <c r="I1789" s="160"/>
      <c r="J1789" s="161"/>
      <c r="K1789" s="160"/>
      <c r="L1789" s="160">
        <f>+'FACP$'!$H1789-'FACP$'!$I1789-'FACP$'!$K1789</f>
        <v>13126.56</v>
      </c>
      <c r="M1789" s="162" t="s">
        <v>985</v>
      </c>
      <c r="N1789" s="162" t="s">
        <v>554</v>
      </c>
      <c r="O1789" s="175">
        <v>44078.0</v>
      </c>
      <c r="P1789" s="164">
        <f t="shared" si="13"/>
        <v>44046</v>
      </c>
      <c r="Q1789" s="165">
        <f t="shared" si="2"/>
        <v>0</v>
      </c>
      <c r="R1789" s="167"/>
      <c r="S1789" s="167"/>
      <c r="T1789" s="168">
        <f t="shared" si="3"/>
        <v>13126.56</v>
      </c>
      <c r="U1789" s="168">
        <f t="shared" si="4"/>
        <v>0</v>
      </c>
      <c r="V1789" s="168">
        <f t="shared" si="5"/>
        <v>0</v>
      </c>
      <c r="W1789" s="168">
        <f t="shared" si="6"/>
        <v>0</v>
      </c>
      <c r="X1789" s="168">
        <f t="shared" si="7"/>
        <v>0</v>
      </c>
      <c r="Y1789" s="168">
        <f t="shared" si="8"/>
        <v>0</v>
      </c>
      <c r="Z1789" s="168">
        <f t="shared" si="9"/>
        <v>0</v>
      </c>
    </row>
    <row r="1790" ht="14.25" customHeight="1">
      <c r="A1790" s="157" t="s">
        <v>1910</v>
      </c>
      <c r="B1790" s="158" t="s">
        <v>37</v>
      </c>
      <c r="C1790" s="158" t="s">
        <v>1658</v>
      </c>
      <c r="D1790" s="159">
        <v>44036.0</v>
      </c>
      <c r="E1790" s="157" t="s">
        <v>731</v>
      </c>
      <c r="F1790" s="160">
        <v>38376.0</v>
      </c>
      <c r="G1790" s="160">
        <v>6140.16</v>
      </c>
      <c r="H1790" s="160">
        <f t="shared" si="49"/>
        <v>44516.16</v>
      </c>
      <c r="I1790" s="160"/>
      <c r="J1790" s="161"/>
      <c r="K1790" s="160"/>
      <c r="L1790" s="160">
        <f>+'FACP$'!$H1790-'FACP$'!$I1790-'FACP$'!$K1790</f>
        <v>44516.16</v>
      </c>
      <c r="M1790" s="162" t="s">
        <v>116</v>
      </c>
      <c r="N1790" s="162" t="s">
        <v>554</v>
      </c>
      <c r="O1790" s="175">
        <v>44081.0</v>
      </c>
      <c r="P1790" s="164">
        <f t="shared" si="13"/>
        <v>44046</v>
      </c>
      <c r="Q1790" s="165">
        <f t="shared" si="2"/>
        <v>0</v>
      </c>
      <c r="R1790" s="167"/>
      <c r="S1790" s="220" t="s">
        <v>910</v>
      </c>
      <c r="T1790" s="168">
        <f t="shared" si="3"/>
        <v>44516.16</v>
      </c>
      <c r="U1790" s="168">
        <f t="shared" si="4"/>
        <v>0</v>
      </c>
      <c r="V1790" s="168">
        <f t="shared" si="5"/>
        <v>0</v>
      </c>
      <c r="W1790" s="168">
        <f t="shared" si="6"/>
        <v>0</v>
      </c>
      <c r="X1790" s="168">
        <f t="shared" si="7"/>
        <v>0</v>
      </c>
      <c r="Y1790" s="168">
        <f t="shared" si="8"/>
        <v>0</v>
      </c>
      <c r="Z1790" s="168">
        <f t="shared" si="9"/>
        <v>0</v>
      </c>
    </row>
    <row r="1791" ht="14.25" customHeight="1">
      <c r="A1791" s="157" t="s">
        <v>1911</v>
      </c>
      <c r="B1791" s="158" t="s">
        <v>16</v>
      </c>
      <c r="C1791" s="158" t="s">
        <v>1658</v>
      </c>
      <c r="D1791" s="159">
        <v>44036.0</v>
      </c>
      <c r="E1791" s="157" t="s">
        <v>731</v>
      </c>
      <c r="F1791" s="160">
        <v>11316.0</v>
      </c>
      <c r="G1791" s="160">
        <v>1810.56</v>
      </c>
      <c r="H1791" s="160">
        <f t="shared" si="49"/>
        <v>13126.56</v>
      </c>
      <c r="I1791" s="160"/>
      <c r="J1791" s="161"/>
      <c r="K1791" s="160"/>
      <c r="L1791" s="160">
        <f>+'FACP$'!$H1791-'FACP$'!$I1791-'FACP$'!$K1791</f>
        <v>13126.56</v>
      </c>
      <c r="M1791" s="162" t="s">
        <v>985</v>
      </c>
      <c r="N1791" s="162" t="s">
        <v>554</v>
      </c>
      <c r="O1791" s="175">
        <v>44078.0</v>
      </c>
      <c r="P1791" s="164">
        <f t="shared" si="13"/>
        <v>44046</v>
      </c>
      <c r="Q1791" s="165">
        <f t="shared" si="2"/>
        <v>0</v>
      </c>
      <c r="R1791" s="167"/>
      <c r="S1791" s="167"/>
      <c r="T1791" s="168">
        <f t="shared" si="3"/>
        <v>13126.56</v>
      </c>
      <c r="U1791" s="168">
        <f t="shared" si="4"/>
        <v>0</v>
      </c>
      <c r="V1791" s="168">
        <f t="shared" si="5"/>
        <v>0</v>
      </c>
      <c r="W1791" s="168">
        <f t="shared" si="6"/>
        <v>0</v>
      </c>
      <c r="X1791" s="168">
        <f t="shared" si="7"/>
        <v>0</v>
      </c>
      <c r="Y1791" s="168">
        <f t="shared" si="8"/>
        <v>0</v>
      </c>
      <c r="Z1791" s="168">
        <f t="shared" si="9"/>
        <v>0</v>
      </c>
    </row>
    <row r="1792" ht="14.25" customHeight="1">
      <c r="A1792" s="157" t="s">
        <v>1912</v>
      </c>
      <c r="B1792" s="158" t="s">
        <v>37</v>
      </c>
      <c r="C1792" s="158" t="s">
        <v>1658</v>
      </c>
      <c r="D1792" s="159">
        <v>44036.0</v>
      </c>
      <c r="E1792" s="157" t="s">
        <v>731</v>
      </c>
      <c r="F1792" s="160">
        <v>38376.0</v>
      </c>
      <c r="G1792" s="160">
        <v>6140.16</v>
      </c>
      <c r="H1792" s="160">
        <f t="shared" si="49"/>
        <v>44516.16</v>
      </c>
      <c r="I1792" s="160"/>
      <c r="J1792" s="161"/>
      <c r="K1792" s="160"/>
      <c r="L1792" s="160">
        <f>+'FACP$'!$H1792-'FACP$'!$I1792-'FACP$'!$K1792</f>
        <v>44516.16</v>
      </c>
      <c r="M1792" s="162" t="s">
        <v>116</v>
      </c>
      <c r="N1792" s="162" t="s">
        <v>554</v>
      </c>
      <c r="O1792" s="175">
        <v>44081.0</v>
      </c>
      <c r="P1792" s="164">
        <f t="shared" si="13"/>
        <v>44046</v>
      </c>
      <c r="Q1792" s="165">
        <f t="shared" si="2"/>
        <v>0</v>
      </c>
      <c r="R1792" s="167"/>
      <c r="S1792" s="220" t="s">
        <v>910</v>
      </c>
      <c r="T1792" s="168">
        <f t="shared" si="3"/>
        <v>44516.16</v>
      </c>
      <c r="U1792" s="168">
        <f t="shared" si="4"/>
        <v>0</v>
      </c>
      <c r="V1792" s="168">
        <f t="shared" si="5"/>
        <v>0</v>
      </c>
      <c r="W1792" s="168">
        <f t="shared" si="6"/>
        <v>0</v>
      </c>
      <c r="X1792" s="168">
        <f t="shared" si="7"/>
        <v>0</v>
      </c>
      <c r="Y1792" s="168">
        <f t="shared" si="8"/>
        <v>0</v>
      </c>
      <c r="Z1792" s="168">
        <f t="shared" si="9"/>
        <v>0</v>
      </c>
    </row>
    <row r="1793" ht="14.25" customHeight="1">
      <c r="A1793" s="157" t="s">
        <v>1913</v>
      </c>
      <c r="B1793" s="158" t="s">
        <v>16</v>
      </c>
      <c r="C1793" s="158" t="s">
        <v>1658</v>
      </c>
      <c r="D1793" s="159">
        <v>44036.0</v>
      </c>
      <c r="E1793" s="157" t="s">
        <v>731</v>
      </c>
      <c r="F1793" s="160">
        <v>11316.0</v>
      </c>
      <c r="G1793" s="160">
        <v>1810.56</v>
      </c>
      <c r="H1793" s="160">
        <f t="shared" si="49"/>
        <v>13126.56</v>
      </c>
      <c r="I1793" s="160"/>
      <c r="J1793" s="161"/>
      <c r="K1793" s="160"/>
      <c r="L1793" s="160">
        <f>+'FACP$'!$H1793-'FACP$'!$I1793-'FACP$'!$K1793</f>
        <v>13126.56</v>
      </c>
      <c r="M1793" s="162" t="s">
        <v>985</v>
      </c>
      <c r="N1793" s="162" t="s">
        <v>554</v>
      </c>
      <c r="O1793" s="175">
        <v>44078.0</v>
      </c>
      <c r="P1793" s="164">
        <f t="shared" si="13"/>
        <v>44046</v>
      </c>
      <c r="Q1793" s="165">
        <f t="shared" si="2"/>
        <v>0</v>
      </c>
      <c r="R1793" s="167"/>
      <c r="S1793" s="167"/>
      <c r="T1793" s="168">
        <f t="shared" si="3"/>
        <v>13126.56</v>
      </c>
      <c r="U1793" s="168">
        <f t="shared" si="4"/>
        <v>0</v>
      </c>
      <c r="V1793" s="168">
        <f t="shared" si="5"/>
        <v>0</v>
      </c>
      <c r="W1793" s="168">
        <f t="shared" si="6"/>
        <v>0</v>
      </c>
      <c r="X1793" s="168">
        <f t="shared" si="7"/>
        <v>0</v>
      </c>
      <c r="Y1793" s="168">
        <f t="shared" si="8"/>
        <v>0</v>
      </c>
      <c r="Z1793" s="168">
        <f t="shared" si="9"/>
        <v>0</v>
      </c>
    </row>
    <row r="1794" ht="14.25" customHeight="1">
      <c r="A1794" s="157" t="s">
        <v>1914</v>
      </c>
      <c r="B1794" s="158" t="s">
        <v>41</v>
      </c>
      <c r="C1794" s="158" t="s">
        <v>1658</v>
      </c>
      <c r="D1794" s="159">
        <v>44037.0</v>
      </c>
      <c r="E1794" s="157" t="s">
        <v>731</v>
      </c>
      <c r="F1794" s="160">
        <v>19188.0</v>
      </c>
      <c r="G1794" s="160">
        <v>3070.08</v>
      </c>
      <c r="H1794" s="160">
        <f t="shared" si="49"/>
        <v>22258.08</v>
      </c>
      <c r="I1794" s="160"/>
      <c r="J1794" s="161"/>
      <c r="K1794" s="160"/>
      <c r="L1794" s="160">
        <f>+'FACP$'!$H1794-'FACP$'!$I1794-'FACP$'!$K1794</f>
        <v>22258.08</v>
      </c>
      <c r="M1794" s="162" t="s">
        <v>121</v>
      </c>
      <c r="N1794" s="162" t="s">
        <v>554</v>
      </c>
      <c r="O1794" s="175">
        <v>44099.0</v>
      </c>
      <c r="P1794" s="164">
        <f t="shared" si="13"/>
        <v>44047</v>
      </c>
      <c r="Q1794" s="165">
        <f t="shared" si="2"/>
        <v>0</v>
      </c>
      <c r="R1794" s="167"/>
      <c r="S1794" s="167"/>
      <c r="T1794" s="168">
        <f t="shared" si="3"/>
        <v>22258.08</v>
      </c>
      <c r="U1794" s="168">
        <f t="shared" si="4"/>
        <v>0</v>
      </c>
      <c r="V1794" s="168">
        <f t="shared" si="5"/>
        <v>0</v>
      </c>
      <c r="W1794" s="168">
        <f t="shared" si="6"/>
        <v>0</v>
      </c>
      <c r="X1794" s="168">
        <f t="shared" si="7"/>
        <v>0</v>
      </c>
      <c r="Y1794" s="168">
        <f t="shared" si="8"/>
        <v>0</v>
      </c>
      <c r="Z1794" s="168">
        <f t="shared" si="9"/>
        <v>0</v>
      </c>
    </row>
    <row r="1795" ht="14.25" customHeight="1">
      <c r="A1795" s="157" t="s">
        <v>1915</v>
      </c>
      <c r="B1795" s="158" t="s">
        <v>37</v>
      </c>
      <c r="C1795" s="158" t="s">
        <v>1658</v>
      </c>
      <c r="D1795" s="159">
        <v>44037.0</v>
      </c>
      <c r="E1795" s="157" t="s">
        <v>731</v>
      </c>
      <c r="F1795" s="160">
        <v>38376.0</v>
      </c>
      <c r="G1795" s="160">
        <v>6140.16</v>
      </c>
      <c r="H1795" s="160">
        <f t="shared" si="49"/>
        <v>44516.16</v>
      </c>
      <c r="I1795" s="160"/>
      <c r="J1795" s="161"/>
      <c r="K1795" s="160"/>
      <c r="L1795" s="160">
        <f>+'FACP$'!$H1795-'FACP$'!$I1795-'FACP$'!$K1795</f>
        <v>44516.16</v>
      </c>
      <c r="M1795" s="162" t="s">
        <v>116</v>
      </c>
      <c r="N1795" s="162" t="s">
        <v>554</v>
      </c>
      <c r="O1795" s="175">
        <v>44081.0</v>
      </c>
      <c r="P1795" s="164">
        <f t="shared" si="13"/>
        <v>44047</v>
      </c>
      <c r="Q1795" s="165">
        <f t="shared" si="2"/>
        <v>0</v>
      </c>
      <c r="R1795" s="167"/>
      <c r="S1795" s="220" t="s">
        <v>910</v>
      </c>
      <c r="T1795" s="168">
        <f t="shared" si="3"/>
        <v>44516.16</v>
      </c>
      <c r="U1795" s="168">
        <f t="shared" si="4"/>
        <v>0</v>
      </c>
      <c r="V1795" s="168">
        <f t="shared" si="5"/>
        <v>0</v>
      </c>
      <c r="W1795" s="168">
        <f t="shared" si="6"/>
        <v>0</v>
      </c>
      <c r="X1795" s="168">
        <f t="shared" si="7"/>
        <v>0</v>
      </c>
      <c r="Y1795" s="168">
        <f t="shared" si="8"/>
        <v>0</v>
      </c>
      <c r="Z1795" s="168">
        <f t="shared" si="9"/>
        <v>0</v>
      </c>
    </row>
    <row r="1796" ht="14.25" customHeight="1">
      <c r="A1796" s="157" t="s">
        <v>1916</v>
      </c>
      <c r="B1796" s="158" t="s">
        <v>37</v>
      </c>
      <c r="C1796" s="158" t="s">
        <v>1658</v>
      </c>
      <c r="D1796" s="159">
        <v>44037.0</v>
      </c>
      <c r="E1796" s="157" t="s">
        <v>731</v>
      </c>
      <c r="F1796" s="160">
        <v>38376.0</v>
      </c>
      <c r="G1796" s="160">
        <v>6140.16</v>
      </c>
      <c r="H1796" s="160">
        <f t="shared" si="49"/>
        <v>44516.16</v>
      </c>
      <c r="I1796" s="160"/>
      <c r="J1796" s="161"/>
      <c r="K1796" s="160"/>
      <c r="L1796" s="160">
        <f>+'FACP$'!$H1796-'FACP$'!$I1796-'FACP$'!$K1796</f>
        <v>44516.16</v>
      </c>
      <c r="M1796" s="162" t="s">
        <v>116</v>
      </c>
      <c r="N1796" s="162" t="s">
        <v>554</v>
      </c>
      <c r="O1796" s="175">
        <v>44081.0</v>
      </c>
      <c r="P1796" s="164">
        <f t="shared" si="13"/>
        <v>44047</v>
      </c>
      <c r="Q1796" s="165">
        <f t="shared" si="2"/>
        <v>0</v>
      </c>
      <c r="R1796" s="167"/>
      <c r="S1796" s="220" t="s">
        <v>910</v>
      </c>
      <c r="T1796" s="168">
        <f t="shared" si="3"/>
        <v>44516.16</v>
      </c>
      <c r="U1796" s="168">
        <f t="shared" si="4"/>
        <v>0</v>
      </c>
      <c r="V1796" s="168">
        <f t="shared" si="5"/>
        <v>0</v>
      </c>
      <c r="W1796" s="168">
        <f t="shared" si="6"/>
        <v>0</v>
      </c>
      <c r="X1796" s="168">
        <f t="shared" si="7"/>
        <v>0</v>
      </c>
      <c r="Y1796" s="168">
        <f t="shared" si="8"/>
        <v>0</v>
      </c>
      <c r="Z1796" s="168">
        <f t="shared" si="9"/>
        <v>0</v>
      </c>
    </row>
    <row r="1797" ht="14.25" customHeight="1">
      <c r="A1797" s="157" t="s">
        <v>1917</v>
      </c>
      <c r="B1797" s="158" t="s">
        <v>37</v>
      </c>
      <c r="C1797" s="158" t="s">
        <v>1658</v>
      </c>
      <c r="D1797" s="159">
        <v>44037.0</v>
      </c>
      <c r="E1797" s="157" t="s">
        <v>731</v>
      </c>
      <c r="F1797" s="160">
        <v>38376.0</v>
      </c>
      <c r="G1797" s="160">
        <v>6140.16</v>
      </c>
      <c r="H1797" s="160">
        <f t="shared" si="49"/>
        <v>44516.16</v>
      </c>
      <c r="I1797" s="160"/>
      <c r="J1797" s="161"/>
      <c r="K1797" s="160"/>
      <c r="L1797" s="160">
        <f>+'FACP$'!$H1797-'FACP$'!$I1797-'FACP$'!$K1797</f>
        <v>44516.16</v>
      </c>
      <c r="M1797" s="162" t="s">
        <v>116</v>
      </c>
      <c r="N1797" s="162" t="s">
        <v>554</v>
      </c>
      <c r="O1797" s="175">
        <v>44081.0</v>
      </c>
      <c r="P1797" s="164">
        <f t="shared" si="13"/>
        <v>44047</v>
      </c>
      <c r="Q1797" s="165">
        <f t="shared" si="2"/>
        <v>0</v>
      </c>
      <c r="R1797" s="167"/>
      <c r="S1797" s="220" t="s">
        <v>910</v>
      </c>
      <c r="T1797" s="168">
        <f t="shared" si="3"/>
        <v>44516.16</v>
      </c>
      <c r="U1797" s="168">
        <f t="shared" si="4"/>
        <v>0</v>
      </c>
      <c r="V1797" s="168">
        <f t="shared" si="5"/>
        <v>0</v>
      </c>
      <c r="W1797" s="168">
        <f t="shared" si="6"/>
        <v>0</v>
      </c>
      <c r="X1797" s="168">
        <f t="shared" si="7"/>
        <v>0</v>
      </c>
      <c r="Y1797" s="168">
        <f t="shared" si="8"/>
        <v>0</v>
      </c>
      <c r="Z1797" s="168">
        <f t="shared" si="9"/>
        <v>0</v>
      </c>
    </row>
    <row r="1798" ht="14.25" customHeight="1">
      <c r="A1798" s="157" t="s">
        <v>1918</v>
      </c>
      <c r="B1798" s="158" t="s">
        <v>29</v>
      </c>
      <c r="C1798" s="158" t="s">
        <v>1658</v>
      </c>
      <c r="D1798" s="159">
        <v>44037.0</v>
      </c>
      <c r="E1798" s="157" t="s">
        <v>731</v>
      </c>
      <c r="F1798" s="160">
        <v>19188.0</v>
      </c>
      <c r="G1798" s="160">
        <v>3070.08</v>
      </c>
      <c r="H1798" s="160">
        <f t="shared" si="49"/>
        <v>22258.08</v>
      </c>
      <c r="I1798" s="160"/>
      <c r="J1798" s="161"/>
      <c r="K1798" s="160"/>
      <c r="L1798" s="160">
        <f>+'FACP$'!$H1798-'FACP$'!$I1798-'FACP$'!$K1798</f>
        <v>22258.08</v>
      </c>
      <c r="M1798" s="162" t="s">
        <v>130</v>
      </c>
      <c r="N1798" s="162" t="s">
        <v>554</v>
      </c>
      <c r="O1798" s="175">
        <v>44075.0</v>
      </c>
      <c r="P1798" s="164">
        <f t="shared" si="13"/>
        <v>44047</v>
      </c>
      <c r="Q1798" s="165">
        <f t="shared" si="2"/>
        <v>0</v>
      </c>
      <c r="R1798" s="167"/>
      <c r="S1798" s="167"/>
      <c r="T1798" s="168">
        <f t="shared" si="3"/>
        <v>22258.08</v>
      </c>
      <c r="U1798" s="168">
        <f t="shared" si="4"/>
        <v>0</v>
      </c>
      <c r="V1798" s="168">
        <f t="shared" si="5"/>
        <v>0</v>
      </c>
      <c r="W1798" s="168">
        <f t="shared" si="6"/>
        <v>0</v>
      </c>
      <c r="X1798" s="168">
        <f t="shared" si="7"/>
        <v>0</v>
      </c>
      <c r="Y1798" s="168">
        <f t="shared" si="8"/>
        <v>0</v>
      </c>
      <c r="Z1798" s="168">
        <f t="shared" si="9"/>
        <v>0</v>
      </c>
    </row>
    <row r="1799" ht="14.25" customHeight="1">
      <c r="A1799" s="157" t="s">
        <v>1919</v>
      </c>
      <c r="B1799" s="158" t="s">
        <v>16</v>
      </c>
      <c r="C1799" s="158" t="s">
        <v>1658</v>
      </c>
      <c r="D1799" s="159">
        <v>44037.0</v>
      </c>
      <c r="E1799" s="157" t="s">
        <v>731</v>
      </c>
      <c r="F1799" s="160">
        <v>11316.0</v>
      </c>
      <c r="G1799" s="160">
        <v>1810.56</v>
      </c>
      <c r="H1799" s="160">
        <f t="shared" si="49"/>
        <v>13126.56</v>
      </c>
      <c r="I1799" s="160"/>
      <c r="J1799" s="161"/>
      <c r="K1799" s="160"/>
      <c r="L1799" s="160">
        <f>+'FACP$'!$H1799-'FACP$'!$I1799-'FACP$'!$K1799</f>
        <v>13126.56</v>
      </c>
      <c r="M1799" s="162" t="s">
        <v>985</v>
      </c>
      <c r="N1799" s="162" t="s">
        <v>554</v>
      </c>
      <c r="O1799" s="175">
        <v>44078.0</v>
      </c>
      <c r="P1799" s="164">
        <f t="shared" si="13"/>
        <v>44047</v>
      </c>
      <c r="Q1799" s="165">
        <f t="shared" si="2"/>
        <v>0</v>
      </c>
      <c r="R1799" s="167"/>
      <c r="S1799" s="167"/>
      <c r="T1799" s="168">
        <f t="shared" si="3"/>
        <v>13126.56</v>
      </c>
      <c r="U1799" s="168">
        <f t="shared" si="4"/>
        <v>0</v>
      </c>
      <c r="V1799" s="168">
        <f t="shared" si="5"/>
        <v>0</v>
      </c>
      <c r="W1799" s="168">
        <f t="shared" si="6"/>
        <v>0</v>
      </c>
      <c r="X1799" s="168">
        <f t="shared" si="7"/>
        <v>0</v>
      </c>
      <c r="Y1799" s="168">
        <f t="shared" si="8"/>
        <v>0</v>
      </c>
      <c r="Z1799" s="168">
        <f t="shared" si="9"/>
        <v>0</v>
      </c>
    </row>
    <row r="1800" ht="14.25" customHeight="1">
      <c r="A1800" s="157" t="s">
        <v>1920</v>
      </c>
      <c r="B1800" s="158" t="s">
        <v>41</v>
      </c>
      <c r="C1800" s="158" t="s">
        <v>1658</v>
      </c>
      <c r="D1800" s="159">
        <v>44037.0</v>
      </c>
      <c r="E1800" s="157" t="s">
        <v>731</v>
      </c>
      <c r="F1800" s="160">
        <v>19188.0</v>
      </c>
      <c r="G1800" s="160">
        <v>3070.08</v>
      </c>
      <c r="H1800" s="160">
        <f t="shared" si="49"/>
        <v>22258.08</v>
      </c>
      <c r="I1800" s="160"/>
      <c r="J1800" s="161"/>
      <c r="K1800" s="160"/>
      <c r="L1800" s="160">
        <f>+'FACP$'!$H1800-'FACP$'!$I1800-'FACP$'!$K1800</f>
        <v>22258.08</v>
      </c>
      <c r="M1800" s="162" t="s">
        <v>121</v>
      </c>
      <c r="N1800" s="162" t="s">
        <v>554</v>
      </c>
      <c r="O1800" s="175">
        <v>44099.0</v>
      </c>
      <c r="P1800" s="164">
        <f t="shared" si="13"/>
        <v>44047</v>
      </c>
      <c r="Q1800" s="165">
        <f t="shared" si="2"/>
        <v>0</v>
      </c>
      <c r="R1800" s="167"/>
      <c r="S1800" s="167"/>
      <c r="T1800" s="168">
        <f t="shared" si="3"/>
        <v>22258.08</v>
      </c>
      <c r="U1800" s="168">
        <f t="shared" si="4"/>
        <v>0</v>
      </c>
      <c r="V1800" s="168">
        <f t="shared" si="5"/>
        <v>0</v>
      </c>
      <c r="W1800" s="168">
        <f t="shared" si="6"/>
        <v>0</v>
      </c>
      <c r="X1800" s="168">
        <f t="shared" si="7"/>
        <v>0</v>
      </c>
      <c r="Y1800" s="168">
        <f t="shared" si="8"/>
        <v>0</v>
      </c>
      <c r="Z1800" s="168">
        <f t="shared" si="9"/>
        <v>0</v>
      </c>
    </row>
    <row r="1801" ht="14.25" customHeight="1">
      <c r="A1801" s="157" t="s">
        <v>1921</v>
      </c>
      <c r="B1801" s="158" t="s">
        <v>37</v>
      </c>
      <c r="C1801" s="158" t="s">
        <v>1658</v>
      </c>
      <c r="D1801" s="159">
        <v>44037.0</v>
      </c>
      <c r="E1801" s="157" t="s">
        <v>731</v>
      </c>
      <c r="F1801" s="160">
        <v>38376.0</v>
      </c>
      <c r="G1801" s="160">
        <v>6140.16</v>
      </c>
      <c r="H1801" s="160">
        <f t="shared" si="49"/>
        <v>44516.16</v>
      </c>
      <c r="I1801" s="160"/>
      <c r="J1801" s="161"/>
      <c r="K1801" s="160"/>
      <c r="L1801" s="160">
        <f>+'FACP$'!$H1801-'FACP$'!$I1801-'FACP$'!$K1801</f>
        <v>44516.16</v>
      </c>
      <c r="M1801" s="162" t="s">
        <v>116</v>
      </c>
      <c r="N1801" s="162" t="s">
        <v>554</v>
      </c>
      <c r="O1801" s="175">
        <v>44081.0</v>
      </c>
      <c r="P1801" s="164">
        <f t="shared" si="13"/>
        <v>44047</v>
      </c>
      <c r="Q1801" s="165">
        <f t="shared" si="2"/>
        <v>0</v>
      </c>
      <c r="R1801" s="167"/>
      <c r="S1801" s="220" t="s">
        <v>910</v>
      </c>
      <c r="T1801" s="168">
        <f t="shared" si="3"/>
        <v>44516.16</v>
      </c>
      <c r="U1801" s="168">
        <f t="shared" si="4"/>
        <v>0</v>
      </c>
      <c r="V1801" s="168">
        <f t="shared" si="5"/>
        <v>0</v>
      </c>
      <c r="W1801" s="168">
        <f t="shared" si="6"/>
        <v>0</v>
      </c>
      <c r="X1801" s="168">
        <f t="shared" si="7"/>
        <v>0</v>
      </c>
      <c r="Y1801" s="168">
        <f t="shared" si="8"/>
        <v>0</v>
      </c>
      <c r="Z1801" s="168">
        <f t="shared" si="9"/>
        <v>0</v>
      </c>
    </row>
    <row r="1802" ht="14.25" customHeight="1">
      <c r="A1802" s="157" t="s">
        <v>1922</v>
      </c>
      <c r="B1802" s="158" t="s">
        <v>16</v>
      </c>
      <c r="C1802" s="158" t="s">
        <v>1658</v>
      </c>
      <c r="D1802" s="159">
        <v>44037.0</v>
      </c>
      <c r="E1802" s="157" t="s">
        <v>731</v>
      </c>
      <c r="F1802" s="160">
        <v>11316.0</v>
      </c>
      <c r="G1802" s="160">
        <v>1810.56</v>
      </c>
      <c r="H1802" s="160">
        <f t="shared" si="49"/>
        <v>13126.56</v>
      </c>
      <c r="I1802" s="160"/>
      <c r="J1802" s="161"/>
      <c r="K1802" s="160"/>
      <c r="L1802" s="160">
        <f>+'FACP$'!$H1802-'FACP$'!$I1802-'FACP$'!$K1802</f>
        <v>13126.56</v>
      </c>
      <c r="M1802" s="162" t="s">
        <v>985</v>
      </c>
      <c r="N1802" s="162" t="s">
        <v>554</v>
      </c>
      <c r="O1802" s="175">
        <v>44078.0</v>
      </c>
      <c r="P1802" s="164">
        <f t="shared" si="13"/>
        <v>44047</v>
      </c>
      <c r="Q1802" s="165">
        <f t="shared" si="2"/>
        <v>0</v>
      </c>
      <c r="R1802" s="167"/>
      <c r="S1802" s="167"/>
      <c r="T1802" s="168">
        <f t="shared" si="3"/>
        <v>13126.56</v>
      </c>
      <c r="U1802" s="168">
        <f t="shared" si="4"/>
        <v>0</v>
      </c>
      <c r="V1802" s="168">
        <f t="shared" si="5"/>
        <v>0</v>
      </c>
      <c r="W1802" s="168">
        <f t="shared" si="6"/>
        <v>0</v>
      </c>
      <c r="X1802" s="168">
        <f t="shared" si="7"/>
        <v>0</v>
      </c>
      <c r="Y1802" s="168">
        <f t="shared" si="8"/>
        <v>0</v>
      </c>
      <c r="Z1802" s="168">
        <f t="shared" si="9"/>
        <v>0</v>
      </c>
    </row>
    <row r="1803" ht="14.25" customHeight="1">
      <c r="A1803" s="157" t="s">
        <v>1923</v>
      </c>
      <c r="B1803" s="158" t="s">
        <v>37</v>
      </c>
      <c r="C1803" s="158" t="s">
        <v>1658</v>
      </c>
      <c r="D1803" s="159">
        <v>44038.0</v>
      </c>
      <c r="E1803" s="157" t="s">
        <v>731</v>
      </c>
      <c r="F1803" s="160">
        <v>38376.0</v>
      </c>
      <c r="G1803" s="160">
        <v>6140.16</v>
      </c>
      <c r="H1803" s="160">
        <f t="shared" si="49"/>
        <v>44516.16</v>
      </c>
      <c r="I1803" s="160"/>
      <c r="J1803" s="161"/>
      <c r="K1803" s="160"/>
      <c r="L1803" s="160">
        <f>+'FACP$'!$H1803-'FACP$'!$I1803-'FACP$'!$K1803</f>
        <v>44516.16</v>
      </c>
      <c r="M1803" s="162" t="s">
        <v>116</v>
      </c>
      <c r="N1803" s="162" t="s">
        <v>554</v>
      </c>
      <c r="O1803" s="175">
        <v>44081.0</v>
      </c>
      <c r="P1803" s="164">
        <f t="shared" si="13"/>
        <v>44048</v>
      </c>
      <c r="Q1803" s="165">
        <f t="shared" si="2"/>
        <v>0</v>
      </c>
      <c r="R1803" s="167"/>
      <c r="S1803" s="220" t="s">
        <v>910</v>
      </c>
      <c r="T1803" s="168">
        <f t="shared" si="3"/>
        <v>44516.16</v>
      </c>
      <c r="U1803" s="168">
        <f t="shared" si="4"/>
        <v>0</v>
      </c>
      <c r="V1803" s="168">
        <f t="shared" si="5"/>
        <v>0</v>
      </c>
      <c r="W1803" s="168">
        <f t="shared" si="6"/>
        <v>0</v>
      </c>
      <c r="X1803" s="168">
        <f t="shared" si="7"/>
        <v>0</v>
      </c>
      <c r="Y1803" s="168">
        <f t="shared" si="8"/>
        <v>0</v>
      </c>
      <c r="Z1803" s="168">
        <f t="shared" si="9"/>
        <v>0</v>
      </c>
    </row>
    <row r="1804" ht="14.25" customHeight="1">
      <c r="A1804" s="157" t="s">
        <v>1924</v>
      </c>
      <c r="B1804" s="158" t="s">
        <v>37</v>
      </c>
      <c r="C1804" s="158" t="s">
        <v>1658</v>
      </c>
      <c r="D1804" s="159">
        <v>44038.0</v>
      </c>
      <c r="E1804" s="157" t="s">
        <v>731</v>
      </c>
      <c r="F1804" s="160">
        <v>38376.0</v>
      </c>
      <c r="G1804" s="160">
        <v>6140.16</v>
      </c>
      <c r="H1804" s="160">
        <f t="shared" si="49"/>
        <v>44516.16</v>
      </c>
      <c r="I1804" s="160"/>
      <c r="J1804" s="161"/>
      <c r="K1804" s="160"/>
      <c r="L1804" s="160">
        <f>+'FACP$'!$H1804-'FACP$'!$I1804-'FACP$'!$K1804</f>
        <v>44516.16</v>
      </c>
      <c r="M1804" s="162" t="s">
        <v>116</v>
      </c>
      <c r="N1804" s="162" t="s">
        <v>554</v>
      </c>
      <c r="O1804" s="175">
        <v>44081.0</v>
      </c>
      <c r="P1804" s="164">
        <f t="shared" si="13"/>
        <v>44048</v>
      </c>
      <c r="Q1804" s="165">
        <f t="shared" si="2"/>
        <v>0</v>
      </c>
      <c r="R1804" s="167"/>
      <c r="S1804" s="220" t="s">
        <v>910</v>
      </c>
      <c r="T1804" s="168">
        <f t="shared" si="3"/>
        <v>44516.16</v>
      </c>
      <c r="U1804" s="168">
        <f t="shared" si="4"/>
        <v>0</v>
      </c>
      <c r="V1804" s="168">
        <f t="shared" si="5"/>
        <v>0</v>
      </c>
      <c r="W1804" s="168">
        <f t="shared" si="6"/>
        <v>0</v>
      </c>
      <c r="X1804" s="168">
        <f t="shared" si="7"/>
        <v>0</v>
      </c>
      <c r="Y1804" s="168">
        <f t="shared" si="8"/>
        <v>0</v>
      </c>
      <c r="Z1804" s="168">
        <f t="shared" si="9"/>
        <v>0</v>
      </c>
    </row>
    <row r="1805" ht="14.25" customHeight="1">
      <c r="A1805" s="157" t="s">
        <v>1925</v>
      </c>
      <c r="B1805" s="158" t="s">
        <v>37</v>
      </c>
      <c r="C1805" s="158" t="s">
        <v>1658</v>
      </c>
      <c r="D1805" s="159">
        <v>44038.0</v>
      </c>
      <c r="E1805" s="157" t="s">
        <v>731</v>
      </c>
      <c r="F1805" s="160">
        <v>38376.0</v>
      </c>
      <c r="G1805" s="160">
        <v>6140.16</v>
      </c>
      <c r="H1805" s="160">
        <f t="shared" si="49"/>
        <v>44516.16</v>
      </c>
      <c r="I1805" s="160"/>
      <c r="J1805" s="161"/>
      <c r="K1805" s="160"/>
      <c r="L1805" s="160">
        <f>+'FACP$'!$H1805-'FACP$'!$I1805-'FACP$'!$K1805</f>
        <v>44516.16</v>
      </c>
      <c r="M1805" s="162" t="s">
        <v>116</v>
      </c>
      <c r="N1805" s="162" t="s">
        <v>554</v>
      </c>
      <c r="O1805" s="175">
        <v>44081.0</v>
      </c>
      <c r="P1805" s="164">
        <f t="shared" si="13"/>
        <v>44048</v>
      </c>
      <c r="Q1805" s="165">
        <f t="shared" si="2"/>
        <v>0</v>
      </c>
      <c r="R1805" s="167"/>
      <c r="S1805" s="220" t="s">
        <v>910</v>
      </c>
      <c r="T1805" s="168">
        <f t="shared" si="3"/>
        <v>44516.16</v>
      </c>
      <c r="U1805" s="168">
        <f t="shared" si="4"/>
        <v>0</v>
      </c>
      <c r="V1805" s="168">
        <f t="shared" si="5"/>
        <v>0</v>
      </c>
      <c r="W1805" s="168">
        <f t="shared" si="6"/>
        <v>0</v>
      </c>
      <c r="X1805" s="168">
        <f t="shared" si="7"/>
        <v>0</v>
      </c>
      <c r="Y1805" s="168">
        <f t="shared" si="8"/>
        <v>0</v>
      </c>
      <c r="Z1805" s="168">
        <f t="shared" si="9"/>
        <v>0</v>
      </c>
    </row>
    <row r="1806" ht="14.25" customHeight="1">
      <c r="A1806" s="157" t="s">
        <v>1926</v>
      </c>
      <c r="B1806" s="158" t="s">
        <v>16</v>
      </c>
      <c r="C1806" s="158" t="s">
        <v>1658</v>
      </c>
      <c r="D1806" s="159">
        <v>44038.0</v>
      </c>
      <c r="E1806" s="157" t="s">
        <v>731</v>
      </c>
      <c r="F1806" s="160">
        <v>11316.0</v>
      </c>
      <c r="G1806" s="160">
        <v>1810.56</v>
      </c>
      <c r="H1806" s="160">
        <f t="shared" si="49"/>
        <v>13126.56</v>
      </c>
      <c r="I1806" s="160"/>
      <c r="J1806" s="161"/>
      <c r="K1806" s="160"/>
      <c r="L1806" s="160">
        <f>+'FACP$'!$H1806-'FACP$'!$I1806-'FACP$'!$K1806</f>
        <v>13126.56</v>
      </c>
      <c r="M1806" s="162" t="s">
        <v>985</v>
      </c>
      <c r="N1806" s="162" t="s">
        <v>554</v>
      </c>
      <c r="O1806" s="175">
        <v>44078.0</v>
      </c>
      <c r="P1806" s="164">
        <f t="shared" si="13"/>
        <v>44048</v>
      </c>
      <c r="Q1806" s="165">
        <f t="shared" si="2"/>
        <v>0</v>
      </c>
      <c r="R1806" s="167"/>
      <c r="S1806" s="167"/>
      <c r="T1806" s="168">
        <f t="shared" si="3"/>
        <v>13126.56</v>
      </c>
      <c r="U1806" s="168">
        <f t="shared" si="4"/>
        <v>0</v>
      </c>
      <c r="V1806" s="168">
        <f t="shared" si="5"/>
        <v>0</v>
      </c>
      <c r="W1806" s="168">
        <f t="shared" si="6"/>
        <v>0</v>
      </c>
      <c r="X1806" s="168">
        <f t="shared" si="7"/>
        <v>0</v>
      </c>
      <c r="Y1806" s="168">
        <f t="shared" si="8"/>
        <v>0</v>
      </c>
      <c r="Z1806" s="168">
        <f t="shared" si="9"/>
        <v>0</v>
      </c>
    </row>
    <row r="1807" ht="14.25" customHeight="1">
      <c r="A1807" s="157" t="s">
        <v>1927</v>
      </c>
      <c r="B1807" s="158" t="s">
        <v>16</v>
      </c>
      <c r="C1807" s="158" t="s">
        <v>1658</v>
      </c>
      <c r="D1807" s="159">
        <v>44038.0</v>
      </c>
      <c r="E1807" s="157" t="s">
        <v>731</v>
      </c>
      <c r="F1807" s="160">
        <v>11316.0</v>
      </c>
      <c r="G1807" s="160">
        <v>1810.56</v>
      </c>
      <c r="H1807" s="160">
        <f t="shared" si="49"/>
        <v>13126.56</v>
      </c>
      <c r="I1807" s="160"/>
      <c r="J1807" s="161"/>
      <c r="K1807" s="160"/>
      <c r="L1807" s="160">
        <f>+'FACP$'!$H1807-'FACP$'!$I1807-'FACP$'!$K1807</f>
        <v>13126.56</v>
      </c>
      <c r="M1807" s="162" t="s">
        <v>985</v>
      </c>
      <c r="N1807" s="162" t="s">
        <v>554</v>
      </c>
      <c r="O1807" s="175">
        <v>44078.0</v>
      </c>
      <c r="P1807" s="164">
        <f t="shared" si="13"/>
        <v>44048</v>
      </c>
      <c r="Q1807" s="165">
        <f t="shared" si="2"/>
        <v>0</v>
      </c>
      <c r="R1807" s="167"/>
      <c r="S1807" s="167"/>
      <c r="T1807" s="168">
        <f t="shared" si="3"/>
        <v>13126.56</v>
      </c>
      <c r="U1807" s="168">
        <f t="shared" si="4"/>
        <v>0</v>
      </c>
      <c r="V1807" s="168">
        <f t="shared" si="5"/>
        <v>0</v>
      </c>
      <c r="W1807" s="168">
        <f t="shared" si="6"/>
        <v>0</v>
      </c>
      <c r="X1807" s="168">
        <f t="shared" si="7"/>
        <v>0</v>
      </c>
      <c r="Y1807" s="168">
        <f t="shared" si="8"/>
        <v>0</v>
      </c>
      <c r="Z1807" s="168">
        <f t="shared" si="9"/>
        <v>0</v>
      </c>
    </row>
    <row r="1808" ht="14.25" customHeight="1">
      <c r="A1808" s="157" t="s">
        <v>1928</v>
      </c>
      <c r="B1808" s="158" t="s">
        <v>41</v>
      </c>
      <c r="C1808" s="158" t="s">
        <v>1658</v>
      </c>
      <c r="D1808" s="159">
        <v>44038.0</v>
      </c>
      <c r="E1808" s="157" t="s">
        <v>731</v>
      </c>
      <c r="F1808" s="160">
        <v>19188.0</v>
      </c>
      <c r="G1808" s="160">
        <v>3070.08</v>
      </c>
      <c r="H1808" s="160">
        <f t="shared" si="49"/>
        <v>22258.08</v>
      </c>
      <c r="I1808" s="160"/>
      <c r="J1808" s="161"/>
      <c r="K1808" s="160"/>
      <c r="L1808" s="160">
        <f>+'FACP$'!$H1808-'FACP$'!$I1808-'FACP$'!$K1808</f>
        <v>22258.08</v>
      </c>
      <c r="M1808" s="162" t="s">
        <v>121</v>
      </c>
      <c r="N1808" s="162" t="s">
        <v>554</v>
      </c>
      <c r="O1808" s="175">
        <v>44099.0</v>
      </c>
      <c r="P1808" s="164">
        <f t="shared" si="13"/>
        <v>44048</v>
      </c>
      <c r="Q1808" s="165">
        <f t="shared" si="2"/>
        <v>0</v>
      </c>
      <c r="R1808" s="167"/>
      <c r="S1808" s="167"/>
      <c r="T1808" s="168">
        <f t="shared" si="3"/>
        <v>22258.08</v>
      </c>
      <c r="U1808" s="168">
        <f t="shared" si="4"/>
        <v>0</v>
      </c>
      <c r="V1808" s="168">
        <f t="shared" si="5"/>
        <v>0</v>
      </c>
      <c r="W1808" s="168">
        <f t="shared" si="6"/>
        <v>0</v>
      </c>
      <c r="X1808" s="168">
        <f t="shared" si="7"/>
        <v>0</v>
      </c>
      <c r="Y1808" s="168">
        <f t="shared" si="8"/>
        <v>0</v>
      </c>
      <c r="Z1808" s="168">
        <f t="shared" si="9"/>
        <v>0</v>
      </c>
    </row>
    <row r="1809" ht="14.25" customHeight="1">
      <c r="A1809" s="157" t="s">
        <v>1929</v>
      </c>
      <c r="B1809" s="158" t="s">
        <v>37</v>
      </c>
      <c r="C1809" s="158" t="s">
        <v>1658</v>
      </c>
      <c r="D1809" s="159">
        <v>44038.0</v>
      </c>
      <c r="E1809" s="157" t="s">
        <v>731</v>
      </c>
      <c r="F1809" s="160">
        <v>38376.0</v>
      </c>
      <c r="G1809" s="160">
        <v>6140.16</v>
      </c>
      <c r="H1809" s="160">
        <f t="shared" si="49"/>
        <v>44516.16</v>
      </c>
      <c r="I1809" s="160"/>
      <c r="J1809" s="161"/>
      <c r="K1809" s="160"/>
      <c r="L1809" s="160">
        <f>+'FACP$'!$H1809-'FACP$'!$I1809-'FACP$'!$K1809</f>
        <v>44516.16</v>
      </c>
      <c r="M1809" s="162" t="s">
        <v>116</v>
      </c>
      <c r="N1809" s="162" t="s">
        <v>554</v>
      </c>
      <c r="O1809" s="175">
        <v>44081.0</v>
      </c>
      <c r="P1809" s="164">
        <f t="shared" si="13"/>
        <v>44048</v>
      </c>
      <c r="Q1809" s="165">
        <f t="shared" si="2"/>
        <v>0</v>
      </c>
      <c r="R1809" s="167"/>
      <c r="S1809" s="220" t="s">
        <v>910</v>
      </c>
      <c r="T1809" s="168">
        <f t="shared" si="3"/>
        <v>44516.16</v>
      </c>
      <c r="U1809" s="168">
        <f t="shared" si="4"/>
        <v>0</v>
      </c>
      <c r="V1809" s="168">
        <f t="shared" si="5"/>
        <v>0</v>
      </c>
      <c r="W1809" s="168">
        <f t="shared" si="6"/>
        <v>0</v>
      </c>
      <c r="X1809" s="168">
        <f t="shared" si="7"/>
        <v>0</v>
      </c>
      <c r="Y1809" s="168">
        <f t="shared" si="8"/>
        <v>0</v>
      </c>
      <c r="Z1809" s="168">
        <f t="shared" si="9"/>
        <v>0</v>
      </c>
    </row>
    <row r="1810" ht="14.25" customHeight="1">
      <c r="A1810" s="157" t="s">
        <v>1930</v>
      </c>
      <c r="B1810" s="158" t="s">
        <v>37</v>
      </c>
      <c r="C1810" s="158" t="s">
        <v>1658</v>
      </c>
      <c r="D1810" s="159">
        <v>44038.0</v>
      </c>
      <c r="E1810" s="157" t="s">
        <v>731</v>
      </c>
      <c r="F1810" s="160">
        <v>38376.0</v>
      </c>
      <c r="G1810" s="160">
        <v>6140.16</v>
      </c>
      <c r="H1810" s="160">
        <f t="shared" si="49"/>
        <v>44516.16</v>
      </c>
      <c r="I1810" s="160"/>
      <c r="J1810" s="161"/>
      <c r="K1810" s="160"/>
      <c r="L1810" s="160">
        <f>+'FACP$'!$H1810-'FACP$'!$I1810-'FACP$'!$K1810</f>
        <v>44516.16</v>
      </c>
      <c r="M1810" s="162" t="s">
        <v>116</v>
      </c>
      <c r="N1810" s="162" t="s">
        <v>554</v>
      </c>
      <c r="O1810" s="175">
        <v>44081.0</v>
      </c>
      <c r="P1810" s="164">
        <f t="shared" si="13"/>
        <v>44048</v>
      </c>
      <c r="Q1810" s="165">
        <f t="shared" si="2"/>
        <v>0</v>
      </c>
      <c r="R1810" s="167"/>
      <c r="S1810" s="220" t="s">
        <v>910</v>
      </c>
      <c r="T1810" s="168">
        <f t="shared" si="3"/>
        <v>44516.16</v>
      </c>
      <c r="U1810" s="168">
        <f t="shared" si="4"/>
        <v>0</v>
      </c>
      <c r="V1810" s="168">
        <f t="shared" si="5"/>
        <v>0</v>
      </c>
      <c r="W1810" s="168">
        <f t="shared" si="6"/>
        <v>0</v>
      </c>
      <c r="X1810" s="168">
        <f t="shared" si="7"/>
        <v>0</v>
      </c>
      <c r="Y1810" s="168">
        <f t="shared" si="8"/>
        <v>0</v>
      </c>
      <c r="Z1810" s="168">
        <f t="shared" si="9"/>
        <v>0</v>
      </c>
    </row>
    <row r="1811" ht="14.25" customHeight="1">
      <c r="A1811" s="157" t="s">
        <v>1931</v>
      </c>
      <c r="B1811" s="158" t="s">
        <v>16</v>
      </c>
      <c r="C1811" s="158" t="s">
        <v>1658</v>
      </c>
      <c r="D1811" s="159">
        <v>44038.0</v>
      </c>
      <c r="E1811" s="157" t="s">
        <v>731</v>
      </c>
      <c r="F1811" s="160">
        <v>11316.0</v>
      </c>
      <c r="G1811" s="160">
        <v>1810.56</v>
      </c>
      <c r="H1811" s="160">
        <f t="shared" si="49"/>
        <v>13126.56</v>
      </c>
      <c r="I1811" s="160"/>
      <c r="J1811" s="161"/>
      <c r="K1811" s="160"/>
      <c r="L1811" s="160">
        <f>+'FACP$'!$H1811-'FACP$'!$I1811-'FACP$'!$K1811</f>
        <v>13126.56</v>
      </c>
      <c r="M1811" s="162" t="s">
        <v>985</v>
      </c>
      <c r="N1811" s="162" t="s">
        <v>554</v>
      </c>
      <c r="O1811" s="175">
        <v>44078.0</v>
      </c>
      <c r="P1811" s="164">
        <f t="shared" si="13"/>
        <v>44048</v>
      </c>
      <c r="Q1811" s="165">
        <f t="shared" si="2"/>
        <v>0</v>
      </c>
      <c r="R1811" s="167"/>
      <c r="S1811" s="167"/>
      <c r="T1811" s="168">
        <f t="shared" si="3"/>
        <v>13126.56</v>
      </c>
      <c r="U1811" s="168">
        <f t="shared" si="4"/>
        <v>0</v>
      </c>
      <c r="V1811" s="168">
        <f t="shared" si="5"/>
        <v>0</v>
      </c>
      <c r="W1811" s="168">
        <f t="shared" si="6"/>
        <v>0</v>
      </c>
      <c r="X1811" s="168">
        <f t="shared" si="7"/>
        <v>0</v>
      </c>
      <c r="Y1811" s="168">
        <f t="shared" si="8"/>
        <v>0</v>
      </c>
      <c r="Z1811" s="168">
        <f t="shared" si="9"/>
        <v>0</v>
      </c>
    </row>
    <row r="1812" ht="14.25" customHeight="1">
      <c r="A1812" s="157" t="s">
        <v>1932</v>
      </c>
      <c r="B1812" s="158" t="s">
        <v>127</v>
      </c>
      <c r="C1812" s="158"/>
      <c r="D1812" s="159"/>
      <c r="E1812" s="157"/>
      <c r="F1812" s="160"/>
      <c r="G1812" s="160"/>
      <c r="H1812" s="160">
        <f t="shared" si="49"/>
        <v>0</v>
      </c>
      <c r="I1812" s="160"/>
      <c r="J1812" s="161"/>
      <c r="K1812" s="160"/>
      <c r="L1812" s="160">
        <f>+'FACP$'!$H1812-'FACP$'!$I1812-'FACP$'!$K1812</f>
        <v>0</v>
      </c>
      <c r="M1812" s="162"/>
      <c r="N1812" s="162" t="s">
        <v>127</v>
      </c>
      <c r="O1812" s="175"/>
      <c r="P1812" s="164">
        <f t="shared" si="13"/>
        <v>10</v>
      </c>
      <c r="Q1812" s="165">
        <f t="shared" si="2"/>
        <v>0</v>
      </c>
      <c r="R1812" s="167"/>
      <c r="S1812" s="167"/>
      <c r="T1812" s="168">
        <f t="shared" si="3"/>
        <v>0</v>
      </c>
      <c r="U1812" s="168">
        <f t="shared" si="4"/>
        <v>0</v>
      </c>
      <c r="V1812" s="168">
        <f t="shared" si="5"/>
        <v>0</v>
      </c>
      <c r="W1812" s="168">
        <f t="shared" si="6"/>
        <v>0</v>
      </c>
      <c r="X1812" s="168">
        <f t="shared" si="7"/>
        <v>0</v>
      </c>
      <c r="Y1812" s="168">
        <f t="shared" si="8"/>
        <v>0</v>
      </c>
      <c r="Z1812" s="168">
        <f t="shared" si="9"/>
        <v>0</v>
      </c>
    </row>
    <row r="1813" ht="14.25" customHeight="1">
      <c r="A1813" s="157" t="s">
        <v>1933</v>
      </c>
      <c r="B1813" s="158" t="s">
        <v>29</v>
      </c>
      <c r="C1813" s="158" t="s">
        <v>1658</v>
      </c>
      <c r="D1813" s="159">
        <v>44038.0</v>
      </c>
      <c r="E1813" s="157" t="s">
        <v>731</v>
      </c>
      <c r="F1813" s="160">
        <v>19188.0</v>
      </c>
      <c r="G1813" s="160">
        <v>3070.08</v>
      </c>
      <c r="H1813" s="160">
        <f t="shared" si="49"/>
        <v>22258.08</v>
      </c>
      <c r="I1813" s="160"/>
      <c r="J1813" s="161"/>
      <c r="K1813" s="160"/>
      <c r="L1813" s="160">
        <f>+'FACP$'!$H1813-'FACP$'!$I1813-'FACP$'!$K1813</f>
        <v>22258.08</v>
      </c>
      <c r="M1813" s="162" t="s">
        <v>130</v>
      </c>
      <c r="N1813" s="162" t="s">
        <v>554</v>
      </c>
      <c r="O1813" s="175">
        <v>44075.0</v>
      </c>
      <c r="P1813" s="164">
        <f t="shared" si="13"/>
        <v>44048</v>
      </c>
      <c r="Q1813" s="165">
        <f t="shared" si="2"/>
        <v>0</v>
      </c>
      <c r="R1813" s="167"/>
      <c r="S1813" s="167"/>
      <c r="T1813" s="168">
        <f t="shared" si="3"/>
        <v>22258.08</v>
      </c>
      <c r="U1813" s="168">
        <f t="shared" si="4"/>
        <v>0</v>
      </c>
      <c r="V1813" s="168">
        <f t="shared" si="5"/>
        <v>0</v>
      </c>
      <c r="W1813" s="168">
        <f t="shared" si="6"/>
        <v>0</v>
      </c>
      <c r="X1813" s="168">
        <f t="shared" si="7"/>
        <v>0</v>
      </c>
      <c r="Y1813" s="168">
        <f t="shared" si="8"/>
        <v>0</v>
      </c>
      <c r="Z1813" s="168">
        <f t="shared" si="9"/>
        <v>0</v>
      </c>
    </row>
    <row r="1814" ht="14.25" customHeight="1">
      <c r="A1814" s="157" t="s">
        <v>1934</v>
      </c>
      <c r="B1814" s="158" t="s">
        <v>16</v>
      </c>
      <c r="C1814" s="158" t="s">
        <v>1658</v>
      </c>
      <c r="D1814" s="159">
        <v>44039.0</v>
      </c>
      <c r="E1814" s="157" t="s">
        <v>731</v>
      </c>
      <c r="F1814" s="160">
        <v>11316.0</v>
      </c>
      <c r="G1814" s="160">
        <v>1810.56</v>
      </c>
      <c r="H1814" s="160">
        <f t="shared" si="49"/>
        <v>13126.56</v>
      </c>
      <c r="I1814" s="160"/>
      <c r="J1814" s="161"/>
      <c r="K1814" s="160"/>
      <c r="L1814" s="160">
        <f>+'FACP$'!$H1814-'FACP$'!$I1814-'FACP$'!$K1814</f>
        <v>13126.56</v>
      </c>
      <c r="M1814" s="162" t="s">
        <v>985</v>
      </c>
      <c r="N1814" s="162" t="s">
        <v>554</v>
      </c>
      <c r="O1814" s="175">
        <v>44078.0</v>
      </c>
      <c r="P1814" s="164">
        <f t="shared" si="13"/>
        <v>44049</v>
      </c>
      <c r="Q1814" s="165">
        <f t="shared" si="2"/>
        <v>0</v>
      </c>
      <c r="R1814" s="167"/>
      <c r="S1814" s="167"/>
      <c r="T1814" s="168">
        <f t="shared" si="3"/>
        <v>13126.56</v>
      </c>
      <c r="U1814" s="168">
        <f t="shared" si="4"/>
        <v>0</v>
      </c>
      <c r="V1814" s="168">
        <f t="shared" si="5"/>
        <v>0</v>
      </c>
      <c r="W1814" s="168">
        <f t="shared" si="6"/>
        <v>0</v>
      </c>
      <c r="X1814" s="168">
        <f t="shared" si="7"/>
        <v>0</v>
      </c>
      <c r="Y1814" s="168">
        <f t="shared" si="8"/>
        <v>0</v>
      </c>
      <c r="Z1814" s="168">
        <f t="shared" si="9"/>
        <v>0</v>
      </c>
    </row>
    <row r="1815" ht="14.25" customHeight="1">
      <c r="A1815" s="157" t="s">
        <v>1935</v>
      </c>
      <c r="B1815" s="158" t="s">
        <v>16</v>
      </c>
      <c r="C1815" s="158" t="s">
        <v>1658</v>
      </c>
      <c r="D1815" s="159">
        <v>44039.0</v>
      </c>
      <c r="E1815" s="157" t="s">
        <v>731</v>
      </c>
      <c r="F1815" s="160">
        <v>11316.0</v>
      </c>
      <c r="G1815" s="160">
        <v>1810.56</v>
      </c>
      <c r="H1815" s="160">
        <f t="shared" si="49"/>
        <v>13126.56</v>
      </c>
      <c r="I1815" s="160"/>
      <c r="J1815" s="161"/>
      <c r="K1815" s="160"/>
      <c r="L1815" s="160">
        <f>+'FACP$'!$H1815-'FACP$'!$I1815-'FACP$'!$K1815</f>
        <v>13126.56</v>
      </c>
      <c r="M1815" s="162" t="s">
        <v>985</v>
      </c>
      <c r="N1815" s="162" t="s">
        <v>554</v>
      </c>
      <c r="O1815" s="175">
        <v>44078.0</v>
      </c>
      <c r="P1815" s="164">
        <f t="shared" si="13"/>
        <v>44049</v>
      </c>
      <c r="Q1815" s="165">
        <f t="shared" si="2"/>
        <v>0</v>
      </c>
      <c r="R1815" s="167"/>
      <c r="S1815" s="167"/>
      <c r="T1815" s="168">
        <f t="shared" si="3"/>
        <v>13126.56</v>
      </c>
      <c r="U1815" s="168">
        <f t="shared" si="4"/>
        <v>0</v>
      </c>
      <c r="V1815" s="168">
        <f t="shared" si="5"/>
        <v>0</v>
      </c>
      <c r="W1815" s="168">
        <f t="shared" si="6"/>
        <v>0</v>
      </c>
      <c r="X1815" s="168">
        <f t="shared" si="7"/>
        <v>0</v>
      </c>
      <c r="Y1815" s="168">
        <f t="shared" si="8"/>
        <v>0</v>
      </c>
      <c r="Z1815" s="168">
        <f t="shared" si="9"/>
        <v>0</v>
      </c>
    </row>
    <row r="1816" ht="14.25" customHeight="1">
      <c r="A1816" s="157" t="s">
        <v>1936</v>
      </c>
      <c r="B1816" s="158" t="s">
        <v>37</v>
      </c>
      <c r="C1816" s="158" t="s">
        <v>1658</v>
      </c>
      <c r="D1816" s="159">
        <v>44039.0</v>
      </c>
      <c r="E1816" s="157" t="s">
        <v>731</v>
      </c>
      <c r="F1816" s="160">
        <v>38376.0</v>
      </c>
      <c r="G1816" s="160">
        <v>6140.16</v>
      </c>
      <c r="H1816" s="160">
        <f t="shared" si="49"/>
        <v>44516.16</v>
      </c>
      <c r="I1816" s="160"/>
      <c r="J1816" s="161"/>
      <c r="K1816" s="160"/>
      <c r="L1816" s="160">
        <f>+'FACP$'!$H1816-'FACP$'!$I1816-'FACP$'!$K1816</f>
        <v>44516.16</v>
      </c>
      <c r="M1816" s="162" t="s">
        <v>116</v>
      </c>
      <c r="N1816" s="162" t="s">
        <v>554</v>
      </c>
      <c r="O1816" s="175">
        <v>44081.0</v>
      </c>
      <c r="P1816" s="164">
        <f t="shared" si="13"/>
        <v>44049</v>
      </c>
      <c r="Q1816" s="165">
        <f t="shared" si="2"/>
        <v>0</v>
      </c>
      <c r="R1816" s="167"/>
      <c r="S1816" s="220" t="s">
        <v>910</v>
      </c>
      <c r="T1816" s="168">
        <f t="shared" si="3"/>
        <v>44516.16</v>
      </c>
      <c r="U1816" s="168">
        <f t="shared" si="4"/>
        <v>0</v>
      </c>
      <c r="V1816" s="168">
        <f t="shared" si="5"/>
        <v>0</v>
      </c>
      <c r="W1816" s="168">
        <f t="shared" si="6"/>
        <v>0</v>
      </c>
      <c r="X1816" s="168">
        <f t="shared" si="7"/>
        <v>0</v>
      </c>
      <c r="Y1816" s="168">
        <f t="shared" si="8"/>
        <v>0</v>
      </c>
      <c r="Z1816" s="168">
        <f t="shared" si="9"/>
        <v>0</v>
      </c>
    </row>
    <row r="1817" ht="14.25" customHeight="1">
      <c r="A1817" s="157" t="s">
        <v>1937</v>
      </c>
      <c r="B1817" s="158" t="s">
        <v>27</v>
      </c>
      <c r="C1817" s="158" t="s">
        <v>1938</v>
      </c>
      <c r="D1817" s="159">
        <v>44039.0</v>
      </c>
      <c r="E1817" s="157" t="s">
        <v>731</v>
      </c>
      <c r="F1817" s="160">
        <v>325561.47</v>
      </c>
      <c r="G1817" s="160">
        <v>52089.84</v>
      </c>
      <c r="H1817" s="160">
        <f t="shared" si="49"/>
        <v>377651.31</v>
      </c>
      <c r="I1817" s="160"/>
      <c r="J1817" s="161"/>
      <c r="K1817" s="160"/>
      <c r="L1817" s="160">
        <f>+'FACP$'!$H1817-'FACP$'!$I1817-'FACP$'!$K1817</f>
        <v>377651.31</v>
      </c>
      <c r="M1817" s="162" t="s">
        <v>1644</v>
      </c>
      <c r="N1817" s="162" t="s">
        <v>127</v>
      </c>
      <c r="O1817" s="175"/>
      <c r="P1817" s="164">
        <f t="shared" si="13"/>
        <v>44049</v>
      </c>
      <c r="Q1817" s="165">
        <f t="shared" si="2"/>
        <v>0</v>
      </c>
      <c r="R1817" s="167"/>
      <c r="S1817" s="167"/>
      <c r="T1817" s="168">
        <f t="shared" si="3"/>
        <v>377651.31</v>
      </c>
      <c r="U1817" s="168">
        <f t="shared" si="4"/>
        <v>0</v>
      </c>
      <c r="V1817" s="168">
        <f t="shared" si="5"/>
        <v>0</v>
      </c>
      <c r="W1817" s="168">
        <f t="shared" si="6"/>
        <v>0</v>
      </c>
      <c r="X1817" s="168">
        <f t="shared" si="7"/>
        <v>0</v>
      </c>
      <c r="Y1817" s="168">
        <f t="shared" si="8"/>
        <v>0</v>
      </c>
      <c r="Z1817" s="168">
        <f t="shared" si="9"/>
        <v>0</v>
      </c>
    </row>
    <row r="1818" ht="14.25" customHeight="1">
      <c r="A1818" s="157" t="s">
        <v>1939</v>
      </c>
      <c r="B1818" s="158" t="s">
        <v>27</v>
      </c>
      <c r="C1818" s="158" t="s">
        <v>1938</v>
      </c>
      <c r="D1818" s="159">
        <v>44039.0</v>
      </c>
      <c r="E1818" s="157" t="s">
        <v>731</v>
      </c>
      <c r="F1818" s="160">
        <v>481793.52</v>
      </c>
      <c r="G1818" s="160">
        <v>77086.96</v>
      </c>
      <c r="H1818" s="160">
        <f t="shared" si="49"/>
        <v>558880.48</v>
      </c>
      <c r="I1818" s="160"/>
      <c r="J1818" s="161"/>
      <c r="K1818" s="160"/>
      <c r="L1818" s="160">
        <f>+'FACP$'!$H1818-'FACP$'!$I1818-'FACP$'!$K1818</f>
        <v>558880.48</v>
      </c>
      <c r="M1818" s="162" t="s">
        <v>969</v>
      </c>
      <c r="N1818" s="162" t="s">
        <v>127</v>
      </c>
      <c r="O1818" s="175"/>
      <c r="P1818" s="164">
        <f t="shared" si="13"/>
        <v>44049</v>
      </c>
      <c r="Q1818" s="165">
        <f t="shared" si="2"/>
        <v>0</v>
      </c>
      <c r="R1818" s="167"/>
      <c r="S1818" s="167"/>
      <c r="T1818" s="168">
        <f t="shared" si="3"/>
        <v>558880.48</v>
      </c>
      <c r="U1818" s="168">
        <f t="shared" si="4"/>
        <v>0</v>
      </c>
      <c r="V1818" s="168">
        <f t="shared" si="5"/>
        <v>0</v>
      </c>
      <c r="W1818" s="168">
        <f t="shared" si="6"/>
        <v>0</v>
      </c>
      <c r="X1818" s="168">
        <f t="shared" si="7"/>
        <v>0</v>
      </c>
      <c r="Y1818" s="168">
        <f t="shared" si="8"/>
        <v>0</v>
      </c>
      <c r="Z1818" s="168">
        <f t="shared" si="9"/>
        <v>0</v>
      </c>
    </row>
    <row r="1819" ht="14.25" customHeight="1">
      <c r="A1819" s="157" t="s">
        <v>1940</v>
      </c>
      <c r="B1819" s="158" t="s">
        <v>27</v>
      </c>
      <c r="C1819" s="158" t="s">
        <v>1941</v>
      </c>
      <c r="D1819" s="159">
        <v>44039.0</v>
      </c>
      <c r="E1819" s="157" t="s">
        <v>731</v>
      </c>
      <c r="F1819" s="160">
        <v>82870.97</v>
      </c>
      <c r="G1819" s="160">
        <v>13259.36</v>
      </c>
      <c r="H1819" s="160">
        <f t="shared" si="49"/>
        <v>96130.33</v>
      </c>
      <c r="I1819" s="160"/>
      <c r="J1819" s="161"/>
      <c r="K1819" s="160"/>
      <c r="L1819" s="160">
        <f>+'FACP$'!$H1819-'FACP$'!$I1819-'FACP$'!$K1819</f>
        <v>96130.33</v>
      </c>
      <c r="M1819" s="162" t="s">
        <v>1721</v>
      </c>
      <c r="N1819" s="162" t="s">
        <v>554</v>
      </c>
      <c r="O1819" s="175">
        <v>44091.0</v>
      </c>
      <c r="P1819" s="164">
        <f t="shared" si="13"/>
        <v>44049</v>
      </c>
      <c r="Q1819" s="165">
        <f t="shared" si="2"/>
        <v>0</v>
      </c>
      <c r="R1819" s="167"/>
      <c r="S1819" s="167" t="s">
        <v>910</v>
      </c>
      <c r="T1819" s="168">
        <f t="shared" si="3"/>
        <v>96130.33</v>
      </c>
      <c r="U1819" s="168">
        <f t="shared" si="4"/>
        <v>0</v>
      </c>
      <c r="V1819" s="168">
        <f t="shared" si="5"/>
        <v>0</v>
      </c>
      <c r="W1819" s="168">
        <f t="shared" si="6"/>
        <v>0</v>
      </c>
      <c r="X1819" s="168">
        <f t="shared" si="7"/>
        <v>0</v>
      </c>
      <c r="Y1819" s="168">
        <f t="shared" si="8"/>
        <v>0</v>
      </c>
      <c r="Z1819" s="168">
        <f t="shared" si="9"/>
        <v>0</v>
      </c>
    </row>
    <row r="1820" ht="14.25" customHeight="1">
      <c r="A1820" s="157" t="s">
        <v>1942</v>
      </c>
      <c r="B1820" s="158" t="s">
        <v>27</v>
      </c>
      <c r="C1820" s="158" t="s">
        <v>1941</v>
      </c>
      <c r="D1820" s="159">
        <v>44039.0</v>
      </c>
      <c r="E1820" s="157" t="s">
        <v>731</v>
      </c>
      <c r="F1820" s="160">
        <v>275209.32</v>
      </c>
      <c r="G1820" s="160">
        <v>44033.49</v>
      </c>
      <c r="H1820" s="160">
        <f t="shared" si="49"/>
        <v>319242.81</v>
      </c>
      <c r="I1820" s="160"/>
      <c r="J1820" s="161"/>
      <c r="K1820" s="160"/>
      <c r="L1820" s="160">
        <f>+'FACP$'!$H1820-'FACP$'!$I1820-'FACP$'!$K1820</f>
        <v>319242.81</v>
      </c>
      <c r="M1820" s="162" t="s">
        <v>1644</v>
      </c>
      <c r="N1820" s="162" t="s">
        <v>554</v>
      </c>
      <c r="O1820" s="175">
        <v>44091.0</v>
      </c>
      <c r="P1820" s="164">
        <f t="shared" si="13"/>
        <v>44049</v>
      </c>
      <c r="Q1820" s="165">
        <f t="shared" si="2"/>
        <v>0</v>
      </c>
      <c r="R1820" s="167"/>
      <c r="S1820" s="167" t="s">
        <v>910</v>
      </c>
      <c r="T1820" s="168">
        <f t="shared" si="3"/>
        <v>319242.81</v>
      </c>
      <c r="U1820" s="168">
        <f t="shared" si="4"/>
        <v>0</v>
      </c>
      <c r="V1820" s="168">
        <f t="shared" si="5"/>
        <v>0</v>
      </c>
      <c r="W1820" s="168">
        <f t="shared" si="6"/>
        <v>0</v>
      </c>
      <c r="X1820" s="168">
        <f t="shared" si="7"/>
        <v>0</v>
      </c>
      <c r="Y1820" s="168">
        <f t="shared" si="8"/>
        <v>0</v>
      </c>
      <c r="Z1820" s="168">
        <f t="shared" si="9"/>
        <v>0</v>
      </c>
    </row>
    <row r="1821" ht="14.25" customHeight="1">
      <c r="A1821" s="157" t="s">
        <v>1943</v>
      </c>
      <c r="B1821" s="158" t="s">
        <v>27</v>
      </c>
      <c r="C1821" s="158" t="s">
        <v>1938</v>
      </c>
      <c r="D1821" s="159">
        <v>44039.0</v>
      </c>
      <c r="E1821" s="157" t="s">
        <v>731</v>
      </c>
      <c r="F1821" s="160">
        <v>98329.29</v>
      </c>
      <c r="G1821" s="160">
        <v>15732.69</v>
      </c>
      <c r="H1821" s="160">
        <f t="shared" si="49"/>
        <v>114061.98</v>
      </c>
      <c r="I1821" s="160"/>
      <c r="J1821" s="161"/>
      <c r="K1821" s="160"/>
      <c r="L1821" s="160">
        <f>+'FACP$'!$H1821-'FACP$'!$I1821-'FACP$'!$K1821</f>
        <v>114061.98</v>
      </c>
      <c r="M1821" s="162" t="s">
        <v>1721</v>
      </c>
      <c r="N1821" s="162" t="s">
        <v>127</v>
      </c>
      <c r="O1821" s="175"/>
      <c r="P1821" s="164">
        <f t="shared" si="13"/>
        <v>44049</v>
      </c>
      <c r="Q1821" s="165">
        <f t="shared" si="2"/>
        <v>0</v>
      </c>
      <c r="R1821" s="167"/>
      <c r="S1821" s="167"/>
      <c r="T1821" s="168">
        <f t="shared" si="3"/>
        <v>114061.98</v>
      </c>
      <c r="U1821" s="168">
        <f t="shared" si="4"/>
        <v>0</v>
      </c>
      <c r="V1821" s="168">
        <f t="shared" si="5"/>
        <v>0</v>
      </c>
      <c r="W1821" s="168">
        <f t="shared" si="6"/>
        <v>0</v>
      </c>
      <c r="X1821" s="168">
        <f t="shared" si="7"/>
        <v>0</v>
      </c>
      <c r="Y1821" s="168">
        <f t="shared" si="8"/>
        <v>0</v>
      </c>
      <c r="Z1821" s="168">
        <f t="shared" si="9"/>
        <v>0</v>
      </c>
    </row>
    <row r="1822" ht="14.25" customHeight="1">
      <c r="A1822" s="157" t="s">
        <v>1944</v>
      </c>
      <c r="B1822" s="158" t="s">
        <v>27</v>
      </c>
      <c r="C1822" s="158" t="s">
        <v>1707</v>
      </c>
      <c r="D1822" s="159">
        <v>44039.0</v>
      </c>
      <c r="E1822" s="157" t="s">
        <v>731</v>
      </c>
      <c r="F1822" s="160">
        <v>34247.82</v>
      </c>
      <c r="G1822" s="160">
        <v>5479.65</v>
      </c>
      <c r="H1822" s="160">
        <f t="shared" si="49"/>
        <v>39727.47</v>
      </c>
      <c r="I1822" s="160"/>
      <c r="J1822" s="161"/>
      <c r="K1822" s="160"/>
      <c r="L1822" s="160">
        <f>+'FACP$'!$H1822-'FACP$'!$I1822-'FACP$'!$K1822</f>
        <v>39727.47</v>
      </c>
      <c r="M1822" s="162" t="s">
        <v>969</v>
      </c>
      <c r="N1822" s="162" t="s">
        <v>554</v>
      </c>
      <c r="O1822" s="175">
        <v>44061.0</v>
      </c>
      <c r="P1822" s="164">
        <f t="shared" si="13"/>
        <v>44049</v>
      </c>
      <c r="Q1822" s="165">
        <f t="shared" si="2"/>
        <v>0</v>
      </c>
      <c r="R1822" s="167"/>
      <c r="S1822" s="167" t="s">
        <v>910</v>
      </c>
      <c r="T1822" s="168">
        <f t="shared" si="3"/>
        <v>39727.47</v>
      </c>
      <c r="U1822" s="168">
        <f t="shared" si="4"/>
        <v>0</v>
      </c>
      <c r="V1822" s="168">
        <f t="shared" si="5"/>
        <v>0</v>
      </c>
      <c r="W1822" s="168">
        <f t="shared" si="6"/>
        <v>0</v>
      </c>
      <c r="X1822" s="168">
        <f t="shared" si="7"/>
        <v>0</v>
      </c>
      <c r="Y1822" s="168">
        <f t="shared" si="8"/>
        <v>0</v>
      </c>
      <c r="Z1822" s="168">
        <f t="shared" si="9"/>
        <v>0</v>
      </c>
    </row>
    <row r="1823" ht="14.25" customHeight="1">
      <c r="A1823" s="157" t="s">
        <v>1945</v>
      </c>
      <c r="B1823" s="158" t="s">
        <v>27</v>
      </c>
      <c r="C1823" s="158" t="s">
        <v>1709</v>
      </c>
      <c r="D1823" s="159">
        <v>44039.0</v>
      </c>
      <c r="E1823" s="157" t="s">
        <v>731</v>
      </c>
      <c r="F1823" s="160">
        <v>31350.66</v>
      </c>
      <c r="G1823" s="160">
        <v>5016.11</v>
      </c>
      <c r="H1823" s="160">
        <f t="shared" si="49"/>
        <v>36366.77</v>
      </c>
      <c r="I1823" s="160"/>
      <c r="J1823" s="161"/>
      <c r="K1823" s="160"/>
      <c r="L1823" s="160">
        <f>+'FACP$'!$H1823-'FACP$'!$I1823-'FACP$'!$K1823</f>
        <v>36366.77</v>
      </c>
      <c r="M1823" s="162" t="s">
        <v>969</v>
      </c>
      <c r="N1823" s="162" t="s">
        <v>554</v>
      </c>
      <c r="O1823" s="175">
        <v>44061.0</v>
      </c>
      <c r="P1823" s="164">
        <f t="shared" si="13"/>
        <v>44049</v>
      </c>
      <c r="Q1823" s="165">
        <f t="shared" si="2"/>
        <v>0</v>
      </c>
      <c r="R1823" s="167"/>
      <c r="S1823" s="167" t="s">
        <v>910</v>
      </c>
      <c r="T1823" s="168">
        <f t="shared" si="3"/>
        <v>36366.77</v>
      </c>
      <c r="U1823" s="168">
        <f t="shared" si="4"/>
        <v>0</v>
      </c>
      <c r="V1823" s="168">
        <f t="shared" si="5"/>
        <v>0</v>
      </c>
      <c r="W1823" s="168">
        <f t="shared" si="6"/>
        <v>0</v>
      </c>
      <c r="X1823" s="168">
        <f t="shared" si="7"/>
        <v>0</v>
      </c>
      <c r="Y1823" s="168">
        <f t="shared" si="8"/>
        <v>0</v>
      </c>
      <c r="Z1823" s="168">
        <f t="shared" si="9"/>
        <v>0</v>
      </c>
    </row>
    <row r="1824" ht="14.25" customHeight="1">
      <c r="A1824" s="157" t="s">
        <v>1946</v>
      </c>
      <c r="B1824" s="158" t="s">
        <v>37</v>
      </c>
      <c r="C1824" s="158" t="s">
        <v>1658</v>
      </c>
      <c r="D1824" s="159">
        <v>44039.0</v>
      </c>
      <c r="E1824" s="157" t="s">
        <v>731</v>
      </c>
      <c r="F1824" s="160">
        <v>38376.0</v>
      </c>
      <c r="G1824" s="160">
        <v>6140.16</v>
      </c>
      <c r="H1824" s="160">
        <f t="shared" si="49"/>
        <v>44516.16</v>
      </c>
      <c r="I1824" s="160"/>
      <c r="J1824" s="161"/>
      <c r="K1824" s="160"/>
      <c r="L1824" s="160">
        <f>+'FACP$'!$H1824-'FACP$'!$I1824-'FACP$'!$K1824</f>
        <v>44516.16</v>
      </c>
      <c r="M1824" s="162" t="s">
        <v>116</v>
      </c>
      <c r="N1824" s="162" t="s">
        <v>554</v>
      </c>
      <c r="O1824" s="175">
        <v>44081.0</v>
      </c>
      <c r="P1824" s="164">
        <f t="shared" si="13"/>
        <v>44049</v>
      </c>
      <c r="Q1824" s="165">
        <f t="shared" si="2"/>
        <v>0</v>
      </c>
      <c r="R1824" s="167"/>
      <c r="S1824" s="220" t="s">
        <v>910</v>
      </c>
      <c r="T1824" s="168">
        <f t="shared" si="3"/>
        <v>44516.16</v>
      </c>
      <c r="U1824" s="168">
        <f t="shared" si="4"/>
        <v>0</v>
      </c>
      <c r="V1824" s="168">
        <f t="shared" si="5"/>
        <v>0</v>
      </c>
      <c r="W1824" s="168">
        <f t="shared" si="6"/>
        <v>0</v>
      </c>
      <c r="X1824" s="168">
        <f t="shared" si="7"/>
        <v>0</v>
      </c>
      <c r="Y1824" s="168">
        <f t="shared" si="8"/>
        <v>0</v>
      </c>
      <c r="Z1824" s="168">
        <f t="shared" si="9"/>
        <v>0</v>
      </c>
    </row>
    <row r="1825" ht="14.25" customHeight="1">
      <c r="A1825" s="157" t="s">
        <v>1947</v>
      </c>
      <c r="B1825" s="158" t="s">
        <v>16</v>
      </c>
      <c r="C1825" s="158" t="s">
        <v>1658</v>
      </c>
      <c r="D1825" s="159">
        <v>44039.0</v>
      </c>
      <c r="E1825" s="157" t="s">
        <v>731</v>
      </c>
      <c r="F1825" s="160">
        <v>11316.0</v>
      </c>
      <c r="G1825" s="160">
        <v>1810.56</v>
      </c>
      <c r="H1825" s="160">
        <f t="shared" si="49"/>
        <v>13126.56</v>
      </c>
      <c r="I1825" s="160"/>
      <c r="J1825" s="161"/>
      <c r="K1825" s="160"/>
      <c r="L1825" s="160">
        <f>+'FACP$'!$H1825-'FACP$'!$I1825-'FACP$'!$K1825</f>
        <v>13126.56</v>
      </c>
      <c r="M1825" s="162" t="s">
        <v>985</v>
      </c>
      <c r="N1825" s="162" t="s">
        <v>554</v>
      </c>
      <c r="O1825" s="175">
        <v>44078.0</v>
      </c>
      <c r="P1825" s="164">
        <f t="shared" si="13"/>
        <v>44049</v>
      </c>
      <c r="Q1825" s="165">
        <f t="shared" si="2"/>
        <v>0</v>
      </c>
      <c r="R1825" s="167"/>
      <c r="S1825" s="167"/>
      <c r="T1825" s="168">
        <f t="shared" si="3"/>
        <v>13126.56</v>
      </c>
      <c r="U1825" s="168">
        <f t="shared" si="4"/>
        <v>0</v>
      </c>
      <c r="V1825" s="168">
        <f t="shared" si="5"/>
        <v>0</v>
      </c>
      <c r="W1825" s="168">
        <f t="shared" si="6"/>
        <v>0</v>
      </c>
      <c r="X1825" s="168">
        <f t="shared" si="7"/>
        <v>0</v>
      </c>
      <c r="Y1825" s="168">
        <f t="shared" si="8"/>
        <v>0</v>
      </c>
      <c r="Z1825" s="168">
        <f t="shared" si="9"/>
        <v>0</v>
      </c>
    </row>
    <row r="1826" ht="14.25" customHeight="1">
      <c r="A1826" s="157" t="s">
        <v>1948</v>
      </c>
      <c r="B1826" s="158" t="s">
        <v>16</v>
      </c>
      <c r="C1826" s="158" t="s">
        <v>1658</v>
      </c>
      <c r="D1826" s="159">
        <v>44039.0</v>
      </c>
      <c r="E1826" s="157" t="s">
        <v>731</v>
      </c>
      <c r="F1826" s="160">
        <v>11316.0</v>
      </c>
      <c r="G1826" s="160">
        <v>1810.56</v>
      </c>
      <c r="H1826" s="160">
        <f t="shared" si="49"/>
        <v>13126.56</v>
      </c>
      <c r="I1826" s="160"/>
      <c r="J1826" s="161"/>
      <c r="K1826" s="160"/>
      <c r="L1826" s="160">
        <f>+'FACP$'!$H1826-'FACP$'!$I1826-'FACP$'!$K1826</f>
        <v>13126.56</v>
      </c>
      <c r="M1826" s="162" t="s">
        <v>985</v>
      </c>
      <c r="N1826" s="162" t="s">
        <v>554</v>
      </c>
      <c r="O1826" s="175">
        <v>44078.0</v>
      </c>
      <c r="P1826" s="164">
        <f t="shared" si="13"/>
        <v>44049</v>
      </c>
      <c r="Q1826" s="165">
        <f t="shared" si="2"/>
        <v>0</v>
      </c>
      <c r="R1826" s="167"/>
      <c r="S1826" s="167"/>
      <c r="T1826" s="168">
        <f t="shared" si="3"/>
        <v>13126.56</v>
      </c>
      <c r="U1826" s="168">
        <f t="shared" si="4"/>
        <v>0</v>
      </c>
      <c r="V1826" s="168">
        <f t="shared" si="5"/>
        <v>0</v>
      </c>
      <c r="W1826" s="168">
        <f t="shared" si="6"/>
        <v>0</v>
      </c>
      <c r="X1826" s="168">
        <f t="shared" si="7"/>
        <v>0</v>
      </c>
      <c r="Y1826" s="168">
        <f t="shared" si="8"/>
        <v>0</v>
      </c>
      <c r="Z1826" s="168">
        <f t="shared" si="9"/>
        <v>0</v>
      </c>
    </row>
    <row r="1827" ht="14.25" customHeight="1">
      <c r="A1827" s="157" t="s">
        <v>1949</v>
      </c>
      <c r="B1827" s="158" t="s">
        <v>16</v>
      </c>
      <c r="C1827" s="158" t="s">
        <v>1950</v>
      </c>
      <c r="D1827" s="159">
        <v>44039.0</v>
      </c>
      <c r="E1827" s="157" t="s">
        <v>731</v>
      </c>
      <c r="F1827" s="160">
        <v>348243.17</v>
      </c>
      <c r="G1827" s="160">
        <v>55718.91</v>
      </c>
      <c r="H1827" s="160">
        <f t="shared" si="49"/>
        <v>403962.08</v>
      </c>
      <c r="I1827" s="160"/>
      <c r="J1827" s="161"/>
      <c r="K1827" s="160"/>
      <c r="L1827" s="160">
        <f>+'FACP$'!$H1827-'FACP$'!$I1827-'FACP$'!$K1827</f>
        <v>403962.08</v>
      </c>
      <c r="M1827" s="162" t="s">
        <v>985</v>
      </c>
      <c r="N1827" s="162" t="s">
        <v>554</v>
      </c>
      <c r="O1827" s="175">
        <v>44078.0</v>
      </c>
      <c r="P1827" s="164">
        <f t="shared" si="13"/>
        <v>44049</v>
      </c>
      <c r="Q1827" s="165">
        <f t="shared" si="2"/>
        <v>0</v>
      </c>
      <c r="R1827" s="167"/>
      <c r="S1827" s="167"/>
      <c r="T1827" s="168">
        <f t="shared" si="3"/>
        <v>403962.08</v>
      </c>
      <c r="U1827" s="168">
        <f t="shared" si="4"/>
        <v>0</v>
      </c>
      <c r="V1827" s="168">
        <f t="shared" si="5"/>
        <v>0</v>
      </c>
      <c r="W1827" s="168">
        <f t="shared" si="6"/>
        <v>0</v>
      </c>
      <c r="X1827" s="168">
        <f t="shared" si="7"/>
        <v>0</v>
      </c>
      <c r="Y1827" s="168">
        <f t="shared" si="8"/>
        <v>0</v>
      </c>
      <c r="Z1827" s="168">
        <f t="shared" si="9"/>
        <v>0</v>
      </c>
    </row>
    <row r="1828" ht="14.25" customHeight="1">
      <c r="A1828" s="157" t="s">
        <v>1951</v>
      </c>
      <c r="B1828" s="158" t="s">
        <v>29</v>
      </c>
      <c r="C1828" s="158" t="s">
        <v>1950</v>
      </c>
      <c r="D1828" s="159">
        <v>44039.0</v>
      </c>
      <c r="E1828" s="157" t="s">
        <v>731</v>
      </c>
      <c r="F1828" s="160">
        <v>153336.99</v>
      </c>
      <c r="G1828" s="160">
        <v>24533.92</v>
      </c>
      <c r="H1828" s="160">
        <f t="shared" si="49"/>
        <v>177870.91</v>
      </c>
      <c r="I1828" s="160"/>
      <c r="J1828" s="161"/>
      <c r="K1828" s="160"/>
      <c r="L1828" s="160">
        <f>+'FACP$'!$H1828-'FACP$'!$I1828-'FACP$'!$K1828</f>
        <v>177870.91</v>
      </c>
      <c r="M1828" s="162" t="s">
        <v>130</v>
      </c>
      <c r="N1828" s="162" t="s">
        <v>554</v>
      </c>
      <c r="O1828" s="175">
        <v>44060.0</v>
      </c>
      <c r="P1828" s="164">
        <f t="shared" si="13"/>
        <v>44049</v>
      </c>
      <c r="Q1828" s="165">
        <f t="shared" si="2"/>
        <v>0</v>
      </c>
      <c r="R1828" s="167" t="s">
        <v>1952</v>
      </c>
      <c r="S1828" s="167"/>
      <c r="T1828" s="168">
        <f t="shared" si="3"/>
        <v>177870.91</v>
      </c>
      <c r="U1828" s="168">
        <f t="shared" si="4"/>
        <v>0</v>
      </c>
      <c r="V1828" s="168">
        <f t="shared" si="5"/>
        <v>0</v>
      </c>
      <c r="W1828" s="168">
        <f t="shared" si="6"/>
        <v>0</v>
      </c>
      <c r="X1828" s="168">
        <f t="shared" si="7"/>
        <v>0</v>
      </c>
      <c r="Y1828" s="168">
        <f t="shared" si="8"/>
        <v>0</v>
      </c>
      <c r="Z1828" s="168">
        <f t="shared" si="9"/>
        <v>0</v>
      </c>
    </row>
    <row r="1829" ht="14.25" customHeight="1">
      <c r="A1829" s="157" t="s">
        <v>1953</v>
      </c>
      <c r="B1829" s="158" t="s">
        <v>37</v>
      </c>
      <c r="C1829" s="158" t="s">
        <v>1658</v>
      </c>
      <c r="D1829" s="159">
        <v>44039.0</v>
      </c>
      <c r="E1829" s="157" t="s">
        <v>731</v>
      </c>
      <c r="F1829" s="160">
        <v>38376.0</v>
      </c>
      <c r="G1829" s="160">
        <v>6140.16</v>
      </c>
      <c r="H1829" s="160">
        <f t="shared" si="49"/>
        <v>44516.16</v>
      </c>
      <c r="I1829" s="160"/>
      <c r="J1829" s="161"/>
      <c r="K1829" s="160"/>
      <c r="L1829" s="160">
        <f>+'FACP$'!$H1829-'FACP$'!$I1829-'FACP$'!$K1829</f>
        <v>44516.16</v>
      </c>
      <c r="M1829" s="162" t="s">
        <v>116</v>
      </c>
      <c r="N1829" s="162" t="s">
        <v>554</v>
      </c>
      <c r="O1829" s="175">
        <v>44081.0</v>
      </c>
      <c r="P1829" s="164">
        <f t="shared" si="13"/>
        <v>44049</v>
      </c>
      <c r="Q1829" s="165">
        <f t="shared" si="2"/>
        <v>0</v>
      </c>
      <c r="R1829" s="167"/>
      <c r="S1829" s="220" t="s">
        <v>910</v>
      </c>
      <c r="T1829" s="168">
        <f t="shared" si="3"/>
        <v>44516.16</v>
      </c>
      <c r="U1829" s="168">
        <f t="shared" si="4"/>
        <v>0</v>
      </c>
      <c r="V1829" s="168">
        <f t="shared" si="5"/>
        <v>0</v>
      </c>
      <c r="W1829" s="168">
        <f t="shared" si="6"/>
        <v>0</v>
      </c>
      <c r="X1829" s="168">
        <f t="shared" si="7"/>
        <v>0</v>
      </c>
      <c r="Y1829" s="168">
        <f t="shared" si="8"/>
        <v>0</v>
      </c>
      <c r="Z1829" s="168">
        <f t="shared" si="9"/>
        <v>0</v>
      </c>
    </row>
    <row r="1830" ht="14.25" customHeight="1">
      <c r="A1830" s="157" t="s">
        <v>1954</v>
      </c>
      <c r="B1830" s="158" t="s">
        <v>41</v>
      </c>
      <c r="C1830" s="158" t="s">
        <v>1658</v>
      </c>
      <c r="D1830" s="159">
        <v>44039.0</v>
      </c>
      <c r="E1830" s="157" t="s">
        <v>731</v>
      </c>
      <c r="F1830" s="160">
        <v>19188.0</v>
      </c>
      <c r="G1830" s="160">
        <v>3070.08</v>
      </c>
      <c r="H1830" s="160">
        <f t="shared" si="49"/>
        <v>22258.08</v>
      </c>
      <c r="I1830" s="160"/>
      <c r="J1830" s="161"/>
      <c r="K1830" s="160"/>
      <c r="L1830" s="160">
        <f>+'FACP$'!$H1830-'FACP$'!$I1830-'FACP$'!$K1830</f>
        <v>22258.08</v>
      </c>
      <c r="M1830" s="162" t="s">
        <v>121</v>
      </c>
      <c r="N1830" s="162" t="s">
        <v>554</v>
      </c>
      <c r="O1830" s="175">
        <v>44099.0</v>
      </c>
      <c r="P1830" s="164">
        <f t="shared" si="13"/>
        <v>44049</v>
      </c>
      <c r="Q1830" s="165">
        <f t="shared" si="2"/>
        <v>0</v>
      </c>
      <c r="R1830" s="167"/>
      <c r="S1830" s="167"/>
      <c r="T1830" s="168">
        <f t="shared" si="3"/>
        <v>22258.08</v>
      </c>
      <c r="U1830" s="168">
        <f t="shared" si="4"/>
        <v>0</v>
      </c>
      <c r="V1830" s="168">
        <f t="shared" si="5"/>
        <v>0</v>
      </c>
      <c r="W1830" s="168">
        <f t="shared" si="6"/>
        <v>0</v>
      </c>
      <c r="X1830" s="168">
        <f t="shared" si="7"/>
        <v>0</v>
      </c>
      <c r="Y1830" s="168">
        <f t="shared" si="8"/>
        <v>0</v>
      </c>
      <c r="Z1830" s="168">
        <f t="shared" si="9"/>
        <v>0</v>
      </c>
    </row>
    <row r="1831" ht="14.25" customHeight="1">
      <c r="A1831" s="157" t="s">
        <v>1955</v>
      </c>
      <c r="B1831" s="158" t="s">
        <v>18</v>
      </c>
      <c r="C1831" s="158" t="s">
        <v>1591</v>
      </c>
      <c r="D1831" s="159">
        <v>44039.0</v>
      </c>
      <c r="E1831" s="157" t="s">
        <v>731</v>
      </c>
      <c r="F1831" s="160">
        <v>19188.0</v>
      </c>
      <c r="G1831" s="160">
        <v>3070.08</v>
      </c>
      <c r="H1831" s="160">
        <f t="shared" si="49"/>
        <v>22258.08</v>
      </c>
      <c r="I1831" s="160"/>
      <c r="J1831" s="161"/>
      <c r="K1831" s="160"/>
      <c r="L1831" s="160">
        <f>+'FACP$'!$H1831-'FACP$'!$I1831-'FACP$'!$K1831</f>
        <v>22258.08</v>
      </c>
      <c r="M1831" s="162" t="s">
        <v>586</v>
      </c>
      <c r="N1831" s="162" t="s">
        <v>554</v>
      </c>
      <c r="O1831" s="175">
        <v>44077.0</v>
      </c>
      <c r="P1831" s="164">
        <f t="shared" si="13"/>
        <v>44049</v>
      </c>
      <c r="Q1831" s="165">
        <f t="shared" si="2"/>
        <v>0</v>
      </c>
      <c r="R1831" s="167"/>
      <c r="S1831" s="167" t="s">
        <v>910</v>
      </c>
      <c r="T1831" s="168">
        <f t="shared" si="3"/>
        <v>22258.08</v>
      </c>
      <c r="U1831" s="168">
        <f t="shared" si="4"/>
        <v>0</v>
      </c>
      <c r="V1831" s="168">
        <f t="shared" si="5"/>
        <v>0</v>
      </c>
      <c r="W1831" s="168">
        <f t="shared" si="6"/>
        <v>0</v>
      </c>
      <c r="X1831" s="168">
        <f t="shared" si="7"/>
        <v>0</v>
      </c>
      <c r="Y1831" s="168">
        <f t="shared" si="8"/>
        <v>0</v>
      </c>
      <c r="Z1831" s="168">
        <f t="shared" si="9"/>
        <v>0</v>
      </c>
    </row>
    <row r="1832" ht="14.25" customHeight="1">
      <c r="A1832" s="157" t="s">
        <v>1956</v>
      </c>
      <c r="B1832" s="158" t="s">
        <v>37</v>
      </c>
      <c r="C1832" s="158" t="s">
        <v>1658</v>
      </c>
      <c r="D1832" s="159">
        <v>44039.0</v>
      </c>
      <c r="E1832" s="157" t="s">
        <v>731</v>
      </c>
      <c r="F1832" s="160">
        <v>38376.0</v>
      </c>
      <c r="G1832" s="160">
        <v>6140.16</v>
      </c>
      <c r="H1832" s="160">
        <f t="shared" si="49"/>
        <v>44516.16</v>
      </c>
      <c r="I1832" s="160"/>
      <c r="J1832" s="161"/>
      <c r="K1832" s="160"/>
      <c r="L1832" s="160">
        <f>+'FACP$'!$H1832-'FACP$'!$I1832-'FACP$'!$K1832</f>
        <v>44516.16</v>
      </c>
      <c r="M1832" s="162" t="s">
        <v>116</v>
      </c>
      <c r="N1832" s="162" t="s">
        <v>554</v>
      </c>
      <c r="O1832" s="175">
        <v>44081.0</v>
      </c>
      <c r="P1832" s="164">
        <f t="shared" si="13"/>
        <v>44049</v>
      </c>
      <c r="Q1832" s="165">
        <f t="shared" si="2"/>
        <v>0</v>
      </c>
      <c r="R1832" s="167"/>
      <c r="S1832" s="220" t="s">
        <v>910</v>
      </c>
      <c r="T1832" s="168">
        <f t="shared" si="3"/>
        <v>44516.16</v>
      </c>
      <c r="U1832" s="168">
        <f t="shared" si="4"/>
        <v>0</v>
      </c>
      <c r="V1832" s="168">
        <f t="shared" si="5"/>
        <v>0</v>
      </c>
      <c r="W1832" s="168">
        <f t="shared" si="6"/>
        <v>0</v>
      </c>
      <c r="X1832" s="168">
        <f t="shared" si="7"/>
        <v>0</v>
      </c>
      <c r="Y1832" s="168">
        <f t="shared" si="8"/>
        <v>0</v>
      </c>
      <c r="Z1832" s="168">
        <f t="shared" si="9"/>
        <v>0</v>
      </c>
    </row>
    <row r="1833" ht="14.25" customHeight="1">
      <c r="A1833" s="157" t="s">
        <v>1957</v>
      </c>
      <c r="B1833" s="158" t="s">
        <v>37</v>
      </c>
      <c r="C1833" s="158" t="s">
        <v>1658</v>
      </c>
      <c r="D1833" s="159">
        <v>44039.0</v>
      </c>
      <c r="E1833" s="157" t="s">
        <v>731</v>
      </c>
      <c r="F1833" s="160">
        <v>38376.0</v>
      </c>
      <c r="G1833" s="160">
        <v>6140.16</v>
      </c>
      <c r="H1833" s="160">
        <f t="shared" si="49"/>
        <v>44516.16</v>
      </c>
      <c r="I1833" s="160"/>
      <c r="J1833" s="161"/>
      <c r="K1833" s="160"/>
      <c r="L1833" s="160">
        <f>+'FACP$'!$H1833-'FACP$'!$I1833-'FACP$'!$K1833</f>
        <v>44516.16</v>
      </c>
      <c r="M1833" s="162" t="s">
        <v>116</v>
      </c>
      <c r="N1833" s="162" t="s">
        <v>554</v>
      </c>
      <c r="O1833" s="175">
        <v>44081.0</v>
      </c>
      <c r="P1833" s="164">
        <f t="shared" si="13"/>
        <v>44049</v>
      </c>
      <c r="Q1833" s="165">
        <f t="shared" si="2"/>
        <v>0</v>
      </c>
      <c r="R1833" s="167"/>
      <c r="S1833" s="220" t="s">
        <v>910</v>
      </c>
      <c r="T1833" s="168">
        <f t="shared" si="3"/>
        <v>44516.16</v>
      </c>
      <c r="U1833" s="168">
        <f t="shared" si="4"/>
        <v>0</v>
      </c>
      <c r="V1833" s="168">
        <f t="shared" si="5"/>
        <v>0</v>
      </c>
      <c r="W1833" s="168">
        <f t="shared" si="6"/>
        <v>0</v>
      </c>
      <c r="X1833" s="168">
        <f t="shared" si="7"/>
        <v>0</v>
      </c>
      <c r="Y1833" s="168">
        <f t="shared" si="8"/>
        <v>0</v>
      </c>
      <c r="Z1833" s="168">
        <f t="shared" si="9"/>
        <v>0</v>
      </c>
    </row>
    <row r="1834" ht="14.25" customHeight="1">
      <c r="A1834" s="157" t="s">
        <v>1958</v>
      </c>
      <c r="B1834" s="158" t="s">
        <v>37</v>
      </c>
      <c r="C1834" s="158" t="s">
        <v>1658</v>
      </c>
      <c r="D1834" s="159">
        <v>44039.0</v>
      </c>
      <c r="E1834" s="157" t="s">
        <v>731</v>
      </c>
      <c r="F1834" s="160">
        <v>38376.0</v>
      </c>
      <c r="G1834" s="160">
        <v>6140.16</v>
      </c>
      <c r="H1834" s="160">
        <f t="shared" si="49"/>
        <v>44516.16</v>
      </c>
      <c r="I1834" s="160"/>
      <c r="J1834" s="161"/>
      <c r="K1834" s="160"/>
      <c r="L1834" s="160">
        <f>+'FACP$'!$H1834-'FACP$'!$I1834-'FACP$'!$K1834</f>
        <v>44516.16</v>
      </c>
      <c r="M1834" s="162" t="s">
        <v>116</v>
      </c>
      <c r="N1834" s="162" t="s">
        <v>554</v>
      </c>
      <c r="O1834" s="175">
        <v>44081.0</v>
      </c>
      <c r="P1834" s="164">
        <f t="shared" si="13"/>
        <v>44049</v>
      </c>
      <c r="Q1834" s="165">
        <f t="shared" si="2"/>
        <v>0</v>
      </c>
      <c r="R1834" s="167"/>
      <c r="S1834" s="220" t="s">
        <v>910</v>
      </c>
      <c r="T1834" s="168">
        <f t="shared" si="3"/>
        <v>44516.16</v>
      </c>
      <c r="U1834" s="168">
        <f t="shared" si="4"/>
        <v>0</v>
      </c>
      <c r="V1834" s="168">
        <f t="shared" si="5"/>
        <v>0</v>
      </c>
      <c r="W1834" s="168">
        <f t="shared" si="6"/>
        <v>0</v>
      </c>
      <c r="X1834" s="168">
        <f t="shared" si="7"/>
        <v>0</v>
      </c>
      <c r="Y1834" s="168">
        <f t="shared" si="8"/>
        <v>0</v>
      </c>
      <c r="Z1834" s="168">
        <f t="shared" si="9"/>
        <v>0</v>
      </c>
    </row>
    <row r="1835" ht="14.25" customHeight="1">
      <c r="A1835" s="157" t="s">
        <v>1959</v>
      </c>
      <c r="B1835" s="158" t="s">
        <v>146</v>
      </c>
      <c r="C1835" s="158"/>
      <c r="D1835" s="159"/>
      <c r="E1835" s="157"/>
      <c r="F1835" s="160"/>
      <c r="G1835" s="160"/>
      <c r="H1835" s="160">
        <f t="shared" si="49"/>
        <v>0</v>
      </c>
      <c r="I1835" s="160"/>
      <c r="J1835" s="161"/>
      <c r="K1835" s="160"/>
      <c r="L1835" s="160">
        <f>+'FACP$'!$H1835-'FACP$'!$I1835-'FACP$'!$K1835</f>
        <v>0</v>
      </c>
      <c r="M1835" s="162"/>
      <c r="N1835" s="162" t="s">
        <v>127</v>
      </c>
      <c r="O1835" s="175"/>
      <c r="P1835" s="164">
        <f t="shared" si="13"/>
        <v>10</v>
      </c>
      <c r="Q1835" s="165">
        <f t="shared" si="2"/>
        <v>0</v>
      </c>
      <c r="R1835" s="167"/>
      <c r="S1835" s="167"/>
      <c r="T1835" s="168">
        <f t="shared" si="3"/>
        <v>0</v>
      </c>
      <c r="U1835" s="168">
        <f t="shared" si="4"/>
        <v>0</v>
      </c>
      <c r="V1835" s="168">
        <f t="shared" si="5"/>
        <v>0</v>
      </c>
      <c r="W1835" s="168">
        <f t="shared" si="6"/>
        <v>0</v>
      </c>
      <c r="X1835" s="168">
        <f t="shared" si="7"/>
        <v>0</v>
      </c>
      <c r="Y1835" s="168">
        <f t="shared" si="8"/>
        <v>0</v>
      </c>
      <c r="Z1835" s="168">
        <f t="shared" si="9"/>
        <v>0</v>
      </c>
    </row>
    <row r="1836" ht="14.25" customHeight="1">
      <c r="A1836" s="157" t="s">
        <v>1960</v>
      </c>
      <c r="B1836" s="158" t="s">
        <v>16</v>
      </c>
      <c r="C1836" s="158" t="s">
        <v>1658</v>
      </c>
      <c r="D1836" s="159">
        <v>44040.0</v>
      </c>
      <c r="E1836" s="157" t="s">
        <v>731</v>
      </c>
      <c r="F1836" s="160">
        <v>11316.0</v>
      </c>
      <c r="G1836" s="160">
        <v>1810.56</v>
      </c>
      <c r="H1836" s="160">
        <f t="shared" si="49"/>
        <v>13126.56</v>
      </c>
      <c r="I1836" s="160"/>
      <c r="J1836" s="161"/>
      <c r="K1836" s="160"/>
      <c r="L1836" s="160">
        <f>+'FACP$'!$H1836-'FACP$'!$I1836-'FACP$'!$K1836</f>
        <v>13126.56</v>
      </c>
      <c r="M1836" s="162" t="s">
        <v>985</v>
      </c>
      <c r="N1836" s="162" t="s">
        <v>554</v>
      </c>
      <c r="O1836" s="175">
        <v>44078.0</v>
      </c>
      <c r="P1836" s="164">
        <f t="shared" si="13"/>
        <v>44050</v>
      </c>
      <c r="Q1836" s="165">
        <f t="shared" si="2"/>
        <v>0</v>
      </c>
      <c r="R1836" s="167"/>
      <c r="S1836" s="167"/>
      <c r="T1836" s="168">
        <f t="shared" si="3"/>
        <v>13126.56</v>
      </c>
      <c r="U1836" s="168">
        <f t="shared" si="4"/>
        <v>0</v>
      </c>
      <c r="V1836" s="168">
        <f t="shared" si="5"/>
        <v>0</v>
      </c>
      <c r="W1836" s="168">
        <f t="shared" si="6"/>
        <v>0</v>
      </c>
      <c r="X1836" s="168">
        <f t="shared" si="7"/>
        <v>0</v>
      </c>
      <c r="Y1836" s="168">
        <f t="shared" si="8"/>
        <v>0</v>
      </c>
      <c r="Z1836" s="168">
        <f t="shared" si="9"/>
        <v>0</v>
      </c>
    </row>
    <row r="1837" ht="14.25" customHeight="1">
      <c r="A1837" s="157" t="s">
        <v>1961</v>
      </c>
      <c r="B1837" s="158" t="s">
        <v>37</v>
      </c>
      <c r="C1837" s="158" t="s">
        <v>1658</v>
      </c>
      <c r="D1837" s="159">
        <v>44040.0</v>
      </c>
      <c r="E1837" s="157" t="s">
        <v>731</v>
      </c>
      <c r="F1837" s="160">
        <v>38376.0</v>
      </c>
      <c r="G1837" s="160">
        <v>6140.16</v>
      </c>
      <c r="H1837" s="160">
        <f t="shared" si="49"/>
        <v>44516.16</v>
      </c>
      <c r="I1837" s="160"/>
      <c r="J1837" s="161"/>
      <c r="K1837" s="160"/>
      <c r="L1837" s="160">
        <f>+'FACP$'!$H1837-'FACP$'!$I1837-'FACP$'!$K1837</f>
        <v>44516.16</v>
      </c>
      <c r="M1837" s="162" t="s">
        <v>116</v>
      </c>
      <c r="N1837" s="162" t="s">
        <v>554</v>
      </c>
      <c r="O1837" s="175">
        <v>44081.0</v>
      </c>
      <c r="P1837" s="164">
        <f t="shared" si="13"/>
        <v>44050</v>
      </c>
      <c r="Q1837" s="165">
        <f t="shared" si="2"/>
        <v>0</v>
      </c>
      <c r="R1837" s="167"/>
      <c r="S1837" s="220" t="s">
        <v>910</v>
      </c>
      <c r="T1837" s="168">
        <f t="shared" si="3"/>
        <v>44516.16</v>
      </c>
      <c r="U1837" s="168">
        <f t="shared" si="4"/>
        <v>0</v>
      </c>
      <c r="V1837" s="168">
        <f t="shared" si="5"/>
        <v>0</v>
      </c>
      <c r="W1837" s="168">
        <f t="shared" si="6"/>
        <v>0</v>
      </c>
      <c r="X1837" s="168">
        <f t="shared" si="7"/>
        <v>0</v>
      </c>
      <c r="Y1837" s="168">
        <f t="shared" si="8"/>
        <v>0</v>
      </c>
      <c r="Z1837" s="168">
        <f t="shared" si="9"/>
        <v>0</v>
      </c>
    </row>
    <row r="1838" ht="14.25" customHeight="1">
      <c r="A1838" s="157" t="s">
        <v>1962</v>
      </c>
      <c r="B1838" s="158" t="s">
        <v>37</v>
      </c>
      <c r="C1838" s="158" t="s">
        <v>1658</v>
      </c>
      <c r="D1838" s="159">
        <v>44040.0</v>
      </c>
      <c r="E1838" s="157" t="s">
        <v>731</v>
      </c>
      <c r="F1838" s="160">
        <v>38376.0</v>
      </c>
      <c r="G1838" s="160">
        <v>6140.16</v>
      </c>
      <c r="H1838" s="160">
        <f t="shared" si="49"/>
        <v>44516.16</v>
      </c>
      <c r="I1838" s="160"/>
      <c r="J1838" s="161"/>
      <c r="K1838" s="160"/>
      <c r="L1838" s="160">
        <f>+'FACP$'!$H1838-'FACP$'!$I1838-'FACP$'!$K1838</f>
        <v>44516.16</v>
      </c>
      <c r="M1838" s="162" t="s">
        <v>116</v>
      </c>
      <c r="N1838" s="162" t="s">
        <v>554</v>
      </c>
      <c r="O1838" s="175">
        <v>44081.0</v>
      </c>
      <c r="P1838" s="164">
        <f t="shared" si="13"/>
        <v>44050</v>
      </c>
      <c r="Q1838" s="165">
        <f t="shared" si="2"/>
        <v>0</v>
      </c>
      <c r="R1838" s="167"/>
      <c r="S1838" s="220" t="s">
        <v>910</v>
      </c>
      <c r="T1838" s="168">
        <f t="shared" si="3"/>
        <v>44516.16</v>
      </c>
      <c r="U1838" s="168">
        <f t="shared" si="4"/>
        <v>0</v>
      </c>
      <c r="V1838" s="168">
        <f t="shared" si="5"/>
        <v>0</v>
      </c>
      <c r="W1838" s="168">
        <f t="shared" si="6"/>
        <v>0</v>
      </c>
      <c r="X1838" s="168">
        <f t="shared" si="7"/>
        <v>0</v>
      </c>
      <c r="Y1838" s="168">
        <f t="shared" si="8"/>
        <v>0</v>
      </c>
      <c r="Z1838" s="168">
        <f t="shared" si="9"/>
        <v>0</v>
      </c>
    </row>
    <row r="1839" ht="14.25" customHeight="1">
      <c r="A1839" s="157" t="s">
        <v>1963</v>
      </c>
      <c r="B1839" s="158" t="s">
        <v>29</v>
      </c>
      <c r="C1839" s="158" t="s">
        <v>1658</v>
      </c>
      <c r="D1839" s="159">
        <v>44040.0</v>
      </c>
      <c r="E1839" s="157" t="s">
        <v>731</v>
      </c>
      <c r="F1839" s="160">
        <v>11316.0</v>
      </c>
      <c r="G1839" s="160">
        <v>1810.56</v>
      </c>
      <c r="H1839" s="160">
        <f t="shared" si="49"/>
        <v>13126.56</v>
      </c>
      <c r="I1839" s="160"/>
      <c r="J1839" s="161"/>
      <c r="K1839" s="160"/>
      <c r="L1839" s="160">
        <f>+'FACP$'!$H1839-'FACP$'!$I1839-'FACP$'!$K1839</f>
        <v>13126.56</v>
      </c>
      <c r="M1839" s="162" t="s">
        <v>130</v>
      </c>
      <c r="N1839" s="162" t="s">
        <v>554</v>
      </c>
      <c r="O1839" s="175">
        <v>44075.0</v>
      </c>
      <c r="P1839" s="164">
        <f t="shared" si="13"/>
        <v>44050</v>
      </c>
      <c r="Q1839" s="165">
        <f t="shared" si="2"/>
        <v>0</v>
      </c>
      <c r="R1839" s="167"/>
      <c r="S1839" s="167"/>
      <c r="T1839" s="168">
        <f t="shared" si="3"/>
        <v>13126.56</v>
      </c>
      <c r="U1839" s="168">
        <f t="shared" si="4"/>
        <v>0</v>
      </c>
      <c r="V1839" s="168">
        <f t="shared" si="5"/>
        <v>0</v>
      </c>
      <c r="W1839" s="168">
        <f t="shared" si="6"/>
        <v>0</v>
      </c>
      <c r="X1839" s="168">
        <f t="shared" si="7"/>
        <v>0</v>
      </c>
      <c r="Y1839" s="168">
        <f t="shared" si="8"/>
        <v>0</v>
      </c>
      <c r="Z1839" s="168">
        <f t="shared" si="9"/>
        <v>0</v>
      </c>
    </row>
    <row r="1840" ht="14.25" customHeight="1">
      <c r="A1840" s="157" t="s">
        <v>1964</v>
      </c>
      <c r="B1840" s="158" t="s">
        <v>37</v>
      </c>
      <c r="C1840" s="158" t="s">
        <v>1658</v>
      </c>
      <c r="D1840" s="159">
        <v>44040.0</v>
      </c>
      <c r="E1840" s="157" t="s">
        <v>731</v>
      </c>
      <c r="F1840" s="160">
        <v>38376.0</v>
      </c>
      <c r="G1840" s="160">
        <v>6140.16</v>
      </c>
      <c r="H1840" s="160">
        <f t="shared" si="49"/>
        <v>44516.16</v>
      </c>
      <c r="I1840" s="160"/>
      <c r="J1840" s="161"/>
      <c r="K1840" s="160"/>
      <c r="L1840" s="160">
        <f>+'FACP$'!$H1840-'FACP$'!$I1840-'FACP$'!$K1840</f>
        <v>44516.16</v>
      </c>
      <c r="M1840" s="162" t="s">
        <v>116</v>
      </c>
      <c r="N1840" s="162" t="s">
        <v>554</v>
      </c>
      <c r="O1840" s="175">
        <v>44081.0</v>
      </c>
      <c r="P1840" s="164">
        <f t="shared" si="13"/>
        <v>44050</v>
      </c>
      <c r="Q1840" s="165">
        <f t="shared" si="2"/>
        <v>0</v>
      </c>
      <c r="R1840" s="167"/>
      <c r="S1840" s="220" t="s">
        <v>910</v>
      </c>
      <c r="T1840" s="168">
        <f t="shared" si="3"/>
        <v>44516.16</v>
      </c>
      <c r="U1840" s="168">
        <f t="shared" si="4"/>
        <v>0</v>
      </c>
      <c r="V1840" s="168">
        <f t="shared" si="5"/>
        <v>0</v>
      </c>
      <c r="W1840" s="168">
        <f t="shared" si="6"/>
        <v>0</v>
      </c>
      <c r="X1840" s="168">
        <f t="shared" si="7"/>
        <v>0</v>
      </c>
      <c r="Y1840" s="168">
        <f t="shared" si="8"/>
        <v>0</v>
      </c>
      <c r="Z1840" s="168">
        <f t="shared" si="9"/>
        <v>0</v>
      </c>
    </row>
    <row r="1841" ht="14.25" customHeight="1">
      <c r="A1841" s="157" t="s">
        <v>1965</v>
      </c>
      <c r="B1841" s="158" t="s">
        <v>37</v>
      </c>
      <c r="C1841" s="158" t="s">
        <v>1658</v>
      </c>
      <c r="D1841" s="159">
        <v>44040.0</v>
      </c>
      <c r="E1841" s="157" t="s">
        <v>731</v>
      </c>
      <c r="F1841" s="160">
        <v>38376.0</v>
      </c>
      <c r="G1841" s="160">
        <v>6140.16</v>
      </c>
      <c r="H1841" s="160">
        <f t="shared" si="49"/>
        <v>44516.16</v>
      </c>
      <c r="I1841" s="160"/>
      <c r="J1841" s="161"/>
      <c r="K1841" s="160"/>
      <c r="L1841" s="160">
        <f>+'FACP$'!$H1841-'FACP$'!$I1841-'FACP$'!$K1841</f>
        <v>44516.16</v>
      </c>
      <c r="M1841" s="162" t="s">
        <v>116</v>
      </c>
      <c r="N1841" s="162" t="s">
        <v>554</v>
      </c>
      <c r="O1841" s="175">
        <v>44081.0</v>
      </c>
      <c r="P1841" s="164">
        <f t="shared" si="13"/>
        <v>44050</v>
      </c>
      <c r="Q1841" s="165">
        <f t="shared" si="2"/>
        <v>0</v>
      </c>
      <c r="R1841" s="167"/>
      <c r="S1841" s="220" t="s">
        <v>910</v>
      </c>
      <c r="T1841" s="168">
        <f t="shared" si="3"/>
        <v>44516.16</v>
      </c>
      <c r="U1841" s="168">
        <f t="shared" si="4"/>
        <v>0</v>
      </c>
      <c r="V1841" s="168">
        <f t="shared" si="5"/>
        <v>0</v>
      </c>
      <c r="W1841" s="168">
        <f t="shared" si="6"/>
        <v>0</v>
      </c>
      <c r="X1841" s="168">
        <f t="shared" si="7"/>
        <v>0</v>
      </c>
      <c r="Y1841" s="168">
        <f t="shared" si="8"/>
        <v>0</v>
      </c>
      <c r="Z1841" s="168">
        <f t="shared" si="9"/>
        <v>0</v>
      </c>
    </row>
    <row r="1842" ht="14.25" customHeight="1">
      <c r="A1842" s="157" t="s">
        <v>1966</v>
      </c>
      <c r="B1842" s="158" t="s">
        <v>29</v>
      </c>
      <c r="C1842" s="158" t="s">
        <v>1658</v>
      </c>
      <c r="D1842" s="159">
        <v>44040.0</v>
      </c>
      <c r="E1842" s="157" t="s">
        <v>731</v>
      </c>
      <c r="F1842" s="160">
        <v>11316.0</v>
      </c>
      <c r="G1842" s="160">
        <v>1810.56</v>
      </c>
      <c r="H1842" s="160">
        <f t="shared" si="49"/>
        <v>13126.56</v>
      </c>
      <c r="I1842" s="160"/>
      <c r="J1842" s="161"/>
      <c r="K1842" s="160"/>
      <c r="L1842" s="160">
        <f>+'FACP$'!$H1842-'FACP$'!$I1842-'FACP$'!$K1842</f>
        <v>13126.56</v>
      </c>
      <c r="M1842" s="162" t="s">
        <v>130</v>
      </c>
      <c r="N1842" s="162" t="s">
        <v>554</v>
      </c>
      <c r="O1842" s="175">
        <v>44075.0</v>
      </c>
      <c r="P1842" s="164">
        <f t="shared" si="13"/>
        <v>44050</v>
      </c>
      <c r="Q1842" s="165">
        <f t="shared" si="2"/>
        <v>0</v>
      </c>
      <c r="R1842" s="167"/>
      <c r="S1842" s="167"/>
      <c r="T1842" s="168">
        <f t="shared" si="3"/>
        <v>13126.56</v>
      </c>
      <c r="U1842" s="168">
        <f t="shared" si="4"/>
        <v>0</v>
      </c>
      <c r="V1842" s="168">
        <f t="shared" si="5"/>
        <v>0</v>
      </c>
      <c r="W1842" s="168">
        <f t="shared" si="6"/>
        <v>0</v>
      </c>
      <c r="X1842" s="168">
        <f t="shared" si="7"/>
        <v>0</v>
      </c>
      <c r="Y1842" s="168">
        <f t="shared" si="8"/>
        <v>0</v>
      </c>
      <c r="Z1842" s="168">
        <f t="shared" si="9"/>
        <v>0</v>
      </c>
    </row>
    <row r="1843" ht="14.25" customHeight="1">
      <c r="A1843" s="157" t="s">
        <v>1967</v>
      </c>
      <c r="B1843" s="158" t="s">
        <v>41</v>
      </c>
      <c r="C1843" s="158" t="s">
        <v>1658</v>
      </c>
      <c r="D1843" s="159">
        <v>44040.0</v>
      </c>
      <c r="E1843" s="157" t="s">
        <v>731</v>
      </c>
      <c r="F1843" s="160">
        <v>19188.0</v>
      </c>
      <c r="G1843" s="160">
        <v>3070.08</v>
      </c>
      <c r="H1843" s="160">
        <f t="shared" si="49"/>
        <v>22258.08</v>
      </c>
      <c r="I1843" s="160"/>
      <c r="J1843" s="161"/>
      <c r="K1843" s="160"/>
      <c r="L1843" s="160">
        <f>+'FACP$'!$H1843-'FACP$'!$I1843-'FACP$'!$K1843</f>
        <v>22258.08</v>
      </c>
      <c r="M1843" s="162" t="s">
        <v>121</v>
      </c>
      <c r="N1843" s="162" t="s">
        <v>554</v>
      </c>
      <c r="O1843" s="175">
        <v>44099.0</v>
      </c>
      <c r="P1843" s="164">
        <f t="shared" si="13"/>
        <v>44050</v>
      </c>
      <c r="Q1843" s="165">
        <f t="shared" si="2"/>
        <v>0</v>
      </c>
      <c r="R1843" s="167"/>
      <c r="S1843" s="167"/>
      <c r="T1843" s="168">
        <f t="shared" si="3"/>
        <v>22258.08</v>
      </c>
      <c r="U1843" s="168">
        <f t="shared" si="4"/>
        <v>0</v>
      </c>
      <c r="V1843" s="168">
        <f t="shared" si="5"/>
        <v>0</v>
      </c>
      <c r="W1843" s="168">
        <f t="shared" si="6"/>
        <v>0</v>
      </c>
      <c r="X1843" s="168">
        <f t="shared" si="7"/>
        <v>0</v>
      </c>
      <c r="Y1843" s="168">
        <f t="shared" si="8"/>
        <v>0</v>
      </c>
      <c r="Z1843" s="168">
        <f t="shared" si="9"/>
        <v>0</v>
      </c>
    </row>
    <row r="1844" ht="14.25" customHeight="1">
      <c r="A1844" s="157" t="s">
        <v>1968</v>
      </c>
      <c r="B1844" s="158" t="s">
        <v>16</v>
      </c>
      <c r="C1844" s="158" t="s">
        <v>1658</v>
      </c>
      <c r="D1844" s="159">
        <v>44040.0</v>
      </c>
      <c r="E1844" s="157" t="s">
        <v>731</v>
      </c>
      <c r="F1844" s="160">
        <v>11316.0</v>
      </c>
      <c r="G1844" s="160">
        <v>1810.56</v>
      </c>
      <c r="H1844" s="160">
        <f t="shared" si="49"/>
        <v>13126.56</v>
      </c>
      <c r="I1844" s="160"/>
      <c r="J1844" s="161"/>
      <c r="K1844" s="160"/>
      <c r="L1844" s="160">
        <f>+'FACP$'!$H1844-'FACP$'!$I1844-'FACP$'!$K1844</f>
        <v>13126.56</v>
      </c>
      <c r="M1844" s="162" t="s">
        <v>985</v>
      </c>
      <c r="N1844" s="162" t="s">
        <v>554</v>
      </c>
      <c r="O1844" s="175">
        <v>44078.0</v>
      </c>
      <c r="P1844" s="164">
        <f t="shared" si="13"/>
        <v>44050</v>
      </c>
      <c r="Q1844" s="165">
        <f t="shared" si="2"/>
        <v>0</v>
      </c>
      <c r="R1844" s="167"/>
      <c r="S1844" s="167"/>
      <c r="T1844" s="168">
        <f t="shared" si="3"/>
        <v>13126.56</v>
      </c>
      <c r="U1844" s="168">
        <f t="shared" si="4"/>
        <v>0</v>
      </c>
      <c r="V1844" s="168">
        <f t="shared" si="5"/>
        <v>0</v>
      </c>
      <c r="W1844" s="168">
        <f t="shared" si="6"/>
        <v>0</v>
      </c>
      <c r="X1844" s="168">
        <f t="shared" si="7"/>
        <v>0</v>
      </c>
      <c r="Y1844" s="168">
        <f t="shared" si="8"/>
        <v>0</v>
      </c>
      <c r="Z1844" s="168">
        <f t="shared" si="9"/>
        <v>0</v>
      </c>
    </row>
    <row r="1845" ht="14.25" customHeight="1">
      <c r="A1845" s="157" t="s">
        <v>1969</v>
      </c>
      <c r="B1845" s="158" t="s">
        <v>37</v>
      </c>
      <c r="C1845" s="158" t="s">
        <v>1658</v>
      </c>
      <c r="D1845" s="159">
        <v>44040.0</v>
      </c>
      <c r="E1845" s="157" t="s">
        <v>731</v>
      </c>
      <c r="F1845" s="160">
        <v>38376.0</v>
      </c>
      <c r="G1845" s="160">
        <v>6140.16</v>
      </c>
      <c r="H1845" s="160">
        <f t="shared" si="49"/>
        <v>44516.16</v>
      </c>
      <c r="I1845" s="160"/>
      <c r="J1845" s="161"/>
      <c r="K1845" s="160"/>
      <c r="L1845" s="160">
        <f>+'FACP$'!$H1845-'FACP$'!$I1845-'FACP$'!$K1845</f>
        <v>44516.16</v>
      </c>
      <c r="M1845" s="162" t="s">
        <v>116</v>
      </c>
      <c r="N1845" s="162" t="s">
        <v>554</v>
      </c>
      <c r="O1845" s="175">
        <v>44081.0</v>
      </c>
      <c r="P1845" s="164">
        <f t="shared" si="13"/>
        <v>44050</v>
      </c>
      <c r="Q1845" s="165">
        <f t="shared" si="2"/>
        <v>0</v>
      </c>
      <c r="R1845" s="167"/>
      <c r="S1845" s="220" t="s">
        <v>910</v>
      </c>
      <c r="T1845" s="168">
        <f t="shared" si="3"/>
        <v>44516.16</v>
      </c>
      <c r="U1845" s="168">
        <f t="shared" si="4"/>
        <v>0</v>
      </c>
      <c r="V1845" s="168">
        <f t="shared" si="5"/>
        <v>0</v>
      </c>
      <c r="W1845" s="168">
        <f t="shared" si="6"/>
        <v>0</v>
      </c>
      <c r="X1845" s="168">
        <f t="shared" si="7"/>
        <v>0</v>
      </c>
      <c r="Y1845" s="168">
        <f t="shared" si="8"/>
        <v>0</v>
      </c>
      <c r="Z1845" s="168">
        <f t="shared" si="9"/>
        <v>0</v>
      </c>
    </row>
    <row r="1846" ht="14.25" customHeight="1">
      <c r="A1846" s="157" t="s">
        <v>1970</v>
      </c>
      <c r="B1846" s="158" t="s">
        <v>37</v>
      </c>
      <c r="C1846" s="158" t="s">
        <v>1658</v>
      </c>
      <c r="D1846" s="159">
        <v>44040.0</v>
      </c>
      <c r="E1846" s="157" t="s">
        <v>731</v>
      </c>
      <c r="F1846" s="160">
        <v>38376.0</v>
      </c>
      <c r="G1846" s="160">
        <v>6140.16</v>
      </c>
      <c r="H1846" s="160">
        <f t="shared" si="49"/>
        <v>44516.16</v>
      </c>
      <c r="I1846" s="160"/>
      <c r="J1846" s="161"/>
      <c r="K1846" s="160"/>
      <c r="L1846" s="160">
        <f>+'FACP$'!$H1846-'FACP$'!$I1846-'FACP$'!$K1846</f>
        <v>44516.16</v>
      </c>
      <c r="M1846" s="162" t="s">
        <v>116</v>
      </c>
      <c r="N1846" s="162" t="s">
        <v>554</v>
      </c>
      <c r="O1846" s="175">
        <v>44081.0</v>
      </c>
      <c r="P1846" s="164">
        <f t="shared" si="13"/>
        <v>44050</v>
      </c>
      <c r="Q1846" s="165">
        <f t="shared" si="2"/>
        <v>0</v>
      </c>
      <c r="R1846" s="167"/>
      <c r="S1846" s="220" t="s">
        <v>910</v>
      </c>
      <c r="T1846" s="168">
        <f t="shared" si="3"/>
        <v>44516.16</v>
      </c>
      <c r="U1846" s="168">
        <f t="shared" si="4"/>
        <v>0</v>
      </c>
      <c r="V1846" s="168">
        <f t="shared" si="5"/>
        <v>0</v>
      </c>
      <c r="W1846" s="168">
        <f t="shared" si="6"/>
        <v>0</v>
      </c>
      <c r="X1846" s="168">
        <f t="shared" si="7"/>
        <v>0</v>
      </c>
      <c r="Y1846" s="168">
        <f t="shared" si="8"/>
        <v>0</v>
      </c>
      <c r="Z1846" s="168">
        <f t="shared" si="9"/>
        <v>0</v>
      </c>
    </row>
    <row r="1847" ht="14.25" customHeight="1">
      <c r="A1847" s="157" t="s">
        <v>1971</v>
      </c>
      <c r="B1847" s="158" t="s">
        <v>37</v>
      </c>
      <c r="C1847" s="158" t="s">
        <v>1658</v>
      </c>
      <c r="D1847" s="159">
        <v>44040.0</v>
      </c>
      <c r="E1847" s="157" t="s">
        <v>731</v>
      </c>
      <c r="F1847" s="160">
        <v>38376.0</v>
      </c>
      <c r="G1847" s="160">
        <v>6140.16</v>
      </c>
      <c r="H1847" s="160">
        <f t="shared" si="49"/>
        <v>44516.16</v>
      </c>
      <c r="I1847" s="160"/>
      <c r="J1847" s="161"/>
      <c r="K1847" s="160"/>
      <c r="L1847" s="160">
        <f>+'FACP$'!$H1847-'FACP$'!$I1847-'FACP$'!$K1847</f>
        <v>44516.16</v>
      </c>
      <c r="M1847" s="162" t="s">
        <v>116</v>
      </c>
      <c r="N1847" s="162" t="s">
        <v>554</v>
      </c>
      <c r="O1847" s="175">
        <v>44081.0</v>
      </c>
      <c r="P1847" s="164">
        <f t="shared" si="13"/>
        <v>44050</v>
      </c>
      <c r="Q1847" s="165">
        <f t="shared" si="2"/>
        <v>0</v>
      </c>
      <c r="R1847" s="167"/>
      <c r="S1847" s="220" t="s">
        <v>910</v>
      </c>
      <c r="T1847" s="168">
        <f t="shared" si="3"/>
        <v>44516.16</v>
      </c>
      <c r="U1847" s="168">
        <f t="shared" si="4"/>
        <v>0</v>
      </c>
      <c r="V1847" s="168">
        <f t="shared" si="5"/>
        <v>0</v>
      </c>
      <c r="W1847" s="168">
        <f t="shared" si="6"/>
        <v>0</v>
      </c>
      <c r="X1847" s="168">
        <f t="shared" si="7"/>
        <v>0</v>
      </c>
      <c r="Y1847" s="168">
        <f t="shared" si="8"/>
        <v>0</v>
      </c>
      <c r="Z1847" s="168">
        <f t="shared" si="9"/>
        <v>0</v>
      </c>
    </row>
    <row r="1848" ht="14.25" customHeight="1">
      <c r="A1848" s="157" t="s">
        <v>1972</v>
      </c>
      <c r="B1848" s="158" t="s">
        <v>27</v>
      </c>
      <c r="C1848" s="158" t="s">
        <v>1973</v>
      </c>
      <c r="D1848" s="159">
        <v>44041.0</v>
      </c>
      <c r="E1848" s="157" t="s">
        <v>731</v>
      </c>
      <c r="F1848" s="160">
        <v>325561.47</v>
      </c>
      <c r="G1848" s="160">
        <v>52089.84</v>
      </c>
      <c r="H1848" s="160">
        <f t="shared" si="49"/>
        <v>377651.31</v>
      </c>
      <c r="I1848" s="160"/>
      <c r="J1848" s="161"/>
      <c r="K1848" s="160"/>
      <c r="L1848" s="160">
        <f>+'FACP$'!$H1848-'FACP$'!$I1848-'FACP$'!$K1848</f>
        <v>377651.31</v>
      </c>
      <c r="M1848" s="162" t="s">
        <v>1644</v>
      </c>
      <c r="N1848" s="162" t="s">
        <v>127</v>
      </c>
      <c r="O1848" s="175"/>
      <c r="P1848" s="164">
        <f t="shared" si="13"/>
        <v>44051</v>
      </c>
      <c r="Q1848" s="165">
        <f t="shared" si="2"/>
        <v>0</v>
      </c>
      <c r="R1848" s="167"/>
      <c r="S1848" s="167"/>
      <c r="T1848" s="168">
        <f t="shared" si="3"/>
        <v>377651.31</v>
      </c>
      <c r="U1848" s="168">
        <f t="shared" si="4"/>
        <v>0</v>
      </c>
      <c r="V1848" s="168">
        <f t="shared" si="5"/>
        <v>0</v>
      </c>
      <c r="W1848" s="168">
        <f t="shared" si="6"/>
        <v>0</v>
      </c>
      <c r="X1848" s="168">
        <f t="shared" si="7"/>
        <v>0</v>
      </c>
      <c r="Y1848" s="168">
        <f t="shared" si="8"/>
        <v>0</v>
      </c>
      <c r="Z1848" s="168">
        <f t="shared" si="9"/>
        <v>0</v>
      </c>
    </row>
    <row r="1849" ht="14.25" customHeight="1">
      <c r="A1849" s="157" t="s">
        <v>1974</v>
      </c>
      <c r="B1849" s="158" t="s">
        <v>27</v>
      </c>
      <c r="C1849" s="158" t="s">
        <v>1973</v>
      </c>
      <c r="D1849" s="159">
        <v>44041.0</v>
      </c>
      <c r="E1849" s="157" t="s">
        <v>731</v>
      </c>
      <c r="F1849" s="160">
        <v>481793.52</v>
      </c>
      <c r="G1849" s="160">
        <v>77086.96</v>
      </c>
      <c r="H1849" s="160">
        <f t="shared" si="49"/>
        <v>558880.48</v>
      </c>
      <c r="I1849" s="160"/>
      <c r="J1849" s="161"/>
      <c r="K1849" s="160"/>
      <c r="L1849" s="160">
        <f>+'FACP$'!$H1849-'FACP$'!$I1849-'FACP$'!$K1849</f>
        <v>558880.48</v>
      </c>
      <c r="M1849" s="162" t="s">
        <v>969</v>
      </c>
      <c r="N1849" s="162" t="s">
        <v>127</v>
      </c>
      <c r="O1849" s="175"/>
      <c r="P1849" s="164">
        <f t="shared" si="13"/>
        <v>44051</v>
      </c>
      <c r="Q1849" s="165">
        <f t="shared" si="2"/>
        <v>0</v>
      </c>
      <c r="R1849" s="167"/>
      <c r="S1849" s="167"/>
      <c r="T1849" s="168">
        <f t="shared" si="3"/>
        <v>558880.48</v>
      </c>
      <c r="U1849" s="168">
        <f t="shared" si="4"/>
        <v>0</v>
      </c>
      <c r="V1849" s="168">
        <f t="shared" si="5"/>
        <v>0</v>
      </c>
      <c r="W1849" s="168">
        <f t="shared" si="6"/>
        <v>0</v>
      </c>
      <c r="X1849" s="168">
        <f t="shared" si="7"/>
        <v>0</v>
      </c>
      <c r="Y1849" s="168">
        <f t="shared" si="8"/>
        <v>0</v>
      </c>
      <c r="Z1849" s="168">
        <f t="shared" si="9"/>
        <v>0</v>
      </c>
    </row>
    <row r="1850" ht="14.25" customHeight="1">
      <c r="A1850" s="157" t="s">
        <v>1975</v>
      </c>
      <c r="B1850" s="158" t="s">
        <v>27</v>
      </c>
      <c r="C1850" s="158" t="s">
        <v>1973</v>
      </c>
      <c r="D1850" s="159">
        <v>44041.0</v>
      </c>
      <c r="E1850" s="157" t="s">
        <v>731</v>
      </c>
      <c r="F1850" s="160">
        <v>98329.29</v>
      </c>
      <c r="G1850" s="160">
        <v>15732.69</v>
      </c>
      <c r="H1850" s="160">
        <f t="shared" si="49"/>
        <v>114061.98</v>
      </c>
      <c r="I1850" s="160"/>
      <c r="J1850" s="161"/>
      <c r="K1850" s="160"/>
      <c r="L1850" s="160">
        <f>+'FACP$'!$H1850-'FACP$'!$I1850-'FACP$'!$K1850</f>
        <v>114061.98</v>
      </c>
      <c r="M1850" s="162" t="s">
        <v>1721</v>
      </c>
      <c r="N1850" s="162" t="s">
        <v>127</v>
      </c>
      <c r="O1850" s="175"/>
      <c r="P1850" s="164">
        <f t="shared" si="13"/>
        <v>44051</v>
      </c>
      <c r="Q1850" s="165">
        <f t="shared" si="2"/>
        <v>0</v>
      </c>
      <c r="R1850" s="167"/>
      <c r="S1850" s="167"/>
      <c r="T1850" s="168">
        <f t="shared" si="3"/>
        <v>114061.98</v>
      </c>
      <c r="U1850" s="168">
        <f t="shared" si="4"/>
        <v>0</v>
      </c>
      <c r="V1850" s="168">
        <f t="shared" si="5"/>
        <v>0</v>
      </c>
      <c r="W1850" s="168">
        <f t="shared" si="6"/>
        <v>0</v>
      </c>
      <c r="X1850" s="168">
        <f t="shared" si="7"/>
        <v>0</v>
      </c>
      <c r="Y1850" s="168">
        <f t="shared" si="8"/>
        <v>0</v>
      </c>
      <c r="Z1850" s="168">
        <f t="shared" si="9"/>
        <v>0</v>
      </c>
    </row>
    <row r="1851" ht="14.25" customHeight="1">
      <c r="A1851" s="157" t="s">
        <v>1976</v>
      </c>
      <c r="B1851" s="158" t="s">
        <v>16</v>
      </c>
      <c r="C1851" s="158" t="s">
        <v>1658</v>
      </c>
      <c r="D1851" s="159">
        <v>44041.0</v>
      </c>
      <c r="E1851" s="157" t="s">
        <v>731</v>
      </c>
      <c r="F1851" s="160">
        <v>11316.0</v>
      </c>
      <c r="G1851" s="160">
        <v>1810.56</v>
      </c>
      <c r="H1851" s="160">
        <f t="shared" si="49"/>
        <v>13126.56</v>
      </c>
      <c r="I1851" s="160"/>
      <c r="J1851" s="161"/>
      <c r="K1851" s="160"/>
      <c r="L1851" s="160">
        <f>+'FACP$'!$H1851-'FACP$'!$I1851-'FACP$'!$K1851</f>
        <v>13126.56</v>
      </c>
      <c r="M1851" s="162" t="s">
        <v>985</v>
      </c>
      <c r="N1851" s="162" t="s">
        <v>554</v>
      </c>
      <c r="O1851" s="175">
        <v>44078.0</v>
      </c>
      <c r="P1851" s="164">
        <f t="shared" si="13"/>
        <v>44051</v>
      </c>
      <c r="Q1851" s="165">
        <f t="shared" si="2"/>
        <v>0</v>
      </c>
      <c r="R1851" s="167"/>
      <c r="S1851" s="167"/>
      <c r="T1851" s="168">
        <f t="shared" si="3"/>
        <v>13126.56</v>
      </c>
      <c r="U1851" s="168">
        <f t="shared" si="4"/>
        <v>0</v>
      </c>
      <c r="V1851" s="168">
        <f t="shared" si="5"/>
        <v>0</v>
      </c>
      <c r="W1851" s="168">
        <f t="shared" si="6"/>
        <v>0</v>
      </c>
      <c r="X1851" s="168">
        <f t="shared" si="7"/>
        <v>0</v>
      </c>
      <c r="Y1851" s="168">
        <f t="shared" si="8"/>
        <v>0</v>
      </c>
      <c r="Z1851" s="168">
        <f t="shared" si="9"/>
        <v>0</v>
      </c>
    </row>
    <row r="1852" ht="14.25" customHeight="1">
      <c r="A1852" s="157" t="s">
        <v>1977</v>
      </c>
      <c r="B1852" s="158" t="s">
        <v>37</v>
      </c>
      <c r="C1852" s="158" t="s">
        <v>1658</v>
      </c>
      <c r="D1852" s="159">
        <v>44041.0</v>
      </c>
      <c r="E1852" s="157" t="s">
        <v>731</v>
      </c>
      <c r="F1852" s="160">
        <v>38376.0</v>
      </c>
      <c r="G1852" s="160">
        <v>6140.16</v>
      </c>
      <c r="H1852" s="160">
        <f t="shared" si="49"/>
        <v>44516.16</v>
      </c>
      <c r="I1852" s="160"/>
      <c r="J1852" s="161"/>
      <c r="K1852" s="160"/>
      <c r="L1852" s="160">
        <f>+'FACP$'!$H1852-'FACP$'!$I1852-'FACP$'!$K1852</f>
        <v>44516.16</v>
      </c>
      <c r="M1852" s="162" t="s">
        <v>116</v>
      </c>
      <c r="N1852" s="162" t="s">
        <v>554</v>
      </c>
      <c r="O1852" s="175">
        <v>44081.0</v>
      </c>
      <c r="P1852" s="164">
        <f t="shared" si="13"/>
        <v>44051</v>
      </c>
      <c r="Q1852" s="165">
        <f t="shared" si="2"/>
        <v>0</v>
      </c>
      <c r="R1852" s="167"/>
      <c r="S1852" s="220" t="s">
        <v>910</v>
      </c>
      <c r="T1852" s="168">
        <f t="shared" si="3"/>
        <v>44516.16</v>
      </c>
      <c r="U1852" s="168">
        <f t="shared" si="4"/>
        <v>0</v>
      </c>
      <c r="V1852" s="168">
        <f t="shared" si="5"/>
        <v>0</v>
      </c>
      <c r="W1852" s="168">
        <f t="shared" si="6"/>
        <v>0</v>
      </c>
      <c r="X1852" s="168">
        <f t="shared" si="7"/>
        <v>0</v>
      </c>
      <c r="Y1852" s="168">
        <f t="shared" si="8"/>
        <v>0</v>
      </c>
      <c r="Z1852" s="168">
        <f t="shared" si="9"/>
        <v>0</v>
      </c>
    </row>
    <row r="1853" ht="14.25" customHeight="1">
      <c r="A1853" s="157" t="s">
        <v>1978</v>
      </c>
      <c r="B1853" s="158" t="s">
        <v>37</v>
      </c>
      <c r="C1853" s="158" t="s">
        <v>1658</v>
      </c>
      <c r="D1853" s="159">
        <v>44041.0</v>
      </c>
      <c r="E1853" s="157" t="s">
        <v>731</v>
      </c>
      <c r="F1853" s="160">
        <v>38376.0</v>
      </c>
      <c r="G1853" s="160">
        <v>6140.16</v>
      </c>
      <c r="H1853" s="160">
        <f t="shared" si="49"/>
        <v>44516.16</v>
      </c>
      <c r="I1853" s="160"/>
      <c r="J1853" s="161"/>
      <c r="K1853" s="160"/>
      <c r="L1853" s="160">
        <f>+'FACP$'!$H1853-'FACP$'!$I1853-'FACP$'!$K1853</f>
        <v>44516.16</v>
      </c>
      <c r="M1853" s="162" t="s">
        <v>116</v>
      </c>
      <c r="N1853" s="162" t="s">
        <v>554</v>
      </c>
      <c r="O1853" s="175">
        <v>44081.0</v>
      </c>
      <c r="P1853" s="164">
        <f t="shared" si="13"/>
        <v>44051</v>
      </c>
      <c r="Q1853" s="165">
        <f t="shared" si="2"/>
        <v>0</v>
      </c>
      <c r="R1853" s="167"/>
      <c r="S1853" s="220" t="s">
        <v>910</v>
      </c>
      <c r="T1853" s="168">
        <f t="shared" si="3"/>
        <v>44516.16</v>
      </c>
      <c r="U1853" s="168">
        <f t="shared" si="4"/>
        <v>0</v>
      </c>
      <c r="V1853" s="168">
        <f t="shared" si="5"/>
        <v>0</v>
      </c>
      <c r="W1853" s="168">
        <f t="shared" si="6"/>
        <v>0</v>
      </c>
      <c r="X1853" s="168">
        <f t="shared" si="7"/>
        <v>0</v>
      </c>
      <c r="Y1853" s="168">
        <f t="shared" si="8"/>
        <v>0</v>
      </c>
      <c r="Z1853" s="168">
        <f t="shared" si="9"/>
        <v>0</v>
      </c>
    </row>
    <row r="1854" ht="14.25" customHeight="1">
      <c r="A1854" s="157" t="s">
        <v>1979</v>
      </c>
      <c r="B1854" s="158" t="s">
        <v>16</v>
      </c>
      <c r="C1854" s="158" t="s">
        <v>1658</v>
      </c>
      <c r="D1854" s="159">
        <v>44041.0</v>
      </c>
      <c r="E1854" s="157" t="s">
        <v>731</v>
      </c>
      <c r="F1854" s="160">
        <v>11316.0</v>
      </c>
      <c r="G1854" s="160">
        <v>1810.56</v>
      </c>
      <c r="H1854" s="160">
        <f t="shared" si="49"/>
        <v>13126.56</v>
      </c>
      <c r="I1854" s="160"/>
      <c r="J1854" s="161"/>
      <c r="K1854" s="160"/>
      <c r="L1854" s="160">
        <f>+'FACP$'!$H1854-'FACP$'!$I1854-'FACP$'!$K1854</f>
        <v>13126.56</v>
      </c>
      <c r="M1854" s="162" t="s">
        <v>985</v>
      </c>
      <c r="N1854" s="162" t="s">
        <v>554</v>
      </c>
      <c r="O1854" s="175">
        <v>44078.0</v>
      </c>
      <c r="P1854" s="164">
        <f t="shared" si="13"/>
        <v>44051</v>
      </c>
      <c r="Q1854" s="165">
        <f t="shared" si="2"/>
        <v>0</v>
      </c>
      <c r="R1854" s="167"/>
      <c r="S1854" s="167"/>
      <c r="T1854" s="168">
        <f t="shared" si="3"/>
        <v>13126.56</v>
      </c>
      <c r="U1854" s="168">
        <f t="shared" si="4"/>
        <v>0</v>
      </c>
      <c r="V1854" s="168">
        <f t="shared" si="5"/>
        <v>0</v>
      </c>
      <c r="W1854" s="168">
        <f t="shared" si="6"/>
        <v>0</v>
      </c>
      <c r="X1854" s="168">
        <f t="shared" si="7"/>
        <v>0</v>
      </c>
      <c r="Y1854" s="168">
        <f t="shared" si="8"/>
        <v>0</v>
      </c>
      <c r="Z1854" s="168">
        <f t="shared" si="9"/>
        <v>0</v>
      </c>
    </row>
    <row r="1855" ht="14.25" customHeight="1">
      <c r="A1855" s="157" t="s">
        <v>1980</v>
      </c>
      <c r="B1855" s="158" t="s">
        <v>29</v>
      </c>
      <c r="C1855" s="158" t="s">
        <v>1658</v>
      </c>
      <c r="D1855" s="159">
        <v>44041.0</v>
      </c>
      <c r="E1855" s="157" t="s">
        <v>731</v>
      </c>
      <c r="F1855" s="160">
        <v>19188.0</v>
      </c>
      <c r="G1855" s="160">
        <v>3070.08</v>
      </c>
      <c r="H1855" s="160">
        <f t="shared" si="49"/>
        <v>22258.08</v>
      </c>
      <c r="I1855" s="160"/>
      <c r="J1855" s="161"/>
      <c r="K1855" s="160"/>
      <c r="L1855" s="160">
        <f>+'FACP$'!$H1855-'FACP$'!$I1855-'FACP$'!$K1855</f>
        <v>22258.08</v>
      </c>
      <c r="M1855" s="162" t="s">
        <v>130</v>
      </c>
      <c r="N1855" s="162" t="s">
        <v>554</v>
      </c>
      <c r="O1855" s="175">
        <v>44075.0</v>
      </c>
      <c r="P1855" s="164">
        <f t="shared" si="13"/>
        <v>44051</v>
      </c>
      <c r="Q1855" s="165">
        <f t="shared" si="2"/>
        <v>0</v>
      </c>
      <c r="R1855" s="167"/>
      <c r="S1855" s="167"/>
      <c r="T1855" s="168">
        <f t="shared" si="3"/>
        <v>22258.08</v>
      </c>
      <c r="U1855" s="168">
        <f t="shared" si="4"/>
        <v>0</v>
      </c>
      <c r="V1855" s="168">
        <f t="shared" si="5"/>
        <v>0</v>
      </c>
      <c r="W1855" s="168">
        <f t="shared" si="6"/>
        <v>0</v>
      </c>
      <c r="X1855" s="168">
        <f t="shared" si="7"/>
        <v>0</v>
      </c>
      <c r="Y1855" s="168">
        <f t="shared" si="8"/>
        <v>0</v>
      </c>
      <c r="Z1855" s="168">
        <f t="shared" si="9"/>
        <v>0</v>
      </c>
    </row>
    <row r="1856" ht="14.25" customHeight="1">
      <c r="A1856" s="157" t="s">
        <v>1981</v>
      </c>
      <c r="B1856" s="158" t="s">
        <v>41</v>
      </c>
      <c r="C1856" s="158" t="s">
        <v>1658</v>
      </c>
      <c r="D1856" s="159">
        <v>44041.0</v>
      </c>
      <c r="E1856" s="157" t="s">
        <v>731</v>
      </c>
      <c r="F1856" s="160">
        <v>19188.0</v>
      </c>
      <c r="G1856" s="160">
        <v>3070.08</v>
      </c>
      <c r="H1856" s="160">
        <f t="shared" si="49"/>
        <v>22258.08</v>
      </c>
      <c r="I1856" s="160"/>
      <c r="J1856" s="161"/>
      <c r="K1856" s="160"/>
      <c r="L1856" s="160">
        <f>+'FACP$'!$H1856-'FACP$'!$I1856-'FACP$'!$K1856</f>
        <v>22258.08</v>
      </c>
      <c r="M1856" s="162" t="s">
        <v>121</v>
      </c>
      <c r="N1856" s="162" t="s">
        <v>554</v>
      </c>
      <c r="O1856" s="175">
        <v>44099.0</v>
      </c>
      <c r="P1856" s="164">
        <f t="shared" si="13"/>
        <v>44051</v>
      </c>
      <c r="Q1856" s="165">
        <f t="shared" si="2"/>
        <v>0</v>
      </c>
      <c r="R1856" s="167"/>
      <c r="S1856" s="167"/>
      <c r="T1856" s="168">
        <f t="shared" si="3"/>
        <v>22258.08</v>
      </c>
      <c r="U1856" s="168">
        <f t="shared" si="4"/>
        <v>0</v>
      </c>
      <c r="V1856" s="168">
        <f t="shared" si="5"/>
        <v>0</v>
      </c>
      <c r="W1856" s="168">
        <f t="shared" si="6"/>
        <v>0</v>
      </c>
      <c r="X1856" s="168">
        <f t="shared" si="7"/>
        <v>0</v>
      </c>
      <c r="Y1856" s="168">
        <f t="shared" si="8"/>
        <v>0</v>
      </c>
      <c r="Z1856" s="168">
        <f t="shared" si="9"/>
        <v>0</v>
      </c>
    </row>
    <row r="1857" ht="14.25" customHeight="1">
      <c r="A1857" s="157" t="s">
        <v>1982</v>
      </c>
      <c r="B1857" s="158" t="s">
        <v>16</v>
      </c>
      <c r="C1857" s="158" t="s">
        <v>1658</v>
      </c>
      <c r="D1857" s="159">
        <v>44042.0</v>
      </c>
      <c r="E1857" s="157" t="s">
        <v>731</v>
      </c>
      <c r="F1857" s="160">
        <v>11316.0</v>
      </c>
      <c r="G1857" s="160">
        <v>1810.56</v>
      </c>
      <c r="H1857" s="160">
        <f t="shared" si="49"/>
        <v>13126.56</v>
      </c>
      <c r="I1857" s="160"/>
      <c r="J1857" s="161"/>
      <c r="K1857" s="160"/>
      <c r="L1857" s="160">
        <f>+'FACP$'!$H1857-'FACP$'!$I1857-'FACP$'!$K1857</f>
        <v>13126.56</v>
      </c>
      <c r="M1857" s="162" t="s">
        <v>985</v>
      </c>
      <c r="N1857" s="162" t="s">
        <v>554</v>
      </c>
      <c r="O1857" s="175">
        <v>44078.0</v>
      </c>
      <c r="P1857" s="164">
        <f t="shared" si="13"/>
        <v>44052</v>
      </c>
      <c r="Q1857" s="165">
        <f t="shared" si="2"/>
        <v>0</v>
      </c>
      <c r="R1857" s="167"/>
      <c r="S1857" s="167"/>
      <c r="T1857" s="168">
        <f t="shared" si="3"/>
        <v>13126.56</v>
      </c>
      <c r="U1857" s="168">
        <f t="shared" si="4"/>
        <v>0</v>
      </c>
      <c r="V1857" s="168">
        <f t="shared" si="5"/>
        <v>0</v>
      </c>
      <c r="W1857" s="168">
        <f t="shared" si="6"/>
        <v>0</v>
      </c>
      <c r="X1857" s="168">
        <f t="shared" si="7"/>
        <v>0</v>
      </c>
      <c r="Y1857" s="168">
        <f t="shared" si="8"/>
        <v>0</v>
      </c>
      <c r="Z1857" s="168">
        <f t="shared" si="9"/>
        <v>0</v>
      </c>
    </row>
    <row r="1858" ht="14.25" customHeight="1">
      <c r="A1858" s="157" t="s">
        <v>1983</v>
      </c>
      <c r="B1858" s="158" t="s">
        <v>37</v>
      </c>
      <c r="C1858" s="158" t="s">
        <v>1658</v>
      </c>
      <c r="D1858" s="159">
        <v>44042.0</v>
      </c>
      <c r="E1858" s="157" t="s">
        <v>731</v>
      </c>
      <c r="F1858" s="160">
        <v>38376.0</v>
      </c>
      <c r="G1858" s="160">
        <v>6140.16</v>
      </c>
      <c r="H1858" s="160">
        <f t="shared" si="49"/>
        <v>44516.16</v>
      </c>
      <c r="I1858" s="160"/>
      <c r="J1858" s="161"/>
      <c r="K1858" s="160"/>
      <c r="L1858" s="160">
        <f>+'FACP$'!$H1858-'FACP$'!$I1858-'FACP$'!$K1858</f>
        <v>44516.16</v>
      </c>
      <c r="M1858" s="162" t="s">
        <v>116</v>
      </c>
      <c r="N1858" s="162" t="s">
        <v>554</v>
      </c>
      <c r="O1858" s="175">
        <v>44081.0</v>
      </c>
      <c r="P1858" s="164">
        <f t="shared" si="13"/>
        <v>44052</v>
      </c>
      <c r="Q1858" s="165">
        <f t="shared" si="2"/>
        <v>0</v>
      </c>
      <c r="R1858" s="167"/>
      <c r="S1858" s="220" t="s">
        <v>910</v>
      </c>
      <c r="T1858" s="168">
        <f t="shared" si="3"/>
        <v>44516.16</v>
      </c>
      <c r="U1858" s="168">
        <f t="shared" si="4"/>
        <v>0</v>
      </c>
      <c r="V1858" s="168">
        <f t="shared" si="5"/>
        <v>0</v>
      </c>
      <c r="W1858" s="168">
        <f t="shared" si="6"/>
        <v>0</v>
      </c>
      <c r="X1858" s="168">
        <f t="shared" si="7"/>
        <v>0</v>
      </c>
      <c r="Y1858" s="168">
        <f t="shared" si="8"/>
        <v>0</v>
      </c>
      <c r="Z1858" s="168">
        <f t="shared" si="9"/>
        <v>0</v>
      </c>
    </row>
    <row r="1859" ht="14.25" customHeight="1">
      <c r="A1859" s="157" t="s">
        <v>1984</v>
      </c>
      <c r="B1859" s="158" t="s">
        <v>16</v>
      </c>
      <c r="C1859" s="158" t="s">
        <v>1658</v>
      </c>
      <c r="D1859" s="159">
        <v>44042.0</v>
      </c>
      <c r="E1859" s="157" t="s">
        <v>731</v>
      </c>
      <c r="F1859" s="160">
        <v>11316.0</v>
      </c>
      <c r="G1859" s="160">
        <v>1810.56</v>
      </c>
      <c r="H1859" s="160">
        <f t="shared" si="49"/>
        <v>13126.56</v>
      </c>
      <c r="I1859" s="160"/>
      <c r="J1859" s="161"/>
      <c r="K1859" s="160"/>
      <c r="L1859" s="160">
        <f>+'FACP$'!$H1859-'FACP$'!$I1859-'FACP$'!$K1859</f>
        <v>13126.56</v>
      </c>
      <c r="M1859" s="162" t="s">
        <v>985</v>
      </c>
      <c r="N1859" s="162" t="s">
        <v>554</v>
      </c>
      <c r="O1859" s="175">
        <v>44078.0</v>
      </c>
      <c r="P1859" s="164">
        <f t="shared" si="13"/>
        <v>44052</v>
      </c>
      <c r="Q1859" s="165">
        <f t="shared" si="2"/>
        <v>0</v>
      </c>
      <c r="R1859" s="167"/>
      <c r="S1859" s="167"/>
      <c r="T1859" s="168">
        <f t="shared" si="3"/>
        <v>13126.56</v>
      </c>
      <c r="U1859" s="168">
        <f t="shared" si="4"/>
        <v>0</v>
      </c>
      <c r="V1859" s="168">
        <f t="shared" si="5"/>
        <v>0</v>
      </c>
      <c r="W1859" s="168">
        <f t="shared" si="6"/>
        <v>0</v>
      </c>
      <c r="X1859" s="168">
        <f t="shared" si="7"/>
        <v>0</v>
      </c>
      <c r="Y1859" s="168">
        <f t="shared" si="8"/>
        <v>0</v>
      </c>
      <c r="Z1859" s="168">
        <f t="shared" si="9"/>
        <v>0</v>
      </c>
    </row>
    <row r="1860" ht="14.25" customHeight="1">
      <c r="A1860" s="157" t="s">
        <v>1985</v>
      </c>
      <c r="B1860" s="158" t="s">
        <v>37</v>
      </c>
      <c r="C1860" s="158" t="s">
        <v>1658</v>
      </c>
      <c r="D1860" s="159">
        <v>44042.0</v>
      </c>
      <c r="E1860" s="157" t="s">
        <v>731</v>
      </c>
      <c r="F1860" s="160">
        <v>38376.0</v>
      </c>
      <c r="G1860" s="160">
        <v>6140.16</v>
      </c>
      <c r="H1860" s="160">
        <f t="shared" si="49"/>
        <v>44516.16</v>
      </c>
      <c r="I1860" s="160"/>
      <c r="J1860" s="161"/>
      <c r="K1860" s="160"/>
      <c r="L1860" s="160">
        <f>+'FACP$'!$H1860-'FACP$'!$I1860-'FACP$'!$K1860</f>
        <v>44516.16</v>
      </c>
      <c r="M1860" s="162" t="s">
        <v>116</v>
      </c>
      <c r="N1860" s="162" t="s">
        <v>554</v>
      </c>
      <c r="O1860" s="175">
        <v>44081.0</v>
      </c>
      <c r="P1860" s="164">
        <f t="shared" si="13"/>
        <v>44052</v>
      </c>
      <c r="Q1860" s="165">
        <f t="shared" si="2"/>
        <v>0</v>
      </c>
      <c r="R1860" s="167"/>
      <c r="S1860" s="220" t="s">
        <v>910</v>
      </c>
      <c r="T1860" s="168">
        <f t="shared" si="3"/>
        <v>44516.16</v>
      </c>
      <c r="U1860" s="168">
        <f t="shared" si="4"/>
        <v>0</v>
      </c>
      <c r="V1860" s="168">
        <f t="shared" si="5"/>
        <v>0</v>
      </c>
      <c r="W1860" s="168">
        <f t="shared" si="6"/>
        <v>0</v>
      </c>
      <c r="X1860" s="168">
        <f t="shared" si="7"/>
        <v>0</v>
      </c>
      <c r="Y1860" s="168">
        <f t="shared" si="8"/>
        <v>0</v>
      </c>
      <c r="Z1860" s="168">
        <f t="shared" si="9"/>
        <v>0</v>
      </c>
    </row>
    <row r="1861" ht="14.25" customHeight="1">
      <c r="A1861" s="157" t="s">
        <v>1986</v>
      </c>
      <c r="B1861" s="158" t="s">
        <v>18</v>
      </c>
      <c r="C1861" s="158" t="s">
        <v>1658</v>
      </c>
      <c r="D1861" s="159">
        <v>44042.0</v>
      </c>
      <c r="E1861" s="157" t="s">
        <v>731</v>
      </c>
      <c r="F1861" s="160">
        <v>19188.0</v>
      </c>
      <c r="G1861" s="160">
        <v>3070.08</v>
      </c>
      <c r="H1861" s="160">
        <f t="shared" si="49"/>
        <v>22258.08</v>
      </c>
      <c r="I1861" s="160"/>
      <c r="J1861" s="161"/>
      <c r="K1861" s="160"/>
      <c r="L1861" s="160">
        <f>+'FACP$'!$H1861-'FACP$'!$I1861-'FACP$'!$K1861</f>
        <v>22258.08</v>
      </c>
      <c r="M1861" s="162" t="s">
        <v>586</v>
      </c>
      <c r="N1861" s="162" t="s">
        <v>554</v>
      </c>
      <c r="O1861" s="175">
        <v>44077.0</v>
      </c>
      <c r="P1861" s="164">
        <f t="shared" si="13"/>
        <v>44052</v>
      </c>
      <c r="Q1861" s="165">
        <f t="shared" si="2"/>
        <v>0</v>
      </c>
      <c r="R1861" s="167"/>
      <c r="S1861" s="167" t="s">
        <v>910</v>
      </c>
      <c r="T1861" s="168">
        <f t="shared" si="3"/>
        <v>22258.08</v>
      </c>
      <c r="U1861" s="168">
        <f t="shared" si="4"/>
        <v>0</v>
      </c>
      <c r="V1861" s="168">
        <f t="shared" si="5"/>
        <v>0</v>
      </c>
      <c r="W1861" s="168">
        <f t="shared" si="6"/>
        <v>0</v>
      </c>
      <c r="X1861" s="168">
        <f t="shared" si="7"/>
        <v>0</v>
      </c>
      <c r="Y1861" s="168">
        <f t="shared" si="8"/>
        <v>0</v>
      </c>
      <c r="Z1861" s="168">
        <f t="shared" si="9"/>
        <v>0</v>
      </c>
    </row>
    <row r="1862" ht="14.25" customHeight="1">
      <c r="A1862" s="157" t="s">
        <v>1987</v>
      </c>
      <c r="B1862" s="158" t="s">
        <v>41</v>
      </c>
      <c r="C1862" s="158" t="s">
        <v>1658</v>
      </c>
      <c r="D1862" s="159">
        <v>44042.0</v>
      </c>
      <c r="E1862" s="157" t="s">
        <v>731</v>
      </c>
      <c r="F1862" s="160">
        <v>19188.0</v>
      </c>
      <c r="G1862" s="160">
        <v>3070.08</v>
      </c>
      <c r="H1862" s="160">
        <f t="shared" si="49"/>
        <v>22258.08</v>
      </c>
      <c r="I1862" s="160"/>
      <c r="J1862" s="161"/>
      <c r="K1862" s="160"/>
      <c r="L1862" s="160">
        <f>+'FACP$'!$H1862-'FACP$'!$I1862-'FACP$'!$K1862</f>
        <v>22258.08</v>
      </c>
      <c r="M1862" s="162" t="s">
        <v>121</v>
      </c>
      <c r="N1862" s="162" t="s">
        <v>554</v>
      </c>
      <c r="O1862" s="175">
        <v>44099.0</v>
      </c>
      <c r="P1862" s="164">
        <f t="shared" si="13"/>
        <v>44052</v>
      </c>
      <c r="Q1862" s="165">
        <f t="shared" si="2"/>
        <v>0</v>
      </c>
      <c r="R1862" s="167"/>
      <c r="S1862" s="167"/>
      <c r="T1862" s="168">
        <f t="shared" si="3"/>
        <v>22258.08</v>
      </c>
      <c r="U1862" s="168">
        <f t="shared" si="4"/>
        <v>0</v>
      </c>
      <c r="V1862" s="168">
        <f t="shared" si="5"/>
        <v>0</v>
      </c>
      <c r="W1862" s="168">
        <f t="shared" si="6"/>
        <v>0</v>
      </c>
      <c r="X1862" s="168">
        <f t="shared" si="7"/>
        <v>0</v>
      </c>
      <c r="Y1862" s="168">
        <f t="shared" si="8"/>
        <v>0</v>
      </c>
      <c r="Z1862" s="168">
        <f t="shared" si="9"/>
        <v>0</v>
      </c>
    </row>
    <row r="1863" ht="14.25" customHeight="1">
      <c r="A1863" s="157" t="s">
        <v>1988</v>
      </c>
      <c r="B1863" s="158" t="s">
        <v>37</v>
      </c>
      <c r="C1863" s="158" t="s">
        <v>1658</v>
      </c>
      <c r="D1863" s="159">
        <v>44042.0</v>
      </c>
      <c r="E1863" s="157" t="s">
        <v>731</v>
      </c>
      <c r="F1863" s="160">
        <v>38376.0</v>
      </c>
      <c r="G1863" s="160">
        <v>6140.16</v>
      </c>
      <c r="H1863" s="160">
        <f t="shared" si="49"/>
        <v>44516.16</v>
      </c>
      <c r="I1863" s="160"/>
      <c r="J1863" s="161"/>
      <c r="K1863" s="160"/>
      <c r="L1863" s="160">
        <f>+'FACP$'!$H1863-'FACP$'!$I1863-'FACP$'!$K1863</f>
        <v>44516.16</v>
      </c>
      <c r="M1863" s="162" t="s">
        <v>116</v>
      </c>
      <c r="N1863" s="162" t="s">
        <v>554</v>
      </c>
      <c r="O1863" s="175">
        <v>44081.0</v>
      </c>
      <c r="P1863" s="164">
        <f t="shared" si="13"/>
        <v>44052</v>
      </c>
      <c r="Q1863" s="165">
        <f t="shared" si="2"/>
        <v>0</v>
      </c>
      <c r="R1863" s="167"/>
      <c r="S1863" s="220" t="s">
        <v>910</v>
      </c>
      <c r="T1863" s="168">
        <f t="shared" si="3"/>
        <v>44516.16</v>
      </c>
      <c r="U1863" s="168">
        <f t="shared" si="4"/>
        <v>0</v>
      </c>
      <c r="V1863" s="168">
        <f t="shared" si="5"/>
        <v>0</v>
      </c>
      <c r="W1863" s="168">
        <f t="shared" si="6"/>
        <v>0</v>
      </c>
      <c r="X1863" s="168">
        <f t="shared" si="7"/>
        <v>0</v>
      </c>
      <c r="Y1863" s="168">
        <f t="shared" si="8"/>
        <v>0</v>
      </c>
      <c r="Z1863" s="168">
        <f t="shared" si="9"/>
        <v>0</v>
      </c>
    </row>
    <row r="1864" ht="14.25" customHeight="1">
      <c r="A1864" s="157" t="s">
        <v>1989</v>
      </c>
      <c r="B1864" s="158" t="s">
        <v>37</v>
      </c>
      <c r="C1864" s="158" t="s">
        <v>1658</v>
      </c>
      <c r="D1864" s="159">
        <v>44042.0</v>
      </c>
      <c r="E1864" s="157" t="s">
        <v>731</v>
      </c>
      <c r="F1864" s="160">
        <v>38376.0</v>
      </c>
      <c r="G1864" s="160">
        <v>6140.16</v>
      </c>
      <c r="H1864" s="160">
        <f t="shared" si="49"/>
        <v>44516.16</v>
      </c>
      <c r="I1864" s="160"/>
      <c r="J1864" s="161"/>
      <c r="K1864" s="160"/>
      <c r="L1864" s="160">
        <f>+'FACP$'!$H1864-'FACP$'!$I1864-'FACP$'!$K1864</f>
        <v>44516.16</v>
      </c>
      <c r="M1864" s="162" t="s">
        <v>116</v>
      </c>
      <c r="N1864" s="162" t="s">
        <v>554</v>
      </c>
      <c r="O1864" s="175">
        <v>44081.0</v>
      </c>
      <c r="P1864" s="164">
        <f t="shared" si="13"/>
        <v>44052</v>
      </c>
      <c r="Q1864" s="165">
        <f t="shared" si="2"/>
        <v>0</v>
      </c>
      <c r="R1864" s="167"/>
      <c r="S1864" s="220" t="s">
        <v>910</v>
      </c>
      <c r="T1864" s="168">
        <f t="shared" si="3"/>
        <v>44516.16</v>
      </c>
      <c r="U1864" s="168">
        <f t="shared" si="4"/>
        <v>0</v>
      </c>
      <c r="V1864" s="168">
        <f t="shared" si="5"/>
        <v>0</v>
      </c>
      <c r="W1864" s="168">
        <f t="shared" si="6"/>
        <v>0</v>
      </c>
      <c r="X1864" s="168">
        <f t="shared" si="7"/>
        <v>0</v>
      </c>
      <c r="Y1864" s="168">
        <f t="shared" si="8"/>
        <v>0</v>
      </c>
      <c r="Z1864" s="168">
        <f t="shared" si="9"/>
        <v>0</v>
      </c>
    </row>
    <row r="1865" ht="14.25" customHeight="1">
      <c r="A1865" s="157" t="s">
        <v>1990</v>
      </c>
      <c r="B1865" s="158" t="s">
        <v>37</v>
      </c>
      <c r="C1865" s="158" t="s">
        <v>1658</v>
      </c>
      <c r="D1865" s="159">
        <v>44042.0</v>
      </c>
      <c r="E1865" s="157" t="s">
        <v>731</v>
      </c>
      <c r="F1865" s="160">
        <v>38376.0</v>
      </c>
      <c r="G1865" s="160">
        <v>6140.16</v>
      </c>
      <c r="H1865" s="160">
        <f t="shared" si="49"/>
        <v>44516.16</v>
      </c>
      <c r="I1865" s="160"/>
      <c r="J1865" s="161"/>
      <c r="K1865" s="160"/>
      <c r="L1865" s="160">
        <f>+'FACP$'!$H1865-'FACP$'!$I1865-'FACP$'!$K1865</f>
        <v>44516.16</v>
      </c>
      <c r="M1865" s="162" t="s">
        <v>116</v>
      </c>
      <c r="N1865" s="162" t="s">
        <v>554</v>
      </c>
      <c r="O1865" s="175">
        <v>44102.0</v>
      </c>
      <c r="P1865" s="164">
        <f t="shared" si="13"/>
        <v>44052</v>
      </c>
      <c r="Q1865" s="165">
        <f t="shared" si="2"/>
        <v>0</v>
      </c>
      <c r="R1865" s="167"/>
      <c r="S1865" s="167" t="s">
        <v>910</v>
      </c>
      <c r="T1865" s="168">
        <f t="shared" si="3"/>
        <v>44516.16</v>
      </c>
      <c r="U1865" s="168">
        <f t="shared" si="4"/>
        <v>0</v>
      </c>
      <c r="V1865" s="168">
        <f t="shared" si="5"/>
        <v>0</v>
      </c>
      <c r="W1865" s="168">
        <f t="shared" si="6"/>
        <v>0</v>
      </c>
      <c r="X1865" s="168">
        <f t="shared" si="7"/>
        <v>0</v>
      </c>
      <c r="Y1865" s="168">
        <f t="shared" si="8"/>
        <v>0</v>
      </c>
      <c r="Z1865" s="168">
        <f t="shared" si="9"/>
        <v>0</v>
      </c>
    </row>
    <row r="1866" ht="14.25" customHeight="1">
      <c r="A1866" s="157" t="s">
        <v>1991</v>
      </c>
      <c r="B1866" s="158" t="s">
        <v>29</v>
      </c>
      <c r="C1866" s="158" t="s">
        <v>1658</v>
      </c>
      <c r="D1866" s="159">
        <v>44042.0</v>
      </c>
      <c r="E1866" s="157" t="s">
        <v>731</v>
      </c>
      <c r="F1866" s="160">
        <v>19188.0</v>
      </c>
      <c r="G1866" s="160">
        <v>3070.08</v>
      </c>
      <c r="H1866" s="160">
        <f t="shared" si="49"/>
        <v>22258.08</v>
      </c>
      <c r="I1866" s="160"/>
      <c r="J1866" s="161"/>
      <c r="K1866" s="160"/>
      <c r="L1866" s="160">
        <f>+'FACP$'!$H1866-'FACP$'!$I1866-'FACP$'!$K1866</f>
        <v>22258.08</v>
      </c>
      <c r="M1866" s="162" t="s">
        <v>130</v>
      </c>
      <c r="N1866" s="162" t="s">
        <v>554</v>
      </c>
      <c r="O1866" s="175">
        <v>44075.0</v>
      </c>
      <c r="P1866" s="164">
        <f t="shared" si="13"/>
        <v>44052</v>
      </c>
      <c r="Q1866" s="165">
        <f t="shared" si="2"/>
        <v>0</v>
      </c>
      <c r="R1866" s="167"/>
      <c r="S1866" s="167"/>
      <c r="T1866" s="168">
        <f t="shared" si="3"/>
        <v>22258.08</v>
      </c>
      <c r="U1866" s="168">
        <f t="shared" si="4"/>
        <v>0</v>
      </c>
      <c r="V1866" s="168">
        <f t="shared" si="5"/>
        <v>0</v>
      </c>
      <c r="W1866" s="168">
        <f t="shared" si="6"/>
        <v>0</v>
      </c>
      <c r="X1866" s="168">
        <f t="shared" si="7"/>
        <v>0</v>
      </c>
      <c r="Y1866" s="168">
        <f t="shared" si="8"/>
        <v>0</v>
      </c>
      <c r="Z1866" s="168">
        <f t="shared" si="9"/>
        <v>0</v>
      </c>
    </row>
    <row r="1867" ht="14.25" customHeight="1">
      <c r="A1867" s="157" t="s">
        <v>1992</v>
      </c>
      <c r="B1867" s="158" t="s">
        <v>16</v>
      </c>
      <c r="C1867" s="158" t="s">
        <v>1658</v>
      </c>
      <c r="D1867" s="159">
        <v>44043.0</v>
      </c>
      <c r="E1867" s="157" t="s">
        <v>731</v>
      </c>
      <c r="F1867" s="160">
        <v>11316.0</v>
      </c>
      <c r="G1867" s="160">
        <v>1810.56</v>
      </c>
      <c r="H1867" s="160">
        <f t="shared" si="49"/>
        <v>13126.56</v>
      </c>
      <c r="I1867" s="160"/>
      <c r="J1867" s="161"/>
      <c r="K1867" s="160"/>
      <c r="L1867" s="160">
        <f>+'FACP$'!$H1867-'FACP$'!$I1867-'FACP$'!$K1867</f>
        <v>13126.56</v>
      </c>
      <c r="M1867" s="162" t="s">
        <v>985</v>
      </c>
      <c r="N1867" s="162" t="s">
        <v>554</v>
      </c>
      <c r="O1867" s="175">
        <v>44078.0</v>
      </c>
      <c r="P1867" s="164">
        <f t="shared" si="13"/>
        <v>44053</v>
      </c>
      <c r="Q1867" s="165">
        <f t="shared" si="2"/>
        <v>0</v>
      </c>
      <c r="R1867" s="167"/>
      <c r="S1867" s="167"/>
      <c r="T1867" s="168">
        <f t="shared" si="3"/>
        <v>13126.56</v>
      </c>
      <c r="U1867" s="168">
        <f t="shared" si="4"/>
        <v>0</v>
      </c>
      <c r="V1867" s="168">
        <f t="shared" si="5"/>
        <v>0</v>
      </c>
      <c r="W1867" s="168">
        <f t="shared" si="6"/>
        <v>0</v>
      </c>
      <c r="X1867" s="168">
        <f t="shared" si="7"/>
        <v>0</v>
      </c>
      <c r="Y1867" s="168">
        <f t="shared" si="8"/>
        <v>0</v>
      </c>
      <c r="Z1867" s="168">
        <f t="shared" si="9"/>
        <v>0</v>
      </c>
    </row>
    <row r="1868" ht="14.25" customHeight="1">
      <c r="A1868" s="157" t="s">
        <v>1993</v>
      </c>
      <c r="B1868" s="158" t="s">
        <v>127</v>
      </c>
      <c r="C1868" s="158"/>
      <c r="D1868" s="159"/>
      <c r="E1868" s="157"/>
      <c r="F1868" s="160"/>
      <c r="G1868" s="160"/>
      <c r="H1868" s="160">
        <f t="shared" si="49"/>
        <v>0</v>
      </c>
      <c r="I1868" s="160"/>
      <c r="J1868" s="161"/>
      <c r="K1868" s="160"/>
      <c r="L1868" s="160">
        <f>+'FACP$'!$H1868-'FACP$'!$I1868-'FACP$'!$K1868</f>
        <v>0</v>
      </c>
      <c r="M1868" s="162"/>
      <c r="N1868" s="162" t="s">
        <v>127</v>
      </c>
      <c r="O1868" s="175"/>
      <c r="P1868" s="164">
        <f t="shared" si="13"/>
        <v>10</v>
      </c>
      <c r="Q1868" s="165">
        <f t="shared" si="2"/>
        <v>0</v>
      </c>
      <c r="R1868" s="167"/>
      <c r="S1868" s="167"/>
      <c r="T1868" s="168">
        <f t="shared" si="3"/>
        <v>0</v>
      </c>
      <c r="U1868" s="168">
        <f t="shared" si="4"/>
        <v>0</v>
      </c>
      <c r="V1868" s="168">
        <f t="shared" si="5"/>
        <v>0</v>
      </c>
      <c r="W1868" s="168">
        <f t="shared" si="6"/>
        <v>0</v>
      </c>
      <c r="X1868" s="168">
        <f t="shared" si="7"/>
        <v>0</v>
      </c>
      <c r="Y1868" s="168">
        <f t="shared" si="8"/>
        <v>0</v>
      </c>
      <c r="Z1868" s="168">
        <f t="shared" si="9"/>
        <v>0</v>
      </c>
    </row>
    <row r="1869" ht="14.25" customHeight="1">
      <c r="A1869" s="157" t="s">
        <v>1994</v>
      </c>
      <c r="B1869" s="158" t="s">
        <v>43</v>
      </c>
      <c r="C1869" s="158" t="s">
        <v>1995</v>
      </c>
      <c r="D1869" s="159">
        <v>44049.0</v>
      </c>
      <c r="E1869" s="157" t="s">
        <v>731</v>
      </c>
      <c r="F1869" s="160">
        <v>245966.03</v>
      </c>
      <c r="G1869" s="160">
        <v>39354.56</v>
      </c>
      <c r="H1869" s="160">
        <f t="shared" si="49"/>
        <v>285320.59</v>
      </c>
      <c r="I1869" s="160"/>
      <c r="J1869" s="161"/>
      <c r="K1869" s="160"/>
      <c r="L1869" s="160">
        <f>+'FACP$'!$H1869-'FACP$'!$I1869-'FACP$'!$K1869</f>
        <v>285320.59</v>
      </c>
      <c r="M1869" s="162" t="s">
        <v>43</v>
      </c>
      <c r="N1869" s="162" t="s">
        <v>554</v>
      </c>
      <c r="O1869" s="175">
        <v>44064.0</v>
      </c>
      <c r="P1869" s="164">
        <f t="shared" si="13"/>
        <v>44059</v>
      </c>
      <c r="Q1869" s="165">
        <f t="shared" si="2"/>
        <v>0</v>
      </c>
      <c r="R1869" s="167"/>
      <c r="S1869" s="220" t="s">
        <v>910</v>
      </c>
      <c r="T1869" s="168">
        <f t="shared" si="3"/>
        <v>285320.59</v>
      </c>
      <c r="U1869" s="168">
        <f t="shared" si="4"/>
        <v>0</v>
      </c>
      <c r="V1869" s="168">
        <f t="shared" si="5"/>
        <v>0</v>
      </c>
      <c r="W1869" s="168">
        <f t="shared" si="6"/>
        <v>0</v>
      </c>
      <c r="X1869" s="168">
        <f t="shared" si="7"/>
        <v>0</v>
      </c>
      <c r="Y1869" s="168">
        <f t="shared" si="8"/>
        <v>0</v>
      </c>
      <c r="Z1869" s="168">
        <f t="shared" si="9"/>
        <v>0</v>
      </c>
    </row>
    <row r="1870" ht="14.25" customHeight="1">
      <c r="A1870" s="157" t="s">
        <v>1996</v>
      </c>
      <c r="B1870" s="158" t="s">
        <v>36</v>
      </c>
      <c r="C1870" s="158" t="s">
        <v>1995</v>
      </c>
      <c r="D1870" s="159">
        <v>44049.0</v>
      </c>
      <c r="E1870" s="157" t="s">
        <v>731</v>
      </c>
      <c r="F1870" s="160">
        <v>48818.8</v>
      </c>
      <c r="G1870" s="160">
        <v>7811.01</v>
      </c>
      <c r="H1870" s="160">
        <f t="shared" si="49"/>
        <v>56629.81</v>
      </c>
      <c r="I1870" s="160"/>
      <c r="J1870" s="161"/>
      <c r="K1870" s="160"/>
      <c r="L1870" s="160">
        <f>+'FACP$'!$H1870-'FACP$'!$I1870-'FACP$'!$K1870</f>
        <v>56629.81</v>
      </c>
      <c r="M1870" s="162" t="s">
        <v>278</v>
      </c>
      <c r="N1870" s="162" t="s">
        <v>554</v>
      </c>
      <c r="O1870" s="175">
        <v>44076.0</v>
      </c>
      <c r="P1870" s="164">
        <f t="shared" si="13"/>
        <v>44059</v>
      </c>
      <c r="Q1870" s="165">
        <f t="shared" si="2"/>
        <v>0</v>
      </c>
      <c r="R1870" s="167" t="s">
        <v>1997</v>
      </c>
      <c r="S1870" s="220" t="s">
        <v>910</v>
      </c>
      <c r="T1870" s="168">
        <f t="shared" si="3"/>
        <v>56629.81</v>
      </c>
      <c r="U1870" s="168">
        <f t="shared" si="4"/>
        <v>0</v>
      </c>
      <c r="V1870" s="168">
        <f t="shared" si="5"/>
        <v>0</v>
      </c>
      <c r="W1870" s="168">
        <f t="shared" si="6"/>
        <v>0</v>
      </c>
      <c r="X1870" s="168">
        <f t="shared" si="7"/>
        <v>0</v>
      </c>
      <c r="Y1870" s="168">
        <f t="shared" si="8"/>
        <v>0</v>
      </c>
      <c r="Z1870" s="168">
        <f t="shared" si="9"/>
        <v>0</v>
      </c>
    </row>
    <row r="1871" ht="14.25" customHeight="1">
      <c r="A1871" s="157" t="s">
        <v>1998</v>
      </c>
      <c r="B1871" s="158" t="s">
        <v>127</v>
      </c>
      <c r="C1871" s="158"/>
      <c r="D1871" s="159"/>
      <c r="E1871" s="157"/>
      <c r="F1871" s="160"/>
      <c r="G1871" s="160"/>
      <c r="H1871" s="160">
        <f t="shared" si="49"/>
        <v>0</v>
      </c>
      <c r="I1871" s="160"/>
      <c r="J1871" s="161"/>
      <c r="K1871" s="160"/>
      <c r="L1871" s="160">
        <f>+'FACP$'!$H1871-'FACP$'!$I1871-'FACP$'!$K1871</f>
        <v>0</v>
      </c>
      <c r="M1871" s="162"/>
      <c r="N1871" s="162" t="s">
        <v>127</v>
      </c>
      <c r="O1871" s="175"/>
      <c r="P1871" s="164">
        <f t="shared" si="13"/>
        <v>10</v>
      </c>
      <c r="Q1871" s="165">
        <f t="shared" si="2"/>
        <v>0</v>
      </c>
      <c r="R1871" s="167"/>
      <c r="S1871" s="167"/>
      <c r="T1871" s="168">
        <f t="shared" si="3"/>
        <v>0</v>
      </c>
      <c r="U1871" s="168">
        <f t="shared" si="4"/>
        <v>0</v>
      </c>
      <c r="V1871" s="168">
        <f t="shared" si="5"/>
        <v>0</v>
      </c>
      <c r="W1871" s="168">
        <f t="shared" si="6"/>
        <v>0</v>
      </c>
      <c r="X1871" s="168">
        <f t="shared" si="7"/>
        <v>0</v>
      </c>
      <c r="Y1871" s="168">
        <f t="shared" si="8"/>
        <v>0</v>
      </c>
      <c r="Z1871" s="168">
        <f t="shared" si="9"/>
        <v>0</v>
      </c>
    </row>
    <row r="1872" ht="14.25" customHeight="1">
      <c r="A1872" s="157" t="s">
        <v>1999</v>
      </c>
      <c r="B1872" s="158" t="s">
        <v>127</v>
      </c>
      <c r="C1872" s="158"/>
      <c r="D1872" s="159"/>
      <c r="E1872" s="157"/>
      <c r="F1872" s="160"/>
      <c r="G1872" s="160"/>
      <c r="H1872" s="160">
        <f t="shared" si="49"/>
        <v>0</v>
      </c>
      <c r="I1872" s="160"/>
      <c r="J1872" s="161"/>
      <c r="K1872" s="160"/>
      <c r="L1872" s="160">
        <f>+'FACP$'!$H1872-'FACP$'!$I1872-'FACP$'!$K1872</f>
        <v>0</v>
      </c>
      <c r="M1872" s="162"/>
      <c r="N1872" s="162" t="s">
        <v>127</v>
      </c>
      <c r="O1872" s="175"/>
      <c r="P1872" s="164">
        <f t="shared" si="13"/>
        <v>10</v>
      </c>
      <c r="Q1872" s="165">
        <f t="shared" si="2"/>
        <v>0</v>
      </c>
      <c r="R1872" s="167"/>
      <c r="S1872" s="167"/>
      <c r="T1872" s="168">
        <f t="shared" si="3"/>
        <v>0</v>
      </c>
      <c r="U1872" s="168">
        <f t="shared" si="4"/>
        <v>0</v>
      </c>
      <c r="V1872" s="168">
        <f t="shared" si="5"/>
        <v>0</v>
      </c>
      <c r="W1872" s="168">
        <f t="shared" si="6"/>
        <v>0</v>
      </c>
      <c r="X1872" s="168">
        <f t="shared" si="7"/>
        <v>0</v>
      </c>
      <c r="Y1872" s="168">
        <f t="shared" si="8"/>
        <v>0</v>
      </c>
      <c r="Z1872" s="168">
        <f t="shared" si="9"/>
        <v>0</v>
      </c>
    </row>
    <row r="1873" ht="14.25" customHeight="1">
      <c r="A1873" s="157" t="s">
        <v>2000</v>
      </c>
      <c r="B1873" s="158" t="s">
        <v>127</v>
      </c>
      <c r="C1873" s="158"/>
      <c r="D1873" s="159"/>
      <c r="E1873" s="157"/>
      <c r="F1873" s="160"/>
      <c r="G1873" s="160"/>
      <c r="H1873" s="160">
        <f t="shared" si="49"/>
        <v>0</v>
      </c>
      <c r="I1873" s="160"/>
      <c r="J1873" s="161"/>
      <c r="K1873" s="160"/>
      <c r="L1873" s="160">
        <f>+'FACP$'!$H1873-'FACP$'!$I1873-'FACP$'!$K1873</f>
        <v>0</v>
      </c>
      <c r="M1873" s="162"/>
      <c r="N1873" s="162" t="s">
        <v>127</v>
      </c>
      <c r="O1873" s="175"/>
      <c r="P1873" s="164">
        <f t="shared" si="13"/>
        <v>10</v>
      </c>
      <c r="Q1873" s="165">
        <f t="shared" si="2"/>
        <v>0</v>
      </c>
      <c r="R1873" s="167"/>
      <c r="S1873" s="167"/>
      <c r="T1873" s="168">
        <f t="shared" si="3"/>
        <v>0</v>
      </c>
      <c r="U1873" s="168">
        <f t="shared" si="4"/>
        <v>0</v>
      </c>
      <c r="V1873" s="168">
        <f t="shared" si="5"/>
        <v>0</v>
      </c>
      <c r="W1873" s="168">
        <f t="shared" si="6"/>
        <v>0</v>
      </c>
      <c r="X1873" s="168">
        <f t="shared" si="7"/>
        <v>0</v>
      </c>
      <c r="Y1873" s="168">
        <f t="shared" si="8"/>
        <v>0</v>
      </c>
      <c r="Z1873" s="168">
        <f t="shared" si="9"/>
        <v>0</v>
      </c>
    </row>
    <row r="1874" ht="14.25" customHeight="1">
      <c r="A1874" s="157" t="s">
        <v>2001</v>
      </c>
      <c r="B1874" s="158" t="s">
        <v>127</v>
      </c>
      <c r="C1874" s="158"/>
      <c r="D1874" s="159"/>
      <c r="E1874" s="157"/>
      <c r="F1874" s="160"/>
      <c r="G1874" s="160"/>
      <c r="H1874" s="160">
        <f t="shared" si="49"/>
        <v>0</v>
      </c>
      <c r="I1874" s="160"/>
      <c r="J1874" s="161"/>
      <c r="K1874" s="160"/>
      <c r="L1874" s="160">
        <f>+'FACP$'!$H1874-'FACP$'!$I1874-'FACP$'!$K1874</f>
        <v>0</v>
      </c>
      <c r="M1874" s="162"/>
      <c r="N1874" s="162" t="s">
        <v>127</v>
      </c>
      <c r="O1874" s="175"/>
      <c r="P1874" s="164">
        <f t="shared" si="13"/>
        <v>10</v>
      </c>
      <c r="Q1874" s="165">
        <f t="shared" si="2"/>
        <v>0</v>
      </c>
      <c r="R1874" s="167"/>
      <c r="S1874" s="167"/>
      <c r="T1874" s="168">
        <f t="shared" si="3"/>
        <v>0</v>
      </c>
      <c r="U1874" s="168">
        <f t="shared" si="4"/>
        <v>0</v>
      </c>
      <c r="V1874" s="168">
        <f t="shared" si="5"/>
        <v>0</v>
      </c>
      <c r="W1874" s="168">
        <f t="shared" si="6"/>
        <v>0</v>
      </c>
      <c r="X1874" s="168">
        <f t="shared" si="7"/>
        <v>0</v>
      </c>
      <c r="Y1874" s="168">
        <f t="shared" si="8"/>
        <v>0</v>
      </c>
      <c r="Z1874" s="168">
        <f t="shared" si="9"/>
        <v>0</v>
      </c>
    </row>
    <row r="1875" ht="14.25" customHeight="1">
      <c r="A1875" s="157" t="s">
        <v>2002</v>
      </c>
      <c r="B1875" s="158" t="s">
        <v>127</v>
      </c>
      <c r="C1875" s="158"/>
      <c r="D1875" s="159"/>
      <c r="E1875" s="157"/>
      <c r="F1875" s="160"/>
      <c r="G1875" s="160"/>
      <c r="H1875" s="160">
        <f t="shared" si="49"/>
        <v>0</v>
      </c>
      <c r="I1875" s="160"/>
      <c r="J1875" s="161"/>
      <c r="K1875" s="160"/>
      <c r="L1875" s="160">
        <f>+'FACP$'!$H1875-'FACP$'!$I1875-'FACP$'!$K1875</f>
        <v>0</v>
      </c>
      <c r="M1875" s="162"/>
      <c r="N1875" s="162" t="s">
        <v>127</v>
      </c>
      <c r="O1875" s="175"/>
      <c r="P1875" s="164">
        <f t="shared" si="13"/>
        <v>10</v>
      </c>
      <c r="Q1875" s="165">
        <f t="shared" si="2"/>
        <v>0</v>
      </c>
      <c r="R1875" s="167"/>
      <c r="S1875" s="167"/>
      <c r="T1875" s="168">
        <f t="shared" si="3"/>
        <v>0</v>
      </c>
      <c r="U1875" s="168">
        <f t="shared" si="4"/>
        <v>0</v>
      </c>
      <c r="V1875" s="168">
        <f t="shared" si="5"/>
        <v>0</v>
      </c>
      <c r="W1875" s="168">
        <f t="shared" si="6"/>
        <v>0</v>
      </c>
      <c r="X1875" s="168">
        <f t="shared" si="7"/>
        <v>0</v>
      </c>
      <c r="Y1875" s="168">
        <f t="shared" si="8"/>
        <v>0</v>
      </c>
      <c r="Z1875" s="168">
        <f t="shared" si="9"/>
        <v>0</v>
      </c>
    </row>
    <row r="1876" ht="14.25" customHeight="1">
      <c r="A1876" s="157" t="s">
        <v>2003</v>
      </c>
      <c r="B1876" s="158" t="s">
        <v>27</v>
      </c>
      <c r="C1876" s="158" t="s">
        <v>2004</v>
      </c>
      <c r="D1876" s="159">
        <v>44053.0</v>
      </c>
      <c r="E1876" s="157" t="s">
        <v>731</v>
      </c>
      <c r="F1876" s="160">
        <v>114237.63</v>
      </c>
      <c r="G1876" s="160">
        <v>18278.02</v>
      </c>
      <c r="H1876" s="160">
        <f t="shared" si="49"/>
        <v>132515.65</v>
      </c>
      <c r="I1876" s="160"/>
      <c r="J1876" s="161"/>
      <c r="K1876" s="160"/>
      <c r="L1876" s="160">
        <f>+'FACP$'!$H1876-'FACP$'!$I1876-'FACP$'!$K1876</f>
        <v>132515.65</v>
      </c>
      <c r="M1876" s="162" t="s">
        <v>969</v>
      </c>
      <c r="N1876" s="162" t="s">
        <v>554</v>
      </c>
      <c r="O1876" s="175">
        <v>44091.0</v>
      </c>
      <c r="P1876" s="164">
        <f t="shared" si="13"/>
        <v>44063</v>
      </c>
      <c r="Q1876" s="165">
        <f t="shared" si="2"/>
        <v>0</v>
      </c>
      <c r="R1876" s="167"/>
      <c r="S1876" s="167" t="s">
        <v>910</v>
      </c>
      <c r="T1876" s="168">
        <f t="shared" si="3"/>
        <v>132515.65</v>
      </c>
      <c r="U1876" s="168">
        <f t="shared" si="4"/>
        <v>0</v>
      </c>
      <c r="V1876" s="168">
        <f t="shared" si="5"/>
        <v>0</v>
      </c>
      <c r="W1876" s="168">
        <f t="shared" si="6"/>
        <v>0</v>
      </c>
      <c r="X1876" s="168">
        <f t="shared" si="7"/>
        <v>0</v>
      </c>
      <c r="Y1876" s="168">
        <f t="shared" si="8"/>
        <v>0</v>
      </c>
      <c r="Z1876" s="168">
        <f t="shared" si="9"/>
        <v>0</v>
      </c>
    </row>
    <row r="1877" ht="14.25" customHeight="1">
      <c r="A1877" s="157" t="s">
        <v>2005</v>
      </c>
      <c r="B1877" s="158" t="s">
        <v>27</v>
      </c>
      <c r="C1877" s="158" t="s">
        <v>2006</v>
      </c>
      <c r="D1877" s="159">
        <v>44053.0</v>
      </c>
      <c r="E1877" s="157" t="s">
        <v>731</v>
      </c>
      <c r="F1877" s="160">
        <v>107089.06</v>
      </c>
      <c r="G1877" s="160">
        <v>17134.25</v>
      </c>
      <c r="H1877" s="160">
        <f t="shared" si="49"/>
        <v>124223.31</v>
      </c>
      <c r="I1877" s="160"/>
      <c r="J1877" s="161"/>
      <c r="K1877" s="160"/>
      <c r="L1877" s="160">
        <f>+'FACP$'!$H1877-'FACP$'!$I1877-'FACP$'!$K1877</f>
        <v>124223.31</v>
      </c>
      <c r="M1877" s="162" t="s">
        <v>969</v>
      </c>
      <c r="N1877" s="162" t="s">
        <v>127</v>
      </c>
      <c r="O1877" s="175"/>
      <c r="P1877" s="164">
        <f t="shared" si="13"/>
        <v>44063</v>
      </c>
      <c r="Q1877" s="165">
        <f t="shared" si="2"/>
        <v>0</v>
      </c>
      <c r="R1877" s="167"/>
      <c r="S1877" s="167"/>
      <c r="T1877" s="168">
        <f t="shared" si="3"/>
        <v>124223.31</v>
      </c>
      <c r="U1877" s="168">
        <f t="shared" si="4"/>
        <v>0</v>
      </c>
      <c r="V1877" s="168">
        <f t="shared" si="5"/>
        <v>0</v>
      </c>
      <c r="W1877" s="168">
        <f t="shared" si="6"/>
        <v>0</v>
      </c>
      <c r="X1877" s="168">
        <f t="shared" si="7"/>
        <v>0</v>
      </c>
      <c r="Y1877" s="168">
        <f t="shared" si="8"/>
        <v>0</v>
      </c>
      <c r="Z1877" s="168">
        <f t="shared" si="9"/>
        <v>0</v>
      </c>
    </row>
    <row r="1878" ht="14.25" customHeight="1">
      <c r="A1878" s="157" t="s">
        <v>2007</v>
      </c>
      <c r="B1878" s="158" t="s">
        <v>27</v>
      </c>
      <c r="C1878" s="158" t="s">
        <v>2008</v>
      </c>
      <c r="D1878" s="159">
        <v>44053.0</v>
      </c>
      <c r="E1878" s="157" t="s">
        <v>731</v>
      </c>
      <c r="F1878" s="160">
        <v>23031.26</v>
      </c>
      <c r="G1878" s="160">
        <v>3685.0</v>
      </c>
      <c r="H1878" s="160">
        <f t="shared" si="49"/>
        <v>26716.26</v>
      </c>
      <c r="I1878" s="160"/>
      <c r="J1878" s="161"/>
      <c r="K1878" s="160"/>
      <c r="L1878" s="160">
        <f>+'FACP$'!$H1878-'FACP$'!$I1878-'FACP$'!$K1878</f>
        <v>26716.26</v>
      </c>
      <c r="M1878" s="162" t="s">
        <v>969</v>
      </c>
      <c r="N1878" s="162" t="s">
        <v>554</v>
      </c>
      <c r="O1878" s="175">
        <v>44091.0</v>
      </c>
      <c r="P1878" s="164">
        <f t="shared" si="13"/>
        <v>44063</v>
      </c>
      <c r="Q1878" s="165">
        <f t="shared" si="2"/>
        <v>0</v>
      </c>
      <c r="R1878" s="167"/>
      <c r="S1878" s="167" t="s">
        <v>910</v>
      </c>
      <c r="T1878" s="168">
        <f t="shared" si="3"/>
        <v>26716.26</v>
      </c>
      <c r="U1878" s="168">
        <f t="shared" si="4"/>
        <v>0</v>
      </c>
      <c r="V1878" s="168">
        <f t="shared" si="5"/>
        <v>0</v>
      </c>
      <c r="W1878" s="168">
        <f t="shared" si="6"/>
        <v>0</v>
      </c>
      <c r="X1878" s="168">
        <f t="shared" si="7"/>
        <v>0</v>
      </c>
      <c r="Y1878" s="168">
        <f t="shared" si="8"/>
        <v>0</v>
      </c>
      <c r="Z1878" s="168">
        <f t="shared" si="9"/>
        <v>0</v>
      </c>
    </row>
    <row r="1879" ht="14.25" customHeight="1">
      <c r="A1879" s="157" t="s">
        <v>2009</v>
      </c>
      <c r="B1879" s="158" t="s">
        <v>27</v>
      </c>
      <c r="C1879" s="158" t="s">
        <v>2010</v>
      </c>
      <c r="D1879" s="159">
        <v>44053.0</v>
      </c>
      <c r="E1879" s="157" t="s">
        <v>731</v>
      </c>
      <c r="F1879" s="160">
        <v>21590.05</v>
      </c>
      <c r="G1879" s="168">
        <v>3454.41</v>
      </c>
      <c r="H1879" s="160">
        <f t="shared" si="49"/>
        <v>25044.46</v>
      </c>
      <c r="I1879" s="160"/>
      <c r="J1879" s="161"/>
      <c r="K1879" s="160"/>
      <c r="L1879" s="160">
        <f>+'FACP$'!$H1879-'FACP$'!$I1879-'FACP$'!$K1879</f>
        <v>25044.46</v>
      </c>
      <c r="M1879" s="162" t="s">
        <v>969</v>
      </c>
      <c r="N1879" s="162" t="s">
        <v>554</v>
      </c>
      <c r="O1879" s="175">
        <v>44091.0</v>
      </c>
      <c r="P1879" s="164">
        <f t="shared" si="13"/>
        <v>44063</v>
      </c>
      <c r="Q1879" s="165">
        <f t="shared" si="2"/>
        <v>0</v>
      </c>
      <c r="R1879" s="167"/>
      <c r="S1879" s="167" t="s">
        <v>910</v>
      </c>
      <c r="T1879" s="168">
        <f t="shared" si="3"/>
        <v>25044.46</v>
      </c>
      <c r="U1879" s="168">
        <f t="shared" si="4"/>
        <v>0</v>
      </c>
      <c r="V1879" s="168">
        <f t="shared" si="5"/>
        <v>0</v>
      </c>
      <c r="W1879" s="168">
        <f t="shared" si="6"/>
        <v>0</v>
      </c>
      <c r="X1879" s="168">
        <f t="shared" si="7"/>
        <v>0</v>
      </c>
      <c r="Y1879" s="168">
        <f t="shared" si="8"/>
        <v>0</v>
      </c>
      <c r="Z1879" s="168">
        <f t="shared" si="9"/>
        <v>0</v>
      </c>
    </row>
    <row r="1880" ht="14.25" customHeight="1">
      <c r="A1880" s="157" t="s">
        <v>2011</v>
      </c>
      <c r="B1880" s="158" t="s">
        <v>27</v>
      </c>
      <c r="C1880" s="158" t="s">
        <v>2004</v>
      </c>
      <c r="D1880" s="159">
        <v>44053.0</v>
      </c>
      <c r="E1880" s="157" t="s">
        <v>731</v>
      </c>
      <c r="F1880" s="160">
        <v>312134.81</v>
      </c>
      <c r="G1880" s="160">
        <v>49941.57</v>
      </c>
      <c r="H1880" s="160">
        <f t="shared" si="49"/>
        <v>362076.38</v>
      </c>
      <c r="I1880" s="160"/>
      <c r="J1880" s="161"/>
      <c r="K1880" s="160"/>
      <c r="L1880" s="160">
        <f>+'FACP$'!$H1880-'FACP$'!$I1880-'FACP$'!$K1880</f>
        <v>362076.38</v>
      </c>
      <c r="M1880" s="162" t="s">
        <v>1644</v>
      </c>
      <c r="N1880" s="162" t="s">
        <v>554</v>
      </c>
      <c r="O1880" s="175">
        <v>44097.0</v>
      </c>
      <c r="P1880" s="164">
        <f t="shared" si="13"/>
        <v>44063</v>
      </c>
      <c r="Q1880" s="165">
        <f t="shared" si="2"/>
        <v>0</v>
      </c>
      <c r="R1880" s="167"/>
      <c r="S1880" s="167" t="s">
        <v>910</v>
      </c>
      <c r="T1880" s="168">
        <f t="shared" si="3"/>
        <v>362076.38</v>
      </c>
      <c r="U1880" s="168">
        <f t="shared" si="4"/>
        <v>0</v>
      </c>
      <c r="V1880" s="168">
        <f t="shared" si="5"/>
        <v>0</v>
      </c>
      <c r="W1880" s="168">
        <f t="shared" si="6"/>
        <v>0</v>
      </c>
      <c r="X1880" s="168">
        <f t="shared" si="7"/>
        <v>0</v>
      </c>
      <c r="Y1880" s="168">
        <f t="shared" si="8"/>
        <v>0</v>
      </c>
      <c r="Z1880" s="168">
        <f t="shared" si="9"/>
        <v>0</v>
      </c>
    </row>
    <row r="1881" ht="14.25" customHeight="1">
      <c r="A1881" s="157" t="s">
        <v>2012</v>
      </c>
      <c r="B1881" s="158" t="s">
        <v>27</v>
      </c>
      <c r="C1881" s="158" t="s">
        <v>2006</v>
      </c>
      <c r="D1881" s="159">
        <v>44053.0</v>
      </c>
      <c r="E1881" s="157" t="s">
        <v>731</v>
      </c>
      <c r="F1881" s="160">
        <v>363311.04</v>
      </c>
      <c r="G1881" s="160">
        <v>58129.77</v>
      </c>
      <c r="H1881" s="160">
        <f t="shared" si="49"/>
        <v>421440.81</v>
      </c>
      <c r="I1881" s="160"/>
      <c r="J1881" s="161"/>
      <c r="K1881" s="160"/>
      <c r="L1881" s="160">
        <f>+'FACP$'!$H1881-'FACP$'!$I1881-'FACP$'!$K1881</f>
        <v>421440.81</v>
      </c>
      <c r="M1881" s="162" t="s">
        <v>1644</v>
      </c>
      <c r="N1881" s="162" t="s">
        <v>127</v>
      </c>
      <c r="O1881" s="175"/>
      <c r="P1881" s="164">
        <f t="shared" si="13"/>
        <v>44063</v>
      </c>
      <c r="Q1881" s="165">
        <f t="shared" si="2"/>
        <v>0</v>
      </c>
      <c r="R1881" s="167"/>
      <c r="S1881" s="167"/>
      <c r="T1881" s="168">
        <f t="shared" si="3"/>
        <v>421440.81</v>
      </c>
      <c r="U1881" s="168">
        <f t="shared" si="4"/>
        <v>0</v>
      </c>
      <c r="V1881" s="168">
        <f t="shared" si="5"/>
        <v>0</v>
      </c>
      <c r="W1881" s="168">
        <f t="shared" si="6"/>
        <v>0</v>
      </c>
      <c r="X1881" s="168">
        <f t="shared" si="7"/>
        <v>0</v>
      </c>
      <c r="Y1881" s="168">
        <f t="shared" si="8"/>
        <v>0</v>
      </c>
      <c r="Z1881" s="168">
        <f t="shared" si="9"/>
        <v>0</v>
      </c>
    </row>
    <row r="1882" ht="14.25" customHeight="1">
      <c r="A1882" s="157" t="s">
        <v>2013</v>
      </c>
      <c r="B1882" s="158" t="s">
        <v>27</v>
      </c>
      <c r="C1882" s="158" t="s">
        <v>2004</v>
      </c>
      <c r="D1882" s="159">
        <v>44053.0</v>
      </c>
      <c r="E1882" s="157" t="s">
        <v>731</v>
      </c>
      <c r="F1882" s="160">
        <v>113251.9</v>
      </c>
      <c r="G1882" s="160">
        <v>18120.3</v>
      </c>
      <c r="H1882" s="160">
        <f t="shared" si="49"/>
        <v>131372.2</v>
      </c>
      <c r="I1882" s="160"/>
      <c r="J1882" s="161"/>
      <c r="K1882" s="160"/>
      <c r="L1882" s="160">
        <f>+'FACP$'!$H1882-'FACP$'!$I1882-'FACP$'!$K1882</f>
        <v>131372.2</v>
      </c>
      <c r="M1882" s="162" t="s">
        <v>1721</v>
      </c>
      <c r="N1882" s="162" t="s">
        <v>554</v>
      </c>
      <c r="O1882" s="175">
        <v>44111.0</v>
      </c>
      <c r="P1882" s="164">
        <f t="shared" si="13"/>
        <v>44063</v>
      </c>
      <c r="Q1882" s="165">
        <f t="shared" si="2"/>
        <v>0</v>
      </c>
      <c r="R1882" s="167"/>
      <c r="S1882" s="167" t="s">
        <v>910</v>
      </c>
      <c r="T1882" s="168">
        <f t="shared" si="3"/>
        <v>131372.2</v>
      </c>
      <c r="U1882" s="168">
        <f t="shared" si="4"/>
        <v>0</v>
      </c>
      <c r="V1882" s="168">
        <f t="shared" si="5"/>
        <v>0</v>
      </c>
      <c r="W1882" s="168">
        <f t="shared" si="6"/>
        <v>0</v>
      </c>
      <c r="X1882" s="168">
        <f t="shared" si="7"/>
        <v>0</v>
      </c>
      <c r="Y1882" s="168">
        <f t="shared" si="8"/>
        <v>0</v>
      </c>
      <c r="Z1882" s="168">
        <f t="shared" si="9"/>
        <v>0</v>
      </c>
    </row>
    <row r="1883" ht="14.25" customHeight="1">
      <c r="A1883" s="157" t="s">
        <v>2014</v>
      </c>
      <c r="B1883" s="158" t="s">
        <v>27</v>
      </c>
      <c r="C1883" s="158" t="s">
        <v>2015</v>
      </c>
      <c r="D1883" s="159">
        <v>44053.0</v>
      </c>
      <c r="E1883" s="157" t="s">
        <v>731</v>
      </c>
      <c r="F1883" s="160">
        <v>134503.1</v>
      </c>
      <c r="G1883" s="160">
        <v>21520.5</v>
      </c>
      <c r="H1883" s="160">
        <f t="shared" si="49"/>
        <v>156023.6</v>
      </c>
      <c r="I1883" s="160"/>
      <c r="J1883" s="161"/>
      <c r="K1883" s="160"/>
      <c r="L1883" s="160">
        <f>+'FACP$'!$H1883-'FACP$'!$I1883-'FACP$'!$K1883</f>
        <v>156023.6</v>
      </c>
      <c r="M1883" s="162" t="s">
        <v>1721</v>
      </c>
      <c r="N1883" s="162" t="s">
        <v>127</v>
      </c>
      <c r="O1883" s="175"/>
      <c r="P1883" s="164">
        <f t="shared" si="13"/>
        <v>44063</v>
      </c>
      <c r="Q1883" s="165">
        <f t="shared" si="2"/>
        <v>0</v>
      </c>
      <c r="R1883" s="167"/>
      <c r="S1883" s="167"/>
      <c r="T1883" s="168">
        <f t="shared" si="3"/>
        <v>156023.6</v>
      </c>
      <c r="U1883" s="168">
        <f t="shared" si="4"/>
        <v>0</v>
      </c>
      <c r="V1883" s="168">
        <f t="shared" si="5"/>
        <v>0</v>
      </c>
      <c r="W1883" s="168">
        <f t="shared" si="6"/>
        <v>0</v>
      </c>
      <c r="X1883" s="168">
        <f t="shared" si="7"/>
        <v>0</v>
      </c>
      <c r="Y1883" s="168">
        <f t="shared" si="8"/>
        <v>0</v>
      </c>
      <c r="Z1883" s="168">
        <f t="shared" si="9"/>
        <v>0</v>
      </c>
    </row>
    <row r="1884" ht="14.25" customHeight="1">
      <c r="A1884" s="157" t="s">
        <v>2016</v>
      </c>
      <c r="B1884" s="158" t="s">
        <v>27</v>
      </c>
      <c r="C1884" s="158" t="s">
        <v>1938</v>
      </c>
      <c r="D1884" s="159">
        <v>44060.0</v>
      </c>
      <c r="E1884" s="157" t="s">
        <v>731</v>
      </c>
      <c r="F1884" s="160">
        <v>325561.47</v>
      </c>
      <c r="G1884" s="160">
        <v>52089.84</v>
      </c>
      <c r="H1884" s="160">
        <f t="shared" si="49"/>
        <v>377651.31</v>
      </c>
      <c r="I1884" s="160"/>
      <c r="J1884" s="161"/>
      <c r="K1884" s="160"/>
      <c r="L1884" s="160">
        <f>+'FACP$'!$H1884-'FACP$'!$I1884-'FACP$'!$K1884</f>
        <v>377651.31</v>
      </c>
      <c r="M1884" s="162" t="s">
        <v>1644</v>
      </c>
      <c r="N1884" s="162" t="s">
        <v>554</v>
      </c>
      <c r="O1884" s="175">
        <v>44097.0</v>
      </c>
      <c r="P1884" s="164">
        <f t="shared" si="13"/>
        <v>44070</v>
      </c>
      <c r="Q1884" s="165">
        <f t="shared" si="2"/>
        <v>0</v>
      </c>
      <c r="R1884" s="167"/>
      <c r="S1884" s="167" t="s">
        <v>910</v>
      </c>
      <c r="T1884" s="168">
        <f t="shared" si="3"/>
        <v>377651.31</v>
      </c>
      <c r="U1884" s="168">
        <f t="shared" si="4"/>
        <v>0</v>
      </c>
      <c r="V1884" s="168">
        <f t="shared" si="5"/>
        <v>0</v>
      </c>
      <c r="W1884" s="168">
        <f t="shared" si="6"/>
        <v>0</v>
      </c>
      <c r="X1884" s="168">
        <f t="shared" si="7"/>
        <v>0</v>
      </c>
      <c r="Y1884" s="168">
        <f t="shared" si="8"/>
        <v>0</v>
      </c>
      <c r="Z1884" s="168">
        <f t="shared" si="9"/>
        <v>0</v>
      </c>
    </row>
    <row r="1885" ht="14.25" customHeight="1">
      <c r="A1885" s="157" t="s">
        <v>2017</v>
      </c>
      <c r="B1885" s="158" t="s">
        <v>27</v>
      </c>
      <c r="C1885" s="158" t="s">
        <v>1938</v>
      </c>
      <c r="D1885" s="159">
        <v>44060.0</v>
      </c>
      <c r="E1885" s="157" t="s">
        <v>731</v>
      </c>
      <c r="F1885" s="160">
        <v>481793.52</v>
      </c>
      <c r="G1885" s="160">
        <v>77086.96</v>
      </c>
      <c r="H1885" s="160">
        <f t="shared" si="49"/>
        <v>558880.48</v>
      </c>
      <c r="I1885" s="160"/>
      <c r="J1885" s="161"/>
      <c r="K1885" s="160"/>
      <c r="L1885" s="160">
        <f>+'FACP$'!$H1885-'FACP$'!$I1885-'FACP$'!$K1885</f>
        <v>558880.48</v>
      </c>
      <c r="M1885" s="162" t="s">
        <v>969</v>
      </c>
      <c r="N1885" s="162" t="s">
        <v>554</v>
      </c>
      <c r="O1885" s="175">
        <v>44105.0</v>
      </c>
      <c r="P1885" s="164">
        <f t="shared" si="13"/>
        <v>44070</v>
      </c>
      <c r="Q1885" s="165">
        <f t="shared" si="2"/>
        <v>0</v>
      </c>
      <c r="R1885" s="167"/>
      <c r="S1885" s="167" t="s">
        <v>910</v>
      </c>
      <c r="T1885" s="168">
        <f t="shared" si="3"/>
        <v>558880.48</v>
      </c>
      <c r="U1885" s="168">
        <f t="shared" si="4"/>
        <v>0</v>
      </c>
      <c r="V1885" s="168">
        <f t="shared" si="5"/>
        <v>0</v>
      </c>
      <c r="W1885" s="168">
        <f t="shared" si="6"/>
        <v>0</v>
      </c>
      <c r="X1885" s="168">
        <f t="shared" si="7"/>
        <v>0</v>
      </c>
      <c r="Y1885" s="168">
        <f t="shared" si="8"/>
        <v>0</v>
      </c>
      <c r="Z1885" s="168">
        <f t="shared" si="9"/>
        <v>0</v>
      </c>
    </row>
    <row r="1886" ht="14.25" customHeight="1">
      <c r="A1886" s="157" t="s">
        <v>2018</v>
      </c>
      <c r="B1886" s="158" t="s">
        <v>27</v>
      </c>
      <c r="C1886" s="158" t="s">
        <v>1938</v>
      </c>
      <c r="D1886" s="159">
        <v>44060.0</v>
      </c>
      <c r="E1886" s="157" t="s">
        <v>731</v>
      </c>
      <c r="F1886" s="160">
        <v>98329.29</v>
      </c>
      <c r="G1886" s="160">
        <v>15732.69</v>
      </c>
      <c r="H1886" s="160">
        <f t="shared" si="49"/>
        <v>114061.98</v>
      </c>
      <c r="I1886" s="160"/>
      <c r="J1886" s="161"/>
      <c r="K1886" s="160"/>
      <c r="L1886" s="160">
        <f>+'FACP$'!$H1886-'FACP$'!$I1886-'FACP$'!$K1886</f>
        <v>114061.98</v>
      </c>
      <c r="M1886" s="162" t="s">
        <v>1721</v>
      </c>
      <c r="N1886" s="162" t="s">
        <v>554</v>
      </c>
      <c r="O1886" s="175">
        <v>44111.0</v>
      </c>
      <c r="P1886" s="164">
        <f t="shared" si="13"/>
        <v>44070</v>
      </c>
      <c r="Q1886" s="165">
        <f t="shared" si="2"/>
        <v>0</v>
      </c>
      <c r="R1886" s="167"/>
      <c r="S1886" s="167" t="s">
        <v>910</v>
      </c>
      <c r="T1886" s="168">
        <f t="shared" si="3"/>
        <v>114061.98</v>
      </c>
      <c r="U1886" s="168">
        <f t="shared" si="4"/>
        <v>0</v>
      </c>
      <c r="V1886" s="168">
        <f t="shared" si="5"/>
        <v>0</v>
      </c>
      <c r="W1886" s="168">
        <f t="shared" si="6"/>
        <v>0</v>
      </c>
      <c r="X1886" s="168">
        <f t="shared" si="7"/>
        <v>0</v>
      </c>
      <c r="Y1886" s="168">
        <f t="shared" si="8"/>
        <v>0</v>
      </c>
      <c r="Z1886" s="168">
        <f t="shared" si="9"/>
        <v>0</v>
      </c>
    </row>
    <row r="1887" ht="14.25" customHeight="1">
      <c r="A1887" s="157" t="s">
        <v>2019</v>
      </c>
      <c r="B1887" s="158" t="s">
        <v>27</v>
      </c>
      <c r="C1887" s="158" t="s">
        <v>2015</v>
      </c>
      <c r="D1887" s="159">
        <v>44060.0</v>
      </c>
      <c r="E1887" s="157" t="s">
        <v>731</v>
      </c>
      <c r="F1887" s="160">
        <v>107089.06</v>
      </c>
      <c r="G1887" s="160">
        <v>17134.25</v>
      </c>
      <c r="H1887" s="160">
        <f t="shared" si="49"/>
        <v>124223.31</v>
      </c>
      <c r="I1887" s="160"/>
      <c r="J1887" s="161"/>
      <c r="K1887" s="160"/>
      <c r="L1887" s="160">
        <f>+'FACP$'!$H1887-'FACP$'!$I1887-'FACP$'!$K1887</f>
        <v>124223.31</v>
      </c>
      <c r="M1887" s="162" t="s">
        <v>969</v>
      </c>
      <c r="N1887" s="162" t="s">
        <v>554</v>
      </c>
      <c r="O1887" s="175">
        <v>44111.0</v>
      </c>
      <c r="P1887" s="164">
        <f t="shared" si="13"/>
        <v>44070</v>
      </c>
      <c r="Q1887" s="165">
        <f t="shared" si="2"/>
        <v>0</v>
      </c>
      <c r="R1887" s="167"/>
      <c r="S1887" s="167" t="s">
        <v>910</v>
      </c>
      <c r="T1887" s="168">
        <f t="shared" si="3"/>
        <v>124223.31</v>
      </c>
      <c r="U1887" s="168">
        <f t="shared" si="4"/>
        <v>0</v>
      </c>
      <c r="V1887" s="168">
        <f t="shared" si="5"/>
        <v>0</v>
      </c>
      <c r="W1887" s="168">
        <f t="shared" si="6"/>
        <v>0</v>
      </c>
      <c r="X1887" s="168">
        <f t="shared" si="7"/>
        <v>0</v>
      </c>
      <c r="Y1887" s="168">
        <f t="shared" si="8"/>
        <v>0</v>
      </c>
      <c r="Z1887" s="168">
        <f t="shared" si="9"/>
        <v>0</v>
      </c>
    </row>
    <row r="1888" ht="14.25" customHeight="1">
      <c r="A1888" s="157" t="s">
        <v>2020</v>
      </c>
      <c r="B1888" s="158" t="s">
        <v>27</v>
      </c>
      <c r="C1888" s="158" t="s">
        <v>2015</v>
      </c>
      <c r="D1888" s="159">
        <v>44060.0</v>
      </c>
      <c r="E1888" s="157" t="s">
        <v>731</v>
      </c>
      <c r="F1888" s="160">
        <v>363311.04</v>
      </c>
      <c r="G1888" s="160">
        <v>58129.77</v>
      </c>
      <c r="H1888" s="160">
        <f t="shared" si="49"/>
        <v>421440.81</v>
      </c>
      <c r="I1888" s="160"/>
      <c r="J1888" s="161"/>
      <c r="K1888" s="160"/>
      <c r="L1888" s="160">
        <f>+'FACP$'!$H1888-'FACP$'!$I1888-'FACP$'!$K1888</f>
        <v>421440.81</v>
      </c>
      <c r="M1888" s="162" t="s">
        <v>1644</v>
      </c>
      <c r="N1888" s="162" t="s">
        <v>554</v>
      </c>
      <c r="O1888" s="175">
        <v>44117.0</v>
      </c>
      <c r="P1888" s="164">
        <f t="shared" si="13"/>
        <v>44070</v>
      </c>
      <c r="Q1888" s="165">
        <f t="shared" si="2"/>
        <v>0</v>
      </c>
      <c r="R1888" s="167"/>
      <c r="S1888" s="167" t="s">
        <v>910</v>
      </c>
      <c r="T1888" s="168">
        <f t="shared" si="3"/>
        <v>421440.81</v>
      </c>
      <c r="U1888" s="168">
        <f t="shared" si="4"/>
        <v>0</v>
      </c>
      <c r="V1888" s="168">
        <f t="shared" si="5"/>
        <v>0</v>
      </c>
      <c r="W1888" s="168">
        <f t="shared" si="6"/>
        <v>0</v>
      </c>
      <c r="X1888" s="168">
        <f t="shared" si="7"/>
        <v>0</v>
      </c>
      <c r="Y1888" s="168">
        <f t="shared" si="8"/>
        <v>0</v>
      </c>
      <c r="Z1888" s="168">
        <f t="shared" si="9"/>
        <v>0</v>
      </c>
    </row>
    <row r="1889" ht="14.25" customHeight="1">
      <c r="A1889" s="157" t="s">
        <v>2021</v>
      </c>
      <c r="B1889" s="158" t="s">
        <v>27</v>
      </c>
      <c r="C1889" s="158" t="s">
        <v>2015</v>
      </c>
      <c r="D1889" s="159">
        <v>44060.0</v>
      </c>
      <c r="E1889" s="157" t="s">
        <v>731</v>
      </c>
      <c r="F1889" s="160">
        <v>134503.1</v>
      </c>
      <c r="G1889" s="160">
        <v>21520.5</v>
      </c>
      <c r="H1889" s="160">
        <f t="shared" si="49"/>
        <v>156023.6</v>
      </c>
      <c r="I1889" s="160"/>
      <c r="J1889" s="161"/>
      <c r="K1889" s="160"/>
      <c r="L1889" s="160">
        <f>+'FACP$'!$H1889-'FACP$'!$I1889-'FACP$'!$K1889</f>
        <v>156023.6</v>
      </c>
      <c r="M1889" s="162" t="s">
        <v>1721</v>
      </c>
      <c r="N1889" s="162" t="s">
        <v>554</v>
      </c>
      <c r="O1889" s="175">
        <v>44126.0</v>
      </c>
      <c r="P1889" s="164">
        <f t="shared" si="13"/>
        <v>44070</v>
      </c>
      <c r="Q1889" s="165">
        <f t="shared" si="2"/>
        <v>0</v>
      </c>
      <c r="R1889" s="167"/>
      <c r="S1889" s="167" t="s">
        <v>910</v>
      </c>
      <c r="T1889" s="168">
        <f t="shared" si="3"/>
        <v>156023.6</v>
      </c>
      <c r="U1889" s="168">
        <f t="shared" si="4"/>
        <v>0</v>
      </c>
      <c r="V1889" s="168">
        <f t="shared" si="5"/>
        <v>0</v>
      </c>
      <c r="W1889" s="168">
        <f t="shared" si="6"/>
        <v>0</v>
      </c>
      <c r="X1889" s="168">
        <f t="shared" si="7"/>
        <v>0</v>
      </c>
      <c r="Y1889" s="168">
        <f t="shared" si="8"/>
        <v>0</v>
      </c>
      <c r="Z1889" s="168">
        <f t="shared" si="9"/>
        <v>0</v>
      </c>
    </row>
    <row r="1890" ht="14.25" customHeight="1">
      <c r="A1890" s="157" t="s">
        <v>2022</v>
      </c>
      <c r="B1890" s="158" t="s">
        <v>16</v>
      </c>
      <c r="C1890" s="158" t="s">
        <v>2023</v>
      </c>
      <c r="D1890" s="159">
        <v>44061.0</v>
      </c>
      <c r="E1890" s="157" t="s">
        <v>731</v>
      </c>
      <c r="F1890" s="160">
        <v>443066.62</v>
      </c>
      <c r="G1890" s="160">
        <v>70890.66</v>
      </c>
      <c r="H1890" s="160">
        <f t="shared" si="49"/>
        <v>513957.28</v>
      </c>
      <c r="I1890" s="160"/>
      <c r="J1890" s="161"/>
      <c r="K1890" s="160"/>
      <c r="L1890" s="160">
        <f>+'FACP$'!$H1890-'FACP$'!$I1890-'FACP$'!$K1890</f>
        <v>513957.28</v>
      </c>
      <c r="M1890" s="162" t="s">
        <v>985</v>
      </c>
      <c r="N1890" s="162" t="s">
        <v>554</v>
      </c>
      <c r="O1890" s="175">
        <v>44078.0</v>
      </c>
      <c r="P1890" s="164">
        <f t="shared" si="13"/>
        <v>44071</v>
      </c>
      <c r="Q1890" s="165">
        <f t="shared" si="2"/>
        <v>0</v>
      </c>
      <c r="R1890" s="167" t="s">
        <v>2024</v>
      </c>
      <c r="S1890" s="167"/>
      <c r="T1890" s="168">
        <f t="shared" si="3"/>
        <v>513957.28</v>
      </c>
      <c r="U1890" s="168">
        <f t="shared" si="4"/>
        <v>0</v>
      </c>
      <c r="V1890" s="168">
        <f t="shared" si="5"/>
        <v>0</v>
      </c>
      <c r="W1890" s="168">
        <f t="shared" si="6"/>
        <v>0</v>
      </c>
      <c r="X1890" s="168">
        <f t="shared" si="7"/>
        <v>0</v>
      </c>
      <c r="Y1890" s="168">
        <f t="shared" si="8"/>
        <v>0</v>
      </c>
      <c r="Z1890" s="168">
        <f t="shared" si="9"/>
        <v>0</v>
      </c>
    </row>
    <row r="1891" ht="14.25" customHeight="1">
      <c r="A1891" s="157" t="s">
        <v>2025</v>
      </c>
      <c r="B1891" s="158" t="s">
        <v>29</v>
      </c>
      <c r="C1891" s="158" t="s">
        <v>2023</v>
      </c>
      <c r="D1891" s="159">
        <v>44061.0</v>
      </c>
      <c r="E1891" s="157" t="s">
        <v>731</v>
      </c>
      <c r="F1891" s="160">
        <v>328387.53</v>
      </c>
      <c r="G1891" s="160">
        <v>52542.0</v>
      </c>
      <c r="H1891" s="160">
        <f t="shared" si="49"/>
        <v>380929.53</v>
      </c>
      <c r="I1891" s="160"/>
      <c r="J1891" s="161"/>
      <c r="K1891" s="160"/>
      <c r="L1891" s="160">
        <f>+'FACP$'!$H1891-'FACP$'!$I1891-'FACP$'!$K1891</f>
        <v>380929.53</v>
      </c>
      <c r="M1891" s="162" t="s">
        <v>130</v>
      </c>
      <c r="N1891" s="162" t="s">
        <v>554</v>
      </c>
      <c r="O1891" s="175">
        <v>44161.0</v>
      </c>
      <c r="P1891" s="164">
        <f t="shared" si="13"/>
        <v>44071</v>
      </c>
      <c r="Q1891" s="165">
        <f t="shared" si="2"/>
        <v>0</v>
      </c>
      <c r="R1891" s="167"/>
      <c r="S1891" s="167"/>
      <c r="T1891" s="168">
        <f t="shared" si="3"/>
        <v>380929.53</v>
      </c>
      <c r="U1891" s="168">
        <f t="shared" si="4"/>
        <v>0</v>
      </c>
      <c r="V1891" s="168">
        <f t="shared" si="5"/>
        <v>0</v>
      </c>
      <c r="W1891" s="168">
        <f t="shared" si="6"/>
        <v>0</v>
      </c>
      <c r="X1891" s="168">
        <f t="shared" si="7"/>
        <v>0</v>
      </c>
      <c r="Y1891" s="168">
        <f t="shared" si="8"/>
        <v>0</v>
      </c>
      <c r="Z1891" s="168">
        <f t="shared" si="9"/>
        <v>0</v>
      </c>
    </row>
    <row r="1892" ht="14.25" customHeight="1">
      <c r="A1892" s="157" t="s">
        <v>2026</v>
      </c>
      <c r="B1892" s="158" t="s">
        <v>41</v>
      </c>
      <c r="C1892" s="158" t="s">
        <v>1995</v>
      </c>
      <c r="D1892" s="159">
        <v>44061.0</v>
      </c>
      <c r="E1892" s="157" t="s">
        <v>731</v>
      </c>
      <c r="F1892" s="160">
        <v>204652.91</v>
      </c>
      <c r="G1892" s="160">
        <v>32744.47</v>
      </c>
      <c r="H1892" s="160">
        <f t="shared" si="49"/>
        <v>237397.38</v>
      </c>
      <c r="I1892" s="160"/>
      <c r="J1892" s="161"/>
      <c r="K1892" s="160"/>
      <c r="L1892" s="160">
        <f>+'FACP$'!$H1892-'FACP$'!$I1892-'FACP$'!$K1892</f>
        <v>237397.38</v>
      </c>
      <c r="M1892" s="162" t="s">
        <v>121</v>
      </c>
      <c r="N1892" s="162" t="s">
        <v>554</v>
      </c>
      <c r="O1892" s="175">
        <v>44113.0</v>
      </c>
      <c r="P1892" s="164">
        <f t="shared" si="13"/>
        <v>44071</v>
      </c>
      <c r="Q1892" s="165">
        <f t="shared" si="2"/>
        <v>0</v>
      </c>
      <c r="R1892" s="167"/>
      <c r="S1892" s="167"/>
      <c r="T1892" s="168">
        <f t="shared" si="3"/>
        <v>237397.38</v>
      </c>
      <c r="U1892" s="168">
        <f t="shared" si="4"/>
        <v>0</v>
      </c>
      <c r="V1892" s="168">
        <f t="shared" si="5"/>
        <v>0</v>
      </c>
      <c r="W1892" s="168">
        <f t="shared" si="6"/>
        <v>0</v>
      </c>
      <c r="X1892" s="168">
        <f t="shared" si="7"/>
        <v>0</v>
      </c>
      <c r="Y1892" s="168">
        <f t="shared" si="8"/>
        <v>0</v>
      </c>
      <c r="Z1892" s="168">
        <f t="shared" si="9"/>
        <v>0</v>
      </c>
    </row>
    <row r="1893" ht="14.25" customHeight="1">
      <c r="A1893" s="157" t="s">
        <v>2027</v>
      </c>
      <c r="B1893" s="158" t="s">
        <v>18</v>
      </c>
      <c r="C1893" s="158" t="s">
        <v>1873</v>
      </c>
      <c r="D1893" s="159">
        <v>44064.0</v>
      </c>
      <c r="E1893" s="157" t="s">
        <v>731</v>
      </c>
      <c r="F1893" s="160">
        <v>6868.82</v>
      </c>
      <c r="G1893" s="160">
        <v>1099.01</v>
      </c>
      <c r="H1893" s="160">
        <f t="shared" si="49"/>
        <v>7967.83</v>
      </c>
      <c r="I1893" s="160"/>
      <c r="J1893" s="161"/>
      <c r="K1893" s="160"/>
      <c r="L1893" s="160">
        <f>+'FACP$'!$H1893-'FACP$'!$I1893-'FACP$'!$K1893</f>
        <v>7967.83</v>
      </c>
      <c r="M1893" s="162" t="s">
        <v>586</v>
      </c>
      <c r="N1893" s="162" t="s">
        <v>127</v>
      </c>
      <c r="O1893" s="175"/>
      <c r="P1893" s="164">
        <f t="shared" si="13"/>
        <v>44074</v>
      </c>
      <c r="Q1893" s="165">
        <f t="shared" si="2"/>
        <v>0</v>
      </c>
      <c r="R1893" s="167"/>
      <c r="S1893" s="167"/>
      <c r="T1893" s="168">
        <f t="shared" si="3"/>
        <v>7967.83</v>
      </c>
      <c r="U1893" s="168">
        <f t="shared" si="4"/>
        <v>0</v>
      </c>
      <c r="V1893" s="168">
        <f t="shared" si="5"/>
        <v>0</v>
      </c>
      <c r="W1893" s="168">
        <f t="shared" si="6"/>
        <v>0</v>
      </c>
      <c r="X1893" s="168">
        <f t="shared" si="7"/>
        <v>0</v>
      </c>
      <c r="Y1893" s="168">
        <f t="shared" si="8"/>
        <v>0</v>
      </c>
      <c r="Z1893" s="168">
        <f t="shared" si="9"/>
        <v>0</v>
      </c>
    </row>
    <row r="1894" ht="14.25" customHeight="1">
      <c r="A1894" s="157" t="s">
        <v>2028</v>
      </c>
      <c r="B1894" s="158" t="s">
        <v>18</v>
      </c>
      <c r="C1894" s="158" t="s">
        <v>1995</v>
      </c>
      <c r="D1894" s="159">
        <v>44064.0</v>
      </c>
      <c r="E1894" s="157" t="s">
        <v>731</v>
      </c>
      <c r="F1894" s="160">
        <v>39198.72</v>
      </c>
      <c r="G1894" s="160">
        <v>6271.8</v>
      </c>
      <c r="H1894" s="160">
        <f t="shared" si="49"/>
        <v>45470.52</v>
      </c>
      <c r="I1894" s="160"/>
      <c r="J1894" s="161"/>
      <c r="K1894" s="160"/>
      <c r="L1894" s="160">
        <f>+'FACP$'!$H1894-'FACP$'!$I1894-'FACP$'!$K1894</f>
        <v>45470.52</v>
      </c>
      <c r="M1894" s="162" t="s">
        <v>586</v>
      </c>
      <c r="N1894" s="162" t="s">
        <v>554</v>
      </c>
      <c r="O1894" s="175">
        <v>44126.0</v>
      </c>
      <c r="P1894" s="164">
        <f t="shared" si="13"/>
        <v>44074</v>
      </c>
      <c r="Q1894" s="165">
        <f t="shared" si="2"/>
        <v>0</v>
      </c>
      <c r="R1894" s="167"/>
      <c r="S1894" s="167" t="s">
        <v>910</v>
      </c>
      <c r="T1894" s="168">
        <f t="shared" si="3"/>
        <v>45470.52</v>
      </c>
      <c r="U1894" s="168">
        <f t="shared" si="4"/>
        <v>0</v>
      </c>
      <c r="V1894" s="168">
        <f t="shared" si="5"/>
        <v>0</v>
      </c>
      <c r="W1894" s="168">
        <f t="shared" si="6"/>
        <v>0</v>
      </c>
      <c r="X1894" s="168">
        <f t="shared" si="7"/>
        <v>0</v>
      </c>
      <c r="Y1894" s="168">
        <f t="shared" si="8"/>
        <v>0</v>
      </c>
      <c r="Z1894" s="168">
        <f t="shared" si="9"/>
        <v>0</v>
      </c>
    </row>
    <row r="1895" ht="14.25" customHeight="1">
      <c r="A1895" s="157" t="s">
        <v>2029</v>
      </c>
      <c r="B1895" s="158" t="s">
        <v>43</v>
      </c>
      <c r="C1895" s="158" t="s">
        <v>2030</v>
      </c>
      <c r="D1895" s="159">
        <v>44067.0</v>
      </c>
      <c r="E1895" s="157" t="s">
        <v>731</v>
      </c>
      <c r="F1895" s="160">
        <v>303418.4</v>
      </c>
      <c r="G1895" s="160">
        <v>48546.94</v>
      </c>
      <c r="H1895" s="160">
        <f t="shared" si="49"/>
        <v>351965.34</v>
      </c>
      <c r="I1895" s="160"/>
      <c r="J1895" s="161"/>
      <c r="K1895" s="160"/>
      <c r="L1895" s="160">
        <f>+'FACP$'!$H1895-'FACP$'!$I1895-'FACP$'!$K1895</f>
        <v>351965.34</v>
      </c>
      <c r="M1895" s="162" t="s">
        <v>43</v>
      </c>
      <c r="N1895" s="162" t="s">
        <v>554</v>
      </c>
      <c r="O1895" s="175">
        <v>44092.0</v>
      </c>
      <c r="P1895" s="164">
        <f t="shared" si="13"/>
        <v>44077</v>
      </c>
      <c r="Q1895" s="165">
        <f t="shared" si="2"/>
        <v>0</v>
      </c>
      <c r="R1895" s="167"/>
      <c r="S1895" s="167" t="s">
        <v>910</v>
      </c>
      <c r="T1895" s="168">
        <f t="shared" si="3"/>
        <v>351965.34</v>
      </c>
      <c r="U1895" s="168">
        <f t="shared" si="4"/>
        <v>0</v>
      </c>
      <c r="V1895" s="168">
        <f t="shared" si="5"/>
        <v>0</v>
      </c>
      <c r="W1895" s="168">
        <f t="shared" si="6"/>
        <v>0</v>
      </c>
      <c r="X1895" s="168">
        <f t="shared" si="7"/>
        <v>0</v>
      </c>
      <c r="Y1895" s="168">
        <f t="shared" si="8"/>
        <v>0</v>
      </c>
      <c r="Z1895" s="168">
        <f t="shared" si="9"/>
        <v>0</v>
      </c>
    </row>
    <row r="1896" ht="14.25" customHeight="1">
      <c r="A1896" s="157" t="s">
        <v>2031</v>
      </c>
      <c r="B1896" s="158" t="s">
        <v>36</v>
      </c>
      <c r="C1896" s="158" t="s">
        <v>2030</v>
      </c>
      <c r="D1896" s="159">
        <v>44067.0</v>
      </c>
      <c r="E1896" s="157" t="s">
        <v>731</v>
      </c>
      <c r="F1896" s="160">
        <v>63739.49</v>
      </c>
      <c r="G1896" s="160">
        <v>10198.32</v>
      </c>
      <c r="H1896" s="160">
        <f t="shared" si="49"/>
        <v>73937.81</v>
      </c>
      <c r="I1896" s="160"/>
      <c r="J1896" s="161"/>
      <c r="K1896" s="160"/>
      <c r="L1896" s="160">
        <f>+'FACP$'!$H1896-'FACP$'!$I1896-'FACP$'!$K1896</f>
        <v>73937.81</v>
      </c>
      <c r="M1896" s="162" t="s">
        <v>278</v>
      </c>
      <c r="N1896" s="162" t="s">
        <v>554</v>
      </c>
      <c r="O1896" s="175">
        <v>44081.0</v>
      </c>
      <c r="P1896" s="164">
        <f t="shared" si="13"/>
        <v>44077</v>
      </c>
      <c r="Q1896" s="165">
        <f t="shared" si="2"/>
        <v>0</v>
      </c>
      <c r="R1896" s="167"/>
      <c r="S1896" s="220" t="s">
        <v>910</v>
      </c>
      <c r="T1896" s="168">
        <f t="shared" si="3"/>
        <v>73937.81</v>
      </c>
      <c r="U1896" s="168">
        <f t="shared" si="4"/>
        <v>0</v>
      </c>
      <c r="V1896" s="168">
        <f t="shared" si="5"/>
        <v>0</v>
      </c>
      <c r="W1896" s="168">
        <f t="shared" si="6"/>
        <v>0</v>
      </c>
      <c r="X1896" s="168">
        <f t="shared" si="7"/>
        <v>0</v>
      </c>
      <c r="Y1896" s="168">
        <f t="shared" si="8"/>
        <v>0</v>
      </c>
      <c r="Z1896" s="168">
        <f t="shared" si="9"/>
        <v>0</v>
      </c>
    </row>
    <row r="1897" ht="14.25" customHeight="1">
      <c r="A1897" s="157" t="s">
        <v>2032</v>
      </c>
      <c r="B1897" s="158" t="s">
        <v>27</v>
      </c>
      <c r="C1897" s="158" t="s">
        <v>2033</v>
      </c>
      <c r="D1897" s="159">
        <v>44067.0</v>
      </c>
      <c r="E1897" s="157" t="s">
        <v>731</v>
      </c>
      <c r="F1897" s="160">
        <v>350451.0</v>
      </c>
      <c r="G1897" s="160">
        <v>56072.16</v>
      </c>
      <c r="H1897" s="160">
        <f t="shared" si="49"/>
        <v>406523.16</v>
      </c>
      <c r="I1897" s="160"/>
      <c r="J1897" s="161"/>
      <c r="K1897" s="160"/>
      <c r="L1897" s="160">
        <f>+'FACP$'!$H1897-'FACP$'!$I1897-'FACP$'!$K1897</f>
        <v>406523.16</v>
      </c>
      <c r="M1897" s="162" t="s">
        <v>1644</v>
      </c>
      <c r="N1897" s="162" t="s">
        <v>554</v>
      </c>
      <c r="O1897" s="175">
        <v>44127.0</v>
      </c>
      <c r="P1897" s="164">
        <f t="shared" si="13"/>
        <v>44077</v>
      </c>
      <c r="Q1897" s="165">
        <f t="shared" si="2"/>
        <v>0</v>
      </c>
      <c r="R1897" s="167"/>
      <c r="S1897" s="167" t="s">
        <v>910</v>
      </c>
      <c r="T1897" s="168">
        <f t="shared" si="3"/>
        <v>406523.16</v>
      </c>
      <c r="U1897" s="168">
        <f t="shared" si="4"/>
        <v>0</v>
      </c>
      <c r="V1897" s="168">
        <f t="shared" si="5"/>
        <v>0</v>
      </c>
      <c r="W1897" s="168">
        <f t="shared" si="6"/>
        <v>0</v>
      </c>
      <c r="X1897" s="168">
        <f t="shared" si="7"/>
        <v>0</v>
      </c>
      <c r="Y1897" s="168">
        <f t="shared" si="8"/>
        <v>0</v>
      </c>
      <c r="Z1897" s="168">
        <f t="shared" si="9"/>
        <v>0</v>
      </c>
    </row>
    <row r="1898" ht="14.25" customHeight="1">
      <c r="A1898" s="157" t="s">
        <v>2034</v>
      </c>
      <c r="B1898" s="158" t="s">
        <v>27</v>
      </c>
      <c r="C1898" s="158" t="s">
        <v>2035</v>
      </c>
      <c r="D1898" s="159">
        <v>44067.0</v>
      </c>
      <c r="E1898" s="157" t="s">
        <v>731</v>
      </c>
      <c r="F1898" s="160">
        <v>372432.8</v>
      </c>
      <c r="G1898" s="160">
        <v>59589.25</v>
      </c>
      <c r="H1898" s="160">
        <f t="shared" si="49"/>
        <v>432022.05</v>
      </c>
      <c r="I1898" s="160"/>
      <c r="J1898" s="161"/>
      <c r="K1898" s="160"/>
      <c r="L1898" s="160">
        <f>+'FACP$'!$H1898-'FACP$'!$I1898-'FACP$'!$K1898</f>
        <v>432022.05</v>
      </c>
      <c r="M1898" s="162" t="s">
        <v>1644</v>
      </c>
      <c r="N1898" s="162" t="s">
        <v>554</v>
      </c>
      <c r="O1898" s="175">
        <v>44130.0</v>
      </c>
      <c r="P1898" s="164">
        <f t="shared" si="13"/>
        <v>44077</v>
      </c>
      <c r="Q1898" s="165">
        <f t="shared" si="2"/>
        <v>0</v>
      </c>
      <c r="R1898" s="167"/>
      <c r="S1898" s="167"/>
      <c r="T1898" s="168">
        <f t="shared" si="3"/>
        <v>432022.05</v>
      </c>
      <c r="U1898" s="168">
        <f t="shared" si="4"/>
        <v>0</v>
      </c>
      <c r="V1898" s="168">
        <f t="shared" si="5"/>
        <v>0</v>
      </c>
      <c r="W1898" s="168">
        <f t="shared" si="6"/>
        <v>0</v>
      </c>
      <c r="X1898" s="168">
        <f t="shared" si="7"/>
        <v>0</v>
      </c>
      <c r="Y1898" s="168">
        <f t="shared" si="8"/>
        <v>0</v>
      </c>
      <c r="Z1898" s="168">
        <f t="shared" si="9"/>
        <v>0</v>
      </c>
    </row>
    <row r="1899" ht="14.25" customHeight="1">
      <c r="A1899" s="157" t="s">
        <v>2036</v>
      </c>
      <c r="B1899" s="158" t="s">
        <v>27</v>
      </c>
      <c r="C1899" s="158" t="s">
        <v>2033</v>
      </c>
      <c r="D1899" s="159">
        <v>44067.0</v>
      </c>
      <c r="E1899" s="157" t="s">
        <v>731</v>
      </c>
      <c r="F1899" s="160">
        <v>168638.32</v>
      </c>
      <c r="G1899" s="160">
        <v>26982.13</v>
      </c>
      <c r="H1899" s="160">
        <f t="shared" si="49"/>
        <v>195620.45</v>
      </c>
      <c r="I1899" s="160"/>
      <c r="J1899" s="161"/>
      <c r="K1899" s="160"/>
      <c r="L1899" s="160">
        <f>+'FACP$'!$H1899-'FACP$'!$I1899-'FACP$'!$K1899</f>
        <v>195620.45</v>
      </c>
      <c r="M1899" s="162" t="s">
        <v>1721</v>
      </c>
      <c r="N1899" s="162" t="s">
        <v>554</v>
      </c>
      <c r="O1899" s="175">
        <v>44145.0</v>
      </c>
      <c r="P1899" s="164">
        <f t="shared" si="13"/>
        <v>44077</v>
      </c>
      <c r="Q1899" s="165">
        <f t="shared" si="2"/>
        <v>0</v>
      </c>
      <c r="R1899" s="167"/>
      <c r="S1899" s="167" t="s">
        <v>910</v>
      </c>
      <c r="T1899" s="168">
        <f t="shared" si="3"/>
        <v>195620.45</v>
      </c>
      <c r="U1899" s="168">
        <f t="shared" si="4"/>
        <v>0</v>
      </c>
      <c r="V1899" s="168">
        <f t="shared" si="5"/>
        <v>0</v>
      </c>
      <c r="W1899" s="168">
        <f t="shared" si="6"/>
        <v>0</v>
      </c>
      <c r="X1899" s="168">
        <f t="shared" si="7"/>
        <v>0</v>
      </c>
      <c r="Y1899" s="168">
        <f t="shared" si="8"/>
        <v>0</v>
      </c>
      <c r="Z1899" s="168">
        <f t="shared" si="9"/>
        <v>0</v>
      </c>
    </row>
    <row r="1900" ht="14.25" customHeight="1">
      <c r="A1900" s="157" t="s">
        <v>2037</v>
      </c>
      <c r="B1900" s="158" t="s">
        <v>27</v>
      </c>
      <c r="C1900" s="158" t="s">
        <v>2035</v>
      </c>
      <c r="D1900" s="159">
        <v>44067.0</v>
      </c>
      <c r="E1900" s="157" t="s">
        <v>731</v>
      </c>
      <c r="F1900" s="160">
        <v>179370.22</v>
      </c>
      <c r="G1900" s="160">
        <v>28699.24</v>
      </c>
      <c r="H1900" s="160">
        <f t="shared" si="49"/>
        <v>208069.46</v>
      </c>
      <c r="I1900" s="160"/>
      <c r="J1900" s="161"/>
      <c r="K1900" s="160"/>
      <c r="L1900" s="160">
        <f>+'FACP$'!$H1900-'FACP$'!$I1900-'FACP$'!$K1900</f>
        <v>208069.46</v>
      </c>
      <c r="M1900" s="162" t="s">
        <v>1721</v>
      </c>
      <c r="N1900" s="162" t="s">
        <v>554</v>
      </c>
      <c r="O1900" s="175">
        <v>44145.0</v>
      </c>
      <c r="P1900" s="164">
        <f t="shared" si="13"/>
        <v>44077</v>
      </c>
      <c r="Q1900" s="165">
        <f t="shared" si="2"/>
        <v>0</v>
      </c>
      <c r="R1900" s="167"/>
      <c r="S1900" s="167" t="s">
        <v>910</v>
      </c>
      <c r="T1900" s="168">
        <f t="shared" si="3"/>
        <v>208069.46</v>
      </c>
      <c r="U1900" s="168">
        <f t="shared" si="4"/>
        <v>0</v>
      </c>
      <c r="V1900" s="168">
        <f t="shared" si="5"/>
        <v>0</v>
      </c>
      <c r="W1900" s="168">
        <f t="shared" si="6"/>
        <v>0</v>
      </c>
      <c r="X1900" s="168">
        <f t="shared" si="7"/>
        <v>0</v>
      </c>
      <c r="Y1900" s="168">
        <f t="shared" si="8"/>
        <v>0</v>
      </c>
      <c r="Z1900" s="168">
        <f t="shared" si="9"/>
        <v>0</v>
      </c>
    </row>
    <row r="1901" ht="14.25" customHeight="1">
      <c r="A1901" s="157" t="s">
        <v>2038</v>
      </c>
      <c r="B1901" s="158" t="s">
        <v>16</v>
      </c>
      <c r="C1901" s="158" t="s">
        <v>2030</v>
      </c>
      <c r="D1901" s="159">
        <v>44068.0</v>
      </c>
      <c r="E1901" s="157" t="s">
        <v>731</v>
      </c>
      <c r="F1901" s="160">
        <v>246002.52</v>
      </c>
      <c r="G1901" s="160">
        <v>39360.4</v>
      </c>
      <c r="H1901" s="160">
        <f t="shared" si="49"/>
        <v>285362.92</v>
      </c>
      <c r="I1901" s="160"/>
      <c r="J1901" s="161"/>
      <c r="K1901" s="160"/>
      <c r="L1901" s="160">
        <f>+'FACP$'!$H1901-'FACP$'!$I1901-'FACP$'!$K1901</f>
        <v>285362.92</v>
      </c>
      <c r="M1901" s="162" t="s">
        <v>985</v>
      </c>
      <c r="N1901" s="162" t="s">
        <v>554</v>
      </c>
      <c r="O1901" s="175">
        <v>44085.0</v>
      </c>
      <c r="P1901" s="164">
        <f t="shared" si="13"/>
        <v>44078</v>
      </c>
      <c r="Q1901" s="165">
        <f t="shared" si="2"/>
        <v>0</v>
      </c>
      <c r="R1901" s="167"/>
      <c r="S1901" s="167"/>
      <c r="T1901" s="168">
        <f t="shared" si="3"/>
        <v>285362.92</v>
      </c>
      <c r="U1901" s="168">
        <f t="shared" si="4"/>
        <v>0</v>
      </c>
      <c r="V1901" s="168">
        <f t="shared" si="5"/>
        <v>0</v>
      </c>
      <c r="W1901" s="168">
        <f t="shared" si="6"/>
        <v>0</v>
      </c>
      <c r="X1901" s="168">
        <f t="shared" si="7"/>
        <v>0</v>
      </c>
      <c r="Y1901" s="168">
        <f t="shared" si="8"/>
        <v>0</v>
      </c>
      <c r="Z1901" s="168">
        <f t="shared" si="9"/>
        <v>0</v>
      </c>
    </row>
    <row r="1902" ht="14.25" customHeight="1">
      <c r="A1902" s="157" t="s">
        <v>2039</v>
      </c>
      <c r="B1902" s="158" t="s">
        <v>16</v>
      </c>
      <c r="C1902" s="158" t="s">
        <v>2040</v>
      </c>
      <c r="D1902" s="159">
        <v>44068.0</v>
      </c>
      <c r="E1902" s="157" t="s">
        <v>731</v>
      </c>
      <c r="F1902" s="160">
        <v>323770.99</v>
      </c>
      <c r="G1902" s="160">
        <v>51803.36</v>
      </c>
      <c r="H1902" s="160">
        <f t="shared" si="49"/>
        <v>375574.35</v>
      </c>
      <c r="I1902" s="160"/>
      <c r="J1902" s="161"/>
      <c r="K1902" s="160"/>
      <c r="L1902" s="160">
        <f>+'FACP$'!$H1902-'FACP$'!$I1902-'FACP$'!$K1902</f>
        <v>375574.35</v>
      </c>
      <c r="M1902" s="162" t="s">
        <v>985</v>
      </c>
      <c r="N1902" s="162" t="s">
        <v>554</v>
      </c>
      <c r="O1902" s="175">
        <v>44085.0</v>
      </c>
      <c r="P1902" s="164">
        <f t="shared" si="13"/>
        <v>44078</v>
      </c>
      <c r="Q1902" s="165">
        <f t="shared" si="2"/>
        <v>0</v>
      </c>
      <c r="R1902" s="167"/>
      <c r="S1902" s="167"/>
      <c r="T1902" s="168">
        <f t="shared" si="3"/>
        <v>375574.35</v>
      </c>
      <c r="U1902" s="168">
        <f t="shared" si="4"/>
        <v>0</v>
      </c>
      <c r="V1902" s="168">
        <f t="shared" si="5"/>
        <v>0</v>
      </c>
      <c r="W1902" s="168">
        <f t="shared" si="6"/>
        <v>0</v>
      </c>
      <c r="X1902" s="168">
        <f t="shared" si="7"/>
        <v>0</v>
      </c>
      <c r="Y1902" s="168">
        <f t="shared" si="8"/>
        <v>0</v>
      </c>
      <c r="Z1902" s="168">
        <f t="shared" si="9"/>
        <v>0</v>
      </c>
    </row>
    <row r="1903" ht="14.25" customHeight="1">
      <c r="A1903" s="157" t="s">
        <v>2041</v>
      </c>
      <c r="B1903" s="158" t="s">
        <v>18</v>
      </c>
      <c r="C1903" s="158" t="s">
        <v>2030</v>
      </c>
      <c r="D1903" s="159">
        <v>44068.0</v>
      </c>
      <c r="E1903" s="157" t="s">
        <v>731</v>
      </c>
      <c r="F1903" s="160">
        <v>120201.05</v>
      </c>
      <c r="G1903" s="160">
        <v>19232.17</v>
      </c>
      <c r="H1903" s="160">
        <f t="shared" si="49"/>
        <v>139433.22</v>
      </c>
      <c r="I1903" s="160"/>
      <c r="J1903" s="161"/>
      <c r="K1903" s="160"/>
      <c r="L1903" s="160">
        <f>+'FACP$'!$H1903-'FACP$'!$I1903-'FACP$'!$K1903</f>
        <v>139433.22</v>
      </c>
      <c r="M1903" s="162" t="s">
        <v>586</v>
      </c>
      <c r="N1903" s="162" t="s">
        <v>554</v>
      </c>
      <c r="O1903" s="175">
        <v>44126.0</v>
      </c>
      <c r="P1903" s="164">
        <f t="shared" si="13"/>
        <v>44078</v>
      </c>
      <c r="Q1903" s="165">
        <f t="shared" si="2"/>
        <v>0</v>
      </c>
      <c r="R1903" s="167"/>
      <c r="S1903" s="167" t="s">
        <v>910</v>
      </c>
      <c r="T1903" s="168">
        <f t="shared" si="3"/>
        <v>139433.22</v>
      </c>
      <c r="U1903" s="168">
        <f t="shared" si="4"/>
        <v>0</v>
      </c>
      <c r="V1903" s="168">
        <f t="shared" si="5"/>
        <v>0</v>
      </c>
      <c r="W1903" s="168">
        <f t="shared" si="6"/>
        <v>0</v>
      </c>
      <c r="X1903" s="168">
        <f t="shared" si="7"/>
        <v>0</v>
      </c>
      <c r="Y1903" s="168">
        <f t="shared" si="8"/>
        <v>0</v>
      </c>
      <c r="Z1903" s="168">
        <f t="shared" si="9"/>
        <v>0</v>
      </c>
    </row>
    <row r="1904" ht="14.25" customHeight="1">
      <c r="A1904" s="157" t="s">
        <v>2042</v>
      </c>
      <c r="B1904" s="158" t="s">
        <v>29</v>
      </c>
      <c r="C1904" s="158" t="s">
        <v>2030</v>
      </c>
      <c r="D1904" s="159">
        <v>44068.0</v>
      </c>
      <c r="E1904" s="157" t="s">
        <v>731</v>
      </c>
      <c r="F1904" s="160">
        <v>185860.24</v>
      </c>
      <c r="G1904" s="160">
        <v>29737.64</v>
      </c>
      <c r="H1904" s="160">
        <f t="shared" si="49"/>
        <v>215597.88</v>
      </c>
      <c r="I1904" s="160"/>
      <c r="J1904" s="161"/>
      <c r="K1904" s="160"/>
      <c r="L1904" s="160">
        <f>+'FACP$'!$H1904-'FACP$'!$I1904-'FACP$'!$K1904</f>
        <v>215597.88</v>
      </c>
      <c r="M1904" s="162" t="s">
        <v>130</v>
      </c>
      <c r="N1904" s="162" t="s">
        <v>554</v>
      </c>
      <c r="O1904" s="175">
        <v>44098.0</v>
      </c>
      <c r="P1904" s="164">
        <f t="shared" si="13"/>
        <v>44078</v>
      </c>
      <c r="Q1904" s="165">
        <f t="shared" si="2"/>
        <v>0</v>
      </c>
      <c r="R1904" s="167"/>
      <c r="S1904" s="167"/>
      <c r="T1904" s="168">
        <f t="shared" si="3"/>
        <v>215597.88</v>
      </c>
      <c r="U1904" s="168">
        <f t="shared" si="4"/>
        <v>0</v>
      </c>
      <c r="V1904" s="168">
        <f t="shared" si="5"/>
        <v>0</v>
      </c>
      <c r="W1904" s="168">
        <f t="shared" si="6"/>
        <v>0</v>
      </c>
      <c r="X1904" s="168">
        <f t="shared" si="7"/>
        <v>0</v>
      </c>
      <c r="Y1904" s="168">
        <f t="shared" si="8"/>
        <v>0</v>
      </c>
      <c r="Z1904" s="168">
        <f t="shared" si="9"/>
        <v>0</v>
      </c>
    </row>
    <row r="1905" ht="14.25" customHeight="1">
      <c r="A1905" s="157" t="s">
        <v>2043</v>
      </c>
      <c r="B1905" s="158" t="s">
        <v>29</v>
      </c>
      <c r="C1905" s="158" t="s">
        <v>2040</v>
      </c>
      <c r="D1905" s="159">
        <v>44068.0</v>
      </c>
      <c r="E1905" s="157" t="s">
        <v>731</v>
      </c>
      <c r="F1905" s="160">
        <v>241896.35</v>
      </c>
      <c r="G1905" s="160">
        <v>38703.42</v>
      </c>
      <c r="H1905" s="160">
        <f t="shared" si="49"/>
        <v>280599.77</v>
      </c>
      <c r="I1905" s="160"/>
      <c r="J1905" s="161"/>
      <c r="K1905" s="160"/>
      <c r="L1905" s="160">
        <f>+'FACP$'!$H1905-'FACP$'!$I1905-'FACP$'!$K1905</f>
        <v>280599.77</v>
      </c>
      <c r="M1905" s="162" t="s">
        <v>130</v>
      </c>
      <c r="N1905" s="162" t="s">
        <v>554</v>
      </c>
      <c r="O1905" s="175">
        <v>44098.0</v>
      </c>
      <c r="P1905" s="164">
        <f t="shared" si="13"/>
        <v>44078</v>
      </c>
      <c r="Q1905" s="165">
        <f t="shared" si="2"/>
        <v>0</v>
      </c>
      <c r="R1905" s="167"/>
      <c r="S1905" s="167"/>
      <c r="T1905" s="168">
        <f t="shared" si="3"/>
        <v>280599.77</v>
      </c>
      <c r="U1905" s="168">
        <f t="shared" si="4"/>
        <v>0</v>
      </c>
      <c r="V1905" s="168">
        <f t="shared" si="5"/>
        <v>0</v>
      </c>
      <c r="W1905" s="168">
        <f t="shared" si="6"/>
        <v>0</v>
      </c>
      <c r="X1905" s="168">
        <f t="shared" si="7"/>
        <v>0</v>
      </c>
      <c r="Y1905" s="168">
        <f t="shared" si="8"/>
        <v>0</v>
      </c>
      <c r="Z1905" s="168">
        <f t="shared" si="9"/>
        <v>0</v>
      </c>
    </row>
    <row r="1906" ht="14.25" customHeight="1">
      <c r="A1906" s="157" t="s">
        <v>2044</v>
      </c>
      <c r="B1906" s="158" t="s">
        <v>37</v>
      </c>
      <c r="C1906" s="158" t="s">
        <v>2030</v>
      </c>
      <c r="D1906" s="159">
        <v>44068.0</v>
      </c>
      <c r="E1906" s="157" t="s">
        <v>731</v>
      </c>
      <c r="F1906" s="160">
        <v>1449615.48</v>
      </c>
      <c r="G1906" s="160">
        <v>231938.48</v>
      </c>
      <c r="H1906" s="160">
        <f t="shared" si="49"/>
        <v>1681553.96</v>
      </c>
      <c r="I1906" s="160"/>
      <c r="J1906" s="161"/>
      <c r="K1906" s="160"/>
      <c r="L1906" s="160">
        <f>+'FACP$'!$H1906-'FACP$'!$I1906-'FACP$'!$K1906</f>
        <v>1681553.96</v>
      </c>
      <c r="M1906" s="162" t="s">
        <v>116</v>
      </c>
      <c r="N1906" s="162" t="s">
        <v>554</v>
      </c>
      <c r="O1906" s="175">
        <v>44102.0</v>
      </c>
      <c r="P1906" s="164">
        <f t="shared" si="13"/>
        <v>44078</v>
      </c>
      <c r="Q1906" s="165">
        <f t="shared" si="2"/>
        <v>0</v>
      </c>
      <c r="R1906" s="167"/>
      <c r="S1906" s="167" t="s">
        <v>910</v>
      </c>
      <c r="T1906" s="168">
        <f t="shared" si="3"/>
        <v>1681553.96</v>
      </c>
      <c r="U1906" s="168">
        <f t="shared" si="4"/>
        <v>0</v>
      </c>
      <c r="V1906" s="168">
        <f t="shared" si="5"/>
        <v>0</v>
      </c>
      <c r="W1906" s="168">
        <f t="shared" si="6"/>
        <v>0</v>
      </c>
      <c r="X1906" s="168">
        <f t="shared" si="7"/>
        <v>0</v>
      </c>
      <c r="Y1906" s="168">
        <f t="shared" si="8"/>
        <v>0</v>
      </c>
      <c r="Z1906" s="168">
        <f t="shared" si="9"/>
        <v>0</v>
      </c>
    </row>
    <row r="1907" ht="14.25" customHeight="1">
      <c r="A1907" s="157" t="s">
        <v>2045</v>
      </c>
      <c r="B1907" s="158" t="s">
        <v>41</v>
      </c>
      <c r="C1907" s="158" t="s">
        <v>2030</v>
      </c>
      <c r="D1907" s="159">
        <v>44070.0</v>
      </c>
      <c r="E1907" s="157" t="s">
        <v>731</v>
      </c>
      <c r="F1907" s="160">
        <v>198902.52</v>
      </c>
      <c r="G1907" s="160">
        <v>31824.4</v>
      </c>
      <c r="H1907" s="160">
        <f t="shared" si="49"/>
        <v>230726.92</v>
      </c>
      <c r="I1907" s="160"/>
      <c r="J1907" s="161"/>
      <c r="K1907" s="160"/>
      <c r="L1907" s="160">
        <f>+'FACP$'!$H1907-'FACP$'!$I1907-'FACP$'!$K1907</f>
        <v>230726.92</v>
      </c>
      <c r="M1907" s="162" t="s">
        <v>121</v>
      </c>
      <c r="N1907" s="162" t="s">
        <v>554</v>
      </c>
      <c r="O1907" s="175">
        <v>44113.0</v>
      </c>
      <c r="P1907" s="164">
        <f t="shared" si="13"/>
        <v>44080</v>
      </c>
      <c r="Q1907" s="165">
        <f t="shared" si="2"/>
        <v>0</v>
      </c>
      <c r="R1907" s="167"/>
      <c r="S1907" s="167"/>
      <c r="T1907" s="168">
        <f t="shared" si="3"/>
        <v>230726.92</v>
      </c>
      <c r="U1907" s="168">
        <f t="shared" si="4"/>
        <v>0</v>
      </c>
      <c r="V1907" s="168">
        <f t="shared" si="5"/>
        <v>0</v>
      </c>
      <c r="W1907" s="168">
        <f t="shared" si="6"/>
        <v>0</v>
      </c>
      <c r="X1907" s="168">
        <f t="shared" si="7"/>
        <v>0</v>
      </c>
      <c r="Y1907" s="168">
        <f t="shared" si="8"/>
        <v>0</v>
      </c>
      <c r="Z1907" s="168">
        <f t="shared" si="9"/>
        <v>0</v>
      </c>
    </row>
    <row r="1908" ht="14.25" customHeight="1">
      <c r="A1908" s="157" t="s">
        <v>2046</v>
      </c>
      <c r="B1908" s="158" t="s">
        <v>43</v>
      </c>
      <c r="C1908" s="158" t="s">
        <v>2047</v>
      </c>
      <c r="D1908" s="159">
        <v>44076.0</v>
      </c>
      <c r="E1908" s="157" t="s">
        <v>731</v>
      </c>
      <c r="F1908" s="160">
        <v>408665.68</v>
      </c>
      <c r="G1908" s="160">
        <v>65386.51</v>
      </c>
      <c r="H1908" s="160">
        <f t="shared" si="49"/>
        <v>474052.19</v>
      </c>
      <c r="I1908" s="160"/>
      <c r="J1908" s="161"/>
      <c r="K1908" s="160"/>
      <c r="L1908" s="160">
        <f>+'FACP$'!$H1908-'FACP$'!$I1908-'FACP$'!$K1908</f>
        <v>474052.19</v>
      </c>
      <c r="M1908" s="162" t="s">
        <v>43</v>
      </c>
      <c r="N1908" s="162" t="s">
        <v>554</v>
      </c>
      <c r="O1908" s="175">
        <v>44092.0</v>
      </c>
      <c r="P1908" s="164">
        <f t="shared" si="13"/>
        <v>44086</v>
      </c>
      <c r="Q1908" s="165">
        <f t="shared" si="2"/>
        <v>0</v>
      </c>
      <c r="R1908" s="167"/>
      <c r="S1908" s="167" t="s">
        <v>910</v>
      </c>
      <c r="T1908" s="168">
        <f t="shared" si="3"/>
        <v>474052.19</v>
      </c>
      <c r="U1908" s="168">
        <f t="shared" si="4"/>
        <v>0</v>
      </c>
      <c r="V1908" s="168">
        <f t="shared" si="5"/>
        <v>0</v>
      </c>
      <c r="W1908" s="168">
        <f t="shared" si="6"/>
        <v>0</v>
      </c>
      <c r="X1908" s="168">
        <f t="shared" si="7"/>
        <v>0</v>
      </c>
      <c r="Y1908" s="168">
        <f t="shared" si="8"/>
        <v>0</v>
      </c>
      <c r="Z1908" s="168">
        <f t="shared" si="9"/>
        <v>0</v>
      </c>
    </row>
    <row r="1909" ht="14.25" customHeight="1">
      <c r="A1909" s="157" t="s">
        <v>2048</v>
      </c>
      <c r="B1909" s="158" t="s">
        <v>36</v>
      </c>
      <c r="C1909" s="158" t="s">
        <v>2047</v>
      </c>
      <c r="D1909" s="159">
        <v>44076.0</v>
      </c>
      <c r="E1909" s="157" t="s">
        <v>731</v>
      </c>
      <c r="F1909" s="160">
        <v>70011.11</v>
      </c>
      <c r="G1909" s="160">
        <v>11201.78</v>
      </c>
      <c r="H1909" s="160">
        <f t="shared" si="49"/>
        <v>81212.89</v>
      </c>
      <c r="I1909" s="160"/>
      <c r="J1909" s="161"/>
      <c r="K1909" s="160"/>
      <c r="L1909" s="160">
        <f>+'FACP$'!$H1909-'FACP$'!$I1909-'FACP$'!$K1909</f>
        <v>81212.89</v>
      </c>
      <c r="M1909" s="162" t="s">
        <v>278</v>
      </c>
      <c r="N1909" s="162" t="s">
        <v>554</v>
      </c>
      <c r="O1909" s="175">
        <v>44081.0</v>
      </c>
      <c r="P1909" s="164">
        <f t="shared" si="13"/>
        <v>44086</v>
      </c>
      <c r="Q1909" s="165">
        <f t="shared" si="2"/>
        <v>0</v>
      </c>
      <c r="R1909" s="167"/>
      <c r="S1909" s="220" t="s">
        <v>910</v>
      </c>
      <c r="T1909" s="168">
        <f t="shared" si="3"/>
        <v>81212.89</v>
      </c>
      <c r="U1909" s="168">
        <f t="shared" si="4"/>
        <v>0</v>
      </c>
      <c r="V1909" s="168">
        <f t="shared" si="5"/>
        <v>0</v>
      </c>
      <c r="W1909" s="168">
        <f t="shared" si="6"/>
        <v>0</v>
      </c>
      <c r="X1909" s="168">
        <f t="shared" si="7"/>
        <v>0</v>
      </c>
      <c r="Y1909" s="168">
        <f t="shared" si="8"/>
        <v>0</v>
      </c>
      <c r="Z1909" s="168">
        <f t="shared" si="9"/>
        <v>0</v>
      </c>
    </row>
    <row r="1910" ht="14.25" customHeight="1">
      <c r="A1910" s="157" t="s">
        <v>2049</v>
      </c>
      <c r="B1910" s="158" t="s">
        <v>35</v>
      </c>
      <c r="C1910" s="158" t="s">
        <v>2047</v>
      </c>
      <c r="D1910" s="159">
        <v>44076.0</v>
      </c>
      <c r="E1910" s="157" t="s">
        <v>731</v>
      </c>
      <c r="F1910" s="160">
        <v>48218.52</v>
      </c>
      <c r="G1910" s="160">
        <v>7714.96</v>
      </c>
      <c r="H1910" s="160">
        <f t="shared" si="49"/>
        <v>55933.48</v>
      </c>
      <c r="I1910" s="160"/>
      <c r="J1910" s="161"/>
      <c r="K1910" s="160"/>
      <c r="L1910" s="160">
        <f>+'FACP$'!$H1910-'FACP$'!$I1910-'FACP$'!$K1910</f>
        <v>55933.48</v>
      </c>
      <c r="M1910" s="162" t="s">
        <v>276</v>
      </c>
      <c r="N1910" s="162" t="s">
        <v>554</v>
      </c>
      <c r="O1910" s="175">
        <v>44106.0</v>
      </c>
      <c r="P1910" s="164">
        <f t="shared" si="13"/>
        <v>44086</v>
      </c>
      <c r="Q1910" s="165">
        <f t="shared" si="2"/>
        <v>0</v>
      </c>
      <c r="R1910" s="167"/>
      <c r="S1910" s="167" t="s">
        <v>910</v>
      </c>
      <c r="T1910" s="168">
        <f t="shared" si="3"/>
        <v>55933.48</v>
      </c>
      <c r="U1910" s="168">
        <f t="shared" si="4"/>
        <v>0</v>
      </c>
      <c r="V1910" s="168">
        <f t="shared" si="5"/>
        <v>0</v>
      </c>
      <c r="W1910" s="168">
        <f t="shared" si="6"/>
        <v>0</v>
      </c>
      <c r="X1910" s="168">
        <f t="shared" si="7"/>
        <v>0</v>
      </c>
      <c r="Y1910" s="168">
        <f t="shared" si="8"/>
        <v>0</v>
      </c>
      <c r="Z1910" s="168">
        <f t="shared" si="9"/>
        <v>0</v>
      </c>
    </row>
    <row r="1911" ht="14.25" customHeight="1">
      <c r="A1911" s="157" t="s">
        <v>2050</v>
      </c>
      <c r="B1911" s="158" t="s">
        <v>33</v>
      </c>
      <c r="C1911" s="158" t="s">
        <v>2051</v>
      </c>
      <c r="D1911" s="159">
        <v>44078.0</v>
      </c>
      <c r="E1911" s="157" t="s">
        <v>731</v>
      </c>
      <c r="F1911" s="160">
        <v>23388.39</v>
      </c>
      <c r="G1911" s="160">
        <v>3742.14</v>
      </c>
      <c r="H1911" s="160">
        <f t="shared" si="49"/>
        <v>27130.53</v>
      </c>
      <c r="I1911" s="160"/>
      <c r="J1911" s="161"/>
      <c r="K1911" s="160"/>
      <c r="L1911" s="160">
        <f>+'FACP$'!$H1911-'FACP$'!$I1911-'FACP$'!$K1911</f>
        <v>27130.53</v>
      </c>
      <c r="M1911" s="162" t="s">
        <v>958</v>
      </c>
      <c r="N1911" s="162" t="s">
        <v>554</v>
      </c>
      <c r="O1911" s="175">
        <v>44092.0</v>
      </c>
      <c r="P1911" s="164">
        <f t="shared" si="13"/>
        <v>44088</v>
      </c>
      <c r="Q1911" s="165">
        <f t="shared" si="2"/>
        <v>0</v>
      </c>
      <c r="R1911" s="167"/>
      <c r="S1911" s="167"/>
      <c r="T1911" s="168">
        <f t="shared" si="3"/>
        <v>27130.53</v>
      </c>
      <c r="U1911" s="168">
        <f t="shared" si="4"/>
        <v>0</v>
      </c>
      <c r="V1911" s="168">
        <f t="shared" si="5"/>
        <v>0</v>
      </c>
      <c r="W1911" s="168">
        <f t="shared" si="6"/>
        <v>0</v>
      </c>
      <c r="X1911" s="168">
        <f t="shared" si="7"/>
        <v>0</v>
      </c>
      <c r="Y1911" s="168">
        <f t="shared" si="8"/>
        <v>0</v>
      </c>
      <c r="Z1911" s="168">
        <f t="shared" si="9"/>
        <v>0</v>
      </c>
    </row>
    <row r="1912" ht="14.25" customHeight="1">
      <c r="A1912" s="157" t="s">
        <v>2052</v>
      </c>
      <c r="B1912" s="158" t="s">
        <v>33</v>
      </c>
      <c r="C1912" s="158" t="s">
        <v>1485</v>
      </c>
      <c r="D1912" s="159">
        <v>44078.0</v>
      </c>
      <c r="E1912" s="157" t="s">
        <v>731</v>
      </c>
      <c r="F1912" s="160">
        <v>30808.53</v>
      </c>
      <c r="G1912" s="160">
        <v>4929.36</v>
      </c>
      <c r="H1912" s="160">
        <f t="shared" si="49"/>
        <v>35737.89</v>
      </c>
      <c r="I1912" s="160"/>
      <c r="J1912" s="161"/>
      <c r="K1912" s="160"/>
      <c r="L1912" s="160">
        <f>+'FACP$'!$H1912-'FACP$'!$I1912-'FACP$'!$K1912</f>
        <v>35737.89</v>
      </c>
      <c r="M1912" s="162" t="s">
        <v>958</v>
      </c>
      <c r="N1912" s="162" t="s">
        <v>554</v>
      </c>
      <c r="O1912" s="175">
        <v>44092.0</v>
      </c>
      <c r="P1912" s="164">
        <f t="shared" si="13"/>
        <v>44088</v>
      </c>
      <c r="Q1912" s="165">
        <f t="shared" si="2"/>
        <v>0</v>
      </c>
      <c r="R1912" s="167"/>
      <c r="S1912" s="167"/>
      <c r="T1912" s="168">
        <f t="shared" si="3"/>
        <v>35737.89</v>
      </c>
      <c r="U1912" s="168">
        <f t="shared" si="4"/>
        <v>0</v>
      </c>
      <c r="V1912" s="168">
        <f t="shared" si="5"/>
        <v>0</v>
      </c>
      <c r="W1912" s="168">
        <f t="shared" si="6"/>
        <v>0</v>
      </c>
      <c r="X1912" s="168">
        <f t="shared" si="7"/>
        <v>0</v>
      </c>
      <c r="Y1912" s="168">
        <f t="shared" si="8"/>
        <v>0</v>
      </c>
      <c r="Z1912" s="168">
        <f t="shared" si="9"/>
        <v>0</v>
      </c>
    </row>
    <row r="1913" ht="14.25" customHeight="1">
      <c r="A1913" s="157" t="s">
        <v>2053</v>
      </c>
      <c r="B1913" s="158" t="s">
        <v>33</v>
      </c>
      <c r="C1913" s="158" t="s">
        <v>1569</v>
      </c>
      <c r="D1913" s="159">
        <v>44078.0</v>
      </c>
      <c r="E1913" s="157" t="s">
        <v>731</v>
      </c>
      <c r="F1913" s="160">
        <v>21975.03</v>
      </c>
      <c r="G1913" s="160">
        <v>3516.0</v>
      </c>
      <c r="H1913" s="160">
        <f t="shared" si="49"/>
        <v>25491.03</v>
      </c>
      <c r="I1913" s="160"/>
      <c r="J1913" s="161"/>
      <c r="K1913" s="160"/>
      <c r="L1913" s="160">
        <f>+'FACP$'!$H1913-'FACP$'!$I1913-'FACP$'!$K1913</f>
        <v>25491.03</v>
      </c>
      <c r="M1913" s="162" t="s">
        <v>958</v>
      </c>
      <c r="N1913" s="162" t="s">
        <v>554</v>
      </c>
      <c r="O1913" s="175">
        <v>44092.0</v>
      </c>
      <c r="P1913" s="164">
        <f t="shared" si="13"/>
        <v>44088</v>
      </c>
      <c r="Q1913" s="165">
        <f t="shared" si="2"/>
        <v>0</v>
      </c>
      <c r="R1913" s="167"/>
      <c r="S1913" s="167"/>
      <c r="T1913" s="168">
        <f t="shared" si="3"/>
        <v>25491.03</v>
      </c>
      <c r="U1913" s="168">
        <f t="shared" si="4"/>
        <v>0</v>
      </c>
      <c r="V1913" s="168">
        <f t="shared" si="5"/>
        <v>0</v>
      </c>
      <c r="W1913" s="168">
        <f t="shared" si="6"/>
        <v>0</v>
      </c>
      <c r="X1913" s="168">
        <f t="shared" si="7"/>
        <v>0</v>
      </c>
      <c r="Y1913" s="168">
        <f t="shared" si="8"/>
        <v>0</v>
      </c>
      <c r="Z1913" s="168">
        <f t="shared" si="9"/>
        <v>0</v>
      </c>
    </row>
    <row r="1914" ht="14.25" customHeight="1">
      <c r="A1914" s="157" t="s">
        <v>2054</v>
      </c>
      <c r="B1914" s="158" t="s">
        <v>41</v>
      </c>
      <c r="C1914" s="158" t="s">
        <v>2047</v>
      </c>
      <c r="D1914" s="159">
        <v>44078.0</v>
      </c>
      <c r="E1914" s="157" t="s">
        <v>731</v>
      </c>
      <c r="F1914" s="160">
        <v>309104.74</v>
      </c>
      <c r="G1914" s="160">
        <v>49456.76</v>
      </c>
      <c r="H1914" s="160">
        <f t="shared" si="49"/>
        <v>358561.5</v>
      </c>
      <c r="I1914" s="160"/>
      <c r="J1914" s="161"/>
      <c r="K1914" s="160"/>
      <c r="L1914" s="160">
        <f>+'FACP$'!$H1914-'FACP$'!$I1914-'FACP$'!$K1914</f>
        <v>358561.5</v>
      </c>
      <c r="M1914" s="162" t="s">
        <v>121</v>
      </c>
      <c r="N1914" s="162" t="s">
        <v>554</v>
      </c>
      <c r="O1914" s="175">
        <v>44141.0</v>
      </c>
      <c r="P1914" s="164">
        <f t="shared" si="13"/>
        <v>44088</v>
      </c>
      <c r="Q1914" s="165">
        <f t="shared" si="2"/>
        <v>0</v>
      </c>
      <c r="R1914" s="167"/>
      <c r="S1914" s="167"/>
      <c r="T1914" s="168">
        <f t="shared" si="3"/>
        <v>358561.5</v>
      </c>
      <c r="U1914" s="168">
        <f t="shared" si="4"/>
        <v>0</v>
      </c>
      <c r="V1914" s="168">
        <f t="shared" si="5"/>
        <v>0</v>
      </c>
      <c r="W1914" s="168">
        <f t="shared" si="6"/>
        <v>0</v>
      </c>
      <c r="X1914" s="168">
        <f t="shared" si="7"/>
        <v>0</v>
      </c>
      <c r="Y1914" s="168">
        <f t="shared" si="8"/>
        <v>0</v>
      </c>
      <c r="Z1914" s="168">
        <f t="shared" si="9"/>
        <v>0</v>
      </c>
    </row>
    <row r="1915" ht="14.25" customHeight="1">
      <c r="A1915" s="157" t="s">
        <v>2055</v>
      </c>
      <c r="B1915" s="158" t="s">
        <v>37</v>
      </c>
      <c r="C1915" s="158" t="s">
        <v>2047</v>
      </c>
      <c r="D1915" s="159">
        <v>44082.0</v>
      </c>
      <c r="E1915" s="157" t="s">
        <v>731</v>
      </c>
      <c r="F1915" s="160">
        <v>2272099.04</v>
      </c>
      <c r="G1915" s="160">
        <v>363535.85</v>
      </c>
      <c r="H1915" s="160">
        <f t="shared" si="49"/>
        <v>2635634.89</v>
      </c>
      <c r="I1915" s="160"/>
      <c r="J1915" s="161"/>
      <c r="K1915" s="160"/>
      <c r="L1915" s="160">
        <f>+'FACP$'!$H1915-'FACP$'!$I1915-'FACP$'!$K1915</f>
        <v>2635634.89</v>
      </c>
      <c r="M1915" s="162" t="s">
        <v>116</v>
      </c>
      <c r="N1915" s="162" t="s">
        <v>127</v>
      </c>
      <c r="O1915" s="175"/>
      <c r="P1915" s="164">
        <f t="shared" si="13"/>
        <v>44092</v>
      </c>
      <c r="Q1915" s="165">
        <f t="shared" si="2"/>
        <v>0</v>
      </c>
      <c r="R1915" s="167" t="s">
        <v>2056</v>
      </c>
      <c r="S1915" s="167"/>
      <c r="T1915" s="168">
        <f t="shared" si="3"/>
        <v>2635634.89</v>
      </c>
      <c r="U1915" s="168">
        <f t="shared" si="4"/>
        <v>0</v>
      </c>
      <c r="V1915" s="168">
        <f t="shared" si="5"/>
        <v>0</v>
      </c>
      <c r="W1915" s="168">
        <f t="shared" si="6"/>
        <v>0</v>
      </c>
      <c r="X1915" s="168">
        <f t="shared" si="7"/>
        <v>0</v>
      </c>
      <c r="Y1915" s="168">
        <f t="shared" si="8"/>
        <v>0</v>
      </c>
      <c r="Z1915" s="168">
        <f t="shared" si="9"/>
        <v>0</v>
      </c>
    </row>
    <row r="1916" ht="14.25" customHeight="1">
      <c r="A1916" s="157" t="s">
        <v>2057</v>
      </c>
      <c r="B1916" s="158" t="s">
        <v>29</v>
      </c>
      <c r="C1916" s="158" t="s">
        <v>2047</v>
      </c>
      <c r="D1916" s="159">
        <v>44082.0</v>
      </c>
      <c r="E1916" s="157" t="s">
        <v>731</v>
      </c>
      <c r="F1916" s="160">
        <v>253562.22</v>
      </c>
      <c r="G1916" s="160">
        <v>40569.96</v>
      </c>
      <c r="H1916" s="160">
        <f t="shared" si="49"/>
        <v>294132.18</v>
      </c>
      <c r="I1916" s="160"/>
      <c r="J1916" s="161"/>
      <c r="K1916" s="160"/>
      <c r="L1916" s="160">
        <f>+'FACP$'!$H1916-'FACP$'!$I1916-'FACP$'!$K1916</f>
        <v>294132.18</v>
      </c>
      <c r="M1916" s="162" t="s">
        <v>130</v>
      </c>
      <c r="N1916" s="162" t="s">
        <v>554</v>
      </c>
      <c r="O1916" s="175">
        <v>44098.0</v>
      </c>
      <c r="P1916" s="164">
        <f t="shared" si="13"/>
        <v>44092</v>
      </c>
      <c r="Q1916" s="165">
        <f t="shared" si="2"/>
        <v>0</v>
      </c>
      <c r="R1916" s="167"/>
      <c r="S1916" s="167"/>
      <c r="T1916" s="168">
        <f t="shared" si="3"/>
        <v>294132.18</v>
      </c>
      <c r="U1916" s="168">
        <f t="shared" si="4"/>
        <v>0</v>
      </c>
      <c r="V1916" s="168">
        <f t="shared" si="5"/>
        <v>0</v>
      </c>
      <c r="W1916" s="168">
        <f t="shared" si="6"/>
        <v>0</v>
      </c>
      <c r="X1916" s="168">
        <f t="shared" si="7"/>
        <v>0</v>
      </c>
      <c r="Y1916" s="168">
        <f t="shared" si="8"/>
        <v>0</v>
      </c>
      <c r="Z1916" s="168">
        <f t="shared" si="9"/>
        <v>0</v>
      </c>
    </row>
    <row r="1917" ht="14.25" customHeight="1">
      <c r="A1917" s="157" t="s">
        <v>2058</v>
      </c>
      <c r="B1917" s="158" t="s">
        <v>29</v>
      </c>
      <c r="C1917" s="158" t="s">
        <v>2059</v>
      </c>
      <c r="D1917" s="159">
        <v>44082.0</v>
      </c>
      <c r="E1917" s="157" t="s">
        <v>731</v>
      </c>
      <c r="F1917" s="160">
        <v>314275.71</v>
      </c>
      <c r="G1917" s="160">
        <v>50284.11</v>
      </c>
      <c r="H1917" s="160">
        <f t="shared" si="49"/>
        <v>364559.82</v>
      </c>
      <c r="I1917" s="160"/>
      <c r="J1917" s="161"/>
      <c r="K1917" s="160"/>
      <c r="L1917" s="160">
        <f>+'FACP$'!$H1917-'FACP$'!$I1917-'FACP$'!$K1917</f>
        <v>364559.82</v>
      </c>
      <c r="M1917" s="162" t="s">
        <v>130</v>
      </c>
      <c r="N1917" s="162" t="s">
        <v>554</v>
      </c>
      <c r="O1917" s="175">
        <v>44193.0</v>
      </c>
      <c r="P1917" s="164">
        <f t="shared" si="13"/>
        <v>44092</v>
      </c>
      <c r="Q1917" s="165">
        <f t="shared" si="2"/>
        <v>0</v>
      </c>
      <c r="R1917" s="167"/>
      <c r="S1917" s="167"/>
      <c r="T1917" s="168">
        <f t="shared" si="3"/>
        <v>364559.82</v>
      </c>
      <c r="U1917" s="168">
        <f t="shared" si="4"/>
        <v>0</v>
      </c>
      <c r="V1917" s="168">
        <f t="shared" si="5"/>
        <v>0</v>
      </c>
      <c r="W1917" s="168">
        <f t="shared" si="6"/>
        <v>0</v>
      </c>
      <c r="X1917" s="168">
        <f t="shared" si="7"/>
        <v>0</v>
      </c>
      <c r="Y1917" s="168">
        <f t="shared" si="8"/>
        <v>0</v>
      </c>
      <c r="Z1917" s="168">
        <f t="shared" si="9"/>
        <v>0</v>
      </c>
    </row>
    <row r="1918" ht="14.25" customHeight="1">
      <c r="A1918" s="157" t="s">
        <v>2060</v>
      </c>
      <c r="B1918" s="158" t="s">
        <v>19</v>
      </c>
      <c r="C1918" s="158" t="s">
        <v>2047</v>
      </c>
      <c r="D1918" s="159">
        <v>44082.0</v>
      </c>
      <c r="E1918" s="157" t="s">
        <v>731</v>
      </c>
      <c r="F1918" s="160">
        <v>5403.35</v>
      </c>
      <c r="G1918" s="160">
        <v>864.54</v>
      </c>
      <c r="H1918" s="160">
        <f t="shared" si="49"/>
        <v>6267.89</v>
      </c>
      <c r="I1918" s="160"/>
      <c r="J1918" s="161"/>
      <c r="K1918" s="160"/>
      <c r="L1918" s="160">
        <f>+'FACP$'!$H1918-'FACP$'!$I1918-'FACP$'!$K1918</f>
        <v>6267.89</v>
      </c>
      <c r="M1918" s="162" t="s">
        <v>732</v>
      </c>
      <c r="N1918" s="162" t="s">
        <v>554</v>
      </c>
      <c r="O1918" s="175">
        <v>44126.0</v>
      </c>
      <c r="P1918" s="164">
        <f t="shared" si="13"/>
        <v>44092</v>
      </c>
      <c r="Q1918" s="165">
        <f t="shared" si="2"/>
        <v>0</v>
      </c>
      <c r="R1918" s="167"/>
      <c r="S1918" s="167" t="s">
        <v>910</v>
      </c>
      <c r="T1918" s="168">
        <f t="shared" si="3"/>
        <v>6267.89</v>
      </c>
      <c r="U1918" s="168">
        <f t="shared" si="4"/>
        <v>0</v>
      </c>
      <c r="V1918" s="168">
        <f t="shared" si="5"/>
        <v>0</v>
      </c>
      <c r="W1918" s="168">
        <f t="shared" si="6"/>
        <v>0</v>
      </c>
      <c r="X1918" s="168">
        <f t="shared" si="7"/>
        <v>0</v>
      </c>
      <c r="Y1918" s="168">
        <f t="shared" si="8"/>
        <v>0</v>
      </c>
      <c r="Z1918" s="168">
        <f t="shared" si="9"/>
        <v>0</v>
      </c>
    </row>
    <row r="1919" ht="14.25" customHeight="1">
      <c r="A1919" s="157" t="s">
        <v>2061</v>
      </c>
      <c r="B1919" s="158" t="s">
        <v>18</v>
      </c>
      <c r="C1919" s="158" t="s">
        <v>2047</v>
      </c>
      <c r="D1919" s="159">
        <v>44082.0</v>
      </c>
      <c r="E1919" s="157" t="s">
        <v>731</v>
      </c>
      <c r="F1919" s="160">
        <v>115180.85</v>
      </c>
      <c r="G1919" s="160">
        <v>18428.94</v>
      </c>
      <c r="H1919" s="160">
        <f t="shared" si="49"/>
        <v>133609.79</v>
      </c>
      <c r="I1919" s="160"/>
      <c r="J1919" s="161"/>
      <c r="K1919" s="160"/>
      <c r="L1919" s="160">
        <f>+'FACP$'!$H1919-'FACP$'!$I1919-'FACP$'!$K1919</f>
        <v>133609.79</v>
      </c>
      <c r="M1919" s="162" t="s">
        <v>586</v>
      </c>
      <c r="N1919" s="162" t="s">
        <v>127</v>
      </c>
      <c r="O1919" s="175"/>
      <c r="P1919" s="164">
        <f t="shared" si="13"/>
        <v>44092</v>
      </c>
      <c r="Q1919" s="165">
        <f t="shared" si="2"/>
        <v>0</v>
      </c>
      <c r="R1919" s="167"/>
      <c r="S1919" s="167"/>
      <c r="T1919" s="168">
        <f t="shared" si="3"/>
        <v>133609.79</v>
      </c>
      <c r="U1919" s="168">
        <f t="shared" si="4"/>
        <v>0</v>
      </c>
      <c r="V1919" s="168">
        <f t="shared" si="5"/>
        <v>0</v>
      </c>
      <c r="W1919" s="168">
        <f t="shared" si="6"/>
        <v>0</v>
      </c>
      <c r="X1919" s="168">
        <f t="shared" si="7"/>
        <v>0</v>
      </c>
      <c r="Y1919" s="168">
        <f t="shared" si="8"/>
        <v>0</v>
      </c>
      <c r="Z1919" s="168">
        <f t="shared" si="9"/>
        <v>0</v>
      </c>
    </row>
    <row r="1920" ht="14.25" customHeight="1">
      <c r="A1920" s="157" t="s">
        <v>2062</v>
      </c>
      <c r="B1920" s="158" t="s">
        <v>16</v>
      </c>
      <c r="C1920" s="158" t="s">
        <v>2047</v>
      </c>
      <c r="D1920" s="159">
        <v>44082.0</v>
      </c>
      <c r="E1920" s="157" t="s">
        <v>731</v>
      </c>
      <c r="F1920" s="160">
        <v>332360.53</v>
      </c>
      <c r="G1920" s="160">
        <v>53177.68</v>
      </c>
      <c r="H1920" s="160">
        <f t="shared" si="49"/>
        <v>385538.21</v>
      </c>
      <c r="I1920" s="160"/>
      <c r="J1920" s="161"/>
      <c r="K1920" s="160"/>
      <c r="L1920" s="160">
        <f>+'FACP$'!$H1920-'FACP$'!$I1920-'FACP$'!$K1920</f>
        <v>385538.21</v>
      </c>
      <c r="M1920" s="162" t="s">
        <v>985</v>
      </c>
      <c r="N1920" s="162" t="s">
        <v>554</v>
      </c>
      <c r="O1920" s="175">
        <v>44098.0</v>
      </c>
      <c r="P1920" s="164">
        <f t="shared" si="13"/>
        <v>44092</v>
      </c>
      <c r="Q1920" s="165">
        <f t="shared" si="2"/>
        <v>0</v>
      </c>
      <c r="R1920" s="167"/>
      <c r="S1920" s="167"/>
      <c r="T1920" s="168">
        <f t="shared" si="3"/>
        <v>385538.21</v>
      </c>
      <c r="U1920" s="168">
        <f t="shared" si="4"/>
        <v>0</v>
      </c>
      <c r="V1920" s="168">
        <f t="shared" si="5"/>
        <v>0</v>
      </c>
      <c r="W1920" s="168">
        <f t="shared" si="6"/>
        <v>0</v>
      </c>
      <c r="X1920" s="168">
        <f t="shared" si="7"/>
        <v>0</v>
      </c>
      <c r="Y1920" s="168">
        <f t="shared" si="8"/>
        <v>0</v>
      </c>
      <c r="Z1920" s="168">
        <f t="shared" si="9"/>
        <v>0</v>
      </c>
    </row>
    <row r="1921" ht="14.25" customHeight="1">
      <c r="A1921" s="157" t="s">
        <v>2063</v>
      </c>
      <c r="B1921" s="158" t="s">
        <v>16</v>
      </c>
      <c r="C1921" s="158" t="s">
        <v>127</v>
      </c>
      <c r="D1921" s="159"/>
      <c r="E1921" s="157"/>
      <c r="F1921" s="160"/>
      <c r="G1921" s="160"/>
      <c r="H1921" s="160">
        <f t="shared" si="49"/>
        <v>0</v>
      </c>
      <c r="I1921" s="160"/>
      <c r="J1921" s="161"/>
      <c r="K1921" s="160"/>
      <c r="L1921" s="160">
        <f>+'FACP$'!$H1921-'FACP$'!$I1921-'FACP$'!$K1921</f>
        <v>0</v>
      </c>
      <c r="M1921" s="162"/>
      <c r="N1921" s="162" t="s">
        <v>127</v>
      </c>
      <c r="O1921" s="175"/>
      <c r="P1921" s="164">
        <f t="shared" si="13"/>
        <v>10</v>
      </c>
      <c r="Q1921" s="165">
        <f t="shared" si="2"/>
        <v>0</v>
      </c>
      <c r="R1921" s="167"/>
      <c r="S1921" s="167"/>
      <c r="T1921" s="168">
        <f t="shared" si="3"/>
        <v>0</v>
      </c>
      <c r="U1921" s="168">
        <f t="shared" si="4"/>
        <v>0</v>
      </c>
      <c r="V1921" s="168">
        <f t="shared" si="5"/>
        <v>0</v>
      </c>
      <c r="W1921" s="168">
        <f t="shared" si="6"/>
        <v>0</v>
      </c>
      <c r="X1921" s="168">
        <f t="shared" si="7"/>
        <v>0</v>
      </c>
      <c r="Y1921" s="168">
        <f t="shared" si="8"/>
        <v>0</v>
      </c>
      <c r="Z1921" s="168">
        <f t="shared" si="9"/>
        <v>0</v>
      </c>
    </row>
    <row r="1922" ht="14.25" customHeight="1">
      <c r="A1922" s="157" t="s">
        <v>2064</v>
      </c>
      <c r="B1922" s="158" t="s">
        <v>38</v>
      </c>
      <c r="C1922" s="158" t="s">
        <v>2047</v>
      </c>
      <c r="D1922" s="159">
        <v>44082.0</v>
      </c>
      <c r="E1922" s="157" t="s">
        <v>731</v>
      </c>
      <c r="F1922" s="160">
        <v>78291.97</v>
      </c>
      <c r="G1922" s="160">
        <v>12526.72</v>
      </c>
      <c r="H1922" s="160">
        <f t="shared" si="49"/>
        <v>90818.69</v>
      </c>
      <c r="I1922" s="160"/>
      <c r="J1922" s="161"/>
      <c r="K1922" s="160"/>
      <c r="L1922" s="160">
        <f>+'FACP$'!$H1922-'FACP$'!$I1922-'FACP$'!$K1922</f>
        <v>90818.69</v>
      </c>
      <c r="M1922" s="162" t="s">
        <v>145</v>
      </c>
      <c r="N1922" s="162" t="s">
        <v>554</v>
      </c>
      <c r="O1922" s="175">
        <v>44098.0</v>
      </c>
      <c r="P1922" s="164">
        <f t="shared" si="13"/>
        <v>44092</v>
      </c>
      <c r="Q1922" s="165">
        <f t="shared" si="2"/>
        <v>0</v>
      </c>
      <c r="R1922" s="167"/>
      <c r="S1922" s="220" t="s">
        <v>910</v>
      </c>
      <c r="T1922" s="168">
        <f t="shared" si="3"/>
        <v>90818.69</v>
      </c>
      <c r="U1922" s="168">
        <f t="shared" si="4"/>
        <v>0</v>
      </c>
      <c r="V1922" s="168">
        <f t="shared" si="5"/>
        <v>0</v>
      </c>
      <c r="W1922" s="168">
        <f t="shared" si="6"/>
        <v>0</v>
      </c>
      <c r="X1922" s="168">
        <f t="shared" si="7"/>
        <v>0</v>
      </c>
      <c r="Y1922" s="168">
        <f t="shared" si="8"/>
        <v>0</v>
      </c>
      <c r="Z1922" s="168">
        <f t="shared" si="9"/>
        <v>0</v>
      </c>
    </row>
    <row r="1923" ht="14.25" customHeight="1">
      <c r="A1923" s="157" t="s">
        <v>2065</v>
      </c>
      <c r="B1923" s="158" t="s">
        <v>16</v>
      </c>
      <c r="C1923" s="158" t="s">
        <v>2059</v>
      </c>
      <c r="D1923" s="159">
        <v>44082.0</v>
      </c>
      <c r="E1923" s="157" t="s">
        <v>731</v>
      </c>
      <c r="F1923" s="160">
        <v>408601.09</v>
      </c>
      <c r="G1923" s="160">
        <v>65376.17</v>
      </c>
      <c r="H1923" s="160">
        <f t="shared" si="49"/>
        <v>473977.26</v>
      </c>
      <c r="I1923" s="160"/>
      <c r="J1923" s="161"/>
      <c r="K1923" s="160"/>
      <c r="L1923" s="160">
        <f>+'FACP$'!$H1923-'FACP$'!$I1923-'FACP$'!$K1923</f>
        <v>473977.26</v>
      </c>
      <c r="M1923" s="162" t="s">
        <v>985</v>
      </c>
      <c r="N1923" s="162" t="s">
        <v>554</v>
      </c>
      <c r="O1923" s="175">
        <v>44076.0</v>
      </c>
      <c r="P1923" s="164">
        <f t="shared" si="13"/>
        <v>44092</v>
      </c>
      <c r="Q1923" s="165">
        <f t="shared" si="2"/>
        <v>0</v>
      </c>
      <c r="R1923" s="167"/>
      <c r="S1923" s="167"/>
      <c r="T1923" s="168">
        <f t="shared" si="3"/>
        <v>473977.26</v>
      </c>
      <c r="U1923" s="168">
        <f t="shared" si="4"/>
        <v>0</v>
      </c>
      <c r="V1923" s="168">
        <f t="shared" si="5"/>
        <v>0</v>
      </c>
      <c r="W1923" s="168">
        <f t="shared" si="6"/>
        <v>0</v>
      </c>
      <c r="X1923" s="168">
        <f t="shared" si="7"/>
        <v>0</v>
      </c>
      <c r="Y1923" s="168">
        <f t="shared" si="8"/>
        <v>0</v>
      </c>
      <c r="Z1923" s="168">
        <f t="shared" si="9"/>
        <v>0</v>
      </c>
    </row>
    <row r="1924" ht="14.25" customHeight="1">
      <c r="A1924" s="157" t="s">
        <v>2066</v>
      </c>
      <c r="B1924" s="158" t="s">
        <v>37</v>
      </c>
      <c r="C1924" s="158" t="s">
        <v>2047</v>
      </c>
      <c r="D1924" s="159">
        <v>44083.0</v>
      </c>
      <c r="E1924" s="157" t="s">
        <v>731</v>
      </c>
      <c r="F1924" s="160">
        <v>1971942.8</v>
      </c>
      <c r="G1924" s="160">
        <v>315510.85</v>
      </c>
      <c r="H1924" s="160">
        <f t="shared" si="49"/>
        <v>2287453.65</v>
      </c>
      <c r="I1924" s="160"/>
      <c r="J1924" s="161"/>
      <c r="K1924" s="160"/>
      <c r="L1924" s="160">
        <f>+'FACP$'!$H1924-'FACP$'!$I1924-'FACP$'!$K1924</f>
        <v>2287453.65</v>
      </c>
      <c r="M1924" s="162" t="s">
        <v>116</v>
      </c>
      <c r="N1924" s="162" t="s">
        <v>554</v>
      </c>
      <c r="O1924" s="175">
        <v>44102.0</v>
      </c>
      <c r="P1924" s="164">
        <f t="shared" si="13"/>
        <v>44093</v>
      </c>
      <c r="Q1924" s="165">
        <f t="shared" si="2"/>
        <v>0</v>
      </c>
      <c r="R1924" s="167" t="s">
        <v>2067</v>
      </c>
      <c r="S1924" s="167" t="s">
        <v>910</v>
      </c>
      <c r="T1924" s="168">
        <f t="shared" si="3"/>
        <v>2287453.65</v>
      </c>
      <c r="U1924" s="168">
        <f t="shared" si="4"/>
        <v>0</v>
      </c>
      <c r="V1924" s="168">
        <f t="shared" si="5"/>
        <v>0</v>
      </c>
      <c r="W1924" s="168">
        <f t="shared" si="6"/>
        <v>0</v>
      </c>
      <c r="X1924" s="168">
        <f t="shared" si="7"/>
        <v>0</v>
      </c>
      <c r="Y1924" s="168">
        <f t="shared" si="8"/>
        <v>0</v>
      </c>
      <c r="Z1924" s="168">
        <f t="shared" si="9"/>
        <v>0</v>
      </c>
    </row>
    <row r="1925" ht="14.25" customHeight="1">
      <c r="A1925" s="157" t="s">
        <v>2068</v>
      </c>
      <c r="B1925" s="158" t="s">
        <v>27</v>
      </c>
      <c r="C1925" s="158" t="s">
        <v>127</v>
      </c>
      <c r="D1925" s="159">
        <v>44083.0</v>
      </c>
      <c r="E1925" s="157"/>
      <c r="F1925" s="160"/>
      <c r="G1925" s="160"/>
      <c r="H1925" s="160">
        <f t="shared" si="49"/>
        <v>0</v>
      </c>
      <c r="I1925" s="160"/>
      <c r="J1925" s="161"/>
      <c r="K1925" s="160"/>
      <c r="L1925" s="160">
        <f>+'FACP$'!$H1925-'FACP$'!$I1925-'FACP$'!$K1925</f>
        <v>0</v>
      </c>
      <c r="M1925" s="162"/>
      <c r="N1925" s="162" t="s">
        <v>127</v>
      </c>
      <c r="O1925" s="175"/>
      <c r="P1925" s="164">
        <f t="shared" si="13"/>
        <v>44093</v>
      </c>
      <c r="Q1925" s="165">
        <f t="shared" si="2"/>
        <v>0</v>
      </c>
      <c r="R1925" s="167"/>
      <c r="S1925" s="167"/>
      <c r="T1925" s="168">
        <f t="shared" si="3"/>
        <v>0</v>
      </c>
      <c r="U1925" s="168">
        <f t="shared" si="4"/>
        <v>0</v>
      </c>
      <c r="V1925" s="168">
        <f t="shared" si="5"/>
        <v>0</v>
      </c>
      <c r="W1925" s="168">
        <f t="shared" si="6"/>
        <v>0</v>
      </c>
      <c r="X1925" s="168">
        <f t="shared" si="7"/>
        <v>0</v>
      </c>
      <c r="Y1925" s="168">
        <f t="shared" si="8"/>
        <v>0</v>
      </c>
      <c r="Z1925" s="168">
        <f t="shared" si="9"/>
        <v>0</v>
      </c>
    </row>
    <row r="1926" ht="14.25" customHeight="1">
      <c r="A1926" s="157" t="s">
        <v>2069</v>
      </c>
      <c r="B1926" s="158" t="s">
        <v>27</v>
      </c>
      <c r="C1926" s="158" t="s">
        <v>2059</v>
      </c>
      <c r="D1926" s="159">
        <v>44083.0</v>
      </c>
      <c r="E1926" s="157" t="s">
        <v>731</v>
      </c>
      <c r="F1926" s="160">
        <v>422685.6</v>
      </c>
      <c r="G1926" s="160">
        <v>67629.7</v>
      </c>
      <c r="H1926" s="160">
        <f t="shared" si="49"/>
        <v>490315.3</v>
      </c>
      <c r="I1926" s="160"/>
      <c r="J1926" s="161"/>
      <c r="K1926" s="160"/>
      <c r="L1926" s="160">
        <f>+'FACP$'!$H1926-'FACP$'!$I1926-'FACP$'!$K1926</f>
        <v>490315.3</v>
      </c>
      <c r="M1926" s="162" t="s">
        <v>1644</v>
      </c>
      <c r="N1926" s="162" t="s">
        <v>554</v>
      </c>
      <c r="O1926" s="175">
        <v>44145.0</v>
      </c>
      <c r="P1926" s="164">
        <f t="shared" si="13"/>
        <v>44093</v>
      </c>
      <c r="Q1926" s="165">
        <f t="shared" si="2"/>
        <v>0</v>
      </c>
      <c r="R1926" s="167"/>
      <c r="S1926" s="167" t="s">
        <v>910</v>
      </c>
      <c r="T1926" s="168">
        <f t="shared" si="3"/>
        <v>490315.3</v>
      </c>
      <c r="U1926" s="168">
        <f t="shared" si="4"/>
        <v>0</v>
      </c>
      <c r="V1926" s="168">
        <f t="shared" si="5"/>
        <v>0</v>
      </c>
      <c r="W1926" s="168">
        <f t="shared" si="6"/>
        <v>0</v>
      </c>
      <c r="X1926" s="168">
        <f t="shared" si="7"/>
        <v>0</v>
      </c>
      <c r="Y1926" s="168">
        <f t="shared" si="8"/>
        <v>0</v>
      </c>
      <c r="Z1926" s="168">
        <f t="shared" si="9"/>
        <v>0</v>
      </c>
    </row>
    <row r="1927" ht="14.25" customHeight="1">
      <c r="A1927" s="157" t="s">
        <v>2070</v>
      </c>
      <c r="B1927" s="158" t="s">
        <v>27</v>
      </c>
      <c r="C1927" s="158" t="s">
        <v>2047</v>
      </c>
      <c r="D1927" s="159">
        <v>44083.0</v>
      </c>
      <c r="E1927" s="157" t="s">
        <v>731</v>
      </c>
      <c r="F1927" s="160">
        <v>404615.85</v>
      </c>
      <c r="G1927" s="160">
        <v>64738.54</v>
      </c>
      <c r="H1927" s="160">
        <f t="shared" si="49"/>
        <v>469354.39</v>
      </c>
      <c r="I1927" s="160"/>
      <c r="J1927" s="161"/>
      <c r="K1927" s="160"/>
      <c r="L1927" s="160">
        <f>+'FACP$'!$H1927-'FACP$'!$I1927-'FACP$'!$K1927</f>
        <v>469354.39</v>
      </c>
      <c r="M1927" s="162" t="s">
        <v>1644</v>
      </c>
      <c r="N1927" s="162" t="s">
        <v>554</v>
      </c>
      <c r="O1927" s="175">
        <v>44167.0</v>
      </c>
      <c r="P1927" s="164">
        <f t="shared" si="13"/>
        <v>44093</v>
      </c>
      <c r="Q1927" s="165">
        <f t="shared" si="2"/>
        <v>0</v>
      </c>
      <c r="R1927" s="167"/>
      <c r="S1927" s="220" t="s">
        <v>910</v>
      </c>
      <c r="T1927" s="168">
        <f t="shared" si="3"/>
        <v>469354.39</v>
      </c>
      <c r="U1927" s="168">
        <f t="shared" si="4"/>
        <v>0</v>
      </c>
      <c r="V1927" s="168">
        <f t="shared" si="5"/>
        <v>0</v>
      </c>
      <c r="W1927" s="168">
        <f t="shared" si="6"/>
        <v>0</v>
      </c>
      <c r="X1927" s="168">
        <f t="shared" si="7"/>
        <v>0</v>
      </c>
      <c r="Y1927" s="168">
        <f t="shared" si="8"/>
        <v>0</v>
      </c>
      <c r="Z1927" s="168">
        <f t="shared" si="9"/>
        <v>0</v>
      </c>
    </row>
    <row r="1928" ht="14.25" customHeight="1">
      <c r="A1928" s="157" t="s">
        <v>2071</v>
      </c>
      <c r="B1928" s="158" t="s">
        <v>27</v>
      </c>
      <c r="C1928" s="226" t="s">
        <v>2047</v>
      </c>
      <c r="D1928" s="159">
        <v>44083.0</v>
      </c>
      <c r="E1928" s="157" t="s">
        <v>731</v>
      </c>
      <c r="F1928" s="160">
        <v>142283.35</v>
      </c>
      <c r="G1928" s="160">
        <v>22765.34</v>
      </c>
      <c r="H1928" s="160">
        <f t="shared" si="49"/>
        <v>165048.69</v>
      </c>
      <c r="I1928" s="160"/>
      <c r="J1928" s="161"/>
      <c r="K1928" s="160"/>
      <c r="L1928" s="160">
        <f>+'FACP$'!$H1928-'FACP$'!$I1928-'FACP$'!$K1928</f>
        <v>165048.69</v>
      </c>
      <c r="M1928" s="162" t="s">
        <v>1721</v>
      </c>
      <c r="N1928" s="162" t="s">
        <v>554</v>
      </c>
      <c r="O1928" s="175">
        <v>44167.0</v>
      </c>
      <c r="P1928" s="164">
        <f t="shared" si="13"/>
        <v>44093</v>
      </c>
      <c r="Q1928" s="165">
        <f t="shared" si="2"/>
        <v>0</v>
      </c>
      <c r="R1928" s="167"/>
      <c r="S1928" s="220" t="s">
        <v>910</v>
      </c>
      <c r="T1928" s="168">
        <f t="shared" si="3"/>
        <v>165048.69</v>
      </c>
      <c r="U1928" s="168">
        <f t="shared" si="4"/>
        <v>0</v>
      </c>
      <c r="V1928" s="168">
        <f t="shared" si="5"/>
        <v>0</v>
      </c>
      <c r="W1928" s="168">
        <f t="shared" si="6"/>
        <v>0</v>
      </c>
      <c r="X1928" s="168">
        <f t="shared" si="7"/>
        <v>0</v>
      </c>
      <c r="Y1928" s="168">
        <f t="shared" si="8"/>
        <v>0</v>
      </c>
      <c r="Z1928" s="168">
        <f t="shared" si="9"/>
        <v>0</v>
      </c>
    </row>
    <row r="1929" ht="14.25" customHeight="1">
      <c r="A1929" s="157" t="s">
        <v>2072</v>
      </c>
      <c r="B1929" s="158" t="s">
        <v>27</v>
      </c>
      <c r="C1929" s="158" t="s">
        <v>2073</v>
      </c>
      <c r="D1929" s="159">
        <v>44083.0</v>
      </c>
      <c r="E1929" s="157" t="s">
        <v>731</v>
      </c>
      <c r="F1929" s="160">
        <v>149091.37</v>
      </c>
      <c r="G1929" s="160">
        <v>23854.62</v>
      </c>
      <c r="H1929" s="160">
        <f t="shared" si="49"/>
        <v>172945.99</v>
      </c>
      <c r="I1929" s="160"/>
      <c r="J1929" s="161"/>
      <c r="K1929" s="160"/>
      <c r="L1929" s="160">
        <f>+'FACP$'!$H1929-'FACP$'!$I1929-'FACP$'!$K1929</f>
        <v>172945.99</v>
      </c>
      <c r="M1929" s="162" t="s">
        <v>1721</v>
      </c>
      <c r="N1929" s="162" t="s">
        <v>554</v>
      </c>
      <c r="O1929" s="175">
        <v>44175.0</v>
      </c>
      <c r="P1929" s="164">
        <f t="shared" si="13"/>
        <v>44093</v>
      </c>
      <c r="Q1929" s="165">
        <f t="shared" si="2"/>
        <v>0</v>
      </c>
      <c r="R1929" s="167"/>
      <c r="S1929" s="220" t="s">
        <v>910</v>
      </c>
      <c r="T1929" s="168">
        <f t="shared" si="3"/>
        <v>172945.99</v>
      </c>
      <c r="U1929" s="168">
        <f t="shared" si="4"/>
        <v>0</v>
      </c>
      <c r="V1929" s="168">
        <f t="shared" si="5"/>
        <v>0</v>
      </c>
      <c r="W1929" s="168">
        <f t="shared" si="6"/>
        <v>0</v>
      </c>
      <c r="X1929" s="168">
        <f t="shared" si="7"/>
        <v>0</v>
      </c>
      <c r="Y1929" s="168">
        <f t="shared" si="8"/>
        <v>0</v>
      </c>
      <c r="Z1929" s="168">
        <f t="shared" si="9"/>
        <v>0</v>
      </c>
    </row>
    <row r="1930" ht="14.25" customHeight="1">
      <c r="A1930" s="157" t="s">
        <v>2074</v>
      </c>
      <c r="B1930" s="158" t="s">
        <v>18</v>
      </c>
      <c r="C1930" s="158" t="s">
        <v>2047</v>
      </c>
      <c r="D1930" s="159">
        <v>44085.0</v>
      </c>
      <c r="E1930" s="157" t="s">
        <v>731</v>
      </c>
      <c r="F1930" s="160">
        <v>115180.85</v>
      </c>
      <c r="G1930" s="160">
        <v>18428.94</v>
      </c>
      <c r="H1930" s="160">
        <f t="shared" si="49"/>
        <v>133609.79</v>
      </c>
      <c r="I1930" s="160"/>
      <c r="J1930" s="161"/>
      <c r="K1930" s="160"/>
      <c r="L1930" s="160">
        <f>+'FACP$'!$H1930-'FACP$'!$I1930-'FACP$'!$K1930</f>
        <v>133609.79</v>
      </c>
      <c r="M1930" s="162" t="s">
        <v>586</v>
      </c>
      <c r="N1930" s="162" t="s">
        <v>554</v>
      </c>
      <c r="O1930" s="175">
        <v>44126.0</v>
      </c>
      <c r="P1930" s="164">
        <f t="shared" si="13"/>
        <v>44095</v>
      </c>
      <c r="Q1930" s="165">
        <f t="shared" si="2"/>
        <v>0</v>
      </c>
      <c r="R1930" s="167" t="s">
        <v>2075</v>
      </c>
      <c r="S1930" s="167" t="s">
        <v>910</v>
      </c>
      <c r="T1930" s="168">
        <f t="shared" si="3"/>
        <v>133609.79</v>
      </c>
      <c r="U1930" s="168">
        <f t="shared" si="4"/>
        <v>0</v>
      </c>
      <c r="V1930" s="168">
        <f t="shared" si="5"/>
        <v>0</v>
      </c>
      <c r="W1930" s="168">
        <f t="shared" si="6"/>
        <v>0</v>
      </c>
      <c r="X1930" s="168">
        <f t="shared" si="7"/>
        <v>0</v>
      </c>
      <c r="Y1930" s="168">
        <f t="shared" si="8"/>
        <v>0</v>
      </c>
      <c r="Z1930" s="168">
        <f t="shared" si="9"/>
        <v>0</v>
      </c>
    </row>
    <row r="1931" ht="14.25" customHeight="1">
      <c r="A1931" s="157" t="s">
        <v>2076</v>
      </c>
      <c r="B1931" s="158" t="s">
        <v>30</v>
      </c>
      <c r="C1931" s="169" t="s">
        <v>2077</v>
      </c>
      <c r="D1931" s="159">
        <v>44091.0</v>
      </c>
      <c r="E1931" s="157" t="s">
        <v>731</v>
      </c>
      <c r="F1931" s="160">
        <v>326507.36</v>
      </c>
      <c r="G1931" s="160">
        <v>52241.18</v>
      </c>
      <c r="H1931" s="160">
        <f t="shared" si="49"/>
        <v>378748.54</v>
      </c>
      <c r="I1931" s="160"/>
      <c r="J1931" s="161"/>
      <c r="K1931" s="160"/>
      <c r="L1931" s="160">
        <f>+'FACP$'!$H1931-'FACP$'!$I1931-'FACP$'!$K1931</f>
        <v>378748.54</v>
      </c>
      <c r="M1931" s="162" t="s">
        <v>891</v>
      </c>
      <c r="N1931" s="162" t="s">
        <v>127</v>
      </c>
      <c r="O1931" s="175"/>
      <c r="P1931" s="164">
        <f t="shared" si="13"/>
        <v>44101</v>
      </c>
      <c r="Q1931" s="165">
        <f t="shared" si="2"/>
        <v>0</v>
      </c>
      <c r="R1931" s="220" t="s">
        <v>1309</v>
      </c>
      <c r="S1931" s="167"/>
      <c r="T1931" s="168">
        <f t="shared" si="3"/>
        <v>378748.54</v>
      </c>
      <c r="U1931" s="168">
        <f t="shared" si="4"/>
        <v>0</v>
      </c>
      <c r="V1931" s="168">
        <f t="shared" si="5"/>
        <v>0</v>
      </c>
      <c r="W1931" s="168">
        <f t="shared" si="6"/>
        <v>0</v>
      </c>
      <c r="X1931" s="168">
        <f t="shared" si="7"/>
        <v>0</v>
      </c>
      <c r="Y1931" s="168">
        <f t="shared" si="8"/>
        <v>0</v>
      </c>
      <c r="Z1931" s="168">
        <f t="shared" si="9"/>
        <v>0</v>
      </c>
    </row>
    <row r="1932" ht="14.25" customHeight="1">
      <c r="A1932" s="157" t="s">
        <v>2078</v>
      </c>
      <c r="B1932" s="158" t="s">
        <v>30</v>
      </c>
      <c r="C1932" s="221" t="s">
        <v>2079</v>
      </c>
      <c r="D1932" s="159">
        <v>44091.0</v>
      </c>
      <c r="E1932" s="157" t="s">
        <v>731</v>
      </c>
      <c r="F1932" s="160">
        <v>12087.98</v>
      </c>
      <c r="G1932" s="160">
        <v>1934.08</v>
      </c>
      <c r="H1932" s="160">
        <f t="shared" si="49"/>
        <v>14022.06</v>
      </c>
      <c r="I1932" s="160"/>
      <c r="J1932" s="161"/>
      <c r="K1932" s="160"/>
      <c r="L1932" s="160">
        <f>+'FACP$'!$H1932-'FACP$'!$I1932-'FACP$'!$K1932</f>
        <v>14022.06</v>
      </c>
      <c r="M1932" s="162" t="s">
        <v>891</v>
      </c>
      <c r="N1932" s="162" t="s">
        <v>127</v>
      </c>
      <c r="O1932" s="175"/>
      <c r="P1932" s="164">
        <f t="shared" si="13"/>
        <v>44101</v>
      </c>
      <c r="Q1932" s="165">
        <f t="shared" si="2"/>
        <v>0</v>
      </c>
      <c r="R1932" s="167" t="s">
        <v>2080</v>
      </c>
      <c r="S1932" s="167"/>
      <c r="T1932" s="168">
        <f t="shared" si="3"/>
        <v>14022.06</v>
      </c>
      <c r="U1932" s="168">
        <f t="shared" si="4"/>
        <v>0</v>
      </c>
      <c r="V1932" s="168">
        <f t="shared" si="5"/>
        <v>0</v>
      </c>
      <c r="W1932" s="168">
        <f t="shared" si="6"/>
        <v>0</v>
      </c>
      <c r="X1932" s="168">
        <f t="shared" si="7"/>
        <v>0</v>
      </c>
      <c r="Y1932" s="168">
        <f t="shared" si="8"/>
        <v>0</v>
      </c>
      <c r="Z1932" s="168">
        <f t="shared" si="9"/>
        <v>0</v>
      </c>
    </row>
    <row r="1933" ht="14.25" customHeight="1">
      <c r="A1933" s="157" t="s">
        <v>2081</v>
      </c>
      <c r="B1933" s="158" t="s">
        <v>30</v>
      </c>
      <c r="C1933" s="169" t="s">
        <v>2077</v>
      </c>
      <c r="D1933" s="159">
        <v>44091.0</v>
      </c>
      <c r="E1933" s="157" t="s">
        <v>731</v>
      </c>
      <c r="F1933" s="160">
        <v>391328.67</v>
      </c>
      <c r="G1933" s="160">
        <v>62612.59</v>
      </c>
      <c r="H1933" s="160">
        <f>F1933+G1933-226970.63</f>
        <v>226970.63</v>
      </c>
      <c r="I1933" s="160"/>
      <c r="J1933" s="161"/>
      <c r="K1933" s="160"/>
      <c r="L1933" s="160">
        <f>+'FACP$'!$H1933-'FACP$'!$I1933-'FACP$'!$K1933</f>
        <v>226970.63</v>
      </c>
      <c r="M1933" s="162" t="s">
        <v>891</v>
      </c>
      <c r="N1933" s="162" t="s">
        <v>127</v>
      </c>
      <c r="O1933" s="175"/>
      <c r="P1933" s="164">
        <f t="shared" si="13"/>
        <v>44101</v>
      </c>
      <c r="Q1933" s="165">
        <f t="shared" si="2"/>
        <v>0</v>
      </c>
      <c r="R1933" s="220" t="s">
        <v>2082</v>
      </c>
      <c r="S1933" s="167"/>
      <c r="T1933" s="168">
        <f t="shared" si="3"/>
        <v>226970.63</v>
      </c>
      <c r="U1933" s="168">
        <f t="shared" si="4"/>
        <v>0</v>
      </c>
      <c r="V1933" s="168">
        <f t="shared" si="5"/>
        <v>0</v>
      </c>
      <c r="W1933" s="168">
        <f t="shared" si="6"/>
        <v>0</v>
      </c>
      <c r="X1933" s="168">
        <f t="shared" si="7"/>
        <v>0</v>
      </c>
      <c r="Y1933" s="168">
        <f t="shared" si="8"/>
        <v>0</v>
      </c>
      <c r="Z1933" s="168">
        <f t="shared" si="9"/>
        <v>0</v>
      </c>
    </row>
    <row r="1934" ht="14.25" customHeight="1">
      <c r="A1934" s="157" t="s">
        <v>2083</v>
      </c>
      <c r="B1934" s="158" t="s">
        <v>43</v>
      </c>
      <c r="C1934" s="158" t="s">
        <v>2084</v>
      </c>
      <c r="D1934" s="159">
        <v>44091.0</v>
      </c>
      <c r="E1934" s="157" t="s">
        <v>731</v>
      </c>
      <c r="F1934" s="160">
        <v>440585.65</v>
      </c>
      <c r="G1934" s="160">
        <v>70493.7</v>
      </c>
      <c r="H1934" s="160">
        <f t="shared" ref="H1934:H2000" si="50">F1934+G1934</f>
        <v>511079.35</v>
      </c>
      <c r="I1934" s="160"/>
      <c r="J1934" s="161"/>
      <c r="K1934" s="160"/>
      <c r="L1934" s="160">
        <f>+'FACP$'!$H1934-'FACP$'!$I1934-'FACP$'!$K1934</f>
        <v>511079.35</v>
      </c>
      <c r="M1934" s="162" t="s">
        <v>43</v>
      </c>
      <c r="N1934" s="162" t="s">
        <v>554</v>
      </c>
      <c r="O1934" s="175">
        <v>44099.0</v>
      </c>
      <c r="P1934" s="164">
        <f t="shared" si="13"/>
        <v>44101</v>
      </c>
      <c r="Q1934" s="165">
        <f t="shared" si="2"/>
        <v>0</v>
      </c>
      <c r="R1934" s="167"/>
      <c r="S1934" s="167" t="s">
        <v>910</v>
      </c>
      <c r="T1934" s="168">
        <f t="shared" si="3"/>
        <v>511079.35</v>
      </c>
      <c r="U1934" s="168">
        <f t="shared" si="4"/>
        <v>0</v>
      </c>
      <c r="V1934" s="168">
        <f t="shared" si="5"/>
        <v>0</v>
      </c>
      <c r="W1934" s="168">
        <f t="shared" si="6"/>
        <v>0</v>
      </c>
      <c r="X1934" s="168">
        <f t="shared" si="7"/>
        <v>0</v>
      </c>
      <c r="Y1934" s="168">
        <f t="shared" si="8"/>
        <v>0</v>
      </c>
      <c r="Z1934" s="168">
        <f t="shared" si="9"/>
        <v>0</v>
      </c>
    </row>
    <row r="1935" ht="14.25" customHeight="1">
      <c r="A1935" s="157" t="s">
        <v>2085</v>
      </c>
      <c r="B1935" s="158" t="s">
        <v>1127</v>
      </c>
      <c r="C1935" s="158" t="s">
        <v>2084</v>
      </c>
      <c r="D1935" s="159">
        <v>44091.0</v>
      </c>
      <c r="E1935" s="157" t="s">
        <v>731</v>
      </c>
      <c r="F1935" s="160">
        <v>3253.24</v>
      </c>
      <c r="G1935" s="160">
        <v>520.52</v>
      </c>
      <c r="H1935" s="160">
        <f t="shared" si="50"/>
        <v>3773.76</v>
      </c>
      <c r="I1935" s="160"/>
      <c r="J1935" s="161"/>
      <c r="K1935" s="160"/>
      <c r="L1935" s="160">
        <f>+'FACP$'!$H1935-'FACP$'!$I1935-'FACP$'!$K1935</f>
        <v>3773.76</v>
      </c>
      <c r="M1935" s="162" t="s">
        <v>580</v>
      </c>
      <c r="N1935" s="162" t="s">
        <v>554</v>
      </c>
      <c r="O1935" s="175">
        <v>44098.0</v>
      </c>
      <c r="P1935" s="164">
        <f t="shared" si="13"/>
        <v>44101</v>
      </c>
      <c r="Q1935" s="165">
        <f t="shared" si="2"/>
        <v>0</v>
      </c>
      <c r="R1935" s="167"/>
      <c r="S1935" s="167" t="s">
        <v>910</v>
      </c>
      <c r="T1935" s="168">
        <f t="shared" si="3"/>
        <v>3773.76</v>
      </c>
      <c r="U1935" s="168">
        <f t="shared" si="4"/>
        <v>0</v>
      </c>
      <c r="V1935" s="168">
        <f t="shared" si="5"/>
        <v>0</v>
      </c>
      <c r="W1935" s="168">
        <f t="shared" si="6"/>
        <v>0</v>
      </c>
      <c r="X1935" s="168">
        <f t="shared" si="7"/>
        <v>0</v>
      </c>
      <c r="Y1935" s="168">
        <f t="shared" si="8"/>
        <v>0</v>
      </c>
      <c r="Z1935" s="168">
        <f t="shared" si="9"/>
        <v>0</v>
      </c>
    </row>
    <row r="1936" ht="14.25" customHeight="1">
      <c r="A1936" s="157" t="s">
        <v>2086</v>
      </c>
      <c r="B1936" s="158" t="s">
        <v>36</v>
      </c>
      <c r="C1936" s="158" t="s">
        <v>2084</v>
      </c>
      <c r="D1936" s="159">
        <v>44091.0</v>
      </c>
      <c r="E1936" s="157" t="s">
        <v>731</v>
      </c>
      <c r="F1936" s="160">
        <v>60662.67</v>
      </c>
      <c r="G1936" s="160">
        <v>9706.03</v>
      </c>
      <c r="H1936" s="160">
        <f t="shared" si="50"/>
        <v>70368.7</v>
      </c>
      <c r="I1936" s="160"/>
      <c r="J1936" s="161"/>
      <c r="K1936" s="160"/>
      <c r="L1936" s="160">
        <f>+'FACP$'!$H1936-'FACP$'!$I1936-'FACP$'!$K1936</f>
        <v>70368.7</v>
      </c>
      <c r="M1936" s="162" t="s">
        <v>278</v>
      </c>
      <c r="N1936" s="162" t="s">
        <v>554</v>
      </c>
      <c r="O1936" s="175">
        <v>44111.0</v>
      </c>
      <c r="P1936" s="164">
        <f t="shared" si="13"/>
        <v>44101</v>
      </c>
      <c r="Q1936" s="165">
        <f t="shared" si="2"/>
        <v>0</v>
      </c>
      <c r="R1936" s="167"/>
      <c r="S1936" s="167" t="s">
        <v>910</v>
      </c>
      <c r="T1936" s="168">
        <f t="shared" si="3"/>
        <v>70368.7</v>
      </c>
      <c r="U1936" s="168">
        <f t="shared" si="4"/>
        <v>0</v>
      </c>
      <c r="V1936" s="168">
        <f t="shared" si="5"/>
        <v>0</v>
      </c>
      <c r="W1936" s="168">
        <f t="shared" si="6"/>
        <v>0</v>
      </c>
      <c r="X1936" s="168">
        <f t="shared" si="7"/>
        <v>0</v>
      </c>
      <c r="Y1936" s="168">
        <f t="shared" si="8"/>
        <v>0</v>
      </c>
      <c r="Z1936" s="168">
        <f t="shared" si="9"/>
        <v>0</v>
      </c>
    </row>
    <row r="1937" ht="14.25" customHeight="1">
      <c r="A1937" s="157" t="s">
        <v>2087</v>
      </c>
      <c r="B1937" s="158" t="s">
        <v>35</v>
      </c>
      <c r="C1937" s="158" t="s">
        <v>2084</v>
      </c>
      <c r="D1937" s="159">
        <v>44091.0</v>
      </c>
      <c r="E1937" s="157" t="s">
        <v>731</v>
      </c>
      <c r="F1937" s="160">
        <v>138755.75</v>
      </c>
      <c r="G1937" s="160">
        <v>22200.92</v>
      </c>
      <c r="H1937" s="160">
        <f t="shared" si="50"/>
        <v>160956.67</v>
      </c>
      <c r="I1937" s="160"/>
      <c r="J1937" s="161"/>
      <c r="K1937" s="160"/>
      <c r="L1937" s="160">
        <f>+'FACP$'!$H1937-'FACP$'!$I1937-'FACP$'!$K1937</f>
        <v>160956.67</v>
      </c>
      <c r="M1937" s="162" t="s">
        <v>276</v>
      </c>
      <c r="N1937" s="162" t="s">
        <v>554</v>
      </c>
      <c r="O1937" s="175">
        <v>44106.0</v>
      </c>
      <c r="P1937" s="164">
        <f t="shared" si="13"/>
        <v>44101</v>
      </c>
      <c r="Q1937" s="165">
        <f t="shared" si="2"/>
        <v>0</v>
      </c>
      <c r="R1937" s="167"/>
      <c r="S1937" s="167" t="s">
        <v>910</v>
      </c>
      <c r="T1937" s="168">
        <f t="shared" si="3"/>
        <v>160956.67</v>
      </c>
      <c r="U1937" s="168">
        <f t="shared" si="4"/>
        <v>0</v>
      </c>
      <c r="V1937" s="168">
        <f t="shared" si="5"/>
        <v>0</v>
      </c>
      <c r="W1937" s="168">
        <f t="shared" si="6"/>
        <v>0</v>
      </c>
      <c r="X1937" s="168">
        <f t="shared" si="7"/>
        <v>0</v>
      </c>
      <c r="Y1937" s="168">
        <f t="shared" si="8"/>
        <v>0</v>
      </c>
      <c r="Z1937" s="168">
        <f t="shared" si="9"/>
        <v>0</v>
      </c>
    </row>
    <row r="1938" ht="14.25" customHeight="1">
      <c r="A1938" s="157" t="s">
        <v>2088</v>
      </c>
      <c r="B1938" s="158" t="s">
        <v>37</v>
      </c>
      <c r="C1938" s="158" t="s">
        <v>2084</v>
      </c>
      <c r="D1938" s="159">
        <v>44095.0</v>
      </c>
      <c r="E1938" s="157" t="s">
        <v>731</v>
      </c>
      <c r="F1938" s="160">
        <v>1507008.49</v>
      </c>
      <c r="G1938" s="160">
        <v>241121.36</v>
      </c>
      <c r="H1938" s="160">
        <f t="shared" si="50"/>
        <v>1748129.85</v>
      </c>
      <c r="I1938" s="160"/>
      <c r="J1938" s="161"/>
      <c r="K1938" s="160"/>
      <c r="L1938" s="160">
        <f>+'FACP$'!$H1938-'FACP$'!$I1938-'FACP$'!$K1938</f>
        <v>1748129.85</v>
      </c>
      <c r="M1938" s="162" t="s">
        <v>116</v>
      </c>
      <c r="N1938" s="162" t="s">
        <v>554</v>
      </c>
      <c r="O1938" s="175">
        <v>44123.0</v>
      </c>
      <c r="P1938" s="164">
        <f t="shared" si="13"/>
        <v>44105</v>
      </c>
      <c r="Q1938" s="165">
        <f t="shared" si="2"/>
        <v>0</v>
      </c>
      <c r="R1938" s="167"/>
      <c r="S1938" s="167" t="s">
        <v>910</v>
      </c>
      <c r="T1938" s="168">
        <f t="shared" si="3"/>
        <v>1748129.85</v>
      </c>
      <c r="U1938" s="168">
        <f t="shared" si="4"/>
        <v>0</v>
      </c>
      <c r="V1938" s="168">
        <f t="shared" si="5"/>
        <v>0</v>
      </c>
      <c r="W1938" s="168">
        <f t="shared" si="6"/>
        <v>0</v>
      </c>
      <c r="X1938" s="168">
        <f t="shared" si="7"/>
        <v>0</v>
      </c>
      <c r="Y1938" s="168">
        <f t="shared" si="8"/>
        <v>0</v>
      </c>
      <c r="Z1938" s="168">
        <f t="shared" si="9"/>
        <v>0</v>
      </c>
    </row>
    <row r="1939" ht="14.25" customHeight="1">
      <c r="A1939" s="157" t="s">
        <v>2089</v>
      </c>
      <c r="B1939" s="158" t="s">
        <v>29</v>
      </c>
      <c r="C1939" s="158" t="s">
        <v>2084</v>
      </c>
      <c r="D1939" s="159">
        <v>44095.0</v>
      </c>
      <c r="E1939" s="157" t="s">
        <v>731</v>
      </c>
      <c r="F1939" s="160">
        <v>215204.95</v>
      </c>
      <c r="G1939" s="160">
        <v>34432.79</v>
      </c>
      <c r="H1939" s="160">
        <f t="shared" si="50"/>
        <v>249637.74</v>
      </c>
      <c r="I1939" s="160"/>
      <c r="J1939" s="161"/>
      <c r="K1939" s="160"/>
      <c r="L1939" s="160">
        <f>+'FACP$'!$H1939-'FACP$'!$I1939-'FACP$'!$K1939</f>
        <v>249637.74</v>
      </c>
      <c r="M1939" s="162" t="s">
        <v>130</v>
      </c>
      <c r="N1939" s="162" t="s">
        <v>554</v>
      </c>
      <c r="O1939" s="175">
        <v>44179.0</v>
      </c>
      <c r="P1939" s="164">
        <f t="shared" si="13"/>
        <v>44105</v>
      </c>
      <c r="Q1939" s="165">
        <f t="shared" si="2"/>
        <v>0</v>
      </c>
      <c r="R1939" s="167"/>
      <c r="S1939" s="167"/>
      <c r="T1939" s="168">
        <f t="shared" si="3"/>
        <v>249637.74</v>
      </c>
      <c r="U1939" s="168">
        <f t="shared" si="4"/>
        <v>0</v>
      </c>
      <c r="V1939" s="168">
        <f t="shared" si="5"/>
        <v>0</v>
      </c>
      <c r="W1939" s="168">
        <f t="shared" si="6"/>
        <v>0</v>
      </c>
      <c r="X1939" s="168">
        <f t="shared" si="7"/>
        <v>0</v>
      </c>
      <c r="Y1939" s="168">
        <f t="shared" si="8"/>
        <v>0</v>
      </c>
      <c r="Z1939" s="168">
        <f t="shared" si="9"/>
        <v>0</v>
      </c>
    </row>
    <row r="1940" ht="14.25" customHeight="1">
      <c r="A1940" s="157" t="s">
        <v>2090</v>
      </c>
      <c r="B1940" s="158" t="s">
        <v>29</v>
      </c>
      <c r="C1940" s="158" t="s">
        <v>2091</v>
      </c>
      <c r="D1940" s="159">
        <v>44095.0</v>
      </c>
      <c r="E1940" s="157" t="s">
        <v>731</v>
      </c>
      <c r="F1940" s="160">
        <v>298474.09</v>
      </c>
      <c r="G1940" s="160">
        <v>47755.85</v>
      </c>
      <c r="H1940" s="160">
        <f t="shared" si="50"/>
        <v>346229.94</v>
      </c>
      <c r="I1940" s="160"/>
      <c r="J1940" s="161"/>
      <c r="K1940" s="160"/>
      <c r="L1940" s="160">
        <f>+'FACP$'!$H1940-'FACP$'!$I1940-'FACP$'!$K1940</f>
        <v>346229.94</v>
      </c>
      <c r="M1940" s="162" t="s">
        <v>130</v>
      </c>
      <c r="N1940" s="162" t="s">
        <v>554</v>
      </c>
      <c r="O1940" s="175">
        <v>44161.0</v>
      </c>
      <c r="P1940" s="164">
        <f t="shared" si="13"/>
        <v>44105</v>
      </c>
      <c r="Q1940" s="165">
        <f t="shared" si="2"/>
        <v>0</v>
      </c>
      <c r="R1940" s="167"/>
      <c r="S1940" s="167"/>
      <c r="T1940" s="168">
        <f t="shared" si="3"/>
        <v>346229.94</v>
      </c>
      <c r="U1940" s="168">
        <f t="shared" si="4"/>
        <v>0</v>
      </c>
      <c r="V1940" s="168">
        <f t="shared" si="5"/>
        <v>0</v>
      </c>
      <c r="W1940" s="168">
        <f t="shared" si="6"/>
        <v>0</v>
      </c>
      <c r="X1940" s="168">
        <f t="shared" si="7"/>
        <v>0</v>
      </c>
      <c r="Y1940" s="168">
        <f t="shared" si="8"/>
        <v>0</v>
      </c>
      <c r="Z1940" s="168">
        <f t="shared" si="9"/>
        <v>0</v>
      </c>
    </row>
    <row r="1941" ht="14.25" customHeight="1">
      <c r="A1941" s="157" t="s">
        <v>2092</v>
      </c>
      <c r="B1941" s="158" t="s">
        <v>18</v>
      </c>
      <c r="C1941" s="158" t="s">
        <v>2084</v>
      </c>
      <c r="D1941" s="159">
        <v>44095.0</v>
      </c>
      <c r="E1941" s="157" t="s">
        <v>731</v>
      </c>
      <c r="F1941" s="160">
        <v>128712.87</v>
      </c>
      <c r="G1941" s="160">
        <v>20594.06</v>
      </c>
      <c r="H1941" s="160">
        <f t="shared" si="50"/>
        <v>149306.93</v>
      </c>
      <c r="I1941" s="160"/>
      <c r="J1941" s="161"/>
      <c r="K1941" s="160"/>
      <c r="L1941" s="160">
        <f>+'FACP$'!$H1941-'FACP$'!$I1941-'FACP$'!$K1941</f>
        <v>149306.93</v>
      </c>
      <c r="M1941" s="162" t="s">
        <v>586</v>
      </c>
      <c r="N1941" s="162" t="s">
        <v>554</v>
      </c>
      <c r="O1941" s="175">
        <v>44126.0</v>
      </c>
      <c r="P1941" s="164">
        <f t="shared" si="13"/>
        <v>44105</v>
      </c>
      <c r="Q1941" s="165">
        <f t="shared" si="2"/>
        <v>0</v>
      </c>
      <c r="R1941" s="167"/>
      <c r="S1941" s="167" t="s">
        <v>910</v>
      </c>
      <c r="T1941" s="168">
        <f t="shared" si="3"/>
        <v>149306.93</v>
      </c>
      <c r="U1941" s="168">
        <f t="shared" si="4"/>
        <v>0</v>
      </c>
      <c r="V1941" s="168">
        <f t="shared" si="5"/>
        <v>0</v>
      </c>
      <c r="W1941" s="168">
        <f t="shared" si="6"/>
        <v>0</v>
      </c>
      <c r="X1941" s="168">
        <f t="shared" si="7"/>
        <v>0</v>
      </c>
      <c r="Y1941" s="168">
        <f t="shared" si="8"/>
        <v>0</v>
      </c>
      <c r="Z1941" s="168">
        <f t="shared" si="9"/>
        <v>0</v>
      </c>
    </row>
    <row r="1942" ht="14.25" customHeight="1">
      <c r="A1942" s="157" t="s">
        <v>2093</v>
      </c>
      <c r="B1942" s="158" t="s">
        <v>19</v>
      </c>
      <c r="C1942" s="158" t="s">
        <v>2084</v>
      </c>
      <c r="D1942" s="159">
        <v>44095.0</v>
      </c>
      <c r="E1942" s="157" t="s">
        <v>731</v>
      </c>
      <c r="F1942" s="160">
        <v>11745.11</v>
      </c>
      <c r="G1942" s="160">
        <v>1879.22</v>
      </c>
      <c r="H1942" s="160">
        <f t="shared" si="50"/>
        <v>13624.33</v>
      </c>
      <c r="I1942" s="160"/>
      <c r="J1942" s="161"/>
      <c r="K1942" s="160"/>
      <c r="L1942" s="160">
        <f>+'FACP$'!$H1942-'FACP$'!$I1942-'FACP$'!$K1942</f>
        <v>13624.33</v>
      </c>
      <c r="M1942" s="162" t="s">
        <v>732</v>
      </c>
      <c r="N1942" s="162" t="s">
        <v>554</v>
      </c>
      <c r="O1942" s="175">
        <v>44126.0</v>
      </c>
      <c r="P1942" s="164">
        <f t="shared" si="13"/>
        <v>44105</v>
      </c>
      <c r="Q1942" s="165">
        <f t="shared" si="2"/>
        <v>0</v>
      </c>
      <c r="R1942" s="167"/>
      <c r="S1942" s="167" t="s">
        <v>910</v>
      </c>
      <c r="T1942" s="168">
        <f t="shared" si="3"/>
        <v>13624.33</v>
      </c>
      <c r="U1942" s="168">
        <f t="shared" si="4"/>
        <v>0</v>
      </c>
      <c r="V1942" s="168">
        <f t="shared" si="5"/>
        <v>0</v>
      </c>
      <c r="W1942" s="168">
        <f t="shared" si="6"/>
        <v>0</v>
      </c>
      <c r="X1942" s="168">
        <f t="shared" si="7"/>
        <v>0</v>
      </c>
      <c r="Y1942" s="168">
        <f t="shared" si="8"/>
        <v>0</v>
      </c>
      <c r="Z1942" s="168">
        <f t="shared" si="9"/>
        <v>0</v>
      </c>
    </row>
    <row r="1943" ht="14.25" customHeight="1">
      <c r="A1943" s="157" t="s">
        <v>2094</v>
      </c>
      <c r="B1943" s="158" t="s">
        <v>16</v>
      </c>
      <c r="C1943" s="158" t="s">
        <v>2084</v>
      </c>
      <c r="D1943" s="159">
        <v>44095.0</v>
      </c>
      <c r="E1943" s="157" t="s">
        <v>731</v>
      </c>
      <c r="F1943" s="160">
        <v>186983.0</v>
      </c>
      <c r="G1943" s="160">
        <v>29917.28</v>
      </c>
      <c r="H1943" s="160">
        <f t="shared" si="50"/>
        <v>216900.28</v>
      </c>
      <c r="I1943" s="160"/>
      <c r="J1943" s="161"/>
      <c r="K1943" s="160"/>
      <c r="L1943" s="160">
        <f>+'FACP$'!$H1943-'FACP$'!$I1943-'FACP$'!$K1943</f>
        <v>216900.28</v>
      </c>
      <c r="M1943" s="162" t="s">
        <v>985</v>
      </c>
      <c r="N1943" s="162" t="s">
        <v>127</v>
      </c>
      <c r="O1943" s="175"/>
      <c r="P1943" s="164">
        <f t="shared" si="13"/>
        <v>44105</v>
      </c>
      <c r="Q1943" s="165">
        <f t="shared" si="2"/>
        <v>0</v>
      </c>
      <c r="R1943" s="167"/>
      <c r="S1943" s="167"/>
      <c r="T1943" s="168">
        <f t="shared" si="3"/>
        <v>216900.28</v>
      </c>
      <c r="U1943" s="168">
        <f t="shared" si="4"/>
        <v>0</v>
      </c>
      <c r="V1943" s="168">
        <f t="shared" si="5"/>
        <v>0</v>
      </c>
      <c r="W1943" s="168">
        <f t="shared" si="6"/>
        <v>0</v>
      </c>
      <c r="X1943" s="168">
        <f t="shared" si="7"/>
        <v>0</v>
      </c>
      <c r="Y1943" s="168">
        <f t="shared" si="8"/>
        <v>0</v>
      </c>
      <c r="Z1943" s="168">
        <f t="shared" si="9"/>
        <v>0</v>
      </c>
    </row>
    <row r="1944" ht="14.25" customHeight="1">
      <c r="A1944" s="157" t="s">
        <v>2095</v>
      </c>
      <c r="B1944" s="158" t="s">
        <v>16</v>
      </c>
      <c r="C1944" s="158" t="s">
        <v>2091</v>
      </c>
      <c r="D1944" s="159">
        <v>44095.0</v>
      </c>
      <c r="E1944" s="157" t="s">
        <v>731</v>
      </c>
      <c r="F1944" s="160">
        <v>303457.43</v>
      </c>
      <c r="G1944" s="160">
        <v>48553.19</v>
      </c>
      <c r="H1944" s="160">
        <f t="shared" si="50"/>
        <v>352010.62</v>
      </c>
      <c r="I1944" s="160"/>
      <c r="J1944" s="161"/>
      <c r="K1944" s="160"/>
      <c r="L1944" s="160">
        <f>+'FACP$'!$H1944-'FACP$'!$I1944-'FACP$'!$K1944</f>
        <v>352010.62</v>
      </c>
      <c r="M1944" s="162" t="s">
        <v>985</v>
      </c>
      <c r="N1944" s="162" t="s">
        <v>127</v>
      </c>
      <c r="O1944" s="175"/>
      <c r="P1944" s="164">
        <f t="shared" si="13"/>
        <v>44105</v>
      </c>
      <c r="Q1944" s="165">
        <f t="shared" si="2"/>
        <v>0</v>
      </c>
      <c r="R1944" s="167"/>
      <c r="S1944" s="167"/>
      <c r="T1944" s="168">
        <f t="shared" si="3"/>
        <v>352010.62</v>
      </c>
      <c r="U1944" s="168">
        <f t="shared" si="4"/>
        <v>0</v>
      </c>
      <c r="V1944" s="168">
        <f t="shared" si="5"/>
        <v>0</v>
      </c>
      <c r="W1944" s="168">
        <f t="shared" si="6"/>
        <v>0</v>
      </c>
      <c r="X1944" s="168">
        <f t="shared" si="7"/>
        <v>0</v>
      </c>
      <c r="Y1944" s="168">
        <f t="shared" si="8"/>
        <v>0</v>
      </c>
      <c r="Z1944" s="168">
        <f t="shared" si="9"/>
        <v>0</v>
      </c>
    </row>
    <row r="1945" ht="14.25" customHeight="1">
      <c r="A1945" s="157" t="s">
        <v>2096</v>
      </c>
      <c r="B1945" s="158" t="s">
        <v>38</v>
      </c>
      <c r="C1945" s="158" t="s">
        <v>2084</v>
      </c>
      <c r="D1945" s="159">
        <v>44095.0</v>
      </c>
      <c r="E1945" s="157" t="s">
        <v>731</v>
      </c>
      <c r="F1945" s="168">
        <v>523768.3</v>
      </c>
      <c r="G1945" s="160">
        <v>83802.93</v>
      </c>
      <c r="H1945" s="160">
        <f t="shared" si="50"/>
        <v>607571.23</v>
      </c>
      <c r="I1945" s="160"/>
      <c r="J1945" s="161"/>
      <c r="K1945" s="160"/>
      <c r="L1945" s="160">
        <f>+'FACP$'!$H1945-'FACP$'!$I1945-'FACP$'!$K1945</f>
        <v>607571.23</v>
      </c>
      <c r="M1945" s="162" t="s">
        <v>145</v>
      </c>
      <c r="N1945" s="162" t="s">
        <v>554</v>
      </c>
      <c r="O1945" s="175">
        <v>44116.0</v>
      </c>
      <c r="P1945" s="164">
        <f t="shared" si="13"/>
        <v>44105</v>
      </c>
      <c r="Q1945" s="165">
        <f t="shared" si="2"/>
        <v>0</v>
      </c>
      <c r="R1945" s="220" t="s">
        <v>2097</v>
      </c>
      <c r="S1945" s="167" t="s">
        <v>910</v>
      </c>
      <c r="T1945" s="168">
        <f t="shared" si="3"/>
        <v>607571.23</v>
      </c>
      <c r="U1945" s="168">
        <f t="shared" si="4"/>
        <v>0</v>
      </c>
      <c r="V1945" s="168">
        <f t="shared" si="5"/>
        <v>0</v>
      </c>
      <c r="W1945" s="168">
        <f t="shared" si="6"/>
        <v>0</v>
      </c>
      <c r="X1945" s="168">
        <f t="shared" si="7"/>
        <v>0</v>
      </c>
      <c r="Y1945" s="168">
        <f t="shared" si="8"/>
        <v>0</v>
      </c>
      <c r="Z1945" s="168">
        <f t="shared" si="9"/>
        <v>0</v>
      </c>
    </row>
    <row r="1946" ht="14.25" customHeight="1">
      <c r="A1946" s="157" t="s">
        <v>2098</v>
      </c>
      <c r="B1946" s="158" t="s">
        <v>16</v>
      </c>
      <c r="C1946" s="158" t="s">
        <v>2084</v>
      </c>
      <c r="D1946" s="159">
        <v>44096.0</v>
      </c>
      <c r="E1946" s="157" t="s">
        <v>731</v>
      </c>
      <c r="F1946" s="160">
        <v>250685.77</v>
      </c>
      <c r="G1946" s="160">
        <v>40109.72</v>
      </c>
      <c r="H1946" s="160">
        <f t="shared" si="50"/>
        <v>290795.49</v>
      </c>
      <c r="I1946" s="160"/>
      <c r="J1946" s="161"/>
      <c r="K1946" s="160"/>
      <c r="L1946" s="160">
        <f>+'FACP$'!$H1946-'FACP$'!$I1946-'FACP$'!$K1946</f>
        <v>290795.49</v>
      </c>
      <c r="M1946" s="162" t="s">
        <v>985</v>
      </c>
      <c r="N1946" s="162" t="s">
        <v>554</v>
      </c>
      <c r="O1946" s="175">
        <v>44103.0</v>
      </c>
      <c r="P1946" s="164">
        <f t="shared" si="13"/>
        <v>44106</v>
      </c>
      <c r="Q1946" s="165">
        <f t="shared" si="2"/>
        <v>0</v>
      </c>
      <c r="R1946" s="167"/>
      <c r="S1946" s="167"/>
      <c r="T1946" s="168">
        <f t="shared" si="3"/>
        <v>290795.49</v>
      </c>
      <c r="U1946" s="168">
        <f t="shared" si="4"/>
        <v>0</v>
      </c>
      <c r="V1946" s="168">
        <f t="shared" si="5"/>
        <v>0</v>
      </c>
      <c r="W1946" s="168">
        <f t="shared" si="6"/>
        <v>0</v>
      </c>
      <c r="X1946" s="168">
        <f t="shared" si="7"/>
        <v>0</v>
      </c>
      <c r="Y1946" s="168">
        <f t="shared" si="8"/>
        <v>0</v>
      </c>
      <c r="Z1946" s="168">
        <f t="shared" si="9"/>
        <v>0</v>
      </c>
    </row>
    <row r="1947" ht="14.25" customHeight="1">
      <c r="A1947" s="157" t="s">
        <v>2099</v>
      </c>
      <c r="B1947" s="158" t="s">
        <v>16</v>
      </c>
      <c r="C1947" s="158" t="s">
        <v>2100</v>
      </c>
      <c r="D1947" s="159">
        <v>44097.0</v>
      </c>
      <c r="E1947" s="157" t="s">
        <v>731</v>
      </c>
      <c r="F1947" s="160">
        <v>335766.56</v>
      </c>
      <c r="G1947" s="160">
        <v>53722.65</v>
      </c>
      <c r="H1947" s="160">
        <f t="shared" si="50"/>
        <v>389489.21</v>
      </c>
      <c r="I1947" s="160"/>
      <c r="J1947" s="161"/>
      <c r="K1947" s="160"/>
      <c r="L1947" s="160">
        <f>+'FACP$'!$H1947-'FACP$'!$I1947-'FACP$'!$K1947</f>
        <v>389489.21</v>
      </c>
      <c r="M1947" s="162" t="s">
        <v>985</v>
      </c>
      <c r="N1947" s="162" t="s">
        <v>554</v>
      </c>
      <c r="O1947" s="175">
        <v>44103.0</v>
      </c>
      <c r="P1947" s="164">
        <f t="shared" si="13"/>
        <v>44107</v>
      </c>
      <c r="Q1947" s="165">
        <f t="shared" si="2"/>
        <v>0</v>
      </c>
      <c r="R1947" s="167"/>
      <c r="S1947" s="167"/>
      <c r="T1947" s="168">
        <f t="shared" si="3"/>
        <v>389489.21</v>
      </c>
      <c r="U1947" s="168">
        <f t="shared" si="4"/>
        <v>0</v>
      </c>
      <c r="V1947" s="168">
        <f t="shared" si="5"/>
        <v>0</v>
      </c>
      <c r="W1947" s="168">
        <f t="shared" si="6"/>
        <v>0</v>
      </c>
      <c r="X1947" s="168">
        <f t="shared" si="7"/>
        <v>0</v>
      </c>
      <c r="Y1947" s="168">
        <f t="shared" si="8"/>
        <v>0</v>
      </c>
      <c r="Z1947" s="168">
        <f t="shared" si="9"/>
        <v>0</v>
      </c>
    </row>
    <row r="1948" ht="14.25" customHeight="1">
      <c r="A1948" s="157" t="s">
        <v>2101</v>
      </c>
      <c r="B1948" s="158" t="s">
        <v>41</v>
      </c>
      <c r="C1948" s="158" t="s">
        <v>2084</v>
      </c>
      <c r="D1948" s="159">
        <v>44104.0</v>
      </c>
      <c r="E1948" s="157" t="s">
        <v>731</v>
      </c>
      <c r="F1948" s="160">
        <v>208147.5</v>
      </c>
      <c r="G1948" s="160">
        <v>33303.6</v>
      </c>
      <c r="H1948" s="160">
        <f t="shared" si="50"/>
        <v>241451.1</v>
      </c>
      <c r="I1948" s="160"/>
      <c r="J1948" s="161"/>
      <c r="K1948" s="160"/>
      <c r="L1948" s="160">
        <f>+'FACP$'!$H1948-'FACP$'!$I1948-'FACP$'!$K1948</f>
        <v>241451.1</v>
      </c>
      <c r="M1948" s="162" t="s">
        <v>121</v>
      </c>
      <c r="N1948" s="162" t="s">
        <v>554</v>
      </c>
      <c r="O1948" s="175">
        <v>44141.0</v>
      </c>
      <c r="P1948" s="164">
        <f t="shared" si="13"/>
        <v>44114</v>
      </c>
      <c r="Q1948" s="165">
        <f t="shared" si="2"/>
        <v>0</v>
      </c>
      <c r="R1948" s="167"/>
      <c r="S1948" s="167"/>
      <c r="T1948" s="168">
        <f t="shared" si="3"/>
        <v>241451.1</v>
      </c>
      <c r="U1948" s="168">
        <f t="shared" si="4"/>
        <v>0</v>
      </c>
      <c r="V1948" s="168">
        <f t="shared" si="5"/>
        <v>0</v>
      </c>
      <c r="W1948" s="168">
        <f t="shared" si="6"/>
        <v>0</v>
      </c>
      <c r="X1948" s="168">
        <f t="shared" si="7"/>
        <v>0</v>
      </c>
      <c r="Y1948" s="168">
        <f t="shared" si="8"/>
        <v>0</v>
      </c>
      <c r="Z1948" s="168">
        <f t="shared" si="9"/>
        <v>0</v>
      </c>
    </row>
    <row r="1949" ht="14.25" customHeight="1">
      <c r="A1949" s="157" t="s">
        <v>2102</v>
      </c>
      <c r="B1949" s="158" t="s">
        <v>27</v>
      </c>
      <c r="C1949" s="158" t="s">
        <v>2103</v>
      </c>
      <c r="D1949" s="159">
        <v>44104.0</v>
      </c>
      <c r="E1949" s="157" t="s">
        <v>731</v>
      </c>
      <c r="F1949" s="160">
        <v>308082.67</v>
      </c>
      <c r="G1949" s="160">
        <v>49293.23</v>
      </c>
      <c r="H1949" s="160">
        <f t="shared" si="50"/>
        <v>357375.9</v>
      </c>
      <c r="I1949" s="160"/>
      <c r="J1949" s="161"/>
      <c r="K1949" s="160"/>
      <c r="L1949" s="160">
        <f>+'FACP$'!$H1949-'FACP$'!$I1949-'FACP$'!$K1949</f>
        <v>357375.9</v>
      </c>
      <c r="M1949" s="162" t="s">
        <v>1644</v>
      </c>
      <c r="N1949" s="162" t="s">
        <v>554</v>
      </c>
      <c r="O1949" s="175">
        <v>44175.0</v>
      </c>
      <c r="P1949" s="164">
        <f t="shared" si="13"/>
        <v>44114</v>
      </c>
      <c r="Q1949" s="165">
        <f t="shared" si="2"/>
        <v>0</v>
      </c>
      <c r="R1949" s="167"/>
      <c r="S1949" s="220" t="s">
        <v>910</v>
      </c>
      <c r="T1949" s="168">
        <f t="shared" si="3"/>
        <v>357375.9</v>
      </c>
      <c r="U1949" s="168">
        <f t="shared" si="4"/>
        <v>0</v>
      </c>
      <c r="V1949" s="168">
        <f t="shared" si="5"/>
        <v>0</v>
      </c>
      <c r="W1949" s="168">
        <f t="shared" si="6"/>
        <v>0</v>
      </c>
      <c r="X1949" s="168">
        <f t="shared" si="7"/>
        <v>0</v>
      </c>
      <c r="Y1949" s="168">
        <f t="shared" si="8"/>
        <v>0</v>
      </c>
      <c r="Z1949" s="168">
        <f t="shared" si="9"/>
        <v>0</v>
      </c>
    </row>
    <row r="1950" ht="14.25" customHeight="1">
      <c r="A1950" s="157" t="s">
        <v>2104</v>
      </c>
      <c r="B1950" s="158" t="s">
        <v>27</v>
      </c>
      <c r="C1950" s="158" t="s">
        <v>2105</v>
      </c>
      <c r="D1950" s="159">
        <v>44104.0</v>
      </c>
      <c r="E1950" s="157" t="s">
        <v>731</v>
      </c>
      <c r="F1950" s="160">
        <v>261640.11</v>
      </c>
      <c r="G1950" s="160">
        <v>41862.42</v>
      </c>
      <c r="H1950" s="160">
        <f t="shared" si="50"/>
        <v>303502.53</v>
      </c>
      <c r="I1950" s="160"/>
      <c r="J1950" s="161"/>
      <c r="K1950" s="160"/>
      <c r="L1950" s="160">
        <f>+'FACP$'!$H1950-'FACP$'!$I1950-'FACP$'!$K1950</f>
        <v>303502.53</v>
      </c>
      <c r="M1950" s="162" t="s">
        <v>1644</v>
      </c>
      <c r="N1950" s="162" t="s">
        <v>554</v>
      </c>
      <c r="O1950" s="175">
        <v>44175.0</v>
      </c>
      <c r="P1950" s="164">
        <f t="shared" si="13"/>
        <v>44114</v>
      </c>
      <c r="Q1950" s="165">
        <f t="shared" si="2"/>
        <v>0</v>
      </c>
      <c r="R1950" s="167"/>
      <c r="S1950" s="220" t="s">
        <v>910</v>
      </c>
      <c r="T1950" s="168">
        <f t="shared" si="3"/>
        <v>303502.53</v>
      </c>
      <c r="U1950" s="168">
        <f t="shared" si="4"/>
        <v>0</v>
      </c>
      <c r="V1950" s="168">
        <f t="shared" si="5"/>
        <v>0</v>
      </c>
      <c r="W1950" s="168">
        <f t="shared" si="6"/>
        <v>0</v>
      </c>
      <c r="X1950" s="168">
        <f t="shared" si="7"/>
        <v>0</v>
      </c>
      <c r="Y1950" s="168">
        <f t="shared" si="8"/>
        <v>0</v>
      </c>
      <c r="Z1950" s="168">
        <f t="shared" si="9"/>
        <v>0</v>
      </c>
    </row>
    <row r="1951" ht="14.25" customHeight="1">
      <c r="A1951" s="157" t="s">
        <v>2106</v>
      </c>
      <c r="B1951" s="158" t="s">
        <v>27</v>
      </c>
      <c r="C1951" s="158" t="s">
        <v>2103</v>
      </c>
      <c r="D1951" s="159">
        <v>44104.0</v>
      </c>
      <c r="E1951" s="157" t="s">
        <v>731</v>
      </c>
      <c r="F1951" s="160">
        <v>50056.07</v>
      </c>
      <c r="G1951" s="160">
        <v>8008.97</v>
      </c>
      <c r="H1951" s="160">
        <f t="shared" si="50"/>
        <v>58065.04</v>
      </c>
      <c r="I1951" s="160"/>
      <c r="J1951" s="161"/>
      <c r="K1951" s="160"/>
      <c r="L1951" s="160">
        <f>+'FACP$'!$H1951-'FACP$'!$I1951-'FACP$'!$K1951</f>
        <v>58065.04</v>
      </c>
      <c r="M1951" s="162" t="s">
        <v>1721</v>
      </c>
      <c r="N1951" s="162" t="s">
        <v>554</v>
      </c>
      <c r="O1951" s="175">
        <v>44175.0</v>
      </c>
      <c r="P1951" s="164">
        <f t="shared" si="13"/>
        <v>44114</v>
      </c>
      <c r="Q1951" s="165">
        <f t="shared" si="2"/>
        <v>0</v>
      </c>
      <c r="R1951" s="167"/>
      <c r="S1951" s="220" t="s">
        <v>910</v>
      </c>
      <c r="T1951" s="168">
        <f t="shared" si="3"/>
        <v>58065.04</v>
      </c>
      <c r="U1951" s="168">
        <f t="shared" si="4"/>
        <v>0</v>
      </c>
      <c r="V1951" s="168">
        <f t="shared" si="5"/>
        <v>0</v>
      </c>
      <c r="W1951" s="168">
        <f t="shared" si="6"/>
        <v>0</v>
      </c>
      <c r="X1951" s="168">
        <f t="shared" si="7"/>
        <v>0</v>
      </c>
      <c r="Y1951" s="168">
        <f t="shared" si="8"/>
        <v>0</v>
      </c>
      <c r="Z1951" s="168">
        <f t="shared" si="9"/>
        <v>0</v>
      </c>
    </row>
    <row r="1952" ht="14.25" customHeight="1">
      <c r="A1952" s="157" t="s">
        <v>2107</v>
      </c>
      <c r="B1952" s="158" t="s">
        <v>27</v>
      </c>
      <c r="C1952" s="158" t="s">
        <v>2105</v>
      </c>
      <c r="D1952" s="159">
        <v>44104.0</v>
      </c>
      <c r="E1952" s="157" t="s">
        <v>731</v>
      </c>
      <c r="F1952" s="160">
        <v>42422.95</v>
      </c>
      <c r="G1952" s="160">
        <v>6787.67</v>
      </c>
      <c r="H1952" s="160">
        <f t="shared" si="50"/>
        <v>49210.62</v>
      </c>
      <c r="I1952" s="160"/>
      <c r="J1952" s="161"/>
      <c r="K1952" s="160"/>
      <c r="L1952" s="160">
        <f>+'FACP$'!$H1952-'FACP$'!$I1952-'FACP$'!$K1952</f>
        <v>49210.62</v>
      </c>
      <c r="M1952" s="162" t="s">
        <v>1721</v>
      </c>
      <c r="N1952" s="162" t="s">
        <v>554</v>
      </c>
      <c r="O1952" s="175">
        <v>44175.0</v>
      </c>
      <c r="P1952" s="164">
        <f t="shared" si="13"/>
        <v>44114</v>
      </c>
      <c r="Q1952" s="165">
        <f t="shared" si="2"/>
        <v>0</v>
      </c>
      <c r="R1952" s="167"/>
      <c r="S1952" s="220" t="s">
        <v>910</v>
      </c>
      <c r="T1952" s="168">
        <f t="shared" si="3"/>
        <v>49210.62</v>
      </c>
      <c r="U1952" s="168">
        <f t="shared" si="4"/>
        <v>0</v>
      </c>
      <c r="V1952" s="168">
        <f t="shared" si="5"/>
        <v>0</v>
      </c>
      <c r="W1952" s="168">
        <f t="shared" si="6"/>
        <v>0</v>
      </c>
      <c r="X1952" s="168">
        <f t="shared" si="7"/>
        <v>0</v>
      </c>
      <c r="Y1952" s="168">
        <f t="shared" si="8"/>
        <v>0</v>
      </c>
      <c r="Z1952" s="168">
        <f t="shared" si="9"/>
        <v>0</v>
      </c>
    </row>
    <row r="1953" ht="14.25" customHeight="1">
      <c r="A1953" s="157" t="s">
        <v>2108</v>
      </c>
      <c r="B1953" s="158" t="s">
        <v>43</v>
      </c>
      <c r="C1953" s="158" t="s">
        <v>2109</v>
      </c>
      <c r="D1953" s="159">
        <v>44106.0</v>
      </c>
      <c r="E1953" s="157" t="s">
        <v>731</v>
      </c>
      <c r="F1953" s="160">
        <v>654080.67</v>
      </c>
      <c r="G1953" s="160">
        <v>104652.91</v>
      </c>
      <c r="H1953" s="160">
        <f t="shared" si="50"/>
        <v>758733.58</v>
      </c>
      <c r="I1953" s="160"/>
      <c r="J1953" s="161"/>
      <c r="K1953" s="160"/>
      <c r="L1953" s="160">
        <f>+'FACP$'!$H1953-'FACP$'!$I1953-'FACP$'!$K1953</f>
        <v>758733.58</v>
      </c>
      <c r="M1953" s="162" t="s">
        <v>43</v>
      </c>
      <c r="N1953" s="162" t="s">
        <v>554</v>
      </c>
      <c r="O1953" s="175">
        <v>44113.0</v>
      </c>
      <c r="P1953" s="164">
        <f t="shared" si="13"/>
        <v>44116</v>
      </c>
      <c r="Q1953" s="165">
        <f t="shared" si="2"/>
        <v>0</v>
      </c>
      <c r="R1953" s="167"/>
      <c r="S1953" s="167" t="s">
        <v>910</v>
      </c>
      <c r="T1953" s="168">
        <f t="shared" si="3"/>
        <v>758733.58</v>
      </c>
      <c r="U1953" s="168">
        <f t="shared" si="4"/>
        <v>0</v>
      </c>
      <c r="V1953" s="168">
        <f t="shared" si="5"/>
        <v>0</v>
      </c>
      <c r="W1953" s="168">
        <f t="shared" si="6"/>
        <v>0</v>
      </c>
      <c r="X1953" s="168">
        <f t="shared" si="7"/>
        <v>0</v>
      </c>
      <c r="Y1953" s="168">
        <f t="shared" si="8"/>
        <v>0</v>
      </c>
      <c r="Z1953" s="168">
        <f t="shared" si="9"/>
        <v>0</v>
      </c>
    </row>
    <row r="1954" ht="14.25" customHeight="1">
      <c r="A1954" s="157" t="s">
        <v>2110</v>
      </c>
      <c r="B1954" s="158" t="s">
        <v>1127</v>
      </c>
      <c r="C1954" s="158" t="s">
        <v>2111</v>
      </c>
      <c r="D1954" s="159">
        <v>44106.0</v>
      </c>
      <c r="E1954" s="157" t="s">
        <v>731</v>
      </c>
      <c r="F1954" s="160">
        <v>3533.89</v>
      </c>
      <c r="G1954" s="160">
        <v>565.42</v>
      </c>
      <c r="H1954" s="160">
        <f t="shared" si="50"/>
        <v>4099.31</v>
      </c>
      <c r="I1954" s="160"/>
      <c r="J1954" s="161"/>
      <c r="K1954" s="160"/>
      <c r="L1954" s="160">
        <f>+'FACP$'!$H1954-'FACP$'!$I1954-'FACP$'!$K1954</f>
        <v>4099.31</v>
      </c>
      <c r="M1954" s="162" t="s">
        <v>580</v>
      </c>
      <c r="N1954" s="162" t="s">
        <v>554</v>
      </c>
      <c r="O1954" s="175">
        <v>44119.0</v>
      </c>
      <c r="P1954" s="164">
        <f t="shared" si="13"/>
        <v>44116</v>
      </c>
      <c r="Q1954" s="165">
        <f t="shared" si="2"/>
        <v>0</v>
      </c>
      <c r="R1954" s="167"/>
      <c r="S1954" s="167"/>
      <c r="T1954" s="168">
        <f t="shared" si="3"/>
        <v>4099.31</v>
      </c>
      <c r="U1954" s="168">
        <f t="shared" si="4"/>
        <v>0</v>
      </c>
      <c r="V1954" s="168">
        <f t="shared" si="5"/>
        <v>0</v>
      </c>
      <c r="W1954" s="168">
        <f t="shared" si="6"/>
        <v>0</v>
      </c>
      <c r="X1954" s="168">
        <f t="shared" si="7"/>
        <v>0</v>
      </c>
      <c r="Y1954" s="168">
        <f t="shared" si="8"/>
        <v>0</v>
      </c>
      <c r="Z1954" s="168">
        <f t="shared" si="9"/>
        <v>0</v>
      </c>
    </row>
    <row r="1955" ht="14.25" customHeight="1">
      <c r="A1955" s="157" t="s">
        <v>2112</v>
      </c>
      <c r="B1955" s="158" t="s">
        <v>36</v>
      </c>
      <c r="C1955" s="158" t="s">
        <v>2109</v>
      </c>
      <c r="D1955" s="159">
        <v>44106.0</v>
      </c>
      <c r="E1955" s="157" t="s">
        <v>731</v>
      </c>
      <c r="F1955" s="160">
        <v>76733.63</v>
      </c>
      <c r="G1955" s="160">
        <v>12277.38</v>
      </c>
      <c r="H1955" s="160">
        <f t="shared" si="50"/>
        <v>89011.01</v>
      </c>
      <c r="I1955" s="160"/>
      <c r="J1955" s="161"/>
      <c r="K1955" s="160"/>
      <c r="L1955" s="160">
        <f>+'FACP$'!$H1955-'FACP$'!$I1955-'FACP$'!$K1955</f>
        <v>89011.01</v>
      </c>
      <c r="M1955" s="162" t="s">
        <v>278</v>
      </c>
      <c r="N1955" s="162" t="s">
        <v>554</v>
      </c>
      <c r="O1955" s="175">
        <v>44123.0</v>
      </c>
      <c r="P1955" s="164">
        <f t="shared" si="13"/>
        <v>44116</v>
      </c>
      <c r="Q1955" s="165">
        <f t="shared" si="2"/>
        <v>0</v>
      </c>
      <c r="R1955" s="167"/>
      <c r="S1955" s="220" t="s">
        <v>910</v>
      </c>
      <c r="T1955" s="168">
        <f t="shared" si="3"/>
        <v>89011.01</v>
      </c>
      <c r="U1955" s="168">
        <f t="shared" si="4"/>
        <v>0</v>
      </c>
      <c r="V1955" s="168">
        <f t="shared" si="5"/>
        <v>0</v>
      </c>
      <c r="W1955" s="168">
        <f t="shared" si="6"/>
        <v>0</v>
      </c>
      <c r="X1955" s="168">
        <f t="shared" si="7"/>
        <v>0</v>
      </c>
      <c r="Y1955" s="168">
        <f t="shared" si="8"/>
        <v>0</v>
      </c>
      <c r="Z1955" s="168">
        <f t="shared" si="9"/>
        <v>0</v>
      </c>
    </row>
    <row r="1956" ht="14.25" customHeight="1">
      <c r="A1956" s="157" t="s">
        <v>2113</v>
      </c>
      <c r="B1956" s="158" t="s">
        <v>35</v>
      </c>
      <c r="C1956" s="158" t="s">
        <v>2109</v>
      </c>
      <c r="D1956" s="159">
        <v>44106.0</v>
      </c>
      <c r="E1956" s="157" t="s">
        <v>731</v>
      </c>
      <c r="F1956" s="160">
        <v>224995.62</v>
      </c>
      <c r="G1956" s="160">
        <v>35999.3</v>
      </c>
      <c r="H1956" s="160">
        <f t="shared" si="50"/>
        <v>260994.92</v>
      </c>
      <c r="I1956" s="160"/>
      <c r="J1956" s="161"/>
      <c r="K1956" s="160"/>
      <c r="L1956" s="160">
        <f>+'FACP$'!$H1956-'FACP$'!$I1956-'FACP$'!$K1956</f>
        <v>260994.92</v>
      </c>
      <c r="M1956" s="162" t="s">
        <v>276</v>
      </c>
      <c r="N1956" s="162" t="s">
        <v>554</v>
      </c>
      <c r="O1956" s="175">
        <v>44120.0</v>
      </c>
      <c r="P1956" s="164">
        <f t="shared" si="13"/>
        <v>44116</v>
      </c>
      <c r="Q1956" s="165">
        <f t="shared" si="2"/>
        <v>0</v>
      </c>
      <c r="R1956" s="167"/>
      <c r="S1956" s="167" t="s">
        <v>910</v>
      </c>
      <c r="T1956" s="168">
        <f t="shared" si="3"/>
        <v>260994.92</v>
      </c>
      <c r="U1956" s="168">
        <f t="shared" si="4"/>
        <v>0</v>
      </c>
      <c r="V1956" s="168">
        <f t="shared" si="5"/>
        <v>0</v>
      </c>
      <c r="W1956" s="168">
        <f t="shared" si="6"/>
        <v>0</v>
      </c>
      <c r="X1956" s="168">
        <f t="shared" si="7"/>
        <v>0</v>
      </c>
      <c r="Y1956" s="168">
        <f t="shared" si="8"/>
        <v>0</v>
      </c>
      <c r="Z1956" s="168">
        <f t="shared" si="9"/>
        <v>0</v>
      </c>
    </row>
    <row r="1957" ht="14.25" customHeight="1">
      <c r="A1957" s="157" t="s">
        <v>2114</v>
      </c>
      <c r="B1957" s="158" t="s">
        <v>16</v>
      </c>
      <c r="C1957" s="158" t="s">
        <v>2109</v>
      </c>
      <c r="D1957" s="159">
        <v>44111.0</v>
      </c>
      <c r="E1957" s="157" t="s">
        <v>731</v>
      </c>
      <c r="F1957" s="160">
        <v>238161.97</v>
      </c>
      <c r="G1957" s="160">
        <v>38105.92</v>
      </c>
      <c r="H1957" s="160">
        <f t="shared" si="50"/>
        <v>276267.89</v>
      </c>
      <c r="I1957" s="160"/>
      <c r="J1957" s="161"/>
      <c r="K1957" s="160"/>
      <c r="L1957" s="160">
        <f>+'FACP$'!$H1957-'FACP$'!$I1957-'FACP$'!$K1957</f>
        <v>276267.89</v>
      </c>
      <c r="M1957" s="162" t="s">
        <v>985</v>
      </c>
      <c r="N1957" s="162" t="s">
        <v>554</v>
      </c>
      <c r="O1957" s="175">
        <v>44119.0</v>
      </c>
      <c r="P1957" s="164">
        <f t="shared" si="13"/>
        <v>44121</v>
      </c>
      <c r="Q1957" s="165">
        <f t="shared" si="2"/>
        <v>0</v>
      </c>
      <c r="R1957" s="167"/>
      <c r="S1957" s="167"/>
      <c r="T1957" s="168">
        <f t="shared" si="3"/>
        <v>276267.89</v>
      </c>
      <c r="U1957" s="168">
        <f t="shared" si="4"/>
        <v>0</v>
      </c>
      <c r="V1957" s="168">
        <f t="shared" si="5"/>
        <v>0</v>
      </c>
      <c r="W1957" s="168">
        <f t="shared" si="6"/>
        <v>0</v>
      </c>
      <c r="X1957" s="168">
        <f t="shared" si="7"/>
        <v>0</v>
      </c>
      <c r="Y1957" s="168">
        <f t="shared" si="8"/>
        <v>0</v>
      </c>
      <c r="Z1957" s="168">
        <f t="shared" si="9"/>
        <v>0</v>
      </c>
    </row>
    <row r="1958" ht="14.25" customHeight="1">
      <c r="A1958" s="157" t="s">
        <v>2115</v>
      </c>
      <c r="B1958" s="158" t="s">
        <v>16</v>
      </c>
      <c r="C1958" s="158" t="s">
        <v>2116</v>
      </c>
      <c r="D1958" s="159">
        <v>44111.0</v>
      </c>
      <c r="E1958" s="157" t="s">
        <v>731</v>
      </c>
      <c r="F1958" s="160">
        <v>339511.45</v>
      </c>
      <c r="G1958" s="160">
        <v>54321.83</v>
      </c>
      <c r="H1958" s="160">
        <f t="shared" si="50"/>
        <v>393833.28</v>
      </c>
      <c r="I1958" s="160"/>
      <c r="J1958" s="161"/>
      <c r="K1958" s="160"/>
      <c r="L1958" s="160">
        <f>+'FACP$'!$H1958-'FACP$'!$I1958-'FACP$'!$K1958</f>
        <v>393833.28</v>
      </c>
      <c r="M1958" s="162" t="s">
        <v>985</v>
      </c>
      <c r="N1958" s="162" t="s">
        <v>554</v>
      </c>
      <c r="O1958" s="175">
        <v>44119.0</v>
      </c>
      <c r="P1958" s="164">
        <f t="shared" si="13"/>
        <v>44121</v>
      </c>
      <c r="Q1958" s="165">
        <f t="shared" si="2"/>
        <v>0</v>
      </c>
      <c r="R1958" s="167"/>
      <c r="S1958" s="167"/>
      <c r="T1958" s="168">
        <f t="shared" si="3"/>
        <v>393833.28</v>
      </c>
      <c r="U1958" s="168">
        <f t="shared" si="4"/>
        <v>0</v>
      </c>
      <c r="V1958" s="168">
        <f t="shared" si="5"/>
        <v>0</v>
      </c>
      <c r="W1958" s="168">
        <f t="shared" si="6"/>
        <v>0</v>
      </c>
      <c r="X1958" s="168">
        <f t="shared" si="7"/>
        <v>0</v>
      </c>
      <c r="Y1958" s="168">
        <f t="shared" si="8"/>
        <v>0</v>
      </c>
      <c r="Z1958" s="168">
        <f t="shared" si="9"/>
        <v>0</v>
      </c>
    </row>
    <row r="1959" ht="14.25" customHeight="1">
      <c r="A1959" s="157" t="s">
        <v>2117</v>
      </c>
      <c r="B1959" s="158" t="s">
        <v>18</v>
      </c>
      <c r="C1959" s="158" t="s">
        <v>2109</v>
      </c>
      <c r="D1959" s="159">
        <v>44111.0</v>
      </c>
      <c r="E1959" s="157" t="s">
        <v>731</v>
      </c>
      <c r="F1959" s="160">
        <v>124391.38</v>
      </c>
      <c r="G1959" s="160">
        <v>19902.62</v>
      </c>
      <c r="H1959" s="160">
        <f t="shared" si="50"/>
        <v>144294</v>
      </c>
      <c r="I1959" s="160"/>
      <c r="J1959" s="161"/>
      <c r="K1959" s="160"/>
      <c r="L1959" s="160">
        <f>+'FACP$'!$H1959-'FACP$'!$I1959-'FACP$'!$K1959</f>
        <v>144294</v>
      </c>
      <c r="M1959" s="162" t="s">
        <v>586</v>
      </c>
      <c r="N1959" s="162" t="s">
        <v>554</v>
      </c>
      <c r="O1959" s="175">
        <v>44126.0</v>
      </c>
      <c r="P1959" s="164">
        <f t="shared" si="13"/>
        <v>44121</v>
      </c>
      <c r="Q1959" s="165">
        <f t="shared" si="2"/>
        <v>0</v>
      </c>
      <c r="R1959" s="167"/>
      <c r="S1959" s="167" t="s">
        <v>910</v>
      </c>
      <c r="T1959" s="168">
        <f t="shared" si="3"/>
        <v>144294</v>
      </c>
      <c r="U1959" s="168">
        <f t="shared" si="4"/>
        <v>0</v>
      </c>
      <c r="V1959" s="168">
        <f t="shared" si="5"/>
        <v>0</v>
      </c>
      <c r="W1959" s="168">
        <f t="shared" si="6"/>
        <v>0</v>
      </c>
      <c r="X1959" s="168">
        <f t="shared" si="7"/>
        <v>0</v>
      </c>
      <c r="Y1959" s="168">
        <f t="shared" si="8"/>
        <v>0</v>
      </c>
      <c r="Z1959" s="168">
        <f t="shared" si="9"/>
        <v>0</v>
      </c>
    </row>
    <row r="1960" ht="14.25" customHeight="1">
      <c r="A1960" s="157" t="s">
        <v>2118</v>
      </c>
      <c r="B1960" s="158" t="s">
        <v>19</v>
      </c>
      <c r="C1960" s="158" t="s">
        <v>2109</v>
      </c>
      <c r="D1960" s="159">
        <v>44111.0</v>
      </c>
      <c r="E1960" s="157" t="s">
        <v>731</v>
      </c>
      <c r="F1960" s="160">
        <v>106186.66</v>
      </c>
      <c r="G1960" s="160">
        <v>16989.87</v>
      </c>
      <c r="H1960" s="160">
        <f t="shared" si="50"/>
        <v>123176.53</v>
      </c>
      <c r="I1960" s="160"/>
      <c r="J1960" s="161"/>
      <c r="K1960" s="160"/>
      <c r="L1960" s="160">
        <f>+'FACP$'!$H1960-'FACP$'!$I1960-'FACP$'!$K1960</f>
        <v>123176.53</v>
      </c>
      <c r="M1960" s="162" t="s">
        <v>732</v>
      </c>
      <c r="N1960" s="162" t="s">
        <v>554</v>
      </c>
      <c r="O1960" s="175">
        <v>44126.0</v>
      </c>
      <c r="P1960" s="164">
        <f t="shared" si="13"/>
        <v>44121</v>
      </c>
      <c r="Q1960" s="165">
        <f t="shared" si="2"/>
        <v>0</v>
      </c>
      <c r="R1960" s="167"/>
      <c r="S1960" s="167" t="s">
        <v>910</v>
      </c>
      <c r="T1960" s="168">
        <f t="shared" si="3"/>
        <v>123176.53</v>
      </c>
      <c r="U1960" s="168">
        <f t="shared" si="4"/>
        <v>0</v>
      </c>
      <c r="V1960" s="168">
        <f t="shared" si="5"/>
        <v>0</v>
      </c>
      <c r="W1960" s="168">
        <f t="shared" si="6"/>
        <v>0</v>
      </c>
      <c r="X1960" s="168">
        <f t="shared" si="7"/>
        <v>0</v>
      </c>
      <c r="Y1960" s="168">
        <f t="shared" si="8"/>
        <v>0</v>
      </c>
      <c r="Z1960" s="168">
        <f t="shared" si="9"/>
        <v>0</v>
      </c>
    </row>
    <row r="1961" ht="14.25" customHeight="1">
      <c r="A1961" s="157" t="s">
        <v>2119</v>
      </c>
      <c r="B1961" s="158" t="s">
        <v>29</v>
      </c>
      <c r="C1961" s="158" t="s">
        <v>2109</v>
      </c>
      <c r="D1961" s="159">
        <v>44111.0</v>
      </c>
      <c r="E1961" s="157" t="s">
        <v>731</v>
      </c>
      <c r="F1961" s="160">
        <v>252939.9</v>
      </c>
      <c r="G1961" s="160">
        <v>40470.38</v>
      </c>
      <c r="H1961" s="160">
        <f t="shared" si="50"/>
        <v>293410.28</v>
      </c>
      <c r="I1961" s="160"/>
      <c r="J1961" s="161"/>
      <c r="K1961" s="160"/>
      <c r="L1961" s="160">
        <f>+'FACP$'!$H1961-'FACP$'!$I1961-'FACP$'!$K1961</f>
        <v>293410.28</v>
      </c>
      <c r="M1961" s="162" t="s">
        <v>130</v>
      </c>
      <c r="N1961" s="162" t="s">
        <v>554</v>
      </c>
      <c r="O1961" s="175">
        <v>44179.0</v>
      </c>
      <c r="P1961" s="164">
        <f t="shared" si="13"/>
        <v>44121</v>
      </c>
      <c r="Q1961" s="165">
        <f t="shared" si="2"/>
        <v>0</v>
      </c>
      <c r="R1961" s="167"/>
      <c r="S1961" s="167"/>
      <c r="T1961" s="168">
        <f t="shared" si="3"/>
        <v>293410.28</v>
      </c>
      <c r="U1961" s="168">
        <f t="shared" si="4"/>
        <v>0</v>
      </c>
      <c r="V1961" s="168">
        <f t="shared" si="5"/>
        <v>0</v>
      </c>
      <c r="W1961" s="168">
        <f t="shared" si="6"/>
        <v>0</v>
      </c>
      <c r="X1961" s="168">
        <f t="shared" si="7"/>
        <v>0</v>
      </c>
      <c r="Y1961" s="168">
        <f t="shared" si="8"/>
        <v>0</v>
      </c>
      <c r="Z1961" s="168">
        <f t="shared" si="9"/>
        <v>0</v>
      </c>
    </row>
    <row r="1962" ht="14.25" customHeight="1">
      <c r="A1962" s="157" t="s">
        <v>2120</v>
      </c>
      <c r="B1962" s="158" t="s">
        <v>29</v>
      </c>
      <c r="C1962" s="158" t="s">
        <v>2116</v>
      </c>
      <c r="D1962" s="159">
        <v>44111.0</v>
      </c>
      <c r="E1962" s="157" t="s">
        <v>731</v>
      </c>
      <c r="F1962" s="160">
        <v>380676.59</v>
      </c>
      <c r="G1962" s="160">
        <v>60908.25</v>
      </c>
      <c r="H1962" s="160">
        <f t="shared" si="50"/>
        <v>441584.84</v>
      </c>
      <c r="I1962" s="160"/>
      <c r="J1962" s="161"/>
      <c r="K1962" s="160"/>
      <c r="L1962" s="160">
        <f>+'FACP$'!$H1962-'FACP$'!$I1962-'FACP$'!$K1962</f>
        <v>441584.84</v>
      </c>
      <c r="M1962" s="162" t="s">
        <v>130</v>
      </c>
      <c r="N1962" s="162" t="s">
        <v>554</v>
      </c>
      <c r="O1962" s="175">
        <v>44132.0</v>
      </c>
      <c r="P1962" s="164">
        <f t="shared" si="13"/>
        <v>44121</v>
      </c>
      <c r="Q1962" s="165">
        <f t="shared" si="2"/>
        <v>0</v>
      </c>
      <c r="R1962" s="167"/>
      <c r="S1962" s="167"/>
      <c r="T1962" s="168">
        <f t="shared" si="3"/>
        <v>441584.84</v>
      </c>
      <c r="U1962" s="168">
        <f t="shared" si="4"/>
        <v>0</v>
      </c>
      <c r="V1962" s="168">
        <f t="shared" si="5"/>
        <v>0</v>
      </c>
      <c r="W1962" s="168">
        <f t="shared" si="6"/>
        <v>0</v>
      </c>
      <c r="X1962" s="168">
        <f t="shared" si="7"/>
        <v>0</v>
      </c>
      <c r="Y1962" s="168">
        <f t="shared" si="8"/>
        <v>0</v>
      </c>
      <c r="Z1962" s="168">
        <f t="shared" si="9"/>
        <v>0</v>
      </c>
    </row>
    <row r="1963" ht="14.25" customHeight="1">
      <c r="A1963" s="157" t="s">
        <v>2121</v>
      </c>
      <c r="B1963" s="158" t="s">
        <v>37</v>
      </c>
      <c r="C1963" s="158" t="s">
        <v>2109</v>
      </c>
      <c r="D1963" s="159">
        <v>44111.0</v>
      </c>
      <c r="E1963" s="157" t="s">
        <v>731</v>
      </c>
      <c r="F1963" s="160">
        <v>1497724.74</v>
      </c>
      <c r="G1963" s="160">
        <v>239635.96</v>
      </c>
      <c r="H1963" s="160">
        <f t="shared" si="50"/>
        <v>1737360.7</v>
      </c>
      <c r="I1963" s="160"/>
      <c r="J1963" s="161"/>
      <c r="K1963" s="160"/>
      <c r="L1963" s="160">
        <f>+'FACP$'!$H1963-'FACP$'!$I1963-'FACP$'!$K1963</f>
        <v>1737360.7</v>
      </c>
      <c r="M1963" s="162" t="s">
        <v>116</v>
      </c>
      <c r="N1963" s="162" t="s">
        <v>554</v>
      </c>
      <c r="O1963" s="175">
        <v>44130.0</v>
      </c>
      <c r="P1963" s="164">
        <f t="shared" si="13"/>
        <v>44121</v>
      </c>
      <c r="Q1963" s="165">
        <f t="shared" si="2"/>
        <v>0</v>
      </c>
      <c r="R1963" s="167"/>
      <c r="S1963" s="220" t="s">
        <v>910</v>
      </c>
      <c r="T1963" s="168">
        <f t="shared" si="3"/>
        <v>1737360.7</v>
      </c>
      <c r="U1963" s="168">
        <f t="shared" si="4"/>
        <v>0</v>
      </c>
      <c r="V1963" s="168">
        <f t="shared" si="5"/>
        <v>0</v>
      </c>
      <c r="W1963" s="168">
        <f t="shared" si="6"/>
        <v>0</v>
      </c>
      <c r="X1963" s="168">
        <f t="shared" si="7"/>
        <v>0</v>
      </c>
      <c r="Y1963" s="168">
        <f t="shared" si="8"/>
        <v>0</v>
      </c>
      <c r="Z1963" s="168">
        <f t="shared" si="9"/>
        <v>0</v>
      </c>
    </row>
    <row r="1964" ht="14.25" customHeight="1">
      <c r="A1964" s="157" t="s">
        <v>2122</v>
      </c>
      <c r="B1964" s="158" t="s">
        <v>41</v>
      </c>
      <c r="C1964" s="158" t="s">
        <v>2109</v>
      </c>
      <c r="D1964" s="159">
        <v>44111.0</v>
      </c>
      <c r="E1964" s="157" t="s">
        <v>731</v>
      </c>
      <c r="F1964" s="160">
        <v>389757.25</v>
      </c>
      <c r="G1964" s="160">
        <v>62361.16</v>
      </c>
      <c r="H1964" s="160">
        <f t="shared" si="50"/>
        <v>452118.41</v>
      </c>
      <c r="I1964" s="160"/>
      <c r="J1964" s="161"/>
      <c r="K1964" s="160"/>
      <c r="L1964" s="160">
        <f>+'FACP$'!$H1964-'FACP$'!$I1964-'FACP$'!$K1964</f>
        <v>452118.41</v>
      </c>
      <c r="M1964" s="162" t="s">
        <v>121</v>
      </c>
      <c r="N1964" s="162" t="s">
        <v>554</v>
      </c>
      <c r="O1964" s="175">
        <v>44141.0</v>
      </c>
      <c r="P1964" s="164">
        <f t="shared" si="13"/>
        <v>44121</v>
      </c>
      <c r="Q1964" s="165">
        <f t="shared" si="2"/>
        <v>0</v>
      </c>
      <c r="R1964" s="167"/>
      <c r="S1964" s="167"/>
      <c r="T1964" s="168">
        <f t="shared" si="3"/>
        <v>452118.41</v>
      </c>
      <c r="U1964" s="168">
        <f t="shared" si="4"/>
        <v>0</v>
      </c>
      <c r="V1964" s="168">
        <f t="shared" si="5"/>
        <v>0</v>
      </c>
      <c r="W1964" s="168">
        <f t="shared" si="6"/>
        <v>0</v>
      </c>
      <c r="X1964" s="168">
        <f t="shared" si="7"/>
        <v>0</v>
      </c>
      <c r="Y1964" s="168">
        <f t="shared" si="8"/>
        <v>0</v>
      </c>
      <c r="Z1964" s="168">
        <f t="shared" si="9"/>
        <v>0</v>
      </c>
    </row>
    <row r="1965" ht="14.25" customHeight="1">
      <c r="A1965" s="157" t="s">
        <v>2123</v>
      </c>
      <c r="B1965" s="158" t="s">
        <v>127</v>
      </c>
      <c r="C1965" s="158"/>
      <c r="D1965" s="159"/>
      <c r="E1965" s="157"/>
      <c r="F1965" s="160"/>
      <c r="G1965" s="160"/>
      <c r="H1965" s="160">
        <f t="shared" si="50"/>
        <v>0</v>
      </c>
      <c r="I1965" s="160"/>
      <c r="J1965" s="161"/>
      <c r="K1965" s="160"/>
      <c r="L1965" s="160">
        <f>+'FACP$'!$H1965-'FACP$'!$I1965-'FACP$'!$K1965</f>
        <v>0</v>
      </c>
      <c r="M1965" s="162"/>
      <c r="N1965" s="162" t="s">
        <v>127</v>
      </c>
      <c r="O1965" s="175"/>
      <c r="P1965" s="164">
        <f t="shared" si="13"/>
        <v>10</v>
      </c>
      <c r="Q1965" s="165">
        <f t="shared" si="2"/>
        <v>0</v>
      </c>
      <c r="R1965" s="167"/>
      <c r="S1965" s="167"/>
      <c r="T1965" s="168">
        <f t="shared" si="3"/>
        <v>0</v>
      </c>
      <c r="U1965" s="168">
        <f t="shared" si="4"/>
        <v>0</v>
      </c>
      <c r="V1965" s="168">
        <f t="shared" si="5"/>
        <v>0</v>
      </c>
      <c r="W1965" s="168">
        <f t="shared" si="6"/>
        <v>0</v>
      </c>
      <c r="X1965" s="168">
        <f t="shared" si="7"/>
        <v>0</v>
      </c>
      <c r="Y1965" s="168">
        <f t="shared" si="8"/>
        <v>0</v>
      </c>
      <c r="Z1965" s="168">
        <f t="shared" si="9"/>
        <v>0</v>
      </c>
    </row>
    <row r="1966" ht="14.25" customHeight="1">
      <c r="A1966" s="157" t="s">
        <v>2124</v>
      </c>
      <c r="B1966" s="158" t="s">
        <v>18</v>
      </c>
      <c r="C1966" s="158" t="s">
        <v>2125</v>
      </c>
      <c r="D1966" s="159">
        <v>44112.0</v>
      </c>
      <c r="E1966" s="157" t="s">
        <v>731</v>
      </c>
      <c r="F1966" s="160">
        <v>8578.38</v>
      </c>
      <c r="G1966" s="160">
        <v>1372.54</v>
      </c>
      <c r="H1966" s="160">
        <f t="shared" si="50"/>
        <v>9950.92</v>
      </c>
      <c r="I1966" s="160"/>
      <c r="J1966" s="161"/>
      <c r="K1966" s="160"/>
      <c r="L1966" s="160">
        <f>+'FACP$'!$H1966-'FACP$'!$I1966-'FACP$'!$K1966</f>
        <v>9950.92</v>
      </c>
      <c r="M1966" s="162" t="s">
        <v>586</v>
      </c>
      <c r="N1966" s="162" t="s">
        <v>127</v>
      </c>
      <c r="O1966" s="175"/>
      <c r="P1966" s="164">
        <f t="shared" si="13"/>
        <v>44122</v>
      </c>
      <c r="Q1966" s="165">
        <f t="shared" si="2"/>
        <v>0</v>
      </c>
      <c r="R1966" s="220" t="s">
        <v>2126</v>
      </c>
      <c r="S1966" s="167"/>
      <c r="T1966" s="168">
        <f t="shared" si="3"/>
        <v>9950.92</v>
      </c>
      <c r="U1966" s="168">
        <f t="shared" si="4"/>
        <v>0</v>
      </c>
      <c r="V1966" s="168">
        <f t="shared" si="5"/>
        <v>0</v>
      </c>
      <c r="W1966" s="168">
        <f t="shared" si="6"/>
        <v>0</v>
      </c>
      <c r="X1966" s="168">
        <f t="shared" si="7"/>
        <v>0</v>
      </c>
      <c r="Y1966" s="168">
        <f t="shared" si="8"/>
        <v>0</v>
      </c>
      <c r="Z1966" s="168">
        <f t="shared" si="9"/>
        <v>0</v>
      </c>
    </row>
    <row r="1967" ht="14.25" customHeight="1">
      <c r="A1967" s="157" t="s">
        <v>2127</v>
      </c>
      <c r="B1967" s="158" t="s">
        <v>38</v>
      </c>
      <c r="C1967" s="158" t="s">
        <v>2125</v>
      </c>
      <c r="D1967" s="159">
        <v>44113.0</v>
      </c>
      <c r="E1967" s="157" t="s">
        <v>731</v>
      </c>
      <c r="F1967" s="160">
        <v>8578.38</v>
      </c>
      <c r="G1967" s="160">
        <v>1372.54</v>
      </c>
      <c r="H1967" s="160">
        <f t="shared" si="50"/>
        <v>9950.92</v>
      </c>
      <c r="I1967" s="160"/>
      <c r="J1967" s="161"/>
      <c r="K1967" s="160"/>
      <c r="L1967" s="160">
        <f>+'FACP$'!$H1967-'FACP$'!$I1967-'FACP$'!$K1967</f>
        <v>9950.92</v>
      </c>
      <c r="M1967" s="162" t="s">
        <v>145</v>
      </c>
      <c r="N1967" s="162" t="s">
        <v>127</v>
      </c>
      <c r="O1967" s="175" t="s">
        <v>2128</v>
      </c>
      <c r="P1967" s="164">
        <f t="shared" si="13"/>
        <v>44123</v>
      </c>
      <c r="Q1967" s="165">
        <f t="shared" si="2"/>
        <v>0</v>
      </c>
      <c r="R1967" s="167"/>
      <c r="S1967" s="167"/>
      <c r="T1967" s="168">
        <f t="shared" si="3"/>
        <v>9950.92</v>
      </c>
      <c r="U1967" s="168">
        <f t="shared" si="4"/>
        <v>0</v>
      </c>
      <c r="V1967" s="168">
        <f t="shared" si="5"/>
        <v>0</v>
      </c>
      <c r="W1967" s="168">
        <f t="shared" si="6"/>
        <v>0</v>
      </c>
      <c r="X1967" s="168">
        <f t="shared" si="7"/>
        <v>0</v>
      </c>
      <c r="Y1967" s="168">
        <f t="shared" si="8"/>
        <v>0</v>
      </c>
      <c r="Z1967" s="168">
        <f t="shared" si="9"/>
        <v>0</v>
      </c>
    </row>
    <row r="1968" ht="14.25" customHeight="1">
      <c r="A1968" s="157" t="s">
        <v>2129</v>
      </c>
      <c r="B1968" s="158" t="s">
        <v>27</v>
      </c>
      <c r="C1968" s="158" t="s">
        <v>2130</v>
      </c>
      <c r="D1968" s="159">
        <v>44116.0</v>
      </c>
      <c r="E1968" s="157" t="s">
        <v>731</v>
      </c>
      <c r="F1968" s="222">
        <v>69555.52</v>
      </c>
      <c r="G1968" s="160">
        <v>11128.88</v>
      </c>
      <c r="H1968" s="160">
        <f t="shared" si="50"/>
        <v>80684.4</v>
      </c>
      <c r="I1968" s="160"/>
      <c r="J1968" s="161"/>
      <c r="K1968" s="160"/>
      <c r="L1968" s="160">
        <f>+'FACP$'!$H1968-'FACP$'!$I1968-'FACP$'!$K1968</f>
        <v>80684.4</v>
      </c>
      <c r="M1968" s="162" t="s">
        <v>1721</v>
      </c>
      <c r="N1968" s="162" t="s">
        <v>554</v>
      </c>
      <c r="O1968" s="175">
        <v>44175.0</v>
      </c>
      <c r="P1968" s="164">
        <f t="shared" si="13"/>
        <v>44126</v>
      </c>
      <c r="Q1968" s="165">
        <f t="shared" si="2"/>
        <v>0</v>
      </c>
      <c r="R1968" s="167"/>
      <c r="S1968" s="220" t="s">
        <v>910</v>
      </c>
      <c r="T1968" s="168">
        <f t="shared" si="3"/>
        <v>80684.4</v>
      </c>
      <c r="U1968" s="168">
        <f t="shared" si="4"/>
        <v>0</v>
      </c>
      <c r="V1968" s="168">
        <f t="shared" si="5"/>
        <v>0</v>
      </c>
      <c r="W1968" s="168">
        <f t="shared" si="6"/>
        <v>0</v>
      </c>
      <c r="X1968" s="168">
        <f t="shared" si="7"/>
        <v>0</v>
      </c>
      <c r="Y1968" s="168">
        <f t="shared" si="8"/>
        <v>0</v>
      </c>
      <c r="Z1968" s="168">
        <f t="shared" si="9"/>
        <v>0</v>
      </c>
    </row>
    <row r="1969" ht="14.25" customHeight="1">
      <c r="A1969" s="157" t="s">
        <v>2131</v>
      </c>
      <c r="B1969" s="158" t="s">
        <v>27</v>
      </c>
      <c r="C1969" s="158" t="s">
        <v>2132</v>
      </c>
      <c r="D1969" s="159">
        <v>44116.0</v>
      </c>
      <c r="E1969" s="157" t="s">
        <v>731</v>
      </c>
      <c r="F1969" s="160">
        <v>59829.15</v>
      </c>
      <c r="G1969" s="160">
        <v>9572.66</v>
      </c>
      <c r="H1969" s="160">
        <f t="shared" si="50"/>
        <v>69401.81</v>
      </c>
      <c r="I1969" s="160"/>
      <c r="J1969" s="161"/>
      <c r="K1969" s="160"/>
      <c r="L1969" s="160">
        <f>+'FACP$'!$H1969-'FACP$'!$I1969-'FACP$'!$K1969</f>
        <v>69401.81</v>
      </c>
      <c r="M1969" s="162" t="s">
        <v>1721</v>
      </c>
      <c r="N1969" s="162" t="s">
        <v>554</v>
      </c>
      <c r="O1969" s="175">
        <v>44175.0</v>
      </c>
      <c r="P1969" s="164">
        <f t="shared" si="13"/>
        <v>44126</v>
      </c>
      <c r="Q1969" s="165">
        <f t="shared" si="2"/>
        <v>0</v>
      </c>
      <c r="R1969" s="167"/>
      <c r="S1969" s="220" t="s">
        <v>910</v>
      </c>
      <c r="T1969" s="168">
        <f t="shared" si="3"/>
        <v>69401.81</v>
      </c>
      <c r="U1969" s="168">
        <f t="shared" si="4"/>
        <v>0</v>
      </c>
      <c r="V1969" s="168">
        <f t="shared" si="5"/>
        <v>0</v>
      </c>
      <c r="W1969" s="168">
        <f t="shared" si="6"/>
        <v>0</v>
      </c>
      <c r="X1969" s="168">
        <f t="shared" si="7"/>
        <v>0</v>
      </c>
      <c r="Y1969" s="168">
        <f t="shared" si="8"/>
        <v>0</v>
      </c>
      <c r="Z1969" s="168">
        <f t="shared" si="9"/>
        <v>0</v>
      </c>
    </row>
    <row r="1970" ht="14.25" customHeight="1">
      <c r="A1970" s="157" t="s">
        <v>2133</v>
      </c>
      <c r="B1970" s="158" t="s">
        <v>27</v>
      </c>
      <c r="C1970" s="158" t="s">
        <v>2130</v>
      </c>
      <c r="D1970" s="159">
        <v>44116.0</v>
      </c>
      <c r="E1970" s="157" t="s">
        <v>731</v>
      </c>
      <c r="F1970" s="160">
        <v>337756.59</v>
      </c>
      <c r="G1970" s="160">
        <v>54041.05</v>
      </c>
      <c r="H1970" s="160">
        <f t="shared" si="50"/>
        <v>391797.64</v>
      </c>
      <c r="I1970" s="160"/>
      <c r="J1970" s="161"/>
      <c r="K1970" s="160"/>
      <c r="L1970" s="160">
        <f>+'FACP$'!$H1970-'FACP$'!$I1970-'FACP$'!$K1970</f>
        <v>391797.64</v>
      </c>
      <c r="M1970" s="162" t="s">
        <v>1644</v>
      </c>
      <c r="N1970" s="162" t="s">
        <v>554</v>
      </c>
      <c r="O1970" s="175">
        <v>44175.0</v>
      </c>
      <c r="P1970" s="164">
        <f t="shared" si="13"/>
        <v>44126</v>
      </c>
      <c r="Q1970" s="165">
        <f t="shared" si="2"/>
        <v>0</v>
      </c>
      <c r="R1970" s="167"/>
      <c r="S1970" s="220" t="s">
        <v>910</v>
      </c>
      <c r="T1970" s="168">
        <f t="shared" si="3"/>
        <v>391797.64</v>
      </c>
      <c r="U1970" s="168">
        <f t="shared" si="4"/>
        <v>0</v>
      </c>
      <c r="V1970" s="168">
        <f t="shared" si="5"/>
        <v>0</v>
      </c>
      <c r="W1970" s="168">
        <f t="shared" si="6"/>
        <v>0</v>
      </c>
      <c r="X1970" s="168">
        <f t="shared" si="7"/>
        <v>0</v>
      </c>
      <c r="Y1970" s="168">
        <f t="shared" si="8"/>
        <v>0</v>
      </c>
      <c r="Z1970" s="168">
        <f t="shared" si="9"/>
        <v>0</v>
      </c>
    </row>
    <row r="1971" ht="14.25" customHeight="1">
      <c r="A1971" s="157" t="s">
        <v>2134</v>
      </c>
      <c r="B1971" s="158" t="s">
        <v>27</v>
      </c>
      <c r="C1971" s="158" t="s">
        <v>2132</v>
      </c>
      <c r="D1971" s="159">
        <v>44116.0</v>
      </c>
      <c r="E1971" s="157" t="s">
        <v>731</v>
      </c>
      <c r="F1971" s="160">
        <v>289773.51</v>
      </c>
      <c r="G1971" s="160">
        <v>46363.76</v>
      </c>
      <c r="H1971" s="160">
        <f t="shared" si="50"/>
        <v>336137.27</v>
      </c>
      <c r="I1971" s="160"/>
      <c r="J1971" s="161"/>
      <c r="K1971" s="160"/>
      <c r="L1971" s="160">
        <f>+'FACP$'!$H1971-'FACP$'!$I1971-'FACP$'!$K1971</f>
        <v>336137.27</v>
      </c>
      <c r="M1971" s="162" t="s">
        <v>1644</v>
      </c>
      <c r="N1971" s="162" t="s">
        <v>554</v>
      </c>
      <c r="O1971" s="175">
        <v>44175.0</v>
      </c>
      <c r="P1971" s="164">
        <f t="shared" si="13"/>
        <v>44126</v>
      </c>
      <c r="Q1971" s="165">
        <f t="shared" si="2"/>
        <v>0</v>
      </c>
      <c r="R1971" s="167"/>
      <c r="S1971" s="220" t="s">
        <v>910</v>
      </c>
      <c r="T1971" s="168">
        <f t="shared" si="3"/>
        <v>336137.27</v>
      </c>
      <c r="U1971" s="168">
        <f t="shared" si="4"/>
        <v>0</v>
      </c>
      <c r="V1971" s="168">
        <f t="shared" si="5"/>
        <v>0</v>
      </c>
      <c r="W1971" s="168">
        <f t="shared" si="6"/>
        <v>0</v>
      </c>
      <c r="X1971" s="168">
        <f t="shared" si="7"/>
        <v>0</v>
      </c>
      <c r="Y1971" s="168">
        <f t="shared" si="8"/>
        <v>0</v>
      </c>
      <c r="Z1971" s="168">
        <f t="shared" si="9"/>
        <v>0</v>
      </c>
    </row>
    <row r="1972" ht="14.25" customHeight="1">
      <c r="A1972" s="157" t="s">
        <v>2135</v>
      </c>
      <c r="B1972" s="158" t="s">
        <v>27</v>
      </c>
      <c r="C1972" s="158" t="s">
        <v>2136</v>
      </c>
      <c r="D1972" s="159">
        <v>44116.0</v>
      </c>
      <c r="E1972" s="157" t="s">
        <v>731</v>
      </c>
      <c r="F1972" s="160">
        <v>39725.06</v>
      </c>
      <c r="G1972" s="160">
        <v>6356.01</v>
      </c>
      <c r="H1972" s="160">
        <f t="shared" si="50"/>
        <v>46081.07</v>
      </c>
      <c r="I1972" s="160"/>
      <c r="J1972" s="161"/>
      <c r="K1972" s="160"/>
      <c r="L1972" s="160">
        <f>+'FACP$'!$H1972-'FACP$'!$I1972-'FACP$'!$K1972</f>
        <v>46081.07</v>
      </c>
      <c r="M1972" s="162" t="s">
        <v>2137</v>
      </c>
      <c r="N1972" s="162" t="s">
        <v>554</v>
      </c>
      <c r="O1972" s="175">
        <v>44175.0</v>
      </c>
      <c r="P1972" s="164">
        <f t="shared" si="13"/>
        <v>44126</v>
      </c>
      <c r="Q1972" s="165">
        <f t="shared" si="2"/>
        <v>0</v>
      </c>
      <c r="R1972" s="167"/>
      <c r="S1972" s="220" t="s">
        <v>910</v>
      </c>
      <c r="T1972" s="168">
        <f t="shared" si="3"/>
        <v>46081.07</v>
      </c>
      <c r="U1972" s="168">
        <f t="shared" si="4"/>
        <v>0</v>
      </c>
      <c r="V1972" s="168">
        <f t="shared" si="5"/>
        <v>0</v>
      </c>
      <c r="W1972" s="168">
        <f t="shared" si="6"/>
        <v>0</v>
      </c>
      <c r="X1972" s="168">
        <f t="shared" si="7"/>
        <v>0</v>
      </c>
      <c r="Y1972" s="168">
        <f t="shared" si="8"/>
        <v>0</v>
      </c>
      <c r="Z1972" s="168">
        <f t="shared" si="9"/>
        <v>0</v>
      </c>
    </row>
    <row r="1973" ht="14.25" customHeight="1">
      <c r="A1973" s="157" t="s">
        <v>2138</v>
      </c>
      <c r="B1973" s="158" t="s">
        <v>27</v>
      </c>
      <c r="C1973" s="158" t="s">
        <v>2139</v>
      </c>
      <c r="D1973" s="159">
        <v>44116.0</v>
      </c>
      <c r="E1973" s="157" t="s">
        <v>731</v>
      </c>
      <c r="F1973" s="160">
        <v>27293.91</v>
      </c>
      <c r="G1973" s="160">
        <v>4367.03</v>
      </c>
      <c r="H1973" s="160">
        <f t="shared" si="50"/>
        <v>31660.94</v>
      </c>
      <c r="I1973" s="160"/>
      <c r="J1973" s="161"/>
      <c r="K1973" s="160"/>
      <c r="L1973" s="160">
        <f>+'FACP$'!$H1973-'FACP$'!$I1973-'FACP$'!$K1973</f>
        <v>31660.94</v>
      </c>
      <c r="M1973" s="162" t="s">
        <v>2137</v>
      </c>
      <c r="N1973" s="162" t="s">
        <v>554</v>
      </c>
      <c r="O1973" s="175">
        <v>44175.0</v>
      </c>
      <c r="P1973" s="164">
        <f t="shared" si="13"/>
        <v>44126</v>
      </c>
      <c r="Q1973" s="165">
        <f t="shared" si="2"/>
        <v>0</v>
      </c>
      <c r="R1973" s="167"/>
      <c r="S1973" s="220" t="s">
        <v>910</v>
      </c>
      <c r="T1973" s="168">
        <f t="shared" si="3"/>
        <v>31660.94</v>
      </c>
      <c r="U1973" s="168">
        <f t="shared" si="4"/>
        <v>0</v>
      </c>
      <c r="V1973" s="168">
        <f t="shared" si="5"/>
        <v>0</v>
      </c>
      <c r="W1973" s="168">
        <f t="shared" si="6"/>
        <v>0</v>
      </c>
      <c r="X1973" s="168">
        <f t="shared" si="7"/>
        <v>0</v>
      </c>
      <c r="Y1973" s="168">
        <f t="shared" si="8"/>
        <v>0</v>
      </c>
      <c r="Z1973" s="168">
        <f t="shared" si="9"/>
        <v>0</v>
      </c>
    </row>
    <row r="1974" ht="14.25" customHeight="1">
      <c r="A1974" s="157" t="s">
        <v>2140</v>
      </c>
      <c r="B1974" s="158" t="s">
        <v>33</v>
      </c>
      <c r="C1974" s="158" t="s">
        <v>2109</v>
      </c>
      <c r="D1974" s="159">
        <v>44117.0</v>
      </c>
      <c r="E1974" s="157" t="s">
        <v>731</v>
      </c>
      <c r="F1974" s="160">
        <v>447891.84</v>
      </c>
      <c r="G1974" s="160">
        <v>71662.69</v>
      </c>
      <c r="H1974" s="160">
        <f t="shared" si="50"/>
        <v>519554.53</v>
      </c>
      <c r="I1974" s="160"/>
      <c r="J1974" s="161"/>
      <c r="K1974" s="160"/>
      <c r="L1974" s="160">
        <f>+'FACP$'!$H1974-'FACP$'!$I1974-'FACP$'!$K1974</f>
        <v>519554.53</v>
      </c>
      <c r="M1974" s="162" t="s">
        <v>958</v>
      </c>
      <c r="N1974" s="162" t="s">
        <v>554</v>
      </c>
      <c r="O1974" s="175">
        <v>44131.0</v>
      </c>
      <c r="P1974" s="164">
        <f t="shared" si="13"/>
        <v>44127</v>
      </c>
      <c r="Q1974" s="165">
        <f t="shared" si="2"/>
        <v>0</v>
      </c>
      <c r="R1974" s="167"/>
      <c r="S1974" s="167"/>
      <c r="T1974" s="168">
        <f t="shared" si="3"/>
        <v>519554.53</v>
      </c>
      <c r="U1974" s="168">
        <f t="shared" si="4"/>
        <v>0</v>
      </c>
      <c r="V1974" s="168">
        <f t="shared" si="5"/>
        <v>0</v>
      </c>
      <c r="W1974" s="168">
        <f t="shared" si="6"/>
        <v>0</v>
      </c>
      <c r="X1974" s="168">
        <f t="shared" si="7"/>
        <v>0</v>
      </c>
      <c r="Y1974" s="168">
        <f t="shared" si="8"/>
        <v>0</v>
      </c>
      <c r="Z1974" s="168">
        <f t="shared" si="9"/>
        <v>0</v>
      </c>
    </row>
    <row r="1975" ht="14.25" customHeight="1">
      <c r="A1975" s="157" t="s">
        <v>2141</v>
      </c>
      <c r="B1975" s="158" t="s">
        <v>33</v>
      </c>
      <c r="C1975" s="158" t="s">
        <v>2084</v>
      </c>
      <c r="D1975" s="159">
        <v>44117.0</v>
      </c>
      <c r="E1975" s="157" t="s">
        <v>731</v>
      </c>
      <c r="F1975" s="160">
        <v>301979.23</v>
      </c>
      <c r="G1975" s="160">
        <v>48316.68</v>
      </c>
      <c r="H1975" s="160">
        <f t="shared" si="50"/>
        <v>350295.91</v>
      </c>
      <c r="I1975" s="160"/>
      <c r="J1975" s="161"/>
      <c r="K1975" s="160"/>
      <c r="L1975" s="160">
        <f>+'FACP$'!$H1975-'FACP$'!$I1975-'FACP$'!$K1975</f>
        <v>350295.91</v>
      </c>
      <c r="M1975" s="162" t="s">
        <v>958</v>
      </c>
      <c r="N1975" s="162" t="s">
        <v>554</v>
      </c>
      <c r="O1975" s="175">
        <v>44134.0</v>
      </c>
      <c r="P1975" s="164">
        <f t="shared" si="13"/>
        <v>44127</v>
      </c>
      <c r="Q1975" s="165">
        <f t="shared" si="2"/>
        <v>0</v>
      </c>
      <c r="R1975" s="167"/>
      <c r="S1975" s="167"/>
      <c r="T1975" s="168">
        <f t="shared" si="3"/>
        <v>350295.91</v>
      </c>
      <c r="U1975" s="168">
        <f t="shared" si="4"/>
        <v>0</v>
      </c>
      <c r="V1975" s="168">
        <f t="shared" si="5"/>
        <v>0</v>
      </c>
      <c r="W1975" s="168">
        <f t="shared" si="6"/>
        <v>0</v>
      </c>
      <c r="X1975" s="168">
        <f t="shared" si="7"/>
        <v>0</v>
      </c>
      <c r="Y1975" s="168">
        <f t="shared" si="8"/>
        <v>0</v>
      </c>
      <c r="Z1975" s="168">
        <f t="shared" si="9"/>
        <v>0</v>
      </c>
    </row>
    <row r="1976" ht="14.25" customHeight="1">
      <c r="A1976" s="157" t="s">
        <v>2142</v>
      </c>
      <c r="B1976" s="158" t="s">
        <v>43</v>
      </c>
      <c r="C1976" s="158" t="s">
        <v>2143</v>
      </c>
      <c r="D1976" s="159">
        <v>44123.0</v>
      </c>
      <c r="E1976" s="157" t="s">
        <v>731</v>
      </c>
      <c r="F1976" s="160">
        <v>722183.22</v>
      </c>
      <c r="G1976" s="160">
        <v>115549.32</v>
      </c>
      <c r="H1976" s="160">
        <f t="shared" si="50"/>
        <v>837732.54</v>
      </c>
      <c r="I1976" s="160"/>
      <c r="J1976" s="161"/>
      <c r="K1976" s="160"/>
      <c r="L1976" s="160">
        <f>+'FACP$'!$H1976-'FACP$'!$I1976-'FACP$'!$K1976</f>
        <v>837732.54</v>
      </c>
      <c r="M1976" s="162" t="s">
        <v>43</v>
      </c>
      <c r="N1976" s="162" t="s">
        <v>554</v>
      </c>
      <c r="O1976" s="175">
        <v>44134.0</v>
      </c>
      <c r="P1976" s="164">
        <f t="shared" si="13"/>
        <v>44133</v>
      </c>
      <c r="Q1976" s="165">
        <f t="shared" si="2"/>
        <v>0</v>
      </c>
      <c r="R1976" s="167"/>
      <c r="S1976" s="167" t="s">
        <v>910</v>
      </c>
      <c r="T1976" s="168">
        <f t="shared" si="3"/>
        <v>837732.54</v>
      </c>
      <c r="U1976" s="168">
        <f t="shared" si="4"/>
        <v>0</v>
      </c>
      <c r="V1976" s="168">
        <f t="shared" si="5"/>
        <v>0</v>
      </c>
      <c r="W1976" s="168">
        <f t="shared" si="6"/>
        <v>0</v>
      </c>
      <c r="X1976" s="168">
        <f t="shared" si="7"/>
        <v>0</v>
      </c>
      <c r="Y1976" s="168">
        <f t="shared" si="8"/>
        <v>0</v>
      </c>
      <c r="Z1976" s="168">
        <f t="shared" si="9"/>
        <v>0</v>
      </c>
    </row>
    <row r="1977" ht="14.25" customHeight="1">
      <c r="A1977" s="157" t="s">
        <v>2144</v>
      </c>
      <c r="B1977" s="158" t="s">
        <v>1127</v>
      </c>
      <c r="C1977" s="158" t="s">
        <v>2143</v>
      </c>
      <c r="D1977" s="159">
        <v>44123.0</v>
      </c>
      <c r="E1977" s="157" t="s">
        <v>731</v>
      </c>
      <c r="F1977" s="160">
        <v>25818.67</v>
      </c>
      <c r="G1977" s="160">
        <v>4130.99</v>
      </c>
      <c r="H1977" s="160">
        <f t="shared" si="50"/>
        <v>29949.66</v>
      </c>
      <c r="I1977" s="160"/>
      <c r="J1977" s="161"/>
      <c r="K1977" s="160"/>
      <c r="L1977" s="160">
        <f>+'FACP$'!$H1977-'FACP$'!$I1977-'FACP$'!$K1977</f>
        <v>29949.66</v>
      </c>
      <c r="M1977" s="162" t="s">
        <v>580</v>
      </c>
      <c r="N1977" s="162" t="s">
        <v>554</v>
      </c>
      <c r="O1977" s="175">
        <v>44133.0</v>
      </c>
      <c r="P1977" s="164">
        <f t="shared" si="13"/>
        <v>44133</v>
      </c>
      <c r="Q1977" s="165">
        <f t="shared" si="2"/>
        <v>0</v>
      </c>
      <c r="R1977" s="167"/>
      <c r="S1977" s="167"/>
      <c r="T1977" s="168">
        <f t="shared" si="3"/>
        <v>29949.66</v>
      </c>
      <c r="U1977" s="168">
        <f t="shared" si="4"/>
        <v>0</v>
      </c>
      <c r="V1977" s="168">
        <f t="shared" si="5"/>
        <v>0</v>
      </c>
      <c r="W1977" s="168">
        <f t="shared" si="6"/>
        <v>0</v>
      </c>
      <c r="X1977" s="168">
        <f t="shared" si="7"/>
        <v>0</v>
      </c>
      <c r="Y1977" s="168">
        <f t="shared" si="8"/>
        <v>0</v>
      </c>
      <c r="Z1977" s="168">
        <f t="shared" si="9"/>
        <v>0</v>
      </c>
    </row>
    <row r="1978" ht="14.25" customHeight="1">
      <c r="A1978" s="157" t="s">
        <v>2145</v>
      </c>
      <c r="B1978" s="158" t="s">
        <v>36</v>
      </c>
      <c r="C1978" s="158" t="s">
        <v>2143</v>
      </c>
      <c r="D1978" s="159">
        <v>44123.0</v>
      </c>
      <c r="E1978" s="157" t="s">
        <v>731</v>
      </c>
      <c r="F1978" s="160">
        <v>63447.54</v>
      </c>
      <c r="G1978" s="160">
        <v>10151.61</v>
      </c>
      <c r="H1978" s="160">
        <f t="shared" si="50"/>
        <v>73599.15</v>
      </c>
      <c r="I1978" s="160"/>
      <c r="J1978" s="161"/>
      <c r="K1978" s="160"/>
      <c r="L1978" s="160">
        <f>+'FACP$'!$H1978-'FACP$'!$I1978-'FACP$'!$K1978</f>
        <v>73599.15</v>
      </c>
      <c r="M1978" s="162" t="s">
        <v>278</v>
      </c>
      <c r="N1978" s="162" t="s">
        <v>554</v>
      </c>
      <c r="O1978" s="175">
        <v>44140.0</v>
      </c>
      <c r="P1978" s="164">
        <f t="shared" si="13"/>
        <v>44133</v>
      </c>
      <c r="Q1978" s="165">
        <f t="shared" si="2"/>
        <v>0</v>
      </c>
      <c r="R1978" s="167"/>
      <c r="S1978" s="220" t="s">
        <v>910</v>
      </c>
      <c r="T1978" s="168">
        <f t="shared" si="3"/>
        <v>73599.15</v>
      </c>
      <c r="U1978" s="168">
        <f t="shared" si="4"/>
        <v>0</v>
      </c>
      <c r="V1978" s="168">
        <f t="shared" si="5"/>
        <v>0</v>
      </c>
      <c r="W1978" s="168">
        <f t="shared" si="6"/>
        <v>0</v>
      </c>
      <c r="X1978" s="168">
        <f t="shared" si="7"/>
        <v>0</v>
      </c>
      <c r="Y1978" s="168">
        <f t="shared" si="8"/>
        <v>0</v>
      </c>
      <c r="Z1978" s="168">
        <f t="shared" si="9"/>
        <v>0</v>
      </c>
    </row>
    <row r="1979" ht="14.25" customHeight="1">
      <c r="A1979" s="157" t="s">
        <v>2146</v>
      </c>
      <c r="B1979" s="158" t="s">
        <v>35</v>
      </c>
      <c r="C1979" s="158"/>
      <c r="D1979" s="159"/>
      <c r="E1979" s="157"/>
      <c r="F1979" s="160"/>
      <c r="G1979" s="160"/>
      <c r="H1979" s="160">
        <f t="shared" si="50"/>
        <v>0</v>
      </c>
      <c r="I1979" s="160"/>
      <c r="J1979" s="161"/>
      <c r="K1979" s="160"/>
      <c r="L1979" s="160">
        <f>+'FACP$'!$H1979-'FACP$'!$I1979-'FACP$'!$K1979</f>
        <v>0</v>
      </c>
      <c r="M1979" s="162"/>
      <c r="N1979" s="162" t="s">
        <v>127</v>
      </c>
      <c r="O1979" s="175"/>
      <c r="P1979" s="164">
        <f t="shared" si="13"/>
        <v>10</v>
      </c>
      <c r="Q1979" s="165">
        <f t="shared" si="2"/>
        <v>0</v>
      </c>
      <c r="R1979" s="167"/>
      <c r="S1979" s="167"/>
      <c r="T1979" s="168">
        <f t="shared" si="3"/>
        <v>0</v>
      </c>
      <c r="U1979" s="168">
        <f t="shared" si="4"/>
        <v>0</v>
      </c>
      <c r="V1979" s="168">
        <f t="shared" si="5"/>
        <v>0</v>
      </c>
      <c r="W1979" s="168">
        <f t="shared" si="6"/>
        <v>0</v>
      </c>
      <c r="X1979" s="168">
        <f t="shared" si="7"/>
        <v>0</v>
      </c>
      <c r="Y1979" s="168">
        <f t="shared" si="8"/>
        <v>0</v>
      </c>
      <c r="Z1979" s="168">
        <f t="shared" si="9"/>
        <v>0</v>
      </c>
    </row>
    <row r="1980" ht="14.25" customHeight="1">
      <c r="A1980" s="157" t="s">
        <v>2147</v>
      </c>
      <c r="B1980" s="158" t="s">
        <v>33</v>
      </c>
      <c r="C1980" s="158" t="s">
        <v>2143</v>
      </c>
      <c r="D1980" s="159">
        <v>44123.0</v>
      </c>
      <c r="E1980" s="157" t="s">
        <v>731</v>
      </c>
      <c r="F1980" s="160">
        <v>554242.11</v>
      </c>
      <c r="G1980" s="160">
        <v>88678.74</v>
      </c>
      <c r="H1980" s="160">
        <f t="shared" si="50"/>
        <v>642920.85</v>
      </c>
      <c r="I1980" s="160"/>
      <c r="J1980" s="161"/>
      <c r="K1980" s="160"/>
      <c r="L1980" s="160">
        <f>+'FACP$'!$H1980-'FACP$'!$I1980-'FACP$'!$K1980</f>
        <v>642920.85</v>
      </c>
      <c r="M1980" s="162" t="s">
        <v>958</v>
      </c>
      <c r="N1980" s="162" t="s">
        <v>554</v>
      </c>
      <c r="O1980" s="175">
        <v>44141.0</v>
      </c>
      <c r="P1980" s="164">
        <f t="shared" si="13"/>
        <v>44133</v>
      </c>
      <c r="Q1980" s="165">
        <f t="shared" si="2"/>
        <v>0</v>
      </c>
      <c r="R1980" s="167"/>
      <c r="S1980" s="167"/>
      <c r="T1980" s="168">
        <f t="shared" si="3"/>
        <v>642920.85</v>
      </c>
      <c r="U1980" s="168">
        <f t="shared" si="4"/>
        <v>0</v>
      </c>
      <c r="V1980" s="168">
        <f t="shared" si="5"/>
        <v>0</v>
      </c>
      <c r="W1980" s="168">
        <f t="shared" si="6"/>
        <v>0</v>
      </c>
      <c r="X1980" s="168">
        <f t="shared" si="7"/>
        <v>0</v>
      </c>
      <c r="Y1980" s="168">
        <f t="shared" si="8"/>
        <v>0</v>
      </c>
      <c r="Z1980" s="168">
        <f t="shared" si="9"/>
        <v>0</v>
      </c>
    </row>
    <row r="1981" ht="14.25" customHeight="1">
      <c r="A1981" s="157" t="s">
        <v>2148</v>
      </c>
      <c r="B1981" s="158" t="s">
        <v>35</v>
      </c>
      <c r="C1981" s="158" t="s">
        <v>2143</v>
      </c>
      <c r="D1981" s="159">
        <v>44123.0</v>
      </c>
      <c r="E1981" s="157" t="s">
        <v>731</v>
      </c>
      <c r="F1981" s="160">
        <v>249069.0</v>
      </c>
      <c r="G1981" s="160">
        <v>39851.04</v>
      </c>
      <c r="H1981" s="160">
        <f t="shared" si="50"/>
        <v>288920.04</v>
      </c>
      <c r="I1981" s="160"/>
      <c r="J1981" s="161"/>
      <c r="K1981" s="160"/>
      <c r="L1981" s="160">
        <f>+'FACP$'!$H1981-'FACP$'!$I1981-'FACP$'!$K1981</f>
        <v>288920.04</v>
      </c>
      <c r="M1981" s="162" t="s">
        <v>276</v>
      </c>
      <c r="N1981" s="162" t="s">
        <v>554</v>
      </c>
      <c r="O1981" s="175">
        <v>44140.0</v>
      </c>
      <c r="P1981" s="164">
        <f t="shared" si="13"/>
        <v>44133</v>
      </c>
      <c r="Q1981" s="165">
        <f t="shared" si="2"/>
        <v>0</v>
      </c>
      <c r="R1981" s="167"/>
      <c r="S1981" s="167" t="s">
        <v>910</v>
      </c>
      <c r="T1981" s="168">
        <f t="shared" si="3"/>
        <v>288920.04</v>
      </c>
      <c r="U1981" s="168">
        <f t="shared" si="4"/>
        <v>0</v>
      </c>
      <c r="V1981" s="168">
        <f t="shared" si="5"/>
        <v>0</v>
      </c>
      <c r="W1981" s="168">
        <f t="shared" si="6"/>
        <v>0</v>
      </c>
      <c r="X1981" s="168">
        <f t="shared" si="7"/>
        <v>0</v>
      </c>
      <c r="Y1981" s="168">
        <f t="shared" si="8"/>
        <v>0</v>
      </c>
      <c r="Z1981" s="168">
        <f t="shared" si="9"/>
        <v>0</v>
      </c>
    </row>
    <row r="1982" ht="14.25" customHeight="1">
      <c r="A1982" s="157" t="s">
        <v>2149</v>
      </c>
      <c r="B1982" s="158" t="s">
        <v>27</v>
      </c>
      <c r="C1982" s="158" t="s">
        <v>2150</v>
      </c>
      <c r="D1982" s="159">
        <v>44124.0</v>
      </c>
      <c r="E1982" s="157" t="s">
        <v>731</v>
      </c>
      <c r="F1982" s="160">
        <v>2612.93</v>
      </c>
      <c r="G1982" s="160">
        <v>418.07</v>
      </c>
      <c r="H1982" s="160">
        <f t="shared" si="50"/>
        <v>3031</v>
      </c>
      <c r="I1982" s="160"/>
      <c r="J1982" s="161"/>
      <c r="K1982" s="160"/>
      <c r="L1982" s="160">
        <f>+'FACP$'!$H1982-'FACP$'!$I1982-'FACP$'!$K1982</f>
        <v>3031</v>
      </c>
      <c r="M1982" s="162" t="s">
        <v>151</v>
      </c>
      <c r="N1982" s="162" t="s">
        <v>554</v>
      </c>
      <c r="O1982" s="175">
        <v>44175.0</v>
      </c>
      <c r="P1982" s="164">
        <f t="shared" si="13"/>
        <v>44134</v>
      </c>
      <c r="Q1982" s="165">
        <f t="shared" si="2"/>
        <v>0</v>
      </c>
      <c r="R1982" s="167"/>
      <c r="S1982" s="220" t="s">
        <v>910</v>
      </c>
      <c r="T1982" s="168">
        <f t="shared" si="3"/>
        <v>3031</v>
      </c>
      <c r="U1982" s="168">
        <f t="shared" si="4"/>
        <v>0</v>
      </c>
      <c r="V1982" s="168">
        <f t="shared" si="5"/>
        <v>0</v>
      </c>
      <c r="W1982" s="168">
        <f t="shared" si="6"/>
        <v>0</v>
      </c>
      <c r="X1982" s="168">
        <f t="shared" si="7"/>
        <v>0</v>
      </c>
      <c r="Y1982" s="168">
        <f t="shared" si="8"/>
        <v>0</v>
      </c>
      <c r="Z1982" s="168">
        <f t="shared" si="9"/>
        <v>0</v>
      </c>
    </row>
    <row r="1983" ht="14.25" customHeight="1">
      <c r="A1983" s="157" t="s">
        <v>2151</v>
      </c>
      <c r="B1983" s="158" t="s">
        <v>27</v>
      </c>
      <c r="C1983" s="158" t="s">
        <v>2152</v>
      </c>
      <c r="D1983" s="159">
        <v>44124.0</v>
      </c>
      <c r="E1983" s="157" t="s">
        <v>731</v>
      </c>
      <c r="F1983" s="160">
        <v>3044.9</v>
      </c>
      <c r="G1983" s="160">
        <v>487.18</v>
      </c>
      <c r="H1983" s="160">
        <f t="shared" si="50"/>
        <v>3532.08</v>
      </c>
      <c r="I1983" s="160"/>
      <c r="J1983" s="161"/>
      <c r="K1983" s="160"/>
      <c r="L1983" s="160">
        <f>+'FACP$'!$H1983-'FACP$'!$I1983-'FACP$'!$K1983</f>
        <v>3532.08</v>
      </c>
      <c r="M1983" s="162" t="s">
        <v>151</v>
      </c>
      <c r="N1983" s="162" t="s">
        <v>554</v>
      </c>
      <c r="O1983" s="175">
        <v>44175.0</v>
      </c>
      <c r="P1983" s="164">
        <f t="shared" si="13"/>
        <v>44134</v>
      </c>
      <c r="Q1983" s="165">
        <f t="shared" si="2"/>
        <v>0</v>
      </c>
      <c r="R1983" s="167"/>
      <c r="S1983" s="220" t="s">
        <v>910</v>
      </c>
      <c r="T1983" s="168">
        <f t="shared" si="3"/>
        <v>3532.08</v>
      </c>
      <c r="U1983" s="168">
        <f t="shared" si="4"/>
        <v>0</v>
      </c>
      <c r="V1983" s="168">
        <f t="shared" si="5"/>
        <v>0</v>
      </c>
      <c r="W1983" s="168">
        <f t="shared" si="6"/>
        <v>0</v>
      </c>
      <c r="X1983" s="168">
        <f t="shared" si="7"/>
        <v>0</v>
      </c>
      <c r="Y1983" s="168">
        <f t="shared" si="8"/>
        <v>0</v>
      </c>
      <c r="Z1983" s="168">
        <f t="shared" si="9"/>
        <v>0</v>
      </c>
    </row>
    <row r="1984" ht="14.25" customHeight="1">
      <c r="A1984" s="157" t="s">
        <v>2153</v>
      </c>
      <c r="B1984" s="158" t="s">
        <v>27</v>
      </c>
      <c r="C1984" s="158" t="s">
        <v>2154</v>
      </c>
      <c r="D1984" s="159">
        <v>44124.0</v>
      </c>
      <c r="E1984" s="157" t="s">
        <v>731</v>
      </c>
      <c r="F1984" s="160">
        <v>1453.27</v>
      </c>
      <c r="G1984" s="160">
        <v>232.52</v>
      </c>
      <c r="H1984" s="160">
        <f t="shared" si="50"/>
        <v>1685.79</v>
      </c>
      <c r="I1984" s="160"/>
      <c r="J1984" s="161"/>
      <c r="K1984" s="160"/>
      <c r="L1984" s="160">
        <f>+'FACP$'!$H1984-'FACP$'!$I1984-'FACP$'!$K1984</f>
        <v>1685.79</v>
      </c>
      <c r="M1984" s="162" t="s">
        <v>151</v>
      </c>
      <c r="N1984" s="162" t="s">
        <v>554</v>
      </c>
      <c r="O1984" s="175">
        <v>44175.0</v>
      </c>
      <c r="P1984" s="164">
        <f t="shared" si="13"/>
        <v>44134</v>
      </c>
      <c r="Q1984" s="165">
        <f t="shared" si="2"/>
        <v>0</v>
      </c>
      <c r="R1984" s="167"/>
      <c r="S1984" s="220" t="s">
        <v>910</v>
      </c>
      <c r="T1984" s="168">
        <f t="shared" si="3"/>
        <v>1685.79</v>
      </c>
      <c r="U1984" s="168">
        <f t="shared" si="4"/>
        <v>0</v>
      </c>
      <c r="V1984" s="168">
        <f t="shared" si="5"/>
        <v>0</v>
      </c>
      <c r="W1984" s="168">
        <f t="shared" si="6"/>
        <v>0</v>
      </c>
      <c r="X1984" s="168">
        <f t="shared" si="7"/>
        <v>0</v>
      </c>
      <c r="Y1984" s="168">
        <f t="shared" si="8"/>
        <v>0</v>
      </c>
      <c r="Z1984" s="168">
        <f t="shared" si="9"/>
        <v>0</v>
      </c>
    </row>
    <row r="1985" ht="14.25" customHeight="1">
      <c r="A1985" s="157" t="s">
        <v>2155</v>
      </c>
      <c r="B1985" s="158" t="s">
        <v>27</v>
      </c>
      <c r="C1985" s="158" t="s">
        <v>2156</v>
      </c>
      <c r="D1985" s="159">
        <v>44124.0</v>
      </c>
      <c r="E1985" s="157" t="s">
        <v>731</v>
      </c>
      <c r="F1985" s="160">
        <v>1516.92</v>
      </c>
      <c r="G1985" s="160">
        <v>242.71</v>
      </c>
      <c r="H1985" s="160">
        <f t="shared" si="50"/>
        <v>1759.63</v>
      </c>
      <c r="I1985" s="160"/>
      <c r="J1985" s="161"/>
      <c r="K1985" s="160"/>
      <c r="L1985" s="160">
        <f>+'FACP$'!$H1985-'FACP$'!$I1985-'FACP$'!$K1985</f>
        <v>1759.63</v>
      </c>
      <c r="M1985" s="162" t="s">
        <v>151</v>
      </c>
      <c r="N1985" s="162" t="s">
        <v>554</v>
      </c>
      <c r="O1985" s="175">
        <v>44175.0</v>
      </c>
      <c r="P1985" s="164">
        <f t="shared" si="13"/>
        <v>44134</v>
      </c>
      <c r="Q1985" s="165">
        <f t="shared" si="2"/>
        <v>0</v>
      </c>
      <c r="R1985" s="167"/>
      <c r="S1985" s="220" t="s">
        <v>910</v>
      </c>
      <c r="T1985" s="168">
        <f t="shared" si="3"/>
        <v>1759.63</v>
      </c>
      <c r="U1985" s="168">
        <f t="shared" si="4"/>
        <v>0</v>
      </c>
      <c r="V1985" s="168">
        <f t="shared" si="5"/>
        <v>0</v>
      </c>
      <c r="W1985" s="168">
        <f t="shared" si="6"/>
        <v>0</v>
      </c>
      <c r="X1985" s="168">
        <f t="shared" si="7"/>
        <v>0</v>
      </c>
      <c r="Y1985" s="168">
        <f t="shared" si="8"/>
        <v>0</v>
      </c>
      <c r="Z1985" s="168">
        <f t="shared" si="9"/>
        <v>0</v>
      </c>
    </row>
    <row r="1986" ht="14.25" customHeight="1">
      <c r="A1986" s="157" t="s">
        <v>2157</v>
      </c>
      <c r="B1986" s="158" t="s">
        <v>27</v>
      </c>
      <c r="C1986" s="158" t="s">
        <v>2158</v>
      </c>
      <c r="D1986" s="159">
        <v>44124.0</v>
      </c>
      <c r="E1986" s="157" t="s">
        <v>731</v>
      </c>
      <c r="F1986" s="160">
        <v>7425.07</v>
      </c>
      <c r="G1986" s="160">
        <v>1188.01</v>
      </c>
      <c r="H1986" s="160">
        <f t="shared" si="50"/>
        <v>8613.08</v>
      </c>
      <c r="I1986" s="160"/>
      <c r="J1986" s="161"/>
      <c r="K1986" s="160"/>
      <c r="L1986" s="160">
        <f>+'FACP$'!$H1986-'FACP$'!$I1986-'FACP$'!$K1986</f>
        <v>8613.08</v>
      </c>
      <c r="M1986" s="162" t="s">
        <v>151</v>
      </c>
      <c r="N1986" s="162" t="s">
        <v>554</v>
      </c>
      <c r="O1986" s="175">
        <v>44175.0</v>
      </c>
      <c r="P1986" s="164">
        <f t="shared" si="13"/>
        <v>44134</v>
      </c>
      <c r="Q1986" s="165">
        <f t="shared" si="2"/>
        <v>0</v>
      </c>
      <c r="R1986" s="167"/>
      <c r="S1986" s="220" t="s">
        <v>910</v>
      </c>
      <c r="T1986" s="168">
        <f t="shared" si="3"/>
        <v>8613.08</v>
      </c>
      <c r="U1986" s="168">
        <f t="shared" si="4"/>
        <v>0</v>
      </c>
      <c r="V1986" s="168">
        <f t="shared" si="5"/>
        <v>0</v>
      </c>
      <c r="W1986" s="168">
        <f t="shared" si="6"/>
        <v>0</v>
      </c>
      <c r="X1986" s="168">
        <f t="shared" si="7"/>
        <v>0</v>
      </c>
      <c r="Y1986" s="168">
        <f t="shared" si="8"/>
        <v>0</v>
      </c>
      <c r="Z1986" s="168">
        <f t="shared" si="9"/>
        <v>0</v>
      </c>
    </row>
    <row r="1987" ht="14.25" customHeight="1">
      <c r="A1987" s="157" t="s">
        <v>2159</v>
      </c>
      <c r="B1987" s="158" t="s">
        <v>27</v>
      </c>
      <c r="C1987" s="158" t="s">
        <v>2160</v>
      </c>
      <c r="D1987" s="159">
        <v>44124.0</v>
      </c>
      <c r="E1987" s="157" t="s">
        <v>731</v>
      </c>
      <c r="F1987" s="160">
        <v>5077.94</v>
      </c>
      <c r="G1987" s="160">
        <v>812.47</v>
      </c>
      <c r="H1987" s="160">
        <f t="shared" si="50"/>
        <v>5890.41</v>
      </c>
      <c r="I1987" s="160"/>
      <c r="J1987" s="161"/>
      <c r="K1987" s="160"/>
      <c r="L1987" s="160">
        <f>+'FACP$'!$H1987-'FACP$'!$I1987-'FACP$'!$K1987</f>
        <v>5890.41</v>
      </c>
      <c r="M1987" s="162" t="s">
        <v>151</v>
      </c>
      <c r="N1987" s="162" t="s">
        <v>554</v>
      </c>
      <c r="O1987" s="175">
        <v>44175.0</v>
      </c>
      <c r="P1987" s="164">
        <f t="shared" si="13"/>
        <v>44134</v>
      </c>
      <c r="Q1987" s="165">
        <f t="shared" si="2"/>
        <v>0</v>
      </c>
      <c r="R1987" s="167"/>
      <c r="S1987" s="220" t="s">
        <v>910</v>
      </c>
      <c r="T1987" s="168">
        <f t="shared" si="3"/>
        <v>5890.41</v>
      </c>
      <c r="U1987" s="168">
        <f t="shared" si="4"/>
        <v>0</v>
      </c>
      <c r="V1987" s="168">
        <f t="shared" si="5"/>
        <v>0</v>
      </c>
      <c r="W1987" s="168">
        <f t="shared" si="6"/>
        <v>0</v>
      </c>
      <c r="X1987" s="168">
        <f t="shared" si="7"/>
        <v>0</v>
      </c>
      <c r="Y1987" s="168">
        <f t="shared" si="8"/>
        <v>0</v>
      </c>
      <c r="Z1987" s="168">
        <f t="shared" si="9"/>
        <v>0</v>
      </c>
    </row>
    <row r="1988" ht="14.25" customHeight="1">
      <c r="A1988" s="157" t="s">
        <v>2161</v>
      </c>
      <c r="B1988" s="158" t="s">
        <v>41</v>
      </c>
      <c r="C1988" s="158" t="s">
        <v>2143</v>
      </c>
      <c r="D1988" s="159">
        <v>44126.0</v>
      </c>
      <c r="E1988" s="157" t="s">
        <v>731</v>
      </c>
      <c r="F1988" s="160">
        <v>515458.08</v>
      </c>
      <c r="G1988" s="160">
        <v>82473.29</v>
      </c>
      <c r="H1988" s="160">
        <f t="shared" si="50"/>
        <v>597931.37</v>
      </c>
      <c r="I1988" s="160"/>
      <c r="J1988" s="161"/>
      <c r="K1988" s="160"/>
      <c r="L1988" s="160">
        <f>+'FACP$'!$H1988-'FACP$'!$I1988-'FACP$'!$K1988</f>
        <v>597931.37</v>
      </c>
      <c r="M1988" s="162" t="s">
        <v>121</v>
      </c>
      <c r="N1988" s="162" t="s">
        <v>554</v>
      </c>
      <c r="O1988" s="175">
        <v>44155.0</v>
      </c>
      <c r="P1988" s="164">
        <f t="shared" si="13"/>
        <v>44136</v>
      </c>
      <c r="Q1988" s="165">
        <f t="shared" si="2"/>
        <v>0</v>
      </c>
      <c r="R1988" s="167"/>
      <c r="S1988" s="167"/>
      <c r="T1988" s="168">
        <f t="shared" si="3"/>
        <v>597931.37</v>
      </c>
      <c r="U1988" s="168">
        <f t="shared" si="4"/>
        <v>0</v>
      </c>
      <c r="V1988" s="168">
        <f t="shared" si="5"/>
        <v>0</v>
      </c>
      <c r="W1988" s="168">
        <f t="shared" si="6"/>
        <v>0</v>
      </c>
      <c r="X1988" s="168">
        <f t="shared" si="7"/>
        <v>0</v>
      </c>
      <c r="Y1988" s="168">
        <f t="shared" si="8"/>
        <v>0</v>
      </c>
      <c r="Z1988" s="168">
        <f t="shared" si="9"/>
        <v>0</v>
      </c>
    </row>
    <row r="1989" ht="14.25" customHeight="1">
      <c r="A1989" s="157" t="s">
        <v>2162</v>
      </c>
      <c r="B1989" s="158" t="s">
        <v>50</v>
      </c>
      <c r="C1989" s="158" t="s">
        <v>2143</v>
      </c>
      <c r="D1989" s="159">
        <v>44127.0</v>
      </c>
      <c r="E1989" s="157" t="s">
        <v>731</v>
      </c>
      <c r="F1989" s="160">
        <v>26520.71</v>
      </c>
      <c r="G1989" s="160">
        <v>4243.31</v>
      </c>
      <c r="H1989" s="160">
        <f t="shared" si="50"/>
        <v>30764.02</v>
      </c>
      <c r="I1989" s="160"/>
      <c r="J1989" s="161"/>
      <c r="K1989" s="160"/>
      <c r="L1989" s="160">
        <f>+'FACP$'!$H1989-'FACP$'!$I1989-'FACP$'!$K1989</f>
        <v>30764.02</v>
      </c>
      <c r="M1989" s="162" t="s">
        <v>570</v>
      </c>
      <c r="N1989" s="162" t="s">
        <v>127</v>
      </c>
      <c r="O1989" s="175"/>
      <c r="P1989" s="164">
        <f t="shared" si="13"/>
        <v>44137</v>
      </c>
      <c r="Q1989" s="165">
        <f t="shared" si="2"/>
        <v>0</v>
      </c>
      <c r="R1989" s="167" t="s">
        <v>2163</v>
      </c>
      <c r="S1989" s="167"/>
      <c r="T1989" s="168">
        <f t="shared" si="3"/>
        <v>30764.02</v>
      </c>
      <c r="U1989" s="168">
        <f t="shared" si="4"/>
        <v>0</v>
      </c>
      <c r="V1989" s="168">
        <f t="shared" si="5"/>
        <v>0</v>
      </c>
      <c r="W1989" s="168">
        <f t="shared" si="6"/>
        <v>0</v>
      </c>
      <c r="X1989" s="168">
        <f t="shared" si="7"/>
        <v>0</v>
      </c>
      <c r="Y1989" s="168">
        <f t="shared" si="8"/>
        <v>0</v>
      </c>
      <c r="Z1989" s="168">
        <f t="shared" si="9"/>
        <v>0</v>
      </c>
    </row>
    <row r="1990" ht="14.25" customHeight="1">
      <c r="A1990" s="157" t="s">
        <v>2164</v>
      </c>
      <c r="B1990" s="158" t="s">
        <v>16</v>
      </c>
      <c r="C1990" s="158" t="s">
        <v>2143</v>
      </c>
      <c r="D1990" s="159">
        <v>44130.0</v>
      </c>
      <c r="E1990" s="157" t="s">
        <v>731</v>
      </c>
      <c r="F1990" s="160">
        <v>140067.7</v>
      </c>
      <c r="G1990" s="160">
        <v>22410.83</v>
      </c>
      <c r="H1990" s="160">
        <f t="shared" si="50"/>
        <v>162478.53</v>
      </c>
      <c r="I1990" s="160"/>
      <c r="J1990" s="161"/>
      <c r="K1990" s="160"/>
      <c r="L1990" s="160">
        <f>+'FACP$'!$H1990-'FACP$'!$I1990-'FACP$'!$K1990</f>
        <v>162478.53</v>
      </c>
      <c r="M1990" s="162" t="s">
        <v>985</v>
      </c>
      <c r="N1990" s="162" t="s">
        <v>554</v>
      </c>
      <c r="O1990" s="175">
        <v>44138.0</v>
      </c>
      <c r="P1990" s="164">
        <f t="shared" si="13"/>
        <v>44140</v>
      </c>
      <c r="Q1990" s="165">
        <f t="shared" si="2"/>
        <v>0</v>
      </c>
      <c r="R1990" s="167"/>
      <c r="S1990" s="167"/>
      <c r="T1990" s="168">
        <f t="shared" si="3"/>
        <v>162478.53</v>
      </c>
      <c r="U1990" s="168">
        <f t="shared" si="4"/>
        <v>0</v>
      </c>
      <c r="V1990" s="168">
        <f t="shared" si="5"/>
        <v>0</v>
      </c>
      <c r="W1990" s="168">
        <f t="shared" si="6"/>
        <v>0</v>
      </c>
      <c r="X1990" s="168">
        <f t="shared" si="7"/>
        <v>0</v>
      </c>
      <c r="Y1990" s="168">
        <f t="shared" si="8"/>
        <v>0</v>
      </c>
      <c r="Z1990" s="168">
        <f t="shared" si="9"/>
        <v>0</v>
      </c>
    </row>
    <row r="1991" ht="14.25" customHeight="1">
      <c r="A1991" s="157" t="s">
        <v>2165</v>
      </c>
      <c r="B1991" s="158" t="s">
        <v>16</v>
      </c>
      <c r="C1991" s="158" t="s">
        <v>2166</v>
      </c>
      <c r="D1991" s="159">
        <v>44130.0</v>
      </c>
      <c r="E1991" s="157" t="s">
        <v>731</v>
      </c>
      <c r="F1991" s="160">
        <v>182293.83</v>
      </c>
      <c r="G1991" s="160">
        <v>29167.01</v>
      </c>
      <c r="H1991" s="160">
        <f t="shared" si="50"/>
        <v>211460.84</v>
      </c>
      <c r="I1991" s="160"/>
      <c r="J1991" s="161"/>
      <c r="K1991" s="160"/>
      <c r="L1991" s="160">
        <f>+'FACP$'!$H1991-'FACP$'!$I1991-'FACP$'!$K1991</f>
        <v>211460.84</v>
      </c>
      <c r="M1991" s="162" t="s">
        <v>985</v>
      </c>
      <c r="N1991" s="162" t="s">
        <v>554</v>
      </c>
      <c r="O1991" s="175">
        <v>44138.0</v>
      </c>
      <c r="P1991" s="164">
        <f t="shared" si="13"/>
        <v>44140</v>
      </c>
      <c r="Q1991" s="165">
        <f t="shared" si="2"/>
        <v>0</v>
      </c>
      <c r="R1991" s="167"/>
      <c r="S1991" s="167"/>
      <c r="T1991" s="168">
        <f t="shared" si="3"/>
        <v>211460.84</v>
      </c>
      <c r="U1991" s="168">
        <f t="shared" si="4"/>
        <v>0</v>
      </c>
      <c r="V1991" s="168">
        <f t="shared" si="5"/>
        <v>0</v>
      </c>
      <c r="W1991" s="168">
        <f t="shared" si="6"/>
        <v>0</v>
      </c>
      <c r="X1991" s="168">
        <f t="shared" si="7"/>
        <v>0</v>
      </c>
      <c r="Y1991" s="168">
        <f t="shared" si="8"/>
        <v>0</v>
      </c>
      <c r="Z1991" s="168">
        <f t="shared" si="9"/>
        <v>0</v>
      </c>
    </row>
    <row r="1992" ht="14.25" customHeight="1">
      <c r="A1992" s="157" t="s">
        <v>2167</v>
      </c>
      <c r="B1992" s="158" t="s">
        <v>18</v>
      </c>
      <c r="C1992" s="158" t="s">
        <v>2143</v>
      </c>
      <c r="D1992" s="159">
        <v>44130.0</v>
      </c>
      <c r="E1992" s="157" t="s">
        <v>731</v>
      </c>
      <c r="F1992" s="160">
        <v>108547.12</v>
      </c>
      <c r="G1992" s="160">
        <v>17367.54</v>
      </c>
      <c r="H1992" s="160">
        <f t="shared" si="50"/>
        <v>125914.66</v>
      </c>
      <c r="I1992" s="160"/>
      <c r="J1992" s="161"/>
      <c r="K1992" s="160"/>
      <c r="L1992" s="160">
        <f>+'FACP$'!$H1992-'FACP$'!$I1992-'FACP$'!$K1992</f>
        <v>125914.66</v>
      </c>
      <c r="M1992" s="162" t="s">
        <v>586</v>
      </c>
      <c r="N1992" s="162" t="s">
        <v>554</v>
      </c>
      <c r="O1992" s="175">
        <v>44140.0</v>
      </c>
      <c r="P1992" s="164">
        <f t="shared" si="13"/>
        <v>44140</v>
      </c>
      <c r="Q1992" s="165">
        <f t="shared" si="2"/>
        <v>0</v>
      </c>
      <c r="R1992" s="167"/>
      <c r="S1992" s="167" t="s">
        <v>910</v>
      </c>
      <c r="T1992" s="168">
        <f t="shared" si="3"/>
        <v>125914.66</v>
      </c>
      <c r="U1992" s="168">
        <f t="shared" si="4"/>
        <v>0</v>
      </c>
      <c r="V1992" s="168">
        <f t="shared" si="5"/>
        <v>0</v>
      </c>
      <c r="W1992" s="168">
        <f t="shared" si="6"/>
        <v>0</v>
      </c>
      <c r="X1992" s="168">
        <f t="shared" si="7"/>
        <v>0</v>
      </c>
      <c r="Y1992" s="168">
        <f t="shared" si="8"/>
        <v>0</v>
      </c>
      <c r="Z1992" s="168">
        <f t="shared" si="9"/>
        <v>0</v>
      </c>
    </row>
    <row r="1993" ht="14.25" customHeight="1">
      <c r="A1993" s="157" t="s">
        <v>2168</v>
      </c>
      <c r="B1993" s="158" t="s">
        <v>19</v>
      </c>
      <c r="C1993" s="158" t="s">
        <v>2143</v>
      </c>
      <c r="D1993" s="159">
        <v>44130.0</v>
      </c>
      <c r="E1993" s="157" t="s">
        <v>731</v>
      </c>
      <c r="F1993" s="160">
        <v>131048.17</v>
      </c>
      <c r="G1993" s="160">
        <v>20967.71</v>
      </c>
      <c r="H1993" s="160">
        <f t="shared" si="50"/>
        <v>152015.88</v>
      </c>
      <c r="I1993" s="160"/>
      <c r="J1993" s="161"/>
      <c r="K1993" s="160"/>
      <c r="L1993" s="160">
        <f>+'FACP$'!$H1993-'FACP$'!$I1993-'FACP$'!$K1993</f>
        <v>152015.88</v>
      </c>
      <c r="M1993" s="162" t="s">
        <v>732</v>
      </c>
      <c r="N1993" s="162" t="s">
        <v>554</v>
      </c>
      <c r="O1993" s="175">
        <v>44140.0</v>
      </c>
      <c r="P1993" s="164">
        <f t="shared" si="13"/>
        <v>44140</v>
      </c>
      <c r="Q1993" s="165">
        <f t="shared" si="2"/>
        <v>0</v>
      </c>
      <c r="R1993" s="167"/>
      <c r="S1993" s="167" t="s">
        <v>910</v>
      </c>
      <c r="T1993" s="168">
        <f t="shared" si="3"/>
        <v>152015.88</v>
      </c>
      <c r="U1993" s="168">
        <f t="shared" si="4"/>
        <v>0</v>
      </c>
      <c r="V1993" s="168">
        <f t="shared" si="5"/>
        <v>0</v>
      </c>
      <c r="W1993" s="168">
        <f t="shared" si="6"/>
        <v>0</v>
      </c>
      <c r="X1993" s="168">
        <f t="shared" si="7"/>
        <v>0</v>
      </c>
      <c r="Y1993" s="168">
        <f t="shared" si="8"/>
        <v>0</v>
      </c>
      <c r="Z1993" s="168">
        <f t="shared" si="9"/>
        <v>0</v>
      </c>
    </row>
    <row r="1994" ht="14.25" customHeight="1">
      <c r="A1994" s="157" t="s">
        <v>2169</v>
      </c>
      <c r="B1994" s="158" t="s">
        <v>29</v>
      </c>
      <c r="C1994" s="158" t="s">
        <v>2143</v>
      </c>
      <c r="D1994" s="159">
        <v>44130.0</v>
      </c>
      <c r="E1994" s="157" t="s">
        <v>731</v>
      </c>
      <c r="F1994" s="160">
        <v>244092.29</v>
      </c>
      <c r="G1994" s="160">
        <v>39054.77</v>
      </c>
      <c r="H1994" s="160">
        <f t="shared" si="50"/>
        <v>283147.06</v>
      </c>
      <c r="I1994" s="160"/>
      <c r="J1994" s="161"/>
      <c r="K1994" s="160"/>
      <c r="L1994" s="160">
        <f>+'FACP$'!$H1994-'FACP$'!$I1994-'FACP$'!$K1994</f>
        <v>283147.06</v>
      </c>
      <c r="M1994" s="162" t="s">
        <v>130</v>
      </c>
      <c r="N1994" s="162" t="s">
        <v>554</v>
      </c>
      <c r="O1994" s="175">
        <v>44179.0</v>
      </c>
      <c r="P1994" s="164">
        <f t="shared" si="13"/>
        <v>44140</v>
      </c>
      <c r="Q1994" s="165">
        <f t="shared" si="2"/>
        <v>0</v>
      </c>
      <c r="R1994" s="167"/>
      <c r="S1994" s="167"/>
      <c r="T1994" s="168">
        <f t="shared" si="3"/>
        <v>283147.06</v>
      </c>
      <c r="U1994" s="168">
        <f t="shared" si="4"/>
        <v>0</v>
      </c>
      <c r="V1994" s="168">
        <f t="shared" si="5"/>
        <v>0</v>
      </c>
      <c r="W1994" s="168">
        <f t="shared" si="6"/>
        <v>0</v>
      </c>
      <c r="X1994" s="168">
        <f t="shared" si="7"/>
        <v>0</v>
      </c>
      <c r="Y1994" s="168">
        <f t="shared" si="8"/>
        <v>0</v>
      </c>
      <c r="Z1994" s="168">
        <f t="shared" si="9"/>
        <v>0</v>
      </c>
    </row>
    <row r="1995" ht="14.25" customHeight="1">
      <c r="A1995" s="157" t="s">
        <v>2170</v>
      </c>
      <c r="B1995" s="158" t="s">
        <v>29</v>
      </c>
      <c r="C1995" s="158" t="s">
        <v>2143</v>
      </c>
      <c r="D1995" s="159">
        <v>44130.0</v>
      </c>
      <c r="E1995" s="157" t="s">
        <v>731</v>
      </c>
      <c r="F1995" s="160">
        <v>357175.15</v>
      </c>
      <c r="G1995" s="160">
        <v>57148.02</v>
      </c>
      <c r="H1995" s="160">
        <f t="shared" si="50"/>
        <v>414323.17</v>
      </c>
      <c r="I1995" s="160"/>
      <c r="J1995" s="161"/>
      <c r="K1995" s="160"/>
      <c r="L1995" s="160">
        <f>+'FACP$'!$H1995-'FACP$'!$I1995-'FACP$'!$K1995</f>
        <v>414323.17</v>
      </c>
      <c r="M1995" s="162" t="s">
        <v>130</v>
      </c>
      <c r="N1995" s="162" t="s">
        <v>554</v>
      </c>
      <c r="O1995" s="175">
        <v>44161.0</v>
      </c>
      <c r="P1995" s="164">
        <f t="shared" si="13"/>
        <v>44140</v>
      </c>
      <c r="Q1995" s="165">
        <f t="shared" si="2"/>
        <v>0</v>
      </c>
      <c r="R1995" s="167"/>
      <c r="S1995" s="167"/>
      <c r="T1995" s="168">
        <f t="shared" si="3"/>
        <v>414323.17</v>
      </c>
      <c r="U1995" s="168">
        <f t="shared" si="4"/>
        <v>0</v>
      </c>
      <c r="V1995" s="168">
        <f t="shared" si="5"/>
        <v>0</v>
      </c>
      <c r="W1995" s="168">
        <f t="shared" si="6"/>
        <v>0</v>
      </c>
      <c r="X1995" s="168">
        <f t="shared" si="7"/>
        <v>0</v>
      </c>
      <c r="Y1995" s="168">
        <f t="shared" si="8"/>
        <v>0</v>
      </c>
      <c r="Z1995" s="168">
        <f t="shared" si="9"/>
        <v>0</v>
      </c>
    </row>
    <row r="1996" ht="14.25" customHeight="1">
      <c r="A1996" s="157" t="s">
        <v>2171</v>
      </c>
      <c r="B1996" s="158" t="s">
        <v>27</v>
      </c>
      <c r="C1996" s="158" t="s">
        <v>2143</v>
      </c>
      <c r="D1996" s="159">
        <v>44130.0</v>
      </c>
      <c r="E1996" s="157" t="s">
        <v>731</v>
      </c>
      <c r="F1996" s="160">
        <v>432007.05</v>
      </c>
      <c r="G1996" s="160">
        <v>69121.13</v>
      </c>
      <c r="H1996" s="160">
        <f t="shared" si="50"/>
        <v>501128.18</v>
      </c>
      <c r="I1996" s="160"/>
      <c r="J1996" s="161"/>
      <c r="K1996" s="160"/>
      <c r="L1996" s="160">
        <f>+'FACP$'!$H1996-'FACP$'!$I1996-'FACP$'!$K1996</f>
        <v>501128.18</v>
      </c>
      <c r="M1996" s="162" t="s">
        <v>2172</v>
      </c>
      <c r="N1996" s="162" t="s">
        <v>554</v>
      </c>
      <c r="O1996" s="175">
        <v>44175.0</v>
      </c>
      <c r="P1996" s="164">
        <f t="shared" si="13"/>
        <v>44140</v>
      </c>
      <c r="Q1996" s="165">
        <f t="shared" si="2"/>
        <v>0</v>
      </c>
      <c r="R1996" s="167"/>
      <c r="S1996" s="220" t="s">
        <v>910</v>
      </c>
      <c r="T1996" s="168">
        <f t="shared" si="3"/>
        <v>501128.18</v>
      </c>
      <c r="U1996" s="168">
        <f t="shared" si="4"/>
        <v>0</v>
      </c>
      <c r="V1996" s="168">
        <f t="shared" si="5"/>
        <v>0</v>
      </c>
      <c r="W1996" s="168">
        <f t="shared" si="6"/>
        <v>0</v>
      </c>
      <c r="X1996" s="168">
        <f t="shared" si="7"/>
        <v>0</v>
      </c>
      <c r="Y1996" s="168">
        <f t="shared" si="8"/>
        <v>0</v>
      </c>
      <c r="Z1996" s="168">
        <f t="shared" si="9"/>
        <v>0</v>
      </c>
    </row>
    <row r="1997" ht="14.25" customHeight="1">
      <c r="A1997" s="157" t="s">
        <v>2173</v>
      </c>
      <c r="B1997" s="158" t="s">
        <v>27</v>
      </c>
      <c r="C1997" s="158" t="s">
        <v>2166</v>
      </c>
      <c r="D1997" s="159">
        <v>44130.0</v>
      </c>
      <c r="E1997" s="157" t="s">
        <v>731</v>
      </c>
      <c r="F1997" s="160">
        <v>323056.63</v>
      </c>
      <c r="G1997" s="160">
        <v>51689.06</v>
      </c>
      <c r="H1997" s="160">
        <f t="shared" si="50"/>
        <v>374745.69</v>
      </c>
      <c r="I1997" s="160"/>
      <c r="J1997" s="161"/>
      <c r="K1997" s="160"/>
      <c r="L1997" s="160">
        <f>+'FACP$'!$H1997-'FACP$'!$I1997-'FACP$'!$K1997</f>
        <v>374745.69</v>
      </c>
      <c r="M1997" s="162" t="s">
        <v>2172</v>
      </c>
      <c r="N1997" s="162" t="s">
        <v>127</v>
      </c>
      <c r="O1997" s="175"/>
      <c r="P1997" s="164">
        <f t="shared" si="13"/>
        <v>44140</v>
      </c>
      <c r="Q1997" s="165">
        <f t="shared" si="2"/>
        <v>0</v>
      </c>
      <c r="R1997" s="167"/>
      <c r="S1997" s="167"/>
      <c r="T1997" s="168">
        <f t="shared" si="3"/>
        <v>374745.69</v>
      </c>
      <c r="U1997" s="168">
        <f t="shared" si="4"/>
        <v>0</v>
      </c>
      <c r="V1997" s="168">
        <f t="shared" si="5"/>
        <v>0</v>
      </c>
      <c r="W1997" s="168">
        <f t="shared" si="6"/>
        <v>0</v>
      </c>
      <c r="X1997" s="168">
        <f t="shared" si="7"/>
        <v>0</v>
      </c>
      <c r="Y1997" s="168">
        <f t="shared" si="8"/>
        <v>0</v>
      </c>
      <c r="Z1997" s="168">
        <f t="shared" si="9"/>
        <v>0</v>
      </c>
    </row>
    <row r="1998" ht="14.25" customHeight="1">
      <c r="A1998" s="157" t="s">
        <v>2174</v>
      </c>
      <c r="B1998" s="158" t="s">
        <v>27</v>
      </c>
      <c r="C1998" s="158" t="s">
        <v>2143</v>
      </c>
      <c r="D1998" s="159">
        <v>44130.0</v>
      </c>
      <c r="E1998" s="157" t="s">
        <v>731</v>
      </c>
      <c r="F1998" s="160">
        <v>24781.5</v>
      </c>
      <c r="G1998" s="160">
        <v>3965.04</v>
      </c>
      <c r="H1998" s="160">
        <f t="shared" si="50"/>
        <v>28746.54</v>
      </c>
      <c r="I1998" s="160"/>
      <c r="J1998" s="161"/>
      <c r="K1998" s="160"/>
      <c r="L1998" s="160">
        <f>+'FACP$'!$H1998-'FACP$'!$I1998-'FACP$'!$K1998</f>
        <v>28746.54</v>
      </c>
      <c r="M1998" s="162" t="s">
        <v>2137</v>
      </c>
      <c r="N1998" s="162" t="s">
        <v>554</v>
      </c>
      <c r="O1998" s="175">
        <v>44175.0</v>
      </c>
      <c r="P1998" s="164">
        <f t="shared" si="13"/>
        <v>44140</v>
      </c>
      <c r="Q1998" s="165">
        <f t="shared" si="2"/>
        <v>0</v>
      </c>
      <c r="R1998" s="167"/>
      <c r="S1998" s="220" t="s">
        <v>910</v>
      </c>
      <c r="T1998" s="168">
        <f t="shared" si="3"/>
        <v>28746.54</v>
      </c>
      <c r="U1998" s="168">
        <f t="shared" si="4"/>
        <v>0</v>
      </c>
      <c r="V1998" s="168">
        <f t="shared" si="5"/>
        <v>0</v>
      </c>
      <c r="W1998" s="168">
        <f t="shared" si="6"/>
        <v>0</v>
      </c>
      <c r="X1998" s="168">
        <f t="shared" si="7"/>
        <v>0</v>
      </c>
      <c r="Y1998" s="168">
        <f t="shared" si="8"/>
        <v>0</v>
      </c>
      <c r="Z1998" s="168">
        <f t="shared" si="9"/>
        <v>0</v>
      </c>
    </row>
    <row r="1999" ht="14.25" customHeight="1">
      <c r="A1999" s="157" t="s">
        <v>2175</v>
      </c>
      <c r="B1999" s="158" t="s">
        <v>27</v>
      </c>
      <c r="C1999" s="158" t="s">
        <v>2166</v>
      </c>
      <c r="D1999" s="159">
        <v>44130.0</v>
      </c>
      <c r="E1999" s="157" t="s">
        <v>731</v>
      </c>
      <c r="F1999" s="160">
        <v>18531.71</v>
      </c>
      <c r="G1999" s="160">
        <v>2965.07</v>
      </c>
      <c r="H1999" s="160">
        <f t="shared" si="50"/>
        <v>21496.78</v>
      </c>
      <c r="I1999" s="160"/>
      <c r="J1999" s="161"/>
      <c r="K1999" s="160"/>
      <c r="L1999" s="160">
        <f>+'FACP$'!$H1999-'FACP$'!$I1999-'FACP$'!$K1999</f>
        <v>21496.78</v>
      </c>
      <c r="M1999" s="162" t="s">
        <v>2137</v>
      </c>
      <c r="N1999" s="162" t="s">
        <v>127</v>
      </c>
      <c r="O1999" s="175"/>
      <c r="P1999" s="164">
        <f t="shared" si="13"/>
        <v>44140</v>
      </c>
      <c r="Q1999" s="165">
        <f t="shared" si="2"/>
        <v>0</v>
      </c>
      <c r="R1999" s="167"/>
      <c r="S1999" s="167"/>
      <c r="T1999" s="168">
        <f t="shared" si="3"/>
        <v>21496.78</v>
      </c>
      <c r="U1999" s="168">
        <f t="shared" si="4"/>
        <v>0</v>
      </c>
      <c r="V1999" s="168">
        <f t="shared" si="5"/>
        <v>0</v>
      </c>
      <c r="W1999" s="168">
        <f t="shared" si="6"/>
        <v>0</v>
      </c>
      <c r="X1999" s="168">
        <f t="shared" si="7"/>
        <v>0</v>
      </c>
      <c r="Y1999" s="168">
        <f t="shared" si="8"/>
        <v>0</v>
      </c>
      <c r="Z1999" s="168">
        <f t="shared" si="9"/>
        <v>0</v>
      </c>
    </row>
    <row r="2000" ht="14.25" customHeight="1">
      <c r="A2000" s="157" t="s">
        <v>2176</v>
      </c>
      <c r="B2000" s="158" t="s">
        <v>37</v>
      </c>
      <c r="C2000" s="158" t="s">
        <v>2143</v>
      </c>
      <c r="D2000" s="159">
        <v>44131.0</v>
      </c>
      <c r="E2000" s="157" t="s">
        <v>731</v>
      </c>
      <c r="F2000" s="160">
        <v>1370780.0</v>
      </c>
      <c r="G2000" s="160">
        <v>219324.8</v>
      </c>
      <c r="H2000" s="160">
        <f t="shared" si="50"/>
        <v>1590104.8</v>
      </c>
      <c r="I2000" s="160"/>
      <c r="J2000" s="161"/>
      <c r="K2000" s="160"/>
      <c r="L2000" s="160">
        <f>+'FACP$'!$H2000-'FACP$'!$I2000-'FACP$'!$K2000</f>
        <v>1590104.8</v>
      </c>
      <c r="M2000" s="162" t="s">
        <v>116</v>
      </c>
      <c r="N2000" s="162" t="s">
        <v>554</v>
      </c>
      <c r="O2000" s="175">
        <v>44158.0</v>
      </c>
      <c r="P2000" s="164">
        <f t="shared" si="13"/>
        <v>44141</v>
      </c>
      <c r="Q2000" s="165">
        <f t="shared" si="2"/>
        <v>0</v>
      </c>
      <c r="R2000" s="167"/>
      <c r="S2000" s="220" t="s">
        <v>910</v>
      </c>
      <c r="T2000" s="168">
        <f t="shared" si="3"/>
        <v>1590104.8</v>
      </c>
      <c r="U2000" s="168">
        <f t="shared" si="4"/>
        <v>0</v>
      </c>
      <c r="V2000" s="168">
        <f t="shared" si="5"/>
        <v>0</v>
      </c>
      <c r="W2000" s="168">
        <f t="shared" si="6"/>
        <v>0</v>
      </c>
      <c r="X2000" s="168">
        <f t="shared" si="7"/>
        <v>0</v>
      </c>
      <c r="Y2000" s="168">
        <f t="shared" si="8"/>
        <v>0</v>
      </c>
      <c r="Z2000" s="168">
        <f t="shared" si="9"/>
        <v>0</v>
      </c>
    </row>
    <row r="2001" ht="14.25" customHeight="1">
      <c r="A2001" s="157" t="s">
        <v>2177</v>
      </c>
      <c r="B2001" s="228" t="s">
        <v>38</v>
      </c>
      <c r="C2001" s="228" t="s">
        <v>2143</v>
      </c>
      <c r="D2001" s="229">
        <v>44131.0</v>
      </c>
      <c r="E2001" s="230" t="s">
        <v>731</v>
      </c>
      <c r="F2001" s="231">
        <v>283183.47</v>
      </c>
      <c r="G2001" s="231">
        <v>45309.36</v>
      </c>
      <c r="H2001" s="160">
        <f>F2001+G2001-'NCP$'!H60</f>
        <v>231927.11</v>
      </c>
      <c r="I2001" s="231"/>
      <c r="J2001" s="232"/>
      <c r="K2001" s="231"/>
      <c r="L2001" s="231">
        <f>+'FACP$'!$H2001-'FACP$'!$I2001-'FACP$'!$K2001</f>
        <v>231927.11</v>
      </c>
      <c r="M2001" s="233" t="s">
        <v>145</v>
      </c>
      <c r="N2001" s="233" t="s">
        <v>554</v>
      </c>
      <c r="O2001" s="234">
        <v>44162.0</v>
      </c>
      <c r="P2001" s="235">
        <f t="shared" si="13"/>
        <v>44141</v>
      </c>
      <c r="Q2001" s="236">
        <f t="shared" si="2"/>
        <v>0</v>
      </c>
      <c r="R2001" s="237" t="s">
        <v>2178</v>
      </c>
      <c r="S2001" s="237" t="s">
        <v>910</v>
      </c>
      <c r="T2001" s="168">
        <f t="shared" si="3"/>
        <v>231927.11</v>
      </c>
      <c r="U2001" s="168">
        <f t="shared" si="4"/>
        <v>0</v>
      </c>
      <c r="V2001" s="168">
        <f t="shared" si="5"/>
        <v>0</v>
      </c>
      <c r="W2001" s="168">
        <f t="shared" si="6"/>
        <v>0</v>
      </c>
      <c r="X2001" s="168">
        <f t="shared" si="7"/>
        <v>0</v>
      </c>
      <c r="Y2001" s="168">
        <f t="shared" si="8"/>
        <v>0</v>
      </c>
      <c r="Z2001" s="168">
        <f t="shared" si="9"/>
        <v>0</v>
      </c>
    </row>
    <row r="2002" ht="14.25" customHeight="1">
      <c r="A2002" s="157" t="s">
        <v>2179</v>
      </c>
      <c r="B2002" s="158" t="s">
        <v>43</v>
      </c>
      <c r="C2002" s="158" t="s">
        <v>2180</v>
      </c>
      <c r="D2002" s="159">
        <v>44139.0</v>
      </c>
      <c r="E2002" s="157" t="s">
        <v>731</v>
      </c>
      <c r="F2002" s="160">
        <v>909709.71</v>
      </c>
      <c r="G2002" s="160">
        <v>145553.55</v>
      </c>
      <c r="H2002" s="160">
        <f t="shared" ref="H2002:H2042" si="51">F2002+G2002</f>
        <v>1055263.26</v>
      </c>
      <c r="I2002" s="160"/>
      <c r="J2002" s="161"/>
      <c r="K2002" s="160"/>
      <c r="L2002" s="160">
        <f>+'FACP$'!$H2002-'FACP$'!$I2002-'FACP$'!$K2002</f>
        <v>1055263.26</v>
      </c>
      <c r="M2002" s="162" t="s">
        <v>43</v>
      </c>
      <c r="N2002" s="162" t="s">
        <v>127</v>
      </c>
      <c r="O2002" s="175"/>
      <c r="P2002" s="164">
        <f t="shared" si="13"/>
        <v>44149</v>
      </c>
      <c r="Q2002" s="165">
        <f t="shared" si="2"/>
        <v>0</v>
      </c>
      <c r="R2002" s="167"/>
      <c r="S2002" s="167" t="s">
        <v>910</v>
      </c>
      <c r="T2002" s="168">
        <f t="shared" si="3"/>
        <v>1055263.26</v>
      </c>
      <c r="U2002" s="168">
        <f t="shared" si="4"/>
        <v>0</v>
      </c>
      <c r="V2002" s="168">
        <f t="shared" si="5"/>
        <v>0</v>
      </c>
      <c r="W2002" s="168">
        <f t="shared" si="6"/>
        <v>0</v>
      </c>
      <c r="X2002" s="168">
        <f t="shared" si="7"/>
        <v>0</v>
      </c>
      <c r="Y2002" s="168">
        <f t="shared" si="8"/>
        <v>0</v>
      </c>
      <c r="Z2002" s="168">
        <f t="shared" si="9"/>
        <v>0</v>
      </c>
    </row>
    <row r="2003" ht="14.25" customHeight="1">
      <c r="A2003" s="157" t="s">
        <v>2181</v>
      </c>
      <c r="B2003" s="158" t="s">
        <v>1127</v>
      </c>
      <c r="C2003" s="158" t="s">
        <v>2180</v>
      </c>
      <c r="D2003" s="159">
        <v>44139.0</v>
      </c>
      <c r="E2003" s="157" t="s">
        <v>731</v>
      </c>
      <c r="F2003" s="160">
        <v>80420.01</v>
      </c>
      <c r="G2003" s="160">
        <v>12867.2</v>
      </c>
      <c r="H2003" s="160">
        <f t="shared" si="51"/>
        <v>93287.21</v>
      </c>
      <c r="I2003" s="160"/>
      <c r="J2003" s="161"/>
      <c r="K2003" s="160"/>
      <c r="L2003" s="160">
        <f>+'FACP$'!$H2003-'FACP$'!$I2003-'FACP$'!$K2003</f>
        <v>93287.21</v>
      </c>
      <c r="M2003" s="162" t="s">
        <v>580</v>
      </c>
      <c r="N2003" s="162" t="s">
        <v>554</v>
      </c>
      <c r="O2003" s="175">
        <v>44147.0</v>
      </c>
      <c r="P2003" s="164">
        <f t="shared" si="13"/>
        <v>44149</v>
      </c>
      <c r="Q2003" s="165">
        <f t="shared" si="2"/>
        <v>0</v>
      </c>
      <c r="R2003" s="167"/>
      <c r="S2003" s="167"/>
      <c r="T2003" s="168">
        <f t="shared" si="3"/>
        <v>93287.21</v>
      </c>
      <c r="U2003" s="168">
        <f t="shared" si="4"/>
        <v>0</v>
      </c>
      <c r="V2003" s="168">
        <f t="shared" si="5"/>
        <v>0</v>
      </c>
      <c r="W2003" s="168">
        <f t="shared" si="6"/>
        <v>0</v>
      </c>
      <c r="X2003" s="168">
        <f t="shared" si="7"/>
        <v>0</v>
      </c>
      <c r="Y2003" s="168">
        <f t="shared" si="8"/>
        <v>0</v>
      </c>
      <c r="Z2003" s="168">
        <f t="shared" si="9"/>
        <v>0</v>
      </c>
    </row>
    <row r="2004" ht="14.25" customHeight="1">
      <c r="A2004" s="157" t="s">
        <v>2182</v>
      </c>
      <c r="B2004" s="158" t="s">
        <v>36</v>
      </c>
      <c r="C2004" s="158" t="s">
        <v>2180</v>
      </c>
      <c r="D2004" s="159">
        <v>44139.0</v>
      </c>
      <c r="E2004" s="157" t="s">
        <v>731</v>
      </c>
      <c r="F2004" s="160">
        <v>103621.08</v>
      </c>
      <c r="G2004" s="160">
        <v>16579.37</v>
      </c>
      <c r="H2004" s="160">
        <f t="shared" si="51"/>
        <v>120200.45</v>
      </c>
      <c r="I2004" s="160"/>
      <c r="J2004" s="161"/>
      <c r="K2004" s="160"/>
      <c r="L2004" s="160">
        <f>+'FACP$'!$H2004-'FACP$'!$I2004-'FACP$'!$K2004</f>
        <v>120200.45</v>
      </c>
      <c r="M2004" s="162" t="s">
        <v>278</v>
      </c>
      <c r="N2004" s="162" t="s">
        <v>554</v>
      </c>
      <c r="O2004" s="175">
        <v>44160.0</v>
      </c>
      <c r="P2004" s="164">
        <f t="shared" si="13"/>
        <v>44149</v>
      </c>
      <c r="Q2004" s="165">
        <f t="shared" si="2"/>
        <v>0</v>
      </c>
      <c r="R2004" s="167"/>
      <c r="S2004" s="220" t="s">
        <v>910</v>
      </c>
      <c r="T2004" s="168">
        <f t="shared" si="3"/>
        <v>120200.45</v>
      </c>
      <c r="U2004" s="168">
        <f t="shared" si="4"/>
        <v>0</v>
      </c>
      <c r="V2004" s="168">
        <f t="shared" si="5"/>
        <v>0</v>
      </c>
      <c r="W2004" s="168">
        <f t="shared" si="6"/>
        <v>0</v>
      </c>
      <c r="X2004" s="168">
        <f t="shared" si="7"/>
        <v>0</v>
      </c>
      <c r="Y2004" s="168">
        <f t="shared" si="8"/>
        <v>0</v>
      </c>
      <c r="Z2004" s="168">
        <f t="shared" si="9"/>
        <v>0</v>
      </c>
    </row>
    <row r="2005" ht="14.25" customHeight="1">
      <c r="A2005" s="157" t="s">
        <v>2183</v>
      </c>
      <c r="B2005" s="158" t="s">
        <v>35</v>
      </c>
      <c r="C2005" s="158" t="s">
        <v>2180</v>
      </c>
      <c r="D2005" s="159">
        <v>44139.0</v>
      </c>
      <c r="E2005" s="157" t="s">
        <v>731</v>
      </c>
      <c r="F2005" s="160">
        <v>425505.0</v>
      </c>
      <c r="G2005" s="160">
        <v>68080.8</v>
      </c>
      <c r="H2005" s="160">
        <f t="shared" si="51"/>
        <v>493585.8</v>
      </c>
      <c r="I2005" s="160"/>
      <c r="J2005" s="161"/>
      <c r="K2005" s="160"/>
      <c r="L2005" s="160">
        <f>+'FACP$'!$H2005-'FACP$'!$I2005-'FACP$'!$K2005</f>
        <v>493585.8</v>
      </c>
      <c r="M2005" s="162" t="s">
        <v>276</v>
      </c>
      <c r="N2005" s="162" t="s">
        <v>554</v>
      </c>
      <c r="O2005" s="175">
        <v>44162.0</v>
      </c>
      <c r="P2005" s="164">
        <f t="shared" si="13"/>
        <v>44149</v>
      </c>
      <c r="Q2005" s="165">
        <f t="shared" si="2"/>
        <v>0</v>
      </c>
      <c r="R2005" s="167"/>
      <c r="S2005" s="167" t="s">
        <v>910</v>
      </c>
      <c r="T2005" s="168">
        <f t="shared" si="3"/>
        <v>493585.8</v>
      </c>
      <c r="U2005" s="168">
        <f t="shared" si="4"/>
        <v>0</v>
      </c>
      <c r="V2005" s="168">
        <f t="shared" si="5"/>
        <v>0</v>
      </c>
      <c r="W2005" s="168">
        <f t="shared" si="6"/>
        <v>0</v>
      </c>
      <c r="X2005" s="168">
        <f t="shared" si="7"/>
        <v>0</v>
      </c>
      <c r="Y2005" s="168">
        <f t="shared" si="8"/>
        <v>0</v>
      </c>
      <c r="Z2005" s="168">
        <f t="shared" si="9"/>
        <v>0</v>
      </c>
    </row>
    <row r="2006" ht="14.25" customHeight="1">
      <c r="A2006" s="157" t="s">
        <v>2184</v>
      </c>
      <c r="B2006" s="158" t="s">
        <v>27</v>
      </c>
      <c r="C2006" s="158" t="s">
        <v>2185</v>
      </c>
      <c r="D2006" s="159">
        <v>44139.0</v>
      </c>
      <c r="E2006" s="157" t="s">
        <v>731</v>
      </c>
      <c r="F2006" s="160">
        <v>402423.48</v>
      </c>
      <c r="G2006" s="160">
        <v>64387.76</v>
      </c>
      <c r="H2006" s="160">
        <f t="shared" si="51"/>
        <v>466811.24</v>
      </c>
      <c r="I2006" s="160"/>
      <c r="J2006" s="161"/>
      <c r="K2006" s="160"/>
      <c r="L2006" s="160">
        <f>+'FACP$'!$H2006-'FACP$'!$I2006-'FACP$'!$K2006</f>
        <v>466811.24</v>
      </c>
      <c r="M2006" s="162" t="s">
        <v>2172</v>
      </c>
      <c r="N2006" s="162" t="s">
        <v>554</v>
      </c>
      <c r="O2006" s="175">
        <v>44175.0</v>
      </c>
      <c r="P2006" s="164">
        <f t="shared" si="13"/>
        <v>44149</v>
      </c>
      <c r="Q2006" s="165">
        <f t="shared" si="2"/>
        <v>0</v>
      </c>
      <c r="R2006" s="167" t="s">
        <v>2186</v>
      </c>
      <c r="S2006" s="220" t="s">
        <v>910</v>
      </c>
      <c r="T2006" s="168">
        <f t="shared" si="3"/>
        <v>466811.24</v>
      </c>
      <c r="U2006" s="168">
        <f t="shared" si="4"/>
        <v>0</v>
      </c>
      <c r="V2006" s="168">
        <f t="shared" si="5"/>
        <v>0</v>
      </c>
      <c r="W2006" s="168">
        <f t="shared" si="6"/>
        <v>0</v>
      </c>
      <c r="X2006" s="168">
        <f t="shared" si="7"/>
        <v>0</v>
      </c>
      <c r="Y2006" s="168">
        <f t="shared" si="8"/>
        <v>0</v>
      </c>
      <c r="Z2006" s="168">
        <f t="shared" si="9"/>
        <v>0</v>
      </c>
    </row>
    <row r="2007" ht="14.25" customHeight="1">
      <c r="A2007" s="157" t="s">
        <v>2187</v>
      </c>
      <c r="B2007" s="158" t="s">
        <v>27</v>
      </c>
      <c r="C2007" s="158" t="s">
        <v>2185</v>
      </c>
      <c r="D2007" s="159">
        <v>44139.0</v>
      </c>
      <c r="E2007" s="157" t="s">
        <v>731</v>
      </c>
      <c r="F2007" s="160">
        <v>23084.48</v>
      </c>
      <c r="G2007" s="160">
        <v>3693.52</v>
      </c>
      <c r="H2007" s="160">
        <f t="shared" si="51"/>
        <v>26778</v>
      </c>
      <c r="I2007" s="160"/>
      <c r="J2007" s="161"/>
      <c r="K2007" s="160"/>
      <c r="L2007" s="160">
        <f>+'FACP$'!$H2007-'FACP$'!$I2007-'FACP$'!$K2007</f>
        <v>26778</v>
      </c>
      <c r="M2007" s="162" t="s">
        <v>2172</v>
      </c>
      <c r="N2007" s="162" t="s">
        <v>554</v>
      </c>
      <c r="O2007" s="175">
        <v>44175.0</v>
      </c>
      <c r="P2007" s="164">
        <f t="shared" si="13"/>
        <v>44149</v>
      </c>
      <c r="Q2007" s="165">
        <f t="shared" si="2"/>
        <v>0</v>
      </c>
      <c r="R2007" s="167" t="s">
        <v>2188</v>
      </c>
      <c r="S2007" s="220" t="s">
        <v>910</v>
      </c>
      <c r="T2007" s="168">
        <f t="shared" si="3"/>
        <v>26778</v>
      </c>
      <c r="U2007" s="168">
        <f t="shared" si="4"/>
        <v>0</v>
      </c>
      <c r="V2007" s="168">
        <f t="shared" si="5"/>
        <v>0</v>
      </c>
      <c r="W2007" s="168">
        <f t="shared" si="6"/>
        <v>0</v>
      </c>
      <c r="X2007" s="168">
        <f t="shared" si="7"/>
        <v>0</v>
      </c>
      <c r="Y2007" s="168">
        <f t="shared" si="8"/>
        <v>0</v>
      </c>
      <c r="Z2007" s="168">
        <f t="shared" si="9"/>
        <v>0</v>
      </c>
    </row>
    <row r="2008" ht="14.25" customHeight="1">
      <c r="A2008" s="157" t="s">
        <v>2189</v>
      </c>
      <c r="B2008" s="158" t="s">
        <v>27</v>
      </c>
      <c r="C2008" s="158" t="s">
        <v>2190</v>
      </c>
      <c r="D2008" s="159">
        <v>44139.0</v>
      </c>
      <c r="E2008" s="157" t="s">
        <v>731</v>
      </c>
      <c r="F2008" s="160">
        <v>448889.64</v>
      </c>
      <c r="G2008" s="160">
        <v>71822.34</v>
      </c>
      <c r="H2008" s="160">
        <f t="shared" si="51"/>
        <v>520711.98</v>
      </c>
      <c r="I2008" s="160"/>
      <c r="J2008" s="161"/>
      <c r="K2008" s="160"/>
      <c r="L2008" s="160">
        <f>+'FACP$'!$H2008-'FACP$'!$I2008-'FACP$'!$K2008</f>
        <v>520711.98</v>
      </c>
      <c r="M2008" s="162" t="s">
        <v>2172</v>
      </c>
      <c r="N2008" s="162" t="s">
        <v>554</v>
      </c>
      <c r="O2008" s="175">
        <v>44180.0</v>
      </c>
      <c r="P2008" s="164">
        <f t="shared" si="13"/>
        <v>44149</v>
      </c>
      <c r="Q2008" s="165">
        <f t="shared" si="2"/>
        <v>0</v>
      </c>
      <c r="R2008" s="167"/>
      <c r="S2008" s="220" t="s">
        <v>910</v>
      </c>
      <c r="T2008" s="168">
        <f t="shared" si="3"/>
        <v>520711.98</v>
      </c>
      <c r="U2008" s="168">
        <f t="shared" si="4"/>
        <v>0</v>
      </c>
      <c r="V2008" s="168">
        <f t="shared" si="5"/>
        <v>0</v>
      </c>
      <c r="W2008" s="168">
        <f t="shared" si="6"/>
        <v>0</v>
      </c>
      <c r="X2008" s="168">
        <f t="shared" si="7"/>
        <v>0</v>
      </c>
      <c r="Y2008" s="168">
        <f t="shared" si="8"/>
        <v>0</v>
      </c>
      <c r="Z2008" s="168">
        <f t="shared" si="9"/>
        <v>0</v>
      </c>
    </row>
    <row r="2009" ht="14.25" customHeight="1">
      <c r="A2009" s="157" t="s">
        <v>2191</v>
      </c>
      <c r="B2009" s="158" t="s">
        <v>27</v>
      </c>
      <c r="C2009" s="158" t="s">
        <v>2192</v>
      </c>
      <c r="D2009" s="159">
        <v>44139.0</v>
      </c>
      <c r="E2009" s="157" t="s">
        <v>731</v>
      </c>
      <c r="F2009" s="160">
        <v>409846.69</v>
      </c>
      <c r="G2009" s="160">
        <v>65575.47</v>
      </c>
      <c r="H2009" s="160">
        <f t="shared" si="51"/>
        <v>475422.16</v>
      </c>
      <c r="I2009" s="160"/>
      <c r="J2009" s="161"/>
      <c r="K2009" s="160"/>
      <c r="L2009" s="160">
        <f>+'FACP$'!$H2009-'FACP$'!$I2009-'FACP$'!$K2009</f>
        <v>475422.16</v>
      </c>
      <c r="M2009" s="162" t="s">
        <v>2172</v>
      </c>
      <c r="N2009" s="157" t="s">
        <v>554</v>
      </c>
      <c r="O2009" s="175">
        <v>44188.0</v>
      </c>
      <c r="P2009" s="164">
        <f t="shared" si="13"/>
        <v>44149</v>
      </c>
      <c r="Q2009" s="165">
        <f t="shared" si="2"/>
        <v>0</v>
      </c>
      <c r="R2009" s="167"/>
      <c r="S2009" s="220" t="s">
        <v>910</v>
      </c>
      <c r="T2009" s="168">
        <f t="shared" si="3"/>
        <v>475422.16</v>
      </c>
      <c r="U2009" s="168">
        <f t="shared" si="4"/>
        <v>0</v>
      </c>
      <c r="V2009" s="168">
        <f t="shared" si="5"/>
        <v>0</v>
      </c>
      <c r="W2009" s="168">
        <f t="shared" si="6"/>
        <v>0</v>
      </c>
      <c r="X2009" s="168">
        <f t="shared" si="7"/>
        <v>0</v>
      </c>
      <c r="Y2009" s="168">
        <f t="shared" si="8"/>
        <v>0</v>
      </c>
      <c r="Z2009" s="168">
        <f t="shared" si="9"/>
        <v>0</v>
      </c>
    </row>
    <row r="2010" ht="14.25" customHeight="1">
      <c r="A2010" s="157" t="s">
        <v>2193</v>
      </c>
      <c r="B2010" s="158" t="s">
        <v>27</v>
      </c>
      <c r="C2010" s="158" t="s">
        <v>2194</v>
      </c>
      <c r="D2010" s="159">
        <v>44139.0</v>
      </c>
      <c r="E2010" s="157" t="s">
        <v>731</v>
      </c>
      <c r="F2010" s="160">
        <v>26046.0</v>
      </c>
      <c r="G2010" s="160">
        <v>4167.36</v>
      </c>
      <c r="H2010" s="160">
        <f t="shared" si="51"/>
        <v>30213.36</v>
      </c>
      <c r="I2010" s="160"/>
      <c r="J2010" s="161"/>
      <c r="K2010" s="160"/>
      <c r="L2010" s="160">
        <f>+'FACP$'!$H2010-'FACP$'!$I2010-'FACP$'!$K2010</f>
        <v>30213.36</v>
      </c>
      <c r="M2010" s="162" t="s">
        <v>2172</v>
      </c>
      <c r="N2010" s="162" t="s">
        <v>127</v>
      </c>
      <c r="O2010" s="164"/>
      <c r="P2010" s="164">
        <f t="shared" si="13"/>
        <v>44149</v>
      </c>
      <c r="Q2010" s="165">
        <f t="shared" si="2"/>
        <v>0</v>
      </c>
      <c r="R2010" s="167"/>
      <c r="S2010" s="167"/>
      <c r="T2010" s="168">
        <f t="shared" si="3"/>
        <v>30213.36</v>
      </c>
      <c r="U2010" s="168">
        <f t="shared" si="4"/>
        <v>0</v>
      </c>
      <c r="V2010" s="168">
        <f t="shared" si="5"/>
        <v>0</v>
      </c>
      <c r="W2010" s="168">
        <f t="shared" si="6"/>
        <v>0</v>
      </c>
      <c r="X2010" s="168">
        <f t="shared" si="7"/>
        <v>0</v>
      </c>
      <c r="Y2010" s="168">
        <f t="shared" si="8"/>
        <v>0</v>
      </c>
      <c r="Z2010" s="168">
        <f t="shared" si="9"/>
        <v>0</v>
      </c>
    </row>
    <row r="2011" ht="14.25" customHeight="1">
      <c r="A2011" s="157" t="s">
        <v>2195</v>
      </c>
      <c r="B2011" s="158" t="s">
        <v>27</v>
      </c>
      <c r="C2011" s="158" t="s">
        <v>2196</v>
      </c>
      <c r="D2011" s="159">
        <v>44139.0</v>
      </c>
      <c r="E2011" s="157" t="s">
        <v>731</v>
      </c>
      <c r="F2011" s="160">
        <v>23780.6</v>
      </c>
      <c r="G2011" s="160">
        <v>3804.9</v>
      </c>
      <c r="H2011" s="160">
        <f t="shared" si="51"/>
        <v>27585.5</v>
      </c>
      <c r="I2011" s="160"/>
      <c r="J2011" s="161"/>
      <c r="K2011" s="160"/>
      <c r="L2011" s="160">
        <f>+'FACP$'!$H2011-'FACP$'!$I2011-'FACP$'!$K2011</f>
        <v>27585.5</v>
      </c>
      <c r="M2011" s="162" t="s">
        <v>151</v>
      </c>
      <c r="N2011" s="162" t="s">
        <v>554</v>
      </c>
      <c r="O2011" s="164">
        <v>44203.0</v>
      </c>
      <c r="P2011" s="164">
        <f t="shared" si="13"/>
        <v>44149</v>
      </c>
      <c r="Q2011" s="165">
        <f t="shared" si="2"/>
        <v>0</v>
      </c>
      <c r="R2011" s="167"/>
      <c r="S2011" s="167"/>
      <c r="T2011" s="168">
        <f t="shared" si="3"/>
        <v>27585.5</v>
      </c>
      <c r="U2011" s="168">
        <f t="shared" si="4"/>
        <v>0</v>
      </c>
      <c r="V2011" s="168">
        <f t="shared" si="5"/>
        <v>0</v>
      </c>
      <c r="W2011" s="168">
        <f t="shared" si="6"/>
        <v>0</v>
      </c>
      <c r="X2011" s="168">
        <f t="shared" si="7"/>
        <v>0</v>
      </c>
      <c r="Y2011" s="168">
        <f t="shared" si="8"/>
        <v>0</v>
      </c>
      <c r="Z2011" s="168">
        <f t="shared" si="9"/>
        <v>0</v>
      </c>
    </row>
    <row r="2012" ht="14.25" customHeight="1">
      <c r="A2012" s="157" t="s">
        <v>2197</v>
      </c>
      <c r="B2012" s="158" t="s">
        <v>41</v>
      </c>
      <c r="C2012" s="158" t="s">
        <v>2180</v>
      </c>
      <c r="D2012" s="159">
        <v>44140.0</v>
      </c>
      <c r="E2012" s="157" t="s">
        <v>731</v>
      </c>
      <c r="F2012" s="160">
        <v>599370.39</v>
      </c>
      <c r="G2012" s="160">
        <v>95899.26</v>
      </c>
      <c r="H2012" s="160">
        <f t="shared" si="51"/>
        <v>695269.65</v>
      </c>
      <c r="I2012" s="160"/>
      <c r="J2012" s="161"/>
      <c r="K2012" s="160"/>
      <c r="L2012" s="160">
        <f>+'FACP$'!$H2012-'FACP$'!$I2012-'FACP$'!$K2012</f>
        <v>695269.65</v>
      </c>
      <c r="M2012" s="162" t="s">
        <v>121</v>
      </c>
      <c r="N2012" s="162" t="s">
        <v>554</v>
      </c>
      <c r="O2012" s="164">
        <v>44155.0</v>
      </c>
      <c r="P2012" s="164">
        <f t="shared" si="13"/>
        <v>44150</v>
      </c>
      <c r="Q2012" s="165">
        <f t="shared" si="2"/>
        <v>0</v>
      </c>
      <c r="R2012" s="167"/>
      <c r="S2012" s="167"/>
      <c r="T2012" s="168">
        <f t="shared" si="3"/>
        <v>695269.65</v>
      </c>
      <c r="U2012" s="168">
        <f t="shared" si="4"/>
        <v>0</v>
      </c>
      <c r="V2012" s="168">
        <f t="shared" si="5"/>
        <v>0</v>
      </c>
      <c r="W2012" s="168">
        <f t="shared" si="6"/>
        <v>0</v>
      </c>
      <c r="X2012" s="168">
        <f t="shared" si="7"/>
        <v>0</v>
      </c>
      <c r="Y2012" s="168">
        <f t="shared" si="8"/>
        <v>0</v>
      </c>
      <c r="Z2012" s="168">
        <f t="shared" si="9"/>
        <v>0</v>
      </c>
    </row>
    <row r="2013" ht="14.25" customHeight="1">
      <c r="A2013" s="157" t="s">
        <v>2198</v>
      </c>
      <c r="B2013" s="158" t="s">
        <v>16</v>
      </c>
      <c r="C2013" s="158" t="s">
        <v>2180</v>
      </c>
      <c r="D2013" s="159">
        <v>44140.0</v>
      </c>
      <c r="E2013" s="157" t="s">
        <v>731</v>
      </c>
      <c r="F2013" s="160">
        <v>269526.68</v>
      </c>
      <c r="G2013" s="160">
        <v>43124.27</v>
      </c>
      <c r="H2013" s="160">
        <f t="shared" si="51"/>
        <v>312650.95</v>
      </c>
      <c r="I2013" s="160"/>
      <c r="J2013" s="161"/>
      <c r="K2013" s="160"/>
      <c r="L2013" s="160">
        <f>+'FACP$'!$H2013-'FACP$'!$I2013-'FACP$'!$K2013</f>
        <v>312650.95</v>
      </c>
      <c r="M2013" s="162" t="s">
        <v>985</v>
      </c>
      <c r="N2013" s="162" t="s">
        <v>554</v>
      </c>
      <c r="O2013" s="164">
        <v>44146.0</v>
      </c>
      <c r="P2013" s="164">
        <f t="shared" si="13"/>
        <v>44150</v>
      </c>
      <c r="Q2013" s="165">
        <f t="shared" si="2"/>
        <v>0</v>
      </c>
      <c r="R2013" s="167"/>
      <c r="S2013" s="167"/>
      <c r="T2013" s="168">
        <f t="shared" si="3"/>
        <v>312650.95</v>
      </c>
      <c r="U2013" s="168">
        <f t="shared" si="4"/>
        <v>0</v>
      </c>
      <c r="V2013" s="168">
        <f t="shared" si="5"/>
        <v>0</v>
      </c>
      <c r="W2013" s="168">
        <f t="shared" si="6"/>
        <v>0</v>
      </c>
      <c r="X2013" s="168">
        <f t="shared" si="7"/>
        <v>0</v>
      </c>
      <c r="Y2013" s="168">
        <f t="shared" si="8"/>
        <v>0</v>
      </c>
      <c r="Z2013" s="168">
        <f t="shared" si="9"/>
        <v>0</v>
      </c>
    </row>
    <row r="2014" ht="14.25" customHeight="1">
      <c r="A2014" s="157" t="s">
        <v>2199</v>
      </c>
      <c r="B2014" s="158" t="s">
        <v>16</v>
      </c>
      <c r="C2014" s="158" t="s">
        <v>2200</v>
      </c>
      <c r="D2014" s="159">
        <v>44140.0</v>
      </c>
      <c r="E2014" s="157" t="s">
        <v>731</v>
      </c>
      <c r="F2014" s="160">
        <v>302977.74</v>
      </c>
      <c r="G2014" s="160">
        <v>48476.44</v>
      </c>
      <c r="H2014" s="160">
        <f t="shared" si="51"/>
        <v>351454.18</v>
      </c>
      <c r="I2014" s="160"/>
      <c r="J2014" s="161"/>
      <c r="K2014" s="160"/>
      <c r="L2014" s="160">
        <f>+'FACP$'!$H2014-'FACP$'!$I2014-'FACP$'!$K2014</f>
        <v>351454.18</v>
      </c>
      <c r="M2014" s="162" t="s">
        <v>985</v>
      </c>
      <c r="N2014" s="162" t="s">
        <v>554</v>
      </c>
      <c r="O2014" s="164">
        <v>44146.0</v>
      </c>
      <c r="P2014" s="164">
        <f t="shared" si="13"/>
        <v>44150</v>
      </c>
      <c r="Q2014" s="165">
        <f t="shared" si="2"/>
        <v>0</v>
      </c>
      <c r="R2014" s="167"/>
      <c r="S2014" s="167"/>
      <c r="T2014" s="168">
        <f t="shared" si="3"/>
        <v>351454.18</v>
      </c>
      <c r="U2014" s="168">
        <f t="shared" si="4"/>
        <v>0</v>
      </c>
      <c r="V2014" s="168">
        <f t="shared" si="5"/>
        <v>0</v>
      </c>
      <c r="W2014" s="168">
        <f t="shared" si="6"/>
        <v>0</v>
      </c>
      <c r="X2014" s="168">
        <f t="shared" si="7"/>
        <v>0</v>
      </c>
      <c r="Y2014" s="168">
        <f t="shared" si="8"/>
        <v>0</v>
      </c>
      <c r="Z2014" s="168">
        <f t="shared" si="9"/>
        <v>0</v>
      </c>
    </row>
    <row r="2015" ht="14.25" customHeight="1">
      <c r="A2015" s="157" t="s">
        <v>2201</v>
      </c>
      <c r="B2015" s="158" t="s">
        <v>18</v>
      </c>
      <c r="C2015" s="158" t="s">
        <v>2180</v>
      </c>
      <c r="D2015" s="159">
        <v>44140.0</v>
      </c>
      <c r="E2015" s="157" t="s">
        <v>731</v>
      </c>
      <c r="F2015" s="160">
        <v>152276.75</v>
      </c>
      <c r="G2015" s="160">
        <v>24364.28</v>
      </c>
      <c r="H2015" s="160">
        <f t="shared" si="51"/>
        <v>176641.03</v>
      </c>
      <c r="I2015" s="160"/>
      <c r="J2015" s="161"/>
      <c r="K2015" s="160"/>
      <c r="L2015" s="160">
        <f>+'FACP$'!$H2015-'FACP$'!$I2015-'FACP$'!$K2015</f>
        <v>176641.03</v>
      </c>
      <c r="M2015" s="162" t="s">
        <v>586</v>
      </c>
      <c r="N2015" s="162" t="s">
        <v>554</v>
      </c>
      <c r="O2015" s="164">
        <v>44155.0</v>
      </c>
      <c r="P2015" s="164">
        <f t="shared" si="13"/>
        <v>44150</v>
      </c>
      <c r="Q2015" s="165">
        <f t="shared" si="2"/>
        <v>0</v>
      </c>
      <c r="R2015" s="167"/>
      <c r="S2015" s="167" t="s">
        <v>910</v>
      </c>
      <c r="T2015" s="168">
        <f t="shared" si="3"/>
        <v>176641.03</v>
      </c>
      <c r="U2015" s="168">
        <f t="shared" si="4"/>
        <v>0</v>
      </c>
      <c r="V2015" s="168">
        <f t="shared" si="5"/>
        <v>0</v>
      </c>
      <c r="W2015" s="168">
        <f t="shared" si="6"/>
        <v>0</v>
      </c>
      <c r="X2015" s="168">
        <f t="shared" si="7"/>
        <v>0</v>
      </c>
      <c r="Y2015" s="168">
        <f t="shared" si="8"/>
        <v>0</v>
      </c>
      <c r="Z2015" s="168">
        <f t="shared" si="9"/>
        <v>0</v>
      </c>
    </row>
    <row r="2016" ht="14.25" customHeight="1">
      <c r="A2016" s="157" t="s">
        <v>2202</v>
      </c>
      <c r="B2016" s="158" t="s">
        <v>19</v>
      </c>
      <c r="C2016" s="158" t="s">
        <v>2180</v>
      </c>
      <c r="D2016" s="159">
        <v>44140.0</v>
      </c>
      <c r="E2016" s="157" t="s">
        <v>731</v>
      </c>
      <c r="F2016" s="160">
        <v>172011.2</v>
      </c>
      <c r="G2016" s="160">
        <v>27521.79</v>
      </c>
      <c r="H2016" s="160">
        <f t="shared" si="51"/>
        <v>199532.99</v>
      </c>
      <c r="I2016" s="160"/>
      <c r="J2016" s="161"/>
      <c r="K2016" s="160"/>
      <c r="L2016" s="160">
        <f>+'FACP$'!$H2016-'FACP$'!$I2016-'FACP$'!$K2016</f>
        <v>199532.99</v>
      </c>
      <c r="M2016" s="162" t="s">
        <v>732</v>
      </c>
      <c r="N2016" s="162" t="s">
        <v>554</v>
      </c>
      <c r="O2016" s="164">
        <v>44155.0</v>
      </c>
      <c r="P2016" s="164">
        <f t="shared" si="13"/>
        <v>44150</v>
      </c>
      <c r="Q2016" s="165">
        <f t="shared" si="2"/>
        <v>0</v>
      </c>
      <c r="R2016" s="167"/>
      <c r="S2016" s="167" t="s">
        <v>910</v>
      </c>
      <c r="T2016" s="168">
        <f t="shared" si="3"/>
        <v>199532.99</v>
      </c>
      <c r="U2016" s="168">
        <f t="shared" si="4"/>
        <v>0</v>
      </c>
      <c r="V2016" s="168">
        <f t="shared" si="5"/>
        <v>0</v>
      </c>
      <c r="W2016" s="168">
        <f t="shared" si="6"/>
        <v>0</v>
      </c>
      <c r="X2016" s="168">
        <f t="shared" si="7"/>
        <v>0</v>
      </c>
      <c r="Y2016" s="168">
        <f t="shared" si="8"/>
        <v>0</v>
      </c>
      <c r="Z2016" s="168">
        <f t="shared" si="9"/>
        <v>0</v>
      </c>
    </row>
    <row r="2017" ht="14.25" customHeight="1">
      <c r="A2017" s="157" t="s">
        <v>2203</v>
      </c>
      <c r="B2017" s="158" t="s">
        <v>29</v>
      </c>
      <c r="C2017" s="158" t="s">
        <v>2180</v>
      </c>
      <c r="D2017" s="159">
        <v>44140.0</v>
      </c>
      <c r="E2017" s="157" t="s">
        <v>731</v>
      </c>
      <c r="F2017" s="160">
        <v>317737.12</v>
      </c>
      <c r="G2017" s="160">
        <v>50837.94</v>
      </c>
      <c r="H2017" s="160">
        <f t="shared" si="51"/>
        <v>368575.06</v>
      </c>
      <c r="I2017" s="160"/>
      <c r="J2017" s="161"/>
      <c r="K2017" s="160"/>
      <c r="L2017" s="160">
        <f>+'FACP$'!$H2017-'FACP$'!$I2017-'FACP$'!$K2017</f>
        <v>368575.06</v>
      </c>
      <c r="M2017" s="162" t="s">
        <v>130</v>
      </c>
      <c r="N2017" s="162" t="s">
        <v>554</v>
      </c>
      <c r="O2017" s="164">
        <v>44179.0</v>
      </c>
      <c r="P2017" s="164">
        <f t="shared" si="13"/>
        <v>44150</v>
      </c>
      <c r="Q2017" s="165">
        <f t="shared" si="2"/>
        <v>0</v>
      </c>
      <c r="R2017" s="167"/>
      <c r="S2017" s="167"/>
      <c r="T2017" s="168">
        <f t="shared" si="3"/>
        <v>368575.06</v>
      </c>
      <c r="U2017" s="168">
        <f t="shared" si="4"/>
        <v>0</v>
      </c>
      <c r="V2017" s="168">
        <f t="shared" si="5"/>
        <v>0</v>
      </c>
      <c r="W2017" s="168">
        <f t="shared" si="6"/>
        <v>0</v>
      </c>
      <c r="X2017" s="168">
        <f t="shared" si="7"/>
        <v>0</v>
      </c>
      <c r="Y2017" s="168">
        <f t="shared" si="8"/>
        <v>0</v>
      </c>
      <c r="Z2017" s="168">
        <f t="shared" si="9"/>
        <v>0</v>
      </c>
    </row>
    <row r="2018" ht="14.25" customHeight="1">
      <c r="A2018" s="157" t="s">
        <v>2204</v>
      </c>
      <c r="B2018" s="158" t="s">
        <v>29</v>
      </c>
      <c r="C2018" s="158" t="s">
        <v>2200</v>
      </c>
      <c r="D2018" s="159">
        <v>44140.0</v>
      </c>
      <c r="E2018" s="157" t="s">
        <v>731</v>
      </c>
      <c r="F2018" s="160">
        <v>357175.15</v>
      </c>
      <c r="G2018" s="160">
        <v>57148.02</v>
      </c>
      <c r="H2018" s="160">
        <f t="shared" si="51"/>
        <v>414323.17</v>
      </c>
      <c r="I2018" s="160"/>
      <c r="J2018" s="161"/>
      <c r="K2018" s="160"/>
      <c r="L2018" s="160">
        <f>+'FACP$'!$H2018-'FACP$'!$I2018-'FACP$'!$K2018</f>
        <v>414323.17</v>
      </c>
      <c r="M2018" s="162" t="s">
        <v>130</v>
      </c>
      <c r="N2018" s="162" t="s">
        <v>127</v>
      </c>
      <c r="O2018" s="164" t="s">
        <v>2205</v>
      </c>
      <c r="P2018" s="164">
        <f t="shared" si="13"/>
        <v>44150</v>
      </c>
      <c r="Q2018" s="165">
        <f t="shared" si="2"/>
        <v>0</v>
      </c>
      <c r="R2018" s="167" t="s">
        <v>2206</v>
      </c>
      <c r="S2018" s="167"/>
      <c r="T2018" s="168">
        <f t="shared" si="3"/>
        <v>414323.17</v>
      </c>
      <c r="U2018" s="168">
        <f t="shared" si="4"/>
        <v>0</v>
      </c>
      <c r="V2018" s="168">
        <f t="shared" si="5"/>
        <v>0</v>
      </c>
      <c r="W2018" s="168">
        <f t="shared" si="6"/>
        <v>0</v>
      </c>
      <c r="X2018" s="168">
        <f t="shared" si="7"/>
        <v>0</v>
      </c>
      <c r="Y2018" s="168">
        <f t="shared" si="8"/>
        <v>0</v>
      </c>
      <c r="Z2018" s="168">
        <f t="shared" si="9"/>
        <v>0</v>
      </c>
    </row>
    <row r="2019" ht="14.25" customHeight="1">
      <c r="A2019" s="157" t="s">
        <v>2207</v>
      </c>
      <c r="B2019" s="158" t="s">
        <v>37</v>
      </c>
      <c r="C2019" s="158" t="s">
        <v>2180</v>
      </c>
      <c r="D2019" s="159">
        <v>44140.0</v>
      </c>
      <c r="E2019" s="157" t="s">
        <v>731</v>
      </c>
      <c r="F2019" s="160">
        <v>1944168.69</v>
      </c>
      <c r="G2019" s="160">
        <v>311066.99</v>
      </c>
      <c r="H2019" s="160">
        <f t="shared" si="51"/>
        <v>2255235.68</v>
      </c>
      <c r="I2019" s="160"/>
      <c r="J2019" s="161"/>
      <c r="K2019" s="160"/>
      <c r="L2019" s="160">
        <f>+'FACP$'!$H2019-'FACP$'!$I2019-'FACP$'!$K2019</f>
        <v>2255235.68</v>
      </c>
      <c r="M2019" s="162" t="s">
        <v>116</v>
      </c>
      <c r="N2019" s="162" t="s">
        <v>554</v>
      </c>
      <c r="O2019" s="164">
        <v>44158.0</v>
      </c>
      <c r="P2019" s="164">
        <f t="shared" si="13"/>
        <v>44150</v>
      </c>
      <c r="Q2019" s="165">
        <f t="shared" si="2"/>
        <v>0</v>
      </c>
      <c r="R2019" s="167"/>
      <c r="S2019" s="220" t="s">
        <v>910</v>
      </c>
      <c r="T2019" s="168">
        <f t="shared" si="3"/>
        <v>2255235.68</v>
      </c>
      <c r="U2019" s="168">
        <f t="shared" si="4"/>
        <v>0</v>
      </c>
      <c r="V2019" s="168">
        <f t="shared" si="5"/>
        <v>0</v>
      </c>
      <c r="W2019" s="168">
        <f t="shared" si="6"/>
        <v>0</v>
      </c>
      <c r="X2019" s="168">
        <f t="shared" si="7"/>
        <v>0</v>
      </c>
      <c r="Y2019" s="168">
        <f t="shared" si="8"/>
        <v>0</v>
      </c>
      <c r="Z2019" s="168">
        <f t="shared" si="9"/>
        <v>0</v>
      </c>
    </row>
    <row r="2020" ht="14.25" customHeight="1">
      <c r="A2020" s="157" t="s">
        <v>2208</v>
      </c>
      <c r="B2020" s="158" t="s">
        <v>38</v>
      </c>
      <c r="C2020" s="158" t="s">
        <v>2180</v>
      </c>
      <c r="D2020" s="159">
        <v>44140.0</v>
      </c>
      <c r="E2020" s="157" t="s">
        <v>731</v>
      </c>
      <c r="F2020" s="160">
        <v>81403.14</v>
      </c>
      <c r="G2020" s="160">
        <v>13024.5</v>
      </c>
      <c r="H2020" s="160">
        <f t="shared" si="51"/>
        <v>94427.64</v>
      </c>
      <c r="I2020" s="160"/>
      <c r="J2020" s="161"/>
      <c r="K2020" s="160"/>
      <c r="L2020" s="160">
        <f>+'FACP$'!$H2020-'FACP$'!$I2020-'FACP$'!$K2020</f>
        <v>94427.64</v>
      </c>
      <c r="M2020" s="162" t="s">
        <v>145</v>
      </c>
      <c r="N2020" s="162" t="s">
        <v>554</v>
      </c>
      <c r="O2020" s="164">
        <v>44162.0</v>
      </c>
      <c r="P2020" s="164">
        <f t="shared" si="13"/>
        <v>44150</v>
      </c>
      <c r="Q2020" s="165">
        <f t="shared" si="2"/>
        <v>0</v>
      </c>
      <c r="R2020" s="167"/>
      <c r="S2020" s="167" t="s">
        <v>910</v>
      </c>
      <c r="T2020" s="168">
        <f t="shared" si="3"/>
        <v>94427.64</v>
      </c>
      <c r="U2020" s="168">
        <f t="shared" si="4"/>
        <v>0</v>
      </c>
      <c r="V2020" s="168">
        <f t="shared" si="5"/>
        <v>0</v>
      </c>
      <c r="W2020" s="168">
        <f t="shared" si="6"/>
        <v>0</v>
      </c>
      <c r="X2020" s="168">
        <f t="shared" si="7"/>
        <v>0</v>
      </c>
      <c r="Y2020" s="168">
        <f t="shared" si="8"/>
        <v>0</v>
      </c>
      <c r="Z2020" s="168">
        <f t="shared" si="9"/>
        <v>0</v>
      </c>
    </row>
    <row r="2021" ht="14.25" customHeight="1">
      <c r="A2021" s="157" t="s">
        <v>2209</v>
      </c>
      <c r="B2021" s="158" t="s">
        <v>27</v>
      </c>
      <c r="C2021" s="158" t="s">
        <v>2194</v>
      </c>
      <c r="D2021" s="159">
        <v>44140.0</v>
      </c>
      <c r="E2021" s="157" t="s">
        <v>731</v>
      </c>
      <c r="F2021" s="160">
        <v>26046.0</v>
      </c>
      <c r="G2021" s="160">
        <v>4167.36</v>
      </c>
      <c r="H2021" s="160">
        <f t="shared" si="51"/>
        <v>30213.36</v>
      </c>
      <c r="I2021" s="160"/>
      <c r="J2021" s="161"/>
      <c r="K2021" s="160"/>
      <c r="L2021" s="160">
        <f>+'FACP$'!$H2021-'FACP$'!$I2021-'FACP$'!$K2021</f>
        <v>30213.36</v>
      </c>
      <c r="M2021" s="162" t="s">
        <v>2172</v>
      </c>
      <c r="N2021" s="162" t="s">
        <v>554</v>
      </c>
      <c r="O2021" s="164">
        <v>44188.0</v>
      </c>
      <c r="P2021" s="164">
        <f t="shared" si="13"/>
        <v>44150</v>
      </c>
      <c r="Q2021" s="165">
        <f t="shared" si="2"/>
        <v>0</v>
      </c>
      <c r="R2021" s="167"/>
      <c r="S2021" s="220" t="s">
        <v>910</v>
      </c>
      <c r="T2021" s="168">
        <f t="shared" si="3"/>
        <v>30213.36</v>
      </c>
      <c r="U2021" s="168">
        <f t="shared" si="4"/>
        <v>0</v>
      </c>
      <c r="V2021" s="168">
        <f t="shared" si="5"/>
        <v>0</v>
      </c>
      <c r="W2021" s="168">
        <f t="shared" si="6"/>
        <v>0</v>
      </c>
      <c r="X2021" s="168">
        <f t="shared" si="7"/>
        <v>0</v>
      </c>
      <c r="Y2021" s="168">
        <f t="shared" si="8"/>
        <v>0</v>
      </c>
      <c r="Z2021" s="168">
        <f t="shared" si="9"/>
        <v>0</v>
      </c>
    </row>
    <row r="2022" ht="14.25" customHeight="1">
      <c r="A2022" s="157" t="s">
        <v>2210</v>
      </c>
      <c r="B2022" s="158" t="s">
        <v>43</v>
      </c>
      <c r="C2022" s="158" t="s">
        <v>2180</v>
      </c>
      <c r="D2022" s="159">
        <v>44139.0</v>
      </c>
      <c r="E2022" s="157" t="s">
        <v>731</v>
      </c>
      <c r="F2022" s="160">
        <v>909709.71</v>
      </c>
      <c r="G2022" s="160">
        <v>145553.55</v>
      </c>
      <c r="H2022" s="160">
        <f t="shared" si="51"/>
        <v>1055263.26</v>
      </c>
      <c r="I2022" s="160"/>
      <c r="J2022" s="161"/>
      <c r="K2022" s="160"/>
      <c r="L2022" s="160">
        <f>+'FACP$'!$H2022-'FACP$'!$I2022-'FACP$'!$K2022</f>
        <v>1055263.26</v>
      </c>
      <c r="M2022" s="162" t="s">
        <v>43</v>
      </c>
      <c r="N2022" s="162" t="s">
        <v>554</v>
      </c>
      <c r="O2022" s="175">
        <v>44162.0</v>
      </c>
      <c r="P2022" s="164">
        <f t="shared" si="13"/>
        <v>44149</v>
      </c>
      <c r="Q2022" s="165">
        <f t="shared" si="2"/>
        <v>0</v>
      </c>
      <c r="R2022" s="167"/>
      <c r="S2022" s="167" t="s">
        <v>910</v>
      </c>
      <c r="T2022" s="168">
        <f t="shared" si="3"/>
        <v>1055263.26</v>
      </c>
      <c r="U2022" s="168">
        <f t="shared" si="4"/>
        <v>0</v>
      </c>
      <c r="V2022" s="168">
        <f t="shared" si="5"/>
        <v>0</v>
      </c>
      <c r="W2022" s="168">
        <f t="shared" si="6"/>
        <v>0</v>
      </c>
      <c r="X2022" s="168">
        <f t="shared" si="7"/>
        <v>0</v>
      </c>
      <c r="Y2022" s="168">
        <f t="shared" si="8"/>
        <v>0</v>
      </c>
      <c r="Z2022" s="168">
        <f t="shared" si="9"/>
        <v>0</v>
      </c>
    </row>
    <row r="2023" ht="14.25" customHeight="1">
      <c r="A2023" s="157" t="s">
        <v>2211</v>
      </c>
      <c r="B2023" s="158" t="s">
        <v>33</v>
      </c>
      <c r="C2023" s="158" t="s">
        <v>2180</v>
      </c>
      <c r="D2023" s="159">
        <v>44145.0</v>
      </c>
      <c r="E2023" s="157" t="s">
        <v>731</v>
      </c>
      <c r="F2023" s="160">
        <v>722924.52</v>
      </c>
      <c r="G2023" s="168">
        <v>115667.92</v>
      </c>
      <c r="H2023" s="160">
        <f t="shared" si="51"/>
        <v>838592.44</v>
      </c>
      <c r="I2023" s="160"/>
      <c r="J2023" s="161"/>
      <c r="K2023" s="160"/>
      <c r="L2023" s="160">
        <f>+'FACP$'!$H2023-'FACP$'!$I2023-'FACP$'!$K2023</f>
        <v>838592.44</v>
      </c>
      <c r="M2023" s="162" t="s">
        <v>958</v>
      </c>
      <c r="N2023" s="162" t="s">
        <v>127</v>
      </c>
      <c r="O2023" s="164"/>
      <c r="P2023" s="164">
        <f t="shared" si="13"/>
        <v>44155</v>
      </c>
      <c r="Q2023" s="165">
        <f t="shared" si="2"/>
        <v>0</v>
      </c>
      <c r="R2023" s="167"/>
      <c r="S2023" s="167"/>
      <c r="T2023" s="168">
        <f t="shared" si="3"/>
        <v>838592.44</v>
      </c>
      <c r="U2023" s="168">
        <f t="shared" si="4"/>
        <v>0</v>
      </c>
      <c r="V2023" s="168">
        <f t="shared" si="5"/>
        <v>0</v>
      </c>
      <c r="W2023" s="168">
        <f t="shared" si="6"/>
        <v>0</v>
      </c>
      <c r="X2023" s="168">
        <f t="shared" si="7"/>
        <v>0</v>
      </c>
      <c r="Y2023" s="168">
        <f t="shared" si="8"/>
        <v>0</v>
      </c>
      <c r="Z2023" s="168">
        <f t="shared" si="9"/>
        <v>0</v>
      </c>
    </row>
    <row r="2024" ht="14.25" customHeight="1">
      <c r="A2024" s="157" t="s">
        <v>2212</v>
      </c>
      <c r="B2024" s="158" t="s">
        <v>29</v>
      </c>
      <c r="C2024" s="158" t="s">
        <v>2200</v>
      </c>
      <c r="D2024" s="159">
        <v>44115.0</v>
      </c>
      <c r="E2024" s="157" t="s">
        <v>731</v>
      </c>
      <c r="F2024" s="160">
        <v>377265.71</v>
      </c>
      <c r="G2024" s="160">
        <v>60362.51</v>
      </c>
      <c r="H2024" s="160">
        <f t="shared" si="51"/>
        <v>437628.22</v>
      </c>
      <c r="I2024" s="160"/>
      <c r="J2024" s="161"/>
      <c r="K2024" s="160"/>
      <c r="L2024" s="160">
        <f>+'FACP$'!$H2024-'FACP$'!$I2024-'FACP$'!$K2024</f>
        <v>437628.22</v>
      </c>
      <c r="M2024" s="162" t="s">
        <v>130</v>
      </c>
      <c r="N2024" s="162" t="s">
        <v>554</v>
      </c>
      <c r="O2024" s="164">
        <v>44161.0</v>
      </c>
      <c r="P2024" s="164">
        <f t="shared" si="13"/>
        <v>44125</v>
      </c>
      <c r="Q2024" s="165">
        <f t="shared" si="2"/>
        <v>0</v>
      </c>
      <c r="R2024" s="167"/>
      <c r="S2024" s="167"/>
      <c r="T2024" s="168">
        <f t="shared" si="3"/>
        <v>437628.22</v>
      </c>
      <c r="U2024" s="168">
        <f t="shared" si="4"/>
        <v>0</v>
      </c>
      <c r="V2024" s="168">
        <f t="shared" si="5"/>
        <v>0</v>
      </c>
      <c r="W2024" s="168">
        <f t="shared" si="6"/>
        <v>0</v>
      </c>
      <c r="X2024" s="168">
        <f t="shared" si="7"/>
        <v>0</v>
      </c>
      <c r="Y2024" s="168">
        <f t="shared" si="8"/>
        <v>0</v>
      </c>
      <c r="Z2024" s="168">
        <f t="shared" si="9"/>
        <v>0</v>
      </c>
    </row>
    <row r="2025" ht="14.25" customHeight="1">
      <c r="A2025" s="157" t="s">
        <v>2213</v>
      </c>
      <c r="B2025" s="158" t="s">
        <v>33</v>
      </c>
      <c r="C2025" s="158" t="s">
        <v>2180</v>
      </c>
      <c r="D2025" s="159">
        <v>44152.0</v>
      </c>
      <c r="E2025" s="157" t="s">
        <v>731</v>
      </c>
      <c r="F2025" s="160">
        <v>722924.52</v>
      </c>
      <c r="G2025" s="160">
        <v>115667.92</v>
      </c>
      <c r="H2025" s="160">
        <f t="shared" si="51"/>
        <v>838592.44</v>
      </c>
      <c r="I2025" s="160"/>
      <c r="J2025" s="161"/>
      <c r="K2025" s="160"/>
      <c r="L2025" s="160">
        <f>+'FACP$'!$H2025-'FACP$'!$I2025-'FACP$'!$K2025</f>
        <v>838592.44</v>
      </c>
      <c r="M2025" s="162" t="s">
        <v>958</v>
      </c>
      <c r="N2025" s="162" t="s">
        <v>554</v>
      </c>
      <c r="O2025" s="164">
        <v>44165.0</v>
      </c>
      <c r="P2025" s="164">
        <f t="shared" si="13"/>
        <v>44162</v>
      </c>
      <c r="Q2025" s="165">
        <f t="shared" si="2"/>
        <v>0</v>
      </c>
      <c r="R2025" s="167"/>
      <c r="S2025" s="167"/>
      <c r="T2025" s="168">
        <f t="shared" si="3"/>
        <v>838592.44</v>
      </c>
      <c r="U2025" s="168">
        <f t="shared" si="4"/>
        <v>0</v>
      </c>
      <c r="V2025" s="168">
        <f t="shared" si="5"/>
        <v>0</v>
      </c>
      <c r="W2025" s="168">
        <f t="shared" si="6"/>
        <v>0</v>
      </c>
      <c r="X2025" s="168">
        <f t="shared" si="7"/>
        <v>0</v>
      </c>
      <c r="Y2025" s="168">
        <f t="shared" si="8"/>
        <v>0</v>
      </c>
      <c r="Z2025" s="168">
        <f t="shared" si="9"/>
        <v>0</v>
      </c>
    </row>
    <row r="2026" ht="14.25" customHeight="1">
      <c r="A2026" s="157" t="s">
        <v>2214</v>
      </c>
      <c r="B2026" s="158" t="s">
        <v>43</v>
      </c>
      <c r="C2026" s="158" t="s">
        <v>2215</v>
      </c>
      <c r="D2026" s="159">
        <v>44154.0</v>
      </c>
      <c r="E2026" s="157" t="s">
        <v>731</v>
      </c>
      <c r="F2026" s="160">
        <v>1052298.45</v>
      </c>
      <c r="G2026" s="160">
        <v>168367.75</v>
      </c>
      <c r="H2026" s="160">
        <f t="shared" si="51"/>
        <v>1220666.2</v>
      </c>
      <c r="I2026" s="160"/>
      <c r="J2026" s="161"/>
      <c r="K2026" s="160"/>
      <c r="L2026" s="160">
        <f>+'FACP$'!$H2026-'FACP$'!$I2026-'FACP$'!$K2026</f>
        <v>1220666.2</v>
      </c>
      <c r="M2026" s="162" t="s">
        <v>43</v>
      </c>
      <c r="N2026" s="162" t="s">
        <v>554</v>
      </c>
      <c r="O2026" s="164">
        <v>44195.0</v>
      </c>
      <c r="P2026" s="164">
        <f t="shared" si="13"/>
        <v>44164</v>
      </c>
      <c r="Q2026" s="165">
        <f t="shared" si="2"/>
        <v>0</v>
      </c>
      <c r="R2026" s="167"/>
      <c r="S2026" s="167" t="s">
        <v>910</v>
      </c>
      <c r="T2026" s="168">
        <f t="shared" si="3"/>
        <v>1220666.2</v>
      </c>
      <c r="U2026" s="168">
        <f t="shared" si="4"/>
        <v>0</v>
      </c>
      <c r="V2026" s="168">
        <f t="shared" si="5"/>
        <v>0</v>
      </c>
      <c r="W2026" s="168">
        <f t="shared" si="6"/>
        <v>0</v>
      </c>
      <c r="X2026" s="168">
        <f t="shared" si="7"/>
        <v>0</v>
      </c>
      <c r="Y2026" s="168">
        <f t="shared" si="8"/>
        <v>0</v>
      </c>
      <c r="Z2026" s="168">
        <f t="shared" si="9"/>
        <v>0</v>
      </c>
    </row>
    <row r="2027" ht="14.25" customHeight="1">
      <c r="A2027" s="157" t="s">
        <v>2216</v>
      </c>
      <c r="B2027" s="158" t="s">
        <v>1127</v>
      </c>
      <c r="C2027" s="158" t="s">
        <v>2215</v>
      </c>
      <c r="D2027" s="159">
        <v>44154.0</v>
      </c>
      <c r="E2027" s="157" t="s">
        <v>731</v>
      </c>
      <c r="F2027" s="160">
        <v>49533.66</v>
      </c>
      <c r="G2027" s="160">
        <v>7925.39</v>
      </c>
      <c r="H2027" s="160">
        <f t="shared" si="51"/>
        <v>57459.05</v>
      </c>
      <c r="I2027" s="160"/>
      <c r="J2027" s="161"/>
      <c r="K2027" s="160"/>
      <c r="L2027" s="160">
        <f>+'FACP$'!$H2027-'FACP$'!$I2027-'FACP$'!$K2027</f>
        <v>57459.05</v>
      </c>
      <c r="M2027" s="162" t="s">
        <v>580</v>
      </c>
      <c r="N2027" s="162" t="s">
        <v>554</v>
      </c>
      <c r="O2027" s="164">
        <v>44161.0</v>
      </c>
      <c r="P2027" s="164">
        <f t="shared" si="13"/>
        <v>44164</v>
      </c>
      <c r="Q2027" s="165">
        <f t="shared" si="2"/>
        <v>0</v>
      </c>
      <c r="R2027" s="167"/>
      <c r="S2027" s="167"/>
      <c r="T2027" s="168">
        <f t="shared" si="3"/>
        <v>57459.05</v>
      </c>
      <c r="U2027" s="168">
        <f t="shared" si="4"/>
        <v>0</v>
      </c>
      <c r="V2027" s="168">
        <f t="shared" si="5"/>
        <v>0</v>
      </c>
      <c r="W2027" s="168">
        <f t="shared" si="6"/>
        <v>0</v>
      </c>
      <c r="X2027" s="168">
        <f t="shared" si="7"/>
        <v>0</v>
      </c>
      <c r="Y2027" s="168">
        <f t="shared" si="8"/>
        <v>0</v>
      </c>
      <c r="Z2027" s="168">
        <f t="shared" si="9"/>
        <v>0</v>
      </c>
    </row>
    <row r="2028" ht="14.25" customHeight="1">
      <c r="A2028" s="157" t="s">
        <v>2217</v>
      </c>
      <c r="B2028" s="158" t="s">
        <v>36</v>
      </c>
      <c r="C2028" s="158" t="s">
        <v>2215</v>
      </c>
      <c r="D2028" s="159">
        <v>44154.0</v>
      </c>
      <c r="E2028" s="157" t="s">
        <v>731</v>
      </c>
      <c r="F2028" s="160">
        <v>105770.35</v>
      </c>
      <c r="G2028" s="160">
        <v>16923.26</v>
      </c>
      <c r="H2028" s="160">
        <f t="shared" si="51"/>
        <v>122693.61</v>
      </c>
      <c r="I2028" s="160"/>
      <c r="J2028" s="161"/>
      <c r="K2028" s="160"/>
      <c r="L2028" s="160">
        <f>+'FACP$'!$H2028-'FACP$'!$I2028-'FACP$'!$K2028</f>
        <v>122693.61</v>
      </c>
      <c r="M2028" s="162" t="s">
        <v>278</v>
      </c>
      <c r="N2028" s="162" t="s">
        <v>554</v>
      </c>
      <c r="O2028" s="164">
        <v>44172.0</v>
      </c>
      <c r="P2028" s="164">
        <f t="shared" si="13"/>
        <v>44164</v>
      </c>
      <c r="Q2028" s="165">
        <f t="shared" si="2"/>
        <v>0</v>
      </c>
      <c r="R2028" s="167"/>
      <c r="S2028" s="220" t="s">
        <v>910</v>
      </c>
      <c r="T2028" s="168">
        <f t="shared" si="3"/>
        <v>122693.61</v>
      </c>
      <c r="U2028" s="168">
        <f t="shared" si="4"/>
        <v>0</v>
      </c>
      <c r="V2028" s="168">
        <f t="shared" si="5"/>
        <v>0</v>
      </c>
      <c r="W2028" s="168">
        <f t="shared" si="6"/>
        <v>0</v>
      </c>
      <c r="X2028" s="168">
        <f t="shared" si="7"/>
        <v>0</v>
      </c>
      <c r="Y2028" s="168">
        <f t="shared" si="8"/>
        <v>0</v>
      </c>
      <c r="Z2028" s="168">
        <f t="shared" si="9"/>
        <v>0</v>
      </c>
    </row>
    <row r="2029" ht="14.25" customHeight="1">
      <c r="A2029" s="157" t="s">
        <v>2218</v>
      </c>
      <c r="B2029" s="158" t="s">
        <v>35</v>
      </c>
      <c r="C2029" s="158" t="s">
        <v>2215</v>
      </c>
      <c r="D2029" s="159">
        <v>44154.0</v>
      </c>
      <c r="E2029" s="157" t="s">
        <v>731</v>
      </c>
      <c r="F2029" s="160">
        <v>518532.12</v>
      </c>
      <c r="G2029" s="160">
        <v>82965.14</v>
      </c>
      <c r="H2029" s="160">
        <f t="shared" si="51"/>
        <v>601497.26</v>
      </c>
      <c r="I2029" s="160"/>
      <c r="J2029" s="161"/>
      <c r="K2029" s="160"/>
      <c r="L2029" s="160">
        <f>+'FACP$'!$H2029-'FACP$'!$I2029-'FACP$'!$K2029</f>
        <v>601497.26</v>
      </c>
      <c r="M2029" s="162" t="s">
        <v>276</v>
      </c>
      <c r="N2029" s="162" t="s">
        <v>554</v>
      </c>
      <c r="O2029" s="164">
        <v>44175.0</v>
      </c>
      <c r="P2029" s="164">
        <f t="shared" si="13"/>
        <v>44164</v>
      </c>
      <c r="Q2029" s="165">
        <f t="shared" si="2"/>
        <v>0</v>
      </c>
      <c r="R2029" s="167"/>
      <c r="S2029" s="220" t="s">
        <v>910</v>
      </c>
      <c r="T2029" s="168">
        <f t="shared" si="3"/>
        <v>601497.26</v>
      </c>
      <c r="U2029" s="168">
        <f t="shared" si="4"/>
        <v>0</v>
      </c>
      <c r="V2029" s="168">
        <f t="shared" si="5"/>
        <v>0</v>
      </c>
      <c r="W2029" s="168">
        <f t="shared" si="6"/>
        <v>0</v>
      </c>
      <c r="X2029" s="168">
        <f t="shared" si="7"/>
        <v>0</v>
      </c>
      <c r="Y2029" s="168">
        <f t="shared" si="8"/>
        <v>0</v>
      </c>
      <c r="Z2029" s="168">
        <f t="shared" si="9"/>
        <v>0</v>
      </c>
    </row>
    <row r="2030" ht="14.25" customHeight="1">
      <c r="A2030" s="157" t="s">
        <v>2219</v>
      </c>
      <c r="B2030" s="158" t="s">
        <v>33</v>
      </c>
      <c r="C2030" s="158" t="s">
        <v>2215</v>
      </c>
      <c r="D2030" s="159">
        <v>44154.0</v>
      </c>
      <c r="E2030" s="157" t="s">
        <v>731</v>
      </c>
      <c r="F2030" s="160">
        <v>739886.66</v>
      </c>
      <c r="G2030" s="160">
        <v>118381.86</v>
      </c>
      <c r="H2030" s="160">
        <f t="shared" si="51"/>
        <v>858268.52</v>
      </c>
      <c r="I2030" s="160"/>
      <c r="J2030" s="161"/>
      <c r="K2030" s="160"/>
      <c r="L2030" s="160">
        <f>+'FACP$'!$H2030-'FACP$'!$I2030-'FACP$'!$K2030</f>
        <v>858268.52</v>
      </c>
      <c r="M2030" s="162" t="s">
        <v>958</v>
      </c>
      <c r="N2030" s="162" t="s">
        <v>554</v>
      </c>
      <c r="O2030" s="164">
        <v>44172.0</v>
      </c>
      <c r="P2030" s="164">
        <f t="shared" si="13"/>
        <v>44164</v>
      </c>
      <c r="Q2030" s="165">
        <f t="shared" si="2"/>
        <v>0</v>
      </c>
      <c r="R2030" s="167"/>
      <c r="S2030" s="220" t="s">
        <v>910</v>
      </c>
      <c r="T2030" s="168">
        <f t="shared" si="3"/>
        <v>858268.52</v>
      </c>
      <c r="U2030" s="168">
        <f t="shared" si="4"/>
        <v>0</v>
      </c>
      <c r="V2030" s="168">
        <f t="shared" si="5"/>
        <v>0</v>
      </c>
      <c r="W2030" s="168">
        <f t="shared" si="6"/>
        <v>0</v>
      </c>
      <c r="X2030" s="168">
        <f t="shared" si="7"/>
        <v>0</v>
      </c>
      <c r="Y2030" s="168">
        <f t="shared" si="8"/>
        <v>0</v>
      </c>
      <c r="Z2030" s="168">
        <f t="shared" si="9"/>
        <v>0</v>
      </c>
    </row>
    <row r="2031" ht="14.25" customHeight="1">
      <c r="A2031" s="157" t="s">
        <v>2220</v>
      </c>
      <c r="B2031" s="158" t="s">
        <v>38</v>
      </c>
      <c r="C2031" s="158" t="s">
        <v>2215</v>
      </c>
      <c r="D2031" s="159">
        <v>44154.0</v>
      </c>
      <c r="E2031" s="157" t="s">
        <v>731</v>
      </c>
      <c r="F2031" s="160">
        <v>495870.77</v>
      </c>
      <c r="G2031" s="160">
        <v>79339.32</v>
      </c>
      <c r="H2031" s="160">
        <f t="shared" si="51"/>
        <v>575210.09</v>
      </c>
      <c r="I2031" s="160"/>
      <c r="J2031" s="161"/>
      <c r="K2031" s="160"/>
      <c r="L2031" s="160">
        <f>+'FACP$'!$H2031-'FACP$'!$I2031-'FACP$'!$K2031</f>
        <v>575210.09</v>
      </c>
      <c r="M2031" s="162" t="s">
        <v>145</v>
      </c>
      <c r="N2031" s="162" t="s">
        <v>554</v>
      </c>
      <c r="O2031" s="164">
        <v>44162.0</v>
      </c>
      <c r="P2031" s="164">
        <f t="shared" si="13"/>
        <v>44164</v>
      </c>
      <c r="Q2031" s="165">
        <f t="shared" si="2"/>
        <v>0</v>
      </c>
      <c r="R2031" s="167"/>
      <c r="S2031" s="167" t="s">
        <v>910</v>
      </c>
      <c r="T2031" s="168">
        <f t="shared" si="3"/>
        <v>575210.09</v>
      </c>
      <c r="U2031" s="168">
        <f t="shared" si="4"/>
        <v>0</v>
      </c>
      <c r="V2031" s="168">
        <f t="shared" si="5"/>
        <v>0</v>
      </c>
      <c r="W2031" s="168">
        <f t="shared" si="6"/>
        <v>0</v>
      </c>
      <c r="X2031" s="168">
        <f t="shared" si="7"/>
        <v>0</v>
      </c>
      <c r="Y2031" s="168">
        <f t="shared" si="8"/>
        <v>0</v>
      </c>
      <c r="Z2031" s="168">
        <f t="shared" si="9"/>
        <v>0</v>
      </c>
    </row>
    <row r="2032" ht="14.25" customHeight="1">
      <c r="A2032" s="157" t="s">
        <v>2221</v>
      </c>
      <c r="B2032" s="158" t="s">
        <v>37</v>
      </c>
      <c r="C2032" s="158" t="s">
        <v>2215</v>
      </c>
      <c r="D2032" s="159">
        <v>44154.0</v>
      </c>
      <c r="E2032" s="157" t="s">
        <v>731</v>
      </c>
      <c r="F2032" s="160">
        <v>1340002.3</v>
      </c>
      <c r="G2032" s="160">
        <v>214400.37</v>
      </c>
      <c r="H2032" s="160">
        <f t="shared" si="51"/>
        <v>1554402.67</v>
      </c>
      <c r="I2032" s="160"/>
      <c r="J2032" s="161"/>
      <c r="K2032" s="160"/>
      <c r="L2032" s="160">
        <f>+'FACP$'!$H2032-'FACP$'!$I2032-'FACP$'!$K2032</f>
        <v>1554402.67</v>
      </c>
      <c r="M2032" s="162" t="s">
        <v>116</v>
      </c>
      <c r="N2032" s="162" t="s">
        <v>554</v>
      </c>
      <c r="O2032" s="164">
        <v>44172.0</v>
      </c>
      <c r="P2032" s="164">
        <f t="shared" si="13"/>
        <v>44164</v>
      </c>
      <c r="Q2032" s="165">
        <f t="shared" si="2"/>
        <v>0</v>
      </c>
      <c r="R2032" s="167"/>
      <c r="S2032" s="220" t="s">
        <v>910</v>
      </c>
      <c r="T2032" s="168">
        <f t="shared" si="3"/>
        <v>1554402.67</v>
      </c>
      <c r="U2032" s="168">
        <f t="shared" si="4"/>
        <v>0</v>
      </c>
      <c r="V2032" s="168">
        <f t="shared" si="5"/>
        <v>0</v>
      </c>
      <c r="W2032" s="168">
        <f t="shared" si="6"/>
        <v>0</v>
      </c>
      <c r="X2032" s="168">
        <f t="shared" si="7"/>
        <v>0</v>
      </c>
      <c r="Y2032" s="168">
        <f t="shared" si="8"/>
        <v>0</v>
      </c>
      <c r="Z2032" s="168">
        <f t="shared" si="9"/>
        <v>0</v>
      </c>
    </row>
    <row r="2033" ht="14.25" customHeight="1">
      <c r="A2033" s="157" t="s">
        <v>2222</v>
      </c>
      <c r="B2033" s="158" t="s">
        <v>29</v>
      </c>
      <c r="C2033" s="158" t="s">
        <v>2215</v>
      </c>
      <c r="D2033" s="159">
        <v>44154.0</v>
      </c>
      <c r="E2033" s="157" t="s">
        <v>731</v>
      </c>
      <c r="F2033" s="160">
        <v>275525.52</v>
      </c>
      <c r="G2033" s="160">
        <v>44084.08</v>
      </c>
      <c r="H2033" s="160">
        <f t="shared" si="51"/>
        <v>319609.6</v>
      </c>
      <c r="I2033" s="160"/>
      <c r="J2033" s="161"/>
      <c r="K2033" s="160"/>
      <c r="L2033" s="160">
        <f>+'FACP$'!$H2033-'FACP$'!$I2033-'FACP$'!$K2033</f>
        <v>319609.6</v>
      </c>
      <c r="M2033" s="162" t="s">
        <v>130</v>
      </c>
      <c r="N2033" s="162" t="s">
        <v>554</v>
      </c>
      <c r="O2033" s="164">
        <v>44179.0</v>
      </c>
      <c r="P2033" s="164">
        <f t="shared" si="13"/>
        <v>44164</v>
      </c>
      <c r="Q2033" s="165">
        <f t="shared" si="2"/>
        <v>0</v>
      </c>
      <c r="R2033" s="167"/>
      <c r="S2033" s="167"/>
      <c r="T2033" s="168">
        <f t="shared" si="3"/>
        <v>319609.6</v>
      </c>
      <c r="U2033" s="168">
        <f t="shared" si="4"/>
        <v>0</v>
      </c>
      <c r="V2033" s="168">
        <f t="shared" si="5"/>
        <v>0</v>
      </c>
      <c r="W2033" s="168">
        <f t="shared" si="6"/>
        <v>0</v>
      </c>
      <c r="X2033" s="168">
        <f t="shared" si="7"/>
        <v>0</v>
      </c>
      <c r="Y2033" s="168">
        <f t="shared" si="8"/>
        <v>0</v>
      </c>
      <c r="Z2033" s="168">
        <f t="shared" si="9"/>
        <v>0</v>
      </c>
    </row>
    <row r="2034" ht="14.25" customHeight="1">
      <c r="A2034" s="157" t="s">
        <v>2223</v>
      </c>
      <c r="B2034" s="158" t="s">
        <v>127</v>
      </c>
      <c r="C2034" s="158"/>
      <c r="D2034" s="159"/>
      <c r="E2034" s="157"/>
      <c r="F2034" s="160"/>
      <c r="G2034" s="160"/>
      <c r="H2034" s="160">
        <f t="shared" si="51"/>
        <v>0</v>
      </c>
      <c r="I2034" s="160"/>
      <c r="J2034" s="161"/>
      <c r="K2034" s="160"/>
      <c r="L2034" s="160">
        <f>+'FACP$'!$H2034-'FACP$'!$I2034-'FACP$'!$K2034</f>
        <v>0</v>
      </c>
      <c r="M2034" s="162"/>
      <c r="N2034" s="162" t="s">
        <v>127</v>
      </c>
      <c r="O2034" s="164"/>
      <c r="P2034" s="164">
        <f t="shared" si="13"/>
        <v>10</v>
      </c>
      <c r="Q2034" s="165">
        <f t="shared" si="2"/>
        <v>0</v>
      </c>
      <c r="R2034" s="167"/>
      <c r="S2034" s="167"/>
      <c r="T2034" s="168">
        <f t="shared" si="3"/>
        <v>0</v>
      </c>
      <c r="U2034" s="168">
        <f t="shared" si="4"/>
        <v>0</v>
      </c>
      <c r="V2034" s="168">
        <f t="shared" si="5"/>
        <v>0</v>
      </c>
      <c r="W2034" s="168">
        <f t="shared" si="6"/>
        <v>0</v>
      </c>
      <c r="X2034" s="168">
        <f t="shared" si="7"/>
        <v>0</v>
      </c>
      <c r="Y2034" s="168">
        <f t="shared" si="8"/>
        <v>0</v>
      </c>
      <c r="Z2034" s="168">
        <f t="shared" si="9"/>
        <v>0</v>
      </c>
    </row>
    <row r="2035" ht="14.25" customHeight="1">
      <c r="A2035" s="157" t="s">
        <v>2224</v>
      </c>
      <c r="B2035" s="158" t="s">
        <v>19</v>
      </c>
      <c r="C2035" s="158" t="s">
        <v>2215</v>
      </c>
      <c r="D2035" s="159">
        <v>44154.0</v>
      </c>
      <c r="E2035" s="157" t="s">
        <v>731</v>
      </c>
      <c r="F2035" s="160">
        <v>52808.49</v>
      </c>
      <c r="G2035" s="160">
        <v>8449.36</v>
      </c>
      <c r="H2035" s="160">
        <f t="shared" si="51"/>
        <v>61257.85</v>
      </c>
      <c r="I2035" s="160"/>
      <c r="J2035" s="161"/>
      <c r="K2035" s="160"/>
      <c r="L2035" s="160">
        <f>+'FACP$'!$H2035-'FACP$'!$I2035-'FACP$'!$K2035</f>
        <v>61257.85</v>
      </c>
      <c r="M2035" s="162" t="s">
        <v>732</v>
      </c>
      <c r="N2035" s="162" t="s">
        <v>554</v>
      </c>
      <c r="O2035" s="164">
        <v>44176.0</v>
      </c>
      <c r="P2035" s="164">
        <f t="shared" si="13"/>
        <v>44164</v>
      </c>
      <c r="Q2035" s="165">
        <f t="shared" si="2"/>
        <v>0</v>
      </c>
      <c r="R2035" s="167"/>
      <c r="S2035" s="220" t="s">
        <v>910</v>
      </c>
      <c r="T2035" s="168">
        <f t="shared" si="3"/>
        <v>61257.85</v>
      </c>
      <c r="U2035" s="168">
        <f t="shared" si="4"/>
        <v>0</v>
      </c>
      <c r="V2035" s="168">
        <f t="shared" si="5"/>
        <v>0</v>
      </c>
      <c r="W2035" s="168">
        <f t="shared" si="6"/>
        <v>0</v>
      </c>
      <c r="X2035" s="168">
        <f t="shared" si="7"/>
        <v>0</v>
      </c>
      <c r="Y2035" s="168">
        <f t="shared" si="8"/>
        <v>0</v>
      </c>
      <c r="Z2035" s="168">
        <f t="shared" si="9"/>
        <v>0</v>
      </c>
    </row>
    <row r="2036" ht="14.25" customHeight="1">
      <c r="A2036" s="157" t="s">
        <v>2225</v>
      </c>
      <c r="B2036" s="158" t="s">
        <v>18</v>
      </c>
      <c r="C2036" s="158" t="s">
        <v>2215</v>
      </c>
      <c r="D2036" s="159">
        <v>44154.0</v>
      </c>
      <c r="E2036" s="157" t="s">
        <v>731</v>
      </c>
      <c r="F2036" s="160">
        <v>43710.61</v>
      </c>
      <c r="G2036" s="160">
        <v>6993.7</v>
      </c>
      <c r="H2036" s="160">
        <f t="shared" si="51"/>
        <v>50704.31</v>
      </c>
      <c r="I2036" s="160"/>
      <c r="J2036" s="161"/>
      <c r="K2036" s="160"/>
      <c r="L2036" s="160">
        <f>+'FACP$'!$H2036-'FACP$'!$I2036-'FACP$'!$K2036</f>
        <v>50704.31</v>
      </c>
      <c r="M2036" s="162" t="s">
        <v>586</v>
      </c>
      <c r="N2036" s="162" t="s">
        <v>554</v>
      </c>
      <c r="O2036" s="164">
        <v>44176.0</v>
      </c>
      <c r="P2036" s="164">
        <f t="shared" si="13"/>
        <v>44164</v>
      </c>
      <c r="Q2036" s="165">
        <f t="shared" si="2"/>
        <v>0</v>
      </c>
      <c r="R2036" s="167"/>
      <c r="S2036" s="220" t="s">
        <v>910</v>
      </c>
      <c r="T2036" s="168">
        <f t="shared" si="3"/>
        <v>50704.31</v>
      </c>
      <c r="U2036" s="168">
        <f t="shared" si="4"/>
        <v>0</v>
      </c>
      <c r="V2036" s="168">
        <f t="shared" si="5"/>
        <v>0</v>
      </c>
      <c r="W2036" s="168">
        <f t="shared" si="6"/>
        <v>0</v>
      </c>
      <c r="X2036" s="168">
        <f t="shared" si="7"/>
        <v>0</v>
      </c>
      <c r="Y2036" s="168">
        <f t="shared" si="8"/>
        <v>0</v>
      </c>
      <c r="Z2036" s="168">
        <f t="shared" si="9"/>
        <v>0</v>
      </c>
    </row>
    <row r="2037" ht="14.25" customHeight="1">
      <c r="A2037" s="157" t="s">
        <v>2226</v>
      </c>
      <c r="B2037" s="158" t="s">
        <v>16</v>
      </c>
      <c r="C2037" s="158" t="s">
        <v>2215</v>
      </c>
      <c r="D2037" s="159">
        <v>44154.0</v>
      </c>
      <c r="E2037" s="157" t="s">
        <v>731</v>
      </c>
      <c r="F2037" s="160">
        <v>249270.52</v>
      </c>
      <c r="G2037" s="160">
        <v>39883.28</v>
      </c>
      <c r="H2037" s="160">
        <f t="shared" si="51"/>
        <v>289153.8</v>
      </c>
      <c r="I2037" s="160"/>
      <c r="J2037" s="161"/>
      <c r="K2037" s="160"/>
      <c r="L2037" s="160">
        <f>+'FACP$'!$H2037-'FACP$'!$I2037-'FACP$'!$K2037</f>
        <v>289153.8</v>
      </c>
      <c r="M2037" s="162" t="s">
        <v>985</v>
      </c>
      <c r="N2037" s="162" t="s">
        <v>554</v>
      </c>
      <c r="O2037" s="164">
        <v>44166.0</v>
      </c>
      <c r="P2037" s="164">
        <f t="shared" si="13"/>
        <v>44164</v>
      </c>
      <c r="Q2037" s="165">
        <f t="shared" si="2"/>
        <v>0</v>
      </c>
      <c r="R2037" s="167"/>
      <c r="S2037" s="167"/>
      <c r="T2037" s="168">
        <f t="shared" si="3"/>
        <v>289153.8</v>
      </c>
      <c r="U2037" s="168">
        <f t="shared" si="4"/>
        <v>0</v>
      </c>
      <c r="V2037" s="168">
        <f t="shared" si="5"/>
        <v>0</v>
      </c>
      <c r="W2037" s="168">
        <f t="shared" si="6"/>
        <v>0</v>
      </c>
      <c r="X2037" s="168">
        <f t="shared" si="7"/>
        <v>0</v>
      </c>
      <c r="Y2037" s="168">
        <f t="shared" si="8"/>
        <v>0</v>
      </c>
      <c r="Z2037" s="168">
        <f t="shared" si="9"/>
        <v>0</v>
      </c>
    </row>
    <row r="2038" ht="14.25" customHeight="1">
      <c r="A2038" s="157" t="s">
        <v>2227</v>
      </c>
      <c r="B2038" s="158" t="s">
        <v>16</v>
      </c>
      <c r="C2038" s="158" t="s">
        <v>2228</v>
      </c>
      <c r="D2038" s="159">
        <v>44154.0</v>
      </c>
      <c r="E2038" s="157" t="s">
        <v>731</v>
      </c>
      <c r="F2038" s="160">
        <v>285884.19</v>
      </c>
      <c r="G2038" s="160">
        <v>45741.47</v>
      </c>
      <c r="H2038" s="160">
        <f t="shared" si="51"/>
        <v>331625.66</v>
      </c>
      <c r="I2038" s="160"/>
      <c r="J2038" s="161"/>
      <c r="K2038" s="160"/>
      <c r="L2038" s="160">
        <f>+'FACP$'!$H2038-'FACP$'!$I2038-'FACP$'!$K2038</f>
        <v>331625.66</v>
      </c>
      <c r="M2038" s="162" t="s">
        <v>985</v>
      </c>
      <c r="N2038" s="162" t="s">
        <v>554</v>
      </c>
      <c r="O2038" s="164">
        <v>44166.0</v>
      </c>
      <c r="P2038" s="164">
        <f t="shared" si="13"/>
        <v>44164</v>
      </c>
      <c r="Q2038" s="165">
        <f t="shared" si="2"/>
        <v>0</v>
      </c>
      <c r="R2038" s="167"/>
      <c r="S2038" s="167"/>
      <c r="T2038" s="168">
        <f t="shared" si="3"/>
        <v>331625.66</v>
      </c>
      <c r="U2038" s="168">
        <f t="shared" si="4"/>
        <v>0</v>
      </c>
      <c r="V2038" s="168">
        <f t="shared" si="5"/>
        <v>0</v>
      </c>
      <c r="W2038" s="168">
        <f t="shared" si="6"/>
        <v>0</v>
      </c>
      <c r="X2038" s="168">
        <f t="shared" si="7"/>
        <v>0</v>
      </c>
      <c r="Y2038" s="168">
        <f t="shared" si="8"/>
        <v>0</v>
      </c>
      <c r="Z2038" s="168">
        <f t="shared" si="9"/>
        <v>0</v>
      </c>
    </row>
    <row r="2039" ht="14.25" customHeight="1">
      <c r="A2039" s="157" t="s">
        <v>2229</v>
      </c>
      <c r="B2039" s="158" t="s">
        <v>29</v>
      </c>
      <c r="C2039" s="158" t="s">
        <v>2228</v>
      </c>
      <c r="D2039" s="159">
        <v>44154.0</v>
      </c>
      <c r="E2039" s="157" t="s">
        <v>731</v>
      </c>
      <c r="F2039" s="160">
        <v>334919.52</v>
      </c>
      <c r="G2039" s="160">
        <v>53587.12</v>
      </c>
      <c r="H2039" s="160">
        <f t="shared" si="51"/>
        <v>388506.64</v>
      </c>
      <c r="I2039" s="160"/>
      <c r="J2039" s="161"/>
      <c r="K2039" s="160"/>
      <c r="L2039" s="160">
        <f>+'FACP$'!$H2039-'FACP$'!$I2039-'FACP$'!$K2039</f>
        <v>388506.64</v>
      </c>
      <c r="M2039" s="162" t="s">
        <v>130</v>
      </c>
      <c r="N2039" s="162" t="s">
        <v>554</v>
      </c>
      <c r="O2039" s="164">
        <v>44161.0</v>
      </c>
      <c r="P2039" s="164">
        <f t="shared" si="13"/>
        <v>44164</v>
      </c>
      <c r="Q2039" s="165">
        <f t="shared" si="2"/>
        <v>0</v>
      </c>
      <c r="R2039" s="167"/>
      <c r="S2039" s="167"/>
      <c r="T2039" s="168">
        <f t="shared" si="3"/>
        <v>388506.64</v>
      </c>
      <c r="U2039" s="168">
        <f t="shared" si="4"/>
        <v>0</v>
      </c>
      <c r="V2039" s="168">
        <f t="shared" si="5"/>
        <v>0</v>
      </c>
      <c r="W2039" s="168">
        <f t="shared" si="6"/>
        <v>0</v>
      </c>
      <c r="X2039" s="168">
        <f t="shared" si="7"/>
        <v>0</v>
      </c>
      <c r="Y2039" s="168">
        <f t="shared" si="8"/>
        <v>0</v>
      </c>
      <c r="Z2039" s="168">
        <f t="shared" si="9"/>
        <v>0</v>
      </c>
    </row>
    <row r="2040" ht="14.25" customHeight="1">
      <c r="A2040" s="157" t="s">
        <v>2230</v>
      </c>
      <c r="B2040" s="158" t="s">
        <v>27</v>
      </c>
      <c r="C2040" s="158" t="s">
        <v>2215</v>
      </c>
      <c r="D2040" s="159">
        <v>44155.0</v>
      </c>
      <c r="E2040" s="157" t="s">
        <v>731</v>
      </c>
      <c r="F2040" s="160">
        <v>461953.19</v>
      </c>
      <c r="G2040" s="160">
        <v>73912.51</v>
      </c>
      <c r="H2040" s="160">
        <f t="shared" si="51"/>
        <v>535865.7</v>
      </c>
      <c r="I2040" s="160"/>
      <c r="J2040" s="161"/>
      <c r="K2040" s="160"/>
      <c r="L2040" s="160">
        <f>+'FACP$'!$H2040-'FACP$'!$I2040-'FACP$'!$K2040</f>
        <v>535865.7</v>
      </c>
      <c r="M2040" s="162" t="s">
        <v>151</v>
      </c>
      <c r="N2040" s="162" t="s">
        <v>554</v>
      </c>
      <c r="O2040" s="164">
        <v>44203.0</v>
      </c>
      <c r="P2040" s="164">
        <f t="shared" si="13"/>
        <v>44165</v>
      </c>
      <c r="Q2040" s="165">
        <f t="shared" si="2"/>
        <v>0</v>
      </c>
      <c r="R2040" s="167"/>
      <c r="S2040" s="167"/>
      <c r="T2040" s="168">
        <f t="shared" si="3"/>
        <v>535865.7</v>
      </c>
      <c r="U2040" s="168">
        <f t="shared" si="4"/>
        <v>0</v>
      </c>
      <c r="V2040" s="168">
        <f t="shared" si="5"/>
        <v>0</v>
      </c>
      <c r="W2040" s="168">
        <f t="shared" si="6"/>
        <v>0</v>
      </c>
      <c r="X2040" s="168">
        <f t="shared" si="7"/>
        <v>0</v>
      </c>
      <c r="Y2040" s="168">
        <f t="shared" si="8"/>
        <v>0</v>
      </c>
      <c r="Z2040" s="168">
        <f t="shared" si="9"/>
        <v>0</v>
      </c>
    </row>
    <row r="2041" ht="14.25" customHeight="1">
      <c r="A2041" s="157" t="s">
        <v>2231</v>
      </c>
      <c r="B2041" s="158" t="s">
        <v>27</v>
      </c>
      <c r="C2041" s="158" t="s">
        <v>2228</v>
      </c>
      <c r="D2041" s="159">
        <v>44155.0</v>
      </c>
      <c r="E2041" s="157" t="s">
        <v>731</v>
      </c>
      <c r="F2041" s="160">
        <v>361531.77</v>
      </c>
      <c r="G2041" s="160">
        <v>57845.08</v>
      </c>
      <c r="H2041" s="160">
        <f t="shared" si="51"/>
        <v>419376.85</v>
      </c>
      <c r="I2041" s="160"/>
      <c r="J2041" s="161"/>
      <c r="K2041" s="160"/>
      <c r="L2041" s="160">
        <f>+'FACP$'!$H2041-'FACP$'!$I2041-'FACP$'!$K2041</f>
        <v>419376.85</v>
      </c>
      <c r="M2041" s="162" t="s">
        <v>151</v>
      </c>
      <c r="N2041" s="162" t="s">
        <v>554</v>
      </c>
      <c r="O2041" s="164">
        <v>44203.0</v>
      </c>
      <c r="P2041" s="164">
        <f t="shared" si="13"/>
        <v>44165</v>
      </c>
      <c r="Q2041" s="165">
        <f t="shared" si="2"/>
        <v>0</v>
      </c>
      <c r="R2041" s="167"/>
      <c r="S2041" s="167"/>
      <c r="T2041" s="168">
        <f t="shared" si="3"/>
        <v>419376.85</v>
      </c>
      <c r="U2041" s="168">
        <f t="shared" si="4"/>
        <v>0</v>
      </c>
      <c r="V2041" s="168">
        <f t="shared" si="5"/>
        <v>0</v>
      </c>
      <c r="W2041" s="168">
        <f t="shared" si="6"/>
        <v>0</v>
      </c>
      <c r="X2041" s="168">
        <f t="shared" si="7"/>
        <v>0</v>
      </c>
      <c r="Y2041" s="168">
        <f t="shared" si="8"/>
        <v>0</v>
      </c>
      <c r="Z2041" s="168">
        <f t="shared" si="9"/>
        <v>0</v>
      </c>
    </row>
    <row r="2042" ht="14.25" customHeight="1">
      <c r="A2042" s="157" t="s">
        <v>2232</v>
      </c>
      <c r="B2042" s="158" t="s">
        <v>27</v>
      </c>
      <c r="C2042" s="158" t="s">
        <v>2233</v>
      </c>
      <c r="D2042" s="159">
        <v>44155.0</v>
      </c>
      <c r="E2042" s="157" t="s">
        <v>731</v>
      </c>
      <c r="F2042" s="160">
        <v>28288.49</v>
      </c>
      <c r="G2042" s="160">
        <v>4526.16</v>
      </c>
      <c r="H2042" s="160">
        <f t="shared" si="51"/>
        <v>32814.65</v>
      </c>
      <c r="I2042" s="160"/>
      <c r="J2042" s="161"/>
      <c r="K2042" s="160"/>
      <c r="L2042" s="160">
        <f>+'FACP$'!$H2042-'FACP$'!$I2042-'FACP$'!$K2042</f>
        <v>32814.65</v>
      </c>
      <c r="M2042" s="162" t="s">
        <v>151</v>
      </c>
      <c r="N2042" s="162" t="s">
        <v>554</v>
      </c>
      <c r="O2042" s="164">
        <v>44203.0</v>
      </c>
      <c r="P2042" s="164">
        <f t="shared" si="13"/>
        <v>44165</v>
      </c>
      <c r="Q2042" s="165">
        <f t="shared" si="2"/>
        <v>0</v>
      </c>
      <c r="R2042" s="167"/>
      <c r="S2042" s="167"/>
      <c r="T2042" s="168">
        <f t="shared" si="3"/>
        <v>32814.65</v>
      </c>
      <c r="U2042" s="168">
        <f t="shared" si="4"/>
        <v>0</v>
      </c>
      <c r="V2042" s="168">
        <f t="shared" si="5"/>
        <v>0</v>
      </c>
      <c r="W2042" s="168">
        <f t="shared" si="6"/>
        <v>0</v>
      </c>
      <c r="X2042" s="168">
        <f t="shared" si="7"/>
        <v>0</v>
      </c>
      <c r="Y2042" s="168">
        <f t="shared" si="8"/>
        <v>0</v>
      </c>
      <c r="Z2042" s="168">
        <f t="shared" si="9"/>
        <v>0</v>
      </c>
    </row>
    <row r="2043" ht="14.25" customHeight="1">
      <c r="A2043" s="157" t="s">
        <v>2234</v>
      </c>
      <c r="B2043" s="228" t="s">
        <v>27</v>
      </c>
      <c r="C2043" s="228" t="s">
        <v>2235</v>
      </c>
      <c r="D2043" s="229">
        <v>44155.0</v>
      </c>
      <c r="E2043" s="230" t="s">
        <v>731</v>
      </c>
      <c r="F2043" s="231">
        <v>28767.96</v>
      </c>
      <c r="G2043" s="231">
        <v>4602.87</v>
      </c>
      <c r="H2043" s="160">
        <f>F2043+G2043-7693.86</f>
        <v>25676.97</v>
      </c>
      <c r="I2043" s="231"/>
      <c r="J2043" s="232"/>
      <c r="K2043" s="231"/>
      <c r="L2043" s="231">
        <f>+'FACP$'!$H2043-'FACP$'!$I2043-'FACP$'!$K2043</f>
        <v>25676.97</v>
      </c>
      <c r="M2043" s="233" t="s">
        <v>151</v>
      </c>
      <c r="N2043" s="233" t="s">
        <v>554</v>
      </c>
      <c r="O2043" s="235">
        <v>44203.0</v>
      </c>
      <c r="P2043" s="235">
        <f t="shared" si="13"/>
        <v>44165</v>
      </c>
      <c r="Q2043" s="236">
        <f t="shared" si="2"/>
        <v>0</v>
      </c>
      <c r="R2043" s="237" t="s">
        <v>2236</v>
      </c>
      <c r="S2043" s="237"/>
      <c r="T2043" s="168">
        <f t="shared" si="3"/>
        <v>25676.97</v>
      </c>
      <c r="U2043" s="168">
        <f t="shared" si="4"/>
        <v>0</v>
      </c>
      <c r="V2043" s="168">
        <f t="shared" si="5"/>
        <v>0</v>
      </c>
      <c r="W2043" s="168">
        <f t="shared" si="6"/>
        <v>0</v>
      </c>
      <c r="X2043" s="168">
        <f t="shared" si="7"/>
        <v>0</v>
      </c>
      <c r="Y2043" s="168">
        <f t="shared" si="8"/>
        <v>0</v>
      </c>
      <c r="Z2043" s="168">
        <f t="shared" si="9"/>
        <v>0</v>
      </c>
    </row>
    <row r="2044" ht="14.25" customHeight="1">
      <c r="A2044" s="157" t="s">
        <v>2237</v>
      </c>
      <c r="B2044" s="158" t="s">
        <v>37</v>
      </c>
      <c r="C2044" s="158" t="s">
        <v>2238</v>
      </c>
      <c r="D2044" s="159">
        <v>44160.0</v>
      </c>
      <c r="E2044" s="157" t="s">
        <v>731</v>
      </c>
      <c r="F2044" s="160">
        <v>20281.84</v>
      </c>
      <c r="G2044" s="160">
        <v>3245.09</v>
      </c>
      <c r="H2044" s="160">
        <f t="shared" ref="H2044:H2177" si="52">F2044+G2044</f>
        <v>23526.93</v>
      </c>
      <c r="I2044" s="160"/>
      <c r="J2044" s="161"/>
      <c r="K2044" s="160"/>
      <c r="L2044" s="160">
        <f>+'FACP$'!$H2044-'FACP$'!$I2044-'FACP$'!$K2044</f>
        <v>23526.93</v>
      </c>
      <c r="M2044" s="162" t="s">
        <v>116</v>
      </c>
      <c r="N2044" s="162" t="s">
        <v>127</v>
      </c>
      <c r="O2044" s="164"/>
      <c r="P2044" s="164">
        <f t="shared" si="13"/>
        <v>44170</v>
      </c>
      <c r="Q2044" s="165">
        <f t="shared" si="2"/>
        <v>0</v>
      </c>
      <c r="R2044" s="167"/>
      <c r="S2044" s="167"/>
      <c r="T2044" s="168">
        <f t="shared" si="3"/>
        <v>23526.93</v>
      </c>
      <c r="U2044" s="168">
        <f t="shared" si="4"/>
        <v>0</v>
      </c>
      <c r="V2044" s="168">
        <f t="shared" si="5"/>
        <v>0</v>
      </c>
      <c r="W2044" s="168">
        <f t="shared" si="6"/>
        <v>0</v>
      </c>
      <c r="X2044" s="168">
        <f t="shared" si="7"/>
        <v>0</v>
      </c>
      <c r="Y2044" s="168">
        <f t="shared" si="8"/>
        <v>0</v>
      </c>
      <c r="Z2044" s="168">
        <f t="shared" si="9"/>
        <v>0</v>
      </c>
    </row>
    <row r="2045" ht="14.25" customHeight="1">
      <c r="A2045" s="157" t="s">
        <v>2239</v>
      </c>
      <c r="B2045" s="158" t="s">
        <v>29</v>
      </c>
      <c r="C2045" s="158" t="s">
        <v>2240</v>
      </c>
      <c r="D2045" s="159">
        <v>44160.0</v>
      </c>
      <c r="E2045" s="157" t="s">
        <v>731</v>
      </c>
      <c r="F2045" s="160">
        <v>96310.19</v>
      </c>
      <c r="G2045" s="160">
        <v>15409.63</v>
      </c>
      <c r="H2045" s="160">
        <f t="shared" si="52"/>
        <v>111719.82</v>
      </c>
      <c r="I2045" s="160"/>
      <c r="J2045" s="161"/>
      <c r="K2045" s="160"/>
      <c r="L2045" s="160">
        <f>+'FACP$'!$H2045-'FACP$'!$I2045-'FACP$'!$K2045</f>
        <v>111719.82</v>
      </c>
      <c r="M2045" s="162" t="s">
        <v>130</v>
      </c>
      <c r="N2045" s="162" t="s">
        <v>554</v>
      </c>
      <c r="O2045" s="164">
        <v>44179.0</v>
      </c>
      <c r="P2045" s="164">
        <f t="shared" si="13"/>
        <v>44170</v>
      </c>
      <c r="Q2045" s="165">
        <f t="shared" si="2"/>
        <v>0</v>
      </c>
      <c r="R2045" s="167"/>
      <c r="S2045" s="167"/>
      <c r="T2045" s="168">
        <f t="shared" si="3"/>
        <v>111719.82</v>
      </c>
      <c r="U2045" s="168">
        <f t="shared" si="4"/>
        <v>0</v>
      </c>
      <c r="V2045" s="168">
        <f t="shared" si="5"/>
        <v>0</v>
      </c>
      <c r="W2045" s="168">
        <f t="shared" si="6"/>
        <v>0</v>
      </c>
      <c r="X2045" s="168">
        <f t="shared" si="7"/>
        <v>0</v>
      </c>
      <c r="Y2045" s="168">
        <f t="shared" si="8"/>
        <v>0</v>
      </c>
      <c r="Z2045" s="168">
        <f t="shared" si="9"/>
        <v>0</v>
      </c>
    </row>
    <row r="2046" ht="14.25" customHeight="1">
      <c r="A2046" s="157" t="s">
        <v>2241</v>
      </c>
      <c r="B2046" s="158" t="s">
        <v>127</v>
      </c>
      <c r="C2046" s="158"/>
      <c r="D2046" s="159"/>
      <c r="E2046" s="157"/>
      <c r="F2046" s="160"/>
      <c r="G2046" s="160"/>
      <c r="H2046" s="160">
        <f t="shared" si="52"/>
        <v>0</v>
      </c>
      <c r="I2046" s="160"/>
      <c r="J2046" s="161"/>
      <c r="K2046" s="160"/>
      <c r="L2046" s="160">
        <f>+'FACP$'!$H2046-'FACP$'!$I2046-'FACP$'!$K2046</f>
        <v>0</v>
      </c>
      <c r="M2046" s="162"/>
      <c r="N2046" s="162" t="s">
        <v>127</v>
      </c>
      <c r="O2046" s="164"/>
      <c r="P2046" s="164">
        <f t="shared" si="13"/>
        <v>10</v>
      </c>
      <c r="Q2046" s="165">
        <f t="shared" si="2"/>
        <v>0</v>
      </c>
      <c r="R2046" s="167"/>
      <c r="S2046" s="167"/>
      <c r="T2046" s="168">
        <f t="shared" si="3"/>
        <v>0</v>
      </c>
      <c r="U2046" s="168">
        <f t="shared" si="4"/>
        <v>0</v>
      </c>
      <c r="V2046" s="168">
        <f t="shared" si="5"/>
        <v>0</v>
      </c>
      <c r="W2046" s="168">
        <f t="shared" si="6"/>
        <v>0</v>
      </c>
      <c r="X2046" s="168">
        <f t="shared" si="7"/>
        <v>0</v>
      </c>
      <c r="Y2046" s="168">
        <f t="shared" si="8"/>
        <v>0</v>
      </c>
      <c r="Z2046" s="168">
        <f t="shared" si="9"/>
        <v>0</v>
      </c>
    </row>
    <row r="2047" ht="14.25" customHeight="1">
      <c r="A2047" s="157" t="s">
        <v>2242</v>
      </c>
      <c r="B2047" s="158" t="s">
        <v>38</v>
      </c>
      <c r="C2047" s="158" t="s">
        <v>2243</v>
      </c>
      <c r="D2047" s="159">
        <v>44161.0</v>
      </c>
      <c r="E2047" s="157" t="s">
        <v>731</v>
      </c>
      <c r="F2047" s="160">
        <v>8565.06</v>
      </c>
      <c r="G2047" s="160">
        <v>1370.41</v>
      </c>
      <c r="H2047" s="160">
        <f t="shared" si="52"/>
        <v>9935.47</v>
      </c>
      <c r="I2047" s="160"/>
      <c r="J2047" s="161"/>
      <c r="K2047" s="160"/>
      <c r="L2047" s="160">
        <f>+'FACP$'!$H2047-'FACP$'!$I2047-'FACP$'!$K2047</f>
        <v>9935.47</v>
      </c>
      <c r="M2047" s="162" t="s">
        <v>145</v>
      </c>
      <c r="N2047" s="162" t="s">
        <v>554</v>
      </c>
      <c r="O2047" s="164">
        <v>44166.0</v>
      </c>
      <c r="P2047" s="164">
        <f t="shared" si="13"/>
        <v>44171</v>
      </c>
      <c r="Q2047" s="165">
        <f t="shared" si="2"/>
        <v>0</v>
      </c>
      <c r="R2047" s="167"/>
      <c r="S2047" s="167" t="s">
        <v>910</v>
      </c>
      <c r="T2047" s="168">
        <f t="shared" si="3"/>
        <v>9935.47</v>
      </c>
      <c r="U2047" s="168">
        <f t="shared" si="4"/>
        <v>0</v>
      </c>
      <c r="V2047" s="168">
        <f t="shared" si="5"/>
        <v>0</v>
      </c>
      <c r="W2047" s="168">
        <f t="shared" si="6"/>
        <v>0</v>
      </c>
      <c r="X2047" s="168">
        <f t="shared" si="7"/>
        <v>0</v>
      </c>
      <c r="Y2047" s="168">
        <f t="shared" si="8"/>
        <v>0</v>
      </c>
      <c r="Z2047" s="168">
        <f t="shared" si="9"/>
        <v>0</v>
      </c>
    </row>
    <row r="2048" ht="14.25" customHeight="1">
      <c r="A2048" s="157" t="s">
        <v>2244</v>
      </c>
      <c r="B2048" s="158" t="s">
        <v>41</v>
      </c>
      <c r="C2048" s="158" t="s">
        <v>2215</v>
      </c>
      <c r="D2048" s="159">
        <v>44162.0</v>
      </c>
      <c r="E2048" s="157" t="s">
        <v>731</v>
      </c>
      <c r="F2048" s="160">
        <v>647847.45</v>
      </c>
      <c r="G2048" s="160">
        <v>103655.59</v>
      </c>
      <c r="H2048" s="160">
        <f t="shared" si="52"/>
        <v>751503.04</v>
      </c>
      <c r="I2048" s="160"/>
      <c r="J2048" s="161"/>
      <c r="K2048" s="160"/>
      <c r="L2048" s="160">
        <f>+'FACP$'!$H2048-'FACP$'!$I2048-'FACP$'!$K2048</f>
        <v>751503.04</v>
      </c>
      <c r="M2048" s="162" t="s">
        <v>121</v>
      </c>
      <c r="N2048" s="162" t="s">
        <v>554</v>
      </c>
      <c r="O2048" s="164">
        <v>44169.0</v>
      </c>
      <c r="P2048" s="164">
        <f t="shared" si="13"/>
        <v>44172</v>
      </c>
      <c r="Q2048" s="165">
        <f t="shared" si="2"/>
        <v>0</v>
      </c>
      <c r="R2048" s="167"/>
      <c r="S2048" s="167"/>
      <c r="T2048" s="168">
        <f t="shared" si="3"/>
        <v>751503.04</v>
      </c>
      <c r="U2048" s="168">
        <f t="shared" si="4"/>
        <v>0</v>
      </c>
      <c r="V2048" s="168">
        <f t="shared" si="5"/>
        <v>0</v>
      </c>
      <c r="W2048" s="168">
        <f t="shared" si="6"/>
        <v>0</v>
      </c>
      <c r="X2048" s="168">
        <f t="shared" si="7"/>
        <v>0</v>
      </c>
      <c r="Y2048" s="168">
        <f t="shared" si="8"/>
        <v>0</v>
      </c>
      <c r="Z2048" s="168">
        <f t="shared" si="9"/>
        <v>0</v>
      </c>
    </row>
    <row r="2049" ht="14.25" customHeight="1">
      <c r="A2049" s="157" t="s">
        <v>2245</v>
      </c>
      <c r="B2049" s="158" t="s">
        <v>37</v>
      </c>
      <c r="C2049" s="221" t="s">
        <v>2246</v>
      </c>
      <c r="D2049" s="159">
        <v>44166.0</v>
      </c>
      <c r="E2049" s="157" t="s">
        <v>731</v>
      </c>
      <c r="F2049" s="160">
        <v>21153.23</v>
      </c>
      <c r="G2049" s="160">
        <v>3384.52</v>
      </c>
      <c r="H2049" s="160">
        <f t="shared" si="52"/>
        <v>24537.75</v>
      </c>
      <c r="I2049" s="160"/>
      <c r="J2049" s="161"/>
      <c r="K2049" s="160"/>
      <c r="L2049" s="160">
        <f>+'FACP$'!$H2049-'FACP$'!$I2049-'FACP$'!$K2049</f>
        <v>24537.75</v>
      </c>
      <c r="M2049" s="162" t="s">
        <v>116</v>
      </c>
      <c r="N2049" s="162" t="s">
        <v>127</v>
      </c>
      <c r="O2049" s="164"/>
      <c r="P2049" s="164">
        <f t="shared" si="13"/>
        <v>44176</v>
      </c>
      <c r="Q2049" s="165">
        <f t="shared" si="2"/>
        <v>0</v>
      </c>
      <c r="R2049" s="167"/>
      <c r="S2049" s="167"/>
      <c r="T2049" s="168">
        <f t="shared" si="3"/>
        <v>24537.75</v>
      </c>
      <c r="U2049" s="168">
        <f t="shared" si="4"/>
        <v>0</v>
      </c>
      <c r="V2049" s="168">
        <f t="shared" si="5"/>
        <v>0</v>
      </c>
      <c r="W2049" s="168">
        <f t="shared" si="6"/>
        <v>0</v>
      </c>
      <c r="X2049" s="168">
        <f t="shared" si="7"/>
        <v>0</v>
      </c>
      <c r="Y2049" s="168">
        <f t="shared" si="8"/>
        <v>0</v>
      </c>
      <c r="Z2049" s="168">
        <f t="shared" si="9"/>
        <v>0</v>
      </c>
    </row>
    <row r="2050" ht="14.25" customHeight="1">
      <c r="A2050" s="157" t="s">
        <v>2247</v>
      </c>
      <c r="B2050" s="158" t="s">
        <v>43</v>
      </c>
      <c r="C2050" s="158" t="s">
        <v>2248</v>
      </c>
      <c r="D2050" s="159">
        <v>44166.0</v>
      </c>
      <c r="E2050" s="157" t="s">
        <v>731</v>
      </c>
      <c r="F2050" s="160">
        <v>1231818.92</v>
      </c>
      <c r="G2050" s="160">
        <v>197091.03</v>
      </c>
      <c r="H2050" s="160">
        <f t="shared" si="52"/>
        <v>1428909.95</v>
      </c>
      <c r="I2050" s="160"/>
      <c r="J2050" s="161"/>
      <c r="K2050" s="160"/>
      <c r="L2050" s="160">
        <f>+'FACP$'!$H2050-'FACP$'!$I2050-'FACP$'!$K2050</f>
        <v>1428909.95</v>
      </c>
      <c r="M2050" s="162" t="s">
        <v>43</v>
      </c>
      <c r="N2050" s="162" t="s">
        <v>554</v>
      </c>
      <c r="O2050" s="164">
        <v>44195.0</v>
      </c>
      <c r="P2050" s="164">
        <f t="shared" si="13"/>
        <v>44176</v>
      </c>
      <c r="Q2050" s="165">
        <f t="shared" si="2"/>
        <v>0</v>
      </c>
      <c r="R2050" s="167"/>
      <c r="S2050" s="167" t="s">
        <v>910</v>
      </c>
      <c r="T2050" s="168">
        <f t="shared" si="3"/>
        <v>1428909.95</v>
      </c>
      <c r="U2050" s="168">
        <f t="shared" si="4"/>
        <v>0</v>
      </c>
      <c r="V2050" s="168">
        <f t="shared" si="5"/>
        <v>0</v>
      </c>
      <c r="W2050" s="168">
        <f t="shared" si="6"/>
        <v>0</v>
      </c>
      <c r="X2050" s="168">
        <f t="shared" si="7"/>
        <v>0</v>
      </c>
      <c r="Y2050" s="168">
        <f t="shared" si="8"/>
        <v>0</v>
      </c>
      <c r="Z2050" s="168">
        <f t="shared" si="9"/>
        <v>0</v>
      </c>
    </row>
    <row r="2051" ht="14.25" customHeight="1">
      <c r="A2051" s="157" t="s">
        <v>2249</v>
      </c>
      <c r="B2051" s="158" t="s">
        <v>1127</v>
      </c>
      <c r="C2051" s="158" t="s">
        <v>2248</v>
      </c>
      <c r="D2051" s="159">
        <v>44166.0</v>
      </c>
      <c r="E2051" s="157" t="s">
        <v>731</v>
      </c>
      <c r="F2051" s="160">
        <v>69633.13</v>
      </c>
      <c r="G2051" s="160">
        <v>11141.3</v>
      </c>
      <c r="H2051" s="160">
        <f t="shared" si="52"/>
        <v>80774.43</v>
      </c>
      <c r="I2051" s="160"/>
      <c r="J2051" s="161"/>
      <c r="K2051" s="160"/>
      <c r="L2051" s="160">
        <f>+'FACP$'!$H2051-'FACP$'!$I2051-'FACP$'!$K2051</f>
        <v>80774.43</v>
      </c>
      <c r="M2051" s="162" t="s">
        <v>580</v>
      </c>
      <c r="N2051" s="162" t="s">
        <v>554</v>
      </c>
      <c r="O2051" s="164">
        <v>44175.0</v>
      </c>
      <c r="P2051" s="164">
        <f t="shared" si="13"/>
        <v>44176</v>
      </c>
      <c r="Q2051" s="165">
        <f t="shared" si="2"/>
        <v>0</v>
      </c>
      <c r="R2051" s="167"/>
      <c r="S2051" s="167"/>
      <c r="T2051" s="168">
        <f t="shared" si="3"/>
        <v>80774.43</v>
      </c>
      <c r="U2051" s="168">
        <f t="shared" si="4"/>
        <v>0</v>
      </c>
      <c r="V2051" s="168">
        <f t="shared" si="5"/>
        <v>0</v>
      </c>
      <c r="W2051" s="168">
        <f t="shared" si="6"/>
        <v>0</v>
      </c>
      <c r="X2051" s="168">
        <f t="shared" si="7"/>
        <v>0</v>
      </c>
      <c r="Y2051" s="168">
        <f t="shared" si="8"/>
        <v>0</v>
      </c>
      <c r="Z2051" s="168">
        <f t="shared" si="9"/>
        <v>0</v>
      </c>
    </row>
    <row r="2052" ht="14.25" customHeight="1">
      <c r="A2052" s="157" t="s">
        <v>2250</v>
      </c>
      <c r="B2052" s="158" t="s">
        <v>27</v>
      </c>
      <c r="C2052" s="158" t="s">
        <v>2248</v>
      </c>
      <c r="D2052" s="159">
        <v>44166.0</v>
      </c>
      <c r="E2052" s="157" t="s">
        <v>731</v>
      </c>
      <c r="F2052" s="160">
        <v>480473.6</v>
      </c>
      <c r="G2052" s="160">
        <v>76875.78</v>
      </c>
      <c r="H2052" s="160">
        <f t="shared" si="52"/>
        <v>557349.38</v>
      </c>
      <c r="I2052" s="160"/>
      <c r="J2052" s="161"/>
      <c r="K2052" s="160"/>
      <c r="L2052" s="160">
        <f>+'FACP$'!$H2052-'FACP$'!$I2052-'FACP$'!$K2052</f>
        <v>557349.38</v>
      </c>
      <c r="M2052" s="162" t="s">
        <v>151</v>
      </c>
      <c r="N2052" s="162" t="s">
        <v>554</v>
      </c>
      <c r="O2052" s="164">
        <v>44209.0</v>
      </c>
      <c r="P2052" s="164">
        <f t="shared" si="13"/>
        <v>44176</v>
      </c>
      <c r="Q2052" s="165">
        <f t="shared" si="2"/>
        <v>0</v>
      </c>
      <c r="R2052" s="167"/>
      <c r="S2052" s="167"/>
      <c r="T2052" s="168">
        <f t="shared" si="3"/>
        <v>557349.38</v>
      </c>
      <c r="U2052" s="168">
        <f t="shared" si="4"/>
        <v>0</v>
      </c>
      <c r="V2052" s="168">
        <f t="shared" si="5"/>
        <v>0</v>
      </c>
      <c r="W2052" s="168">
        <f t="shared" si="6"/>
        <v>0</v>
      </c>
      <c r="X2052" s="168">
        <f t="shared" si="7"/>
        <v>0</v>
      </c>
      <c r="Y2052" s="168">
        <f t="shared" si="8"/>
        <v>0</v>
      </c>
      <c r="Z2052" s="168">
        <f t="shared" si="9"/>
        <v>0</v>
      </c>
    </row>
    <row r="2053" ht="14.25" customHeight="1">
      <c r="A2053" s="157" t="s">
        <v>2251</v>
      </c>
      <c r="B2053" s="158" t="s">
        <v>36</v>
      </c>
      <c r="C2053" s="158" t="s">
        <v>2248</v>
      </c>
      <c r="D2053" s="159">
        <v>44166.0</v>
      </c>
      <c r="E2053" s="157" t="s">
        <v>731</v>
      </c>
      <c r="F2053" s="160">
        <v>105403.43</v>
      </c>
      <c r="G2053" s="160">
        <v>16864.55</v>
      </c>
      <c r="H2053" s="160">
        <f t="shared" si="52"/>
        <v>122267.98</v>
      </c>
      <c r="I2053" s="160"/>
      <c r="J2053" s="161"/>
      <c r="K2053" s="160"/>
      <c r="L2053" s="160">
        <f>+'FACP$'!$H2053-'FACP$'!$I2053-'FACP$'!$K2053</f>
        <v>122267.98</v>
      </c>
      <c r="M2053" s="162" t="s">
        <v>278</v>
      </c>
      <c r="N2053" s="162" t="s">
        <v>554</v>
      </c>
      <c r="O2053" s="164">
        <v>44193.0</v>
      </c>
      <c r="P2053" s="164">
        <f t="shared" si="13"/>
        <v>44176</v>
      </c>
      <c r="Q2053" s="165">
        <f t="shared" si="2"/>
        <v>0</v>
      </c>
      <c r="R2053" s="167"/>
      <c r="S2053" s="220" t="s">
        <v>910</v>
      </c>
      <c r="T2053" s="168">
        <f t="shared" si="3"/>
        <v>122267.98</v>
      </c>
      <c r="U2053" s="168">
        <f t="shared" si="4"/>
        <v>0</v>
      </c>
      <c r="V2053" s="168">
        <f t="shared" si="5"/>
        <v>0</v>
      </c>
      <c r="W2053" s="168">
        <f t="shared" si="6"/>
        <v>0</v>
      </c>
      <c r="X2053" s="168">
        <f t="shared" si="7"/>
        <v>0</v>
      </c>
      <c r="Y2053" s="168">
        <f t="shared" si="8"/>
        <v>0</v>
      </c>
      <c r="Z2053" s="168">
        <f t="shared" si="9"/>
        <v>0</v>
      </c>
    </row>
    <row r="2054" ht="14.25" customHeight="1">
      <c r="A2054" s="157" t="s">
        <v>2252</v>
      </c>
      <c r="B2054" s="158" t="s">
        <v>27</v>
      </c>
      <c r="C2054" s="158" t="s">
        <v>2253</v>
      </c>
      <c r="D2054" s="159">
        <v>44166.0</v>
      </c>
      <c r="E2054" s="157" t="s">
        <v>731</v>
      </c>
      <c r="F2054" s="160">
        <v>355914.45</v>
      </c>
      <c r="G2054" s="160">
        <v>56946.31</v>
      </c>
      <c r="H2054" s="160">
        <f t="shared" si="52"/>
        <v>412860.76</v>
      </c>
      <c r="I2054" s="160"/>
      <c r="J2054" s="161"/>
      <c r="K2054" s="160"/>
      <c r="L2054" s="160">
        <f>+'FACP$'!$H2054-'FACP$'!$I2054-'FACP$'!$K2054</f>
        <v>412860.76</v>
      </c>
      <c r="M2054" s="162" t="s">
        <v>151</v>
      </c>
      <c r="N2054" s="162" t="s">
        <v>554</v>
      </c>
      <c r="O2054" s="164">
        <v>44216.0</v>
      </c>
      <c r="P2054" s="164">
        <f t="shared" si="13"/>
        <v>44176</v>
      </c>
      <c r="Q2054" s="165">
        <f t="shared" si="2"/>
        <v>0</v>
      </c>
      <c r="R2054" s="167"/>
      <c r="S2054" s="167"/>
      <c r="T2054" s="168">
        <f t="shared" si="3"/>
        <v>412860.76</v>
      </c>
      <c r="U2054" s="168">
        <f t="shared" si="4"/>
        <v>0</v>
      </c>
      <c r="V2054" s="168">
        <f t="shared" si="5"/>
        <v>0</v>
      </c>
      <c r="W2054" s="168">
        <f t="shared" si="6"/>
        <v>0</v>
      </c>
      <c r="X2054" s="168">
        <f t="shared" si="7"/>
        <v>0</v>
      </c>
      <c r="Y2054" s="168">
        <f t="shared" si="8"/>
        <v>0</v>
      </c>
      <c r="Z2054" s="168">
        <f t="shared" si="9"/>
        <v>0</v>
      </c>
    </row>
    <row r="2055" ht="14.25" customHeight="1">
      <c r="A2055" s="157" t="s">
        <v>2254</v>
      </c>
      <c r="B2055" s="158" t="s">
        <v>27</v>
      </c>
      <c r="C2055" s="158" t="s">
        <v>2255</v>
      </c>
      <c r="D2055" s="159">
        <v>44166.0</v>
      </c>
      <c r="E2055" s="157" t="s">
        <v>731</v>
      </c>
      <c r="F2055" s="160">
        <v>31081.65</v>
      </c>
      <c r="G2055" s="160">
        <v>4973.06</v>
      </c>
      <c r="H2055" s="160">
        <f t="shared" si="52"/>
        <v>36054.71</v>
      </c>
      <c r="I2055" s="160"/>
      <c r="J2055" s="161"/>
      <c r="K2055" s="160"/>
      <c r="L2055" s="160">
        <f>+'FACP$'!$H2055-'FACP$'!$I2055-'FACP$'!$K2055</f>
        <v>36054.71</v>
      </c>
      <c r="M2055" s="162" t="s">
        <v>151</v>
      </c>
      <c r="N2055" s="162" t="s">
        <v>554</v>
      </c>
      <c r="O2055" s="164">
        <v>44216.0</v>
      </c>
      <c r="P2055" s="164">
        <f t="shared" si="13"/>
        <v>44176</v>
      </c>
      <c r="Q2055" s="165">
        <f t="shared" si="2"/>
        <v>0</v>
      </c>
      <c r="R2055" s="167"/>
      <c r="S2055" s="167"/>
      <c r="T2055" s="168">
        <f t="shared" si="3"/>
        <v>36054.71</v>
      </c>
      <c r="U2055" s="168">
        <f t="shared" si="4"/>
        <v>0</v>
      </c>
      <c r="V2055" s="168">
        <f t="shared" si="5"/>
        <v>0</v>
      </c>
      <c r="W2055" s="168">
        <f t="shared" si="6"/>
        <v>0</v>
      </c>
      <c r="X2055" s="168">
        <f t="shared" si="7"/>
        <v>0</v>
      </c>
      <c r="Y2055" s="168">
        <f t="shared" si="8"/>
        <v>0</v>
      </c>
      <c r="Z2055" s="168">
        <f t="shared" si="9"/>
        <v>0</v>
      </c>
    </row>
    <row r="2056" ht="14.25" customHeight="1">
      <c r="A2056" s="157" t="s">
        <v>2256</v>
      </c>
      <c r="B2056" s="158" t="s">
        <v>27</v>
      </c>
      <c r="C2056" s="158" t="s">
        <v>2257</v>
      </c>
      <c r="D2056" s="159">
        <v>44166.0</v>
      </c>
      <c r="E2056" s="157" t="s">
        <v>731</v>
      </c>
      <c r="F2056" s="160">
        <v>23023.97</v>
      </c>
      <c r="G2056" s="160">
        <v>3683.84</v>
      </c>
      <c r="H2056" s="160">
        <f t="shared" si="52"/>
        <v>26707.81</v>
      </c>
      <c r="I2056" s="160"/>
      <c r="J2056" s="161"/>
      <c r="K2056" s="160"/>
      <c r="L2056" s="160">
        <f>+'FACP$'!$H2056-'FACP$'!$I2056-'FACP$'!$K2056</f>
        <v>26707.81</v>
      </c>
      <c r="M2056" s="162" t="s">
        <v>151</v>
      </c>
      <c r="N2056" s="162" t="s">
        <v>554</v>
      </c>
      <c r="O2056" s="164">
        <v>44216.0</v>
      </c>
      <c r="P2056" s="164">
        <f t="shared" si="13"/>
        <v>44176</v>
      </c>
      <c r="Q2056" s="165">
        <f t="shared" si="2"/>
        <v>0</v>
      </c>
      <c r="R2056" s="167"/>
      <c r="S2056" s="167"/>
      <c r="T2056" s="168">
        <f t="shared" si="3"/>
        <v>26707.81</v>
      </c>
      <c r="U2056" s="168">
        <f t="shared" si="4"/>
        <v>0</v>
      </c>
      <c r="V2056" s="168">
        <f t="shared" si="5"/>
        <v>0</v>
      </c>
      <c r="W2056" s="168">
        <f t="shared" si="6"/>
        <v>0</v>
      </c>
      <c r="X2056" s="168">
        <f t="shared" si="7"/>
        <v>0</v>
      </c>
      <c r="Y2056" s="168">
        <f t="shared" si="8"/>
        <v>0</v>
      </c>
      <c r="Z2056" s="168">
        <f t="shared" si="9"/>
        <v>0</v>
      </c>
    </row>
    <row r="2057" ht="14.25" customHeight="1">
      <c r="A2057" s="157" t="s">
        <v>2258</v>
      </c>
      <c r="B2057" s="158" t="s">
        <v>35</v>
      </c>
      <c r="C2057" s="158" t="s">
        <v>2248</v>
      </c>
      <c r="D2057" s="159">
        <v>44166.0</v>
      </c>
      <c r="E2057" s="157" t="s">
        <v>731</v>
      </c>
      <c r="F2057" s="160">
        <v>387654.01</v>
      </c>
      <c r="G2057" s="160">
        <v>62024.64</v>
      </c>
      <c r="H2057" s="160">
        <f t="shared" si="52"/>
        <v>449678.65</v>
      </c>
      <c r="I2057" s="160"/>
      <c r="J2057" s="161"/>
      <c r="K2057" s="160"/>
      <c r="L2057" s="160">
        <f>+'FACP$'!$H2057-'FACP$'!$I2057-'FACP$'!$K2057</f>
        <v>449678.65</v>
      </c>
      <c r="M2057" s="162" t="s">
        <v>276</v>
      </c>
      <c r="N2057" s="162" t="s">
        <v>554</v>
      </c>
      <c r="O2057" s="164">
        <v>44204.0</v>
      </c>
      <c r="P2057" s="164">
        <f t="shared" si="13"/>
        <v>44176</v>
      </c>
      <c r="Q2057" s="165">
        <f t="shared" si="2"/>
        <v>0</v>
      </c>
      <c r="R2057" s="167"/>
      <c r="S2057" s="167" t="s">
        <v>910</v>
      </c>
      <c r="T2057" s="168">
        <f t="shared" si="3"/>
        <v>449678.65</v>
      </c>
      <c r="U2057" s="168">
        <f t="shared" si="4"/>
        <v>0</v>
      </c>
      <c r="V2057" s="168">
        <f t="shared" si="5"/>
        <v>0</v>
      </c>
      <c r="W2057" s="168">
        <f t="shared" si="6"/>
        <v>0</v>
      </c>
      <c r="X2057" s="168">
        <f t="shared" si="7"/>
        <v>0</v>
      </c>
      <c r="Y2057" s="168">
        <f t="shared" si="8"/>
        <v>0</v>
      </c>
      <c r="Z2057" s="168">
        <f t="shared" si="9"/>
        <v>0</v>
      </c>
    </row>
    <row r="2058" ht="14.25" customHeight="1">
      <c r="A2058" s="157" t="s">
        <v>2259</v>
      </c>
      <c r="B2058" s="158" t="s">
        <v>33</v>
      </c>
      <c r="C2058" s="158" t="s">
        <v>2248</v>
      </c>
      <c r="D2058" s="159">
        <v>44166.0</v>
      </c>
      <c r="E2058" s="157" t="s">
        <v>731</v>
      </c>
      <c r="F2058" s="160">
        <v>922229.09</v>
      </c>
      <c r="G2058" s="160">
        <v>147556.65</v>
      </c>
      <c r="H2058" s="160">
        <f t="shared" si="52"/>
        <v>1069785.74</v>
      </c>
      <c r="I2058" s="160"/>
      <c r="J2058" s="161"/>
      <c r="K2058" s="160"/>
      <c r="L2058" s="160">
        <f>+'FACP$'!$H2058-'FACP$'!$I2058-'FACP$'!$K2058</f>
        <v>1069785.74</v>
      </c>
      <c r="M2058" s="162" t="s">
        <v>958</v>
      </c>
      <c r="N2058" s="162" t="s">
        <v>554</v>
      </c>
      <c r="O2058" s="164">
        <v>44176.0</v>
      </c>
      <c r="P2058" s="164">
        <f t="shared" si="13"/>
        <v>44176</v>
      </c>
      <c r="Q2058" s="165">
        <f t="shared" si="2"/>
        <v>0</v>
      </c>
      <c r="R2058" s="167"/>
      <c r="S2058" s="220" t="s">
        <v>910</v>
      </c>
      <c r="T2058" s="168">
        <f t="shared" si="3"/>
        <v>1069785.74</v>
      </c>
      <c r="U2058" s="168">
        <f t="shared" si="4"/>
        <v>0</v>
      </c>
      <c r="V2058" s="168">
        <f t="shared" si="5"/>
        <v>0</v>
      </c>
      <c r="W2058" s="168">
        <f t="shared" si="6"/>
        <v>0</v>
      </c>
      <c r="X2058" s="168">
        <f t="shared" si="7"/>
        <v>0</v>
      </c>
      <c r="Y2058" s="168">
        <f t="shared" si="8"/>
        <v>0</v>
      </c>
      <c r="Z2058" s="168">
        <f t="shared" si="9"/>
        <v>0</v>
      </c>
    </row>
    <row r="2059" ht="14.25" customHeight="1">
      <c r="A2059" s="157" t="s">
        <v>2260</v>
      </c>
      <c r="B2059" s="158" t="s">
        <v>1127</v>
      </c>
      <c r="C2059" s="158" t="s">
        <v>2248</v>
      </c>
      <c r="D2059" s="159">
        <v>44168.0</v>
      </c>
      <c r="E2059" s="157" t="s">
        <v>731</v>
      </c>
      <c r="F2059" s="160">
        <v>69633.13</v>
      </c>
      <c r="G2059" s="160">
        <v>11141.3</v>
      </c>
      <c r="H2059" s="160">
        <f t="shared" si="52"/>
        <v>80774.43</v>
      </c>
      <c r="I2059" s="160"/>
      <c r="J2059" s="161"/>
      <c r="K2059" s="160"/>
      <c r="L2059" s="160">
        <f>+'FACP$'!$H2059-'FACP$'!$I2059-'FACP$'!$K2059</f>
        <v>80774.43</v>
      </c>
      <c r="M2059" s="162" t="s">
        <v>580</v>
      </c>
      <c r="N2059" s="162" t="s">
        <v>127</v>
      </c>
      <c r="O2059" s="164"/>
      <c r="P2059" s="164">
        <f t="shared" si="13"/>
        <v>44178</v>
      </c>
      <c r="Q2059" s="165">
        <f t="shared" si="2"/>
        <v>0</v>
      </c>
      <c r="R2059" s="167"/>
      <c r="S2059" s="167"/>
      <c r="T2059" s="168">
        <f t="shared" si="3"/>
        <v>80774.43</v>
      </c>
      <c r="U2059" s="168">
        <f t="shared" si="4"/>
        <v>0</v>
      </c>
      <c r="V2059" s="168">
        <f t="shared" si="5"/>
        <v>0</v>
      </c>
      <c r="W2059" s="168">
        <f t="shared" si="6"/>
        <v>0</v>
      </c>
      <c r="X2059" s="168">
        <f t="shared" si="7"/>
        <v>0</v>
      </c>
      <c r="Y2059" s="168">
        <f t="shared" si="8"/>
        <v>0</v>
      </c>
      <c r="Z2059" s="168">
        <f t="shared" si="9"/>
        <v>0</v>
      </c>
    </row>
    <row r="2060" ht="14.25" customHeight="1">
      <c r="A2060" s="157" t="s">
        <v>2261</v>
      </c>
      <c r="B2060" s="158" t="s">
        <v>127</v>
      </c>
      <c r="C2060" s="158"/>
      <c r="D2060" s="159"/>
      <c r="E2060" s="157"/>
      <c r="F2060" s="160"/>
      <c r="G2060" s="160"/>
      <c r="H2060" s="160">
        <f t="shared" si="52"/>
        <v>0</v>
      </c>
      <c r="I2060" s="160"/>
      <c r="J2060" s="161"/>
      <c r="K2060" s="160"/>
      <c r="L2060" s="160">
        <f>+'FACP$'!$H2060-'FACP$'!$I2060-'FACP$'!$K2060</f>
        <v>0</v>
      </c>
      <c r="M2060" s="162"/>
      <c r="N2060" s="162" t="s">
        <v>127</v>
      </c>
      <c r="O2060" s="164"/>
      <c r="P2060" s="164">
        <f t="shared" si="13"/>
        <v>10</v>
      </c>
      <c r="Q2060" s="165">
        <f t="shared" si="2"/>
        <v>0</v>
      </c>
      <c r="R2060" s="167"/>
      <c r="S2060" s="167"/>
      <c r="T2060" s="168">
        <f t="shared" si="3"/>
        <v>0</v>
      </c>
      <c r="U2060" s="168">
        <f t="shared" si="4"/>
        <v>0</v>
      </c>
      <c r="V2060" s="168">
        <f t="shared" si="5"/>
        <v>0</v>
      </c>
      <c r="W2060" s="168">
        <f t="shared" si="6"/>
        <v>0</v>
      </c>
      <c r="X2060" s="168">
        <f t="shared" si="7"/>
        <v>0</v>
      </c>
      <c r="Y2060" s="168">
        <f t="shared" si="8"/>
        <v>0</v>
      </c>
      <c r="Z2060" s="168">
        <f t="shared" si="9"/>
        <v>0</v>
      </c>
    </row>
    <row r="2061" ht="14.25" customHeight="1">
      <c r="A2061" s="157" t="s">
        <v>2262</v>
      </c>
      <c r="B2061" s="158" t="s">
        <v>21</v>
      </c>
      <c r="C2061" s="158" t="s">
        <v>2143</v>
      </c>
      <c r="D2061" s="159">
        <v>44172.0</v>
      </c>
      <c r="E2061" s="157" t="s">
        <v>731</v>
      </c>
      <c r="F2061" s="160">
        <v>11493.45</v>
      </c>
      <c r="G2061" s="160">
        <v>1838.95</v>
      </c>
      <c r="H2061" s="160">
        <f t="shared" si="52"/>
        <v>13332.4</v>
      </c>
      <c r="I2061" s="160"/>
      <c r="J2061" s="161"/>
      <c r="K2061" s="160"/>
      <c r="L2061" s="160">
        <f>+'FACP$'!$H2061-'FACP$'!$I2061-'FACP$'!$K2061</f>
        <v>13332.4</v>
      </c>
      <c r="M2061" s="162" t="s">
        <v>2263</v>
      </c>
      <c r="N2061" s="162" t="s">
        <v>554</v>
      </c>
      <c r="O2061" s="164">
        <v>44201.0</v>
      </c>
      <c r="P2061" s="164">
        <f t="shared" si="13"/>
        <v>44182</v>
      </c>
      <c r="Q2061" s="165">
        <f t="shared" si="2"/>
        <v>0</v>
      </c>
      <c r="R2061" s="167"/>
      <c r="S2061" s="167"/>
      <c r="T2061" s="168">
        <f t="shared" si="3"/>
        <v>13332.4</v>
      </c>
      <c r="U2061" s="168">
        <f t="shared" si="4"/>
        <v>0</v>
      </c>
      <c r="V2061" s="168">
        <f t="shared" si="5"/>
        <v>0</v>
      </c>
      <c r="W2061" s="168">
        <f t="shared" si="6"/>
        <v>0</v>
      </c>
      <c r="X2061" s="168">
        <f t="shared" si="7"/>
        <v>0</v>
      </c>
      <c r="Y2061" s="168">
        <f t="shared" si="8"/>
        <v>0</v>
      </c>
      <c r="Z2061" s="168">
        <f t="shared" si="9"/>
        <v>0</v>
      </c>
    </row>
    <row r="2062" ht="14.25" customHeight="1">
      <c r="A2062" s="157" t="s">
        <v>2264</v>
      </c>
      <c r="B2062" s="158" t="s">
        <v>43</v>
      </c>
      <c r="C2062" s="158" t="s">
        <v>2180</v>
      </c>
      <c r="D2062" s="159">
        <v>44172.0</v>
      </c>
      <c r="E2062" s="157" t="s">
        <v>731</v>
      </c>
      <c r="F2062" s="160">
        <v>909709.71</v>
      </c>
      <c r="G2062" s="160">
        <v>145553.55</v>
      </c>
      <c r="H2062" s="160">
        <f t="shared" si="52"/>
        <v>1055263.26</v>
      </c>
      <c r="I2062" s="160"/>
      <c r="J2062" s="161"/>
      <c r="K2062" s="160"/>
      <c r="L2062" s="160">
        <f>+'FACP$'!$H2062-'FACP$'!$I2062-'FACP$'!$K2062</f>
        <v>1055263.26</v>
      </c>
      <c r="M2062" s="162" t="s">
        <v>43</v>
      </c>
      <c r="N2062" s="162" t="s">
        <v>127</v>
      </c>
      <c r="O2062" s="164"/>
      <c r="P2062" s="164">
        <f t="shared" si="13"/>
        <v>44182</v>
      </c>
      <c r="Q2062" s="165">
        <f t="shared" si="2"/>
        <v>0</v>
      </c>
      <c r="R2062" s="167"/>
      <c r="S2062" s="167"/>
      <c r="T2062" s="168">
        <f t="shared" si="3"/>
        <v>1055263.26</v>
      </c>
      <c r="U2062" s="168">
        <f t="shared" si="4"/>
        <v>0</v>
      </c>
      <c r="V2062" s="168">
        <f t="shared" si="5"/>
        <v>0</v>
      </c>
      <c r="W2062" s="168">
        <f t="shared" si="6"/>
        <v>0</v>
      </c>
      <c r="X2062" s="168">
        <f t="shared" si="7"/>
        <v>0</v>
      </c>
      <c r="Y2062" s="168">
        <f t="shared" si="8"/>
        <v>0</v>
      </c>
      <c r="Z2062" s="168">
        <f t="shared" si="9"/>
        <v>0</v>
      </c>
    </row>
    <row r="2063" ht="14.25" customHeight="1">
      <c r="A2063" s="157" t="s">
        <v>2265</v>
      </c>
      <c r="B2063" s="158" t="s">
        <v>21</v>
      </c>
      <c r="C2063" s="158" t="s">
        <v>2180</v>
      </c>
      <c r="D2063" s="159">
        <v>44172.0</v>
      </c>
      <c r="E2063" s="157" t="s">
        <v>731</v>
      </c>
      <c r="F2063" s="160">
        <v>26781.6</v>
      </c>
      <c r="G2063" s="160">
        <v>4285.06</v>
      </c>
      <c r="H2063" s="160">
        <f t="shared" si="52"/>
        <v>31066.66</v>
      </c>
      <c r="I2063" s="160"/>
      <c r="J2063" s="161"/>
      <c r="K2063" s="160"/>
      <c r="L2063" s="160">
        <f>+'FACP$'!$H2063-'FACP$'!$I2063-'FACP$'!$K2063</f>
        <v>31066.66</v>
      </c>
      <c r="M2063" s="162" t="s">
        <v>2263</v>
      </c>
      <c r="N2063" s="162" t="s">
        <v>554</v>
      </c>
      <c r="O2063" s="164">
        <v>44201.0</v>
      </c>
      <c r="P2063" s="164">
        <f t="shared" si="13"/>
        <v>44182</v>
      </c>
      <c r="Q2063" s="165">
        <f t="shared" si="2"/>
        <v>0</v>
      </c>
      <c r="R2063" s="167"/>
      <c r="S2063" s="167"/>
      <c r="T2063" s="168">
        <f t="shared" si="3"/>
        <v>31066.66</v>
      </c>
      <c r="U2063" s="168">
        <f t="shared" si="4"/>
        <v>0</v>
      </c>
      <c r="V2063" s="168">
        <f t="shared" si="5"/>
        <v>0</v>
      </c>
      <c r="W2063" s="168">
        <f t="shared" si="6"/>
        <v>0</v>
      </c>
      <c r="X2063" s="168">
        <f t="shared" si="7"/>
        <v>0</v>
      </c>
      <c r="Y2063" s="168">
        <f t="shared" si="8"/>
        <v>0</v>
      </c>
      <c r="Z2063" s="168">
        <f t="shared" si="9"/>
        <v>0</v>
      </c>
    </row>
    <row r="2064" ht="14.25" customHeight="1">
      <c r="A2064" s="157" t="s">
        <v>2266</v>
      </c>
      <c r="B2064" s="158" t="s">
        <v>29</v>
      </c>
      <c r="C2064" s="158" t="s">
        <v>2267</v>
      </c>
      <c r="D2064" s="159">
        <v>44172.0</v>
      </c>
      <c r="E2064" s="157" t="s">
        <v>731</v>
      </c>
      <c r="F2064" s="160">
        <v>284461.76</v>
      </c>
      <c r="G2064" s="160">
        <v>45513.88</v>
      </c>
      <c r="H2064" s="160">
        <f t="shared" si="52"/>
        <v>329975.64</v>
      </c>
      <c r="I2064" s="160"/>
      <c r="J2064" s="161"/>
      <c r="K2064" s="160"/>
      <c r="L2064" s="160">
        <f>+'FACP$'!$H2064-'FACP$'!$I2064-'FACP$'!$K2064</f>
        <v>329975.64</v>
      </c>
      <c r="M2064" s="162" t="s">
        <v>130</v>
      </c>
      <c r="N2064" s="162" t="s">
        <v>554</v>
      </c>
      <c r="O2064" s="164">
        <v>44193.0</v>
      </c>
      <c r="P2064" s="164">
        <f t="shared" si="13"/>
        <v>44182</v>
      </c>
      <c r="Q2064" s="165">
        <f t="shared" si="2"/>
        <v>0</v>
      </c>
      <c r="R2064" s="167"/>
      <c r="S2064" s="167"/>
      <c r="T2064" s="168">
        <f t="shared" si="3"/>
        <v>329975.64</v>
      </c>
      <c r="U2064" s="168">
        <f t="shared" si="4"/>
        <v>0</v>
      </c>
      <c r="V2064" s="168">
        <f t="shared" si="5"/>
        <v>0</v>
      </c>
      <c r="W2064" s="168">
        <f t="shared" si="6"/>
        <v>0</v>
      </c>
      <c r="X2064" s="168">
        <f t="shared" si="7"/>
        <v>0</v>
      </c>
      <c r="Y2064" s="168">
        <f t="shared" si="8"/>
        <v>0</v>
      </c>
      <c r="Z2064" s="168">
        <f t="shared" si="9"/>
        <v>0</v>
      </c>
    </row>
    <row r="2065" ht="14.25" customHeight="1">
      <c r="A2065" s="157" t="s">
        <v>2268</v>
      </c>
      <c r="B2065" s="158" t="s">
        <v>29</v>
      </c>
      <c r="C2065" s="158" t="s">
        <v>2269</v>
      </c>
      <c r="D2065" s="159">
        <v>44172.0</v>
      </c>
      <c r="E2065" s="157" t="s">
        <v>731</v>
      </c>
      <c r="F2065" s="160">
        <v>341194.32</v>
      </c>
      <c r="G2065" s="160">
        <v>54591.09</v>
      </c>
      <c r="H2065" s="160">
        <f t="shared" si="52"/>
        <v>395785.41</v>
      </c>
      <c r="I2065" s="160"/>
      <c r="J2065" s="161"/>
      <c r="K2065" s="160"/>
      <c r="L2065" s="160">
        <f>+'FACP$'!$H2065-'FACP$'!$I2065-'FACP$'!$K2065</f>
        <v>395785.41</v>
      </c>
      <c r="M2065" s="162" t="s">
        <v>130</v>
      </c>
      <c r="N2065" s="162" t="s">
        <v>554</v>
      </c>
      <c r="O2065" s="164">
        <v>44181.0</v>
      </c>
      <c r="P2065" s="164">
        <f t="shared" si="13"/>
        <v>44182</v>
      </c>
      <c r="Q2065" s="165">
        <f t="shared" si="2"/>
        <v>0</v>
      </c>
      <c r="R2065" s="167"/>
      <c r="S2065" s="167"/>
      <c r="T2065" s="168">
        <f t="shared" si="3"/>
        <v>395785.41</v>
      </c>
      <c r="U2065" s="168">
        <f t="shared" si="4"/>
        <v>0</v>
      </c>
      <c r="V2065" s="168">
        <f t="shared" si="5"/>
        <v>0</v>
      </c>
      <c r="W2065" s="168">
        <f t="shared" si="6"/>
        <v>0</v>
      </c>
      <c r="X2065" s="168">
        <f t="shared" si="7"/>
        <v>0</v>
      </c>
      <c r="Y2065" s="168">
        <f t="shared" si="8"/>
        <v>0</v>
      </c>
      <c r="Z2065" s="168">
        <f t="shared" si="9"/>
        <v>0</v>
      </c>
    </row>
    <row r="2066" ht="14.25" customHeight="1">
      <c r="A2066" s="157" t="s">
        <v>2270</v>
      </c>
      <c r="B2066" s="158" t="s">
        <v>29</v>
      </c>
      <c r="C2066" s="158" t="s">
        <v>2271</v>
      </c>
      <c r="D2066" s="159">
        <v>44172.0</v>
      </c>
      <c r="E2066" s="157" t="s">
        <v>731</v>
      </c>
      <c r="F2066" s="160">
        <v>244661.24</v>
      </c>
      <c r="G2066" s="160">
        <v>39145.8</v>
      </c>
      <c r="H2066" s="160">
        <f t="shared" si="52"/>
        <v>283807.04</v>
      </c>
      <c r="I2066" s="160"/>
      <c r="J2066" s="161"/>
      <c r="K2066" s="160"/>
      <c r="L2066" s="160">
        <f>+'FACP$'!$H2066-'FACP$'!$I2066-'FACP$'!$K2066</f>
        <v>283807.04</v>
      </c>
      <c r="M2066" s="162" t="s">
        <v>130</v>
      </c>
      <c r="N2066" s="162" t="s">
        <v>554</v>
      </c>
      <c r="O2066" s="164">
        <v>44193.0</v>
      </c>
      <c r="P2066" s="164">
        <f t="shared" si="13"/>
        <v>44182</v>
      </c>
      <c r="Q2066" s="165">
        <f t="shared" si="2"/>
        <v>0</v>
      </c>
      <c r="R2066" s="167"/>
      <c r="S2066" s="167"/>
      <c r="T2066" s="168">
        <f t="shared" si="3"/>
        <v>283807.04</v>
      </c>
      <c r="U2066" s="168">
        <f t="shared" si="4"/>
        <v>0</v>
      </c>
      <c r="V2066" s="168">
        <f t="shared" si="5"/>
        <v>0</v>
      </c>
      <c r="W2066" s="168">
        <f t="shared" si="6"/>
        <v>0</v>
      </c>
      <c r="X2066" s="168">
        <f t="shared" si="7"/>
        <v>0</v>
      </c>
      <c r="Y2066" s="168">
        <f t="shared" si="8"/>
        <v>0</v>
      </c>
      <c r="Z2066" s="168">
        <f t="shared" si="9"/>
        <v>0</v>
      </c>
    </row>
    <row r="2067" ht="14.25" customHeight="1">
      <c r="A2067" s="157" t="s">
        <v>2272</v>
      </c>
      <c r="B2067" s="158" t="s">
        <v>29</v>
      </c>
      <c r="C2067" s="158" t="s">
        <v>2273</v>
      </c>
      <c r="D2067" s="159">
        <v>44172.0</v>
      </c>
      <c r="E2067" s="157" t="s">
        <v>731</v>
      </c>
      <c r="F2067" s="160">
        <v>298480.41</v>
      </c>
      <c r="G2067" s="160">
        <v>47756.87</v>
      </c>
      <c r="H2067" s="160">
        <f t="shared" si="52"/>
        <v>346237.28</v>
      </c>
      <c r="I2067" s="160"/>
      <c r="J2067" s="161"/>
      <c r="K2067" s="160"/>
      <c r="L2067" s="160">
        <f>+'FACP$'!$H2067-'FACP$'!$I2067-'FACP$'!$K2067</f>
        <v>346237.28</v>
      </c>
      <c r="M2067" s="162" t="s">
        <v>130</v>
      </c>
      <c r="N2067" s="162" t="s">
        <v>554</v>
      </c>
      <c r="O2067" s="164">
        <v>44181.0</v>
      </c>
      <c r="P2067" s="164">
        <f t="shared" si="13"/>
        <v>44182</v>
      </c>
      <c r="Q2067" s="165">
        <f t="shared" si="2"/>
        <v>0</v>
      </c>
      <c r="R2067" s="167"/>
      <c r="S2067" s="167"/>
      <c r="T2067" s="168">
        <f t="shared" si="3"/>
        <v>346237.28</v>
      </c>
      <c r="U2067" s="168">
        <f t="shared" si="4"/>
        <v>0</v>
      </c>
      <c r="V2067" s="168">
        <f t="shared" si="5"/>
        <v>0</v>
      </c>
      <c r="W2067" s="168">
        <f t="shared" si="6"/>
        <v>0</v>
      </c>
      <c r="X2067" s="168">
        <f t="shared" si="7"/>
        <v>0</v>
      </c>
      <c r="Y2067" s="168">
        <f t="shared" si="8"/>
        <v>0</v>
      </c>
      <c r="Z2067" s="168">
        <f t="shared" si="9"/>
        <v>0</v>
      </c>
    </row>
    <row r="2068" ht="14.25" customHeight="1">
      <c r="A2068" s="157" t="s">
        <v>2274</v>
      </c>
      <c r="B2068" s="158" t="s">
        <v>16</v>
      </c>
      <c r="C2068" s="158" t="s">
        <v>2248</v>
      </c>
      <c r="D2068" s="159">
        <v>44175.0</v>
      </c>
      <c r="E2068" s="157" t="s">
        <v>731</v>
      </c>
      <c r="F2068" s="160">
        <v>288767.15</v>
      </c>
      <c r="G2068" s="160">
        <v>46202.74</v>
      </c>
      <c r="H2068" s="160">
        <f t="shared" si="52"/>
        <v>334969.89</v>
      </c>
      <c r="I2068" s="160"/>
      <c r="J2068" s="161"/>
      <c r="K2068" s="160"/>
      <c r="L2068" s="160">
        <f>+'FACP$'!$H2068-'FACP$'!$I2068-'FACP$'!$K2068</f>
        <v>334969.89</v>
      </c>
      <c r="M2068" s="162" t="s">
        <v>985</v>
      </c>
      <c r="N2068" s="162" t="s">
        <v>554</v>
      </c>
      <c r="O2068" s="164">
        <v>44183.0</v>
      </c>
      <c r="P2068" s="164">
        <f t="shared" si="13"/>
        <v>44185</v>
      </c>
      <c r="Q2068" s="165">
        <f t="shared" si="2"/>
        <v>0</v>
      </c>
      <c r="R2068" s="167"/>
      <c r="S2068" s="167"/>
      <c r="T2068" s="168">
        <f t="shared" si="3"/>
        <v>334969.89</v>
      </c>
      <c r="U2068" s="168">
        <f t="shared" si="4"/>
        <v>0</v>
      </c>
      <c r="V2068" s="168">
        <f t="shared" si="5"/>
        <v>0</v>
      </c>
      <c r="W2068" s="168">
        <f t="shared" si="6"/>
        <v>0</v>
      </c>
      <c r="X2068" s="168">
        <f t="shared" si="7"/>
        <v>0</v>
      </c>
      <c r="Y2068" s="168">
        <f t="shared" si="8"/>
        <v>0</v>
      </c>
      <c r="Z2068" s="168">
        <f t="shared" si="9"/>
        <v>0</v>
      </c>
    </row>
    <row r="2069" ht="14.25" customHeight="1">
      <c r="A2069" s="157" t="s">
        <v>2275</v>
      </c>
      <c r="B2069" s="158" t="s">
        <v>16</v>
      </c>
      <c r="C2069" s="158" t="s">
        <v>2253</v>
      </c>
      <c r="D2069" s="159">
        <v>44175.0</v>
      </c>
      <c r="E2069" s="157" t="s">
        <v>731</v>
      </c>
      <c r="F2069" s="160">
        <v>385267.31</v>
      </c>
      <c r="G2069" s="160">
        <v>61642.77</v>
      </c>
      <c r="H2069" s="160">
        <f t="shared" si="52"/>
        <v>446910.08</v>
      </c>
      <c r="I2069" s="160"/>
      <c r="J2069" s="161"/>
      <c r="K2069" s="160"/>
      <c r="L2069" s="160">
        <f>+'FACP$'!$H2069-'FACP$'!$I2069-'FACP$'!$K2069</f>
        <v>446910.08</v>
      </c>
      <c r="M2069" s="162" t="s">
        <v>985</v>
      </c>
      <c r="N2069" s="162" t="s">
        <v>554</v>
      </c>
      <c r="O2069" s="164">
        <v>44183.0</v>
      </c>
      <c r="P2069" s="164">
        <f t="shared" si="13"/>
        <v>44185</v>
      </c>
      <c r="Q2069" s="165">
        <f t="shared" si="2"/>
        <v>0</v>
      </c>
      <c r="R2069" s="167"/>
      <c r="S2069" s="167"/>
      <c r="T2069" s="168">
        <f t="shared" si="3"/>
        <v>446910.08</v>
      </c>
      <c r="U2069" s="168">
        <f t="shared" si="4"/>
        <v>0</v>
      </c>
      <c r="V2069" s="168">
        <f t="shared" si="5"/>
        <v>0</v>
      </c>
      <c r="W2069" s="168">
        <f t="shared" si="6"/>
        <v>0</v>
      </c>
      <c r="X2069" s="168">
        <f t="shared" si="7"/>
        <v>0</v>
      </c>
      <c r="Y2069" s="168">
        <f t="shared" si="8"/>
        <v>0</v>
      </c>
      <c r="Z2069" s="168">
        <f t="shared" si="9"/>
        <v>0</v>
      </c>
    </row>
    <row r="2070" ht="14.25" customHeight="1">
      <c r="A2070" s="157" t="s">
        <v>2276</v>
      </c>
      <c r="B2070" s="158" t="s">
        <v>18</v>
      </c>
      <c r="C2070" s="158" t="s">
        <v>2248</v>
      </c>
      <c r="D2070" s="159">
        <v>44175.0</v>
      </c>
      <c r="E2070" s="157" t="s">
        <v>731</v>
      </c>
      <c r="F2070" s="160">
        <v>127442.69</v>
      </c>
      <c r="G2070" s="160">
        <v>20390.83</v>
      </c>
      <c r="H2070" s="160">
        <f t="shared" si="52"/>
        <v>147833.52</v>
      </c>
      <c r="I2070" s="160"/>
      <c r="J2070" s="161"/>
      <c r="K2070" s="160"/>
      <c r="L2070" s="160">
        <f>+'FACP$'!$H2070-'FACP$'!$I2070-'FACP$'!$K2070</f>
        <v>147833.52</v>
      </c>
      <c r="M2070" s="162" t="s">
        <v>586</v>
      </c>
      <c r="N2070" s="162" t="s">
        <v>554</v>
      </c>
      <c r="O2070" s="164">
        <v>44182.0</v>
      </c>
      <c r="P2070" s="164">
        <f t="shared" si="13"/>
        <v>44185</v>
      </c>
      <c r="Q2070" s="165">
        <f t="shared" si="2"/>
        <v>0</v>
      </c>
      <c r="R2070" s="167"/>
      <c r="S2070" s="220" t="s">
        <v>910</v>
      </c>
      <c r="T2070" s="168">
        <f t="shared" si="3"/>
        <v>147833.52</v>
      </c>
      <c r="U2070" s="168">
        <f t="shared" si="4"/>
        <v>0</v>
      </c>
      <c r="V2070" s="168">
        <f t="shared" si="5"/>
        <v>0</v>
      </c>
      <c r="W2070" s="168">
        <f t="shared" si="6"/>
        <v>0</v>
      </c>
      <c r="X2070" s="168">
        <f t="shared" si="7"/>
        <v>0</v>
      </c>
      <c r="Y2070" s="168">
        <f t="shared" si="8"/>
        <v>0</v>
      </c>
      <c r="Z2070" s="168">
        <f t="shared" si="9"/>
        <v>0</v>
      </c>
    </row>
    <row r="2071" ht="14.25" customHeight="1">
      <c r="A2071" s="157" t="s">
        <v>2277</v>
      </c>
      <c r="B2071" s="158" t="s">
        <v>19</v>
      </c>
      <c r="C2071" s="158" t="s">
        <v>2248</v>
      </c>
      <c r="D2071" s="159">
        <v>44175.0</v>
      </c>
      <c r="E2071" s="157" t="s">
        <v>731</v>
      </c>
      <c r="F2071" s="160">
        <v>167260.78</v>
      </c>
      <c r="G2071" s="160">
        <v>26761.72</v>
      </c>
      <c r="H2071" s="160">
        <f t="shared" si="52"/>
        <v>194022.5</v>
      </c>
      <c r="I2071" s="160"/>
      <c r="J2071" s="161"/>
      <c r="K2071" s="160"/>
      <c r="L2071" s="160">
        <f>+'FACP$'!$H2071-'FACP$'!$I2071-'FACP$'!$K2071</f>
        <v>194022.5</v>
      </c>
      <c r="M2071" s="162" t="s">
        <v>732</v>
      </c>
      <c r="N2071" s="162" t="s">
        <v>554</v>
      </c>
      <c r="O2071" s="164">
        <v>44182.0</v>
      </c>
      <c r="P2071" s="164">
        <f t="shared" si="13"/>
        <v>44185</v>
      </c>
      <c r="Q2071" s="165">
        <f t="shared" si="2"/>
        <v>0</v>
      </c>
      <c r="R2071" s="167"/>
      <c r="S2071" s="220" t="s">
        <v>910</v>
      </c>
      <c r="T2071" s="168">
        <f t="shared" si="3"/>
        <v>194022.5</v>
      </c>
      <c r="U2071" s="168">
        <f t="shared" si="4"/>
        <v>0</v>
      </c>
      <c r="V2071" s="168">
        <f t="shared" si="5"/>
        <v>0</v>
      </c>
      <c r="W2071" s="168">
        <f t="shared" si="6"/>
        <v>0</v>
      </c>
      <c r="X2071" s="168">
        <f t="shared" si="7"/>
        <v>0</v>
      </c>
      <c r="Y2071" s="168">
        <f t="shared" si="8"/>
        <v>0</v>
      </c>
      <c r="Z2071" s="168">
        <f t="shared" si="9"/>
        <v>0</v>
      </c>
    </row>
    <row r="2072" ht="14.25" customHeight="1">
      <c r="A2072" s="157" t="s">
        <v>2278</v>
      </c>
      <c r="B2072" s="158" t="s">
        <v>37</v>
      </c>
      <c r="C2072" s="158" t="s">
        <v>2248</v>
      </c>
      <c r="D2072" s="159">
        <v>44175.0</v>
      </c>
      <c r="E2072" s="157" t="s">
        <v>731</v>
      </c>
      <c r="F2072" s="160">
        <v>1665684.02</v>
      </c>
      <c r="G2072" s="160">
        <v>266509.44</v>
      </c>
      <c r="H2072" s="160">
        <f t="shared" si="52"/>
        <v>1932193.46</v>
      </c>
      <c r="I2072" s="160"/>
      <c r="J2072" s="161"/>
      <c r="K2072" s="160"/>
      <c r="L2072" s="160">
        <f>+'FACP$'!$H2072-'FACP$'!$I2072-'FACP$'!$K2072</f>
        <v>1932193.46</v>
      </c>
      <c r="M2072" s="162" t="s">
        <v>116</v>
      </c>
      <c r="N2072" s="162" t="s">
        <v>554</v>
      </c>
      <c r="O2072" s="164">
        <v>43835.0</v>
      </c>
      <c r="P2072" s="164">
        <f t="shared" si="13"/>
        <v>44185</v>
      </c>
      <c r="Q2072" s="165">
        <f t="shared" si="2"/>
        <v>0</v>
      </c>
      <c r="R2072" s="167"/>
      <c r="S2072" s="167"/>
      <c r="T2072" s="168">
        <f t="shared" si="3"/>
        <v>1932193.46</v>
      </c>
      <c r="U2072" s="168">
        <f t="shared" si="4"/>
        <v>0</v>
      </c>
      <c r="V2072" s="168">
        <f t="shared" si="5"/>
        <v>0</v>
      </c>
      <c r="W2072" s="168">
        <f t="shared" si="6"/>
        <v>0</v>
      </c>
      <c r="X2072" s="168">
        <f t="shared" si="7"/>
        <v>0</v>
      </c>
      <c r="Y2072" s="168">
        <f t="shared" si="8"/>
        <v>0</v>
      </c>
      <c r="Z2072" s="168">
        <f t="shared" si="9"/>
        <v>0</v>
      </c>
    </row>
    <row r="2073" ht="14.25" customHeight="1">
      <c r="A2073" s="157" t="s">
        <v>2279</v>
      </c>
      <c r="B2073" s="158" t="s">
        <v>38</v>
      </c>
      <c r="C2073" s="158" t="s">
        <v>2248</v>
      </c>
      <c r="D2073" s="159">
        <v>44175.0</v>
      </c>
      <c r="E2073" s="157" t="s">
        <v>731</v>
      </c>
      <c r="F2073" s="160">
        <v>459810.56</v>
      </c>
      <c r="G2073" s="160">
        <v>73569.69</v>
      </c>
      <c r="H2073" s="160">
        <f t="shared" si="52"/>
        <v>533380.25</v>
      </c>
      <c r="I2073" s="160"/>
      <c r="J2073" s="161"/>
      <c r="K2073" s="160"/>
      <c r="L2073" s="160">
        <f>+'FACP$'!$H2073-'FACP$'!$I2073-'FACP$'!$K2073</f>
        <v>533380.25</v>
      </c>
      <c r="M2073" s="162" t="s">
        <v>145</v>
      </c>
      <c r="N2073" s="162" t="s">
        <v>554</v>
      </c>
      <c r="O2073" s="164">
        <v>44187.0</v>
      </c>
      <c r="P2073" s="164">
        <f t="shared" si="13"/>
        <v>44185</v>
      </c>
      <c r="Q2073" s="165">
        <f t="shared" si="2"/>
        <v>0</v>
      </c>
      <c r="R2073" s="167"/>
      <c r="S2073" s="167" t="s">
        <v>910</v>
      </c>
      <c r="T2073" s="168">
        <f t="shared" si="3"/>
        <v>533380.25</v>
      </c>
      <c r="U2073" s="168">
        <f t="shared" si="4"/>
        <v>0</v>
      </c>
      <c r="V2073" s="168">
        <f t="shared" si="5"/>
        <v>0</v>
      </c>
      <c r="W2073" s="168">
        <f t="shared" si="6"/>
        <v>0</v>
      </c>
      <c r="X2073" s="168">
        <f t="shared" si="7"/>
        <v>0</v>
      </c>
      <c r="Y2073" s="168">
        <f t="shared" si="8"/>
        <v>0</v>
      </c>
      <c r="Z2073" s="168">
        <f t="shared" si="9"/>
        <v>0</v>
      </c>
    </row>
    <row r="2074" ht="14.25" customHeight="1">
      <c r="A2074" s="157" t="s">
        <v>2280</v>
      </c>
      <c r="B2074" s="158" t="s">
        <v>50</v>
      </c>
      <c r="C2074" s="158" t="s">
        <v>2248</v>
      </c>
      <c r="D2074" s="159">
        <v>44176.0</v>
      </c>
      <c r="E2074" s="157" t="s">
        <v>731</v>
      </c>
      <c r="F2074" s="160">
        <v>9009.0</v>
      </c>
      <c r="G2074" s="160">
        <v>1441.44</v>
      </c>
      <c r="H2074" s="160">
        <f t="shared" si="52"/>
        <v>10450.44</v>
      </c>
      <c r="I2074" s="160"/>
      <c r="J2074" s="161"/>
      <c r="K2074" s="160"/>
      <c r="L2074" s="160">
        <f>+'FACP$'!$H2074-'FACP$'!$I2074-'FACP$'!$K2074</f>
        <v>10450.44</v>
      </c>
      <c r="M2074" s="162" t="s">
        <v>570</v>
      </c>
      <c r="N2074" s="162" t="s">
        <v>127</v>
      </c>
      <c r="O2074" s="164"/>
      <c r="P2074" s="164">
        <f t="shared" si="13"/>
        <v>44186</v>
      </c>
      <c r="Q2074" s="165">
        <f t="shared" si="2"/>
        <v>0</v>
      </c>
      <c r="R2074" s="167"/>
      <c r="S2074" s="167"/>
      <c r="T2074" s="168">
        <f t="shared" si="3"/>
        <v>10450.44</v>
      </c>
      <c r="U2074" s="168">
        <f t="shared" si="4"/>
        <v>0</v>
      </c>
      <c r="V2074" s="168">
        <f t="shared" si="5"/>
        <v>0</v>
      </c>
      <c r="W2074" s="168">
        <f t="shared" si="6"/>
        <v>0</v>
      </c>
      <c r="X2074" s="168">
        <f t="shared" si="7"/>
        <v>0</v>
      </c>
      <c r="Y2074" s="168">
        <f t="shared" si="8"/>
        <v>0</v>
      </c>
      <c r="Z2074" s="168">
        <f t="shared" si="9"/>
        <v>0</v>
      </c>
    </row>
    <row r="2075" ht="14.25" customHeight="1">
      <c r="A2075" s="157" t="s">
        <v>2281</v>
      </c>
      <c r="B2075" s="158" t="s">
        <v>41</v>
      </c>
      <c r="C2075" s="158" t="s">
        <v>2248</v>
      </c>
      <c r="D2075" s="159">
        <v>44176.0</v>
      </c>
      <c r="E2075" s="157" t="s">
        <v>731</v>
      </c>
      <c r="F2075" s="160">
        <v>687717.92</v>
      </c>
      <c r="G2075" s="160">
        <v>110034.87</v>
      </c>
      <c r="H2075" s="160">
        <f t="shared" si="52"/>
        <v>797752.79</v>
      </c>
      <c r="I2075" s="160"/>
      <c r="J2075" s="161"/>
      <c r="K2075" s="160"/>
      <c r="L2075" s="160">
        <f>+'FACP$'!$H2075-'FACP$'!$I2075-'FACP$'!$K2075</f>
        <v>797752.79</v>
      </c>
      <c r="M2075" s="162" t="s">
        <v>121</v>
      </c>
      <c r="N2075" s="162" t="s">
        <v>554</v>
      </c>
      <c r="O2075" s="164">
        <v>44180.0</v>
      </c>
      <c r="P2075" s="164">
        <f t="shared" si="13"/>
        <v>44186</v>
      </c>
      <c r="Q2075" s="165">
        <f t="shared" si="2"/>
        <v>0</v>
      </c>
      <c r="R2075" s="167"/>
      <c r="S2075" s="167"/>
      <c r="T2075" s="168">
        <f t="shared" si="3"/>
        <v>797752.79</v>
      </c>
      <c r="U2075" s="168">
        <f t="shared" si="4"/>
        <v>0</v>
      </c>
      <c r="V2075" s="168">
        <f t="shared" si="5"/>
        <v>0</v>
      </c>
      <c r="W2075" s="168">
        <f t="shared" si="6"/>
        <v>0</v>
      </c>
      <c r="X2075" s="168">
        <f t="shared" si="7"/>
        <v>0</v>
      </c>
      <c r="Y2075" s="168">
        <f t="shared" si="8"/>
        <v>0</v>
      </c>
      <c r="Z2075" s="168">
        <f t="shared" si="9"/>
        <v>0</v>
      </c>
    </row>
    <row r="2076" ht="14.25" customHeight="1">
      <c r="A2076" s="157" t="s">
        <v>2282</v>
      </c>
      <c r="B2076" s="158" t="s">
        <v>43</v>
      </c>
      <c r="C2076" s="158" t="s">
        <v>2283</v>
      </c>
      <c r="D2076" s="159">
        <v>44186.0</v>
      </c>
      <c r="E2076" s="157" t="s">
        <v>731</v>
      </c>
      <c r="F2076" s="160">
        <v>1042004.96</v>
      </c>
      <c r="G2076" s="160">
        <v>166720.79</v>
      </c>
      <c r="H2076" s="160">
        <f t="shared" si="52"/>
        <v>1208725.75</v>
      </c>
      <c r="I2076" s="160"/>
      <c r="J2076" s="161"/>
      <c r="K2076" s="160"/>
      <c r="L2076" s="160">
        <f>+'FACP$'!$H2076-'FACP$'!$I2076-'FACP$'!$K2076</f>
        <v>1208725.75</v>
      </c>
      <c r="M2076" s="162" t="s">
        <v>43</v>
      </c>
      <c r="N2076" s="162" t="s">
        <v>554</v>
      </c>
      <c r="O2076" s="164">
        <v>44195.0</v>
      </c>
      <c r="P2076" s="164">
        <f t="shared" si="13"/>
        <v>44196</v>
      </c>
      <c r="Q2076" s="165">
        <f t="shared" si="2"/>
        <v>0</v>
      </c>
      <c r="R2076" s="167"/>
      <c r="S2076" s="167" t="s">
        <v>910</v>
      </c>
      <c r="T2076" s="168">
        <f t="shared" si="3"/>
        <v>1208725.75</v>
      </c>
      <c r="U2076" s="168">
        <f t="shared" si="4"/>
        <v>0</v>
      </c>
      <c r="V2076" s="168">
        <f t="shared" si="5"/>
        <v>0</v>
      </c>
      <c r="W2076" s="168">
        <f t="shared" si="6"/>
        <v>0</v>
      </c>
      <c r="X2076" s="168">
        <f t="shared" si="7"/>
        <v>0</v>
      </c>
      <c r="Y2076" s="168">
        <f t="shared" si="8"/>
        <v>0</v>
      </c>
      <c r="Z2076" s="168">
        <f t="shared" si="9"/>
        <v>0</v>
      </c>
    </row>
    <row r="2077" ht="14.25" customHeight="1">
      <c r="A2077" s="157" t="s">
        <v>2284</v>
      </c>
      <c r="B2077" s="158" t="s">
        <v>1127</v>
      </c>
      <c r="C2077" s="158" t="s">
        <v>2283</v>
      </c>
      <c r="D2077" s="159">
        <v>44186.0</v>
      </c>
      <c r="E2077" s="157" t="s">
        <v>731</v>
      </c>
      <c r="F2077" s="160">
        <v>383799.76</v>
      </c>
      <c r="G2077" s="160">
        <v>61407.96</v>
      </c>
      <c r="H2077" s="160">
        <f t="shared" si="52"/>
        <v>445207.72</v>
      </c>
      <c r="I2077" s="160"/>
      <c r="J2077" s="161"/>
      <c r="K2077" s="160"/>
      <c r="L2077" s="160">
        <f>+'FACP$'!$H2077-'FACP$'!$I2077-'FACP$'!$K2077</f>
        <v>445207.72</v>
      </c>
      <c r="M2077" s="162" t="s">
        <v>580</v>
      </c>
      <c r="N2077" s="162" t="s">
        <v>554</v>
      </c>
      <c r="O2077" s="164">
        <v>44210.0</v>
      </c>
      <c r="P2077" s="164">
        <f t="shared" si="13"/>
        <v>44196</v>
      </c>
      <c r="Q2077" s="165">
        <f t="shared" si="2"/>
        <v>0</v>
      </c>
      <c r="R2077" s="167"/>
      <c r="S2077" s="167"/>
      <c r="T2077" s="168">
        <f t="shared" si="3"/>
        <v>445207.72</v>
      </c>
      <c r="U2077" s="168">
        <f t="shared" si="4"/>
        <v>0</v>
      </c>
      <c r="V2077" s="168">
        <f t="shared" si="5"/>
        <v>0</v>
      </c>
      <c r="W2077" s="168">
        <f t="shared" si="6"/>
        <v>0</v>
      </c>
      <c r="X2077" s="168">
        <f t="shared" si="7"/>
        <v>0</v>
      </c>
      <c r="Y2077" s="168">
        <f t="shared" si="8"/>
        <v>0</v>
      </c>
      <c r="Z2077" s="168">
        <f t="shared" si="9"/>
        <v>0</v>
      </c>
    </row>
    <row r="2078" ht="14.25" customHeight="1">
      <c r="A2078" s="157" t="s">
        <v>2285</v>
      </c>
      <c r="B2078" s="158" t="s">
        <v>36</v>
      </c>
      <c r="C2078" s="158" t="s">
        <v>2283</v>
      </c>
      <c r="D2078" s="159">
        <v>44186.0</v>
      </c>
      <c r="E2078" s="157" t="s">
        <v>731</v>
      </c>
      <c r="F2078" s="160">
        <v>93617.6</v>
      </c>
      <c r="G2078" s="160">
        <v>14978.82</v>
      </c>
      <c r="H2078" s="160">
        <f t="shared" si="52"/>
        <v>108596.42</v>
      </c>
      <c r="I2078" s="160"/>
      <c r="J2078" s="161"/>
      <c r="K2078" s="160"/>
      <c r="L2078" s="160">
        <f>+'FACP$'!$H2078-'FACP$'!$I2078-'FACP$'!$K2078</f>
        <v>108596.42</v>
      </c>
      <c r="M2078" s="162" t="s">
        <v>278</v>
      </c>
      <c r="N2078" s="162" t="s">
        <v>554</v>
      </c>
      <c r="O2078" s="164">
        <v>44267.0</v>
      </c>
      <c r="P2078" s="164">
        <f t="shared" si="13"/>
        <v>44196</v>
      </c>
      <c r="Q2078" s="165">
        <f t="shared" si="2"/>
        <v>0</v>
      </c>
      <c r="R2078" s="167"/>
      <c r="S2078" s="167"/>
      <c r="T2078" s="168">
        <f t="shared" si="3"/>
        <v>108596.42</v>
      </c>
      <c r="U2078" s="168">
        <f t="shared" si="4"/>
        <v>0</v>
      </c>
      <c r="V2078" s="168">
        <f t="shared" si="5"/>
        <v>0</v>
      </c>
      <c r="W2078" s="168">
        <f t="shared" si="6"/>
        <v>0</v>
      </c>
      <c r="X2078" s="168">
        <f t="shared" si="7"/>
        <v>0</v>
      </c>
      <c r="Y2078" s="168">
        <f t="shared" si="8"/>
        <v>0</v>
      </c>
      <c r="Z2078" s="168">
        <f t="shared" si="9"/>
        <v>0</v>
      </c>
    </row>
    <row r="2079" ht="14.25" customHeight="1">
      <c r="A2079" s="157" t="s">
        <v>2286</v>
      </c>
      <c r="B2079" s="158" t="s">
        <v>35</v>
      </c>
      <c r="C2079" s="158" t="s">
        <v>2283</v>
      </c>
      <c r="D2079" s="159">
        <v>44186.0</v>
      </c>
      <c r="E2079" s="157" t="s">
        <v>731</v>
      </c>
      <c r="F2079" s="160">
        <v>411566.1</v>
      </c>
      <c r="G2079" s="160">
        <v>65850.58</v>
      </c>
      <c r="H2079" s="160">
        <f t="shared" si="52"/>
        <v>477416.68</v>
      </c>
      <c r="I2079" s="160"/>
      <c r="J2079" s="161"/>
      <c r="K2079" s="160"/>
      <c r="L2079" s="160">
        <f>+'FACP$'!$H2079-'FACP$'!$I2079-'FACP$'!$K2079</f>
        <v>477416.68</v>
      </c>
      <c r="M2079" s="162" t="s">
        <v>276</v>
      </c>
      <c r="N2079" s="162" t="s">
        <v>554</v>
      </c>
      <c r="O2079" s="164">
        <v>44210.0</v>
      </c>
      <c r="P2079" s="164">
        <f t="shared" si="13"/>
        <v>44196</v>
      </c>
      <c r="Q2079" s="165">
        <f t="shared" si="2"/>
        <v>0</v>
      </c>
      <c r="R2079" s="167"/>
      <c r="S2079" s="167" t="s">
        <v>910</v>
      </c>
      <c r="T2079" s="168">
        <f t="shared" si="3"/>
        <v>477416.68</v>
      </c>
      <c r="U2079" s="168">
        <f t="shared" si="4"/>
        <v>0</v>
      </c>
      <c r="V2079" s="168">
        <f t="shared" si="5"/>
        <v>0</v>
      </c>
      <c r="W2079" s="168">
        <f t="shared" si="6"/>
        <v>0</v>
      </c>
      <c r="X2079" s="168">
        <f t="shared" si="7"/>
        <v>0</v>
      </c>
      <c r="Y2079" s="168">
        <f t="shared" si="8"/>
        <v>0</v>
      </c>
      <c r="Z2079" s="168">
        <f t="shared" si="9"/>
        <v>0</v>
      </c>
    </row>
    <row r="2080" ht="14.25" customHeight="1">
      <c r="A2080" s="157" t="s">
        <v>2287</v>
      </c>
      <c r="B2080" s="158" t="s">
        <v>27</v>
      </c>
      <c r="C2080" s="158" t="s">
        <v>2288</v>
      </c>
      <c r="D2080" s="159">
        <v>44186.0</v>
      </c>
      <c r="E2080" s="157" t="s">
        <v>731</v>
      </c>
      <c r="F2080" s="160">
        <v>500186.87</v>
      </c>
      <c r="G2080" s="160">
        <v>80029.9</v>
      </c>
      <c r="H2080" s="160">
        <f t="shared" si="52"/>
        <v>580216.77</v>
      </c>
      <c r="I2080" s="160"/>
      <c r="J2080" s="161"/>
      <c r="K2080" s="160"/>
      <c r="L2080" s="160">
        <f>+'FACP$'!$H2080-'FACP$'!$I2080-'FACP$'!$K2080</f>
        <v>580216.77</v>
      </c>
      <c r="M2080" s="162" t="s">
        <v>151</v>
      </c>
      <c r="N2080" s="162" t="s">
        <v>554</v>
      </c>
      <c r="O2080" s="164">
        <v>44244.0</v>
      </c>
      <c r="P2080" s="164">
        <f t="shared" si="13"/>
        <v>44196</v>
      </c>
      <c r="Q2080" s="165">
        <f t="shared" si="2"/>
        <v>0</v>
      </c>
      <c r="R2080" s="167"/>
      <c r="S2080" s="167"/>
      <c r="T2080" s="168">
        <f t="shared" si="3"/>
        <v>580216.77</v>
      </c>
      <c r="U2080" s="168">
        <f t="shared" si="4"/>
        <v>0</v>
      </c>
      <c r="V2080" s="168">
        <f t="shared" si="5"/>
        <v>0</v>
      </c>
      <c r="W2080" s="168">
        <f t="shared" si="6"/>
        <v>0</v>
      </c>
      <c r="X2080" s="168">
        <f t="shared" si="7"/>
        <v>0</v>
      </c>
      <c r="Y2080" s="168">
        <f t="shared" si="8"/>
        <v>0</v>
      </c>
      <c r="Z2080" s="168">
        <f t="shared" si="9"/>
        <v>0</v>
      </c>
    </row>
    <row r="2081" ht="14.25" customHeight="1">
      <c r="A2081" s="157" t="s">
        <v>2289</v>
      </c>
      <c r="B2081" s="158" t="s">
        <v>27</v>
      </c>
      <c r="C2081" s="158" t="s">
        <v>2290</v>
      </c>
      <c r="D2081" s="159">
        <v>44186.0</v>
      </c>
      <c r="E2081" s="157" t="s">
        <v>731</v>
      </c>
      <c r="F2081" s="160">
        <v>392062.23</v>
      </c>
      <c r="G2081" s="160">
        <v>62729.96</v>
      </c>
      <c r="H2081" s="160">
        <f t="shared" si="52"/>
        <v>454792.19</v>
      </c>
      <c r="I2081" s="160"/>
      <c r="J2081" s="161"/>
      <c r="K2081" s="160"/>
      <c r="L2081" s="160">
        <f>+'FACP$'!$H2081-'FACP$'!$I2081-'FACP$'!$K2081</f>
        <v>454792.19</v>
      </c>
      <c r="M2081" s="162" t="s">
        <v>151</v>
      </c>
      <c r="N2081" s="162" t="s">
        <v>554</v>
      </c>
      <c r="O2081" s="164">
        <v>44244.0</v>
      </c>
      <c r="P2081" s="164">
        <f t="shared" si="13"/>
        <v>44196</v>
      </c>
      <c r="Q2081" s="165">
        <f t="shared" si="2"/>
        <v>0</v>
      </c>
      <c r="R2081" s="167"/>
      <c r="S2081" s="167"/>
      <c r="T2081" s="168">
        <f t="shared" si="3"/>
        <v>454792.19</v>
      </c>
      <c r="U2081" s="168">
        <f t="shared" si="4"/>
        <v>0</v>
      </c>
      <c r="V2081" s="168">
        <f t="shared" si="5"/>
        <v>0</v>
      </c>
      <c r="W2081" s="168">
        <f t="shared" si="6"/>
        <v>0</v>
      </c>
      <c r="X2081" s="168">
        <f t="shared" si="7"/>
        <v>0</v>
      </c>
      <c r="Y2081" s="168">
        <f t="shared" si="8"/>
        <v>0</v>
      </c>
      <c r="Z2081" s="168">
        <f t="shared" si="9"/>
        <v>0</v>
      </c>
    </row>
    <row r="2082" ht="14.25" customHeight="1">
      <c r="A2082" s="157" t="s">
        <v>2291</v>
      </c>
      <c r="B2082" s="158" t="s">
        <v>27</v>
      </c>
      <c r="C2082" s="158" t="s">
        <v>2292</v>
      </c>
      <c r="D2082" s="159">
        <v>44186.0</v>
      </c>
      <c r="E2082" s="157" t="s">
        <v>731</v>
      </c>
      <c r="F2082" s="160">
        <v>40269.5</v>
      </c>
      <c r="G2082" s="160">
        <v>6443.12</v>
      </c>
      <c r="H2082" s="160">
        <f t="shared" si="52"/>
        <v>46712.62</v>
      </c>
      <c r="I2082" s="160"/>
      <c r="J2082" s="161"/>
      <c r="K2082" s="160"/>
      <c r="L2082" s="160">
        <f>+'FACP$'!$H2082-'FACP$'!$I2082-'FACP$'!$K2082</f>
        <v>46712.62</v>
      </c>
      <c r="M2082" s="162" t="s">
        <v>151</v>
      </c>
      <c r="N2082" s="162" t="s">
        <v>127</v>
      </c>
      <c r="O2082" s="164"/>
      <c r="P2082" s="164">
        <f t="shared" si="13"/>
        <v>44196</v>
      </c>
      <c r="Q2082" s="165">
        <f t="shared" si="2"/>
        <v>0</v>
      </c>
      <c r="R2082" s="167"/>
      <c r="S2082" s="167"/>
      <c r="T2082" s="168">
        <f t="shared" si="3"/>
        <v>46712.62</v>
      </c>
      <c r="U2082" s="168">
        <f t="shared" si="4"/>
        <v>0</v>
      </c>
      <c r="V2082" s="168">
        <f t="shared" si="5"/>
        <v>0</v>
      </c>
      <c r="W2082" s="168">
        <f t="shared" si="6"/>
        <v>0</v>
      </c>
      <c r="X2082" s="168">
        <f t="shared" si="7"/>
        <v>0</v>
      </c>
      <c r="Y2082" s="168">
        <f t="shared" si="8"/>
        <v>0</v>
      </c>
      <c r="Z2082" s="168">
        <f t="shared" si="9"/>
        <v>0</v>
      </c>
    </row>
    <row r="2083" ht="14.25" customHeight="1">
      <c r="A2083" s="157" t="s">
        <v>2293</v>
      </c>
      <c r="B2083" s="158" t="s">
        <v>27</v>
      </c>
      <c r="C2083" s="158" t="s">
        <v>2294</v>
      </c>
      <c r="D2083" s="159">
        <v>44186.0</v>
      </c>
      <c r="E2083" s="157" t="s">
        <v>731</v>
      </c>
      <c r="F2083" s="160">
        <v>43930.34</v>
      </c>
      <c r="G2083" s="160">
        <v>7028.85</v>
      </c>
      <c r="H2083" s="160">
        <f t="shared" si="52"/>
        <v>50959.19</v>
      </c>
      <c r="I2083" s="160"/>
      <c r="J2083" s="161"/>
      <c r="K2083" s="160"/>
      <c r="L2083" s="160">
        <f>+'FACP$'!$H2083-'FACP$'!$I2083-'FACP$'!$K2083</f>
        <v>50959.19</v>
      </c>
      <c r="M2083" s="162" t="s">
        <v>151</v>
      </c>
      <c r="N2083" s="162" t="s">
        <v>127</v>
      </c>
      <c r="O2083" s="164"/>
      <c r="P2083" s="164">
        <f t="shared" si="13"/>
        <v>44196</v>
      </c>
      <c r="Q2083" s="165">
        <f t="shared" si="2"/>
        <v>0</v>
      </c>
      <c r="R2083" s="167"/>
      <c r="S2083" s="167"/>
      <c r="T2083" s="168">
        <f t="shared" si="3"/>
        <v>50959.19</v>
      </c>
      <c r="U2083" s="168">
        <f t="shared" si="4"/>
        <v>0</v>
      </c>
      <c r="V2083" s="168">
        <f t="shared" si="5"/>
        <v>0</v>
      </c>
      <c r="W2083" s="168">
        <f t="shared" si="6"/>
        <v>0</v>
      </c>
      <c r="X2083" s="168">
        <f t="shared" si="7"/>
        <v>0</v>
      </c>
      <c r="Y2083" s="168">
        <f t="shared" si="8"/>
        <v>0</v>
      </c>
      <c r="Z2083" s="168">
        <f t="shared" si="9"/>
        <v>0</v>
      </c>
    </row>
    <row r="2084" ht="14.25" customHeight="1">
      <c r="A2084" s="157" t="s">
        <v>2295</v>
      </c>
      <c r="B2084" s="158" t="s">
        <v>41</v>
      </c>
      <c r="C2084" s="158" t="s">
        <v>2283</v>
      </c>
      <c r="D2084" s="159">
        <v>44188.0</v>
      </c>
      <c r="E2084" s="157" t="s">
        <v>731</v>
      </c>
      <c r="F2084" s="160">
        <v>692390.96</v>
      </c>
      <c r="G2084" s="160">
        <v>110782.55</v>
      </c>
      <c r="H2084" s="160">
        <f t="shared" si="52"/>
        <v>803173.51</v>
      </c>
      <c r="I2084" s="160"/>
      <c r="J2084" s="161"/>
      <c r="K2084" s="160"/>
      <c r="L2084" s="160">
        <f>+'FACP$'!$H2084-'FACP$'!$I2084-'FACP$'!$K2084</f>
        <v>803173.51</v>
      </c>
      <c r="M2084" s="162" t="s">
        <v>121</v>
      </c>
      <c r="N2084" s="162" t="s">
        <v>554</v>
      </c>
      <c r="O2084" s="164">
        <v>44204.0</v>
      </c>
      <c r="P2084" s="164">
        <f t="shared" si="13"/>
        <v>44198</v>
      </c>
      <c r="Q2084" s="165">
        <f t="shared" si="2"/>
        <v>0</v>
      </c>
      <c r="R2084" s="167"/>
      <c r="S2084" s="167" t="s">
        <v>910</v>
      </c>
      <c r="T2084" s="168">
        <f t="shared" si="3"/>
        <v>803173.51</v>
      </c>
      <c r="U2084" s="168">
        <f t="shared" si="4"/>
        <v>0</v>
      </c>
      <c r="V2084" s="168">
        <f t="shared" si="5"/>
        <v>0</v>
      </c>
      <c r="W2084" s="168">
        <f t="shared" si="6"/>
        <v>0</v>
      </c>
      <c r="X2084" s="168">
        <f t="shared" si="7"/>
        <v>0</v>
      </c>
      <c r="Y2084" s="168">
        <f t="shared" si="8"/>
        <v>0</v>
      </c>
      <c r="Z2084" s="168">
        <f t="shared" si="9"/>
        <v>0</v>
      </c>
    </row>
    <row r="2085" ht="14.25" customHeight="1">
      <c r="A2085" s="157" t="s">
        <v>2296</v>
      </c>
      <c r="B2085" s="158" t="s">
        <v>33</v>
      </c>
      <c r="C2085" s="158" t="s">
        <v>2283</v>
      </c>
      <c r="D2085" s="159">
        <v>44188.0</v>
      </c>
      <c r="E2085" s="157" t="s">
        <v>731</v>
      </c>
      <c r="F2085" s="160">
        <v>684224.08</v>
      </c>
      <c r="G2085" s="160">
        <v>109475.85</v>
      </c>
      <c r="H2085" s="160">
        <f t="shared" si="52"/>
        <v>793699.93</v>
      </c>
      <c r="I2085" s="160"/>
      <c r="J2085" s="161"/>
      <c r="K2085" s="160"/>
      <c r="L2085" s="160">
        <f>+'FACP$'!$H2085-'FACP$'!$I2085-'FACP$'!$K2085</f>
        <v>793699.93</v>
      </c>
      <c r="M2085" s="162" t="s">
        <v>958</v>
      </c>
      <c r="N2085" s="162" t="s">
        <v>554</v>
      </c>
      <c r="O2085" s="164">
        <v>44202.0</v>
      </c>
      <c r="P2085" s="164">
        <f t="shared" si="13"/>
        <v>44198</v>
      </c>
      <c r="Q2085" s="165">
        <f t="shared" si="2"/>
        <v>0</v>
      </c>
      <c r="R2085" s="167"/>
      <c r="S2085" s="167"/>
      <c r="T2085" s="168">
        <f t="shared" si="3"/>
        <v>793699.93</v>
      </c>
      <c r="U2085" s="168">
        <f t="shared" si="4"/>
        <v>0</v>
      </c>
      <c r="V2085" s="168">
        <f t="shared" si="5"/>
        <v>0</v>
      </c>
      <c r="W2085" s="168">
        <f t="shared" si="6"/>
        <v>0</v>
      </c>
      <c r="X2085" s="168">
        <f t="shared" si="7"/>
        <v>0</v>
      </c>
      <c r="Y2085" s="168">
        <f t="shared" si="8"/>
        <v>0</v>
      </c>
      <c r="Z2085" s="168">
        <f t="shared" si="9"/>
        <v>0</v>
      </c>
    </row>
    <row r="2086" ht="14.25" customHeight="1">
      <c r="A2086" s="157" t="s">
        <v>2297</v>
      </c>
      <c r="B2086" s="158" t="s">
        <v>18</v>
      </c>
      <c r="C2086" s="158" t="s">
        <v>2283</v>
      </c>
      <c r="D2086" s="159">
        <v>44188.0</v>
      </c>
      <c r="E2086" s="157" t="s">
        <v>731</v>
      </c>
      <c r="F2086" s="160">
        <v>117704.33</v>
      </c>
      <c r="G2086" s="160">
        <v>18832.69</v>
      </c>
      <c r="H2086" s="160">
        <f t="shared" si="52"/>
        <v>136537.02</v>
      </c>
      <c r="I2086" s="160"/>
      <c r="J2086" s="161"/>
      <c r="K2086" s="160"/>
      <c r="L2086" s="160">
        <f>+'FACP$'!$H2086-'FACP$'!$I2086-'FACP$'!$K2086</f>
        <v>136537.02</v>
      </c>
      <c r="M2086" s="162" t="s">
        <v>586</v>
      </c>
      <c r="N2086" s="162" t="s">
        <v>554</v>
      </c>
      <c r="O2086" s="164">
        <v>44194.0</v>
      </c>
      <c r="P2086" s="164">
        <f t="shared" si="13"/>
        <v>44198</v>
      </c>
      <c r="Q2086" s="165">
        <f t="shared" si="2"/>
        <v>0</v>
      </c>
      <c r="R2086" s="167"/>
      <c r="S2086" s="167"/>
      <c r="T2086" s="168">
        <f t="shared" si="3"/>
        <v>136537.02</v>
      </c>
      <c r="U2086" s="168">
        <f t="shared" si="4"/>
        <v>0</v>
      </c>
      <c r="V2086" s="168">
        <f t="shared" si="5"/>
        <v>0</v>
      </c>
      <c r="W2086" s="168">
        <f t="shared" si="6"/>
        <v>0</v>
      </c>
      <c r="X2086" s="168">
        <f t="shared" si="7"/>
        <v>0</v>
      </c>
      <c r="Y2086" s="168">
        <f t="shared" si="8"/>
        <v>0</v>
      </c>
      <c r="Z2086" s="168">
        <f t="shared" si="9"/>
        <v>0</v>
      </c>
    </row>
    <row r="2087" ht="14.25" customHeight="1">
      <c r="A2087" s="157" t="s">
        <v>2298</v>
      </c>
      <c r="B2087" s="158" t="s">
        <v>19</v>
      </c>
      <c r="C2087" s="158" t="s">
        <v>2283</v>
      </c>
      <c r="D2087" s="159">
        <v>44188.0</v>
      </c>
      <c r="E2087" s="157" t="s">
        <v>731</v>
      </c>
      <c r="F2087" s="160">
        <v>161289.68</v>
      </c>
      <c r="G2087" s="160">
        <v>25806.35</v>
      </c>
      <c r="H2087" s="160">
        <f t="shared" si="52"/>
        <v>187096.03</v>
      </c>
      <c r="I2087" s="160"/>
      <c r="J2087" s="161"/>
      <c r="K2087" s="160"/>
      <c r="L2087" s="160">
        <f>+'FACP$'!$H2087-'FACP$'!$I2087-'FACP$'!$K2087</f>
        <v>187096.03</v>
      </c>
      <c r="M2087" s="162" t="s">
        <v>732</v>
      </c>
      <c r="N2087" s="162" t="s">
        <v>554</v>
      </c>
      <c r="O2087" s="164">
        <v>44194.0</v>
      </c>
      <c r="P2087" s="164">
        <f t="shared" si="13"/>
        <v>44198</v>
      </c>
      <c r="Q2087" s="165">
        <f t="shared" si="2"/>
        <v>0</v>
      </c>
      <c r="R2087" s="167"/>
      <c r="S2087" s="167"/>
      <c r="T2087" s="168">
        <f t="shared" si="3"/>
        <v>187096.03</v>
      </c>
      <c r="U2087" s="168">
        <f t="shared" si="4"/>
        <v>0</v>
      </c>
      <c r="V2087" s="168">
        <f t="shared" si="5"/>
        <v>0</v>
      </c>
      <c r="W2087" s="168">
        <f t="shared" si="6"/>
        <v>0</v>
      </c>
      <c r="X2087" s="168">
        <f t="shared" si="7"/>
        <v>0</v>
      </c>
      <c r="Y2087" s="168">
        <f t="shared" si="8"/>
        <v>0</v>
      </c>
      <c r="Z2087" s="168">
        <f t="shared" si="9"/>
        <v>0</v>
      </c>
    </row>
    <row r="2088" ht="14.25" customHeight="1">
      <c r="A2088" s="157" t="s">
        <v>2299</v>
      </c>
      <c r="B2088" s="158" t="s">
        <v>37</v>
      </c>
      <c r="C2088" s="158" t="s">
        <v>2283</v>
      </c>
      <c r="D2088" s="159">
        <v>44188.0</v>
      </c>
      <c r="E2088" s="157" t="s">
        <v>731</v>
      </c>
      <c r="F2088" s="160">
        <v>1591381.21</v>
      </c>
      <c r="G2088" s="160">
        <v>254620.99</v>
      </c>
      <c r="H2088" s="160">
        <f t="shared" si="52"/>
        <v>1846002.2</v>
      </c>
      <c r="I2088" s="160"/>
      <c r="J2088" s="161"/>
      <c r="K2088" s="160"/>
      <c r="L2088" s="160">
        <f>+'FACP$'!$H2088-'FACP$'!$I2088-'FACP$'!$K2088</f>
        <v>1846002.2</v>
      </c>
      <c r="M2088" s="162" t="s">
        <v>116</v>
      </c>
      <c r="N2088" s="162" t="s">
        <v>554</v>
      </c>
      <c r="O2088" s="164">
        <v>44207.0</v>
      </c>
      <c r="P2088" s="164">
        <f t="shared" si="13"/>
        <v>44198</v>
      </c>
      <c r="Q2088" s="165">
        <f t="shared" si="2"/>
        <v>0</v>
      </c>
      <c r="R2088" s="167"/>
      <c r="S2088" s="167"/>
      <c r="T2088" s="168">
        <f t="shared" si="3"/>
        <v>1846002.2</v>
      </c>
      <c r="U2088" s="168">
        <f t="shared" si="4"/>
        <v>0</v>
      </c>
      <c r="V2088" s="168">
        <f t="shared" si="5"/>
        <v>0</v>
      </c>
      <c r="W2088" s="168">
        <f t="shared" si="6"/>
        <v>0</v>
      </c>
      <c r="X2088" s="168">
        <f t="shared" si="7"/>
        <v>0</v>
      </c>
      <c r="Y2088" s="168">
        <f t="shared" si="8"/>
        <v>0</v>
      </c>
      <c r="Z2088" s="168">
        <f t="shared" si="9"/>
        <v>0</v>
      </c>
    </row>
    <row r="2089" ht="14.25" customHeight="1">
      <c r="A2089" s="157" t="s">
        <v>2300</v>
      </c>
      <c r="B2089" s="158" t="s">
        <v>38</v>
      </c>
      <c r="C2089" s="158" t="s">
        <v>2283</v>
      </c>
      <c r="D2089" s="159">
        <v>44188.0</v>
      </c>
      <c r="E2089" s="157" t="s">
        <v>731</v>
      </c>
      <c r="F2089" s="160">
        <v>418750.18</v>
      </c>
      <c r="G2089" s="160">
        <v>67000.03</v>
      </c>
      <c r="H2089" s="160">
        <f t="shared" si="52"/>
        <v>485750.21</v>
      </c>
      <c r="I2089" s="160"/>
      <c r="J2089" s="161"/>
      <c r="K2089" s="160"/>
      <c r="L2089" s="160">
        <f>+'FACP$'!$H2089-'FACP$'!$I2089-'FACP$'!$K2089</f>
        <v>485750.21</v>
      </c>
      <c r="M2089" s="162" t="s">
        <v>145</v>
      </c>
      <c r="N2089" s="162" t="s">
        <v>554</v>
      </c>
      <c r="O2089" s="164">
        <v>44195.0</v>
      </c>
      <c r="P2089" s="164">
        <f t="shared" si="13"/>
        <v>44198</v>
      </c>
      <c r="Q2089" s="165">
        <f t="shared" si="2"/>
        <v>0</v>
      </c>
      <c r="R2089" s="167"/>
      <c r="S2089" s="167"/>
      <c r="T2089" s="168">
        <f t="shared" si="3"/>
        <v>485750.21</v>
      </c>
      <c r="U2089" s="168">
        <f t="shared" si="4"/>
        <v>0</v>
      </c>
      <c r="V2089" s="168">
        <f t="shared" si="5"/>
        <v>0</v>
      </c>
      <c r="W2089" s="168">
        <f t="shared" si="6"/>
        <v>0</v>
      </c>
      <c r="X2089" s="168">
        <f t="shared" si="7"/>
        <v>0</v>
      </c>
      <c r="Y2089" s="168">
        <f t="shared" si="8"/>
        <v>0</v>
      </c>
      <c r="Z2089" s="168">
        <f t="shared" si="9"/>
        <v>0</v>
      </c>
    </row>
    <row r="2090" ht="14.25" customHeight="1">
      <c r="A2090" s="157" t="s">
        <v>2301</v>
      </c>
      <c r="B2090" s="158" t="s">
        <v>27</v>
      </c>
      <c r="C2090" s="158" t="s">
        <v>2292</v>
      </c>
      <c r="D2090" s="159">
        <v>44194.0</v>
      </c>
      <c r="E2090" s="157" t="s">
        <v>731</v>
      </c>
      <c r="F2090" s="160">
        <v>29543.58</v>
      </c>
      <c r="G2090" s="160">
        <v>4726.97</v>
      </c>
      <c r="H2090" s="160">
        <f t="shared" si="52"/>
        <v>34270.55</v>
      </c>
      <c r="I2090" s="160"/>
      <c r="J2090" s="161"/>
      <c r="K2090" s="160"/>
      <c r="L2090" s="160">
        <f>+'FACP$'!$H2090-'FACP$'!$I2090-'FACP$'!$K2090</f>
        <v>34270.55</v>
      </c>
      <c r="M2090" s="162" t="s">
        <v>151</v>
      </c>
      <c r="N2090" s="162" t="s">
        <v>554</v>
      </c>
      <c r="O2090" s="164">
        <v>44231.0</v>
      </c>
      <c r="P2090" s="164">
        <f t="shared" si="13"/>
        <v>44204</v>
      </c>
      <c r="Q2090" s="165">
        <f t="shared" si="2"/>
        <v>0</v>
      </c>
      <c r="R2090" s="167" t="s">
        <v>2302</v>
      </c>
      <c r="S2090" s="167"/>
      <c r="T2090" s="168">
        <f t="shared" si="3"/>
        <v>34270.55</v>
      </c>
      <c r="U2090" s="168">
        <f t="shared" si="4"/>
        <v>0</v>
      </c>
      <c r="V2090" s="168">
        <f t="shared" si="5"/>
        <v>0</v>
      </c>
      <c r="W2090" s="168">
        <f t="shared" si="6"/>
        <v>0</v>
      </c>
      <c r="X2090" s="168">
        <f t="shared" si="7"/>
        <v>0</v>
      </c>
      <c r="Y2090" s="168">
        <f t="shared" si="8"/>
        <v>0</v>
      </c>
      <c r="Z2090" s="168">
        <f t="shared" si="9"/>
        <v>0</v>
      </c>
    </row>
    <row r="2091" ht="14.25" customHeight="1">
      <c r="A2091" s="157" t="s">
        <v>2303</v>
      </c>
      <c r="B2091" s="158" t="s">
        <v>27</v>
      </c>
      <c r="C2091" s="158" t="s">
        <v>2294</v>
      </c>
      <c r="D2091" s="159">
        <v>44194.0</v>
      </c>
      <c r="E2091" s="157" t="s">
        <v>731</v>
      </c>
      <c r="F2091" s="160">
        <v>23152.04</v>
      </c>
      <c r="G2091" s="160">
        <v>3704.33</v>
      </c>
      <c r="H2091" s="160">
        <f t="shared" si="52"/>
        <v>26856.37</v>
      </c>
      <c r="I2091" s="160"/>
      <c r="J2091" s="161"/>
      <c r="K2091" s="160"/>
      <c r="L2091" s="160">
        <f>+'FACP$'!$H2091-'FACP$'!$I2091-'FACP$'!$K2091</f>
        <v>26856.37</v>
      </c>
      <c r="M2091" s="162" t="s">
        <v>151</v>
      </c>
      <c r="N2091" s="162" t="s">
        <v>554</v>
      </c>
      <c r="O2091" s="164">
        <v>44231.0</v>
      </c>
      <c r="P2091" s="164">
        <f t="shared" si="13"/>
        <v>44204</v>
      </c>
      <c r="Q2091" s="165">
        <f t="shared" si="2"/>
        <v>0</v>
      </c>
      <c r="R2091" s="167" t="s">
        <v>2304</v>
      </c>
      <c r="S2091" s="167"/>
      <c r="T2091" s="168">
        <f t="shared" si="3"/>
        <v>26856.37</v>
      </c>
      <c r="U2091" s="168">
        <f t="shared" si="4"/>
        <v>0</v>
      </c>
      <c r="V2091" s="168">
        <f t="shared" si="5"/>
        <v>0</v>
      </c>
      <c r="W2091" s="168">
        <f t="shared" si="6"/>
        <v>0</v>
      </c>
      <c r="X2091" s="168">
        <f t="shared" si="7"/>
        <v>0</v>
      </c>
      <c r="Y2091" s="168">
        <f t="shared" si="8"/>
        <v>0</v>
      </c>
      <c r="Z2091" s="168">
        <f t="shared" si="9"/>
        <v>0</v>
      </c>
    </row>
    <row r="2092" ht="14.25" customHeight="1">
      <c r="A2092" s="157" t="s">
        <v>2305</v>
      </c>
      <c r="B2092" s="158" t="s">
        <v>27</v>
      </c>
      <c r="C2092" s="158" t="s">
        <v>2306</v>
      </c>
      <c r="D2092" s="159">
        <v>44194.0</v>
      </c>
      <c r="E2092" s="157" t="s">
        <v>731</v>
      </c>
      <c r="F2092" s="160">
        <v>213365.23</v>
      </c>
      <c r="G2092" s="160">
        <v>34138.44</v>
      </c>
      <c r="H2092" s="160">
        <f t="shared" si="52"/>
        <v>247503.67</v>
      </c>
      <c r="I2092" s="160"/>
      <c r="J2092" s="161"/>
      <c r="K2092" s="160"/>
      <c r="L2092" s="160">
        <f>+'FACP$'!$H2092-'FACP$'!$I2092-'FACP$'!$K2092</f>
        <v>247503.67</v>
      </c>
      <c r="M2092" s="162" t="s">
        <v>151</v>
      </c>
      <c r="N2092" s="162" t="s">
        <v>554</v>
      </c>
      <c r="O2092" s="164">
        <v>44231.0</v>
      </c>
      <c r="P2092" s="164">
        <f t="shared" si="13"/>
        <v>44204</v>
      </c>
      <c r="Q2092" s="165">
        <f t="shared" si="2"/>
        <v>0</v>
      </c>
      <c r="R2092" s="167"/>
      <c r="S2092" s="167"/>
      <c r="T2092" s="168">
        <f t="shared" si="3"/>
        <v>247503.67</v>
      </c>
      <c r="U2092" s="168">
        <f t="shared" si="4"/>
        <v>0</v>
      </c>
      <c r="V2092" s="168">
        <f t="shared" si="5"/>
        <v>0</v>
      </c>
      <c r="W2092" s="168">
        <f t="shared" si="6"/>
        <v>0</v>
      </c>
      <c r="X2092" s="168">
        <f t="shared" si="7"/>
        <v>0</v>
      </c>
      <c r="Y2092" s="168">
        <f t="shared" si="8"/>
        <v>0</v>
      </c>
      <c r="Z2092" s="168">
        <f t="shared" si="9"/>
        <v>0</v>
      </c>
    </row>
    <row r="2093" ht="14.25" customHeight="1">
      <c r="A2093" s="157" t="s">
        <v>2307</v>
      </c>
      <c r="B2093" s="158" t="s">
        <v>27</v>
      </c>
      <c r="C2093" s="158" t="s">
        <v>2308</v>
      </c>
      <c r="D2093" s="159">
        <v>44194.0</v>
      </c>
      <c r="E2093" s="157" t="s">
        <v>731</v>
      </c>
      <c r="F2093" s="160">
        <v>167350.45</v>
      </c>
      <c r="G2093" s="160">
        <v>26776.07</v>
      </c>
      <c r="H2093" s="160">
        <f t="shared" si="52"/>
        <v>194126.52</v>
      </c>
      <c r="I2093" s="160"/>
      <c r="J2093" s="161"/>
      <c r="K2093" s="160"/>
      <c r="L2093" s="160">
        <f>+'FACP$'!$H2093-'FACP$'!$I2093-'FACP$'!$K2093</f>
        <v>194126.52</v>
      </c>
      <c r="M2093" s="162" t="s">
        <v>151</v>
      </c>
      <c r="N2093" s="162" t="s">
        <v>554</v>
      </c>
      <c r="O2093" s="164">
        <v>44251.0</v>
      </c>
      <c r="P2093" s="164">
        <f t="shared" si="13"/>
        <v>44204</v>
      </c>
      <c r="Q2093" s="165">
        <f t="shared" si="2"/>
        <v>0</v>
      </c>
      <c r="R2093" s="167"/>
      <c r="S2093" s="167"/>
      <c r="T2093" s="168">
        <f t="shared" si="3"/>
        <v>194126.52</v>
      </c>
      <c r="U2093" s="168">
        <f t="shared" si="4"/>
        <v>0</v>
      </c>
      <c r="V2093" s="168">
        <f t="shared" si="5"/>
        <v>0</v>
      </c>
      <c r="W2093" s="168">
        <f t="shared" si="6"/>
        <v>0</v>
      </c>
      <c r="X2093" s="168">
        <f t="shared" si="7"/>
        <v>0</v>
      </c>
      <c r="Y2093" s="168">
        <f t="shared" si="8"/>
        <v>0</v>
      </c>
      <c r="Z2093" s="168">
        <f t="shared" si="9"/>
        <v>0</v>
      </c>
    </row>
    <row r="2094" ht="14.25" customHeight="1">
      <c r="A2094" s="157" t="s">
        <v>2309</v>
      </c>
      <c r="B2094" s="158" t="s">
        <v>27</v>
      </c>
      <c r="C2094" s="158" t="s">
        <v>2310</v>
      </c>
      <c r="D2094" s="159">
        <v>44194.0</v>
      </c>
      <c r="E2094" s="157" t="s">
        <v>731</v>
      </c>
      <c r="F2094" s="160">
        <v>18016.02</v>
      </c>
      <c r="G2094" s="160">
        <v>2882.56</v>
      </c>
      <c r="H2094" s="160">
        <f t="shared" si="52"/>
        <v>20898.58</v>
      </c>
      <c r="I2094" s="160"/>
      <c r="J2094" s="161"/>
      <c r="K2094" s="160"/>
      <c r="L2094" s="160">
        <f>+'FACP$'!$H2094-'FACP$'!$I2094-'FACP$'!$K2094</f>
        <v>20898.58</v>
      </c>
      <c r="M2094" s="162" t="s">
        <v>151</v>
      </c>
      <c r="N2094" s="162" t="s">
        <v>554</v>
      </c>
      <c r="O2094" s="164">
        <v>44231.0</v>
      </c>
      <c r="P2094" s="164">
        <f t="shared" si="13"/>
        <v>44204</v>
      </c>
      <c r="Q2094" s="165">
        <f t="shared" si="2"/>
        <v>0</v>
      </c>
      <c r="R2094" s="167"/>
      <c r="S2094" s="167"/>
      <c r="T2094" s="168">
        <f t="shared" si="3"/>
        <v>20898.58</v>
      </c>
      <c r="U2094" s="168">
        <f t="shared" si="4"/>
        <v>0</v>
      </c>
      <c r="V2094" s="168">
        <f t="shared" si="5"/>
        <v>0</v>
      </c>
      <c r="W2094" s="168">
        <f t="shared" si="6"/>
        <v>0</v>
      </c>
      <c r="X2094" s="168">
        <f t="shared" si="7"/>
        <v>0</v>
      </c>
      <c r="Y2094" s="168">
        <f t="shared" si="8"/>
        <v>0</v>
      </c>
      <c r="Z2094" s="168">
        <f t="shared" si="9"/>
        <v>0</v>
      </c>
    </row>
    <row r="2095" ht="14.25" customHeight="1">
      <c r="A2095" s="157" t="s">
        <v>2311</v>
      </c>
      <c r="B2095" s="158" t="s">
        <v>27</v>
      </c>
      <c r="C2095" s="158" t="s">
        <v>2312</v>
      </c>
      <c r="D2095" s="159">
        <v>44194.0</v>
      </c>
      <c r="E2095" s="157" t="s">
        <v>731</v>
      </c>
      <c r="F2095" s="160">
        <v>14130.65</v>
      </c>
      <c r="G2095" s="160">
        <v>2260.9</v>
      </c>
      <c r="H2095" s="160">
        <f t="shared" si="52"/>
        <v>16391.55</v>
      </c>
      <c r="I2095" s="160"/>
      <c r="J2095" s="161"/>
      <c r="K2095" s="160"/>
      <c r="L2095" s="160">
        <f>+'FACP$'!$H2095-'FACP$'!$I2095-'FACP$'!$K2095</f>
        <v>16391.55</v>
      </c>
      <c r="M2095" s="162" t="s">
        <v>151</v>
      </c>
      <c r="N2095" s="162" t="s">
        <v>554</v>
      </c>
      <c r="O2095" s="164">
        <v>44231.0</v>
      </c>
      <c r="P2095" s="164">
        <f t="shared" si="13"/>
        <v>44204</v>
      </c>
      <c r="Q2095" s="165">
        <f t="shared" si="2"/>
        <v>0</v>
      </c>
      <c r="R2095" s="167"/>
      <c r="S2095" s="167"/>
      <c r="T2095" s="168">
        <f t="shared" si="3"/>
        <v>16391.55</v>
      </c>
      <c r="U2095" s="168">
        <f t="shared" si="4"/>
        <v>0</v>
      </c>
      <c r="V2095" s="168">
        <f t="shared" si="5"/>
        <v>0</v>
      </c>
      <c r="W2095" s="168">
        <f t="shared" si="6"/>
        <v>0</v>
      </c>
      <c r="X2095" s="168">
        <f t="shared" si="7"/>
        <v>0</v>
      </c>
      <c r="Y2095" s="168">
        <f t="shared" si="8"/>
        <v>0</v>
      </c>
      <c r="Z2095" s="168">
        <f t="shared" si="9"/>
        <v>0</v>
      </c>
    </row>
    <row r="2096" ht="14.25" customHeight="1">
      <c r="A2096" s="157" t="s">
        <v>2313</v>
      </c>
      <c r="B2096" s="158" t="s">
        <v>27</v>
      </c>
      <c r="C2096" s="158" t="s">
        <v>2306</v>
      </c>
      <c r="D2096" s="159">
        <v>44194.0</v>
      </c>
      <c r="E2096" s="157" t="s">
        <v>731</v>
      </c>
      <c r="F2096" s="160">
        <v>64082.53</v>
      </c>
      <c r="G2096" s="160">
        <v>10253.2</v>
      </c>
      <c r="H2096" s="160">
        <f t="shared" si="52"/>
        <v>74335.73</v>
      </c>
      <c r="I2096" s="160"/>
      <c r="J2096" s="161"/>
      <c r="K2096" s="160"/>
      <c r="L2096" s="160">
        <f>+'FACP$'!$H2096-'FACP$'!$I2096-'FACP$'!$K2096</f>
        <v>74335.73</v>
      </c>
      <c r="M2096" s="162" t="s">
        <v>158</v>
      </c>
      <c r="N2096" s="162" t="s">
        <v>554</v>
      </c>
      <c r="O2096" s="164">
        <v>44229.0</v>
      </c>
      <c r="P2096" s="164">
        <f t="shared" si="13"/>
        <v>44204</v>
      </c>
      <c r="Q2096" s="165">
        <f t="shared" si="2"/>
        <v>0</v>
      </c>
      <c r="R2096" s="167"/>
      <c r="S2096" s="167"/>
      <c r="T2096" s="168">
        <f t="shared" si="3"/>
        <v>74335.73</v>
      </c>
      <c r="U2096" s="168">
        <f t="shared" si="4"/>
        <v>0</v>
      </c>
      <c r="V2096" s="168">
        <f t="shared" si="5"/>
        <v>0</v>
      </c>
      <c r="W2096" s="168">
        <f t="shared" si="6"/>
        <v>0</v>
      </c>
      <c r="X2096" s="168">
        <f t="shared" si="7"/>
        <v>0</v>
      </c>
      <c r="Y2096" s="168">
        <f t="shared" si="8"/>
        <v>0</v>
      </c>
      <c r="Z2096" s="168">
        <f t="shared" si="9"/>
        <v>0</v>
      </c>
    </row>
    <row r="2097" ht="14.25" customHeight="1">
      <c r="A2097" s="157" t="s">
        <v>2314</v>
      </c>
      <c r="B2097" s="158" t="s">
        <v>27</v>
      </c>
      <c r="C2097" s="158" t="s">
        <v>2308</v>
      </c>
      <c r="D2097" s="159">
        <v>44194.0</v>
      </c>
      <c r="E2097" s="157" t="s">
        <v>731</v>
      </c>
      <c r="F2097" s="160">
        <v>40273.19</v>
      </c>
      <c r="G2097" s="160">
        <v>6443.71</v>
      </c>
      <c r="H2097" s="160">
        <f t="shared" si="52"/>
        <v>46716.9</v>
      </c>
      <c r="I2097" s="160"/>
      <c r="J2097" s="161"/>
      <c r="K2097" s="160"/>
      <c r="L2097" s="160">
        <f>+'FACP$'!$H2097-'FACP$'!$I2097-'FACP$'!$K2097</f>
        <v>46716.9</v>
      </c>
      <c r="M2097" s="162" t="s">
        <v>158</v>
      </c>
      <c r="N2097" s="162" t="s">
        <v>554</v>
      </c>
      <c r="O2097" s="164">
        <v>44229.0</v>
      </c>
      <c r="P2097" s="164">
        <f t="shared" si="13"/>
        <v>44204</v>
      </c>
      <c r="Q2097" s="165">
        <f t="shared" si="2"/>
        <v>0</v>
      </c>
      <c r="R2097" s="167"/>
      <c r="S2097" s="167"/>
      <c r="T2097" s="168">
        <f t="shared" si="3"/>
        <v>46716.9</v>
      </c>
      <c r="U2097" s="168">
        <f t="shared" si="4"/>
        <v>0</v>
      </c>
      <c r="V2097" s="168">
        <f t="shared" si="5"/>
        <v>0</v>
      </c>
      <c r="W2097" s="168">
        <f t="shared" si="6"/>
        <v>0</v>
      </c>
      <c r="X2097" s="168">
        <f t="shared" si="7"/>
        <v>0</v>
      </c>
      <c r="Y2097" s="168">
        <f t="shared" si="8"/>
        <v>0</v>
      </c>
      <c r="Z2097" s="168">
        <f t="shared" si="9"/>
        <v>0</v>
      </c>
    </row>
    <row r="2098" ht="14.25" customHeight="1">
      <c r="A2098" s="157" t="s">
        <v>2315</v>
      </c>
      <c r="B2098" s="158" t="s">
        <v>43</v>
      </c>
      <c r="C2098" s="158" t="s">
        <v>2316</v>
      </c>
      <c r="D2098" s="159">
        <v>44195.0</v>
      </c>
      <c r="E2098" s="157" t="s">
        <v>731</v>
      </c>
      <c r="F2098" s="160">
        <v>1410634.75</v>
      </c>
      <c r="G2098" s="160">
        <v>225701.56</v>
      </c>
      <c r="H2098" s="160">
        <f t="shared" si="52"/>
        <v>1636336.31</v>
      </c>
      <c r="I2098" s="160"/>
      <c r="J2098" s="161"/>
      <c r="K2098" s="160"/>
      <c r="L2098" s="160">
        <f>+'FACP$'!$H2098-'FACP$'!$I2098-'FACP$'!$K2098</f>
        <v>1636336.31</v>
      </c>
      <c r="M2098" s="162" t="s">
        <v>43</v>
      </c>
      <c r="N2098" s="162" t="s">
        <v>554</v>
      </c>
      <c r="O2098" s="164">
        <v>44224.0</v>
      </c>
      <c r="P2098" s="164">
        <f t="shared" si="13"/>
        <v>44205</v>
      </c>
      <c r="Q2098" s="165">
        <f t="shared" si="2"/>
        <v>0</v>
      </c>
      <c r="R2098" s="167"/>
      <c r="S2098" s="167" t="s">
        <v>910</v>
      </c>
      <c r="T2098" s="168">
        <f t="shared" si="3"/>
        <v>1636336.31</v>
      </c>
      <c r="U2098" s="168">
        <f t="shared" si="4"/>
        <v>0</v>
      </c>
      <c r="V2098" s="168">
        <f t="shared" si="5"/>
        <v>0</v>
      </c>
      <c r="W2098" s="168">
        <f t="shared" si="6"/>
        <v>0</v>
      </c>
      <c r="X2098" s="168">
        <f t="shared" si="7"/>
        <v>0</v>
      </c>
      <c r="Y2098" s="168">
        <f t="shared" si="8"/>
        <v>0</v>
      </c>
      <c r="Z2098" s="168">
        <f t="shared" si="9"/>
        <v>0</v>
      </c>
    </row>
    <row r="2099" ht="14.25" customHeight="1">
      <c r="A2099" s="157" t="s">
        <v>2317</v>
      </c>
      <c r="B2099" s="158" t="s">
        <v>43</v>
      </c>
      <c r="C2099" s="158" t="s">
        <v>2318</v>
      </c>
      <c r="D2099" s="159">
        <v>44202.0</v>
      </c>
      <c r="E2099" s="157" t="s">
        <v>731</v>
      </c>
      <c r="F2099" s="160">
        <v>212110.66</v>
      </c>
      <c r="G2099" s="160">
        <v>33937.71</v>
      </c>
      <c r="H2099" s="160">
        <f t="shared" si="52"/>
        <v>246048.37</v>
      </c>
      <c r="I2099" s="160"/>
      <c r="J2099" s="161"/>
      <c r="K2099" s="160"/>
      <c r="L2099" s="160">
        <f>+'FACP$'!$H2099-'FACP$'!$I2099-'FACP$'!$K2099</f>
        <v>246048.37</v>
      </c>
      <c r="M2099" s="162" t="s">
        <v>43</v>
      </c>
      <c r="N2099" s="162" t="s">
        <v>554</v>
      </c>
      <c r="O2099" s="164">
        <v>44224.0</v>
      </c>
      <c r="P2099" s="164">
        <f t="shared" si="13"/>
        <v>44212</v>
      </c>
      <c r="Q2099" s="165">
        <f t="shared" si="2"/>
        <v>0</v>
      </c>
      <c r="R2099" s="167"/>
      <c r="S2099" s="167" t="s">
        <v>910</v>
      </c>
      <c r="T2099" s="168">
        <f t="shared" si="3"/>
        <v>246048.37</v>
      </c>
      <c r="U2099" s="168">
        <f t="shared" si="4"/>
        <v>0</v>
      </c>
      <c r="V2099" s="168">
        <f t="shared" si="5"/>
        <v>0</v>
      </c>
      <c r="W2099" s="168">
        <f t="shared" si="6"/>
        <v>0</v>
      </c>
      <c r="X2099" s="168">
        <f t="shared" si="7"/>
        <v>0</v>
      </c>
      <c r="Y2099" s="168">
        <f t="shared" si="8"/>
        <v>0</v>
      </c>
      <c r="Z2099" s="168">
        <f t="shared" si="9"/>
        <v>0</v>
      </c>
    </row>
    <row r="2100" ht="14.25" customHeight="1">
      <c r="A2100" s="157" t="s">
        <v>2319</v>
      </c>
      <c r="B2100" s="158" t="s">
        <v>1127</v>
      </c>
      <c r="C2100" s="158" t="s">
        <v>2320</v>
      </c>
      <c r="D2100" s="159">
        <v>44202.0</v>
      </c>
      <c r="E2100" s="157" t="s">
        <v>731</v>
      </c>
      <c r="F2100" s="160">
        <v>603445.4</v>
      </c>
      <c r="G2100" s="160">
        <v>96551.26</v>
      </c>
      <c r="H2100" s="160">
        <f t="shared" si="52"/>
        <v>699996.66</v>
      </c>
      <c r="I2100" s="160"/>
      <c r="J2100" s="161"/>
      <c r="K2100" s="160"/>
      <c r="L2100" s="160">
        <f>+'FACP$'!$H2100-'FACP$'!$I2100-'FACP$'!$K2100</f>
        <v>699996.66</v>
      </c>
      <c r="M2100" s="162" t="s">
        <v>580</v>
      </c>
      <c r="N2100" s="162" t="s">
        <v>554</v>
      </c>
      <c r="O2100" s="164">
        <v>44210.0</v>
      </c>
      <c r="P2100" s="164">
        <f t="shared" si="13"/>
        <v>44212</v>
      </c>
      <c r="Q2100" s="165">
        <f t="shared" si="2"/>
        <v>0</v>
      </c>
      <c r="R2100" s="167"/>
      <c r="S2100" s="167"/>
      <c r="T2100" s="168">
        <f t="shared" si="3"/>
        <v>699996.66</v>
      </c>
      <c r="U2100" s="168">
        <f t="shared" si="4"/>
        <v>0</v>
      </c>
      <c r="V2100" s="168">
        <f t="shared" si="5"/>
        <v>0</v>
      </c>
      <c r="W2100" s="168">
        <f t="shared" si="6"/>
        <v>0</v>
      </c>
      <c r="X2100" s="168">
        <f t="shared" si="7"/>
        <v>0</v>
      </c>
      <c r="Y2100" s="168">
        <f t="shared" si="8"/>
        <v>0</v>
      </c>
      <c r="Z2100" s="168">
        <f t="shared" si="9"/>
        <v>0</v>
      </c>
    </row>
    <row r="2101" ht="14.25" customHeight="1">
      <c r="A2101" s="157" t="s">
        <v>2321</v>
      </c>
      <c r="B2101" s="158" t="s">
        <v>36</v>
      </c>
      <c r="C2101" s="158" t="s">
        <v>2320</v>
      </c>
      <c r="D2101" s="159">
        <v>44202.0</v>
      </c>
      <c r="E2101" s="157" t="s">
        <v>731</v>
      </c>
      <c r="F2101" s="160">
        <v>81503.42</v>
      </c>
      <c r="G2101" s="160">
        <v>13040.55</v>
      </c>
      <c r="H2101" s="160">
        <f t="shared" si="52"/>
        <v>94543.97</v>
      </c>
      <c r="I2101" s="160"/>
      <c r="J2101" s="161"/>
      <c r="K2101" s="160"/>
      <c r="L2101" s="160">
        <f>+'FACP$'!$H2101-'FACP$'!$I2101-'FACP$'!$K2101</f>
        <v>94543.97</v>
      </c>
      <c r="M2101" s="162" t="s">
        <v>278</v>
      </c>
      <c r="N2101" s="162" t="s">
        <v>554</v>
      </c>
      <c r="O2101" s="164">
        <v>44267.0</v>
      </c>
      <c r="P2101" s="164">
        <f t="shared" si="13"/>
        <v>44212</v>
      </c>
      <c r="Q2101" s="165">
        <f t="shared" si="2"/>
        <v>0</v>
      </c>
      <c r="R2101" s="167"/>
      <c r="S2101" s="167"/>
      <c r="T2101" s="168">
        <f t="shared" si="3"/>
        <v>94543.97</v>
      </c>
      <c r="U2101" s="168">
        <f t="shared" si="4"/>
        <v>0</v>
      </c>
      <c r="V2101" s="168">
        <f t="shared" si="5"/>
        <v>0</v>
      </c>
      <c r="W2101" s="168">
        <f t="shared" si="6"/>
        <v>0</v>
      </c>
      <c r="X2101" s="168">
        <f t="shared" si="7"/>
        <v>0</v>
      </c>
      <c r="Y2101" s="168">
        <f t="shared" si="8"/>
        <v>0</v>
      </c>
      <c r="Z2101" s="168">
        <f t="shared" si="9"/>
        <v>0</v>
      </c>
    </row>
    <row r="2102" ht="14.25" customHeight="1">
      <c r="A2102" s="157" t="s">
        <v>2322</v>
      </c>
      <c r="B2102" s="158" t="s">
        <v>35</v>
      </c>
      <c r="C2102" s="158" t="s">
        <v>2320</v>
      </c>
      <c r="D2102" s="159">
        <v>44202.0</v>
      </c>
      <c r="E2102" s="157" t="s">
        <v>731</v>
      </c>
      <c r="F2102" s="160">
        <v>644576.16</v>
      </c>
      <c r="G2102" s="160">
        <v>103132.19</v>
      </c>
      <c r="H2102" s="160">
        <f t="shared" si="52"/>
        <v>747708.35</v>
      </c>
      <c r="I2102" s="160"/>
      <c r="J2102" s="161"/>
      <c r="K2102" s="160"/>
      <c r="L2102" s="160">
        <f>+'FACP$'!$H2102-'FACP$'!$I2102-'FACP$'!$K2102</f>
        <v>747708.35</v>
      </c>
      <c r="M2102" s="162" t="s">
        <v>276</v>
      </c>
      <c r="N2102" s="162" t="s">
        <v>554</v>
      </c>
      <c r="O2102" s="164">
        <v>44230.0</v>
      </c>
      <c r="P2102" s="164">
        <f t="shared" si="13"/>
        <v>44212</v>
      </c>
      <c r="Q2102" s="165">
        <f t="shared" si="2"/>
        <v>0</v>
      </c>
      <c r="R2102" s="167"/>
      <c r="S2102" s="167" t="s">
        <v>910</v>
      </c>
      <c r="T2102" s="168">
        <f t="shared" si="3"/>
        <v>747708.35</v>
      </c>
      <c r="U2102" s="168">
        <f t="shared" si="4"/>
        <v>0</v>
      </c>
      <c r="V2102" s="168">
        <f t="shared" si="5"/>
        <v>0</v>
      </c>
      <c r="W2102" s="168">
        <f t="shared" si="6"/>
        <v>0</v>
      </c>
      <c r="X2102" s="168">
        <f t="shared" si="7"/>
        <v>0</v>
      </c>
      <c r="Y2102" s="168">
        <f t="shared" si="8"/>
        <v>0</v>
      </c>
      <c r="Z2102" s="168">
        <f t="shared" si="9"/>
        <v>0</v>
      </c>
    </row>
    <row r="2103" ht="14.25" customHeight="1">
      <c r="A2103" s="157" t="s">
        <v>2323</v>
      </c>
      <c r="B2103" s="158" t="s">
        <v>33</v>
      </c>
      <c r="C2103" s="158" t="s">
        <v>2320</v>
      </c>
      <c r="D2103" s="159">
        <v>44202.0</v>
      </c>
      <c r="E2103" s="157" t="s">
        <v>731</v>
      </c>
      <c r="F2103" s="160">
        <v>913989.41</v>
      </c>
      <c r="G2103" s="160">
        <v>146238.31</v>
      </c>
      <c r="H2103" s="160">
        <f t="shared" si="52"/>
        <v>1060227.72</v>
      </c>
      <c r="I2103" s="160"/>
      <c r="J2103" s="161"/>
      <c r="K2103" s="160"/>
      <c r="L2103" s="160">
        <f>+'FACP$'!$H2103-'FACP$'!$I2103-'FACP$'!$K2103</f>
        <v>1060227.72</v>
      </c>
      <c r="M2103" s="162" t="s">
        <v>33</v>
      </c>
      <c r="N2103" s="162" t="s">
        <v>554</v>
      </c>
      <c r="O2103" s="164">
        <v>44215.0</v>
      </c>
      <c r="P2103" s="164">
        <f t="shared" si="13"/>
        <v>44212</v>
      </c>
      <c r="Q2103" s="165">
        <f t="shared" si="2"/>
        <v>0</v>
      </c>
      <c r="R2103" s="167"/>
      <c r="S2103" s="167"/>
      <c r="T2103" s="168">
        <f t="shared" si="3"/>
        <v>1060227.72</v>
      </c>
      <c r="U2103" s="168">
        <f t="shared" si="4"/>
        <v>0</v>
      </c>
      <c r="V2103" s="168">
        <f t="shared" si="5"/>
        <v>0</v>
      </c>
      <c r="W2103" s="168">
        <f t="shared" si="6"/>
        <v>0</v>
      </c>
      <c r="X2103" s="168">
        <f t="shared" si="7"/>
        <v>0</v>
      </c>
      <c r="Y2103" s="168">
        <f t="shared" si="8"/>
        <v>0</v>
      </c>
      <c r="Z2103" s="168">
        <f t="shared" si="9"/>
        <v>0</v>
      </c>
    </row>
    <row r="2104" ht="14.25" customHeight="1">
      <c r="A2104" s="157" t="s">
        <v>2324</v>
      </c>
      <c r="B2104" s="158" t="s">
        <v>27</v>
      </c>
      <c r="C2104" s="158" t="s">
        <v>2325</v>
      </c>
      <c r="D2104" s="159">
        <v>44202.0</v>
      </c>
      <c r="E2104" s="157" t="s">
        <v>731</v>
      </c>
      <c r="F2104" s="160">
        <v>58891.52</v>
      </c>
      <c r="G2104" s="160">
        <v>9422.64</v>
      </c>
      <c r="H2104" s="160">
        <f t="shared" si="52"/>
        <v>68314.16</v>
      </c>
      <c r="I2104" s="160"/>
      <c r="J2104" s="161"/>
      <c r="K2104" s="160"/>
      <c r="L2104" s="160">
        <f>+'FACP$'!$H2104-'FACP$'!$I2104-'FACP$'!$K2104</f>
        <v>68314.16</v>
      </c>
      <c r="M2104" s="162" t="s">
        <v>158</v>
      </c>
      <c r="N2104" s="162" t="s">
        <v>127</v>
      </c>
      <c r="O2104" s="164"/>
      <c r="P2104" s="164">
        <f t="shared" si="13"/>
        <v>44212</v>
      </c>
      <c r="Q2104" s="165">
        <f t="shared" si="2"/>
        <v>0</v>
      </c>
      <c r="R2104" s="167"/>
      <c r="S2104" s="167"/>
      <c r="T2104" s="168">
        <f t="shared" si="3"/>
        <v>68314.16</v>
      </c>
      <c r="U2104" s="168">
        <f t="shared" si="4"/>
        <v>0</v>
      </c>
      <c r="V2104" s="168">
        <f t="shared" si="5"/>
        <v>0</v>
      </c>
      <c r="W2104" s="168">
        <f t="shared" si="6"/>
        <v>0</v>
      </c>
      <c r="X2104" s="168">
        <f t="shared" si="7"/>
        <v>0</v>
      </c>
      <c r="Y2104" s="168">
        <f t="shared" si="8"/>
        <v>0</v>
      </c>
      <c r="Z2104" s="168">
        <f t="shared" si="9"/>
        <v>0</v>
      </c>
    </row>
    <row r="2105" ht="14.25" customHeight="1">
      <c r="A2105" s="157" t="s">
        <v>2326</v>
      </c>
      <c r="B2105" s="158" t="s">
        <v>127</v>
      </c>
      <c r="C2105" s="158"/>
      <c r="D2105" s="159"/>
      <c r="E2105" s="157"/>
      <c r="F2105" s="160"/>
      <c r="G2105" s="160"/>
      <c r="H2105" s="160">
        <f t="shared" si="52"/>
        <v>0</v>
      </c>
      <c r="I2105" s="160"/>
      <c r="J2105" s="161"/>
      <c r="K2105" s="160"/>
      <c r="L2105" s="160">
        <f>+'FACP$'!$H2105-'FACP$'!$I2105-'FACP$'!$K2105</f>
        <v>0</v>
      </c>
      <c r="M2105" s="162"/>
      <c r="N2105" s="162" t="s">
        <v>127</v>
      </c>
      <c r="O2105" s="164"/>
      <c r="P2105" s="164">
        <f t="shared" si="13"/>
        <v>10</v>
      </c>
      <c r="Q2105" s="165">
        <f t="shared" si="2"/>
        <v>0</v>
      </c>
      <c r="R2105" s="167"/>
      <c r="S2105" s="167"/>
      <c r="T2105" s="168">
        <f t="shared" si="3"/>
        <v>0</v>
      </c>
      <c r="U2105" s="168">
        <f t="shared" si="4"/>
        <v>0</v>
      </c>
      <c r="V2105" s="168">
        <f t="shared" si="5"/>
        <v>0</v>
      </c>
      <c r="W2105" s="168">
        <f t="shared" si="6"/>
        <v>0</v>
      </c>
      <c r="X2105" s="168">
        <f t="shared" si="7"/>
        <v>0</v>
      </c>
      <c r="Y2105" s="168">
        <f t="shared" si="8"/>
        <v>0</v>
      </c>
      <c r="Z2105" s="168">
        <f t="shared" si="9"/>
        <v>0</v>
      </c>
    </row>
    <row r="2106" ht="14.25" customHeight="1">
      <c r="A2106" s="157" t="s">
        <v>2327</v>
      </c>
      <c r="B2106" s="158" t="s">
        <v>127</v>
      </c>
      <c r="C2106" s="158"/>
      <c r="D2106" s="159"/>
      <c r="E2106" s="157"/>
      <c r="F2106" s="160"/>
      <c r="G2106" s="160"/>
      <c r="H2106" s="160">
        <f t="shared" si="52"/>
        <v>0</v>
      </c>
      <c r="I2106" s="160"/>
      <c r="J2106" s="161"/>
      <c r="K2106" s="160"/>
      <c r="L2106" s="160">
        <f>+'FACP$'!$H2106-'FACP$'!$I2106-'FACP$'!$K2106</f>
        <v>0</v>
      </c>
      <c r="M2106" s="162"/>
      <c r="N2106" s="162" t="s">
        <v>127</v>
      </c>
      <c r="O2106" s="164"/>
      <c r="P2106" s="164">
        <f t="shared" si="13"/>
        <v>10</v>
      </c>
      <c r="Q2106" s="165">
        <f t="shared" si="2"/>
        <v>0</v>
      </c>
      <c r="R2106" s="167"/>
      <c r="S2106" s="167"/>
      <c r="T2106" s="168">
        <f t="shared" si="3"/>
        <v>0</v>
      </c>
      <c r="U2106" s="168">
        <f t="shared" si="4"/>
        <v>0</v>
      </c>
      <c r="V2106" s="168">
        <f t="shared" si="5"/>
        <v>0</v>
      </c>
      <c r="W2106" s="168">
        <f t="shared" si="6"/>
        <v>0</v>
      </c>
      <c r="X2106" s="168">
        <f t="shared" si="7"/>
        <v>0</v>
      </c>
      <c r="Y2106" s="168">
        <f t="shared" si="8"/>
        <v>0</v>
      </c>
      <c r="Z2106" s="168">
        <f t="shared" si="9"/>
        <v>0</v>
      </c>
    </row>
    <row r="2107" ht="14.25" customHeight="1">
      <c r="A2107" s="157" t="s">
        <v>2328</v>
      </c>
      <c r="B2107" s="158" t="s">
        <v>127</v>
      </c>
      <c r="C2107" s="158"/>
      <c r="D2107" s="159"/>
      <c r="E2107" s="157"/>
      <c r="F2107" s="160"/>
      <c r="G2107" s="160"/>
      <c r="H2107" s="160">
        <f t="shared" si="52"/>
        <v>0</v>
      </c>
      <c r="I2107" s="160"/>
      <c r="J2107" s="161"/>
      <c r="K2107" s="160"/>
      <c r="L2107" s="160">
        <f>+'FACP$'!$H2107-'FACP$'!$I2107-'FACP$'!$K2107</f>
        <v>0</v>
      </c>
      <c r="M2107" s="162"/>
      <c r="N2107" s="162" t="s">
        <v>127</v>
      </c>
      <c r="O2107" s="164"/>
      <c r="P2107" s="164">
        <f t="shared" si="13"/>
        <v>10</v>
      </c>
      <c r="Q2107" s="165">
        <f t="shared" si="2"/>
        <v>0</v>
      </c>
      <c r="R2107" s="167"/>
      <c r="S2107" s="167"/>
      <c r="T2107" s="168">
        <f t="shared" si="3"/>
        <v>0</v>
      </c>
      <c r="U2107" s="168">
        <f t="shared" si="4"/>
        <v>0</v>
      </c>
      <c r="V2107" s="168">
        <f t="shared" si="5"/>
        <v>0</v>
      </c>
      <c r="W2107" s="168">
        <f t="shared" si="6"/>
        <v>0</v>
      </c>
      <c r="X2107" s="168">
        <f t="shared" si="7"/>
        <v>0</v>
      </c>
      <c r="Y2107" s="168">
        <f t="shared" si="8"/>
        <v>0</v>
      </c>
      <c r="Z2107" s="168">
        <f t="shared" si="9"/>
        <v>0</v>
      </c>
    </row>
    <row r="2108" ht="14.25" customHeight="1">
      <c r="A2108" s="157" t="s">
        <v>2329</v>
      </c>
      <c r="B2108" s="158" t="s">
        <v>27</v>
      </c>
      <c r="C2108" s="158" t="s">
        <v>2325</v>
      </c>
      <c r="D2108" s="159">
        <v>44202.0</v>
      </c>
      <c r="E2108" s="157" t="s">
        <v>731</v>
      </c>
      <c r="F2108" s="160">
        <v>58891.52</v>
      </c>
      <c r="G2108" s="160">
        <v>9422.64</v>
      </c>
      <c r="H2108" s="160">
        <f t="shared" si="52"/>
        <v>68314.16</v>
      </c>
      <c r="I2108" s="160"/>
      <c r="J2108" s="161"/>
      <c r="K2108" s="160"/>
      <c r="L2108" s="160">
        <f>+'FACP$'!$H2108-'FACP$'!$I2108-'FACP$'!$K2108</f>
        <v>68314.16</v>
      </c>
      <c r="M2108" s="162" t="s">
        <v>158</v>
      </c>
      <c r="N2108" s="162" t="s">
        <v>554</v>
      </c>
      <c r="O2108" s="164">
        <v>44244.0</v>
      </c>
      <c r="P2108" s="164">
        <f t="shared" si="13"/>
        <v>44212</v>
      </c>
      <c r="Q2108" s="165">
        <f t="shared" si="2"/>
        <v>0</v>
      </c>
      <c r="R2108" s="220" t="s">
        <v>2330</v>
      </c>
      <c r="S2108" s="167"/>
      <c r="T2108" s="168">
        <f t="shared" si="3"/>
        <v>68314.16</v>
      </c>
      <c r="U2108" s="168">
        <f t="shared" si="4"/>
        <v>0</v>
      </c>
      <c r="V2108" s="168">
        <f t="shared" si="5"/>
        <v>0</v>
      </c>
      <c r="W2108" s="168">
        <f t="shared" si="6"/>
        <v>0</v>
      </c>
      <c r="X2108" s="168">
        <f t="shared" si="7"/>
        <v>0</v>
      </c>
      <c r="Y2108" s="168">
        <f t="shared" si="8"/>
        <v>0</v>
      </c>
      <c r="Z2108" s="168">
        <f t="shared" si="9"/>
        <v>0</v>
      </c>
    </row>
    <row r="2109" ht="14.25" customHeight="1">
      <c r="A2109" s="157" t="s">
        <v>2331</v>
      </c>
      <c r="B2109" s="158" t="s">
        <v>27</v>
      </c>
      <c r="C2109" s="158" t="s">
        <v>2332</v>
      </c>
      <c r="D2109" s="159">
        <v>44202.0</v>
      </c>
      <c r="E2109" s="157" t="s">
        <v>731</v>
      </c>
      <c r="F2109" s="160">
        <v>37165.42</v>
      </c>
      <c r="G2109" s="160">
        <v>5946.47</v>
      </c>
      <c r="H2109" s="160">
        <f t="shared" si="52"/>
        <v>43111.89</v>
      </c>
      <c r="I2109" s="160"/>
      <c r="J2109" s="161"/>
      <c r="K2109" s="160"/>
      <c r="L2109" s="160">
        <f>+'FACP$'!$H2109-'FACP$'!$I2109-'FACP$'!$K2109</f>
        <v>43111.89</v>
      </c>
      <c r="M2109" s="162" t="s">
        <v>158</v>
      </c>
      <c r="N2109" s="162" t="s">
        <v>554</v>
      </c>
      <c r="O2109" s="164">
        <v>44244.0</v>
      </c>
      <c r="P2109" s="164">
        <f t="shared" si="13"/>
        <v>44212</v>
      </c>
      <c r="Q2109" s="165">
        <f t="shared" si="2"/>
        <v>0</v>
      </c>
      <c r="R2109" s="220" t="s">
        <v>2333</v>
      </c>
      <c r="S2109" s="167"/>
      <c r="T2109" s="168">
        <f t="shared" si="3"/>
        <v>43111.89</v>
      </c>
      <c r="U2109" s="168">
        <f t="shared" si="4"/>
        <v>0</v>
      </c>
      <c r="V2109" s="168">
        <f t="shared" si="5"/>
        <v>0</v>
      </c>
      <c r="W2109" s="168">
        <f t="shared" si="6"/>
        <v>0</v>
      </c>
      <c r="X2109" s="168">
        <f t="shared" si="7"/>
        <v>0</v>
      </c>
      <c r="Y2109" s="168">
        <f t="shared" si="8"/>
        <v>0</v>
      </c>
      <c r="Z2109" s="168">
        <f t="shared" si="9"/>
        <v>0</v>
      </c>
    </row>
    <row r="2110" ht="14.25" customHeight="1">
      <c r="A2110" s="157" t="s">
        <v>2334</v>
      </c>
      <c r="B2110" s="158" t="s">
        <v>27</v>
      </c>
      <c r="C2110" s="158" t="s">
        <v>2325</v>
      </c>
      <c r="D2110" s="159">
        <v>44202.0</v>
      </c>
      <c r="E2110" s="157" t="s">
        <v>731</v>
      </c>
      <c r="F2110" s="160">
        <v>26633.39</v>
      </c>
      <c r="G2110" s="160">
        <v>4261.34</v>
      </c>
      <c r="H2110" s="160">
        <f t="shared" si="52"/>
        <v>30894.73</v>
      </c>
      <c r="I2110" s="160"/>
      <c r="J2110" s="161"/>
      <c r="K2110" s="160"/>
      <c r="L2110" s="160">
        <f>+'FACP$'!$H2110-'FACP$'!$I2110-'FACP$'!$K2110</f>
        <v>30894.73</v>
      </c>
      <c r="M2110" s="162" t="s">
        <v>151</v>
      </c>
      <c r="N2110" s="162" t="s">
        <v>554</v>
      </c>
      <c r="O2110" s="164">
        <v>44251.0</v>
      </c>
      <c r="P2110" s="164">
        <f t="shared" si="13"/>
        <v>44212</v>
      </c>
      <c r="Q2110" s="165">
        <f t="shared" si="2"/>
        <v>0</v>
      </c>
      <c r="R2110" s="167"/>
      <c r="S2110" s="167"/>
      <c r="T2110" s="168">
        <f t="shared" si="3"/>
        <v>30894.73</v>
      </c>
      <c r="U2110" s="168">
        <f t="shared" si="4"/>
        <v>0</v>
      </c>
      <c r="V2110" s="168">
        <f t="shared" si="5"/>
        <v>0</v>
      </c>
      <c r="W2110" s="168">
        <f t="shared" si="6"/>
        <v>0</v>
      </c>
      <c r="X2110" s="168">
        <f t="shared" si="7"/>
        <v>0</v>
      </c>
      <c r="Y2110" s="168">
        <f t="shared" si="8"/>
        <v>0</v>
      </c>
      <c r="Z2110" s="168">
        <f t="shared" si="9"/>
        <v>0</v>
      </c>
    </row>
    <row r="2111" ht="14.25" customHeight="1">
      <c r="A2111" s="157" t="s">
        <v>2335</v>
      </c>
      <c r="B2111" s="158" t="s">
        <v>27</v>
      </c>
      <c r="C2111" s="158" t="s">
        <v>2332</v>
      </c>
      <c r="D2111" s="159">
        <v>44202.0</v>
      </c>
      <c r="E2111" s="157" t="s">
        <v>731</v>
      </c>
      <c r="F2111" s="160">
        <v>20805.82</v>
      </c>
      <c r="G2111" s="160">
        <v>3328.93</v>
      </c>
      <c r="H2111" s="160">
        <f t="shared" si="52"/>
        <v>24134.75</v>
      </c>
      <c r="I2111" s="160"/>
      <c r="J2111" s="161"/>
      <c r="K2111" s="160"/>
      <c r="L2111" s="160">
        <f>+'FACP$'!$H2111-'FACP$'!$I2111-'FACP$'!$K2111</f>
        <v>24134.75</v>
      </c>
      <c r="M2111" s="162" t="s">
        <v>151</v>
      </c>
      <c r="N2111" s="162" t="s">
        <v>554</v>
      </c>
      <c r="O2111" s="164">
        <v>44251.0</v>
      </c>
      <c r="P2111" s="164">
        <f t="shared" si="13"/>
        <v>44212</v>
      </c>
      <c r="Q2111" s="165">
        <f t="shared" si="2"/>
        <v>0</v>
      </c>
      <c r="R2111" s="167"/>
      <c r="S2111" s="167"/>
      <c r="T2111" s="168">
        <f t="shared" si="3"/>
        <v>24134.75</v>
      </c>
      <c r="U2111" s="168">
        <f t="shared" si="4"/>
        <v>0</v>
      </c>
      <c r="V2111" s="168">
        <f t="shared" si="5"/>
        <v>0</v>
      </c>
      <c r="W2111" s="168">
        <f t="shared" si="6"/>
        <v>0</v>
      </c>
      <c r="X2111" s="168">
        <f t="shared" si="7"/>
        <v>0</v>
      </c>
      <c r="Y2111" s="168">
        <f t="shared" si="8"/>
        <v>0</v>
      </c>
      <c r="Z2111" s="168">
        <f t="shared" si="9"/>
        <v>0</v>
      </c>
    </row>
    <row r="2112" ht="14.25" customHeight="1">
      <c r="A2112" s="157" t="s">
        <v>2336</v>
      </c>
      <c r="B2112" s="158" t="s">
        <v>27</v>
      </c>
      <c r="C2112" s="158" t="s">
        <v>2337</v>
      </c>
      <c r="D2112" s="159">
        <v>44202.0</v>
      </c>
      <c r="E2112" s="157" t="s">
        <v>731</v>
      </c>
      <c r="F2112" s="160">
        <v>2586.77</v>
      </c>
      <c r="G2112" s="160">
        <v>413.88</v>
      </c>
      <c r="H2112" s="160">
        <f t="shared" si="52"/>
        <v>3000.65</v>
      </c>
      <c r="I2112" s="160"/>
      <c r="J2112" s="161"/>
      <c r="K2112" s="160"/>
      <c r="L2112" s="160">
        <f>+'FACP$'!$H2112-'FACP$'!$I2112-'FACP$'!$K2112</f>
        <v>3000.65</v>
      </c>
      <c r="M2112" s="162" t="s">
        <v>151</v>
      </c>
      <c r="N2112" s="162" t="s">
        <v>554</v>
      </c>
      <c r="O2112" s="164">
        <v>44251.0</v>
      </c>
      <c r="P2112" s="164">
        <f t="shared" si="13"/>
        <v>44212</v>
      </c>
      <c r="Q2112" s="165">
        <f t="shared" si="2"/>
        <v>0</v>
      </c>
      <c r="R2112" s="167"/>
      <c r="S2112" s="167"/>
      <c r="T2112" s="168">
        <f t="shared" si="3"/>
        <v>3000.65</v>
      </c>
      <c r="U2112" s="168">
        <f t="shared" si="4"/>
        <v>0</v>
      </c>
      <c r="V2112" s="168">
        <f t="shared" si="5"/>
        <v>0</v>
      </c>
      <c r="W2112" s="168">
        <f t="shared" si="6"/>
        <v>0</v>
      </c>
      <c r="X2112" s="168">
        <f t="shared" si="7"/>
        <v>0</v>
      </c>
      <c r="Y2112" s="168">
        <f t="shared" si="8"/>
        <v>0</v>
      </c>
      <c r="Z2112" s="168">
        <f t="shared" si="9"/>
        <v>0</v>
      </c>
    </row>
    <row r="2113" ht="14.25" customHeight="1">
      <c r="A2113" s="157" t="s">
        <v>2338</v>
      </c>
      <c r="B2113" s="158" t="s">
        <v>27</v>
      </c>
      <c r="C2113" s="158" t="s">
        <v>2339</v>
      </c>
      <c r="D2113" s="159">
        <v>44202.0</v>
      </c>
      <c r="E2113" s="157" t="s">
        <v>731</v>
      </c>
      <c r="F2113" s="160">
        <v>2020.76</v>
      </c>
      <c r="G2113" s="160">
        <v>323.32</v>
      </c>
      <c r="H2113" s="160">
        <f t="shared" si="52"/>
        <v>2344.08</v>
      </c>
      <c r="I2113" s="160"/>
      <c r="J2113" s="161"/>
      <c r="K2113" s="160"/>
      <c r="L2113" s="160">
        <f>+'FACP$'!$H2113-'FACP$'!$I2113-'FACP$'!$K2113</f>
        <v>2344.08</v>
      </c>
      <c r="M2113" s="162" t="s">
        <v>151</v>
      </c>
      <c r="N2113" s="162" t="s">
        <v>554</v>
      </c>
      <c r="O2113" s="164">
        <v>44251.0</v>
      </c>
      <c r="P2113" s="164">
        <f t="shared" si="13"/>
        <v>44212</v>
      </c>
      <c r="Q2113" s="165">
        <f t="shared" si="2"/>
        <v>0</v>
      </c>
      <c r="R2113" s="167"/>
      <c r="S2113" s="167"/>
      <c r="T2113" s="168">
        <f t="shared" si="3"/>
        <v>2344.08</v>
      </c>
      <c r="U2113" s="168">
        <f t="shared" si="4"/>
        <v>0</v>
      </c>
      <c r="V2113" s="168">
        <f t="shared" si="5"/>
        <v>0</v>
      </c>
      <c r="W2113" s="168">
        <f t="shared" si="6"/>
        <v>0</v>
      </c>
      <c r="X2113" s="168">
        <f t="shared" si="7"/>
        <v>0</v>
      </c>
      <c r="Y2113" s="168">
        <f t="shared" si="8"/>
        <v>0</v>
      </c>
      <c r="Z2113" s="168">
        <f t="shared" si="9"/>
        <v>0</v>
      </c>
    </row>
    <row r="2114" ht="14.25" customHeight="1">
      <c r="A2114" s="157" t="s">
        <v>2340</v>
      </c>
      <c r="B2114" s="158" t="s">
        <v>16</v>
      </c>
      <c r="C2114" s="158" t="s">
        <v>2283</v>
      </c>
      <c r="D2114" s="159">
        <v>44202.0</v>
      </c>
      <c r="E2114" s="157" t="s">
        <v>731</v>
      </c>
      <c r="F2114" s="160">
        <v>275232.13</v>
      </c>
      <c r="G2114" s="160">
        <v>44037.14</v>
      </c>
      <c r="H2114" s="160">
        <f t="shared" si="52"/>
        <v>319269.27</v>
      </c>
      <c r="I2114" s="160"/>
      <c r="J2114" s="161"/>
      <c r="K2114" s="160"/>
      <c r="L2114" s="160">
        <f>+'FACP$'!$H2114-'FACP$'!$I2114-'FACP$'!$K2114</f>
        <v>319269.27</v>
      </c>
      <c r="M2114" s="162" t="s">
        <v>985</v>
      </c>
      <c r="N2114" s="162" t="s">
        <v>554</v>
      </c>
      <c r="O2114" s="164">
        <v>44216.0</v>
      </c>
      <c r="P2114" s="164">
        <f t="shared" si="13"/>
        <v>44212</v>
      </c>
      <c r="Q2114" s="165">
        <f t="shared" si="2"/>
        <v>0</v>
      </c>
      <c r="R2114" s="167"/>
      <c r="S2114" s="167"/>
      <c r="T2114" s="168">
        <f t="shared" si="3"/>
        <v>319269.27</v>
      </c>
      <c r="U2114" s="168">
        <f t="shared" si="4"/>
        <v>0</v>
      </c>
      <c r="V2114" s="168">
        <f t="shared" si="5"/>
        <v>0</v>
      </c>
      <c r="W2114" s="168">
        <f t="shared" si="6"/>
        <v>0</v>
      </c>
      <c r="X2114" s="168">
        <f t="shared" si="7"/>
        <v>0</v>
      </c>
      <c r="Y2114" s="168">
        <f t="shared" si="8"/>
        <v>0</v>
      </c>
      <c r="Z2114" s="168">
        <f t="shared" si="9"/>
        <v>0</v>
      </c>
    </row>
    <row r="2115" ht="14.25" customHeight="1">
      <c r="A2115" s="157" t="s">
        <v>2341</v>
      </c>
      <c r="B2115" s="158" t="s">
        <v>16</v>
      </c>
      <c r="C2115" s="158" t="s">
        <v>2342</v>
      </c>
      <c r="D2115" s="159">
        <v>44202.0</v>
      </c>
      <c r="E2115" s="157" t="s">
        <v>731</v>
      </c>
      <c r="F2115" s="160">
        <v>361128.13</v>
      </c>
      <c r="G2115" s="160">
        <v>57780.5</v>
      </c>
      <c r="H2115" s="160">
        <f t="shared" si="52"/>
        <v>418908.63</v>
      </c>
      <c r="I2115" s="160"/>
      <c r="J2115" s="161"/>
      <c r="K2115" s="160"/>
      <c r="L2115" s="160">
        <f>+'FACP$'!$H2115-'FACP$'!$I2115-'FACP$'!$K2115</f>
        <v>418908.63</v>
      </c>
      <c r="M2115" s="162" t="s">
        <v>985</v>
      </c>
      <c r="N2115" s="162" t="s">
        <v>554</v>
      </c>
      <c r="O2115" s="164">
        <v>44216.0</v>
      </c>
      <c r="P2115" s="164">
        <f t="shared" si="13"/>
        <v>44212</v>
      </c>
      <c r="Q2115" s="165">
        <f t="shared" si="2"/>
        <v>0</v>
      </c>
      <c r="R2115" s="167"/>
      <c r="S2115" s="167"/>
      <c r="T2115" s="168">
        <f t="shared" si="3"/>
        <v>418908.63</v>
      </c>
      <c r="U2115" s="168">
        <f t="shared" si="4"/>
        <v>0</v>
      </c>
      <c r="V2115" s="168">
        <f t="shared" si="5"/>
        <v>0</v>
      </c>
      <c r="W2115" s="168">
        <f t="shared" si="6"/>
        <v>0</v>
      </c>
      <c r="X2115" s="168">
        <f t="shared" si="7"/>
        <v>0</v>
      </c>
      <c r="Y2115" s="168">
        <f t="shared" si="8"/>
        <v>0</v>
      </c>
      <c r="Z2115" s="168">
        <f t="shared" si="9"/>
        <v>0</v>
      </c>
    </row>
    <row r="2116" ht="14.25" customHeight="1">
      <c r="A2116" s="157" t="s">
        <v>2343</v>
      </c>
      <c r="B2116" s="158" t="s">
        <v>127</v>
      </c>
      <c r="C2116" s="158"/>
      <c r="D2116" s="159"/>
      <c r="E2116" s="157"/>
      <c r="F2116" s="160"/>
      <c r="G2116" s="160"/>
      <c r="H2116" s="160">
        <f t="shared" si="52"/>
        <v>0</v>
      </c>
      <c r="I2116" s="160"/>
      <c r="J2116" s="161"/>
      <c r="K2116" s="160"/>
      <c r="L2116" s="160">
        <f>+'FACP$'!$H2116-'FACP$'!$I2116-'FACP$'!$K2116</f>
        <v>0</v>
      </c>
      <c r="M2116" s="162"/>
      <c r="N2116" s="162" t="s">
        <v>127</v>
      </c>
      <c r="O2116" s="164"/>
      <c r="P2116" s="164">
        <f t="shared" si="13"/>
        <v>10</v>
      </c>
      <c r="Q2116" s="165">
        <f t="shared" si="2"/>
        <v>0</v>
      </c>
      <c r="R2116" s="167"/>
      <c r="S2116" s="167"/>
      <c r="T2116" s="168">
        <f t="shared" si="3"/>
        <v>0</v>
      </c>
      <c r="U2116" s="168">
        <f t="shared" si="4"/>
        <v>0</v>
      </c>
      <c r="V2116" s="168">
        <f t="shared" si="5"/>
        <v>0</v>
      </c>
      <c r="W2116" s="168">
        <f t="shared" si="6"/>
        <v>0</v>
      </c>
      <c r="X2116" s="168">
        <f t="shared" si="7"/>
        <v>0</v>
      </c>
      <c r="Y2116" s="168">
        <f t="shared" si="8"/>
        <v>0</v>
      </c>
      <c r="Z2116" s="168">
        <f t="shared" si="9"/>
        <v>0</v>
      </c>
    </row>
    <row r="2117" ht="14.25" customHeight="1">
      <c r="A2117" s="157" t="s">
        <v>2344</v>
      </c>
      <c r="B2117" s="158" t="s">
        <v>16</v>
      </c>
      <c r="C2117" s="158" t="s">
        <v>2320</v>
      </c>
      <c r="D2117" s="159">
        <v>44202.0</v>
      </c>
      <c r="E2117" s="157" t="s">
        <v>731</v>
      </c>
      <c r="F2117" s="160">
        <v>318526.77</v>
      </c>
      <c r="G2117" s="160">
        <v>50964.28</v>
      </c>
      <c r="H2117" s="160">
        <f t="shared" si="52"/>
        <v>369491.05</v>
      </c>
      <c r="I2117" s="160"/>
      <c r="J2117" s="161"/>
      <c r="K2117" s="160"/>
      <c r="L2117" s="160">
        <f>+'FACP$'!$H2117-'FACP$'!$I2117-'FACP$'!$K2117</f>
        <v>369491.05</v>
      </c>
      <c r="M2117" s="162" t="s">
        <v>985</v>
      </c>
      <c r="N2117" s="162" t="s">
        <v>554</v>
      </c>
      <c r="O2117" s="164">
        <v>44216.0</v>
      </c>
      <c r="P2117" s="164">
        <f t="shared" si="13"/>
        <v>44212</v>
      </c>
      <c r="Q2117" s="165">
        <f t="shared" si="2"/>
        <v>0</v>
      </c>
      <c r="R2117" s="167"/>
      <c r="S2117" s="167"/>
      <c r="T2117" s="168">
        <f t="shared" si="3"/>
        <v>369491.05</v>
      </c>
      <c r="U2117" s="168">
        <f t="shared" si="4"/>
        <v>0</v>
      </c>
      <c r="V2117" s="168">
        <f t="shared" si="5"/>
        <v>0</v>
      </c>
      <c r="W2117" s="168">
        <f t="shared" si="6"/>
        <v>0</v>
      </c>
      <c r="X2117" s="168">
        <f t="shared" si="7"/>
        <v>0</v>
      </c>
      <c r="Y2117" s="168">
        <f t="shared" si="8"/>
        <v>0</v>
      </c>
      <c r="Z2117" s="168">
        <f t="shared" si="9"/>
        <v>0</v>
      </c>
    </row>
    <row r="2118" ht="14.25" customHeight="1">
      <c r="A2118" s="157" t="s">
        <v>2345</v>
      </c>
      <c r="B2118" s="158" t="s">
        <v>18</v>
      </c>
      <c r="C2118" s="158" t="s">
        <v>2320</v>
      </c>
      <c r="D2118" s="159">
        <v>44202.0</v>
      </c>
      <c r="E2118" s="157" t="s">
        <v>731</v>
      </c>
      <c r="F2118" s="160">
        <v>127963.51</v>
      </c>
      <c r="G2118" s="160">
        <v>20474.16</v>
      </c>
      <c r="H2118" s="160">
        <f t="shared" si="52"/>
        <v>148437.67</v>
      </c>
      <c r="I2118" s="160"/>
      <c r="J2118" s="161"/>
      <c r="K2118" s="160"/>
      <c r="L2118" s="160">
        <f>+'FACP$'!$H2118-'FACP$'!$I2118-'FACP$'!$K2118</f>
        <v>148437.67</v>
      </c>
      <c r="M2118" s="162" t="s">
        <v>586</v>
      </c>
      <c r="N2118" s="162" t="s">
        <v>554</v>
      </c>
      <c r="O2118" s="164">
        <v>44229.0</v>
      </c>
      <c r="P2118" s="164">
        <f t="shared" si="13"/>
        <v>44212</v>
      </c>
      <c r="Q2118" s="165">
        <f t="shared" si="2"/>
        <v>0</v>
      </c>
      <c r="R2118" s="167"/>
      <c r="S2118" s="167"/>
      <c r="T2118" s="168">
        <f t="shared" si="3"/>
        <v>148437.67</v>
      </c>
      <c r="U2118" s="168">
        <f t="shared" si="4"/>
        <v>0</v>
      </c>
      <c r="V2118" s="168">
        <f t="shared" si="5"/>
        <v>0</v>
      </c>
      <c r="W2118" s="168">
        <f t="shared" si="6"/>
        <v>0</v>
      </c>
      <c r="X2118" s="168">
        <f t="shared" si="7"/>
        <v>0</v>
      </c>
      <c r="Y2118" s="168">
        <f t="shared" si="8"/>
        <v>0</v>
      </c>
      <c r="Z2118" s="168">
        <f t="shared" si="9"/>
        <v>0</v>
      </c>
    </row>
    <row r="2119" ht="14.25" customHeight="1">
      <c r="A2119" s="157" t="s">
        <v>2346</v>
      </c>
      <c r="B2119" s="158" t="s">
        <v>16</v>
      </c>
      <c r="C2119" s="158" t="s">
        <v>2347</v>
      </c>
      <c r="D2119" s="159">
        <v>44202.0</v>
      </c>
      <c r="E2119" s="157" t="s">
        <v>731</v>
      </c>
      <c r="F2119" s="160">
        <v>259868.42</v>
      </c>
      <c r="G2119" s="160">
        <v>41578.95</v>
      </c>
      <c r="H2119" s="160">
        <f t="shared" si="52"/>
        <v>301447.37</v>
      </c>
      <c r="I2119" s="160"/>
      <c r="J2119" s="161"/>
      <c r="K2119" s="160"/>
      <c r="L2119" s="160">
        <f>+'FACP$'!$H2119-'FACP$'!$I2119-'FACP$'!$K2119</f>
        <v>301447.37</v>
      </c>
      <c r="M2119" s="162" t="s">
        <v>985</v>
      </c>
      <c r="N2119" s="162" t="s">
        <v>554</v>
      </c>
      <c r="O2119" s="164">
        <v>44216.0</v>
      </c>
      <c r="P2119" s="164">
        <f t="shared" si="13"/>
        <v>44212</v>
      </c>
      <c r="Q2119" s="165">
        <f t="shared" si="2"/>
        <v>0</v>
      </c>
      <c r="R2119" s="167"/>
      <c r="S2119" s="167"/>
      <c r="T2119" s="168">
        <f t="shared" si="3"/>
        <v>301447.37</v>
      </c>
      <c r="U2119" s="168">
        <f t="shared" si="4"/>
        <v>0</v>
      </c>
      <c r="V2119" s="168">
        <f t="shared" si="5"/>
        <v>0</v>
      </c>
      <c r="W2119" s="168">
        <f t="shared" si="6"/>
        <v>0</v>
      </c>
      <c r="X2119" s="168">
        <f t="shared" si="7"/>
        <v>0</v>
      </c>
      <c r="Y2119" s="168">
        <f t="shared" si="8"/>
        <v>0</v>
      </c>
      <c r="Z2119" s="168">
        <f t="shared" si="9"/>
        <v>0</v>
      </c>
    </row>
    <row r="2120" ht="14.25" customHeight="1">
      <c r="A2120" s="157" t="s">
        <v>2348</v>
      </c>
      <c r="B2120" s="158" t="s">
        <v>19</v>
      </c>
      <c r="C2120" s="158" t="s">
        <v>2320</v>
      </c>
      <c r="D2120" s="159">
        <v>44202.0</v>
      </c>
      <c r="E2120" s="157" t="s">
        <v>731</v>
      </c>
      <c r="F2120" s="160">
        <v>233987.71</v>
      </c>
      <c r="G2120" s="160">
        <v>37438.03</v>
      </c>
      <c r="H2120" s="160">
        <f t="shared" si="52"/>
        <v>271425.74</v>
      </c>
      <c r="I2120" s="160"/>
      <c r="J2120" s="161"/>
      <c r="K2120" s="160"/>
      <c r="L2120" s="160">
        <f>+'FACP$'!$H2120-'FACP$'!$I2120-'FACP$'!$K2120</f>
        <v>271425.74</v>
      </c>
      <c r="M2120" s="162" t="s">
        <v>732</v>
      </c>
      <c r="N2120" s="162" t="s">
        <v>554</v>
      </c>
      <c r="O2120" s="164">
        <v>44229.0</v>
      </c>
      <c r="P2120" s="164">
        <f t="shared" si="13"/>
        <v>44212</v>
      </c>
      <c r="Q2120" s="165">
        <f t="shared" si="2"/>
        <v>0</v>
      </c>
      <c r="R2120" s="167"/>
      <c r="S2120" s="167"/>
      <c r="T2120" s="168">
        <f t="shared" si="3"/>
        <v>271425.74</v>
      </c>
      <c r="U2120" s="168">
        <f t="shared" si="4"/>
        <v>0</v>
      </c>
      <c r="V2120" s="168">
        <f t="shared" si="5"/>
        <v>0</v>
      </c>
      <c r="W2120" s="168">
        <f t="shared" si="6"/>
        <v>0</v>
      </c>
      <c r="X2120" s="168">
        <f t="shared" si="7"/>
        <v>0</v>
      </c>
      <c r="Y2120" s="168">
        <f t="shared" si="8"/>
        <v>0</v>
      </c>
      <c r="Z2120" s="168">
        <f t="shared" si="9"/>
        <v>0</v>
      </c>
    </row>
    <row r="2121" ht="14.25" customHeight="1">
      <c r="A2121" s="157" t="s">
        <v>2349</v>
      </c>
      <c r="B2121" s="158" t="s">
        <v>37</v>
      </c>
      <c r="C2121" s="158" t="s">
        <v>2320</v>
      </c>
      <c r="D2121" s="159">
        <v>44202.0</v>
      </c>
      <c r="E2121" s="157" t="s">
        <v>731</v>
      </c>
      <c r="F2121" s="160">
        <v>1634368.6</v>
      </c>
      <c r="G2121" s="160">
        <v>261498.98</v>
      </c>
      <c r="H2121" s="160">
        <f t="shared" si="52"/>
        <v>1895867.58</v>
      </c>
      <c r="I2121" s="160"/>
      <c r="J2121" s="161"/>
      <c r="K2121" s="160"/>
      <c r="L2121" s="160">
        <f>+'FACP$'!$H2121-'FACP$'!$I2121-'FACP$'!$K2121</f>
        <v>1895867.58</v>
      </c>
      <c r="M2121" s="162" t="s">
        <v>116</v>
      </c>
      <c r="N2121" s="162" t="s">
        <v>554</v>
      </c>
      <c r="O2121" s="164">
        <v>44214.0</v>
      </c>
      <c r="P2121" s="164">
        <f t="shared" si="13"/>
        <v>44212</v>
      </c>
      <c r="Q2121" s="165">
        <f t="shared" si="2"/>
        <v>0</v>
      </c>
      <c r="R2121" s="167"/>
      <c r="S2121" s="167"/>
      <c r="T2121" s="168">
        <f t="shared" si="3"/>
        <v>1895867.58</v>
      </c>
      <c r="U2121" s="168">
        <f t="shared" si="4"/>
        <v>0</v>
      </c>
      <c r="V2121" s="168">
        <f t="shared" si="5"/>
        <v>0</v>
      </c>
      <c r="W2121" s="168">
        <f t="shared" si="6"/>
        <v>0</v>
      </c>
      <c r="X2121" s="168">
        <f t="shared" si="7"/>
        <v>0</v>
      </c>
      <c r="Y2121" s="168">
        <f t="shared" si="8"/>
        <v>0</v>
      </c>
      <c r="Z2121" s="168">
        <f t="shared" si="9"/>
        <v>0</v>
      </c>
    </row>
    <row r="2122" ht="14.25" customHeight="1">
      <c r="A2122" s="157" t="s">
        <v>2350</v>
      </c>
      <c r="B2122" s="158" t="s">
        <v>38</v>
      </c>
      <c r="C2122" s="158" t="s">
        <v>2320</v>
      </c>
      <c r="D2122" s="159">
        <v>44202.0</v>
      </c>
      <c r="E2122" s="157" t="s">
        <v>731</v>
      </c>
      <c r="F2122" s="160">
        <v>525908.45</v>
      </c>
      <c r="G2122" s="160">
        <v>84145.35</v>
      </c>
      <c r="H2122" s="160">
        <f t="shared" si="52"/>
        <v>610053.8</v>
      </c>
      <c r="I2122" s="160"/>
      <c r="J2122" s="161"/>
      <c r="K2122" s="160"/>
      <c r="L2122" s="160">
        <f>+'FACP$'!$H2122-'FACP$'!$I2122-'FACP$'!$K2122</f>
        <v>610053.8</v>
      </c>
      <c r="M2122" s="162" t="s">
        <v>145</v>
      </c>
      <c r="N2122" s="162" t="s">
        <v>554</v>
      </c>
      <c r="O2122" s="164">
        <v>44211.0</v>
      </c>
      <c r="P2122" s="164">
        <f t="shared" si="13"/>
        <v>44212</v>
      </c>
      <c r="Q2122" s="165">
        <f t="shared" si="2"/>
        <v>0</v>
      </c>
      <c r="R2122" s="220" t="s">
        <v>2351</v>
      </c>
      <c r="S2122" s="167"/>
      <c r="T2122" s="168">
        <f t="shared" si="3"/>
        <v>610053.8</v>
      </c>
      <c r="U2122" s="168">
        <f t="shared" si="4"/>
        <v>0</v>
      </c>
      <c r="V2122" s="168">
        <f t="shared" si="5"/>
        <v>0</v>
      </c>
      <c r="W2122" s="168">
        <f t="shared" si="6"/>
        <v>0</v>
      </c>
      <c r="X2122" s="168">
        <f t="shared" si="7"/>
        <v>0</v>
      </c>
      <c r="Y2122" s="168">
        <f t="shared" si="8"/>
        <v>0</v>
      </c>
      <c r="Z2122" s="168">
        <f t="shared" si="9"/>
        <v>0</v>
      </c>
    </row>
    <row r="2123" ht="14.25" customHeight="1">
      <c r="A2123" s="157" t="s">
        <v>2352</v>
      </c>
      <c r="B2123" s="158" t="s">
        <v>29</v>
      </c>
      <c r="C2123" s="158" t="s">
        <v>2320</v>
      </c>
      <c r="D2123" s="159">
        <v>44202.0</v>
      </c>
      <c r="E2123" s="157" t="s">
        <v>731</v>
      </c>
      <c r="F2123" s="160">
        <v>302084.1</v>
      </c>
      <c r="G2123" s="160">
        <v>48333.46</v>
      </c>
      <c r="H2123" s="160">
        <f t="shared" si="52"/>
        <v>350417.56</v>
      </c>
      <c r="I2123" s="160"/>
      <c r="J2123" s="161"/>
      <c r="K2123" s="160"/>
      <c r="L2123" s="160">
        <f>+'FACP$'!$H2123-'FACP$'!$I2123-'FACP$'!$K2123</f>
        <v>350417.56</v>
      </c>
      <c r="M2123" s="162" t="s">
        <v>130</v>
      </c>
      <c r="N2123" s="162" t="s">
        <v>554</v>
      </c>
      <c r="O2123" s="164">
        <v>44284.0</v>
      </c>
      <c r="P2123" s="164">
        <f t="shared" si="13"/>
        <v>44212</v>
      </c>
      <c r="Q2123" s="165">
        <f t="shared" si="2"/>
        <v>0</v>
      </c>
      <c r="R2123" s="167"/>
      <c r="S2123" s="167"/>
      <c r="T2123" s="168">
        <f t="shared" si="3"/>
        <v>350417.56</v>
      </c>
      <c r="U2123" s="168">
        <f t="shared" si="4"/>
        <v>0</v>
      </c>
      <c r="V2123" s="168">
        <f t="shared" si="5"/>
        <v>0</v>
      </c>
      <c r="W2123" s="168">
        <f t="shared" si="6"/>
        <v>0</v>
      </c>
      <c r="X2123" s="168">
        <f t="shared" si="7"/>
        <v>0</v>
      </c>
      <c r="Y2123" s="168">
        <f t="shared" si="8"/>
        <v>0</v>
      </c>
      <c r="Z2123" s="168">
        <f t="shared" si="9"/>
        <v>0</v>
      </c>
    </row>
    <row r="2124" ht="14.25" customHeight="1">
      <c r="A2124" s="157" t="s">
        <v>2353</v>
      </c>
      <c r="B2124" s="158" t="s">
        <v>29</v>
      </c>
      <c r="C2124" s="158" t="s">
        <v>2347</v>
      </c>
      <c r="D2124" s="159">
        <v>44202.0</v>
      </c>
      <c r="E2124" s="157" t="s">
        <v>731</v>
      </c>
      <c r="F2124" s="160">
        <v>404382.66</v>
      </c>
      <c r="G2124" s="160">
        <v>64701.23</v>
      </c>
      <c r="H2124" s="160">
        <f t="shared" si="52"/>
        <v>469083.89</v>
      </c>
      <c r="I2124" s="160"/>
      <c r="J2124" s="161"/>
      <c r="K2124" s="160"/>
      <c r="L2124" s="160">
        <f>+'FACP$'!$H2124-'FACP$'!$I2124-'FACP$'!$K2124</f>
        <v>469083.89</v>
      </c>
      <c r="M2124" s="162" t="s">
        <v>130</v>
      </c>
      <c r="N2124" s="162" t="s">
        <v>554</v>
      </c>
      <c r="O2124" s="164">
        <v>44357.0</v>
      </c>
      <c r="P2124" s="164">
        <f t="shared" si="13"/>
        <v>44212</v>
      </c>
      <c r="Q2124" s="165">
        <f t="shared" si="2"/>
        <v>0</v>
      </c>
      <c r="R2124" s="167"/>
      <c r="S2124" s="167"/>
      <c r="T2124" s="168">
        <f t="shared" si="3"/>
        <v>469083.89</v>
      </c>
      <c r="U2124" s="168">
        <f t="shared" si="4"/>
        <v>0</v>
      </c>
      <c r="V2124" s="168">
        <f t="shared" si="5"/>
        <v>0</v>
      </c>
      <c r="W2124" s="168">
        <f t="shared" si="6"/>
        <v>0</v>
      </c>
      <c r="X2124" s="168">
        <f t="shared" si="7"/>
        <v>0</v>
      </c>
      <c r="Y2124" s="168">
        <f t="shared" si="8"/>
        <v>0</v>
      </c>
      <c r="Z2124" s="168">
        <f t="shared" si="9"/>
        <v>0</v>
      </c>
    </row>
    <row r="2125" ht="14.25" customHeight="1">
      <c r="A2125" s="157" t="s">
        <v>2354</v>
      </c>
      <c r="B2125" s="158" t="s">
        <v>37</v>
      </c>
      <c r="C2125" s="158" t="s">
        <v>2355</v>
      </c>
      <c r="D2125" s="159">
        <v>44207.0</v>
      </c>
      <c r="E2125" s="157" t="s">
        <v>731</v>
      </c>
      <c r="F2125" s="160">
        <v>1.0</v>
      </c>
      <c r="G2125" s="160">
        <v>0.16</v>
      </c>
      <c r="H2125" s="160">
        <f t="shared" si="52"/>
        <v>1.16</v>
      </c>
      <c r="I2125" s="160"/>
      <c r="J2125" s="161"/>
      <c r="K2125" s="160"/>
      <c r="L2125" s="160">
        <f>+'FACP$'!$H2125-'FACP$'!$I2125-'FACP$'!$K2125</f>
        <v>1.16</v>
      </c>
      <c r="M2125" s="162" t="s">
        <v>116</v>
      </c>
      <c r="N2125" s="162" t="s">
        <v>127</v>
      </c>
      <c r="O2125" s="164"/>
      <c r="P2125" s="164">
        <f t="shared" si="13"/>
        <v>44217</v>
      </c>
      <c r="Q2125" s="165">
        <f t="shared" si="2"/>
        <v>0</v>
      </c>
      <c r="R2125" s="167"/>
      <c r="S2125" s="167"/>
      <c r="T2125" s="168">
        <f t="shared" si="3"/>
        <v>1.16</v>
      </c>
      <c r="U2125" s="168">
        <f t="shared" si="4"/>
        <v>0</v>
      </c>
      <c r="V2125" s="168">
        <f t="shared" si="5"/>
        <v>0</v>
      </c>
      <c r="W2125" s="168">
        <f t="shared" si="6"/>
        <v>0</v>
      </c>
      <c r="X2125" s="168">
        <f t="shared" si="7"/>
        <v>0</v>
      </c>
      <c r="Y2125" s="168">
        <f t="shared" si="8"/>
        <v>0</v>
      </c>
      <c r="Z2125" s="168">
        <f t="shared" si="9"/>
        <v>0</v>
      </c>
    </row>
    <row r="2126" ht="14.25" customHeight="1">
      <c r="A2126" s="157" t="s">
        <v>2356</v>
      </c>
      <c r="B2126" s="158" t="s">
        <v>37</v>
      </c>
      <c r="C2126" s="158" t="s">
        <v>2355</v>
      </c>
      <c r="D2126" s="159">
        <v>44207.0</v>
      </c>
      <c r="E2126" s="157" t="s">
        <v>731</v>
      </c>
      <c r="F2126" s="160">
        <v>1.0</v>
      </c>
      <c r="G2126" s="160">
        <v>0.16</v>
      </c>
      <c r="H2126" s="160">
        <f t="shared" si="52"/>
        <v>1.16</v>
      </c>
      <c r="I2126" s="160"/>
      <c r="J2126" s="161"/>
      <c r="K2126" s="160"/>
      <c r="L2126" s="160">
        <f>+'FACP$'!$H2126-'FACP$'!$I2126-'FACP$'!$K2126</f>
        <v>1.16</v>
      </c>
      <c r="M2126" s="162" t="s">
        <v>116</v>
      </c>
      <c r="N2126" s="162" t="s">
        <v>127</v>
      </c>
      <c r="O2126" s="164"/>
      <c r="P2126" s="164">
        <f t="shared" si="13"/>
        <v>44217</v>
      </c>
      <c r="Q2126" s="165">
        <f t="shared" si="2"/>
        <v>0</v>
      </c>
      <c r="R2126" s="167"/>
      <c r="S2126" s="167"/>
      <c r="T2126" s="168">
        <f t="shared" si="3"/>
        <v>1.16</v>
      </c>
      <c r="U2126" s="168">
        <f t="shared" si="4"/>
        <v>0</v>
      </c>
      <c r="V2126" s="168">
        <f t="shared" si="5"/>
        <v>0</v>
      </c>
      <c r="W2126" s="168">
        <f t="shared" si="6"/>
        <v>0</v>
      </c>
      <c r="X2126" s="168">
        <f t="shared" si="7"/>
        <v>0</v>
      </c>
      <c r="Y2126" s="168">
        <f t="shared" si="8"/>
        <v>0</v>
      </c>
      <c r="Z2126" s="168">
        <f t="shared" si="9"/>
        <v>0</v>
      </c>
    </row>
    <row r="2127" ht="14.25" customHeight="1">
      <c r="A2127" s="157" t="s">
        <v>2357</v>
      </c>
      <c r="B2127" s="158" t="s">
        <v>37</v>
      </c>
      <c r="C2127" s="158" t="s">
        <v>2355</v>
      </c>
      <c r="D2127" s="159">
        <v>44207.0</v>
      </c>
      <c r="E2127" s="157" t="s">
        <v>731</v>
      </c>
      <c r="F2127" s="160">
        <v>1.0</v>
      </c>
      <c r="G2127" s="160">
        <v>0.16</v>
      </c>
      <c r="H2127" s="160">
        <f t="shared" si="52"/>
        <v>1.16</v>
      </c>
      <c r="I2127" s="160"/>
      <c r="J2127" s="161"/>
      <c r="K2127" s="160"/>
      <c r="L2127" s="160">
        <f>+'FACP$'!$H2127-'FACP$'!$I2127-'FACP$'!$K2127</f>
        <v>1.16</v>
      </c>
      <c r="M2127" s="162" t="s">
        <v>116</v>
      </c>
      <c r="N2127" s="162" t="s">
        <v>127</v>
      </c>
      <c r="O2127" s="164"/>
      <c r="P2127" s="164">
        <f t="shared" si="13"/>
        <v>44217</v>
      </c>
      <c r="Q2127" s="165">
        <f t="shared" si="2"/>
        <v>0</v>
      </c>
      <c r="R2127" s="167"/>
      <c r="S2127" s="167"/>
      <c r="T2127" s="168">
        <f t="shared" si="3"/>
        <v>1.16</v>
      </c>
      <c r="U2127" s="168">
        <f t="shared" si="4"/>
        <v>0</v>
      </c>
      <c r="V2127" s="168">
        <f t="shared" si="5"/>
        <v>0</v>
      </c>
      <c r="W2127" s="168">
        <f t="shared" si="6"/>
        <v>0</v>
      </c>
      <c r="X2127" s="168">
        <f t="shared" si="7"/>
        <v>0</v>
      </c>
      <c r="Y2127" s="168">
        <f t="shared" si="8"/>
        <v>0</v>
      </c>
      <c r="Z2127" s="168">
        <f t="shared" si="9"/>
        <v>0</v>
      </c>
    </row>
    <row r="2128" ht="14.25" customHeight="1">
      <c r="A2128" s="157" t="s">
        <v>2358</v>
      </c>
      <c r="B2128" s="158" t="s">
        <v>37</v>
      </c>
      <c r="C2128" s="158" t="s">
        <v>2355</v>
      </c>
      <c r="D2128" s="159">
        <v>44207.0</v>
      </c>
      <c r="E2128" s="157" t="s">
        <v>731</v>
      </c>
      <c r="F2128" s="160">
        <v>1.0</v>
      </c>
      <c r="G2128" s="160">
        <v>0.16</v>
      </c>
      <c r="H2128" s="160">
        <f t="shared" si="52"/>
        <v>1.16</v>
      </c>
      <c r="I2128" s="160"/>
      <c r="J2128" s="161"/>
      <c r="K2128" s="160"/>
      <c r="L2128" s="160">
        <f>+'FACP$'!$H2128-'FACP$'!$I2128-'FACP$'!$K2128</f>
        <v>1.16</v>
      </c>
      <c r="M2128" s="162" t="s">
        <v>116</v>
      </c>
      <c r="N2128" s="162" t="s">
        <v>127</v>
      </c>
      <c r="O2128" s="164"/>
      <c r="P2128" s="164">
        <f t="shared" si="13"/>
        <v>44217</v>
      </c>
      <c r="Q2128" s="165">
        <f t="shared" si="2"/>
        <v>0</v>
      </c>
      <c r="R2128" s="167"/>
      <c r="S2128" s="167"/>
      <c r="T2128" s="168">
        <f t="shared" si="3"/>
        <v>1.16</v>
      </c>
      <c r="U2128" s="168">
        <f t="shared" si="4"/>
        <v>0</v>
      </c>
      <c r="V2128" s="168">
        <f t="shared" si="5"/>
        <v>0</v>
      </c>
      <c r="W2128" s="168">
        <f t="shared" si="6"/>
        <v>0</v>
      </c>
      <c r="X2128" s="168">
        <f t="shared" si="7"/>
        <v>0</v>
      </c>
      <c r="Y2128" s="168">
        <f t="shared" si="8"/>
        <v>0</v>
      </c>
      <c r="Z2128" s="168">
        <f t="shared" si="9"/>
        <v>0</v>
      </c>
    </row>
    <row r="2129" ht="14.25" customHeight="1">
      <c r="A2129" s="157" t="s">
        <v>2359</v>
      </c>
      <c r="B2129" s="158" t="s">
        <v>29</v>
      </c>
      <c r="C2129" s="158" t="s">
        <v>2355</v>
      </c>
      <c r="D2129" s="159">
        <v>44207.0</v>
      </c>
      <c r="E2129" s="157" t="s">
        <v>731</v>
      </c>
      <c r="F2129" s="160">
        <v>1.0</v>
      </c>
      <c r="G2129" s="160">
        <v>0.16</v>
      </c>
      <c r="H2129" s="160">
        <f t="shared" si="52"/>
        <v>1.16</v>
      </c>
      <c r="I2129" s="160"/>
      <c r="J2129" s="161"/>
      <c r="K2129" s="160"/>
      <c r="L2129" s="160">
        <f>+'FACP$'!$H2129-'FACP$'!$I2129-'FACP$'!$K2129</f>
        <v>1.16</v>
      </c>
      <c r="M2129" s="162" t="s">
        <v>130</v>
      </c>
      <c r="N2129" s="162" t="s">
        <v>127</v>
      </c>
      <c r="O2129" s="164"/>
      <c r="P2129" s="164">
        <f t="shared" si="13"/>
        <v>44217</v>
      </c>
      <c r="Q2129" s="165">
        <f t="shared" si="2"/>
        <v>0</v>
      </c>
      <c r="R2129" s="167"/>
      <c r="S2129" s="167"/>
      <c r="T2129" s="168">
        <f t="shared" si="3"/>
        <v>1.16</v>
      </c>
      <c r="U2129" s="168">
        <f t="shared" si="4"/>
        <v>0</v>
      </c>
      <c r="V2129" s="168">
        <f t="shared" si="5"/>
        <v>0</v>
      </c>
      <c r="W2129" s="168">
        <f t="shared" si="6"/>
        <v>0</v>
      </c>
      <c r="X2129" s="168">
        <f t="shared" si="7"/>
        <v>0</v>
      </c>
      <c r="Y2129" s="168">
        <f t="shared" si="8"/>
        <v>0</v>
      </c>
      <c r="Z2129" s="168">
        <f t="shared" si="9"/>
        <v>0</v>
      </c>
    </row>
    <row r="2130" ht="14.25" customHeight="1">
      <c r="A2130" s="157" t="s">
        <v>2360</v>
      </c>
      <c r="B2130" s="158" t="s">
        <v>29</v>
      </c>
      <c r="C2130" s="158" t="s">
        <v>2355</v>
      </c>
      <c r="D2130" s="159">
        <v>44207.0</v>
      </c>
      <c r="E2130" s="157" t="s">
        <v>731</v>
      </c>
      <c r="F2130" s="160">
        <v>1.0</v>
      </c>
      <c r="G2130" s="160">
        <v>0.16</v>
      </c>
      <c r="H2130" s="160">
        <f t="shared" si="52"/>
        <v>1.16</v>
      </c>
      <c r="I2130" s="160"/>
      <c r="J2130" s="161"/>
      <c r="K2130" s="160"/>
      <c r="L2130" s="160">
        <f>+'FACP$'!$H2130-'FACP$'!$I2130-'FACP$'!$K2130</f>
        <v>1.16</v>
      </c>
      <c r="M2130" s="162" t="s">
        <v>130</v>
      </c>
      <c r="N2130" s="162" t="s">
        <v>127</v>
      </c>
      <c r="O2130" s="164"/>
      <c r="P2130" s="164">
        <f t="shared" si="13"/>
        <v>44217</v>
      </c>
      <c r="Q2130" s="165">
        <f t="shared" si="2"/>
        <v>0</v>
      </c>
      <c r="R2130" s="167"/>
      <c r="S2130" s="167"/>
      <c r="T2130" s="168">
        <f t="shared" si="3"/>
        <v>1.16</v>
      </c>
      <c r="U2130" s="168">
        <f t="shared" si="4"/>
        <v>0</v>
      </c>
      <c r="V2130" s="168">
        <f t="shared" si="5"/>
        <v>0</v>
      </c>
      <c r="W2130" s="168">
        <f t="shared" si="6"/>
        <v>0</v>
      </c>
      <c r="X2130" s="168">
        <f t="shared" si="7"/>
        <v>0</v>
      </c>
      <c r="Y2130" s="168">
        <f t="shared" si="8"/>
        <v>0</v>
      </c>
      <c r="Z2130" s="168">
        <f t="shared" si="9"/>
        <v>0</v>
      </c>
    </row>
    <row r="2131" ht="14.25" customHeight="1">
      <c r="A2131" s="157" t="s">
        <v>2361</v>
      </c>
      <c r="B2131" s="158" t="s">
        <v>16</v>
      </c>
      <c r="C2131" s="158" t="s">
        <v>2355</v>
      </c>
      <c r="D2131" s="159">
        <v>44207.0</v>
      </c>
      <c r="E2131" s="157" t="s">
        <v>731</v>
      </c>
      <c r="F2131" s="160">
        <v>1.0</v>
      </c>
      <c r="G2131" s="160">
        <v>0.16</v>
      </c>
      <c r="H2131" s="160">
        <f t="shared" si="52"/>
        <v>1.16</v>
      </c>
      <c r="I2131" s="160"/>
      <c r="J2131" s="161"/>
      <c r="K2131" s="160"/>
      <c r="L2131" s="160">
        <f>+'FACP$'!$H2131-'FACP$'!$I2131-'FACP$'!$K2131</f>
        <v>1.16</v>
      </c>
      <c r="M2131" s="162" t="s">
        <v>985</v>
      </c>
      <c r="N2131" s="162" t="s">
        <v>127</v>
      </c>
      <c r="O2131" s="164"/>
      <c r="P2131" s="164">
        <f t="shared" si="13"/>
        <v>44217</v>
      </c>
      <c r="Q2131" s="165">
        <f t="shared" si="2"/>
        <v>0</v>
      </c>
      <c r="R2131" s="167"/>
      <c r="S2131" s="167"/>
      <c r="T2131" s="168">
        <f t="shared" si="3"/>
        <v>1.16</v>
      </c>
      <c r="U2131" s="168">
        <f t="shared" si="4"/>
        <v>0</v>
      </c>
      <c r="V2131" s="168">
        <f t="shared" si="5"/>
        <v>0</v>
      </c>
      <c r="W2131" s="168">
        <f t="shared" si="6"/>
        <v>0</v>
      </c>
      <c r="X2131" s="168">
        <f t="shared" si="7"/>
        <v>0</v>
      </c>
      <c r="Y2131" s="168">
        <f t="shared" si="8"/>
        <v>0</v>
      </c>
      <c r="Z2131" s="168">
        <f t="shared" si="9"/>
        <v>0</v>
      </c>
    </row>
    <row r="2132" ht="14.25" customHeight="1">
      <c r="A2132" s="157" t="s">
        <v>2362</v>
      </c>
      <c r="B2132" s="158" t="s">
        <v>37</v>
      </c>
      <c r="C2132" s="158" t="s">
        <v>2355</v>
      </c>
      <c r="D2132" s="159">
        <v>44207.0</v>
      </c>
      <c r="E2132" s="157" t="s">
        <v>731</v>
      </c>
      <c r="F2132" s="160">
        <v>1.0</v>
      </c>
      <c r="G2132" s="160">
        <v>0.16</v>
      </c>
      <c r="H2132" s="160">
        <f t="shared" si="52"/>
        <v>1.16</v>
      </c>
      <c r="I2132" s="160"/>
      <c r="J2132" s="161"/>
      <c r="K2132" s="160"/>
      <c r="L2132" s="160">
        <f>+'FACP$'!$H2132-'FACP$'!$I2132-'FACP$'!$K2132</f>
        <v>1.16</v>
      </c>
      <c r="M2132" s="162" t="s">
        <v>116</v>
      </c>
      <c r="N2132" s="162" t="s">
        <v>127</v>
      </c>
      <c r="O2132" s="164"/>
      <c r="P2132" s="164">
        <f t="shared" si="13"/>
        <v>44217</v>
      </c>
      <c r="Q2132" s="165">
        <f t="shared" si="2"/>
        <v>0</v>
      </c>
      <c r="R2132" s="167"/>
      <c r="S2132" s="167"/>
      <c r="T2132" s="168">
        <f t="shared" si="3"/>
        <v>1.16</v>
      </c>
      <c r="U2132" s="168">
        <f t="shared" si="4"/>
        <v>0</v>
      </c>
      <c r="V2132" s="168">
        <f t="shared" si="5"/>
        <v>0</v>
      </c>
      <c r="W2132" s="168">
        <f t="shared" si="6"/>
        <v>0</v>
      </c>
      <c r="X2132" s="168">
        <f t="shared" si="7"/>
        <v>0</v>
      </c>
      <c r="Y2132" s="168">
        <f t="shared" si="8"/>
        <v>0</v>
      </c>
      <c r="Z2132" s="168">
        <f t="shared" si="9"/>
        <v>0</v>
      </c>
    </row>
    <row r="2133" ht="14.25" customHeight="1">
      <c r="A2133" s="157" t="s">
        <v>2363</v>
      </c>
      <c r="B2133" s="158" t="s">
        <v>127</v>
      </c>
      <c r="C2133" s="158"/>
      <c r="D2133" s="159">
        <v>44207.0</v>
      </c>
      <c r="E2133" s="157"/>
      <c r="F2133" s="160"/>
      <c r="G2133" s="160"/>
      <c r="H2133" s="160">
        <f t="shared" si="52"/>
        <v>0</v>
      </c>
      <c r="I2133" s="160"/>
      <c r="J2133" s="161"/>
      <c r="K2133" s="160"/>
      <c r="L2133" s="160">
        <f>+'FACP$'!$H2133-'FACP$'!$I2133-'FACP$'!$K2133</f>
        <v>0</v>
      </c>
      <c r="M2133" s="162"/>
      <c r="N2133" s="162" t="s">
        <v>127</v>
      </c>
      <c r="O2133" s="164"/>
      <c r="P2133" s="164">
        <f t="shared" si="13"/>
        <v>44217</v>
      </c>
      <c r="Q2133" s="165">
        <f t="shared" si="2"/>
        <v>0</v>
      </c>
      <c r="R2133" s="167"/>
      <c r="S2133" s="167"/>
      <c r="T2133" s="168">
        <f t="shared" si="3"/>
        <v>0</v>
      </c>
      <c r="U2133" s="168">
        <f t="shared" si="4"/>
        <v>0</v>
      </c>
      <c r="V2133" s="168">
        <f t="shared" si="5"/>
        <v>0</v>
      </c>
      <c r="W2133" s="168">
        <f t="shared" si="6"/>
        <v>0</v>
      </c>
      <c r="X2133" s="168">
        <f t="shared" si="7"/>
        <v>0</v>
      </c>
      <c r="Y2133" s="168">
        <f t="shared" si="8"/>
        <v>0</v>
      </c>
      <c r="Z2133" s="168">
        <f t="shared" si="9"/>
        <v>0</v>
      </c>
    </row>
    <row r="2134" ht="14.25" customHeight="1">
      <c r="A2134" s="157" t="s">
        <v>2364</v>
      </c>
      <c r="B2134" s="158" t="s">
        <v>37</v>
      </c>
      <c r="C2134" s="158" t="s">
        <v>2355</v>
      </c>
      <c r="D2134" s="159">
        <v>44207.0</v>
      </c>
      <c r="E2134" s="157" t="s">
        <v>731</v>
      </c>
      <c r="F2134" s="160">
        <v>1.0</v>
      </c>
      <c r="G2134" s="160">
        <v>0.16</v>
      </c>
      <c r="H2134" s="160">
        <f t="shared" si="52"/>
        <v>1.16</v>
      </c>
      <c r="I2134" s="160"/>
      <c r="J2134" s="161"/>
      <c r="K2134" s="160"/>
      <c r="L2134" s="160">
        <f>+'FACP$'!$H2134-'FACP$'!$I2134-'FACP$'!$K2134</f>
        <v>1.16</v>
      </c>
      <c r="M2134" s="162" t="s">
        <v>116</v>
      </c>
      <c r="N2134" s="162" t="s">
        <v>127</v>
      </c>
      <c r="O2134" s="164"/>
      <c r="P2134" s="164">
        <f t="shared" si="13"/>
        <v>44217</v>
      </c>
      <c r="Q2134" s="165">
        <f t="shared" si="2"/>
        <v>0</v>
      </c>
      <c r="R2134" s="167"/>
      <c r="S2134" s="167"/>
      <c r="T2134" s="168">
        <f t="shared" si="3"/>
        <v>1.16</v>
      </c>
      <c r="U2134" s="168">
        <f t="shared" si="4"/>
        <v>0</v>
      </c>
      <c r="V2134" s="168">
        <f t="shared" si="5"/>
        <v>0</v>
      </c>
      <c r="W2134" s="168">
        <f t="shared" si="6"/>
        <v>0</v>
      </c>
      <c r="X2134" s="168">
        <f t="shared" si="7"/>
        <v>0</v>
      </c>
      <c r="Y2134" s="168">
        <f t="shared" si="8"/>
        <v>0</v>
      </c>
      <c r="Z2134" s="168">
        <f t="shared" si="9"/>
        <v>0</v>
      </c>
    </row>
    <row r="2135" ht="14.25" customHeight="1">
      <c r="A2135" s="157" t="s">
        <v>2365</v>
      </c>
      <c r="B2135" s="158" t="s">
        <v>127</v>
      </c>
      <c r="C2135" s="158"/>
      <c r="D2135" s="159">
        <v>44207.0</v>
      </c>
      <c r="E2135" s="157"/>
      <c r="F2135" s="160"/>
      <c r="G2135" s="160"/>
      <c r="H2135" s="160">
        <f t="shared" si="52"/>
        <v>0</v>
      </c>
      <c r="I2135" s="160"/>
      <c r="J2135" s="161"/>
      <c r="K2135" s="160"/>
      <c r="L2135" s="160">
        <f>+'FACP$'!$H2135-'FACP$'!$I2135-'FACP$'!$K2135</f>
        <v>0</v>
      </c>
      <c r="M2135" s="162"/>
      <c r="N2135" s="162" t="s">
        <v>127</v>
      </c>
      <c r="O2135" s="164"/>
      <c r="P2135" s="164">
        <f t="shared" si="13"/>
        <v>44217</v>
      </c>
      <c r="Q2135" s="165">
        <f t="shared" si="2"/>
        <v>0</v>
      </c>
      <c r="R2135" s="167"/>
      <c r="S2135" s="167"/>
      <c r="T2135" s="168">
        <f t="shared" si="3"/>
        <v>0</v>
      </c>
      <c r="U2135" s="168">
        <f t="shared" si="4"/>
        <v>0</v>
      </c>
      <c r="V2135" s="168">
        <f t="shared" si="5"/>
        <v>0</v>
      </c>
      <c r="W2135" s="168">
        <f t="shared" si="6"/>
        <v>0</v>
      </c>
      <c r="X2135" s="168">
        <f t="shared" si="7"/>
        <v>0</v>
      </c>
      <c r="Y2135" s="168">
        <f t="shared" si="8"/>
        <v>0</v>
      </c>
      <c r="Z2135" s="168">
        <f t="shared" si="9"/>
        <v>0</v>
      </c>
      <c r="AA2135" s="240"/>
      <c r="AB2135" s="240"/>
      <c r="AC2135" s="240"/>
    </row>
    <row r="2136" ht="14.25" customHeight="1">
      <c r="A2136" s="157" t="s">
        <v>2366</v>
      </c>
      <c r="B2136" s="158" t="s">
        <v>127</v>
      </c>
      <c r="C2136" s="158"/>
      <c r="D2136" s="159">
        <v>44207.0</v>
      </c>
      <c r="E2136" s="157"/>
      <c r="F2136" s="160"/>
      <c r="G2136" s="160"/>
      <c r="H2136" s="160">
        <f t="shared" si="52"/>
        <v>0</v>
      </c>
      <c r="I2136" s="160"/>
      <c r="J2136" s="161"/>
      <c r="K2136" s="160"/>
      <c r="L2136" s="160">
        <f>+'FACP$'!$H2136-'FACP$'!$I2136-'FACP$'!$K2136</f>
        <v>0</v>
      </c>
      <c r="M2136" s="162"/>
      <c r="N2136" s="162" t="s">
        <v>127</v>
      </c>
      <c r="O2136" s="164"/>
      <c r="P2136" s="164">
        <f t="shared" si="13"/>
        <v>44217</v>
      </c>
      <c r="Q2136" s="165">
        <f t="shared" si="2"/>
        <v>0</v>
      </c>
      <c r="R2136" s="167"/>
      <c r="S2136" s="167"/>
      <c r="T2136" s="168">
        <f t="shared" si="3"/>
        <v>0</v>
      </c>
      <c r="U2136" s="168">
        <f t="shared" si="4"/>
        <v>0</v>
      </c>
      <c r="V2136" s="168">
        <f t="shared" si="5"/>
        <v>0</v>
      </c>
      <c r="W2136" s="168">
        <f t="shared" si="6"/>
        <v>0</v>
      </c>
      <c r="X2136" s="168">
        <f t="shared" si="7"/>
        <v>0</v>
      </c>
      <c r="Y2136" s="168">
        <f t="shared" si="8"/>
        <v>0</v>
      </c>
      <c r="Z2136" s="168">
        <f t="shared" si="9"/>
        <v>0</v>
      </c>
    </row>
    <row r="2137" ht="14.25" customHeight="1">
      <c r="A2137" s="157" t="s">
        <v>2367</v>
      </c>
      <c r="B2137" s="158" t="s">
        <v>37</v>
      </c>
      <c r="C2137" s="158" t="s">
        <v>2355</v>
      </c>
      <c r="D2137" s="159">
        <v>44208.0</v>
      </c>
      <c r="E2137" s="157" t="s">
        <v>731</v>
      </c>
      <c r="F2137" s="160">
        <v>1.0</v>
      </c>
      <c r="G2137" s="160">
        <v>0.16</v>
      </c>
      <c r="H2137" s="160">
        <f t="shared" si="52"/>
        <v>1.16</v>
      </c>
      <c r="I2137" s="160"/>
      <c r="J2137" s="161"/>
      <c r="K2137" s="160"/>
      <c r="L2137" s="160">
        <f>+'FACP$'!$H2137-'FACP$'!$I2137-'FACP$'!$K2137</f>
        <v>1.16</v>
      </c>
      <c r="M2137" s="162" t="s">
        <v>116</v>
      </c>
      <c r="N2137" s="162" t="s">
        <v>127</v>
      </c>
      <c r="O2137" s="164"/>
      <c r="P2137" s="164">
        <f t="shared" si="13"/>
        <v>44218</v>
      </c>
      <c r="Q2137" s="165">
        <f t="shared" si="2"/>
        <v>0</v>
      </c>
      <c r="R2137" s="167"/>
      <c r="S2137" s="167"/>
      <c r="T2137" s="168">
        <f t="shared" si="3"/>
        <v>1.16</v>
      </c>
      <c r="U2137" s="168">
        <f t="shared" si="4"/>
        <v>0</v>
      </c>
      <c r="V2137" s="168">
        <f t="shared" si="5"/>
        <v>0</v>
      </c>
      <c r="W2137" s="168">
        <f t="shared" si="6"/>
        <v>0</v>
      </c>
      <c r="X2137" s="168">
        <f t="shared" si="7"/>
        <v>0</v>
      </c>
      <c r="Y2137" s="168">
        <f t="shared" si="8"/>
        <v>0</v>
      </c>
      <c r="Z2137" s="168">
        <f t="shared" si="9"/>
        <v>0</v>
      </c>
    </row>
    <row r="2138" ht="14.25" customHeight="1">
      <c r="A2138" s="157" t="s">
        <v>2368</v>
      </c>
      <c r="B2138" s="158" t="s">
        <v>37</v>
      </c>
      <c r="C2138" s="158" t="s">
        <v>2355</v>
      </c>
      <c r="D2138" s="159">
        <v>44208.0</v>
      </c>
      <c r="E2138" s="157" t="s">
        <v>731</v>
      </c>
      <c r="F2138" s="160">
        <v>1.0</v>
      </c>
      <c r="G2138" s="160">
        <v>0.16</v>
      </c>
      <c r="H2138" s="160">
        <f t="shared" si="52"/>
        <v>1.16</v>
      </c>
      <c r="I2138" s="160"/>
      <c r="J2138" s="161"/>
      <c r="K2138" s="160"/>
      <c r="L2138" s="160">
        <f>+'FACP$'!$H2138-'FACP$'!$I2138-'FACP$'!$K2138</f>
        <v>1.16</v>
      </c>
      <c r="M2138" s="162" t="s">
        <v>116</v>
      </c>
      <c r="N2138" s="162" t="s">
        <v>127</v>
      </c>
      <c r="O2138" s="164"/>
      <c r="P2138" s="164">
        <f t="shared" si="13"/>
        <v>44218</v>
      </c>
      <c r="Q2138" s="165">
        <f t="shared" si="2"/>
        <v>0</v>
      </c>
      <c r="R2138" s="167"/>
      <c r="S2138" s="167"/>
      <c r="T2138" s="168">
        <f t="shared" si="3"/>
        <v>1.16</v>
      </c>
      <c r="U2138" s="168">
        <f t="shared" si="4"/>
        <v>0</v>
      </c>
      <c r="V2138" s="168">
        <f t="shared" si="5"/>
        <v>0</v>
      </c>
      <c r="W2138" s="168">
        <f t="shared" si="6"/>
        <v>0</v>
      </c>
      <c r="X2138" s="168">
        <f t="shared" si="7"/>
        <v>0</v>
      </c>
      <c r="Y2138" s="168">
        <f t="shared" si="8"/>
        <v>0</v>
      </c>
      <c r="Z2138" s="168">
        <f t="shared" si="9"/>
        <v>0</v>
      </c>
    </row>
    <row r="2139" ht="14.25" customHeight="1">
      <c r="A2139" s="157" t="s">
        <v>2369</v>
      </c>
      <c r="B2139" s="158" t="s">
        <v>37</v>
      </c>
      <c r="C2139" s="158" t="s">
        <v>2355</v>
      </c>
      <c r="D2139" s="159">
        <v>44208.0</v>
      </c>
      <c r="E2139" s="157" t="s">
        <v>731</v>
      </c>
      <c r="F2139" s="160">
        <v>1.0</v>
      </c>
      <c r="G2139" s="160">
        <v>0.16</v>
      </c>
      <c r="H2139" s="160">
        <f t="shared" si="52"/>
        <v>1.16</v>
      </c>
      <c r="I2139" s="160"/>
      <c r="J2139" s="161"/>
      <c r="K2139" s="160"/>
      <c r="L2139" s="160">
        <f>+'FACP$'!$H2139-'FACP$'!$I2139-'FACP$'!$K2139</f>
        <v>1.16</v>
      </c>
      <c r="M2139" s="162" t="s">
        <v>116</v>
      </c>
      <c r="N2139" s="162" t="s">
        <v>127</v>
      </c>
      <c r="O2139" s="164"/>
      <c r="P2139" s="164">
        <f t="shared" si="13"/>
        <v>44218</v>
      </c>
      <c r="Q2139" s="165">
        <f t="shared" si="2"/>
        <v>0</v>
      </c>
      <c r="R2139" s="167"/>
      <c r="S2139" s="167"/>
      <c r="T2139" s="168">
        <f t="shared" si="3"/>
        <v>1.16</v>
      </c>
      <c r="U2139" s="168">
        <f t="shared" si="4"/>
        <v>0</v>
      </c>
      <c r="V2139" s="168">
        <f t="shared" si="5"/>
        <v>0</v>
      </c>
      <c r="W2139" s="168">
        <f t="shared" si="6"/>
        <v>0</v>
      </c>
      <c r="X2139" s="168">
        <f t="shared" si="7"/>
        <v>0</v>
      </c>
      <c r="Y2139" s="168">
        <f t="shared" si="8"/>
        <v>0</v>
      </c>
      <c r="Z2139" s="168">
        <f t="shared" si="9"/>
        <v>0</v>
      </c>
    </row>
    <row r="2140" ht="14.25" customHeight="1">
      <c r="A2140" s="157" t="s">
        <v>2370</v>
      </c>
      <c r="B2140" s="158" t="s">
        <v>18</v>
      </c>
      <c r="C2140" s="158" t="s">
        <v>2355</v>
      </c>
      <c r="D2140" s="159">
        <v>44208.0</v>
      </c>
      <c r="E2140" s="157" t="s">
        <v>731</v>
      </c>
      <c r="F2140" s="160">
        <v>1.0</v>
      </c>
      <c r="G2140" s="160">
        <v>0.16</v>
      </c>
      <c r="H2140" s="160">
        <f t="shared" si="52"/>
        <v>1.16</v>
      </c>
      <c r="I2140" s="160"/>
      <c r="J2140" s="161"/>
      <c r="K2140" s="160"/>
      <c r="L2140" s="160">
        <f>+'FACP$'!$H2140-'FACP$'!$I2140-'FACP$'!$K2140</f>
        <v>1.16</v>
      </c>
      <c r="M2140" s="162" t="s">
        <v>586</v>
      </c>
      <c r="N2140" s="162" t="s">
        <v>127</v>
      </c>
      <c r="O2140" s="164"/>
      <c r="P2140" s="164">
        <f t="shared" si="13"/>
        <v>44218</v>
      </c>
      <c r="Q2140" s="165">
        <f t="shared" si="2"/>
        <v>0</v>
      </c>
      <c r="R2140" s="167"/>
      <c r="S2140" s="167"/>
      <c r="T2140" s="168">
        <f t="shared" si="3"/>
        <v>1.16</v>
      </c>
      <c r="U2140" s="168">
        <f t="shared" si="4"/>
        <v>0</v>
      </c>
      <c r="V2140" s="168">
        <f t="shared" si="5"/>
        <v>0</v>
      </c>
      <c r="W2140" s="168">
        <f t="shared" si="6"/>
        <v>0</v>
      </c>
      <c r="X2140" s="168">
        <f t="shared" si="7"/>
        <v>0</v>
      </c>
      <c r="Y2140" s="168">
        <f t="shared" si="8"/>
        <v>0</v>
      </c>
      <c r="Z2140" s="168">
        <f t="shared" si="9"/>
        <v>0</v>
      </c>
    </row>
    <row r="2141" ht="15.0" customHeight="1">
      <c r="A2141" s="157" t="s">
        <v>2371</v>
      </c>
      <c r="B2141" s="158" t="s">
        <v>19</v>
      </c>
      <c r="C2141" s="158" t="s">
        <v>2355</v>
      </c>
      <c r="D2141" s="159">
        <v>44208.0</v>
      </c>
      <c r="E2141" s="157" t="s">
        <v>731</v>
      </c>
      <c r="F2141" s="160">
        <v>1.0</v>
      </c>
      <c r="G2141" s="160">
        <v>0.16</v>
      </c>
      <c r="H2141" s="160">
        <f t="shared" si="52"/>
        <v>1.16</v>
      </c>
      <c r="I2141" s="160"/>
      <c r="J2141" s="161"/>
      <c r="K2141" s="160"/>
      <c r="L2141" s="160">
        <f>+'FACP$'!$H2141-'FACP$'!$I2141-'FACP$'!$K2141</f>
        <v>1.16</v>
      </c>
      <c r="M2141" s="162" t="s">
        <v>732</v>
      </c>
      <c r="N2141" s="162" t="s">
        <v>127</v>
      </c>
      <c r="O2141" s="164"/>
      <c r="P2141" s="164">
        <f t="shared" si="13"/>
        <v>44218</v>
      </c>
      <c r="Q2141" s="165">
        <f t="shared" si="2"/>
        <v>0</v>
      </c>
      <c r="R2141" s="167"/>
      <c r="S2141" s="167"/>
      <c r="T2141" s="168">
        <f t="shared" si="3"/>
        <v>1.16</v>
      </c>
      <c r="U2141" s="168">
        <f t="shared" si="4"/>
        <v>0</v>
      </c>
      <c r="V2141" s="168">
        <f t="shared" si="5"/>
        <v>0</v>
      </c>
      <c r="W2141" s="168">
        <f t="shared" si="6"/>
        <v>0</v>
      </c>
      <c r="X2141" s="168">
        <f t="shared" si="7"/>
        <v>0</v>
      </c>
      <c r="Y2141" s="168">
        <f t="shared" si="8"/>
        <v>0</v>
      </c>
      <c r="Z2141" s="168">
        <f t="shared" si="9"/>
        <v>0</v>
      </c>
    </row>
    <row r="2142" ht="15.0" customHeight="1">
      <c r="A2142" s="157" t="s">
        <v>2372</v>
      </c>
      <c r="B2142" s="158" t="s">
        <v>16</v>
      </c>
      <c r="C2142" s="158" t="s">
        <v>2355</v>
      </c>
      <c r="D2142" s="159">
        <v>44208.0</v>
      </c>
      <c r="E2142" s="157" t="s">
        <v>731</v>
      </c>
      <c r="F2142" s="160">
        <v>1.0</v>
      </c>
      <c r="G2142" s="160">
        <v>0.16</v>
      </c>
      <c r="H2142" s="160">
        <f t="shared" si="52"/>
        <v>1.16</v>
      </c>
      <c r="I2142" s="160"/>
      <c r="J2142" s="161"/>
      <c r="K2142" s="160"/>
      <c r="L2142" s="160">
        <f>+'FACP$'!$H2142-'FACP$'!$I2142-'FACP$'!$K2142</f>
        <v>1.16</v>
      </c>
      <c r="M2142" s="162" t="s">
        <v>985</v>
      </c>
      <c r="N2142" s="162" t="s">
        <v>127</v>
      </c>
      <c r="O2142" s="164"/>
      <c r="P2142" s="164">
        <f t="shared" si="13"/>
        <v>44218</v>
      </c>
      <c r="Q2142" s="165">
        <f t="shared" si="2"/>
        <v>0</v>
      </c>
      <c r="R2142" s="167"/>
      <c r="S2142" s="167"/>
      <c r="T2142" s="168">
        <f t="shared" si="3"/>
        <v>1.16</v>
      </c>
      <c r="U2142" s="168">
        <f t="shared" si="4"/>
        <v>0</v>
      </c>
      <c r="V2142" s="168">
        <f t="shared" si="5"/>
        <v>0</v>
      </c>
      <c r="W2142" s="168">
        <f t="shared" si="6"/>
        <v>0</v>
      </c>
      <c r="X2142" s="168">
        <f t="shared" si="7"/>
        <v>0</v>
      </c>
      <c r="Y2142" s="168">
        <f t="shared" si="8"/>
        <v>0</v>
      </c>
      <c r="Z2142" s="168">
        <f t="shared" si="9"/>
        <v>0</v>
      </c>
    </row>
    <row r="2143" ht="15.0" customHeight="1">
      <c r="A2143" s="157" t="s">
        <v>2373</v>
      </c>
      <c r="B2143" s="158" t="s">
        <v>38</v>
      </c>
      <c r="C2143" s="158" t="s">
        <v>2355</v>
      </c>
      <c r="D2143" s="159">
        <v>44208.0</v>
      </c>
      <c r="E2143" s="157" t="s">
        <v>731</v>
      </c>
      <c r="F2143" s="160">
        <v>1.0</v>
      </c>
      <c r="G2143" s="160">
        <v>0.16</v>
      </c>
      <c r="H2143" s="160">
        <f t="shared" si="52"/>
        <v>1.16</v>
      </c>
      <c r="I2143" s="160"/>
      <c r="J2143" s="161"/>
      <c r="K2143" s="160"/>
      <c r="L2143" s="160">
        <f>+'FACP$'!$H2143-'FACP$'!$I2143-'FACP$'!$K2143</f>
        <v>1.16</v>
      </c>
      <c r="M2143" s="162" t="s">
        <v>145</v>
      </c>
      <c r="N2143" s="162" t="s">
        <v>127</v>
      </c>
      <c r="O2143" s="164"/>
      <c r="P2143" s="164">
        <f t="shared" si="13"/>
        <v>44218</v>
      </c>
      <c r="Q2143" s="165">
        <f t="shared" si="2"/>
        <v>0</v>
      </c>
      <c r="R2143" s="167"/>
      <c r="S2143" s="167"/>
      <c r="T2143" s="168">
        <f t="shared" si="3"/>
        <v>1.16</v>
      </c>
      <c r="U2143" s="168">
        <f t="shared" si="4"/>
        <v>0</v>
      </c>
      <c r="V2143" s="168">
        <f t="shared" si="5"/>
        <v>0</v>
      </c>
      <c r="W2143" s="168">
        <f t="shared" si="6"/>
        <v>0</v>
      </c>
      <c r="X2143" s="168">
        <f t="shared" si="7"/>
        <v>0</v>
      </c>
      <c r="Y2143" s="168">
        <f t="shared" si="8"/>
        <v>0</v>
      </c>
      <c r="Z2143" s="168">
        <f t="shared" si="9"/>
        <v>0</v>
      </c>
    </row>
    <row r="2144" ht="15.0" customHeight="1">
      <c r="A2144" s="157" t="s">
        <v>2374</v>
      </c>
      <c r="B2144" s="158" t="s">
        <v>16</v>
      </c>
      <c r="C2144" s="158" t="s">
        <v>2355</v>
      </c>
      <c r="D2144" s="159">
        <v>44208.0</v>
      </c>
      <c r="E2144" s="157" t="s">
        <v>731</v>
      </c>
      <c r="F2144" s="160">
        <v>1.0</v>
      </c>
      <c r="G2144" s="160">
        <v>0.16</v>
      </c>
      <c r="H2144" s="160">
        <f t="shared" si="52"/>
        <v>1.16</v>
      </c>
      <c r="I2144" s="160"/>
      <c r="J2144" s="161"/>
      <c r="K2144" s="160"/>
      <c r="L2144" s="160">
        <f>+'FACP$'!$H2144-'FACP$'!$I2144-'FACP$'!$K2144</f>
        <v>1.16</v>
      </c>
      <c r="M2144" s="162" t="s">
        <v>985</v>
      </c>
      <c r="N2144" s="162" t="s">
        <v>127</v>
      </c>
      <c r="O2144" s="164"/>
      <c r="P2144" s="164">
        <f t="shared" si="13"/>
        <v>44218</v>
      </c>
      <c r="Q2144" s="165">
        <f t="shared" si="2"/>
        <v>0</v>
      </c>
      <c r="R2144" s="167"/>
      <c r="S2144" s="167"/>
      <c r="T2144" s="168">
        <f t="shared" si="3"/>
        <v>1.16</v>
      </c>
      <c r="U2144" s="168">
        <f t="shared" si="4"/>
        <v>0</v>
      </c>
      <c r="V2144" s="168">
        <f t="shared" si="5"/>
        <v>0</v>
      </c>
      <c r="W2144" s="168">
        <f t="shared" si="6"/>
        <v>0</v>
      </c>
      <c r="X2144" s="168">
        <f t="shared" si="7"/>
        <v>0</v>
      </c>
      <c r="Y2144" s="168">
        <f t="shared" si="8"/>
        <v>0</v>
      </c>
      <c r="Z2144" s="168">
        <f t="shared" si="9"/>
        <v>0</v>
      </c>
    </row>
    <row r="2145" ht="15.0" customHeight="1">
      <c r="A2145" s="157" t="s">
        <v>2375</v>
      </c>
      <c r="B2145" s="158" t="s">
        <v>19</v>
      </c>
      <c r="C2145" s="158" t="s">
        <v>2355</v>
      </c>
      <c r="D2145" s="159">
        <v>44208.0</v>
      </c>
      <c r="E2145" s="157" t="s">
        <v>731</v>
      </c>
      <c r="F2145" s="160">
        <v>1.0</v>
      </c>
      <c r="G2145" s="160">
        <v>0.16</v>
      </c>
      <c r="H2145" s="160">
        <f t="shared" si="52"/>
        <v>1.16</v>
      </c>
      <c r="I2145" s="160"/>
      <c r="J2145" s="161"/>
      <c r="K2145" s="160"/>
      <c r="L2145" s="160">
        <f>+'FACP$'!$H2145-'FACP$'!$I2145-'FACP$'!$K2145</f>
        <v>1.16</v>
      </c>
      <c r="M2145" s="162" t="s">
        <v>732</v>
      </c>
      <c r="N2145" s="162" t="s">
        <v>127</v>
      </c>
      <c r="O2145" s="164"/>
      <c r="P2145" s="164">
        <f t="shared" si="13"/>
        <v>44218</v>
      </c>
      <c r="Q2145" s="165">
        <f t="shared" si="2"/>
        <v>0</v>
      </c>
      <c r="R2145" s="167"/>
      <c r="S2145" s="167"/>
      <c r="T2145" s="168">
        <f t="shared" si="3"/>
        <v>1.16</v>
      </c>
      <c r="U2145" s="168">
        <f t="shared" si="4"/>
        <v>0</v>
      </c>
      <c r="V2145" s="168">
        <f t="shared" si="5"/>
        <v>0</v>
      </c>
      <c r="W2145" s="168">
        <f t="shared" si="6"/>
        <v>0</v>
      </c>
      <c r="X2145" s="168">
        <f t="shared" si="7"/>
        <v>0</v>
      </c>
      <c r="Y2145" s="168">
        <f t="shared" si="8"/>
        <v>0</v>
      </c>
      <c r="Z2145" s="168">
        <f t="shared" si="9"/>
        <v>0</v>
      </c>
    </row>
    <row r="2146" ht="15.0" customHeight="1">
      <c r="A2146" s="157" t="s">
        <v>2376</v>
      </c>
      <c r="B2146" s="158" t="s">
        <v>16</v>
      </c>
      <c r="C2146" s="158" t="s">
        <v>2355</v>
      </c>
      <c r="D2146" s="159">
        <v>44208.0</v>
      </c>
      <c r="E2146" s="157" t="s">
        <v>731</v>
      </c>
      <c r="F2146" s="160">
        <v>1.0</v>
      </c>
      <c r="G2146" s="160">
        <v>0.16</v>
      </c>
      <c r="H2146" s="160">
        <f t="shared" si="52"/>
        <v>1.16</v>
      </c>
      <c r="I2146" s="160"/>
      <c r="J2146" s="161"/>
      <c r="K2146" s="160"/>
      <c r="L2146" s="160">
        <f>+'FACP$'!$H2146-'FACP$'!$I2146-'FACP$'!$K2146</f>
        <v>1.16</v>
      </c>
      <c r="M2146" s="162" t="s">
        <v>985</v>
      </c>
      <c r="N2146" s="162" t="s">
        <v>127</v>
      </c>
      <c r="O2146" s="164"/>
      <c r="P2146" s="164">
        <f t="shared" si="13"/>
        <v>44218</v>
      </c>
      <c r="Q2146" s="165">
        <f t="shared" si="2"/>
        <v>0</v>
      </c>
      <c r="R2146" s="167"/>
      <c r="S2146" s="167"/>
      <c r="T2146" s="168">
        <f t="shared" si="3"/>
        <v>1.16</v>
      </c>
      <c r="U2146" s="168">
        <f t="shared" si="4"/>
        <v>0</v>
      </c>
      <c r="V2146" s="168">
        <f t="shared" si="5"/>
        <v>0</v>
      </c>
      <c r="W2146" s="168">
        <f t="shared" si="6"/>
        <v>0</v>
      </c>
      <c r="X2146" s="168">
        <f t="shared" si="7"/>
        <v>0</v>
      </c>
      <c r="Y2146" s="168">
        <f t="shared" si="8"/>
        <v>0</v>
      </c>
      <c r="Z2146" s="168">
        <f t="shared" si="9"/>
        <v>0</v>
      </c>
    </row>
    <row r="2147" ht="15.0" customHeight="1">
      <c r="A2147" s="157" t="s">
        <v>2377</v>
      </c>
      <c r="B2147" s="158" t="s">
        <v>37</v>
      </c>
      <c r="C2147" s="158" t="s">
        <v>2355</v>
      </c>
      <c r="D2147" s="159">
        <v>44208.0</v>
      </c>
      <c r="E2147" s="157" t="s">
        <v>731</v>
      </c>
      <c r="F2147" s="160">
        <v>1.0</v>
      </c>
      <c r="G2147" s="160">
        <v>0.16</v>
      </c>
      <c r="H2147" s="160">
        <f t="shared" si="52"/>
        <v>1.16</v>
      </c>
      <c r="I2147" s="160"/>
      <c r="J2147" s="161"/>
      <c r="K2147" s="160"/>
      <c r="L2147" s="160">
        <f>+'FACP$'!$H2147-'FACP$'!$I2147-'FACP$'!$K2147</f>
        <v>1.16</v>
      </c>
      <c r="M2147" s="162" t="s">
        <v>116</v>
      </c>
      <c r="N2147" s="162" t="s">
        <v>127</v>
      </c>
      <c r="O2147" s="164"/>
      <c r="P2147" s="164">
        <f t="shared" si="13"/>
        <v>44218</v>
      </c>
      <c r="Q2147" s="165">
        <f t="shared" si="2"/>
        <v>0</v>
      </c>
      <c r="R2147" s="167"/>
      <c r="S2147" s="167"/>
      <c r="T2147" s="168">
        <f t="shared" si="3"/>
        <v>1.16</v>
      </c>
      <c r="U2147" s="168">
        <f t="shared" si="4"/>
        <v>0</v>
      </c>
      <c r="V2147" s="168">
        <f t="shared" si="5"/>
        <v>0</v>
      </c>
      <c r="W2147" s="168">
        <f t="shared" si="6"/>
        <v>0</v>
      </c>
      <c r="X2147" s="168">
        <f t="shared" si="7"/>
        <v>0</v>
      </c>
      <c r="Y2147" s="168">
        <f t="shared" si="8"/>
        <v>0</v>
      </c>
      <c r="Z2147" s="168">
        <f t="shared" si="9"/>
        <v>0</v>
      </c>
    </row>
    <row r="2148" ht="15.0" customHeight="1">
      <c r="A2148" s="157" t="s">
        <v>2378</v>
      </c>
      <c r="B2148" s="158" t="s">
        <v>37</v>
      </c>
      <c r="C2148" s="158" t="s">
        <v>2355</v>
      </c>
      <c r="D2148" s="159">
        <v>44208.0</v>
      </c>
      <c r="E2148" s="157" t="s">
        <v>731</v>
      </c>
      <c r="F2148" s="160">
        <v>1.0</v>
      </c>
      <c r="G2148" s="160">
        <v>0.16</v>
      </c>
      <c r="H2148" s="160">
        <f t="shared" si="52"/>
        <v>1.16</v>
      </c>
      <c r="I2148" s="160"/>
      <c r="J2148" s="161"/>
      <c r="K2148" s="160"/>
      <c r="L2148" s="160">
        <f>+'FACP$'!$H2148-'FACP$'!$I2148-'FACP$'!$K2148</f>
        <v>1.16</v>
      </c>
      <c r="M2148" s="162" t="s">
        <v>116</v>
      </c>
      <c r="N2148" s="162" t="s">
        <v>127</v>
      </c>
      <c r="O2148" s="164"/>
      <c r="P2148" s="164">
        <f t="shared" si="13"/>
        <v>44218</v>
      </c>
      <c r="Q2148" s="165">
        <f t="shared" si="2"/>
        <v>0</v>
      </c>
      <c r="R2148" s="167"/>
      <c r="S2148" s="167"/>
      <c r="T2148" s="168">
        <f t="shared" si="3"/>
        <v>1.16</v>
      </c>
      <c r="U2148" s="168">
        <f t="shared" si="4"/>
        <v>0</v>
      </c>
      <c r="V2148" s="168">
        <f t="shared" si="5"/>
        <v>0</v>
      </c>
      <c r="W2148" s="168">
        <f t="shared" si="6"/>
        <v>0</v>
      </c>
      <c r="X2148" s="168">
        <f t="shared" si="7"/>
        <v>0</v>
      </c>
      <c r="Y2148" s="168">
        <f t="shared" si="8"/>
        <v>0</v>
      </c>
      <c r="Z2148" s="168">
        <f t="shared" si="9"/>
        <v>0</v>
      </c>
    </row>
    <row r="2149" ht="15.0" customHeight="1">
      <c r="A2149" s="157" t="s">
        <v>2379</v>
      </c>
      <c r="B2149" s="158" t="s">
        <v>37</v>
      </c>
      <c r="C2149" s="158" t="s">
        <v>2355</v>
      </c>
      <c r="D2149" s="159">
        <v>44208.0</v>
      </c>
      <c r="E2149" s="157" t="s">
        <v>731</v>
      </c>
      <c r="F2149" s="160">
        <v>1.0</v>
      </c>
      <c r="G2149" s="160">
        <v>0.16</v>
      </c>
      <c r="H2149" s="160">
        <f t="shared" si="52"/>
        <v>1.16</v>
      </c>
      <c r="I2149" s="160"/>
      <c r="J2149" s="161"/>
      <c r="K2149" s="160"/>
      <c r="L2149" s="160">
        <f>+'FACP$'!$H2149-'FACP$'!$I2149-'FACP$'!$K2149</f>
        <v>1.16</v>
      </c>
      <c r="M2149" s="162" t="s">
        <v>116</v>
      </c>
      <c r="N2149" s="162" t="s">
        <v>127</v>
      </c>
      <c r="O2149" s="164"/>
      <c r="P2149" s="164">
        <f t="shared" si="13"/>
        <v>44218</v>
      </c>
      <c r="Q2149" s="165">
        <f t="shared" si="2"/>
        <v>0</v>
      </c>
      <c r="R2149" s="167"/>
      <c r="S2149" s="167"/>
      <c r="T2149" s="168">
        <f t="shared" si="3"/>
        <v>1.16</v>
      </c>
      <c r="U2149" s="168">
        <f t="shared" si="4"/>
        <v>0</v>
      </c>
      <c r="V2149" s="168">
        <f t="shared" si="5"/>
        <v>0</v>
      </c>
      <c r="W2149" s="168">
        <f t="shared" si="6"/>
        <v>0</v>
      </c>
      <c r="X2149" s="168">
        <f t="shared" si="7"/>
        <v>0</v>
      </c>
      <c r="Y2149" s="168">
        <f t="shared" si="8"/>
        <v>0</v>
      </c>
      <c r="Z2149" s="168">
        <f t="shared" si="9"/>
        <v>0</v>
      </c>
    </row>
    <row r="2150" ht="15.0" customHeight="1">
      <c r="A2150" s="157" t="s">
        <v>2380</v>
      </c>
      <c r="B2150" s="158" t="s">
        <v>37</v>
      </c>
      <c r="C2150" s="158" t="s">
        <v>2355</v>
      </c>
      <c r="D2150" s="159">
        <v>44208.0</v>
      </c>
      <c r="E2150" s="157" t="s">
        <v>731</v>
      </c>
      <c r="F2150" s="160">
        <v>1.0</v>
      </c>
      <c r="G2150" s="160">
        <v>0.16</v>
      </c>
      <c r="H2150" s="160">
        <f t="shared" si="52"/>
        <v>1.16</v>
      </c>
      <c r="I2150" s="160"/>
      <c r="J2150" s="161"/>
      <c r="K2150" s="160"/>
      <c r="L2150" s="160">
        <f>+'FACP$'!$H2150-'FACP$'!$I2150-'FACP$'!$K2150</f>
        <v>1.16</v>
      </c>
      <c r="M2150" s="162" t="s">
        <v>116</v>
      </c>
      <c r="N2150" s="162" t="s">
        <v>127</v>
      </c>
      <c r="O2150" s="164"/>
      <c r="P2150" s="164">
        <f t="shared" si="13"/>
        <v>44218</v>
      </c>
      <c r="Q2150" s="165">
        <f t="shared" si="2"/>
        <v>0</v>
      </c>
      <c r="R2150" s="167"/>
      <c r="S2150" s="167"/>
      <c r="T2150" s="168">
        <f t="shared" si="3"/>
        <v>1.16</v>
      </c>
      <c r="U2150" s="168">
        <f t="shared" si="4"/>
        <v>0</v>
      </c>
      <c r="V2150" s="168">
        <f t="shared" si="5"/>
        <v>0</v>
      </c>
      <c r="W2150" s="168">
        <f t="shared" si="6"/>
        <v>0</v>
      </c>
      <c r="X2150" s="168">
        <f t="shared" si="7"/>
        <v>0</v>
      </c>
      <c r="Y2150" s="168">
        <f t="shared" si="8"/>
        <v>0</v>
      </c>
      <c r="Z2150" s="168">
        <f t="shared" si="9"/>
        <v>0</v>
      </c>
    </row>
    <row r="2151" ht="15.0" customHeight="1">
      <c r="A2151" s="157" t="s">
        <v>2381</v>
      </c>
      <c r="B2151" s="158" t="s">
        <v>37</v>
      </c>
      <c r="C2151" s="158" t="s">
        <v>2355</v>
      </c>
      <c r="D2151" s="159">
        <v>44208.0</v>
      </c>
      <c r="E2151" s="157" t="s">
        <v>731</v>
      </c>
      <c r="F2151" s="160">
        <v>1.0</v>
      </c>
      <c r="G2151" s="160">
        <v>0.16</v>
      </c>
      <c r="H2151" s="160">
        <f t="shared" si="52"/>
        <v>1.16</v>
      </c>
      <c r="I2151" s="160"/>
      <c r="J2151" s="161"/>
      <c r="K2151" s="160"/>
      <c r="L2151" s="160">
        <f>+'FACP$'!$H2151-'FACP$'!$I2151-'FACP$'!$K2151</f>
        <v>1.16</v>
      </c>
      <c r="M2151" s="162" t="s">
        <v>116</v>
      </c>
      <c r="N2151" s="162" t="s">
        <v>127</v>
      </c>
      <c r="O2151" s="164"/>
      <c r="P2151" s="164">
        <f t="shared" si="13"/>
        <v>44218</v>
      </c>
      <c r="Q2151" s="165">
        <f t="shared" si="2"/>
        <v>0</v>
      </c>
      <c r="R2151" s="167"/>
      <c r="S2151" s="167"/>
      <c r="T2151" s="168">
        <f t="shared" si="3"/>
        <v>1.16</v>
      </c>
      <c r="U2151" s="168">
        <f t="shared" si="4"/>
        <v>0</v>
      </c>
      <c r="V2151" s="168">
        <f t="shared" si="5"/>
        <v>0</v>
      </c>
      <c r="W2151" s="168">
        <f t="shared" si="6"/>
        <v>0</v>
      </c>
      <c r="X2151" s="168">
        <f t="shared" si="7"/>
        <v>0</v>
      </c>
      <c r="Y2151" s="168">
        <f t="shared" si="8"/>
        <v>0</v>
      </c>
      <c r="Z2151" s="168">
        <f t="shared" si="9"/>
        <v>0</v>
      </c>
    </row>
    <row r="2152" ht="15.0" customHeight="1">
      <c r="A2152" s="157" t="s">
        <v>2382</v>
      </c>
      <c r="B2152" s="158" t="s">
        <v>29</v>
      </c>
      <c r="C2152" s="158" t="s">
        <v>2355</v>
      </c>
      <c r="D2152" s="159">
        <v>44208.0</v>
      </c>
      <c r="E2152" s="157" t="s">
        <v>731</v>
      </c>
      <c r="F2152" s="160">
        <v>1.0</v>
      </c>
      <c r="G2152" s="160">
        <v>0.16</v>
      </c>
      <c r="H2152" s="160">
        <f t="shared" si="52"/>
        <v>1.16</v>
      </c>
      <c r="I2152" s="160"/>
      <c r="J2152" s="161"/>
      <c r="K2152" s="160"/>
      <c r="L2152" s="160">
        <f>+'FACP$'!$H2152-'FACP$'!$I2152-'FACP$'!$K2152</f>
        <v>1.16</v>
      </c>
      <c r="M2152" s="162" t="s">
        <v>130</v>
      </c>
      <c r="N2152" s="162" t="s">
        <v>127</v>
      </c>
      <c r="O2152" s="164"/>
      <c r="P2152" s="164">
        <f t="shared" si="13"/>
        <v>44218</v>
      </c>
      <c r="Q2152" s="165">
        <f t="shared" si="2"/>
        <v>0</v>
      </c>
      <c r="R2152" s="167"/>
      <c r="S2152" s="167"/>
      <c r="T2152" s="168">
        <f t="shared" si="3"/>
        <v>1.16</v>
      </c>
      <c r="U2152" s="168">
        <f t="shared" si="4"/>
        <v>0</v>
      </c>
      <c r="V2152" s="168">
        <f t="shared" si="5"/>
        <v>0</v>
      </c>
      <c r="W2152" s="168">
        <f t="shared" si="6"/>
        <v>0</v>
      </c>
      <c r="X2152" s="168">
        <f t="shared" si="7"/>
        <v>0</v>
      </c>
      <c r="Y2152" s="168">
        <f t="shared" si="8"/>
        <v>0</v>
      </c>
      <c r="Z2152" s="168">
        <f t="shared" si="9"/>
        <v>0</v>
      </c>
    </row>
    <row r="2153" ht="15.0" customHeight="1">
      <c r="A2153" s="157" t="s">
        <v>2383</v>
      </c>
      <c r="B2153" s="158" t="s">
        <v>41</v>
      </c>
      <c r="C2153" s="158" t="s">
        <v>2320</v>
      </c>
      <c r="D2153" s="159">
        <v>44208.0</v>
      </c>
      <c r="E2153" s="157" t="s">
        <v>731</v>
      </c>
      <c r="F2153" s="160">
        <v>1152830.05</v>
      </c>
      <c r="G2153" s="160">
        <v>184452.81</v>
      </c>
      <c r="H2153" s="160">
        <f t="shared" si="52"/>
        <v>1337282.86</v>
      </c>
      <c r="I2153" s="160"/>
      <c r="J2153" s="161"/>
      <c r="K2153" s="160"/>
      <c r="L2153" s="160">
        <f>+'FACP$'!$H2153-'FACP$'!$I2153-'FACP$'!$K2153</f>
        <v>1337282.86</v>
      </c>
      <c r="M2153" s="162" t="s">
        <v>121</v>
      </c>
      <c r="N2153" s="162" t="s">
        <v>554</v>
      </c>
      <c r="O2153" s="164">
        <v>44225.0</v>
      </c>
      <c r="P2153" s="164">
        <f t="shared" si="13"/>
        <v>44218</v>
      </c>
      <c r="Q2153" s="165">
        <f t="shared" si="2"/>
        <v>0</v>
      </c>
      <c r="R2153" s="167"/>
      <c r="S2153" s="167" t="s">
        <v>910</v>
      </c>
      <c r="T2153" s="168">
        <f t="shared" si="3"/>
        <v>1337282.86</v>
      </c>
      <c r="U2153" s="168">
        <f t="shared" si="4"/>
        <v>0</v>
      </c>
      <c r="V2153" s="168">
        <f t="shared" si="5"/>
        <v>0</v>
      </c>
      <c r="W2153" s="168">
        <f t="shared" si="6"/>
        <v>0</v>
      </c>
      <c r="X2153" s="168">
        <f t="shared" si="7"/>
        <v>0</v>
      </c>
      <c r="Y2153" s="168">
        <f t="shared" si="8"/>
        <v>0</v>
      </c>
      <c r="Z2153" s="168">
        <f t="shared" si="9"/>
        <v>0</v>
      </c>
    </row>
    <row r="2154" ht="15.0" customHeight="1">
      <c r="A2154" s="157" t="s">
        <v>2384</v>
      </c>
      <c r="B2154" s="158" t="s">
        <v>26</v>
      </c>
      <c r="C2154" s="158" t="s">
        <v>2385</v>
      </c>
      <c r="D2154" s="159">
        <v>44208.0</v>
      </c>
      <c r="E2154" s="157" t="s">
        <v>731</v>
      </c>
      <c r="F2154" s="160">
        <v>63171.76</v>
      </c>
      <c r="G2154" s="160">
        <v>10107.48</v>
      </c>
      <c r="H2154" s="160">
        <f t="shared" si="52"/>
        <v>73279.24</v>
      </c>
      <c r="I2154" s="160"/>
      <c r="J2154" s="161"/>
      <c r="K2154" s="160"/>
      <c r="L2154" s="160">
        <f>+'FACP$'!$H2154-'FACP$'!$I2154-'FACP$'!$K2154</f>
        <v>73279.24</v>
      </c>
      <c r="M2154" s="162" t="s">
        <v>2386</v>
      </c>
      <c r="N2154" s="162" t="s">
        <v>554</v>
      </c>
      <c r="O2154" s="164">
        <v>44223.0</v>
      </c>
      <c r="P2154" s="164">
        <f t="shared" si="13"/>
        <v>44218</v>
      </c>
      <c r="Q2154" s="165">
        <f t="shared" si="2"/>
        <v>0</v>
      </c>
      <c r="R2154" s="167"/>
      <c r="S2154" s="167"/>
      <c r="T2154" s="168">
        <f t="shared" si="3"/>
        <v>73279.24</v>
      </c>
      <c r="U2154" s="168">
        <f t="shared" si="4"/>
        <v>0</v>
      </c>
      <c r="V2154" s="168">
        <f t="shared" si="5"/>
        <v>0</v>
      </c>
      <c r="W2154" s="168">
        <f t="shared" si="6"/>
        <v>0</v>
      </c>
      <c r="X2154" s="168">
        <f t="shared" si="7"/>
        <v>0</v>
      </c>
      <c r="Y2154" s="168">
        <f t="shared" si="8"/>
        <v>0</v>
      </c>
      <c r="Z2154" s="168">
        <f t="shared" si="9"/>
        <v>0</v>
      </c>
    </row>
    <row r="2155" ht="15.0" customHeight="1">
      <c r="A2155" s="157" t="s">
        <v>2387</v>
      </c>
      <c r="B2155" s="158" t="s">
        <v>43</v>
      </c>
      <c r="C2155" s="158" t="s">
        <v>2388</v>
      </c>
      <c r="D2155" s="159">
        <v>44215.0</v>
      </c>
      <c r="E2155" s="157" t="s">
        <v>731</v>
      </c>
      <c r="F2155" s="160">
        <v>1141993.26</v>
      </c>
      <c r="G2155" s="160">
        <v>182718.92</v>
      </c>
      <c r="H2155" s="160">
        <f t="shared" si="52"/>
        <v>1324712.18</v>
      </c>
      <c r="I2155" s="160"/>
      <c r="J2155" s="161"/>
      <c r="K2155" s="160"/>
      <c r="L2155" s="160">
        <f>+'FACP$'!$H2155-'FACP$'!$I2155-'FACP$'!$K2155</f>
        <v>1324712.18</v>
      </c>
      <c r="M2155" s="162" t="s">
        <v>43</v>
      </c>
      <c r="N2155" s="162" t="s">
        <v>554</v>
      </c>
      <c r="O2155" s="164">
        <v>44224.0</v>
      </c>
      <c r="P2155" s="164">
        <f t="shared" si="13"/>
        <v>44225</v>
      </c>
      <c r="Q2155" s="165">
        <f t="shared" si="2"/>
        <v>0</v>
      </c>
      <c r="R2155" s="167"/>
      <c r="S2155" s="167" t="s">
        <v>910</v>
      </c>
      <c r="T2155" s="168">
        <f t="shared" si="3"/>
        <v>1324712.18</v>
      </c>
      <c r="U2155" s="168">
        <f t="shared" si="4"/>
        <v>0</v>
      </c>
      <c r="V2155" s="168">
        <f t="shared" si="5"/>
        <v>0</v>
      </c>
      <c r="W2155" s="168">
        <f t="shared" si="6"/>
        <v>0</v>
      </c>
      <c r="X2155" s="168">
        <f t="shared" si="7"/>
        <v>0</v>
      </c>
      <c r="Y2155" s="168">
        <f t="shared" si="8"/>
        <v>0</v>
      </c>
      <c r="Z2155" s="168">
        <f t="shared" si="9"/>
        <v>0</v>
      </c>
    </row>
    <row r="2156" ht="15.0" customHeight="1">
      <c r="A2156" s="157" t="s">
        <v>2389</v>
      </c>
      <c r="B2156" s="158" t="s">
        <v>1127</v>
      </c>
      <c r="C2156" s="158" t="s">
        <v>2388</v>
      </c>
      <c r="D2156" s="159">
        <v>44215.0</v>
      </c>
      <c r="E2156" s="157" t="s">
        <v>731</v>
      </c>
      <c r="F2156" s="160">
        <v>313117.03</v>
      </c>
      <c r="G2156" s="160">
        <v>50098.72</v>
      </c>
      <c r="H2156" s="160">
        <f t="shared" si="52"/>
        <v>363215.75</v>
      </c>
      <c r="I2156" s="160"/>
      <c r="J2156" s="161"/>
      <c r="K2156" s="160"/>
      <c r="L2156" s="160">
        <f>+'FACP$'!$H2156-'FACP$'!$I2156-'FACP$'!$K2156</f>
        <v>363215.75</v>
      </c>
      <c r="M2156" s="162" t="s">
        <v>580</v>
      </c>
      <c r="N2156" s="162" t="s">
        <v>554</v>
      </c>
      <c r="O2156" s="164">
        <v>44232.0</v>
      </c>
      <c r="P2156" s="164">
        <f t="shared" si="13"/>
        <v>44225</v>
      </c>
      <c r="Q2156" s="165">
        <f t="shared" si="2"/>
        <v>0</v>
      </c>
      <c r="R2156" s="167"/>
      <c r="S2156" s="167"/>
      <c r="T2156" s="168">
        <f t="shared" si="3"/>
        <v>363215.75</v>
      </c>
      <c r="U2156" s="168">
        <f t="shared" si="4"/>
        <v>0</v>
      </c>
      <c r="V2156" s="168">
        <f t="shared" si="5"/>
        <v>0</v>
      </c>
      <c r="W2156" s="168">
        <f t="shared" si="6"/>
        <v>0</v>
      </c>
      <c r="X2156" s="168">
        <f t="shared" si="7"/>
        <v>0</v>
      </c>
      <c r="Y2156" s="168">
        <f t="shared" si="8"/>
        <v>0</v>
      </c>
      <c r="Z2156" s="168">
        <f t="shared" si="9"/>
        <v>0</v>
      </c>
    </row>
    <row r="2157" ht="15.0" customHeight="1">
      <c r="A2157" s="157" t="s">
        <v>2390</v>
      </c>
      <c r="B2157" s="158" t="s">
        <v>36</v>
      </c>
      <c r="C2157" s="158" t="s">
        <v>2388</v>
      </c>
      <c r="D2157" s="159">
        <v>44215.0</v>
      </c>
      <c r="E2157" s="157" t="s">
        <v>731</v>
      </c>
      <c r="F2157" s="160">
        <v>40010.54</v>
      </c>
      <c r="G2157" s="160">
        <v>6401.69</v>
      </c>
      <c r="H2157" s="160">
        <f t="shared" si="52"/>
        <v>46412.23</v>
      </c>
      <c r="I2157" s="160"/>
      <c r="J2157" s="161"/>
      <c r="K2157" s="160"/>
      <c r="L2157" s="160">
        <f>+'FACP$'!$H2157-'FACP$'!$I2157-'FACP$'!$K2157</f>
        <v>46412.23</v>
      </c>
      <c r="M2157" s="162" t="s">
        <v>278</v>
      </c>
      <c r="N2157" s="162" t="s">
        <v>554</v>
      </c>
      <c r="O2157" s="164">
        <v>44271.0</v>
      </c>
      <c r="P2157" s="164">
        <f t="shared" si="13"/>
        <v>44225</v>
      </c>
      <c r="Q2157" s="165">
        <f t="shared" si="2"/>
        <v>0</v>
      </c>
      <c r="R2157" s="167"/>
      <c r="S2157" s="167"/>
      <c r="T2157" s="168">
        <f t="shared" si="3"/>
        <v>46412.23</v>
      </c>
      <c r="U2157" s="168">
        <f t="shared" si="4"/>
        <v>0</v>
      </c>
      <c r="V2157" s="168">
        <f t="shared" si="5"/>
        <v>0</v>
      </c>
      <c r="W2157" s="168">
        <f t="shared" si="6"/>
        <v>0</v>
      </c>
      <c r="X2157" s="168">
        <f t="shared" si="7"/>
        <v>0</v>
      </c>
      <c r="Y2157" s="168">
        <f t="shared" si="8"/>
        <v>0</v>
      </c>
      <c r="Z2157" s="168">
        <f t="shared" si="9"/>
        <v>0</v>
      </c>
    </row>
    <row r="2158" ht="15.0" customHeight="1">
      <c r="A2158" s="157" t="s">
        <v>2391</v>
      </c>
      <c r="B2158" s="158" t="s">
        <v>33</v>
      </c>
      <c r="C2158" s="158" t="s">
        <v>2388</v>
      </c>
      <c r="D2158" s="159">
        <v>44215.0</v>
      </c>
      <c r="E2158" s="157" t="s">
        <v>731</v>
      </c>
      <c r="F2158" s="160">
        <v>725665.09</v>
      </c>
      <c r="G2158" s="160">
        <v>116106.41</v>
      </c>
      <c r="H2158" s="160">
        <f t="shared" si="52"/>
        <v>841771.5</v>
      </c>
      <c r="I2158" s="160"/>
      <c r="J2158" s="161"/>
      <c r="K2158" s="160"/>
      <c r="L2158" s="160">
        <f>+'FACP$'!$H2158-'FACP$'!$I2158-'FACP$'!$K2158</f>
        <v>841771.5</v>
      </c>
      <c r="M2158" s="162" t="s">
        <v>33</v>
      </c>
      <c r="N2158" s="162" t="s">
        <v>554</v>
      </c>
      <c r="O2158" s="164">
        <v>44232.0</v>
      </c>
      <c r="P2158" s="164">
        <f t="shared" si="13"/>
        <v>44225</v>
      </c>
      <c r="Q2158" s="165">
        <f t="shared" si="2"/>
        <v>0</v>
      </c>
      <c r="R2158" s="167"/>
      <c r="S2158" s="167"/>
      <c r="T2158" s="168">
        <f t="shared" si="3"/>
        <v>841771.5</v>
      </c>
      <c r="U2158" s="168">
        <f t="shared" si="4"/>
        <v>0</v>
      </c>
      <c r="V2158" s="168">
        <f t="shared" si="5"/>
        <v>0</v>
      </c>
      <c r="W2158" s="168">
        <f t="shared" si="6"/>
        <v>0</v>
      </c>
      <c r="X2158" s="168">
        <f t="shared" si="7"/>
        <v>0</v>
      </c>
      <c r="Y2158" s="168">
        <f t="shared" si="8"/>
        <v>0</v>
      </c>
      <c r="Z2158" s="168">
        <f t="shared" si="9"/>
        <v>0</v>
      </c>
    </row>
    <row r="2159" ht="15.0" customHeight="1">
      <c r="A2159" s="157" t="s">
        <v>2392</v>
      </c>
      <c r="B2159" s="158" t="s">
        <v>35</v>
      </c>
      <c r="C2159" s="158" t="s">
        <v>2388</v>
      </c>
      <c r="D2159" s="159">
        <v>44215.0</v>
      </c>
      <c r="E2159" s="157" t="s">
        <v>731</v>
      </c>
      <c r="F2159" s="160">
        <v>482940.05</v>
      </c>
      <c r="G2159" s="160">
        <v>77270.41</v>
      </c>
      <c r="H2159" s="160">
        <f t="shared" si="52"/>
        <v>560210.46</v>
      </c>
      <c r="I2159" s="160"/>
      <c r="J2159" s="161"/>
      <c r="K2159" s="160"/>
      <c r="L2159" s="160">
        <f>+'FACP$'!$H2159-'FACP$'!$I2159-'FACP$'!$K2159</f>
        <v>560210.46</v>
      </c>
      <c r="M2159" s="162" t="s">
        <v>276</v>
      </c>
      <c r="N2159" s="162" t="s">
        <v>127</v>
      </c>
      <c r="O2159" s="164">
        <v>44237.0</v>
      </c>
      <c r="P2159" s="164">
        <f t="shared" si="13"/>
        <v>44225</v>
      </c>
      <c r="Q2159" s="165">
        <f t="shared" si="2"/>
        <v>0</v>
      </c>
      <c r="R2159" s="167" t="s">
        <v>2393</v>
      </c>
      <c r="S2159" s="167" t="s">
        <v>910</v>
      </c>
      <c r="T2159" s="168">
        <f t="shared" si="3"/>
        <v>560210.46</v>
      </c>
      <c r="U2159" s="168">
        <f t="shared" si="4"/>
        <v>0</v>
      </c>
      <c r="V2159" s="168">
        <f t="shared" si="5"/>
        <v>0</v>
      </c>
      <c r="W2159" s="168">
        <f t="shared" si="6"/>
        <v>0</v>
      </c>
      <c r="X2159" s="168">
        <f t="shared" si="7"/>
        <v>0</v>
      </c>
      <c r="Y2159" s="168">
        <f t="shared" si="8"/>
        <v>0</v>
      </c>
      <c r="Z2159" s="168">
        <f t="shared" si="9"/>
        <v>0</v>
      </c>
    </row>
    <row r="2160" ht="15.0" customHeight="1">
      <c r="A2160" s="157" t="s">
        <v>2394</v>
      </c>
      <c r="B2160" s="158" t="s">
        <v>21</v>
      </c>
      <c r="C2160" s="158" t="s">
        <v>2388</v>
      </c>
      <c r="D2160" s="159">
        <v>44215.0</v>
      </c>
      <c r="E2160" s="157" t="s">
        <v>731</v>
      </c>
      <c r="F2160" s="160">
        <v>12321.45</v>
      </c>
      <c r="G2160" s="160">
        <v>1971.43</v>
      </c>
      <c r="H2160" s="160">
        <f t="shared" si="52"/>
        <v>14292.88</v>
      </c>
      <c r="I2160" s="160"/>
      <c r="J2160" s="161"/>
      <c r="K2160" s="160"/>
      <c r="L2160" s="160">
        <f>+'FACP$'!$H2160-'FACP$'!$I2160-'FACP$'!$K2160</f>
        <v>14292.88</v>
      </c>
      <c r="M2160" s="162" t="s">
        <v>2263</v>
      </c>
      <c r="N2160" s="162" t="s">
        <v>554</v>
      </c>
      <c r="O2160" s="164">
        <v>44229.0</v>
      </c>
      <c r="P2160" s="164">
        <f t="shared" si="13"/>
        <v>44225</v>
      </c>
      <c r="Q2160" s="165">
        <f t="shared" si="2"/>
        <v>0</v>
      </c>
      <c r="R2160" s="167"/>
      <c r="S2160" s="167"/>
      <c r="T2160" s="168">
        <f t="shared" si="3"/>
        <v>14292.88</v>
      </c>
      <c r="U2160" s="168">
        <f t="shared" si="4"/>
        <v>0</v>
      </c>
      <c r="V2160" s="168">
        <f t="shared" si="5"/>
        <v>0</v>
      </c>
      <c r="W2160" s="168">
        <f t="shared" si="6"/>
        <v>0</v>
      </c>
      <c r="X2160" s="168">
        <f t="shared" si="7"/>
        <v>0</v>
      </c>
      <c r="Y2160" s="168">
        <f t="shared" si="8"/>
        <v>0</v>
      </c>
      <c r="Z2160" s="168">
        <f t="shared" si="9"/>
        <v>0</v>
      </c>
    </row>
    <row r="2161" ht="15.0" customHeight="1">
      <c r="A2161" s="157" t="s">
        <v>2395</v>
      </c>
      <c r="B2161" s="158" t="s">
        <v>27</v>
      </c>
      <c r="C2161" s="158" t="s">
        <v>2396</v>
      </c>
      <c r="D2161" s="159">
        <v>44215.0</v>
      </c>
      <c r="E2161" s="157" t="s">
        <v>731</v>
      </c>
      <c r="F2161" s="160">
        <v>123781.66</v>
      </c>
      <c r="G2161" s="160">
        <v>19805.07</v>
      </c>
      <c r="H2161" s="160">
        <f t="shared" si="52"/>
        <v>143586.73</v>
      </c>
      <c r="I2161" s="160"/>
      <c r="J2161" s="161"/>
      <c r="K2161" s="160"/>
      <c r="L2161" s="160">
        <f>+'FACP$'!$H2161-'FACP$'!$I2161-'FACP$'!$K2161</f>
        <v>143586.73</v>
      </c>
      <c r="M2161" s="162" t="s">
        <v>158</v>
      </c>
      <c r="N2161" s="162" t="s">
        <v>554</v>
      </c>
      <c r="O2161" s="164">
        <v>44251.0</v>
      </c>
      <c r="P2161" s="164">
        <f t="shared" si="13"/>
        <v>44225</v>
      </c>
      <c r="Q2161" s="165">
        <f t="shared" si="2"/>
        <v>0</v>
      </c>
      <c r="R2161" s="167"/>
      <c r="S2161" s="167"/>
      <c r="T2161" s="168">
        <f t="shared" si="3"/>
        <v>143586.73</v>
      </c>
      <c r="U2161" s="168">
        <f t="shared" si="4"/>
        <v>0</v>
      </c>
      <c r="V2161" s="168">
        <f t="shared" si="5"/>
        <v>0</v>
      </c>
      <c r="W2161" s="168">
        <f t="shared" si="6"/>
        <v>0</v>
      </c>
      <c r="X2161" s="168">
        <f t="shared" si="7"/>
        <v>0</v>
      </c>
      <c r="Y2161" s="168">
        <f t="shared" si="8"/>
        <v>0</v>
      </c>
      <c r="Z2161" s="168">
        <f t="shared" si="9"/>
        <v>0</v>
      </c>
    </row>
    <row r="2162" ht="15.0" customHeight="1">
      <c r="A2162" s="157" t="s">
        <v>2397</v>
      </c>
      <c r="B2162" s="158" t="s">
        <v>27</v>
      </c>
      <c r="C2162" s="158" t="s">
        <v>2398</v>
      </c>
      <c r="D2162" s="159">
        <v>44215.0</v>
      </c>
      <c r="E2162" s="157" t="s">
        <v>731</v>
      </c>
      <c r="F2162" s="160">
        <v>84024.3</v>
      </c>
      <c r="G2162" s="160">
        <v>13443.89</v>
      </c>
      <c r="H2162" s="160">
        <f t="shared" si="52"/>
        <v>97468.19</v>
      </c>
      <c r="I2162" s="160"/>
      <c r="J2162" s="161"/>
      <c r="K2162" s="160"/>
      <c r="L2162" s="160">
        <f>+'FACP$'!$H2162-'FACP$'!$I2162-'FACP$'!$K2162</f>
        <v>97468.19</v>
      </c>
      <c r="M2162" s="162" t="s">
        <v>158</v>
      </c>
      <c r="N2162" s="162" t="s">
        <v>554</v>
      </c>
      <c r="O2162" s="164">
        <v>44251.0</v>
      </c>
      <c r="P2162" s="164">
        <f t="shared" si="13"/>
        <v>44225</v>
      </c>
      <c r="Q2162" s="165">
        <f t="shared" si="2"/>
        <v>0</v>
      </c>
      <c r="R2162" s="167"/>
      <c r="S2162" s="167"/>
      <c r="T2162" s="168">
        <f t="shared" si="3"/>
        <v>97468.19</v>
      </c>
      <c r="U2162" s="168">
        <f t="shared" si="4"/>
        <v>0</v>
      </c>
      <c r="V2162" s="168">
        <f t="shared" si="5"/>
        <v>0</v>
      </c>
      <c r="W2162" s="168">
        <f t="shared" si="6"/>
        <v>0</v>
      </c>
      <c r="X2162" s="168">
        <f t="shared" si="7"/>
        <v>0</v>
      </c>
      <c r="Y2162" s="168">
        <f t="shared" si="8"/>
        <v>0</v>
      </c>
      <c r="Z2162" s="168">
        <f t="shared" si="9"/>
        <v>0</v>
      </c>
    </row>
    <row r="2163" ht="15.0" customHeight="1">
      <c r="A2163" s="157" t="s">
        <v>2399</v>
      </c>
      <c r="B2163" s="158" t="s">
        <v>27</v>
      </c>
      <c r="C2163" s="158" t="s">
        <v>2396</v>
      </c>
      <c r="D2163" s="159">
        <v>44215.0</v>
      </c>
      <c r="E2163" s="157" t="s">
        <v>731</v>
      </c>
      <c r="F2163" s="160">
        <v>362449.92</v>
      </c>
      <c r="G2163" s="160">
        <v>57991.99</v>
      </c>
      <c r="H2163" s="160">
        <f t="shared" si="52"/>
        <v>420441.91</v>
      </c>
      <c r="I2163" s="160"/>
      <c r="J2163" s="161"/>
      <c r="K2163" s="160"/>
      <c r="L2163" s="160">
        <f>+'FACP$'!$H2163-'FACP$'!$I2163-'FACP$'!$K2163</f>
        <v>420441.91</v>
      </c>
      <c r="M2163" s="162" t="s">
        <v>151</v>
      </c>
      <c r="N2163" s="162" t="s">
        <v>554</v>
      </c>
      <c r="O2163" s="164">
        <v>44257.0</v>
      </c>
      <c r="P2163" s="164">
        <f t="shared" si="13"/>
        <v>44225</v>
      </c>
      <c r="Q2163" s="165">
        <f t="shared" si="2"/>
        <v>0</v>
      </c>
      <c r="R2163" s="167"/>
      <c r="S2163" s="167"/>
      <c r="T2163" s="168">
        <f t="shared" si="3"/>
        <v>420441.91</v>
      </c>
      <c r="U2163" s="168">
        <f t="shared" si="4"/>
        <v>0</v>
      </c>
      <c r="V2163" s="168">
        <f t="shared" si="5"/>
        <v>0</v>
      </c>
      <c r="W2163" s="168">
        <f t="shared" si="6"/>
        <v>0</v>
      </c>
      <c r="X2163" s="168">
        <f t="shared" si="7"/>
        <v>0</v>
      </c>
      <c r="Y2163" s="168">
        <f t="shared" si="8"/>
        <v>0</v>
      </c>
      <c r="Z2163" s="168">
        <f t="shared" si="9"/>
        <v>0</v>
      </c>
    </row>
    <row r="2164" ht="15.0" customHeight="1">
      <c r="A2164" s="157" t="s">
        <v>2400</v>
      </c>
      <c r="B2164" s="158" t="s">
        <v>27</v>
      </c>
      <c r="C2164" s="158" t="s">
        <v>2398</v>
      </c>
      <c r="D2164" s="159">
        <v>44215.0</v>
      </c>
      <c r="E2164" s="157" t="s">
        <v>731</v>
      </c>
      <c r="F2164" s="160">
        <v>306438.14</v>
      </c>
      <c r="G2164" s="160">
        <v>49030.1</v>
      </c>
      <c r="H2164" s="160">
        <f t="shared" si="52"/>
        <v>355468.24</v>
      </c>
      <c r="I2164" s="160"/>
      <c r="J2164" s="161"/>
      <c r="K2164" s="160"/>
      <c r="L2164" s="160">
        <f>+'FACP$'!$H2164-'FACP$'!$I2164-'FACP$'!$K2164</f>
        <v>355468.24</v>
      </c>
      <c r="M2164" s="162" t="s">
        <v>151</v>
      </c>
      <c r="N2164" s="162" t="s">
        <v>554</v>
      </c>
      <c r="O2164" s="164">
        <v>44257.0</v>
      </c>
      <c r="P2164" s="164">
        <f t="shared" si="13"/>
        <v>44225</v>
      </c>
      <c r="Q2164" s="165">
        <f t="shared" si="2"/>
        <v>0</v>
      </c>
      <c r="R2164" s="167"/>
      <c r="S2164" s="167"/>
      <c r="T2164" s="168">
        <f t="shared" si="3"/>
        <v>355468.24</v>
      </c>
      <c r="U2164" s="168">
        <f t="shared" si="4"/>
        <v>0</v>
      </c>
      <c r="V2164" s="168">
        <f t="shared" si="5"/>
        <v>0</v>
      </c>
      <c r="W2164" s="168">
        <f t="shared" si="6"/>
        <v>0</v>
      </c>
      <c r="X2164" s="168">
        <f t="shared" si="7"/>
        <v>0</v>
      </c>
      <c r="Y2164" s="168">
        <f t="shared" si="8"/>
        <v>0</v>
      </c>
      <c r="Z2164" s="168">
        <f t="shared" si="9"/>
        <v>0</v>
      </c>
    </row>
    <row r="2165" ht="15.0" customHeight="1">
      <c r="A2165" s="157" t="s">
        <v>2401</v>
      </c>
      <c r="B2165" s="158" t="s">
        <v>27</v>
      </c>
      <c r="C2165" s="158" t="s">
        <v>2402</v>
      </c>
      <c r="D2165" s="159">
        <v>44215.0</v>
      </c>
      <c r="E2165" s="157" t="s">
        <v>731</v>
      </c>
      <c r="F2165" s="160">
        <v>20458.49</v>
      </c>
      <c r="G2165" s="160">
        <v>3273.36</v>
      </c>
      <c r="H2165" s="160">
        <f t="shared" si="52"/>
        <v>23731.85</v>
      </c>
      <c r="I2165" s="160"/>
      <c r="J2165" s="161"/>
      <c r="K2165" s="160"/>
      <c r="L2165" s="160">
        <f>+'FACP$'!$H2165-'FACP$'!$I2165-'FACP$'!$K2165</f>
        <v>23731.85</v>
      </c>
      <c r="M2165" s="162" t="s">
        <v>151</v>
      </c>
      <c r="N2165" s="162" t="s">
        <v>554</v>
      </c>
      <c r="O2165" s="164">
        <v>44257.0</v>
      </c>
      <c r="P2165" s="164">
        <f t="shared" si="13"/>
        <v>44225</v>
      </c>
      <c r="Q2165" s="165">
        <f t="shared" si="2"/>
        <v>0</v>
      </c>
      <c r="R2165" s="167"/>
      <c r="S2165" s="167"/>
      <c r="T2165" s="168">
        <f t="shared" si="3"/>
        <v>23731.85</v>
      </c>
      <c r="U2165" s="168">
        <f t="shared" si="4"/>
        <v>0</v>
      </c>
      <c r="V2165" s="168">
        <f t="shared" si="5"/>
        <v>0</v>
      </c>
      <c r="W2165" s="168">
        <f t="shared" si="6"/>
        <v>0</v>
      </c>
      <c r="X2165" s="168">
        <f t="shared" si="7"/>
        <v>0</v>
      </c>
      <c r="Y2165" s="168">
        <f t="shared" si="8"/>
        <v>0</v>
      </c>
      <c r="Z2165" s="168">
        <f t="shared" si="9"/>
        <v>0</v>
      </c>
    </row>
    <row r="2166" ht="15.0" customHeight="1">
      <c r="A2166" s="157" t="s">
        <v>2403</v>
      </c>
      <c r="B2166" s="158" t="s">
        <v>27</v>
      </c>
      <c r="C2166" s="158" t="s">
        <v>2404</v>
      </c>
      <c r="D2166" s="159">
        <v>44215.0</v>
      </c>
      <c r="E2166" s="157" t="s">
        <v>731</v>
      </c>
      <c r="F2166" s="160">
        <v>17296.9</v>
      </c>
      <c r="G2166" s="160">
        <v>2767.5</v>
      </c>
      <c r="H2166" s="160">
        <f t="shared" si="52"/>
        <v>20064.4</v>
      </c>
      <c r="I2166" s="160"/>
      <c r="J2166" s="161"/>
      <c r="K2166" s="160"/>
      <c r="L2166" s="160">
        <f>+'FACP$'!$H2166-'FACP$'!$I2166-'FACP$'!$K2166</f>
        <v>20064.4</v>
      </c>
      <c r="M2166" s="162" t="s">
        <v>151</v>
      </c>
      <c r="N2166" s="162" t="s">
        <v>554</v>
      </c>
      <c r="O2166" s="164">
        <v>44257.0</v>
      </c>
      <c r="P2166" s="164">
        <f t="shared" si="13"/>
        <v>44225</v>
      </c>
      <c r="Q2166" s="165">
        <f t="shared" si="2"/>
        <v>0</v>
      </c>
      <c r="R2166" s="167"/>
      <c r="S2166" s="167"/>
      <c r="T2166" s="168">
        <f t="shared" si="3"/>
        <v>20064.4</v>
      </c>
      <c r="U2166" s="168">
        <f t="shared" si="4"/>
        <v>0</v>
      </c>
      <c r="V2166" s="168">
        <f t="shared" si="5"/>
        <v>0</v>
      </c>
      <c r="W2166" s="168">
        <f t="shared" si="6"/>
        <v>0</v>
      </c>
      <c r="X2166" s="168">
        <f t="shared" si="7"/>
        <v>0</v>
      </c>
      <c r="Y2166" s="168">
        <f t="shared" si="8"/>
        <v>0</v>
      </c>
      <c r="Z2166" s="168">
        <f t="shared" si="9"/>
        <v>0</v>
      </c>
    </row>
    <row r="2167" ht="15.0" customHeight="1">
      <c r="A2167" s="157" t="s">
        <v>2405</v>
      </c>
      <c r="B2167" s="158" t="s">
        <v>16</v>
      </c>
      <c r="C2167" s="158" t="s">
        <v>2388</v>
      </c>
      <c r="D2167" s="159">
        <v>44217.0</v>
      </c>
      <c r="E2167" s="157" t="s">
        <v>731</v>
      </c>
      <c r="F2167" s="160">
        <v>232011.19</v>
      </c>
      <c r="G2167" s="160">
        <v>37121.79</v>
      </c>
      <c r="H2167" s="160">
        <f t="shared" si="52"/>
        <v>269132.98</v>
      </c>
      <c r="I2167" s="160"/>
      <c r="J2167" s="161"/>
      <c r="K2167" s="160"/>
      <c r="L2167" s="160">
        <f>+'FACP$'!$H2167-'FACP$'!$I2167-'FACP$'!$K2167</f>
        <v>269132.98</v>
      </c>
      <c r="M2167" s="162" t="s">
        <v>985</v>
      </c>
      <c r="N2167" s="162" t="s">
        <v>554</v>
      </c>
      <c r="O2167" s="164">
        <v>44239.0</v>
      </c>
      <c r="P2167" s="164">
        <f t="shared" si="13"/>
        <v>44227</v>
      </c>
      <c r="Q2167" s="165">
        <f t="shared" si="2"/>
        <v>0</v>
      </c>
      <c r="R2167" s="167"/>
      <c r="S2167" s="167"/>
      <c r="T2167" s="168">
        <f t="shared" si="3"/>
        <v>269132.98</v>
      </c>
      <c r="U2167" s="168">
        <f t="shared" si="4"/>
        <v>0</v>
      </c>
      <c r="V2167" s="168">
        <f t="shared" si="5"/>
        <v>0</v>
      </c>
      <c r="W2167" s="168">
        <f t="shared" si="6"/>
        <v>0</v>
      </c>
      <c r="X2167" s="168">
        <f t="shared" si="7"/>
        <v>0</v>
      </c>
      <c r="Y2167" s="168">
        <f t="shared" si="8"/>
        <v>0</v>
      </c>
      <c r="Z2167" s="168">
        <f t="shared" si="9"/>
        <v>0</v>
      </c>
    </row>
    <row r="2168" ht="15.0" customHeight="1">
      <c r="A2168" s="157" t="s">
        <v>2406</v>
      </c>
      <c r="B2168" s="158" t="s">
        <v>16</v>
      </c>
      <c r="C2168" s="158" t="s">
        <v>2407</v>
      </c>
      <c r="D2168" s="159">
        <v>44217.0</v>
      </c>
      <c r="E2168" s="157" t="s">
        <v>731</v>
      </c>
      <c r="F2168" s="160">
        <v>294520.62</v>
      </c>
      <c r="G2168" s="160">
        <v>47123.3</v>
      </c>
      <c r="H2168" s="160">
        <f t="shared" si="52"/>
        <v>341643.92</v>
      </c>
      <c r="I2168" s="160"/>
      <c r="J2168" s="161"/>
      <c r="K2168" s="160"/>
      <c r="L2168" s="160">
        <f>+'FACP$'!$H2168-'FACP$'!$I2168-'FACP$'!$K2168</f>
        <v>341643.92</v>
      </c>
      <c r="M2168" s="162" t="s">
        <v>985</v>
      </c>
      <c r="N2168" s="162" t="s">
        <v>554</v>
      </c>
      <c r="O2168" s="164">
        <v>44239.0</v>
      </c>
      <c r="P2168" s="164">
        <f t="shared" si="13"/>
        <v>44227</v>
      </c>
      <c r="Q2168" s="165">
        <f t="shared" si="2"/>
        <v>0</v>
      </c>
      <c r="R2168" s="167"/>
      <c r="S2168" s="167"/>
      <c r="T2168" s="168">
        <f t="shared" si="3"/>
        <v>341643.92</v>
      </c>
      <c r="U2168" s="168">
        <f t="shared" si="4"/>
        <v>0</v>
      </c>
      <c r="V2168" s="168">
        <f t="shared" si="5"/>
        <v>0</v>
      </c>
      <c r="W2168" s="168">
        <f t="shared" si="6"/>
        <v>0</v>
      </c>
      <c r="X2168" s="168">
        <f t="shared" si="7"/>
        <v>0</v>
      </c>
      <c r="Y2168" s="168">
        <f t="shared" si="8"/>
        <v>0</v>
      </c>
      <c r="Z2168" s="168">
        <f t="shared" si="9"/>
        <v>0</v>
      </c>
    </row>
    <row r="2169" ht="15.0" customHeight="1">
      <c r="A2169" s="157" t="s">
        <v>2408</v>
      </c>
      <c r="B2169" s="158" t="s">
        <v>18</v>
      </c>
      <c r="C2169" s="158" t="s">
        <v>2388</v>
      </c>
      <c r="D2169" s="159">
        <v>44217.0</v>
      </c>
      <c r="E2169" s="157" t="s">
        <v>731</v>
      </c>
      <c r="F2169" s="160">
        <v>109830.4</v>
      </c>
      <c r="G2169" s="160">
        <v>17572.86</v>
      </c>
      <c r="H2169" s="160">
        <f t="shared" si="52"/>
        <v>127403.26</v>
      </c>
      <c r="I2169" s="160"/>
      <c r="J2169" s="161"/>
      <c r="K2169" s="160"/>
      <c r="L2169" s="160">
        <f>+'FACP$'!$H2169-'FACP$'!$I2169-'FACP$'!$K2169</f>
        <v>127403.26</v>
      </c>
      <c r="M2169" s="162" t="s">
        <v>586</v>
      </c>
      <c r="N2169" s="162" t="s">
        <v>554</v>
      </c>
      <c r="O2169" s="164">
        <v>44250.0</v>
      </c>
      <c r="P2169" s="164">
        <f t="shared" si="13"/>
        <v>44227</v>
      </c>
      <c r="Q2169" s="165">
        <f t="shared" si="2"/>
        <v>0</v>
      </c>
      <c r="R2169" s="167"/>
      <c r="S2169" s="167"/>
      <c r="T2169" s="168">
        <f t="shared" si="3"/>
        <v>127403.26</v>
      </c>
      <c r="U2169" s="168">
        <f t="shared" si="4"/>
        <v>0</v>
      </c>
      <c r="V2169" s="168">
        <f t="shared" si="5"/>
        <v>0</v>
      </c>
      <c r="W2169" s="168">
        <f t="shared" si="6"/>
        <v>0</v>
      </c>
      <c r="X2169" s="168">
        <f t="shared" si="7"/>
        <v>0</v>
      </c>
      <c r="Y2169" s="168">
        <f t="shared" si="8"/>
        <v>0</v>
      </c>
      <c r="Z2169" s="168">
        <f t="shared" si="9"/>
        <v>0</v>
      </c>
    </row>
    <row r="2170" ht="15.0" customHeight="1">
      <c r="A2170" s="157" t="s">
        <v>2409</v>
      </c>
      <c r="B2170" s="158" t="s">
        <v>19</v>
      </c>
      <c r="C2170" s="158" t="s">
        <v>2410</v>
      </c>
      <c r="D2170" s="159">
        <v>44217.0</v>
      </c>
      <c r="E2170" s="157" t="s">
        <v>731</v>
      </c>
      <c r="F2170" s="160">
        <v>116407.0</v>
      </c>
      <c r="G2170" s="160">
        <v>18625.12</v>
      </c>
      <c r="H2170" s="160">
        <f t="shared" si="52"/>
        <v>135032.12</v>
      </c>
      <c r="I2170" s="160"/>
      <c r="J2170" s="161"/>
      <c r="K2170" s="160"/>
      <c r="L2170" s="160">
        <f>+'FACP$'!$H2170-'FACP$'!$I2170-'FACP$'!$K2170</f>
        <v>135032.12</v>
      </c>
      <c r="M2170" s="162" t="s">
        <v>732</v>
      </c>
      <c r="N2170" s="162" t="s">
        <v>554</v>
      </c>
      <c r="O2170" s="164">
        <v>44250.0</v>
      </c>
      <c r="P2170" s="164">
        <f t="shared" si="13"/>
        <v>44227</v>
      </c>
      <c r="Q2170" s="165">
        <f t="shared" si="2"/>
        <v>0</v>
      </c>
      <c r="R2170" s="167"/>
      <c r="S2170" s="167"/>
      <c r="T2170" s="168">
        <f t="shared" si="3"/>
        <v>135032.12</v>
      </c>
      <c r="U2170" s="168">
        <f t="shared" si="4"/>
        <v>0</v>
      </c>
      <c r="V2170" s="168">
        <f t="shared" si="5"/>
        <v>0</v>
      </c>
      <c r="W2170" s="168">
        <f t="shared" si="6"/>
        <v>0</v>
      </c>
      <c r="X2170" s="168">
        <f t="shared" si="7"/>
        <v>0</v>
      </c>
      <c r="Y2170" s="168">
        <f t="shared" si="8"/>
        <v>0</v>
      </c>
      <c r="Z2170" s="168">
        <f t="shared" si="9"/>
        <v>0</v>
      </c>
    </row>
    <row r="2171" ht="15.0" customHeight="1">
      <c r="A2171" s="157" t="s">
        <v>2411</v>
      </c>
      <c r="B2171" s="158" t="s">
        <v>29</v>
      </c>
      <c r="C2171" s="158" t="s">
        <v>2388</v>
      </c>
      <c r="D2171" s="159">
        <v>44217.0</v>
      </c>
      <c r="E2171" s="157" t="s">
        <v>731</v>
      </c>
      <c r="F2171" s="160">
        <v>269453.82</v>
      </c>
      <c r="G2171" s="160">
        <v>43112.61</v>
      </c>
      <c r="H2171" s="160">
        <f t="shared" si="52"/>
        <v>312566.43</v>
      </c>
      <c r="I2171" s="160"/>
      <c r="J2171" s="161"/>
      <c r="K2171" s="160"/>
      <c r="L2171" s="160">
        <f>+'FACP$'!$H2171-'FACP$'!$I2171-'FACP$'!$K2171</f>
        <v>312566.43</v>
      </c>
      <c r="M2171" s="162" t="s">
        <v>130</v>
      </c>
      <c r="N2171" s="162" t="s">
        <v>554</v>
      </c>
      <c r="O2171" s="164">
        <v>44284.0</v>
      </c>
      <c r="P2171" s="164">
        <f t="shared" si="13"/>
        <v>44227</v>
      </c>
      <c r="Q2171" s="165">
        <f t="shared" si="2"/>
        <v>0</v>
      </c>
      <c r="R2171" s="167"/>
      <c r="S2171" s="167"/>
      <c r="T2171" s="168">
        <f t="shared" si="3"/>
        <v>312566.43</v>
      </c>
      <c r="U2171" s="168">
        <f t="shared" si="4"/>
        <v>0</v>
      </c>
      <c r="V2171" s="168">
        <f t="shared" si="5"/>
        <v>0</v>
      </c>
      <c r="W2171" s="168">
        <f t="shared" si="6"/>
        <v>0</v>
      </c>
      <c r="X2171" s="168">
        <f t="shared" si="7"/>
        <v>0</v>
      </c>
      <c r="Y2171" s="168">
        <f t="shared" si="8"/>
        <v>0</v>
      </c>
      <c r="Z2171" s="168">
        <f t="shared" si="9"/>
        <v>0</v>
      </c>
    </row>
    <row r="2172" ht="15.0" customHeight="1">
      <c r="A2172" s="157" t="s">
        <v>2412</v>
      </c>
      <c r="B2172" s="158" t="s">
        <v>37</v>
      </c>
      <c r="C2172" s="158" t="s">
        <v>2388</v>
      </c>
      <c r="D2172" s="159">
        <v>44217.0</v>
      </c>
      <c r="E2172" s="157" t="s">
        <v>731</v>
      </c>
      <c r="F2172" s="160">
        <v>1549390.68</v>
      </c>
      <c r="G2172" s="160">
        <v>247902.51</v>
      </c>
      <c r="H2172" s="160">
        <f t="shared" si="52"/>
        <v>1797293.19</v>
      </c>
      <c r="I2172" s="160"/>
      <c r="J2172" s="161"/>
      <c r="K2172" s="160"/>
      <c r="L2172" s="160">
        <f>+'FACP$'!$H2172-'FACP$'!$I2172-'FACP$'!$K2172</f>
        <v>1797293.19</v>
      </c>
      <c r="M2172" s="162" t="s">
        <v>116</v>
      </c>
      <c r="N2172" s="162" t="s">
        <v>554</v>
      </c>
      <c r="O2172" s="164">
        <v>44242.0</v>
      </c>
      <c r="P2172" s="164">
        <f t="shared" si="13"/>
        <v>44227</v>
      </c>
      <c r="Q2172" s="165">
        <f t="shared" si="2"/>
        <v>0</v>
      </c>
      <c r="R2172" s="167"/>
      <c r="S2172" s="167"/>
      <c r="T2172" s="168">
        <f t="shared" si="3"/>
        <v>1797293.19</v>
      </c>
      <c r="U2172" s="168">
        <f t="shared" si="4"/>
        <v>0</v>
      </c>
      <c r="V2172" s="168">
        <f t="shared" si="5"/>
        <v>0</v>
      </c>
      <c r="W2172" s="168">
        <f t="shared" si="6"/>
        <v>0</v>
      </c>
      <c r="X2172" s="168">
        <f t="shared" si="7"/>
        <v>0</v>
      </c>
      <c r="Y2172" s="168">
        <f t="shared" si="8"/>
        <v>0</v>
      </c>
      <c r="Z2172" s="168">
        <f t="shared" si="9"/>
        <v>0</v>
      </c>
    </row>
    <row r="2173" ht="15.0" customHeight="1">
      <c r="A2173" s="157" t="s">
        <v>2413</v>
      </c>
      <c r="B2173" s="158" t="s">
        <v>29</v>
      </c>
      <c r="C2173" s="158" t="s">
        <v>2407</v>
      </c>
      <c r="D2173" s="159">
        <v>44217.0</v>
      </c>
      <c r="E2173" s="157" t="s">
        <v>731</v>
      </c>
      <c r="F2173" s="160">
        <v>356168.0</v>
      </c>
      <c r="G2173" s="160">
        <v>56986.88</v>
      </c>
      <c r="H2173" s="160">
        <f t="shared" si="52"/>
        <v>413154.88</v>
      </c>
      <c r="I2173" s="160"/>
      <c r="J2173" s="161"/>
      <c r="K2173" s="160"/>
      <c r="L2173" s="160">
        <f>+'FACP$'!$H2173-'FACP$'!$I2173-'FACP$'!$K2173</f>
        <v>413154.88</v>
      </c>
      <c r="M2173" s="162" t="s">
        <v>130</v>
      </c>
      <c r="N2173" s="162" t="s">
        <v>554</v>
      </c>
      <c r="O2173" s="164">
        <v>44242.0</v>
      </c>
      <c r="P2173" s="164">
        <f t="shared" si="13"/>
        <v>44227</v>
      </c>
      <c r="Q2173" s="165">
        <f t="shared" si="2"/>
        <v>0</v>
      </c>
      <c r="R2173" s="167"/>
      <c r="S2173" s="167"/>
      <c r="T2173" s="168">
        <f t="shared" si="3"/>
        <v>413154.88</v>
      </c>
      <c r="U2173" s="168">
        <f t="shared" si="4"/>
        <v>0</v>
      </c>
      <c r="V2173" s="168">
        <f t="shared" si="5"/>
        <v>0</v>
      </c>
      <c r="W2173" s="168">
        <f t="shared" si="6"/>
        <v>0</v>
      </c>
      <c r="X2173" s="168">
        <f t="shared" si="7"/>
        <v>0</v>
      </c>
      <c r="Y2173" s="168">
        <f t="shared" si="8"/>
        <v>0</v>
      </c>
      <c r="Z2173" s="168">
        <f t="shared" si="9"/>
        <v>0</v>
      </c>
    </row>
    <row r="2174" ht="15.0" customHeight="1">
      <c r="A2174" s="157" t="s">
        <v>2414</v>
      </c>
      <c r="B2174" s="158" t="s">
        <v>26</v>
      </c>
      <c r="C2174" s="158" t="s">
        <v>2388</v>
      </c>
      <c r="D2174" s="159">
        <v>44224.0</v>
      </c>
      <c r="E2174" s="157" t="s">
        <v>731</v>
      </c>
      <c r="F2174" s="160">
        <v>19709.46</v>
      </c>
      <c r="G2174" s="160">
        <v>3153.51</v>
      </c>
      <c r="H2174" s="160">
        <f t="shared" si="52"/>
        <v>22862.97</v>
      </c>
      <c r="I2174" s="160"/>
      <c r="J2174" s="161"/>
      <c r="K2174" s="160"/>
      <c r="L2174" s="160">
        <f>+'FACP$'!$H2174-'FACP$'!$I2174-'FACP$'!$K2174</f>
        <v>22862.97</v>
      </c>
      <c r="M2174" s="162" t="s">
        <v>2386</v>
      </c>
      <c r="N2174" s="224" t="s">
        <v>554</v>
      </c>
      <c r="O2174" s="164">
        <v>44251.0</v>
      </c>
      <c r="P2174" s="164">
        <f t="shared" si="13"/>
        <v>44234</v>
      </c>
      <c r="Q2174" s="165">
        <f t="shared" si="2"/>
        <v>0</v>
      </c>
      <c r="R2174" s="167"/>
      <c r="S2174" s="167"/>
      <c r="T2174" s="168">
        <f t="shared" si="3"/>
        <v>22862.97</v>
      </c>
      <c r="U2174" s="168">
        <f t="shared" si="4"/>
        <v>0</v>
      </c>
      <c r="V2174" s="168">
        <f t="shared" si="5"/>
        <v>0</v>
      </c>
      <c r="W2174" s="168">
        <f t="shared" si="6"/>
        <v>0</v>
      </c>
      <c r="X2174" s="168">
        <f t="shared" si="7"/>
        <v>0</v>
      </c>
      <c r="Y2174" s="168">
        <f t="shared" si="8"/>
        <v>0</v>
      </c>
      <c r="Z2174" s="168">
        <f t="shared" si="9"/>
        <v>0</v>
      </c>
    </row>
    <row r="2175" ht="15.0" customHeight="1">
      <c r="A2175" s="157" t="s">
        <v>2415</v>
      </c>
      <c r="B2175" s="158" t="s">
        <v>38</v>
      </c>
      <c r="C2175" s="158" t="s">
        <v>2388</v>
      </c>
      <c r="D2175" s="159">
        <v>44224.0</v>
      </c>
      <c r="E2175" s="157" t="s">
        <v>731</v>
      </c>
      <c r="F2175" s="160">
        <v>406856.82</v>
      </c>
      <c r="G2175" s="160">
        <v>65097.09</v>
      </c>
      <c r="H2175" s="160">
        <f t="shared" si="52"/>
        <v>471953.91</v>
      </c>
      <c r="I2175" s="160"/>
      <c r="J2175" s="161"/>
      <c r="K2175" s="160"/>
      <c r="L2175" s="160">
        <f>+'FACP$'!$H2175-'FACP$'!$I2175-'FACP$'!$K2175</f>
        <v>471953.91</v>
      </c>
      <c r="M2175" s="162" t="s">
        <v>145</v>
      </c>
      <c r="N2175" s="162" t="s">
        <v>554</v>
      </c>
      <c r="O2175" s="164">
        <v>44239.0</v>
      </c>
      <c r="P2175" s="164">
        <f t="shared" si="13"/>
        <v>44234</v>
      </c>
      <c r="Q2175" s="165">
        <f t="shared" si="2"/>
        <v>0</v>
      </c>
      <c r="R2175" s="167"/>
      <c r="S2175" s="167"/>
      <c r="T2175" s="168">
        <f t="shared" si="3"/>
        <v>471953.91</v>
      </c>
      <c r="U2175" s="168">
        <f t="shared" si="4"/>
        <v>0</v>
      </c>
      <c r="V2175" s="168">
        <f t="shared" si="5"/>
        <v>0</v>
      </c>
      <c r="W2175" s="168">
        <f t="shared" si="6"/>
        <v>0</v>
      </c>
      <c r="X2175" s="168">
        <f t="shared" si="7"/>
        <v>0</v>
      </c>
      <c r="Y2175" s="168">
        <f t="shared" si="8"/>
        <v>0</v>
      </c>
      <c r="Z2175" s="168">
        <f t="shared" si="9"/>
        <v>0</v>
      </c>
    </row>
    <row r="2176" ht="15.0" customHeight="1">
      <c r="A2176" s="157" t="s">
        <v>2416</v>
      </c>
      <c r="B2176" s="158" t="s">
        <v>41</v>
      </c>
      <c r="C2176" s="158" t="s">
        <v>2388</v>
      </c>
      <c r="D2176" s="159">
        <v>44224.0</v>
      </c>
      <c r="E2176" s="157" t="s">
        <v>731</v>
      </c>
      <c r="F2176" s="160">
        <v>1003731.12</v>
      </c>
      <c r="G2176" s="160">
        <v>160596.98</v>
      </c>
      <c r="H2176" s="160">
        <f t="shared" si="52"/>
        <v>1164328.1</v>
      </c>
      <c r="I2176" s="160"/>
      <c r="J2176" s="161"/>
      <c r="K2176" s="160"/>
      <c r="L2176" s="160">
        <f>+'FACP$'!$H2176-'FACP$'!$I2176-'FACP$'!$K2176</f>
        <v>1164328.1</v>
      </c>
      <c r="M2176" s="162" t="s">
        <v>121</v>
      </c>
      <c r="N2176" s="162" t="s">
        <v>554</v>
      </c>
      <c r="O2176" s="164">
        <v>44243.0</v>
      </c>
      <c r="P2176" s="164">
        <f t="shared" si="13"/>
        <v>44234</v>
      </c>
      <c r="Q2176" s="165">
        <f t="shared" si="2"/>
        <v>0</v>
      </c>
      <c r="R2176" s="167"/>
      <c r="S2176" s="167" t="s">
        <v>910</v>
      </c>
      <c r="T2176" s="168">
        <f t="shared" si="3"/>
        <v>1164328.1</v>
      </c>
      <c r="U2176" s="168">
        <f t="shared" si="4"/>
        <v>0</v>
      </c>
      <c r="V2176" s="168">
        <f t="shared" si="5"/>
        <v>0</v>
      </c>
      <c r="W2176" s="168">
        <f t="shared" si="6"/>
        <v>0</v>
      </c>
      <c r="X2176" s="168">
        <f t="shared" si="7"/>
        <v>0</v>
      </c>
      <c r="Y2176" s="168">
        <f t="shared" si="8"/>
        <v>0</v>
      </c>
      <c r="Z2176" s="168">
        <f t="shared" si="9"/>
        <v>0</v>
      </c>
    </row>
    <row r="2177" ht="15.0" customHeight="1">
      <c r="A2177" s="157" t="s">
        <v>2417</v>
      </c>
      <c r="B2177" s="158" t="s">
        <v>27</v>
      </c>
      <c r="C2177" s="158" t="s">
        <v>2418</v>
      </c>
      <c r="D2177" s="159">
        <v>44225.0</v>
      </c>
      <c r="E2177" s="157" t="s">
        <v>731</v>
      </c>
      <c r="F2177" s="160">
        <v>117110.62</v>
      </c>
      <c r="G2177" s="160">
        <v>18737.7</v>
      </c>
      <c r="H2177" s="160">
        <f t="shared" si="52"/>
        <v>135848.32</v>
      </c>
      <c r="I2177" s="160"/>
      <c r="J2177" s="161"/>
      <c r="K2177" s="160"/>
      <c r="L2177" s="160">
        <f>+'FACP$'!$H2177-'FACP$'!$I2177-'FACP$'!$K2177</f>
        <v>135848.32</v>
      </c>
      <c r="M2177" s="162" t="s">
        <v>158</v>
      </c>
      <c r="N2177" s="162" t="s">
        <v>554</v>
      </c>
      <c r="O2177" s="164">
        <v>44257.0</v>
      </c>
      <c r="P2177" s="164">
        <f t="shared" si="13"/>
        <v>44235</v>
      </c>
      <c r="Q2177" s="165">
        <f t="shared" si="2"/>
        <v>0</v>
      </c>
      <c r="R2177" s="220" t="s">
        <v>2419</v>
      </c>
      <c r="S2177" s="167"/>
      <c r="T2177" s="168">
        <f t="shared" si="3"/>
        <v>135848.32</v>
      </c>
      <c r="U2177" s="168">
        <f t="shared" si="4"/>
        <v>0</v>
      </c>
      <c r="V2177" s="168">
        <f t="shared" si="5"/>
        <v>0</v>
      </c>
      <c r="W2177" s="168">
        <f t="shared" si="6"/>
        <v>0</v>
      </c>
      <c r="X2177" s="168">
        <f t="shared" si="7"/>
        <v>0</v>
      </c>
      <c r="Y2177" s="168">
        <f t="shared" si="8"/>
        <v>0</v>
      </c>
      <c r="Z2177" s="168">
        <f t="shared" si="9"/>
        <v>0</v>
      </c>
      <c r="AA2177" s="240"/>
      <c r="AB2177" s="240"/>
      <c r="AC2177" s="240"/>
    </row>
    <row r="2178" ht="15.0" customHeight="1">
      <c r="A2178" s="157" t="s">
        <v>2420</v>
      </c>
      <c r="B2178" s="228" t="s">
        <v>27</v>
      </c>
      <c r="C2178" s="228" t="s">
        <v>2421</v>
      </c>
      <c r="D2178" s="229">
        <v>44225.0</v>
      </c>
      <c r="E2178" s="230" t="s">
        <v>731</v>
      </c>
      <c r="F2178" s="231">
        <v>84024.3</v>
      </c>
      <c r="G2178" s="231">
        <v>13443.89</v>
      </c>
      <c r="H2178" s="160">
        <f>F2178+G2178-'NCP$'!H71</f>
        <v>92634.88</v>
      </c>
      <c r="I2178" s="231"/>
      <c r="J2178" s="232"/>
      <c r="K2178" s="231"/>
      <c r="L2178" s="231">
        <f>+'FACP$'!$H2178-'FACP$'!$I2178-'FACP$'!$K2178</f>
        <v>92634.88</v>
      </c>
      <c r="M2178" s="233" t="s">
        <v>158</v>
      </c>
      <c r="N2178" s="233" t="s">
        <v>554</v>
      </c>
      <c r="O2178" s="235">
        <v>44257.0</v>
      </c>
      <c r="P2178" s="235">
        <f t="shared" si="13"/>
        <v>44235</v>
      </c>
      <c r="Q2178" s="236">
        <f t="shared" si="2"/>
        <v>0</v>
      </c>
      <c r="R2178" s="237" t="s">
        <v>2422</v>
      </c>
      <c r="S2178" s="237"/>
      <c r="T2178" s="168">
        <f t="shared" si="3"/>
        <v>92634.88</v>
      </c>
      <c r="U2178" s="168">
        <f t="shared" si="4"/>
        <v>0</v>
      </c>
      <c r="V2178" s="168">
        <f t="shared" si="5"/>
        <v>0</v>
      </c>
      <c r="W2178" s="168">
        <f t="shared" si="6"/>
        <v>0</v>
      </c>
      <c r="X2178" s="168">
        <f t="shared" si="7"/>
        <v>0</v>
      </c>
      <c r="Y2178" s="168">
        <f t="shared" si="8"/>
        <v>0</v>
      </c>
      <c r="Z2178" s="168">
        <f t="shared" si="9"/>
        <v>0</v>
      </c>
    </row>
    <row r="2179" ht="15.0" customHeight="1">
      <c r="A2179" s="157" t="s">
        <v>2423</v>
      </c>
      <c r="B2179" s="158" t="s">
        <v>127</v>
      </c>
      <c r="C2179" s="158"/>
      <c r="D2179" s="159">
        <v>44225.0</v>
      </c>
      <c r="E2179" s="157" t="s">
        <v>731</v>
      </c>
      <c r="F2179" s="160"/>
      <c r="G2179" s="160"/>
      <c r="H2179" s="160">
        <f t="shared" ref="H2179:H2217" si="53">F2179+G2179</f>
        <v>0</v>
      </c>
      <c r="I2179" s="160"/>
      <c r="J2179" s="161"/>
      <c r="K2179" s="160"/>
      <c r="L2179" s="160">
        <f>+'FACP$'!$H2179-'FACP$'!$I2179-'FACP$'!$K2179</f>
        <v>0</v>
      </c>
      <c r="M2179" s="162"/>
      <c r="N2179" s="162" t="s">
        <v>127</v>
      </c>
      <c r="O2179" s="164"/>
      <c r="P2179" s="164">
        <f t="shared" si="13"/>
        <v>44235</v>
      </c>
      <c r="Q2179" s="165">
        <f t="shared" si="2"/>
        <v>0</v>
      </c>
      <c r="R2179" s="167"/>
      <c r="S2179" s="167"/>
      <c r="T2179" s="168">
        <f t="shared" si="3"/>
        <v>0</v>
      </c>
      <c r="U2179" s="168">
        <f t="shared" si="4"/>
        <v>0</v>
      </c>
      <c r="V2179" s="168">
        <f t="shared" si="5"/>
        <v>0</v>
      </c>
      <c r="W2179" s="168">
        <f t="shared" si="6"/>
        <v>0</v>
      </c>
      <c r="X2179" s="168">
        <f t="shared" si="7"/>
        <v>0</v>
      </c>
      <c r="Y2179" s="168">
        <f t="shared" si="8"/>
        <v>0</v>
      </c>
      <c r="Z2179" s="168">
        <f t="shared" si="9"/>
        <v>0</v>
      </c>
    </row>
    <row r="2180" ht="15.0" customHeight="1">
      <c r="A2180" s="157" t="s">
        <v>2424</v>
      </c>
      <c r="B2180" s="158" t="s">
        <v>27</v>
      </c>
      <c r="C2180" s="158" t="s">
        <v>2421</v>
      </c>
      <c r="D2180" s="159">
        <v>44225.0</v>
      </c>
      <c r="E2180" s="157" t="s">
        <v>731</v>
      </c>
      <c r="F2180" s="160">
        <v>421294.75</v>
      </c>
      <c r="G2180" s="160">
        <v>67407.16</v>
      </c>
      <c r="H2180" s="160">
        <f t="shared" si="53"/>
        <v>488701.91</v>
      </c>
      <c r="I2180" s="160"/>
      <c r="J2180" s="161"/>
      <c r="K2180" s="160"/>
      <c r="L2180" s="160">
        <f>+'FACP$'!$H2180-'FACP$'!$I2180-'FACP$'!$K2180</f>
        <v>488701.91</v>
      </c>
      <c r="M2180" s="162" t="s">
        <v>151</v>
      </c>
      <c r="N2180" s="162" t="s">
        <v>554</v>
      </c>
      <c r="O2180" s="164">
        <v>44265.0</v>
      </c>
      <c r="P2180" s="164">
        <f t="shared" si="13"/>
        <v>44235</v>
      </c>
      <c r="Q2180" s="165">
        <f t="shared" si="2"/>
        <v>0</v>
      </c>
      <c r="R2180" s="167"/>
      <c r="S2180" s="167"/>
      <c r="T2180" s="168">
        <f t="shared" si="3"/>
        <v>488701.91</v>
      </c>
      <c r="U2180" s="168">
        <f t="shared" si="4"/>
        <v>0</v>
      </c>
      <c r="V2180" s="168">
        <f t="shared" si="5"/>
        <v>0</v>
      </c>
      <c r="W2180" s="168">
        <f t="shared" si="6"/>
        <v>0</v>
      </c>
      <c r="X2180" s="168">
        <f t="shared" si="7"/>
        <v>0</v>
      </c>
      <c r="Y2180" s="168">
        <f t="shared" si="8"/>
        <v>0</v>
      </c>
      <c r="Z2180" s="168">
        <f t="shared" si="9"/>
        <v>0</v>
      </c>
    </row>
    <row r="2181" ht="15.0" customHeight="1">
      <c r="A2181" s="157" t="s">
        <v>2425</v>
      </c>
      <c r="B2181" s="158" t="s">
        <v>27</v>
      </c>
      <c r="C2181" s="158" t="s">
        <v>2426</v>
      </c>
      <c r="D2181" s="159">
        <v>44225.0</v>
      </c>
      <c r="E2181" s="157" t="s">
        <v>731</v>
      </c>
      <c r="F2181" s="160">
        <v>26907.31</v>
      </c>
      <c r="G2181" s="160">
        <v>4305.17</v>
      </c>
      <c r="H2181" s="160">
        <f t="shared" si="53"/>
        <v>31212.48</v>
      </c>
      <c r="I2181" s="160"/>
      <c r="J2181" s="161"/>
      <c r="K2181" s="160"/>
      <c r="L2181" s="160">
        <f>+'FACP$'!$H2181-'FACP$'!$I2181-'FACP$'!$K2181</f>
        <v>31212.48</v>
      </c>
      <c r="M2181" s="162" t="s">
        <v>151</v>
      </c>
      <c r="N2181" s="162" t="s">
        <v>554</v>
      </c>
      <c r="O2181" s="164">
        <v>44265.0</v>
      </c>
      <c r="P2181" s="164">
        <f t="shared" si="13"/>
        <v>44235</v>
      </c>
      <c r="Q2181" s="165">
        <f t="shared" si="2"/>
        <v>0</v>
      </c>
      <c r="R2181" s="167"/>
      <c r="S2181" s="167"/>
      <c r="T2181" s="168">
        <f t="shared" si="3"/>
        <v>31212.48</v>
      </c>
      <c r="U2181" s="168">
        <f t="shared" si="4"/>
        <v>0</v>
      </c>
      <c r="V2181" s="168">
        <f t="shared" si="5"/>
        <v>0</v>
      </c>
      <c r="W2181" s="168">
        <f t="shared" si="6"/>
        <v>0</v>
      </c>
      <c r="X2181" s="168">
        <f t="shared" si="7"/>
        <v>0</v>
      </c>
      <c r="Y2181" s="168">
        <f t="shared" si="8"/>
        <v>0</v>
      </c>
      <c r="Z2181" s="168">
        <f t="shared" si="9"/>
        <v>0</v>
      </c>
    </row>
    <row r="2182" ht="15.0" customHeight="1">
      <c r="A2182" s="157" t="s">
        <v>2427</v>
      </c>
      <c r="B2182" s="158" t="s">
        <v>27</v>
      </c>
      <c r="C2182" s="158" t="s">
        <v>2428</v>
      </c>
      <c r="D2182" s="159">
        <v>44225.0</v>
      </c>
      <c r="E2182" s="157" t="s">
        <v>731</v>
      </c>
      <c r="F2182" s="160">
        <v>22936.78</v>
      </c>
      <c r="G2182" s="160">
        <v>3669.88</v>
      </c>
      <c r="H2182" s="160">
        <f t="shared" si="53"/>
        <v>26606.66</v>
      </c>
      <c r="I2182" s="160"/>
      <c r="J2182" s="161"/>
      <c r="K2182" s="160"/>
      <c r="L2182" s="160">
        <f>+'FACP$'!$H2182-'FACP$'!$I2182-'FACP$'!$K2182</f>
        <v>26606.66</v>
      </c>
      <c r="M2182" s="162" t="s">
        <v>151</v>
      </c>
      <c r="N2182" s="162" t="s">
        <v>554</v>
      </c>
      <c r="O2182" s="164">
        <v>44265.0</v>
      </c>
      <c r="P2182" s="164">
        <f t="shared" si="13"/>
        <v>44235</v>
      </c>
      <c r="Q2182" s="165">
        <f t="shared" si="2"/>
        <v>0</v>
      </c>
      <c r="R2182" s="167"/>
      <c r="S2182" s="167"/>
      <c r="T2182" s="168">
        <f t="shared" si="3"/>
        <v>26606.66</v>
      </c>
      <c r="U2182" s="168">
        <f t="shared" si="4"/>
        <v>0</v>
      </c>
      <c r="V2182" s="168">
        <f t="shared" si="5"/>
        <v>0</v>
      </c>
      <c r="W2182" s="168">
        <f t="shared" si="6"/>
        <v>0</v>
      </c>
      <c r="X2182" s="168">
        <f t="shared" si="7"/>
        <v>0</v>
      </c>
      <c r="Y2182" s="168">
        <f t="shared" si="8"/>
        <v>0</v>
      </c>
      <c r="Z2182" s="168">
        <f t="shared" si="9"/>
        <v>0</v>
      </c>
    </row>
    <row r="2183" ht="15.0" customHeight="1">
      <c r="A2183" s="157" t="s">
        <v>2429</v>
      </c>
      <c r="B2183" s="158" t="s">
        <v>27</v>
      </c>
      <c r="C2183" s="158" t="s">
        <v>2418</v>
      </c>
      <c r="D2183" s="159">
        <v>44225.0</v>
      </c>
      <c r="E2183" s="157" t="s">
        <v>731</v>
      </c>
      <c r="F2183" s="160">
        <v>494224.09</v>
      </c>
      <c r="G2183" s="160">
        <v>79075.85</v>
      </c>
      <c r="H2183" s="160">
        <f t="shared" si="53"/>
        <v>573299.94</v>
      </c>
      <c r="I2183" s="160"/>
      <c r="J2183" s="161"/>
      <c r="K2183" s="160"/>
      <c r="L2183" s="160">
        <f>+'FACP$'!$H2183-'FACP$'!$I2183-'FACP$'!$K2183</f>
        <v>573299.94</v>
      </c>
      <c r="M2183" s="162" t="s">
        <v>151</v>
      </c>
      <c r="N2183" s="162" t="s">
        <v>554</v>
      </c>
      <c r="O2183" s="164">
        <v>44272.0</v>
      </c>
      <c r="P2183" s="164">
        <f t="shared" si="13"/>
        <v>44235</v>
      </c>
      <c r="Q2183" s="165">
        <f t="shared" si="2"/>
        <v>0</v>
      </c>
      <c r="R2183" s="167"/>
      <c r="S2183" s="167"/>
      <c r="T2183" s="168">
        <f t="shared" si="3"/>
        <v>573299.94</v>
      </c>
      <c r="U2183" s="168">
        <f t="shared" si="4"/>
        <v>0</v>
      </c>
      <c r="V2183" s="168">
        <f t="shared" si="5"/>
        <v>0</v>
      </c>
      <c r="W2183" s="168">
        <f t="shared" si="6"/>
        <v>0</v>
      </c>
      <c r="X2183" s="168">
        <f t="shared" si="7"/>
        <v>0</v>
      </c>
      <c r="Y2183" s="168">
        <f t="shared" si="8"/>
        <v>0</v>
      </c>
      <c r="Z2183" s="168">
        <f t="shared" si="9"/>
        <v>0</v>
      </c>
    </row>
    <row r="2184" ht="15.0" customHeight="1">
      <c r="A2184" s="157" t="s">
        <v>2430</v>
      </c>
      <c r="B2184" s="158" t="s">
        <v>37</v>
      </c>
      <c r="C2184" s="158" t="s">
        <v>2431</v>
      </c>
      <c r="D2184" s="159">
        <v>44230.0</v>
      </c>
      <c r="E2184" s="157" t="s">
        <v>731</v>
      </c>
      <c r="F2184" s="160">
        <v>19188.0</v>
      </c>
      <c r="G2184" s="160">
        <v>3070.08</v>
      </c>
      <c r="H2184" s="160">
        <f t="shared" si="53"/>
        <v>22258.08</v>
      </c>
      <c r="I2184" s="160"/>
      <c r="J2184" s="161"/>
      <c r="K2184" s="160"/>
      <c r="L2184" s="160">
        <f>+'FACP$'!$H2184-'FACP$'!$I2184-'FACP$'!$K2184</f>
        <v>22258.08</v>
      </c>
      <c r="M2184" s="162" t="s">
        <v>116</v>
      </c>
      <c r="N2184" s="162" t="s">
        <v>554</v>
      </c>
      <c r="O2184" s="164">
        <v>44298.0</v>
      </c>
      <c r="P2184" s="164">
        <f t="shared" si="13"/>
        <v>44240</v>
      </c>
      <c r="Q2184" s="165">
        <f t="shared" si="2"/>
        <v>0</v>
      </c>
      <c r="R2184" s="167"/>
      <c r="S2184" s="167"/>
      <c r="T2184" s="168">
        <f t="shared" si="3"/>
        <v>22258.08</v>
      </c>
      <c r="U2184" s="168">
        <f t="shared" si="4"/>
        <v>0</v>
      </c>
      <c r="V2184" s="168">
        <f t="shared" si="5"/>
        <v>0</v>
      </c>
      <c r="W2184" s="168">
        <f t="shared" si="6"/>
        <v>0</v>
      </c>
      <c r="X2184" s="168">
        <f t="shared" si="7"/>
        <v>0</v>
      </c>
      <c r="Y2184" s="168">
        <f t="shared" si="8"/>
        <v>0</v>
      </c>
      <c r="Z2184" s="168">
        <f t="shared" si="9"/>
        <v>0</v>
      </c>
    </row>
    <row r="2185" ht="15.0" customHeight="1">
      <c r="A2185" s="157" t="s">
        <v>2432</v>
      </c>
      <c r="B2185" s="158" t="s">
        <v>37</v>
      </c>
      <c r="C2185" s="158" t="s">
        <v>2431</v>
      </c>
      <c r="D2185" s="159">
        <v>44230.0</v>
      </c>
      <c r="E2185" s="157" t="s">
        <v>731</v>
      </c>
      <c r="F2185" s="160">
        <v>38376.0</v>
      </c>
      <c r="G2185" s="160">
        <v>6140.16</v>
      </c>
      <c r="H2185" s="160">
        <f t="shared" si="53"/>
        <v>44516.16</v>
      </c>
      <c r="I2185" s="160"/>
      <c r="J2185" s="161"/>
      <c r="K2185" s="160"/>
      <c r="L2185" s="160">
        <f>+'FACP$'!$H2185-'FACP$'!$I2185-'FACP$'!$K2185</f>
        <v>44516.16</v>
      </c>
      <c r="M2185" s="162" t="s">
        <v>116</v>
      </c>
      <c r="N2185" s="162" t="s">
        <v>554</v>
      </c>
      <c r="O2185" s="164">
        <v>44298.0</v>
      </c>
      <c r="P2185" s="164">
        <f t="shared" si="13"/>
        <v>44240</v>
      </c>
      <c r="Q2185" s="165">
        <f t="shared" si="2"/>
        <v>0</v>
      </c>
      <c r="R2185" s="167"/>
      <c r="S2185" s="167"/>
      <c r="T2185" s="168">
        <f t="shared" si="3"/>
        <v>44516.16</v>
      </c>
      <c r="U2185" s="168">
        <f t="shared" si="4"/>
        <v>0</v>
      </c>
      <c r="V2185" s="168">
        <f t="shared" si="5"/>
        <v>0</v>
      </c>
      <c r="W2185" s="168">
        <f t="shared" si="6"/>
        <v>0</v>
      </c>
      <c r="X2185" s="168">
        <f t="shared" si="7"/>
        <v>0</v>
      </c>
      <c r="Y2185" s="168">
        <f t="shared" si="8"/>
        <v>0</v>
      </c>
      <c r="Z2185" s="168">
        <f t="shared" si="9"/>
        <v>0</v>
      </c>
    </row>
    <row r="2186" ht="15.0" customHeight="1">
      <c r="A2186" s="157" t="s">
        <v>2433</v>
      </c>
      <c r="B2186" s="158" t="s">
        <v>127</v>
      </c>
      <c r="C2186" s="158"/>
      <c r="D2186" s="159"/>
      <c r="E2186" s="157"/>
      <c r="F2186" s="160">
        <v>0.0</v>
      </c>
      <c r="G2186" s="160">
        <v>0.0</v>
      </c>
      <c r="H2186" s="160">
        <f t="shared" si="53"/>
        <v>0</v>
      </c>
      <c r="I2186" s="160"/>
      <c r="J2186" s="161"/>
      <c r="K2186" s="160"/>
      <c r="L2186" s="160">
        <f>+'FACP$'!$H2186-'FACP$'!$I2186-'FACP$'!$K2186</f>
        <v>0</v>
      </c>
      <c r="M2186" s="162"/>
      <c r="N2186" s="162" t="s">
        <v>127</v>
      </c>
      <c r="O2186" s="164"/>
      <c r="P2186" s="164">
        <f t="shared" si="13"/>
        <v>10</v>
      </c>
      <c r="Q2186" s="165">
        <f t="shared" si="2"/>
        <v>0</v>
      </c>
      <c r="R2186" s="167"/>
      <c r="S2186" s="167"/>
      <c r="T2186" s="168">
        <f t="shared" si="3"/>
        <v>0</v>
      </c>
      <c r="U2186" s="168">
        <f t="shared" si="4"/>
        <v>0</v>
      </c>
      <c r="V2186" s="168">
        <f t="shared" si="5"/>
        <v>0</v>
      </c>
      <c r="W2186" s="168">
        <f t="shared" si="6"/>
        <v>0</v>
      </c>
      <c r="X2186" s="168">
        <f t="shared" si="7"/>
        <v>0</v>
      </c>
      <c r="Y2186" s="168">
        <f t="shared" si="8"/>
        <v>0</v>
      </c>
      <c r="Z2186" s="168">
        <f t="shared" si="9"/>
        <v>0</v>
      </c>
    </row>
    <row r="2187" ht="15.0" customHeight="1">
      <c r="A2187" s="157" t="s">
        <v>2434</v>
      </c>
      <c r="B2187" s="158" t="s">
        <v>16</v>
      </c>
      <c r="C2187" s="158" t="s">
        <v>2431</v>
      </c>
      <c r="D2187" s="159">
        <v>44230.0</v>
      </c>
      <c r="E2187" s="157" t="s">
        <v>731</v>
      </c>
      <c r="F2187" s="160">
        <v>10086.0</v>
      </c>
      <c r="G2187" s="160">
        <v>1613.76</v>
      </c>
      <c r="H2187" s="160">
        <f t="shared" si="53"/>
        <v>11699.76</v>
      </c>
      <c r="I2187" s="160"/>
      <c r="J2187" s="161"/>
      <c r="K2187" s="160"/>
      <c r="L2187" s="160">
        <f>+'FACP$'!$H2187-'FACP$'!$I2187-'FACP$'!$K2187</f>
        <v>11699.76</v>
      </c>
      <c r="M2187" s="162" t="s">
        <v>985</v>
      </c>
      <c r="N2187" s="162" t="s">
        <v>127</v>
      </c>
      <c r="O2187" s="164"/>
      <c r="P2187" s="164">
        <f t="shared" si="13"/>
        <v>44240</v>
      </c>
      <c r="Q2187" s="165">
        <f t="shared" si="2"/>
        <v>0</v>
      </c>
      <c r="R2187" s="167"/>
      <c r="S2187" s="167"/>
      <c r="T2187" s="168">
        <f t="shared" si="3"/>
        <v>11699.76</v>
      </c>
      <c r="U2187" s="168">
        <f t="shared" si="4"/>
        <v>0</v>
      </c>
      <c r="V2187" s="168">
        <f t="shared" si="5"/>
        <v>0</v>
      </c>
      <c r="W2187" s="168">
        <f t="shared" si="6"/>
        <v>0</v>
      </c>
      <c r="X2187" s="168">
        <f t="shared" si="7"/>
        <v>0</v>
      </c>
      <c r="Y2187" s="168">
        <f t="shared" si="8"/>
        <v>0</v>
      </c>
      <c r="Z2187" s="168">
        <f t="shared" si="9"/>
        <v>0</v>
      </c>
    </row>
    <row r="2188" ht="15.0" customHeight="1">
      <c r="A2188" s="157" t="s">
        <v>2435</v>
      </c>
      <c r="B2188" s="158" t="s">
        <v>37</v>
      </c>
      <c r="C2188" s="158" t="s">
        <v>2431</v>
      </c>
      <c r="D2188" s="159">
        <v>44230.0</v>
      </c>
      <c r="E2188" s="157" t="s">
        <v>731</v>
      </c>
      <c r="F2188" s="160">
        <v>38376.0</v>
      </c>
      <c r="G2188" s="160">
        <v>6140.16</v>
      </c>
      <c r="H2188" s="160">
        <f t="shared" si="53"/>
        <v>44516.16</v>
      </c>
      <c r="I2188" s="160"/>
      <c r="J2188" s="161"/>
      <c r="K2188" s="160"/>
      <c r="L2188" s="160">
        <f>+'FACP$'!$H2188-'FACP$'!$I2188-'FACP$'!$K2188</f>
        <v>44516.16</v>
      </c>
      <c r="M2188" s="162" t="s">
        <v>116</v>
      </c>
      <c r="N2188" s="162" t="s">
        <v>127</v>
      </c>
      <c r="O2188" s="164"/>
      <c r="P2188" s="164">
        <f t="shared" si="13"/>
        <v>44240</v>
      </c>
      <c r="Q2188" s="165">
        <f t="shared" si="2"/>
        <v>0</v>
      </c>
      <c r="R2188" s="167"/>
      <c r="S2188" s="167"/>
      <c r="T2188" s="168">
        <f t="shared" si="3"/>
        <v>44516.16</v>
      </c>
      <c r="U2188" s="168">
        <f t="shared" si="4"/>
        <v>0</v>
      </c>
      <c r="V2188" s="168">
        <f t="shared" si="5"/>
        <v>0</v>
      </c>
      <c r="W2188" s="168">
        <f t="shared" si="6"/>
        <v>0</v>
      </c>
      <c r="X2188" s="168">
        <f t="shared" si="7"/>
        <v>0</v>
      </c>
      <c r="Y2188" s="168">
        <f t="shared" si="8"/>
        <v>0</v>
      </c>
      <c r="Z2188" s="168">
        <f t="shared" si="9"/>
        <v>0</v>
      </c>
    </row>
    <row r="2189" ht="15.0" customHeight="1">
      <c r="A2189" s="157" t="s">
        <v>2436</v>
      </c>
      <c r="B2189" s="158" t="s">
        <v>18</v>
      </c>
      <c r="C2189" s="158" t="s">
        <v>2431</v>
      </c>
      <c r="D2189" s="159">
        <v>44230.0</v>
      </c>
      <c r="E2189" s="157" t="s">
        <v>731</v>
      </c>
      <c r="F2189" s="160">
        <v>38376.0</v>
      </c>
      <c r="G2189" s="160">
        <v>6140.16</v>
      </c>
      <c r="H2189" s="160">
        <f t="shared" si="53"/>
        <v>44516.16</v>
      </c>
      <c r="I2189" s="160"/>
      <c r="J2189" s="161"/>
      <c r="K2189" s="160"/>
      <c r="L2189" s="160">
        <f>+'FACP$'!$H2189-'FACP$'!$I2189-'FACP$'!$K2189</f>
        <v>44516.16</v>
      </c>
      <c r="M2189" s="162" t="s">
        <v>586</v>
      </c>
      <c r="N2189" s="162" t="s">
        <v>127</v>
      </c>
      <c r="O2189" s="164"/>
      <c r="P2189" s="164">
        <f t="shared" si="13"/>
        <v>44240</v>
      </c>
      <c r="Q2189" s="165">
        <f t="shared" si="2"/>
        <v>0</v>
      </c>
      <c r="R2189" s="167"/>
      <c r="S2189" s="167"/>
      <c r="T2189" s="168">
        <f t="shared" si="3"/>
        <v>44516.16</v>
      </c>
      <c r="U2189" s="168">
        <f t="shared" si="4"/>
        <v>0</v>
      </c>
      <c r="V2189" s="168">
        <f t="shared" si="5"/>
        <v>0</v>
      </c>
      <c r="W2189" s="168">
        <f t="shared" si="6"/>
        <v>0</v>
      </c>
      <c r="X2189" s="168">
        <f t="shared" si="7"/>
        <v>0</v>
      </c>
      <c r="Y2189" s="168">
        <f t="shared" si="8"/>
        <v>0</v>
      </c>
      <c r="Z2189" s="168">
        <f t="shared" si="9"/>
        <v>0</v>
      </c>
    </row>
    <row r="2190" ht="15.0" customHeight="1">
      <c r="A2190" s="157" t="s">
        <v>2437</v>
      </c>
      <c r="B2190" s="158" t="s">
        <v>37</v>
      </c>
      <c r="C2190" s="158" t="s">
        <v>2431</v>
      </c>
      <c r="D2190" s="159">
        <v>44230.0</v>
      </c>
      <c r="E2190" s="157" t="s">
        <v>731</v>
      </c>
      <c r="F2190" s="160">
        <v>38376.0</v>
      </c>
      <c r="G2190" s="160">
        <v>6140.16</v>
      </c>
      <c r="H2190" s="160">
        <f t="shared" si="53"/>
        <v>44516.16</v>
      </c>
      <c r="I2190" s="160"/>
      <c r="J2190" s="161"/>
      <c r="K2190" s="160"/>
      <c r="L2190" s="160">
        <f>+'FACP$'!$H2190-'FACP$'!$I2190-'FACP$'!$K2190</f>
        <v>44516.16</v>
      </c>
      <c r="M2190" s="162" t="s">
        <v>116</v>
      </c>
      <c r="N2190" s="162" t="s">
        <v>554</v>
      </c>
      <c r="O2190" s="164">
        <v>44298.0</v>
      </c>
      <c r="P2190" s="164">
        <f t="shared" si="13"/>
        <v>44240</v>
      </c>
      <c r="Q2190" s="165">
        <f t="shared" si="2"/>
        <v>0</v>
      </c>
      <c r="R2190" s="167"/>
      <c r="S2190" s="167"/>
      <c r="T2190" s="168">
        <f t="shared" si="3"/>
        <v>44516.16</v>
      </c>
      <c r="U2190" s="168">
        <f t="shared" si="4"/>
        <v>0</v>
      </c>
      <c r="V2190" s="168">
        <f t="shared" si="5"/>
        <v>0</v>
      </c>
      <c r="W2190" s="168">
        <f t="shared" si="6"/>
        <v>0</v>
      </c>
      <c r="X2190" s="168">
        <f t="shared" si="7"/>
        <v>0</v>
      </c>
      <c r="Y2190" s="168">
        <f t="shared" si="8"/>
        <v>0</v>
      </c>
      <c r="Z2190" s="168">
        <f t="shared" si="9"/>
        <v>0</v>
      </c>
    </row>
    <row r="2191" ht="15.0" customHeight="1">
      <c r="A2191" s="157" t="s">
        <v>2438</v>
      </c>
      <c r="B2191" s="158" t="s">
        <v>37</v>
      </c>
      <c r="C2191" s="158" t="s">
        <v>2431</v>
      </c>
      <c r="D2191" s="159">
        <v>44230.0</v>
      </c>
      <c r="E2191" s="157" t="s">
        <v>731</v>
      </c>
      <c r="F2191" s="160">
        <v>38376.0</v>
      </c>
      <c r="G2191" s="160">
        <v>6140.16</v>
      </c>
      <c r="H2191" s="160">
        <f t="shared" si="53"/>
        <v>44516.16</v>
      </c>
      <c r="I2191" s="160"/>
      <c r="J2191" s="161"/>
      <c r="K2191" s="160"/>
      <c r="L2191" s="160">
        <f>+'FACP$'!$H2191-'FACP$'!$I2191-'FACP$'!$K2191</f>
        <v>44516.16</v>
      </c>
      <c r="M2191" s="162" t="s">
        <v>116</v>
      </c>
      <c r="N2191" s="162" t="s">
        <v>554</v>
      </c>
      <c r="O2191" s="164">
        <v>44298.0</v>
      </c>
      <c r="P2191" s="164">
        <f t="shared" si="13"/>
        <v>44240</v>
      </c>
      <c r="Q2191" s="165">
        <f t="shared" si="2"/>
        <v>0</v>
      </c>
      <c r="R2191" s="167"/>
      <c r="S2191" s="167"/>
      <c r="T2191" s="168">
        <f t="shared" si="3"/>
        <v>44516.16</v>
      </c>
      <c r="U2191" s="168">
        <f t="shared" si="4"/>
        <v>0</v>
      </c>
      <c r="V2191" s="168">
        <f t="shared" si="5"/>
        <v>0</v>
      </c>
      <c r="W2191" s="168">
        <f t="shared" si="6"/>
        <v>0</v>
      </c>
      <c r="X2191" s="168">
        <f t="shared" si="7"/>
        <v>0</v>
      </c>
      <c r="Y2191" s="168">
        <f t="shared" si="8"/>
        <v>0</v>
      </c>
      <c r="Z2191" s="168">
        <f t="shared" si="9"/>
        <v>0</v>
      </c>
    </row>
    <row r="2192" ht="15.0" customHeight="1">
      <c r="A2192" s="157" t="s">
        <v>2439</v>
      </c>
      <c r="B2192" s="158" t="s">
        <v>18</v>
      </c>
      <c r="C2192" s="158" t="s">
        <v>2431</v>
      </c>
      <c r="D2192" s="159">
        <v>44230.0</v>
      </c>
      <c r="E2192" s="157" t="s">
        <v>731</v>
      </c>
      <c r="F2192" s="160">
        <v>38376.0</v>
      </c>
      <c r="G2192" s="160">
        <v>6140.16</v>
      </c>
      <c r="H2192" s="160">
        <f t="shared" si="53"/>
        <v>44516.16</v>
      </c>
      <c r="I2192" s="160"/>
      <c r="J2192" s="161"/>
      <c r="K2192" s="160"/>
      <c r="L2192" s="160">
        <f>+'FACP$'!$H2192-'FACP$'!$I2192-'FACP$'!$K2192</f>
        <v>44516.16</v>
      </c>
      <c r="M2192" s="162" t="s">
        <v>586</v>
      </c>
      <c r="N2192" s="162" t="s">
        <v>554</v>
      </c>
      <c r="O2192" s="164">
        <v>44279.0</v>
      </c>
      <c r="P2192" s="164">
        <f t="shared" si="13"/>
        <v>44240</v>
      </c>
      <c r="Q2192" s="165">
        <f t="shared" si="2"/>
        <v>0</v>
      </c>
      <c r="R2192" s="167"/>
      <c r="S2192" s="167"/>
      <c r="T2192" s="168">
        <f t="shared" si="3"/>
        <v>44516.16</v>
      </c>
      <c r="U2192" s="168">
        <f t="shared" si="4"/>
        <v>0</v>
      </c>
      <c r="V2192" s="168">
        <f t="shared" si="5"/>
        <v>0</v>
      </c>
      <c r="W2192" s="168">
        <f t="shared" si="6"/>
        <v>0</v>
      </c>
      <c r="X2192" s="168">
        <f t="shared" si="7"/>
        <v>0</v>
      </c>
      <c r="Y2192" s="168">
        <f t="shared" si="8"/>
        <v>0</v>
      </c>
      <c r="Z2192" s="168">
        <f t="shared" si="9"/>
        <v>0</v>
      </c>
    </row>
    <row r="2193" ht="15.0" customHeight="1">
      <c r="A2193" s="157" t="s">
        <v>2440</v>
      </c>
      <c r="B2193" s="158" t="s">
        <v>37</v>
      </c>
      <c r="C2193" s="158" t="s">
        <v>2431</v>
      </c>
      <c r="D2193" s="159">
        <v>44230.0</v>
      </c>
      <c r="E2193" s="157" t="s">
        <v>731</v>
      </c>
      <c r="F2193" s="160">
        <v>38376.0</v>
      </c>
      <c r="G2193" s="160">
        <v>6140.16</v>
      </c>
      <c r="H2193" s="160">
        <f t="shared" si="53"/>
        <v>44516.16</v>
      </c>
      <c r="I2193" s="160"/>
      <c r="J2193" s="161"/>
      <c r="K2193" s="160"/>
      <c r="L2193" s="160">
        <f>+'FACP$'!$H2193-'FACP$'!$I2193-'FACP$'!$K2193</f>
        <v>44516.16</v>
      </c>
      <c r="M2193" s="162" t="s">
        <v>116</v>
      </c>
      <c r="N2193" s="162" t="s">
        <v>554</v>
      </c>
      <c r="O2193" s="164">
        <v>44298.0</v>
      </c>
      <c r="P2193" s="164">
        <f t="shared" si="13"/>
        <v>44240</v>
      </c>
      <c r="Q2193" s="165">
        <f t="shared" si="2"/>
        <v>0</v>
      </c>
      <c r="R2193" s="167"/>
      <c r="S2193" s="167"/>
      <c r="T2193" s="168">
        <f t="shared" si="3"/>
        <v>44516.16</v>
      </c>
      <c r="U2193" s="168">
        <f t="shared" si="4"/>
        <v>0</v>
      </c>
      <c r="V2193" s="168">
        <f t="shared" si="5"/>
        <v>0</v>
      </c>
      <c r="W2193" s="168">
        <f t="shared" si="6"/>
        <v>0</v>
      </c>
      <c r="X2193" s="168">
        <f t="shared" si="7"/>
        <v>0</v>
      </c>
      <c r="Y2193" s="168">
        <f t="shared" si="8"/>
        <v>0</v>
      </c>
      <c r="Z2193" s="168">
        <f t="shared" si="9"/>
        <v>0</v>
      </c>
    </row>
    <row r="2194" ht="15.0" customHeight="1">
      <c r="A2194" s="157" t="s">
        <v>2441</v>
      </c>
      <c r="B2194" s="158" t="s">
        <v>16</v>
      </c>
      <c r="C2194" s="158" t="s">
        <v>2431</v>
      </c>
      <c r="D2194" s="159">
        <v>44230.0</v>
      </c>
      <c r="E2194" s="157" t="s">
        <v>731</v>
      </c>
      <c r="F2194" s="160">
        <v>38376.0</v>
      </c>
      <c r="G2194" s="160">
        <v>6140.16</v>
      </c>
      <c r="H2194" s="160">
        <f t="shared" si="53"/>
        <v>44516.16</v>
      </c>
      <c r="I2194" s="160"/>
      <c r="J2194" s="161"/>
      <c r="K2194" s="160"/>
      <c r="L2194" s="160">
        <f>+'FACP$'!$H2194-'FACP$'!$I2194-'FACP$'!$K2194</f>
        <v>44516.16</v>
      </c>
      <c r="M2194" s="162" t="s">
        <v>985</v>
      </c>
      <c r="N2194" s="162" t="s">
        <v>127</v>
      </c>
      <c r="O2194" s="164"/>
      <c r="P2194" s="164">
        <f t="shared" si="13"/>
        <v>44240</v>
      </c>
      <c r="Q2194" s="165">
        <f t="shared" si="2"/>
        <v>0</v>
      </c>
      <c r="R2194" s="167"/>
      <c r="S2194" s="167"/>
      <c r="T2194" s="168">
        <f t="shared" si="3"/>
        <v>44516.16</v>
      </c>
      <c r="U2194" s="168">
        <f t="shared" si="4"/>
        <v>0</v>
      </c>
      <c r="V2194" s="168">
        <f t="shared" si="5"/>
        <v>0</v>
      </c>
      <c r="W2194" s="168">
        <f t="shared" si="6"/>
        <v>0</v>
      </c>
      <c r="X2194" s="168">
        <f t="shared" si="7"/>
        <v>0</v>
      </c>
      <c r="Y2194" s="168">
        <f t="shared" si="8"/>
        <v>0</v>
      </c>
      <c r="Z2194" s="168">
        <f t="shared" si="9"/>
        <v>0</v>
      </c>
    </row>
    <row r="2195" ht="15.0" customHeight="1">
      <c r="A2195" s="157" t="s">
        <v>2442</v>
      </c>
      <c r="B2195" s="158" t="s">
        <v>37</v>
      </c>
      <c r="C2195" s="158" t="s">
        <v>2431</v>
      </c>
      <c r="D2195" s="159">
        <v>44230.0</v>
      </c>
      <c r="E2195" s="157" t="s">
        <v>731</v>
      </c>
      <c r="F2195" s="160">
        <v>38532.0</v>
      </c>
      <c r="G2195" s="160">
        <v>6165.12</v>
      </c>
      <c r="H2195" s="160">
        <f t="shared" si="53"/>
        <v>44697.12</v>
      </c>
      <c r="I2195" s="160"/>
      <c r="J2195" s="161"/>
      <c r="K2195" s="160"/>
      <c r="L2195" s="160">
        <f>+'FACP$'!$H2195-'FACP$'!$I2195-'FACP$'!$K2195</f>
        <v>44697.12</v>
      </c>
      <c r="M2195" s="162" t="s">
        <v>116</v>
      </c>
      <c r="N2195" s="162" t="s">
        <v>554</v>
      </c>
      <c r="O2195" s="164">
        <v>44298.0</v>
      </c>
      <c r="P2195" s="164">
        <f t="shared" si="13"/>
        <v>44240</v>
      </c>
      <c r="Q2195" s="165">
        <f t="shared" si="2"/>
        <v>0</v>
      </c>
      <c r="R2195" s="167"/>
      <c r="S2195" s="167"/>
      <c r="T2195" s="168">
        <f t="shared" si="3"/>
        <v>44697.12</v>
      </c>
      <c r="U2195" s="168">
        <f t="shared" si="4"/>
        <v>0</v>
      </c>
      <c r="V2195" s="168">
        <f t="shared" si="5"/>
        <v>0</v>
      </c>
      <c r="W2195" s="168">
        <f t="shared" si="6"/>
        <v>0</v>
      </c>
      <c r="X2195" s="168">
        <f t="shared" si="7"/>
        <v>0</v>
      </c>
      <c r="Y2195" s="168">
        <f t="shared" si="8"/>
        <v>0</v>
      </c>
      <c r="Z2195" s="168">
        <f t="shared" si="9"/>
        <v>0</v>
      </c>
    </row>
    <row r="2196" ht="15.0" customHeight="1">
      <c r="A2196" s="157" t="s">
        <v>2443</v>
      </c>
      <c r="B2196" s="158" t="s">
        <v>37</v>
      </c>
      <c r="C2196" s="158" t="s">
        <v>2431</v>
      </c>
      <c r="D2196" s="159">
        <v>44230.0</v>
      </c>
      <c r="E2196" s="157" t="s">
        <v>731</v>
      </c>
      <c r="F2196" s="160">
        <v>18772.0</v>
      </c>
      <c r="G2196" s="160">
        <v>3003.52</v>
      </c>
      <c r="H2196" s="160">
        <f t="shared" si="53"/>
        <v>21775.52</v>
      </c>
      <c r="I2196" s="160"/>
      <c r="J2196" s="161"/>
      <c r="K2196" s="160"/>
      <c r="L2196" s="160">
        <f>+'FACP$'!$H2196-'FACP$'!$I2196-'FACP$'!$K2196</f>
        <v>21775.52</v>
      </c>
      <c r="M2196" s="162" t="s">
        <v>116</v>
      </c>
      <c r="N2196" s="162" t="s">
        <v>554</v>
      </c>
      <c r="O2196" s="164">
        <v>44292.0</v>
      </c>
      <c r="P2196" s="164">
        <f t="shared" si="13"/>
        <v>44240</v>
      </c>
      <c r="Q2196" s="165">
        <f t="shared" si="2"/>
        <v>0</v>
      </c>
      <c r="R2196" s="167"/>
      <c r="S2196" s="167"/>
      <c r="T2196" s="168">
        <f t="shared" si="3"/>
        <v>21775.52</v>
      </c>
      <c r="U2196" s="168">
        <f t="shared" si="4"/>
        <v>0</v>
      </c>
      <c r="V2196" s="168">
        <f t="shared" si="5"/>
        <v>0</v>
      </c>
      <c r="W2196" s="168">
        <f t="shared" si="6"/>
        <v>0</v>
      </c>
      <c r="X2196" s="168">
        <f t="shared" si="7"/>
        <v>0</v>
      </c>
      <c r="Y2196" s="168">
        <f t="shared" si="8"/>
        <v>0</v>
      </c>
      <c r="Z2196" s="168">
        <f t="shared" si="9"/>
        <v>0</v>
      </c>
    </row>
    <row r="2197" ht="15.0" customHeight="1">
      <c r="A2197" s="157" t="s">
        <v>2444</v>
      </c>
      <c r="B2197" s="158" t="s">
        <v>29</v>
      </c>
      <c r="C2197" s="158" t="s">
        <v>2431</v>
      </c>
      <c r="D2197" s="159">
        <v>44230.0</v>
      </c>
      <c r="E2197" s="157" t="s">
        <v>731</v>
      </c>
      <c r="F2197" s="160">
        <v>18772.0</v>
      </c>
      <c r="G2197" s="160">
        <v>3003.52</v>
      </c>
      <c r="H2197" s="160">
        <f t="shared" si="53"/>
        <v>21775.52</v>
      </c>
      <c r="I2197" s="160"/>
      <c r="J2197" s="161"/>
      <c r="K2197" s="160"/>
      <c r="L2197" s="160">
        <f>+'FACP$'!$H2197-'FACP$'!$I2197-'FACP$'!$K2197</f>
        <v>21775.52</v>
      </c>
      <c r="M2197" s="162" t="s">
        <v>130</v>
      </c>
      <c r="N2197" s="162" t="s">
        <v>554</v>
      </c>
      <c r="O2197" s="164">
        <v>44284.0</v>
      </c>
      <c r="P2197" s="164">
        <f t="shared" si="13"/>
        <v>44240</v>
      </c>
      <c r="Q2197" s="165">
        <f t="shared" si="2"/>
        <v>0</v>
      </c>
      <c r="R2197" s="167"/>
      <c r="S2197" s="167"/>
      <c r="T2197" s="168">
        <f t="shared" si="3"/>
        <v>21775.52</v>
      </c>
      <c r="U2197" s="168">
        <f t="shared" si="4"/>
        <v>0</v>
      </c>
      <c r="V2197" s="168">
        <f t="shared" si="5"/>
        <v>0</v>
      </c>
      <c r="W2197" s="168">
        <f t="shared" si="6"/>
        <v>0</v>
      </c>
      <c r="X2197" s="168">
        <f t="shared" si="7"/>
        <v>0</v>
      </c>
      <c r="Y2197" s="168">
        <f t="shared" si="8"/>
        <v>0</v>
      </c>
      <c r="Z2197" s="168">
        <f t="shared" si="9"/>
        <v>0</v>
      </c>
    </row>
    <row r="2198" ht="15.0" customHeight="1">
      <c r="A2198" s="157" t="s">
        <v>2445</v>
      </c>
      <c r="B2198" s="158" t="s">
        <v>38</v>
      </c>
      <c r="C2198" s="158" t="s">
        <v>2431</v>
      </c>
      <c r="D2198" s="159">
        <v>44230.0</v>
      </c>
      <c r="E2198" s="157" t="s">
        <v>731</v>
      </c>
      <c r="F2198" s="160">
        <v>1.0</v>
      </c>
      <c r="G2198" s="160">
        <v>0.16</v>
      </c>
      <c r="H2198" s="160">
        <f t="shared" si="53"/>
        <v>1.16</v>
      </c>
      <c r="I2198" s="160"/>
      <c r="J2198" s="161"/>
      <c r="K2198" s="160"/>
      <c r="L2198" s="160">
        <f>+'FACP$'!$H2198-'FACP$'!$I2198-'FACP$'!$K2198</f>
        <v>1.16</v>
      </c>
      <c r="M2198" s="162" t="s">
        <v>145</v>
      </c>
      <c r="N2198" s="162" t="s">
        <v>554</v>
      </c>
      <c r="O2198" s="164">
        <v>44298.0</v>
      </c>
      <c r="P2198" s="164">
        <f t="shared" si="13"/>
        <v>44240</v>
      </c>
      <c r="Q2198" s="165">
        <f t="shared" si="2"/>
        <v>0</v>
      </c>
      <c r="R2198" s="167"/>
      <c r="S2198" s="167"/>
      <c r="T2198" s="168">
        <f t="shared" si="3"/>
        <v>1.16</v>
      </c>
      <c r="U2198" s="168">
        <f t="shared" si="4"/>
        <v>0</v>
      </c>
      <c r="V2198" s="168">
        <f t="shared" si="5"/>
        <v>0</v>
      </c>
      <c r="W2198" s="168">
        <f t="shared" si="6"/>
        <v>0</v>
      </c>
      <c r="X2198" s="168">
        <f t="shared" si="7"/>
        <v>0</v>
      </c>
      <c r="Y2198" s="168">
        <f t="shared" si="8"/>
        <v>0</v>
      </c>
      <c r="Z2198" s="168">
        <f t="shared" si="9"/>
        <v>0</v>
      </c>
    </row>
    <row r="2199" ht="15.0" customHeight="1">
      <c r="A2199" s="157" t="s">
        <v>2446</v>
      </c>
      <c r="B2199" s="158" t="s">
        <v>37</v>
      </c>
      <c r="C2199" s="158" t="s">
        <v>2431</v>
      </c>
      <c r="D2199" s="159">
        <v>44230.0</v>
      </c>
      <c r="E2199" s="157" t="s">
        <v>731</v>
      </c>
      <c r="F2199" s="160">
        <v>1.0</v>
      </c>
      <c r="G2199" s="160">
        <v>0.16</v>
      </c>
      <c r="H2199" s="160">
        <f t="shared" si="53"/>
        <v>1.16</v>
      </c>
      <c r="I2199" s="160"/>
      <c r="J2199" s="161"/>
      <c r="K2199" s="160"/>
      <c r="L2199" s="160">
        <f>+'FACP$'!$H2199-'FACP$'!$I2199-'FACP$'!$K2199</f>
        <v>1.16</v>
      </c>
      <c r="M2199" s="162" t="s">
        <v>116</v>
      </c>
      <c r="N2199" s="162" t="s">
        <v>554</v>
      </c>
      <c r="O2199" s="164">
        <v>44292.0</v>
      </c>
      <c r="P2199" s="164">
        <f t="shared" si="13"/>
        <v>44240</v>
      </c>
      <c r="Q2199" s="165">
        <f t="shared" si="2"/>
        <v>0</v>
      </c>
      <c r="R2199" s="167"/>
      <c r="S2199" s="167"/>
      <c r="T2199" s="168">
        <f t="shared" si="3"/>
        <v>1.16</v>
      </c>
      <c r="U2199" s="168">
        <f t="shared" si="4"/>
        <v>0</v>
      </c>
      <c r="V2199" s="168">
        <f t="shared" si="5"/>
        <v>0</v>
      </c>
      <c r="W2199" s="168">
        <f t="shared" si="6"/>
        <v>0</v>
      </c>
      <c r="X2199" s="168">
        <f t="shared" si="7"/>
        <v>0</v>
      </c>
      <c r="Y2199" s="168">
        <f t="shared" si="8"/>
        <v>0</v>
      </c>
      <c r="Z2199" s="168">
        <f t="shared" si="9"/>
        <v>0</v>
      </c>
    </row>
    <row r="2200" ht="15.0" customHeight="1">
      <c r="A2200" s="157" t="s">
        <v>2447</v>
      </c>
      <c r="B2200" s="158" t="s">
        <v>37</v>
      </c>
      <c r="C2200" s="158" t="s">
        <v>2431</v>
      </c>
      <c r="D2200" s="159">
        <v>44230.0</v>
      </c>
      <c r="E2200" s="157" t="s">
        <v>731</v>
      </c>
      <c r="F2200" s="160">
        <v>1.0</v>
      </c>
      <c r="G2200" s="160">
        <v>0.16</v>
      </c>
      <c r="H2200" s="160">
        <f t="shared" si="53"/>
        <v>1.16</v>
      </c>
      <c r="I2200" s="160"/>
      <c r="J2200" s="161"/>
      <c r="K2200" s="160"/>
      <c r="L2200" s="160">
        <f>+'FACP$'!$H2200-'FACP$'!$I2200-'FACP$'!$K2200</f>
        <v>1.16</v>
      </c>
      <c r="M2200" s="162" t="s">
        <v>116</v>
      </c>
      <c r="N2200" s="162" t="s">
        <v>554</v>
      </c>
      <c r="O2200" s="164">
        <v>44292.0</v>
      </c>
      <c r="P2200" s="164">
        <f t="shared" si="13"/>
        <v>44240</v>
      </c>
      <c r="Q2200" s="165">
        <f t="shared" si="2"/>
        <v>0</v>
      </c>
      <c r="R2200" s="167"/>
      <c r="S2200" s="167"/>
      <c r="T2200" s="168">
        <f t="shared" si="3"/>
        <v>1.16</v>
      </c>
      <c r="U2200" s="168">
        <f t="shared" si="4"/>
        <v>0</v>
      </c>
      <c r="V2200" s="168">
        <f t="shared" si="5"/>
        <v>0</v>
      </c>
      <c r="W2200" s="168">
        <f t="shared" si="6"/>
        <v>0</v>
      </c>
      <c r="X2200" s="168">
        <f t="shared" si="7"/>
        <v>0</v>
      </c>
      <c r="Y2200" s="168">
        <f t="shared" si="8"/>
        <v>0</v>
      </c>
      <c r="Z2200" s="168">
        <f t="shared" si="9"/>
        <v>0</v>
      </c>
    </row>
    <row r="2201" ht="15.0" customHeight="1">
      <c r="A2201" s="157" t="s">
        <v>2448</v>
      </c>
      <c r="B2201" s="158" t="s">
        <v>37</v>
      </c>
      <c r="C2201" s="158" t="s">
        <v>2431</v>
      </c>
      <c r="D2201" s="159">
        <v>44230.0</v>
      </c>
      <c r="E2201" s="157" t="s">
        <v>731</v>
      </c>
      <c r="F2201" s="160">
        <v>1.0</v>
      </c>
      <c r="G2201" s="160">
        <v>0.16</v>
      </c>
      <c r="H2201" s="160">
        <f t="shared" si="53"/>
        <v>1.16</v>
      </c>
      <c r="I2201" s="160"/>
      <c r="J2201" s="161"/>
      <c r="K2201" s="160"/>
      <c r="L2201" s="160">
        <f>+'FACP$'!$H2201-'FACP$'!$I2201-'FACP$'!$K2201</f>
        <v>1.16</v>
      </c>
      <c r="M2201" s="162" t="s">
        <v>116</v>
      </c>
      <c r="N2201" s="162" t="s">
        <v>554</v>
      </c>
      <c r="O2201" s="164">
        <v>44292.0</v>
      </c>
      <c r="P2201" s="164">
        <f t="shared" si="13"/>
        <v>44240</v>
      </c>
      <c r="Q2201" s="165">
        <f t="shared" si="2"/>
        <v>0</v>
      </c>
      <c r="R2201" s="167"/>
      <c r="S2201" s="167"/>
      <c r="T2201" s="168">
        <f t="shared" si="3"/>
        <v>1.16</v>
      </c>
      <c r="U2201" s="168">
        <f t="shared" si="4"/>
        <v>0</v>
      </c>
      <c r="V2201" s="168">
        <f t="shared" si="5"/>
        <v>0</v>
      </c>
      <c r="W2201" s="168">
        <f t="shared" si="6"/>
        <v>0</v>
      </c>
      <c r="X2201" s="168">
        <f t="shared" si="7"/>
        <v>0</v>
      </c>
      <c r="Y2201" s="168">
        <f t="shared" si="8"/>
        <v>0</v>
      </c>
      <c r="Z2201" s="168">
        <f t="shared" si="9"/>
        <v>0</v>
      </c>
    </row>
    <row r="2202" ht="15.0" customHeight="1">
      <c r="A2202" s="157" t="s">
        <v>2449</v>
      </c>
      <c r="B2202" s="158" t="s">
        <v>18</v>
      </c>
      <c r="C2202" s="158" t="s">
        <v>2431</v>
      </c>
      <c r="D2202" s="159">
        <v>44230.0</v>
      </c>
      <c r="E2202" s="157" t="s">
        <v>731</v>
      </c>
      <c r="F2202" s="160">
        <v>1.0</v>
      </c>
      <c r="G2202" s="160">
        <v>0.16</v>
      </c>
      <c r="H2202" s="160">
        <f t="shared" si="53"/>
        <v>1.16</v>
      </c>
      <c r="I2202" s="160"/>
      <c r="J2202" s="161"/>
      <c r="K2202" s="160"/>
      <c r="L2202" s="160">
        <f>+'FACP$'!$H2202-'FACP$'!$I2202-'FACP$'!$K2202</f>
        <v>1.16</v>
      </c>
      <c r="M2202" s="162" t="s">
        <v>586</v>
      </c>
      <c r="N2202" s="162" t="s">
        <v>554</v>
      </c>
      <c r="O2202" s="164">
        <v>44305.0</v>
      </c>
      <c r="P2202" s="164">
        <f t="shared" si="13"/>
        <v>44240</v>
      </c>
      <c r="Q2202" s="165">
        <f t="shared" si="2"/>
        <v>0</v>
      </c>
      <c r="R2202" s="167"/>
      <c r="S2202" s="167"/>
      <c r="T2202" s="168">
        <f t="shared" si="3"/>
        <v>1.16</v>
      </c>
      <c r="U2202" s="168">
        <f t="shared" si="4"/>
        <v>0</v>
      </c>
      <c r="V2202" s="168">
        <f t="shared" si="5"/>
        <v>0</v>
      </c>
      <c r="W2202" s="168">
        <f t="shared" si="6"/>
        <v>0</v>
      </c>
      <c r="X2202" s="168">
        <f t="shared" si="7"/>
        <v>0</v>
      </c>
      <c r="Y2202" s="168">
        <f t="shared" si="8"/>
        <v>0</v>
      </c>
      <c r="Z2202" s="168">
        <f t="shared" si="9"/>
        <v>0</v>
      </c>
    </row>
    <row r="2203" ht="15.0" customHeight="1">
      <c r="A2203" s="157" t="s">
        <v>2450</v>
      </c>
      <c r="B2203" s="158" t="s">
        <v>16</v>
      </c>
      <c r="C2203" s="158" t="s">
        <v>2431</v>
      </c>
      <c r="D2203" s="159">
        <v>44230.0</v>
      </c>
      <c r="E2203" s="157" t="s">
        <v>731</v>
      </c>
      <c r="F2203" s="160">
        <v>1.0</v>
      </c>
      <c r="G2203" s="160">
        <v>0.16</v>
      </c>
      <c r="H2203" s="160">
        <f t="shared" si="53"/>
        <v>1.16</v>
      </c>
      <c r="I2203" s="160"/>
      <c r="J2203" s="161"/>
      <c r="K2203" s="160"/>
      <c r="L2203" s="160">
        <f>+'FACP$'!$H2203-'FACP$'!$I2203-'FACP$'!$K2203</f>
        <v>1.16</v>
      </c>
      <c r="M2203" s="162" t="s">
        <v>985</v>
      </c>
      <c r="N2203" s="162" t="s">
        <v>127</v>
      </c>
      <c r="O2203" s="164"/>
      <c r="P2203" s="164">
        <f t="shared" si="13"/>
        <v>44240</v>
      </c>
      <c r="Q2203" s="165">
        <f t="shared" si="2"/>
        <v>0</v>
      </c>
      <c r="R2203" s="167"/>
      <c r="S2203" s="167"/>
      <c r="T2203" s="168">
        <f t="shared" si="3"/>
        <v>1.16</v>
      </c>
      <c r="U2203" s="168">
        <f t="shared" si="4"/>
        <v>0</v>
      </c>
      <c r="V2203" s="168">
        <f t="shared" si="5"/>
        <v>0</v>
      </c>
      <c r="W2203" s="168">
        <f t="shared" si="6"/>
        <v>0</v>
      </c>
      <c r="X2203" s="168">
        <f t="shared" si="7"/>
        <v>0</v>
      </c>
      <c r="Y2203" s="168">
        <f t="shared" si="8"/>
        <v>0</v>
      </c>
      <c r="Z2203" s="168">
        <f t="shared" si="9"/>
        <v>0</v>
      </c>
    </row>
    <row r="2204" ht="15.0" customHeight="1">
      <c r="A2204" s="157" t="s">
        <v>2451</v>
      </c>
      <c r="B2204" s="158" t="s">
        <v>38</v>
      </c>
      <c r="C2204" s="158" t="s">
        <v>2431</v>
      </c>
      <c r="D2204" s="159">
        <v>44231.0</v>
      </c>
      <c r="E2204" s="157" t="s">
        <v>731</v>
      </c>
      <c r="F2204" s="160">
        <v>1.0</v>
      </c>
      <c r="G2204" s="160">
        <v>0.16</v>
      </c>
      <c r="H2204" s="160">
        <f t="shared" si="53"/>
        <v>1.16</v>
      </c>
      <c r="I2204" s="160"/>
      <c r="J2204" s="161"/>
      <c r="K2204" s="160"/>
      <c r="L2204" s="160">
        <f>+'FACP$'!$H2204-'FACP$'!$I2204-'FACP$'!$K2204</f>
        <v>1.16</v>
      </c>
      <c r="M2204" s="162" t="s">
        <v>145</v>
      </c>
      <c r="N2204" s="162" t="s">
        <v>554</v>
      </c>
      <c r="O2204" s="164">
        <v>44298.0</v>
      </c>
      <c r="P2204" s="164">
        <f t="shared" si="13"/>
        <v>44241</v>
      </c>
      <c r="Q2204" s="165">
        <f t="shared" si="2"/>
        <v>0</v>
      </c>
      <c r="R2204" s="167"/>
      <c r="S2204" s="167"/>
      <c r="T2204" s="168">
        <f t="shared" si="3"/>
        <v>1.16</v>
      </c>
      <c r="U2204" s="168">
        <f t="shared" si="4"/>
        <v>0</v>
      </c>
      <c r="V2204" s="168">
        <f t="shared" si="5"/>
        <v>0</v>
      </c>
      <c r="W2204" s="168">
        <f t="shared" si="6"/>
        <v>0</v>
      </c>
      <c r="X2204" s="168">
        <f t="shared" si="7"/>
        <v>0</v>
      </c>
      <c r="Y2204" s="168">
        <f t="shared" si="8"/>
        <v>0</v>
      </c>
      <c r="Z2204" s="168">
        <f t="shared" si="9"/>
        <v>0</v>
      </c>
    </row>
    <row r="2205" ht="15.0" customHeight="1">
      <c r="A2205" s="157" t="s">
        <v>2452</v>
      </c>
      <c r="B2205" s="158" t="s">
        <v>26</v>
      </c>
      <c r="C2205" s="158" t="s">
        <v>2431</v>
      </c>
      <c r="D2205" s="159">
        <v>44231.0</v>
      </c>
      <c r="E2205" s="157" t="s">
        <v>731</v>
      </c>
      <c r="F2205" s="160">
        <v>1.0</v>
      </c>
      <c r="G2205" s="160">
        <v>0.16</v>
      </c>
      <c r="H2205" s="160">
        <f t="shared" si="53"/>
        <v>1.16</v>
      </c>
      <c r="I2205" s="160"/>
      <c r="J2205" s="161"/>
      <c r="K2205" s="160"/>
      <c r="L2205" s="160">
        <f>+'FACP$'!$H2205-'FACP$'!$I2205-'FACP$'!$K2205</f>
        <v>1.16</v>
      </c>
      <c r="M2205" s="162" t="s">
        <v>2386</v>
      </c>
      <c r="N2205" s="162" t="s">
        <v>554</v>
      </c>
      <c r="O2205" s="164">
        <v>44305.0</v>
      </c>
      <c r="P2205" s="164">
        <f t="shared" si="13"/>
        <v>44241</v>
      </c>
      <c r="Q2205" s="165">
        <f t="shared" si="2"/>
        <v>0</v>
      </c>
      <c r="R2205" s="167"/>
      <c r="S2205" s="167"/>
      <c r="T2205" s="168">
        <f t="shared" si="3"/>
        <v>1.16</v>
      </c>
      <c r="U2205" s="168">
        <f t="shared" si="4"/>
        <v>0</v>
      </c>
      <c r="V2205" s="168">
        <f t="shared" si="5"/>
        <v>0</v>
      </c>
      <c r="W2205" s="168">
        <f t="shared" si="6"/>
        <v>0</v>
      </c>
      <c r="X2205" s="168">
        <f t="shared" si="7"/>
        <v>0</v>
      </c>
      <c r="Y2205" s="168">
        <f t="shared" si="8"/>
        <v>0</v>
      </c>
      <c r="Z2205" s="168">
        <f t="shared" si="9"/>
        <v>0</v>
      </c>
    </row>
    <row r="2206" ht="15.0" customHeight="1">
      <c r="A2206" s="157" t="s">
        <v>2453</v>
      </c>
      <c r="B2206" s="158" t="s">
        <v>37</v>
      </c>
      <c r="C2206" s="158" t="s">
        <v>2431</v>
      </c>
      <c r="D2206" s="159">
        <v>44231.0</v>
      </c>
      <c r="E2206" s="157" t="s">
        <v>731</v>
      </c>
      <c r="F2206" s="160">
        <v>38376.0</v>
      </c>
      <c r="G2206" s="160">
        <v>6140.16</v>
      </c>
      <c r="H2206" s="160">
        <f t="shared" si="53"/>
        <v>44516.16</v>
      </c>
      <c r="I2206" s="160"/>
      <c r="J2206" s="161"/>
      <c r="K2206" s="160"/>
      <c r="L2206" s="160">
        <f>+'FACP$'!$H2206-'FACP$'!$I2206-'FACP$'!$K2206</f>
        <v>44516.16</v>
      </c>
      <c r="M2206" s="162" t="s">
        <v>116</v>
      </c>
      <c r="N2206" s="162" t="s">
        <v>554</v>
      </c>
      <c r="O2206" s="164">
        <v>44298.0</v>
      </c>
      <c r="P2206" s="164">
        <f t="shared" si="13"/>
        <v>44241</v>
      </c>
      <c r="Q2206" s="165">
        <f t="shared" si="2"/>
        <v>0</v>
      </c>
      <c r="R2206" s="167"/>
      <c r="S2206" s="167"/>
      <c r="T2206" s="168">
        <f t="shared" si="3"/>
        <v>44516.16</v>
      </c>
      <c r="U2206" s="168">
        <f t="shared" si="4"/>
        <v>0</v>
      </c>
      <c r="V2206" s="168">
        <f t="shared" si="5"/>
        <v>0</v>
      </c>
      <c r="W2206" s="168">
        <f t="shared" si="6"/>
        <v>0</v>
      </c>
      <c r="X2206" s="168">
        <f t="shared" si="7"/>
        <v>0</v>
      </c>
      <c r="Y2206" s="168">
        <f t="shared" si="8"/>
        <v>0</v>
      </c>
      <c r="Z2206" s="168">
        <f t="shared" si="9"/>
        <v>0</v>
      </c>
    </row>
    <row r="2207" ht="15.0" customHeight="1">
      <c r="A2207" s="157" t="s">
        <v>2454</v>
      </c>
      <c r="B2207" s="158" t="s">
        <v>37</v>
      </c>
      <c r="C2207" s="158" t="s">
        <v>2431</v>
      </c>
      <c r="D2207" s="159">
        <v>44231.0</v>
      </c>
      <c r="E2207" s="157" t="s">
        <v>731</v>
      </c>
      <c r="F2207" s="160">
        <v>19188.0</v>
      </c>
      <c r="G2207" s="160">
        <v>3070.08</v>
      </c>
      <c r="H2207" s="160">
        <f t="shared" si="53"/>
        <v>22258.08</v>
      </c>
      <c r="I2207" s="160"/>
      <c r="J2207" s="161"/>
      <c r="K2207" s="160"/>
      <c r="L2207" s="160">
        <f>+'FACP$'!$H2207-'FACP$'!$I2207-'FACP$'!$K2207</f>
        <v>22258.08</v>
      </c>
      <c r="M2207" s="162" t="s">
        <v>116</v>
      </c>
      <c r="N2207" s="162" t="s">
        <v>554</v>
      </c>
      <c r="O2207" s="164">
        <v>44298.0</v>
      </c>
      <c r="P2207" s="164">
        <f t="shared" si="13"/>
        <v>44241</v>
      </c>
      <c r="Q2207" s="165">
        <f t="shared" si="2"/>
        <v>0</v>
      </c>
      <c r="R2207" s="167"/>
      <c r="S2207" s="167"/>
      <c r="T2207" s="168">
        <f t="shared" si="3"/>
        <v>22258.08</v>
      </c>
      <c r="U2207" s="168">
        <f t="shared" si="4"/>
        <v>0</v>
      </c>
      <c r="V2207" s="168">
        <f t="shared" si="5"/>
        <v>0</v>
      </c>
      <c r="W2207" s="168">
        <f t="shared" si="6"/>
        <v>0</v>
      </c>
      <c r="X2207" s="168">
        <f t="shared" si="7"/>
        <v>0</v>
      </c>
      <c r="Y2207" s="168">
        <f t="shared" si="8"/>
        <v>0</v>
      </c>
      <c r="Z2207" s="168">
        <f t="shared" si="9"/>
        <v>0</v>
      </c>
    </row>
    <row r="2208" ht="15.0" customHeight="1">
      <c r="A2208" s="157" t="s">
        <v>2455</v>
      </c>
      <c r="B2208" s="158" t="s">
        <v>127</v>
      </c>
      <c r="C2208" s="158"/>
      <c r="D2208" s="159"/>
      <c r="E2208" s="157"/>
      <c r="F2208" s="160"/>
      <c r="G2208" s="160"/>
      <c r="H2208" s="160">
        <f t="shared" si="53"/>
        <v>0</v>
      </c>
      <c r="I2208" s="160"/>
      <c r="J2208" s="161"/>
      <c r="K2208" s="160"/>
      <c r="L2208" s="160">
        <f>+'FACP$'!$H2208-'FACP$'!$I2208-'FACP$'!$K2208</f>
        <v>0</v>
      </c>
      <c r="M2208" s="162" t="s">
        <v>127</v>
      </c>
      <c r="N2208" s="162" t="s">
        <v>127</v>
      </c>
      <c r="O2208" s="164"/>
      <c r="P2208" s="164">
        <f t="shared" si="13"/>
        <v>10</v>
      </c>
      <c r="Q2208" s="165">
        <f t="shared" si="2"/>
        <v>0</v>
      </c>
      <c r="R2208" s="167"/>
      <c r="S2208" s="167"/>
      <c r="T2208" s="168">
        <f t="shared" si="3"/>
        <v>0</v>
      </c>
      <c r="U2208" s="168">
        <f t="shared" si="4"/>
        <v>0</v>
      </c>
      <c r="V2208" s="168">
        <f t="shared" si="5"/>
        <v>0</v>
      </c>
      <c r="W2208" s="168">
        <f t="shared" si="6"/>
        <v>0</v>
      </c>
      <c r="X2208" s="168">
        <f t="shared" si="7"/>
        <v>0</v>
      </c>
      <c r="Y2208" s="168">
        <f t="shared" si="8"/>
        <v>0</v>
      </c>
      <c r="Z2208" s="168">
        <f t="shared" si="9"/>
        <v>0</v>
      </c>
    </row>
    <row r="2209" ht="15.0" customHeight="1">
      <c r="A2209" s="157" t="s">
        <v>2456</v>
      </c>
      <c r="B2209" s="158" t="s">
        <v>29</v>
      </c>
      <c r="C2209" s="158" t="s">
        <v>2431</v>
      </c>
      <c r="D2209" s="159">
        <v>44231.0</v>
      </c>
      <c r="E2209" s="157" t="s">
        <v>731</v>
      </c>
      <c r="F2209" s="160">
        <v>19266.0</v>
      </c>
      <c r="G2209" s="160">
        <v>3082.56</v>
      </c>
      <c r="H2209" s="160">
        <f t="shared" si="53"/>
        <v>22348.56</v>
      </c>
      <c r="I2209" s="160"/>
      <c r="J2209" s="161"/>
      <c r="K2209" s="160"/>
      <c r="L2209" s="160">
        <f>+'FACP$'!$H2209-'FACP$'!$I2209-'FACP$'!$K2209</f>
        <v>22348.56</v>
      </c>
      <c r="M2209" s="162" t="s">
        <v>130</v>
      </c>
      <c r="N2209" s="162" t="s">
        <v>554</v>
      </c>
      <c r="O2209" s="164">
        <v>44284.0</v>
      </c>
      <c r="P2209" s="164">
        <f t="shared" si="13"/>
        <v>44241</v>
      </c>
      <c r="Q2209" s="165">
        <f t="shared" si="2"/>
        <v>0</v>
      </c>
      <c r="R2209" s="167"/>
      <c r="S2209" s="167"/>
      <c r="T2209" s="168">
        <f t="shared" si="3"/>
        <v>22348.56</v>
      </c>
      <c r="U2209" s="168">
        <f t="shared" si="4"/>
        <v>0</v>
      </c>
      <c r="V2209" s="168">
        <f t="shared" si="5"/>
        <v>0</v>
      </c>
      <c r="W2209" s="168">
        <f t="shared" si="6"/>
        <v>0</v>
      </c>
      <c r="X2209" s="168">
        <f t="shared" si="7"/>
        <v>0</v>
      </c>
      <c r="Y2209" s="168">
        <f t="shared" si="8"/>
        <v>0</v>
      </c>
      <c r="Z2209" s="168">
        <f t="shared" si="9"/>
        <v>0</v>
      </c>
    </row>
    <row r="2210" ht="15.0" customHeight="1">
      <c r="A2210" s="157" t="s">
        <v>2457</v>
      </c>
      <c r="B2210" s="158" t="s">
        <v>19</v>
      </c>
      <c r="C2210" s="158" t="s">
        <v>2431</v>
      </c>
      <c r="D2210" s="159">
        <v>44231.0</v>
      </c>
      <c r="E2210" s="157" t="s">
        <v>731</v>
      </c>
      <c r="F2210" s="160">
        <v>18772.0</v>
      </c>
      <c r="G2210" s="160">
        <v>3003.52</v>
      </c>
      <c r="H2210" s="160">
        <f t="shared" si="53"/>
        <v>21775.52</v>
      </c>
      <c r="I2210" s="160"/>
      <c r="J2210" s="161"/>
      <c r="K2210" s="160"/>
      <c r="L2210" s="160">
        <f>+'FACP$'!$H2210-'FACP$'!$I2210-'FACP$'!$K2210</f>
        <v>21775.52</v>
      </c>
      <c r="M2210" s="162" t="s">
        <v>732</v>
      </c>
      <c r="N2210" s="162" t="s">
        <v>127</v>
      </c>
      <c r="O2210" s="164"/>
      <c r="P2210" s="164">
        <f t="shared" si="13"/>
        <v>44241</v>
      </c>
      <c r="Q2210" s="165">
        <f t="shared" si="2"/>
        <v>0</v>
      </c>
      <c r="R2210" s="167"/>
      <c r="S2210" s="167"/>
      <c r="T2210" s="168">
        <f t="shared" si="3"/>
        <v>21775.52</v>
      </c>
      <c r="U2210" s="168">
        <f t="shared" si="4"/>
        <v>0</v>
      </c>
      <c r="V2210" s="168">
        <f t="shared" si="5"/>
        <v>0</v>
      </c>
      <c r="W2210" s="168">
        <f t="shared" si="6"/>
        <v>0</v>
      </c>
      <c r="X2210" s="168">
        <f t="shared" si="7"/>
        <v>0</v>
      </c>
      <c r="Y2210" s="168">
        <f t="shared" si="8"/>
        <v>0</v>
      </c>
      <c r="Z2210" s="168">
        <f t="shared" si="9"/>
        <v>0</v>
      </c>
    </row>
    <row r="2211" ht="15.0" customHeight="1">
      <c r="A2211" s="157" t="s">
        <v>2458</v>
      </c>
      <c r="B2211" s="158" t="s">
        <v>19</v>
      </c>
      <c r="C2211" s="158" t="s">
        <v>2431</v>
      </c>
      <c r="D2211" s="159">
        <v>44231.0</v>
      </c>
      <c r="E2211" s="157" t="s">
        <v>731</v>
      </c>
      <c r="F2211" s="160">
        <v>18772.0</v>
      </c>
      <c r="G2211" s="160">
        <v>3003.52</v>
      </c>
      <c r="H2211" s="160">
        <f t="shared" si="53"/>
        <v>21775.52</v>
      </c>
      <c r="I2211" s="160"/>
      <c r="J2211" s="161"/>
      <c r="K2211" s="160"/>
      <c r="L2211" s="160">
        <f>+'FACP$'!$H2211-'FACP$'!$I2211-'FACP$'!$K2211</f>
        <v>21775.52</v>
      </c>
      <c r="M2211" s="162" t="s">
        <v>732</v>
      </c>
      <c r="N2211" s="162" t="s">
        <v>554</v>
      </c>
      <c r="O2211" s="164">
        <v>44279.0</v>
      </c>
      <c r="P2211" s="164">
        <f t="shared" si="13"/>
        <v>44241</v>
      </c>
      <c r="Q2211" s="165">
        <f t="shared" si="2"/>
        <v>0</v>
      </c>
      <c r="R2211" s="167"/>
      <c r="S2211" s="167"/>
      <c r="T2211" s="168">
        <f t="shared" si="3"/>
        <v>21775.52</v>
      </c>
      <c r="U2211" s="168">
        <f t="shared" si="4"/>
        <v>0</v>
      </c>
      <c r="V2211" s="168">
        <f t="shared" si="5"/>
        <v>0</v>
      </c>
      <c r="W2211" s="168">
        <f t="shared" si="6"/>
        <v>0</v>
      </c>
      <c r="X2211" s="168">
        <f t="shared" si="7"/>
        <v>0</v>
      </c>
      <c r="Y2211" s="168">
        <f t="shared" si="8"/>
        <v>0</v>
      </c>
      <c r="Z2211" s="168">
        <f t="shared" si="9"/>
        <v>0</v>
      </c>
    </row>
    <row r="2212" ht="15.0" customHeight="1">
      <c r="A2212" s="157" t="s">
        <v>2459</v>
      </c>
      <c r="B2212" s="158" t="s">
        <v>43</v>
      </c>
      <c r="C2212" s="158" t="s">
        <v>2460</v>
      </c>
      <c r="D2212" s="159">
        <v>44231.0</v>
      </c>
      <c r="E2212" s="157" t="s">
        <v>731</v>
      </c>
      <c r="F2212" s="160">
        <v>1132417.66</v>
      </c>
      <c r="G2212" s="160">
        <v>181186.82</v>
      </c>
      <c r="H2212" s="160">
        <f t="shared" si="53"/>
        <v>1313604.48</v>
      </c>
      <c r="I2212" s="160"/>
      <c r="J2212" s="161"/>
      <c r="K2212" s="160"/>
      <c r="L2212" s="160">
        <f>+'FACP$'!$H2212-'FACP$'!$I2212-'FACP$'!$K2212</f>
        <v>1313604.48</v>
      </c>
      <c r="M2212" s="162" t="s">
        <v>43</v>
      </c>
      <c r="N2212" s="162" t="s">
        <v>554</v>
      </c>
      <c r="O2212" s="164">
        <v>44253.0</v>
      </c>
      <c r="P2212" s="164">
        <f t="shared" si="13"/>
        <v>44241</v>
      </c>
      <c r="Q2212" s="165">
        <f t="shared" si="2"/>
        <v>0</v>
      </c>
      <c r="R2212" s="167"/>
      <c r="S2212" s="167"/>
      <c r="T2212" s="168">
        <f t="shared" si="3"/>
        <v>1313604.48</v>
      </c>
      <c r="U2212" s="168">
        <f t="shared" si="4"/>
        <v>0</v>
      </c>
      <c r="V2212" s="168">
        <f t="shared" si="5"/>
        <v>0</v>
      </c>
      <c r="W2212" s="168">
        <f t="shared" si="6"/>
        <v>0</v>
      </c>
      <c r="X2212" s="168">
        <f t="shared" si="7"/>
        <v>0</v>
      </c>
      <c r="Y2212" s="168">
        <f t="shared" si="8"/>
        <v>0</v>
      </c>
      <c r="Z2212" s="168">
        <f t="shared" si="9"/>
        <v>0</v>
      </c>
    </row>
    <row r="2213" ht="15.0" customHeight="1">
      <c r="A2213" s="157" t="s">
        <v>2461</v>
      </c>
      <c r="B2213" s="158" t="s">
        <v>1127</v>
      </c>
      <c r="C2213" s="158" t="s">
        <v>2460</v>
      </c>
      <c r="D2213" s="159">
        <v>44231.0</v>
      </c>
      <c r="E2213" s="157" t="s">
        <v>731</v>
      </c>
      <c r="F2213" s="160">
        <v>327886.69</v>
      </c>
      <c r="G2213" s="160">
        <v>52461.87</v>
      </c>
      <c r="H2213" s="160">
        <f t="shared" si="53"/>
        <v>380348.56</v>
      </c>
      <c r="I2213" s="160"/>
      <c r="J2213" s="161"/>
      <c r="K2213" s="160"/>
      <c r="L2213" s="160">
        <f>+'FACP$'!$H2213-'FACP$'!$I2213-'FACP$'!$K2213</f>
        <v>380348.56</v>
      </c>
      <c r="M2213" s="162" t="s">
        <v>580</v>
      </c>
      <c r="N2213" s="162" t="s">
        <v>554</v>
      </c>
      <c r="O2213" s="164">
        <v>44238.0</v>
      </c>
      <c r="P2213" s="164">
        <f t="shared" si="13"/>
        <v>44241</v>
      </c>
      <c r="Q2213" s="165">
        <f t="shared" si="2"/>
        <v>0</v>
      </c>
      <c r="R2213" s="167"/>
      <c r="S2213" s="167"/>
      <c r="T2213" s="168">
        <f t="shared" si="3"/>
        <v>380348.56</v>
      </c>
      <c r="U2213" s="168">
        <f t="shared" si="4"/>
        <v>0</v>
      </c>
      <c r="V2213" s="168">
        <f t="shared" si="5"/>
        <v>0</v>
      </c>
      <c r="W2213" s="168">
        <f t="shared" si="6"/>
        <v>0</v>
      </c>
      <c r="X2213" s="168">
        <f t="shared" si="7"/>
        <v>0</v>
      </c>
      <c r="Y2213" s="168">
        <f t="shared" si="8"/>
        <v>0</v>
      </c>
      <c r="Z2213" s="168">
        <f t="shared" si="9"/>
        <v>0</v>
      </c>
    </row>
    <row r="2214" ht="15.0" customHeight="1">
      <c r="A2214" s="157" t="s">
        <v>2462</v>
      </c>
      <c r="B2214" s="158" t="s">
        <v>36</v>
      </c>
      <c r="C2214" s="158" t="s">
        <v>2460</v>
      </c>
      <c r="D2214" s="159">
        <v>44231.0</v>
      </c>
      <c r="E2214" s="157" t="s">
        <v>731</v>
      </c>
      <c r="F2214" s="160">
        <v>56571.13</v>
      </c>
      <c r="G2214" s="160">
        <v>9051.38</v>
      </c>
      <c r="H2214" s="160">
        <f t="shared" si="53"/>
        <v>65622.51</v>
      </c>
      <c r="I2214" s="160"/>
      <c r="J2214" s="161"/>
      <c r="K2214" s="160"/>
      <c r="L2214" s="160">
        <f>+'FACP$'!$H2214-'FACP$'!$I2214-'FACP$'!$K2214</f>
        <v>65622.51</v>
      </c>
      <c r="M2214" s="162" t="s">
        <v>278</v>
      </c>
      <c r="N2214" s="162" t="s">
        <v>554</v>
      </c>
      <c r="O2214" s="164">
        <v>44274.0</v>
      </c>
      <c r="P2214" s="164">
        <f t="shared" si="13"/>
        <v>44241</v>
      </c>
      <c r="Q2214" s="165">
        <f t="shared" si="2"/>
        <v>0</v>
      </c>
      <c r="R2214" s="167"/>
      <c r="S2214" s="167"/>
      <c r="T2214" s="168">
        <f t="shared" si="3"/>
        <v>65622.51</v>
      </c>
      <c r="U2214" s="168">
        <f t="shared" si="4"/>
        <v>0</v>
      </c>
      <c r="V2214" s="168">
        <f t="shared" si="5"/>
        <v>0</v>
      </c>
      <c r="W2214" s="168">
        <f t="shared" si="6"/>
        <v>0</v>
      </c>
      <c r="X2214" s="168">
        <f t="shared" si="7"/>
        <v>0</v>
      </c>
      <c r="Y2214" s="168">
        <f t="shared" si="8"/>
        <v>0</v>
      </c>
      <c r="Z2214" s="168">
        <f t="shared" si="9"/>
        <v>0</v>
      </c>
    </row>
    <row r="2215" ht="15.0" customHeight="1">
      <c r="A2215" s="157" t="s">
        <v>2463</v>
      </c>
      <c r="B2215" s="158" t="s">
        <v>35</v>
      </c>
      <c r="C2215" s="158" t="s">
        <v>2460</v>
      </c>
      <c r="D2215" s="159">
        <v>44231.0</v>
      </c>
      <c r="E2215" s="157" t="s">
        <v>731</v>
      </c>
      <c r="F2215" s="160">
        <v>482703.36</v>
      </c>
      <c r="G2215" s="160">
        <v>77232.54</v>
      </c>
      <c r="H2215" s="160">
        <f t="shared" si="53"/>
        <v>559935.9</v>
      </c>
      <c r="I2215" s="160"/>
      <c r="J2215" s="161"/>
      <c r="K2215" s="160"/>
      <c r="L2215" s="160">
        <f>+'FACP$'!$H2215-'FACP$'!$I2215-'FACP$'!$K2215</f>
        <v>559935.9</v>
      </c>
      <c r="M2215" s="162" t="s">
        <v>276</v>
      </c>
      <c r="N2215" s="162" t="s">
        <v>554</v>
      </c>
      <c r="O2215" s="164">
        <v>44245.0</v>
      </c>
      <c r="P2215" s="164">
        <f t="shared" si="13"/>
        <v>44241</v>
      </c>
      <c r="Q2215" s="165">
        <f t="shared" si="2"/>
        <v>0</v>
      </c>
      <c r="R2215" s="167"/>
      <c r="S2215" s="167" t="s">
        <v>910</v>
      </c>
      <c r="T2215" s="168">
        <f t="shared" si="3"/>
        <v>559935.9</v>
      </c>
      <c r="U2215" s="168">
        <f t="shared" si="4"/>
        <v>0</v>
      </c>
      <c r="V2215" s="168">
        <f t="shared" si="5"/>
        <v>0</v>
      </c>
      <c r="W2215" s="168">
        <f t="shared" si="6"/>
        <v>0</v>
      </c>
      <c r="X2215" s="168">
        <f t="shared" si="7"/>
        <v>0</v>
      </c>
      <c r="Y2215" s="168">
        <f t="shared" si="8"/>
        <v>0</v>
      </c>
      <c r="Z2215" s="168">
        <f t="shared" si="9"/>
        <v>0</v>
      </c>
    </row>
    <row r="2216" ht="15.0" customHeight="1">
      <c r="A2216" s="157" t="s">
        <v>2464</v>
      </c>
      <c r="B2216" s="158" t="s">
        <v>33</v>
      </c>
      <c r="C2216" s="158" t="s">
        <v>2460</v>
      </c>
      <c r="D2216" s="159">
        <v>44231.0</v>
      </c>
      <c r="E2216" s="157" t="s">
        <v>731</v>
      </c>
      <c r="F2216" s="160">
        <v>904344.83</v>
      </c>
      <c r="G2216" s="160">
        <v>144695.17</v>
      </c>
      <c r="H2216" s="160">
        <f t="shared" si="53"/>
        <v>1049040</v>
      </c>
      <c r="I2216" s="160"/>
      <c r="J2216" s="161"/>
      <c r="K2216" s="160"/>
      <c r="L2216" s="160">
        <f>+'FACP$'!$H2216-'FACP$'!$I2216-'FACP$'!$K2216</f>
        <v>1049040</v>
      </c>
      <c r="M2216" s="162" t="s">
        <v>33</v>
      </c>
      <c r="N2216" s="162" t="s">
        <v>554</v>
      </c>
      <c r="O2216" s="164">
        <v>44239.0</v>
      </c>
      <c r="P2216" s="164">
        <f t="shared" si="13"/>
        <v>44241</v>
      </c>
      <c r="Q2216" s="165">
        <f t="shared" si="2"/>
        <v>0</v>
      </c>
      <c r="R2216" s="167"/>
      <c r="S2216" s="167"/>
      <c r="T2216" s="168">
        <f t="shared" si="3"/>
        <v>1049040</v>
      </c>
      <c r="U2216" s="168">
        <f t="shared" si="4"/>
        <v>0</v>
      </c>
      <c r="V2216" s="168">
        <f t="shared" si="5"/>
        <v>0</v>
      </c>
      <c r="W2216" s="168">
        <f t="shared" si="6"/>
        <v>0</v>
      </c>
      <c r="X2216" s="168">
        <f t="shared" si="7"/>
        <v>0</v>
      </c>
      <c r="Y2216" s="168">
        <f t="shared" si="8"/>
        <v>0</v>
      </c>
      <c r="Z2216" s="168">
        <f t="shared" si="9"/>
        <v>0</v>
      </c>
    </row>
    <row r="2217" ht="15.0" customHeight="1">
      <c r="A2217" s="157" t="s">
        <v>2465</v>
      </c>
      <c r="B2217" s="158" t="s">
        <v>38</v>
      </c>
      <c r="C2217" s="158" t="s">
        <v>2431</v>
      </c>
      <c r="D2217" s="159">
        <v>44231.0</v>
      </c>
      <c r="E2217" s="157" t="s">
        <v>731</v>
      </c>
      <c r="F2217" s="160">
        <v>16640.39</v>
      </c>
      <c r="G2217" s="160">
        <v>2662.46</v>
      </c>
      <c r="H2217" s="160">
        <f t="shared" si="53"/>
        <v>19302.85</v>
      </c>
      <c r="I2217" s="160"/>
      <c r="J2217" s="161"/>
      <c r="K2217" s="160"/>
      <c r="L2217" s="160">
        <f>+'FACP$'!$H2217-'FACP$'!$I2217-'FACP$'!$K2217</f>
        <v>19302.85</v>
      </c>
      <c r="M2217" s="162" t="s">
        <v>145</v>
      </c>
      <c r="N2217" s="162" t="s">
        <v>554</v>
      </c>
      <c r="O2217" s="164">
        <v>44298.0</v>
      </c>
      <c r="P2217" s="164">
        <f t="shared" si="13"/>
        <v>44241</v>
      </c>
      <c r="Q2217" s="165">
        <f t="shared" si="2"/>
        <v>0</v>
      </c>
      <c r="R2217" s="167"/>
      <c r="S2217" s="167"/>
      <c r="T2217" s="168">
        <f t="shared" si="3"/>
        <v>19302.85</v>
      </c>
      <c r="U2217" s="168">
        <f t="shared" si="4"/>
        <v>0</v>
      </c>
      <c r="V2217" s="168">
        <f t="shared" si="5"/>
        <v>0</v>
      </c>
      <c r="W2217" s="168">
        <f t="shared" si="6"/>
        <v>0</v>
      </c>
      <c r="X2217" s="168">
        <f t="shared" si="7"/>
        <v>0</v>
      </c>
      <c r="Y2217" s="168">
        <f t="shared" si="8"/>
        <v>0</v>
      </c>
      <c r="Z2217" s="168">
        <f t="shared" si="9"/>
        <v>0</v>
      </c>
    </row>
    <row r="2218" ht="15.0" customHeight="1">
      <c r="A2218" s="157" t="s">
        <v>2466</v>
      </c>
      <c r="B2218" s="158" t="s">
        <v>41</v>
      </c>
      <c r="C2218" s="158" t="s">
        <v>2460</v>
      </c>
      <c r="D2218" s="159">
        <v>44231.0</v>
      </c>
      <c r="E2218" s="157" t="s">
        <v>731</v>
      </c>
      <c r="F2218" s="160">
        <v>1017344.01</v>
      </c>
      <c r="G2218" s="160">
        <v>162775.04</v>
      </c>
      <c r="H2218" s="160">
        <f>F2218+G2218-1000000</f>
        <v>180119.05</v>
      </c>
      <c r="I2218" s="160"/>
      <c r="J2218" s="161"/>
      <c r="K2218" s="160"/>
      <c r="L2218" s="160">
        <f>+'FACP$'!$H2218-'FACP$'!$I2218-'FACP$'!$K2218</f>
        <v>180119.05</v>
      </c>
      <c r="M2218" s="162" t="s">
        <v>121</v>
      </c>
      <c r="N2218" s="162" t="s">
        <v>554</v>
      </c>
      <c r="O2218" s="164">
        <v>44383.0</v>
      </c>
      <c r="P2218" s="164">
        <f t="shared" si="13"/>
        <v>44241</v>
      </c>
      <c r="Q2218" s="165">
        <f t="shared" si="2"/>
        <v>0</v>
      </c>
      <c r="R2218" s="167" t="s">
        <v>2467</v>
      </c>
      <c r="S2218" s="167"/>
      <c r="T2218" s="168">
        <f t="shared" si="3"/>
        <v>180119.05</v>
      </c>
      <c r="U2218" s="168">
        <f t="shared" si="4"/>
        <v>0</v>
      </c>
      <c r="V2218" s="168">
        <f t="shared" si="5"/>
        <v>0</v>
      </c>
      <c r="W2218" s="168">
        <f t="shared" si="6"/>
        <v>0</v>
      </c>
      <c r="X2218" s="168">
        <f t="shared" si="7"/>
        <v>0</v>
      </c>
      <c r="Y2218" s="168">
        <f t="shared" si="8"/>
        <v>0</v>
      </c>
      <c r="Z2218" s="168">
        <f t="shared" si="9"/>
        <v>0</v>
      </c>
    </row>
    <row r="2219" ht="15.0" customHeight="1">
      <c r="A2219" s="157" t="s">
        <v>2468</v>
      </c>
      <c r="B2219" s="158" t="s">
        <v>37</v>
      </c>
      <c r="C2219" s="158" t="s">
        <v>2431</v>
      </c>
      <c r="D2219" s="159">
        <v>44231.0</v>
      </c>
      <c r="E2219" s="157" t="s">
        <v>731</v>
      </c>
      <c r="F2219" s="160">
        <v>38376.0</v>
      </c>
      <c r="G2219" s="160">
        <v>6140.16</v>
      </c>
      <c r="H2219" s="160">
        <f t="shared" ref="H2219:H2304" si="54">F2219+G2219</f>
        <v>44516.16</v>
      </c>
      <c r="I2219" s="160"/>
      <c r="J2219" s="161"/>
      <c r="K2219" s="160"/>
      <c r="L2219" s="160">
        <f>+'FACP$'!$H2219-'FACP$'!$I2219-'FACP$'!$K2219</f>
        <v>44516.16</v>
      </c>
      <c r="M2219" s="162" t="s">
        <v>116</v>
      </c>
      <c r="N2219" s="162" t="s">
        <v>554</v>
      </c>
      <c r="O2219" s="164">
        <v>44298.0</v>
      </c>
      <c r="P2219" s="164">
        <f t="shared" si="13"/>
        <v>44241</v>
      </c>
      <c r="Q2219" s="165">
        <f t="shared" si="2"/>
        <v>0</v>
      </c>
      <c r="R2219" s="167"/>
      <c r="S2219" s="167"/>
      <c r="T2219" s="168">
        <f t="shared" si="3"/>
        <v>44516.16</v>
      </c>
      <c r="U2219" s="168">
        <f t="shared" si="4"/>
        <v>0</v>
      </c>
      <c r="V2219" s="168">
        <f t="shared" si="5"/>
        <v>0</v>
      </c>
      <c r="W2219" s="168">
        <f t="shared" si="6"/>
        <v>0</v>
      </c>
      <c r="X2219" s="168">
        <f t="shared" si="7"/>
        <v>0</v>
      </c>
      <c r="Y2219" s="168">
        <f t="shared" si="8"/>
        <v>0</v>
      </c>
      <c r="Z2219" s="168">
        <f t="shared" si="9"/>
        <v>0</v>
      </c>
    </row>
    <row r="2220" ht="15.0" customHeight="1">
      <c r="A2220" s="157" t="s">
        <v>2469</v>
      </c>
      <c r="B2220" s="158" t="s">
        <v>37</v>
      </c>
      <c r="C2220" s="158" t="s">
        <v>2431</v>
      </c>
      <c r="D2220" s="159">
        <v>44231.0</v>
      </c>
      <c r="E2220" s="157" t="s">
        <v>731</v>
      </c>
      <c r="F2220" s="160">
        <v>38376.0</v>
      </c>
      <c r="G2220" s="160">
        <v>6140.16</v>
      </c>
      <c r="H2220" s="160">
        <f t="shared" si="54"/>
        <v>44516.16</v>
      </c>
      <c r="I2220" s="160"/>
      <c r="J2220" s="161"/>
      <c r="K2220" s="160"/>
      <c r="L2220" s="160">
        <f>+'FACP$'!$H2220-'FACP$'!$I2220-'FACP$'!$K2220</f>
        <v>44516.16</v>
      </c>
      <c r="M2220" s="162" t="s">
        <v>116</v>
      </c>
      <c r="N2220" s="162" t="s">
        <v>554</v>
      </c>
      <c r="O2220" s="164">
        <v>44312.0</v>
      </c>
      <c r="P2220" s="164">
        <f t="shared" si="13"/>
        <v>44241</v>
      </c>
      <c r="Q2220" s="165">
        <f t="shared" si="2"/>
        <v>0</v>
      </c>
      <c r="R2220" s="167"/>
      <c r="S2220" s="167"/>
      <c r="T2220" s="168">
        <f t="shared" si="3"/>
        <v>44516.16</v>
      </c>
      <c r="U2220" s="168">
        <f t="shared" si="4"/>
        <v>0</v>
      </c>
      <c r="V2220" s="168">
        <f t="shared" si="5"/>
        <v>0</v>
      </c>
      <c r="W2220" s="168">
        <f t="shared" si="6"/>
        <v>0</v>
      </c>
      <c r="X2220" s="168">
        <f t="shared" si="7"/>
        <v>0</v>
      </c>
      <c r="Y2220" s="168">
        <f t="shared" si="8"/>
        <v>0</v>
      </c>
      <c r="Z2220" s="168">
        <f t="shared" si="9"/>
        <v>0</v>
      </c>
    </row>
    <row r="2221" ht="15.0" customHeight="1">
      <c r="A2221" s="157" t="s">
        <v>2470</v>
      </c>
      <c r="B2221" s="158" t="s">
        <v>16</v>
      </c>
      <c r="C2221" s="158" t="s">
        <v>2431</v>
      </c>
      <c r="D2221" s="159">
        <v>44231.0</v>
      </c>
      <c r="E2221" s="157" t="s">
        <v>731</v>
      </c>
      <c r="F2221" s="160">
        <v>10127.0</v>
      </c>
      <c r="G2221" s="160">
        <v>1620.32</v>
      </c>
      <c r="H2221" s="160">
        <f t="shared" si="54"/>
        <v>11747.32</v>
      </c>
      <c r="I2221" s="160"/>
      <c r="J2221" s="161"/>
      <c r="K2221" s="160"/>
      <c r="L2221" s="160">
        <f>+'FACP$'!$H2221-'FACP$'!$I2221-'FACP$'!$K2221</f>
        <v>11747.32</v>
      </c>
      <c r="M2221" s="162" t="s">
        <v>985</v>
      </c>
      <c r="N2221" s="162" t="s">
        <v>127</v>
      </c>
      <c r="O2221" s="164"/>
      <c r="P2221" s="164">
        <f t="shared" si="13"/>
        <v>44241</v>
      </c>
      <c r="Q2221" s="165">
        <f t="shared" si="2"/>
        <v>0</v>
      </c>
      <c r="R2221" s="167"/>
      <c r="S2221" s="167"/>
      <c r="T2221" s="168">
        <f t="shared" si="3"/>
        <v>11747.32</v>
      </c>
      <c r="U2221" s="168">
        <f t="shared" si="4"/>
        <v>0</v>
      </c>
      <c r="V2221" s="168">
        <f t="shared" si="5"/>
        <v>0</v>
      </c>
      <c r="W2221" s="168">
        <f t="shared" si="6"/>
        <v>0</v>
      </c>
      <c r="X2221" s="168">
        <f t="shared" si="7"/>
        <v>0</v>
      </c>
      <c r="Y2221" s="168">
        <f t="shared" si="8"/>
        <v>0</v>
      </c>
      <c r="Z2221" s="168">
        <f t="shared" si="9"/>
        <v>0</v>
      </c>
    </row>
    <row r="2222" ht="15.0" customHeight="1">
      <c r="A2222" s="157" t="s">
        <v>2471</v>
      </c>
      <c r="B2222" s="158" t="s">
        <v>16</v>
      </c>
      <c r="C2222" s="158" t="s">
        <v>2431</v>
      </c>
      <c r="D2222" s="159">
        <v>44231.0</v>
      </c>
      <c r="E2222" s="157" t="s">
        <v>731</v>
      </c>
      <c r="F2222" s="160">
        <v>10127.0</v>
      </c>
      <c r="G2222" s="160">
        <v>1620.32</v>
      </c>
      <c r="H2222" s="160">
        <f t="shared" si="54"/>
        <v>11747.32</v>
      </c>
      <c r="I2222" s="160"/>
      <c r="J2222" s="161"/>
      <c r="K2222" s="160"/>
      <c r="L2222" s="160">
        <f>+'FACP$'!$H2222-'FACP$'!$I2222-'FACP$'!$K2222</f>
        <v>11747.32</v>
      </c>
      <c r="M2222" s="162" t="s">
        <v>985</v>
      </c>
      <c r="N2222" s="162" t="s">
        <v>127</v>
      </c>
      <c r="O2222" s="164"/>
      <c r="P2222" s="164">
        <f t="shared" si="13"/>
        <v>44241</v>
      </c>
      <c r="Q2222" s="165">
        <f t="shared" si="2"/>
        <v>0</v>
      </c>
      <c r="R2222" s="167"/>
      <c r="S2222" s="167"/>
      <c r="T2222" s="168">
        <f t="shared" si="3"/>
        <v>11747.32</v>
      </c>
      <c r="U2222" s="168">
        <f t="shared" si="4"/>
        <v>0</v>
      </c>
      <c r="V2222" s="168">
        <f t="shared" si="5"/>
        <v>0</v>
      </c>
      <c r="W2222" s="168">
        <f t="shared" si="6"/>
        <v>0</v>
      </c>
      <c r="X2222" s="168">
        <f t="shared" si="7"/>
        <v>0</v>
      </c>
      <c r="Y2222" s="168">
        <f t="shared" si="8"/>
        <v>0</v>
      </c>
      <c r="Z2222" s="168">
        <f t="shared" si="9"/>
        <v>0</v>
      </c>
    </row>
    <row r="2223" ht="15.0" customHeight="1">
      <c r="A2223" s="157" t="s">
        <v>2472</v>
      </c>
      <c r="B2223" s="158" t="s">
        <v>37</v>
      </c>
      <c r="C2223" s="158" t="s">
        <v>2431</v>
      </c>
      <c r="D2223" s="159">
        <v>44232.0</v>
      </c>
      <c r="E2223" s="157" t="s">
        <v>731</v>
      </c>
      <c r="F2223" s="160">
        <v>38376.0</v>
      </c>
      <c r="G2223" s="160">
        <v>6140.16</v>
      </c>
      <c r="H2223" s="160">
        <f t="shared" si="54"/>
        <v>44516.16</v>
      </c>
      <c r="I2223" s="160"/>
      <c r="J2223" s="161"/>
      <c r="K2223" s="160"/>
      <c r="L2223" s="160">
        <f>+'FACP$'!$H2223-'FACP$'!$I2223-'FACP$'!$K2223</f>
        <v>44516.16</v>
      </c>
      <c r="M2223" s="162" t="s">
        <v>116</v>
      </c>
      <c r="N2223" s="162" t="s">
        <v>554</v>
      </c>
      <c r="O2223" s="164">
        <v>44298.0</v>
      </c>
      <c r="P2223" s="164">
        <f t="shared" si="13"/>
        <v>44242</v>
      </c>
      <c r="Q2223" s="165">
        <f t="shared" si="2"/>
        <v>0</v>
      </c>
      <c r="R2223" s="167"/>
      <c r="S2223" s="167"/>
      <c r="T2223" s="168">
        <f t="shared" si="3"/>
        <v>44516.16</v>
      </c>
      <c r="U2223" s="168">
        <f t="shared" si="4"/>
        <v>0</v>
      </c>
      <c r="V2223" s="168">
        <f t="shared" si="5"/>
        <v>0</v>
      </c>
      <c r="W2223" s="168">
        <f t="shared" si="6"/>
        <v>0</v>
      </c>
      <c r="X2223" s="168">
        <f t="shared" si="7"/>
        <v>0</v>
      </c>
      <c r="Y2223" s="168">
        <f t="shared" si="8"/>
        <v>0</v>
      </c>
      <c r="Z2223" s="168">
        <f t="shared" si="9"/>
        <v>0</v>
      </c>
    </row>
    <row r="2224" ht="15.0" customHeight="1">
      <c r="A2224" s="157" t="s">
        <v>2473</v>
      </c>
      <c r="B2224" s="158" t="s">
        <v>37</v>
      </c>
      <c r="C2224" s="158" t="s">
        <v>2431</v>
      </c>
      <c r="D2224" s="159">
        <v>44232.0</v>
      </c>
      <c r="E2224" s="157" t="s">
        <v>731</v>
      </c>
      <c r="F2224" s="160">
        <v>38376.0</v>
      </c>
      <c r="G2224" s="160">
        <v>6140.16</v>
      </c>
      <c r="H2224" s="160">
        <f t="shared" si="54"/>
        <v>44516.16</v>
      </c>
      <c r="I2224" s="160"/>
      <c r="J2224" s="161"/>
      <c r="K2224" s="160"/>
      <c r="L2224" s="160">
        <f>+'FACP$'!$H2224-'FACP$'!$I2224-'FACP$'!$K2224</f>
        <v>44516.16</v>
      </c>
      <c r="M2224" s="162" t="s">
        <v>116</v>
      </c>
      <c r="N2224" s="162" t="s">
        <v>554</v>
      </c>
      <c r="O2224" s="164">
        <v>44292.0</v>
      </c>
      <c r="P2224" s="164">
        <f t="shared" si="13"/>
        <v>44242</v>
      </c>
      <c r="Q2224" s="165">
        <f t="shared" si="2"/>
        <v>0</v>
      </c>
      <c r="R2224" s="167"/>
      <c r="S2224" s="167"/>
      <c r="T2224" s="168">
        <f t="shared" si="3"/>
        <v>44516.16</v>
      </c>
      <c r="U2224" s="168">
        <f t="shared" si="4"/>
        <v>0</v>
      </c>
      <c r="V2224" s="168">
        <f t="shared" si="5"/>
        <v>0</v>
      </c>
      <c r="W2224" s="168">
        <f t="shared" si="6"/>
        <v>0</v>
      </c>
      <c r="X2224" s="168">
        <f t="shared" si="7"/>
        <v>0</v>
      </c>
      <c r="Y2224" s="168">
        <f t="shared" si="8"/>
        <v>0</v>
      </c>
      <c r="Z2224" s="168">
        <f t="shared" si="9"/>
        <v>0</v>
      </c>
    </row>
    <row r="2225" ht="15.0" customHeight="1">
      <c r="A2225" s="157" t="s">
        <v>2474</v>
      </c>
      <c r="B2225" s="158" t="s">
        <v>37</v>
      </c>
      <c r="C2225" s="158" t="s">
        <v>2431</v>
      </c>
      <c r="D2225" s="159">
        <v>44232.0</v>
      </c>
      <c r="E2225" s="157" t="s">
        <v>731</v>
      </c>
      <c r="F2225" s="160">
        <v>38376.0</v>
      </c>
      <c r="G2225" s="160">
        <v>6140.16</v>
      </c>
      <c r="H2225" s="160">
        <f t="shared" si="54"/>
        <v>44516.16</v>
      </c>
      <c r="I2225" s="160"/>
      <c r="J2225" s="161"/>
      <c r="K2225" s="160"/>
      <c r="L2225" s="160">
        <f>+'FACP$'!$H2225-'FACP$'!$I2225-'FACP$'!$K2225</f>
        <v>44516.16</v>
      </c>
      <c r="M2225" s="162" t="s">
        <v>116</v>
      </c>
      <c r="N2225" s="162" t="s">
        <v>554</v>
      </c>
      <c r="O2225" s="164">
        <v>44292.0</v>
      </c>
      <c r="P2225" s="164">
        <f t="shared" si="13"/>
        <v>44242</v>
      </c>
      <c r="Q2225" s="165">
        <f t="shared" si="2"/>
        <v>0</v>
      </c>
      <c r="R2225" s="167"/>
      <c r="S2225" s="167"/>
      <c r="T2225" s="168">
        <f t="shared" si="3"/>
        <v>44516.16</v>
      </c>
      <c r="U2225" s="168">
        <f t="shared" si="4"/>
        <v>0</v>
      </c>
      <c r="V2225" s="168">
        <f t="shared" si="5"/>
        <v>0</v>
      </c>
      <c r="W2225" s="168">
        <f t="shared" si="6"/>
        <v>0</v>
      </c>
      <c r="X2225" s="168">
        <f t="shared" si="7"/>
        <v>0</v>
      </c>
      <c r="Y2225" s="168">
        <f t="shared" si="8"/>
        <v>0</v>
      </c>
      <c r="Z2225" s="168">
        <f t="shared" si="9"/>
        <v>0</v>
      </c>
    </row>
    <row r="2226" ht="15.0" customHeight="1">
      <c r="A2226" s="157" t="s">
        <v>2475</v>
      </c>
      <c r="B2226" s="158" t="s">
        <v>18</v>
      </c>
      <c r="C2226" s="158" t="s">
        <v>2431</v>
      </c>
      <c r="D2226" s="159">
        <v>44232.0</v>
      </c>
      <c r="E2226" s="157" t="s">
        <v>731</v>
      </c>
      <c r="F2226" s="160">
        <v>38376.0</v>
      </c>
      <c r="G2226" s="160">
        <v>6140.16</v>
      </c>
      <c r="H2226" s="160">
        <f t="shared" si="54"/>
        <v>44516.16</v>
      </c>
      <c r="I2226" s="160"/>
      <c r="J2226" s="161"/>
      <c r="K2226" s="160"/>
      <c r="L2226" s="160">
        <f>+'FACP$'!$H2226-'FACP$'!$I2226-'FACP$'!$K2226</f>
        <v>44516.16</v>
      </c>
      <c r="M2226" s="162" t="s">
        <v>586</v>
      </c>
      <c r="N2226" s="162" t="s">
        <v>554</v>
      </c>
      <c r="O2226" s="164">
        <v>44279.0</v>
      </c>
      <c r="P2226" s="164">
        <f t="shared" si="13"/>
        <v>44242</v>
      </c>
      <c r="Q2226" s="165">
        <f t="shared" si="2"/>
        <v>0</v>
      </c>
      <c r="R2226" s="167"/>
      <c r="S2226" s="167"/>
      <c r="T2226" s="168">
        <f t="shared" si="3"/>
        <v>44516.16</v>
      </c>
      <c r="U2226" s="168">
        <f t="shared" si="4"/>
        <v>0</v>
      </c>
      <c r="V2226" s="168">
        <f t="shared" si="5"/>
        <v>0</v>
      </c>
      <c r="W2226" s="168">
        <f t="shared" si="6"/>
        <v>0</v>
      </c>
      <c r="X2226" s="168">
        <f t="shared" si="7"/>
        <v>0</v>
      </c>
      <c r="Y2226" s="168">
        <f t="shared" si="8"/>
        <v>0</v>
      </c>
      <c r="Z2226" s="168">
        <f t="shared" si="9"/>
        <v>0</v>
      </c>
    </row>
    <row r="2227" ht="15.0" customHeight="1">
      <c r="A2227" s="157" t="s">
        <v>2476</v>
      </c>
      <c r="B2227" s="158" t="s">
        <v>37</v>
      </c>
      <c r="C2227" s="158" t="s">
        <v>2431</v>
      </c>
      <c r="D2227" s="159">
        <v>44232.0</v>
      </c>
      <c r="E2227" s="157" t="s">
        <v>731</v>
      </c>
      <c r="F2227" s="160">
        <v>38376.0</v>
      </c>
      <c r="G2227" s="160">
        <v>6140.16</v>
      </c>
      <c r="H2227" s="160">
        <f t="shared" si="54"/>
        <v>44516.16</v>
      </c>
      <c r="I2227" s="160"/>
      <c r="J2227" s="161"/>
      <c r="K2227" s="160"/>
      <c r="L2227" s="160">
        <f>+'FACP$'!$H2227-'FACP$'!$I2227-'FACP$'!$K2227</f>
        <v>44516.16</v>
      </c>
      <c r="M2227" s="162" t="s">
        <v>116</v>
      </c>
      <c r="N2227" s="162" t="s">
        <v>554</v>
      </c>
      <c r="O2227" s="164">
        <v>44292.0</v>
      </c>
      <c r="P2227" s="164">
        <f t="shared" si="13"/>
        <v>44242</v>
      </c>
      <c r="Q2227" s="165">
        <f t="shared" si="2"/>
        <v>0</v>
      </c>
      <c r="R2227" s="167"/>
      <c r="S2227" s="167"/>
      <c r="T2227" s="168">
        <f t="shared" si="3"/>
        <v>44516.16</v>
      </c>
      <c r="U2227" s="168">
        <f t="shared" si="4"/>
        <v>0</v>
      </c>
      <c r="V2227" s="168">
        <f t="shared" si="5"/>
        <v>0</v>
      </c>
      <c r="W2227" s="168">
        <f t="shared" si="6"/>
        <v>0</v>
      </c>
      <c r="X2227" s="168">
        <f t="shared" si="7"/>
        <v>0</v>
      </c>
      <c r="Y2227" s="168">
        <f t="shared" si="8"/>
        <v>0</v>
      </c>
      <c r="Z2227" s="168">
        <f t="shared" si="9"/>
        <v>0</v>
      </c>
    </row>
    <row r="2228" ht="15.0" customHeight="1">
      <c r="A2228" s="157" t="s">
        <v>2477</v>
      </c>
      <c r="B2228" s="158" t="s">
        <v>18</v>
      </c>
      <c r="C2228" s="158" t="s">
        <v>2431</v>
      </c>
      <c r="D2228" s="159">
        <v>44232.0</v>
      </c>
      <c r="E2228" s="157" t="s">
        <v>731</v>
      </c>
      <c r="F2228" s="160">
        <v>38376.0</v>
      </c>
      <c r="G2228" s="160">
        <v>6140.16</v>
      </c>
      <c r="H2228" s="160">
        <f t="shared" si="54"/>
        <v>44516.16</v>
      </c>
      <c r="I2228" s="160"/>
      <c r="J2228" s="161"/>
      <c r="K2228" s="160"/>
      <c r="L2228" s="160">
        <f>+'FACP$'!$H2228-'FACP$'!$I2228-'FACP$'!$K2228</f>
        <v>44516.16</v>
      </c>
      <c r="M2228" s="162" t="s">
        <v>586</v>
      </c>
      <c r="N2228" s="162" t="s">
        <v>554</v>
      </c>
      <c r="O2228" s="164">
        <v>44279.0</v>
      </c>
      <c r="P2228" s="164">
        <f t="shared" si="13"/>
        <v>44242</v>
      </c>
      <c r="Q2228" s="165">
        <f t="shared" si="2"/>
        <v>0</v>
      </c>
      <c r="R2228" s="167"/>
      <c r="S2228" s="167"/>
      <c r="T2228" s="168">
        <f t="shared" si="3"/>
        <v>44516.16</v>
      </c>
      <c r="U2228" s="168">
        <f t="shared" si="4"/>
        <v>0</v>
      </c>
      <c r="V2228" s="168">
        <f t="shared" si="5"/>
        <v>0</v>
      </c>
      <c r="W2228" s="168">
        <f t="shared" si="6"/>
        <v>0</v>
      </c>
      <c r="X2228" s="168">
        <f t="shared" si="7"/>
        <v>0</v>
      </c>
      <c r="Y2228" s="168">
        <f t="shared" si="8"/>
        <v>0</v>
      </c>
      <c r="Z2228" s="168">
        <f t="shared" si="9"/>
        <v>0</v>
      </c>
    </row>
    <row r="2229" ht="15.0" customHeight="1">
      <c r="A2229" s="157" t="s">
        <v>2478</v>
      </c>
      <c r="B2229" s="158" t="s">
        <v>16</v>
      </c>
      <c r="C2229" s="158" t="s">
        <v>2431</v>
      </c>
      <c r="D2229" s="159">
        <v>44232.0</v>
      </c>
      <c r="E2229" s="157" t="s">
        <v>731</v>
      </c>
      <c r="F2229" s="160">
        <v>10127.0</v>
      </c>
      <c r="G2229" s="160">
        <v>1620.32</v>
      </c>
      <c r="H2229" s="160">
        <f t="shared" si="54"/>
        <v>11747.32</v>
      </c>
      <c r="I2229" s="160"/>
      <c r="J2229" s="161"/>
      <c r="K2229" s="160"/>
      <c r="L2229" s="160">
        <f>+'FACP$'!$H2229-'FACP$'!$I2229-'FACP$'!$K2229</f>
        <v>11747.32</v>
      </c>
      <c r="M2229" s="162" t="s">
        <v>985</v>
      </c>
      <c r="N2229" s="162" t="s">
        <v>127</v>
      </c>
      <c r="O2229" s="164"/>
      <c r="P2229" s="164">
        <f t="shared" si="13"/>
        <v>44242</v>
      </c>
      <c r="Q2229" s="165">
        <f t="shared" si="2"/>
        <v>0</v>
      </c>
      <c r="R2229" s="167"/>
      <c r="S2229" s="167"/>
      <c r="T2229" s="168">
        <f t="shared" si="3"/>
        <v>11747.32</v>
      </c>
      <c r="U2229" s="168">
        <f t="shared" si="4"/>
        <v>0</v>
      </c>
      <c r="V2229" s="168">
        <f t="shared" si="5"/>
        <v>0</v>
      </c>
      <c r="W2229" s="168">
        <f t="shared" si="6"/>
        <v>0</v>
      </c>
      <c r="X2229" s="168">
        <f t="shared" si="7"/>
        <v>0</v>
      </c>
      <c r="Y2229" s="168">
        <f t="shared" si="8"/>
        <v>0</v>
      </c>
      <c r="Z2229" s="168">
        <f t="shared" si="9"/>
        <v>0</v>
      </c>
    </row>
    <row r="2230" ht="15.0" customHeight="1">
      <c r="A2230" s="157" t="s">
        <v>2479</v>
      </c>
      <c r="B2230" s="158" t="s">
        <v>37</v>
      </c>
      <c r="C2230" s="158" t="s">
        <v>2431</v>
      </c>
      <c r="D2230" s="159">
        <v>44232.0</v>
      </c>
      <c r="E2230" s="157" t="s">
        <v>731</v>
      </c>
      <c r="F2230" s="160">
        <v>38376.0</v>
      </c>
      <c r="G2230" s="160">
        <v>6140.16</v>
      </c>
      <c r="H2230" s="160">
        <f t="shared" si="54"/>
        <v>44516.16</v>
      </c>
      <c r="I2230" s="160"/>
      <c r="J2230" s="161"/>
      <c r="K2230" s="160"/>
      <c r="L2230" s="160">
        <f>+'FACP$'!$H2230-'FACP$'!$I2230-'FACP$'!$K2230</f>
        <v>44516.16</v>
      </c>
      <c r="M2230" s="162" t="s">
        <v>116</v>
      </c>
      <c r="N2230" s="162" t="s">
        <v>554</v>
      </c>
      <c r="O2230" s="164">
        <v>44292.0</v>
      </c>
      <c r="P2230" s="164">
        <f t="shared" si="13"/>
        <v>44242</v>
      </c>
      <c r="Q2230" s="165">
        <f t="shared" si="2"/>
        <v>0</v>
      </c>
      <c r="R2230" s="167"/>
      <c r="S2230" s="167"/>
      <c r="T2230" s="168">
        <f t="shared" si="3"/>
        <v>44516.16</v>
      </c>
      <c r="U2230" s="168">
        <f t="shared" si="4"/>
        <v>0</v>
      </c>
      <c r="V2230" s="168">
        <f t="shared" si="5"/>
        <v>0</v>
      </c>
      <c r="W2230" s="168">
        <f t="shared" si="6"/>
        <v>0</v>
      </c>
      <c r="X2230" s="168">
        <f t="shared" si="7"/>
        <v>0</v>
      </c>
      <c r="Y2230" s="168">
        <f t="shared" si="8"/>
        <v>0</v>
      </c>
      <c r="Z2230" s="168">
        <f t="shared" si="9"/>
        <v>0</v>
      </c>
    </row>
    <row r="2231" ht="15.0" customHeight="1">
      <c r="A2231" s="157" t="s">
        <v>2480</v>
      </c>
      <c r="B2231" s="158" t="s">
        <v>37</v>
      </c>
      <c r="C2231" s="158" t="s">
        <v>2431</v>
      </c>
      <c r="D2231" s="159">
        <v>44232.0</v>
      </c>
      <c r="E2231" s="157" t="s">
        <v>731</v>
      </c>
      <c r="F2231" s="160">
        <v>38376.0</v>
      </c>
      <c r="G2231" s="160">
        <v>6140.16</v>
      </c>
      <c r="H2231" s="160">
        <f t="shared" si="54"/>
        <v>44516.16</v>
      </c>
      <c r="I2231" s="160"/>
      <c r="J2231" s="161"/>
      <c r="K2231" s="160"/>
      <c r="L2231" s="160">
        <f>+'FACP$'!$H2231-'FACP$'!$I2231-'FACP$'!$K2231</f>
        <v>44516.16</v>
      </c>
      <c r="M2231" s="162" t="s">
        <v>116</v>
      </c>
      <c r="N2231" s="162" t="s">
        <v>554</v>
      </c>
      <c r="O2231" s="164">
        <v>44292.0</v>
      </c>
      <c r="P2231" s="164">
        <f t="shared" si="13"/>
        <v>44242</v>
      </c>
      <c r="Q2231" s="165">
        <f t="shared" si="2"/>
        <v>0</v>
      </c>
      <c r="R2231" s="167"/>
      <c r="S2231" s="167"/>
      <c r="T2231" s="168">
        <f t="shared" si="3"/>
        <v>44516.16</v>
      </c>
      <c r="U2231" s="168">
        <f t="shared" si="4"/>
        <v>0</v>
      </c>
      <c r="V2231" s="168">
        <f t="shared" si="5"/>
        <v>0</v>
      </c>
      <c r="W2231" s="168">
        <f t="shared" si="6"/>
        <v>0</v>
      </c>
      <c r="X2231" s="168">
        <f t="shared" si="7"/>
        <v>0</v>
      </c>
      <c r="Y2231" s="168">
        <f t="shared" si="8"/>
        <v>0</v>
      </c>
      <c r="Z2231" s="168">
        <f t="shared" si="9"/>
        <v>0</v>
      </c>
    </row>
    <row r="2232" ht="15.0" customHeight="1">
      <c r="A2232" s="157" t="s">
        <v>2481</v>
      </c>
      <c r="B2232" s="158" t="s">
        <v>16</v>
      </c>
      <c r="C2232" s="158" t="s">
        <v>2482</v>
      </c>
      <c r="D2232" s="159">
        <v>44232.0</v>
      </c>
      <c r="E2232" s="157" t="s">
        <v>731</v>
      </c>
      <c r="F2232" s="160">
        <v>307548.49</v>
      </c>
      <c r="G2232" s="160">
        <v>49207.76</v>
      </c>
      <c r="H2232" s="160">
        <f t="shared" si="54"/>
        <v>356756.25</v>
      </c>
      <c r="I2232" s="160"/>
      <c r="J2232" s="161"/>
      <c r="K2232" s="160"/>
      <c r="L2232" s="160">
        <f>+'FACP$'!$H2232-'FACP$'!$I2232-'FACP$'!$K2232</f>
        <v>356756.25</v>
      </c>
      <c r="M2232" s="162" t="s">
        <v>985</v>
      </c>
      <c r="N2232" s="162" t="s">
        <v>554</v>
      </c>
      <c r="O2232" s="164">
        <v>44246.0</v>
      </c>
      <c r="P2232" s="164">
        <f t="shared" si="13"/>
        <v>44242</v>
      </c>
      <c r="Q2232" s="165">
        <f t="shared" si="2"/>
        <v>0</v>
      </c>
      <c r="R2232" s="167"/>
      <c r="S2232" s="167"/>
      <c r="T2232" s="168">
        <f t="shared" si="3"/>
        <v>356756.25</v>
      </c>
      <c r="U2232" s="168">
        <f t="shared" si="4"/>
        <v>0</v>
      </c>
      <c r="V2232" s="168">
        <f t="shared" si="5"/>
        <v>0</v>
      </c>
      <c r="W2232" s="168">
        <f t="shared" si="6"/>
        <v>0</v>
      </c>
      <c r="X2232" s="168">
        <f t="shared" si="7"/>
        <v>0</v>
      </c>
      <c r="Y2232" s="168">
        <f t="shared" si="8"/>
        <v>0</v>
      </c>
      <c r="Z2232" s="168">
        <f t="shared" si="9"/>
        <v>0</v>
      </c>
    </row>
    <row r="2233" ht="15.0" customHeight="1">
      <c r="A2233" s="157" t="s">
        <v>2483</v>
      </c>
      <c r="B2233" s="158" t="s">
        <v>16</v>
      </c>
      <c r="C2233" s="158" t="s">
        <v>2484</v>
      </c>
      <c r="D2233" s="159">
        <v>44232.0</v>
      </c>
      <c r="E2233" s="157" t="s">
        <v>731</v>
      </c>
      <c r="F2233" s="160">
        <v>392741.49</v>
      </c>
      <c r="G2233" s="160">
        <v>62838.64</v>
      </c>
      <c r="H2233" s="160">
        <f t="shared" si="54"/>
        <v>455580.13</v>
      </c>
      <c r="I2233" s="160"/>
      <c r="J2233" s="161"/>
      <c r="K2233" s="160"/>
      <c r="L2233" s="160">
        <f>+'FACP$'!$H2233-'FACP$'!$I2233-'FACP$'!$K2233</f>
        <v>455580.13</v>
      </c>
      <c r="M2233" s="162" t="s">
        <v>985</v>
      </c>
      <c r="N2233" s="162" t="s">
        <v>554</v>
      </c>
      <c r="O2233" s="164">
        <v>44246.0</v>
      </c>
      <c r="P2233" s="164">
        <f t="shared" si="13"/>
        <v>44242</v>
      </c>
      <c r="Q2233" s="165">
        <f t="shared" si="2"/>
        <v>0</v>
      </c>
      <c r="R2233" s="167"/>
      <c r="S2233" s="167"/>
      <c r="T2233" s="168">
        <f t="shared" si="3"/>
        <v>455580.13</v>
      </c>
      <c r="U2233" s="168">
        <f t="shared" si="4"/>
        <v>0</v>
      </c>
      <c r="V2233" s="168">
        <f t="shared" si="5"/>
        <v>0</v>
      </c>
      <c r="W2233" s="168">
        <f t="shared" si="6"/>
        <v>0</v>
      </c>
      <c r="X2233" s="168">
        <f t="shared" si="7"/>
        <v>0</v>
      </c>
      <c r="Y2233" s="168">
        <f t="shared" si="8"/>
        <v>0</v>
      </c>
      <c r="Z2233" s="168">
        <f t="shared" si="9"/>
        <v>0</v>
      </c>
    </row>
    <row r="2234" ht="15.0" customHeight="1">
      <c r="A2234" s="157" t="s">
        <v>2485</v>
      </c>
      <c r="B2234" s="158" t="s">
        <v>18</v>
      </c>
      <c r="C2234" s="158" t="s">
        <v>2482</v>
      </c>
      <c r="D2234" s="159">
        <v>44232.0</v>
      </c>
      <c r="E2234" s="157" t="s">
        <v>731</v>
      </c>
      <c r="F2234" s="160">
        <v>138887.02</v>
      </c>
      <c r="G2234" s="160">
        <v>22221.92</v>
      </c>
      <c r="H2234" s="160">
        <f t="shared" si="54"/>
        <v>161108.94</v>
      </c>
      <c r="I2234" s="160"/>
      <c r="J2234" s="161"/>
      <c r="K2234" s="160"/>
      <c r="L2234" s="160">
        <f>+'FACP$'!$H2234-'FACP$'!$I2234-'FACP$'!$K2234</f>
        <v>161108.94</v>
      </c>
      <c r="M2234" s="162" t="s">
        <v>586</v>
      </c>
      <c r="N2234" s="162" t="s">
        <v>554</v>
      </c>
      <c r="O2234" s="164">
        <v>44279.0</v>
      </c>
      <c r="P2234" s="164">
        <f t="shared" si="13"/>
        <v>44242</v>
      </c>
      <c r="Q2234" s="165">
        <f t="shared" si="2"/>
        <v>0</v>
      </c>
      <c r="R2234" s="167"/>
      <c r="S2234" s="167"/>
      <c r="T2234" s="168">
        <f t="shared" si="3"/>
        <v>161108.94</v>
      </c>
      <c r="U2234" s="168">
        <f t="shared" si="4"/>
        <v>0</v>
      </c>
      <c r="V2234" s="168">
        <f t="shared" si="5"/>
        <v>0</v>
      </c>
      <c r="W2234" s="168">
        <f t="shared" si="6"/>
        <v>0</v>
      </c>
      <c r="X2234" s="168">
        <f t="shared" si="7"/>
        <v>0</v>
      </c>
      <c r="Y2234" s="168">
        <f t="shared" si="8"/>
        <v>0</v>
      </c>
      <c r="Z2234" s="168">
        <f t="shared" si="9"/>
        <v>0</v>
      </c>
    </row>
    <row r="2235" ht="15.0" customHeight="1">
      <c r="A2235" s="157" t="s">
        <v>2486</v>
      </c>
      <c r="B2235" s="158" t="s">
        <v>19</v>
      </c>
      <c r="C2235" s="158" t="s">
        <v>2482</v>
      </c>
      <c r="D2235" s="159">
        <v>44232.0</v>
      </c>
      <c r="E2235" s="157" t="s">
        <v>731</v>
      </c>
      <c r="F2235" s="160">
        <v>168999.87</v>
      </c>
      <c r="G2235" s="160">
        <v>27039.98</v>
      </c>
      <c r="H2235" s="160">
        <f t="shared" si="54"/>
        <v>196039.85</v>
      </c>
      <c r="I2235" s="160"/>
      <c r="J2235" s="161"/>
      <c r="K2235" s="160"/>
      <c r="L2235" s="160">
        <f>+'FACP$'!$H2235-'FACP$'!$I2235-'FACP$'!$K2235</f>
        <v>196039.85</v>
      </c>
      <c r="M2235" s="162" t="s">
        <v>732</v>
      </c>
      <c r="N2235" s="162" t="s">
        <v>554</v>
      </c>
      <c r="O2235" s="164">
        <v>44279.0</v>
      </c>
      <c r="P2235" s="164">
        <f t="shared" si="13"/>
        <v>44242</v>
      </c>
      <c r="Q2235" s="165">
        <f t="shared" si="2"/>
        <v>0</v>
      </c>
      <c r="R2235" s="167"/>
      <c r="S2235" s="167"/>
      <c r="T2235" s="168">
        <f t="shared" si="3"/>
        <v>196039.85</v>
      </c>
      <c r="U2235" s="168">
        <f t="shared" si="4"/>
        <v>0</v>
      </c>
      <c r="V2235" s="168">
        <f t="shared" si="5"/>
        <v>0</v>
      </c>
      <c r="W2235" s="168">
        <f t="shared" si="6"/>
        <v>0</v>
      </c>
      <c r="X2235" s="168">
        <f t="shared" si="7"/>
        <v>0</v>
      </c>
      <c r="Y2235" s="168">
        <f t="shared" si="8"/>
        <v>0</v>
      </c>
      <c r="Z2235" s="168">
        <f t="shared" si="9"/>
        <v>0</v>
      </c>
    </row>
    <row r="2236" ht="15.0" customHeight="1">
      <c r="A2236" s="157" t="s">
        <v>2487</v>
      </c>
      <c r="B2236" s="158" t="s">
        <v>26</v>
      </c>
      <c r="C2236" s="158" t="s">
        <v>2482</v>
      </c>
      <c r="D2236" s="159">
        <v>44232.0</v>
      </c>
      <c r="E2236" s="157" t="s">
        <v>731</v>
      </c>
      <c r="F2236" s="160">
        <v>40182.38</v>
      </c>
      <c r="G2236" s="160">
        <v>6429.18</v>
      </c>
      <c r="H2236" s="160">
        <f t="shared" si="54"/>
        <v>46611.56</v>
      </c>
      <c r="I2236" s="160"/>
      <c r="J2236" s="161"/>
      <c r="K2236" s="160"/>
      <c r="L2236" s="160">
        <f>+'FACP$'!$H2236-'FACP$'!$I2236-'FACP$'!$K2236</f>
        <v>46611.56</v>
      </c>
      <c r="M2236" s="162" t="s">
        <v>2386</v>
      </c>
      <c r="N2236" s="162" t="s">
        <v>554</v>
      </c>
      <c r="O2236" s="164">
        <v>44279.0</v>
      </c>
      <c r="P2236" s="164">
        <f t="shared" si="13"/>
        <v>44242</v>
      </c>
      <c r="Q2236" s="165">
        <f t="shared" si="2"/>
        <v>0</v>
      </c>
      <c r="R2236" s="167"/>
      <c r="S2236" s="167" t="s">
        <v>910</v>
      </c>
      <c r="T2236" s="168">
        <f t="shared" si="3"/>
        <v>46611.56</v>
      </c>
      <c r="U2236" s="168">
        <f t="shared" si="4"/>
        <v>0</v>
      </c>
      <c r="V2236" s="168">
        <f t="shared" si="5"/>
        <v>0</v>
      </c>
      <c r="W2236" s="168">
        <f t="shared" si="6"/>
        <v>0</v>
      </c>
      <c r="X2236" s="168">
        <f t="shared" si="7"/>
        <v>0</v>
      </c>
      <c r="Y2236" s="168">
        <f t="shared" si="8"/>
        <v>0</v>
      </c>
      <c r="Z2236" s="168">
        <f t="shared" si="9"/>
        <v>0</v>
      </c>
    </row>
    <row r="2237" ht="15.0" customHeight="1">
      <c r="A2237" s="157" t="s">
        <v>2488</v>
      </c>
      <c r="B2237" s="158" t="s">
        <v>29</v>
      </c>
      <c r="C2237" s="158" t="s">
        <v>2482</v>
      </c>
      <c r="D2237" s="159">
        <v>44232.0</v>
      </c>
      <c r="E2237" s="157" t="s">
        <v>731</v>
      </c>
      <c r="F2237" s="160">
        <v>313804.8</v>
      </c>
      <c r="G2237" s="160">
        <v>50208.77</v>
      </c>
      <c r="H2237" s="160">
        <f t="shared" si="54"/>
        <v>364013.57</v>
      </c>
      <c r="I2237" s="160"/>
      <c r="J2237" s="161"/>
      <c r="K2237" s="160"/>
      <c r="L2237" s="160">
        <f>+'FACP$'!$H2237-'FACP$'!$I2237-'FACP$'!$K2237</f>
        <v>364013.57</v>
      </c>
      <c r="M2237" s="162" t="s">
        <v>130</v>
      </c>
      <c r="N2237" s="162" t="s">
        <v>554</v>
      </c>
      <c r="O2237" s="164">
        <v>44284.0</v>
      </c>
      <c r="P2237" s="164">
        <f t="shared" si="13"/>
        <v>44242</v>
      </c>
      <c r="Q2237" s="165">
        <f t="shared" si="2"/>
        <v>0</v>
      </c>
      <c r="R2237" s="167"/>
      <c r="S2237" s="167"/>
      <c r="T2237" s="168">
        <f t="shared" si="3"/>
        <v>364013.57</v>
      </c>
      <c r="U2237" s="168">
        <f t="shared" si="4"/>
        <v>0</v>
      </c>
      <c r="V2237" s="168">
        <f t="shared" si="5"/>
        <v>0</v>
      </c>
      <c r="W2237" s="168">
        <f t="shared" si="6"/>
        <v>0</v>
      </c>
      <c r="X2237" s="168">
        <f t="shared" si="7"/>
        <v>0</v>
      </c>
      <c r="Y2237" s="168">
        <f t="shared" si="8"/>
        <v>0</v>
      </c>
      <c r="Z2237" s="168">
        <f t="shared" si="9"/>
        <v>0</v>
      </c>
    </row>
    <row r="2238" ht="15.0" customHeight="1">
      <c r="A2238" s="157" t="s">
        <v>2489</v>
      </c>
      <c r="B2238" s="158" t="s">
        <v>29</v>
      </c>
      <c r="C2238" s="158" t="s">
        <v>2484</v>
      </c>
      <c r="D2238" s="159">
        <v>44232.0</v>
      </c>
      <c r="E2238" s="157" t="s">
        <v>731</v>
      </c>
      <c r="F2238" s="160">
        <v>414687.88</v>
      </c>
      <c r="G2238" s="160">
        <v>66350.06</v>
      </c>
      <c r="H2238" s="160">
        <f t="shared" si="54"/>
        <v>481037.94</v>
      </c>
      <c r="I2238" s="160"/>
      <c r="J2238" s="161"/>
      <c r="K2238" s="160"/>
      <c r="L2238" s="160">
        <f>+'FACP$'!$H2238-'FACP$'!$I2238-'FACP$'!$K2238</f>
        <v>481037.94</v>
      </c>
      <c r="M2238" s="162" t="s">
        <v>130</v>
      </c>
      <c r="N2238" s="162" t="s">
        <v>554</v>
      </c>
      <c r="O2238" s="164">
        <v>44242.0</v>
      </c>
      <c r="P2238" s="164">
        <f t="shared" si="13"/>
        <v>44242</v>
      </c>
      <c r="Q2238" s="165">
        <f t="shared" si="2"/>
        <v>0</v>
      </c>
      <c r="R2238" s="167"/>
      <c r="S2238" s="167"/>
      <c r="T2238" s="168">
        <f t="shared" si="3"/>
        <v>481037.94</v>
      </c>
      <c r="U2238" s="168">
        <f t="shared" si="4"/>
        <v>0</v>
      </c>
      <c r="V2238" s="168">
        <f t="shared" si="5"/>
        <v>0</v>
      </c>
      <c r="W2238" s="168">
        <f t="shared" si="6"/>
        <v>0</v>
      </c>
      <c r="X2238" s="168">
        <f t="shared" si="7"/>
        <v>0</v>
      </c>
      <c r="Y2238" s="168">
        <f t="shared" si="8"/>
        <v>0</v>
      </c>
      <c r="Z2238" s="168">
        <f t="shared" si="9"/>
        <v>0</v>
      </c>
    </row>
    <row r="2239" ht="15.0" customHeight="1">
      <c r="A2239" s="157" t="s">
        <v>2490</v>
      </c>
      <c r="B2239" s="158" t="s">
        <v>127</v>
      </c>
      <c r="C2239" s="158"/>
      <c r="D2239" s="159"/>
      <c r="E2239" s="157"/>
      <c r="F2239" s="160"/>
      <c r="G2239" s="160"/>
      <c r="H2239" s="160">
        <f t="shared" si="54"/>
        <v>0</v>
      </c>
      <c r="I2239" s="160"/>
      <c r="J2239" s="161"/>
      <c r="K2239" s="160"/>
      <c r="L2239" s="160">
        <f>+'FACP$'!$H2239-'FACP$'!$I2239-'FACP$'!$K2239</f>
        <v>0</v>
      </c>
      <c r="M2239" s="162" t="s">
        <v>127</v>
      </c>
      <c r="N2239" s="162" t="s">
        <v>127</v>
      </c>
      <c r="O2239" s="164"/>
      <c r="P2239" s="164">
        <f t="shared" si="13"/>
        <v>10</v>
      </c>
      <c r="Q2239" s="165">
        <f t="shared" si="2"/>
        <v>0</v>
      </c>
      <c r="R2239" s="167"/>
      <c r="S2239" s="167"/>
      <c r="T2239" s="168">
        <f t="shared" si="3"/>
        <v>0</v>
      </c>
      <c r="U2239" s="168">
        <f t="shared" si="4"/>
        <v>0</v>
      </c>
      <c r="V2239" s="168">
        <f t="shared" si="5"/>
        <v>0</v>
      </c>
      <c r="W2239" s="168">
        <f t="shared" si="6"/>
        <v>0</v>
      </c>
      <c r="X2239" s="168">
        <f t="shared" si="7"/>
        <v>0</v>
      </c>
      <c r="Y2239" s="168">
        <f t="shared" si="8"/>
        <v>0</v>
      </c>
      <c r="Z2239" s="168">
        <f t="shared" si="9"/>
        <v>0</v>
      </c>
    </row>
    <row r="2240" ht="15.0" customHeight="1">
      <c r="A2240" s="157" t="s">
        <v>2491</v>
      </c>
      <c r="B2240" s="158" t="s">
        <v>38</v>
      </c>
      <c r="C2240" s="158" t="s">
        <v>2482</v>
      </c>
      <c r="D2240" s="159">
        <v>44232.0</v>
      </c>
      <c r="E2240" s="157" t="s">
        <v>731</v>
      </c>
      <c r="F2240" s="168">
        <v>547173.12</v>
      </c>
      <c r="G2240" s="160">
        <v>87547.7</v>
      </c>
      <c r="H2240" s="160">
        <f t="shared" si="54"/>
        <v>634720.82</v>
      </c>
      <c r="I2240" s="160"/>
      <c r="J2240" s="161"/>
      <c r="K2240" s="160"/>
      <c r="L2240" s="160">
        <f>+'FACP$'!$H2240-'FACP$'!$I2240-'FACP$'!$K2240</f>
        <v>634720.82</v>
      </c>
      <c r="M2240" s="162" t="s">
        <v>145</v>
      </c>
      <c r="N2240" s="162" t="s">
        <v>554</v>
      </c>
      <c r="O2240" s="164">
        <v>44239.0</v>
      </c>
      <c r="P2240" s="164">
        <f t="shared" si="13"/>
        <v>44242</v>
      </c>
      <c r="Q2240" s="165">
        <f t="shared" si="2"/>
        <v>0</v>
      </c>
      <c r="R2240" s="167"/>
      <c r="S2240" s="167"/>
      <c r="T2240" s="168">
        <f t="shared" si="3"/>
        <v>634720.82</v>
      </c>
      <c r="U2240" s="168">
        <f t="shared" si="4"/>
        <v>0</v>
      </c>
      <c r="V2240" s="168">
        <f t="shared" si="5"/>
        <v>0</v>
      </c>
      <c r="W2240" s="168">
        <f t="shared" si="6"/>
        <v>0</v>
      </c>
      <c r="X2240" s="168">
        <f t="shared" si="7"/>
        <v>0</v>
      </c>
      <c r="Y2240" s="168">
        <f t="shared" si="8"/>
        <v>0</v>
      </c>
      <c r="Z2240" s="168">
        <f t="shared" si="9"/>
        <v>0</v>
      </c>
    </row>
    <row r="2241" ht="15.0" customHeight="1">
      <c r="A2241" s="157" t="s">
        <v>2492</v>
      </c>
      <c r="B2241" s="158" t="s">
        <v>37</v>
      </c>
      <c r="C2241" s="158" t="s">
        <v>2482</v>
      </c>
      <c r="D2241" s="159">
        <v>44232.0</v>
      </c>
      <c r="E2241" s="157" t="s">
        <v>731</v>
      </c>
      <c r="F2241" s="160">
        <v>1772718.68</v>
      </c>
      <c r="G2241" s="160">
        <v>283634.99</v>
      </c>
      <c r="H2241" s="160">
        <f t="shared" si="54"/>
        <v>2056353.67</v>
      </c>
      <c r="I2241" s="160"/>
      <c r="J2241" s="161"/>
      <c r="K2241" s="160"/>
      <c r="L2241" s="160">
        <f>+'FACP$'!$H2241-'FACP$'!$I2241-'FACP$'!$K2241</f>
        <v>2056353.67</v>
      </c>
      <c r="M2241" s="162" t="s">
        <v>116</v>
      </c>
      <c r="N2241" s="162" t="s">
        <v>554</v>
      </c>
      <c r="O2241" s="164">
        <v>44263.0</v>
      </c>
      <c r="P2241" s="164">
        <f t="shared" si="13"/>
        <v>44242</v>
      </c>
      <c r="Q2241" s="165">
        <f t="shared" si="2"/>
        <v>0</v>
      </c>
      <c r="R2241" s="167"/>
      <c r="S2241" s="167"/>
      <c r="T2241" s="168">
        <f t="shared" si="3"/>
        <v>2056353.67</v>
      </c>
      <c r="U2241" s="168">
        <f t="shared" si="4"/>
        <v>0</v>
      </c>
      <c r="V2241" s="168">
        <f t="shared" si="5"/>
        <v>0</v>
      </c>
      <c r="W2241" s="168">
        <f t="shared" si="6"/>
        <v>0</v>
      </c>
      <c r="X2241" s="168">
        <f t="shared" si="7"/>
        <v>0</v>
      </c>
      <c r="Y2241" s="168">
        <f t="shared" si="8"/>
        <v>0</v>
      </c>
      <c r="Z2241" s="168">
        <f t="shared" si="9"/>
        <v>0</v>
      </c>
    </row>
    <row r="2242" ht="15.0" customHeight="1">
      <c r="A2242" s="157" t="s">
        <v>2493</v>
      </c>
      <c r="B2242" s="158" t="s">
        <v>38</v>
      </c>
      <c r="C2242" s="158" t="s">
        <v>2431</v>
      </c>
      <c r="D2242" s="159">
        <v>44232.0</v>
      </c>
      <c r="E2242" s="157" t="s">
        <v>731</v>
      </c>
      <c r="F2242" s="160">
        <v>1.0</v>
      </c>
      <c r="G2242" s="160">
        <v>0.16</v>
      </c>
      <c r="H2242" s="160">
        <f t="shared" si="54"/>
        <v>1.16</v>
      </c>
      <c r="I2242" s="160"/>
      <c r="J2242" s="161"/>
      <c r="K2242" s="160"/>
      <c r="L2242" s="160">
        <f>+'FACP$'!$H2242-'FACP$'!$I2242-'FACP$'!$K2242</f>
        <v>1.16</v>
      </c>
      <c r="M2242" s="162" t="s">
        <v>145</v>
      </c>
      <c r="N2242" s="162" t="s">
        <v>554</v>
      </c>
      <c r="O2242" s="164">
        <v>44298.0</v>
      </c>
      <c r="P2242" s="164">
        <f t="shared" si="13"/>
        <v>44242</v>
      </c>
      <c r="Q2242" s="165">
        <f t="shared" si="2"/>
        <v>0</v>
      </c>
      <c r="R2242" s="167"/>
      <c r="S2242" s="167"/>
      <c r="T2242" s="168">
        <f t="shared" si="3"/>
        <v>1.16</v>
      </c>
      <c r="U2242" s="168">
        <f t="shared" si="4"/>
        <v>0</v>
      </c>
      <c r="V2242" s="168">
        <f t="shared" si="5"/>
        <v>0</v>
      </c>
      <c r="W2242" s="168">
        <f t="shared" si="6"/>
        <v>0</v>
      </c>
      <c r="X2242" s="168">
        <f t="shared" si="7"/>
        <v>0</v>
      </c>
      <c r="Y2242" s="168">
        <f t="shared" si="8"/>
        <v>0</v>
      </c>
      <c r="Z2242" s="168">
        <f t="shared" si="9"/>
        <v>0</v>
      </c>
    </row>
    <row r="2243" ht="15.0" customHeight="1">
      <c r="A2243" s="157" t="s">
        <v>2494</v>
      </c>
      <c r="B2243" s="158" t="s">
        <v>37</v>
      </c>
      <c r="C2243" s="158" t="s">
        <v>2431</v>
      </c>
      <c r="D2243" s="159">
        <v>44232.0</v>
      </c>
      <c r="E2243" s="157" t="s">
        <v>731</v>
      </c>
      <c r="F2243" s="168">
        <v>38376.0</v>
      </c>
      <c r="G2243" s="160">
        <v>6140.16</v>
      </c>
      <c r="H2243" s="160">
        <f t="shared" si="54"/>
        <v>44516.16</v>
      </c>
      <c r="I2243" s="160"/>
      <c r="J2243" s="161"/>
      <c r="K2243" s="160"/>
      <c r="L2243" s="160">
        <f>+'FACP$'!$H2243-'FACP$'!$I2243-'FACP$'!$K2243</f>
        <v>44516.16</v>
      </c>
      <c r="M2243" s="162" t="s">
        <v>116</v>
      </c>
      <c r="N2243" s="162" t="s">
        <v>554</v>
      </c>
      <c r="O2243" s="164">
        <v>44292.0</v>
      </c>
      <c r="P2243" s="164">
        <f t="shared" si="13"/>
        <v>44242</v>
      </c>
      <c r="Q2243" s="165">
        <f t="shared" si="2"/>
        <v>0</v>
      </c>
      <c r="R2243" s="167"/>
      <c r="S2243" s="167"/>
      <c r="T2243" s="168">
        <f t="shared" si="3"/>
        <v>44516.16</v>
      </c>
      <c r="U2243" s="168">
        <f t="shared" si="4"/>
        <v>0</v>
      </c>
      <c r="V2243" s="168">
        <f t="shared" si="5"/>
        <v>0</v>
      </c>
      <c r="W2243" s="168">
        <f t="shared" si="6"/>
        <v>0</v>
      </c>
      <c r="X2243" s="168">
        <f t="shared" si="7"/>
        <v>0</v>
      </c>
      <c r="Y2243" s="168">
        <f t="shared" si="8"/>
        <v>0</v>
      </c>
      <c r="Z2243" s="168">
        <f t="shared" si="9"/>
        <v>0</v>
      </c>
    </row>
    <row r="2244" ht="15.0" customHeight="1">
      <c r="A2244" s="157" t="s">
        <v>2495</v>
      </c>
      <c r="B2244" s="158" t="s">
        <v>37</v>
      </c>
      <c r="C2244" s="158" t="s">
        <v>2431</v>
      </c>
      <c r="D2244" s="159">
        <v>44232.0</v>
      </c>
      <c r="E2244" s="157" t="s">
        <v>731</v>
      </c>
      <c r="F2244" s="160">
        <v>19188.0</v>
      </c>
      <c r="G2244" s="160">
        <v>3070.08</v>
      </c>
      <c r="H2244" s="160">
        <f t="shared" si="54"/>
        <v>22258.08</v>
      </c>
      <c r="I2244" s="160"/>
      <c r="J2244" s="161"/>
      <c r="K2244" s="160"/>
      <c r="L2244" s="160">
        <f>+'FACP$'!$H2244-'FACP$'!$I2244-'FACP$'!$K2244</f>
        <v>22258.08</v>
      </c>
      <c r="M2244" s="162" t="s">
        <v>116</v>
      </c>
      <c r="N2244" s="162" t="s">
        <v>554</v>
      </c>
      <c r="O2244" s="164">
        <v>44292.0</v>
      </c>
      <c r="P2244" s="164">
        <f t="shared" si="13"/>
        <v>44242</v>
      </c>
      <c r="Q2244" s="165">
        <f t="shared" si="2"/>
        <v>0</v>
      </c>
      <c r="R2244" s="167"/>
      <c r="S2244" s="167"/>
      <c r="T2244" s="168">
        <f t="shared" si="3"/>
        <v>22258.08</v>
      </c>
      <c r="U2244" s="168">
        <f t="shared" si="4"/>
        <v>0</v>
      </c>
      <c r="V2244" s="168">
        <f t="shared" si="5"/>
        <v>0</v>
      </c>
      <c r="W2244" s="168">
        <f t="shared" si="6"/>
        <v>0</v>
      </c>
      <c r="X2244" s="168">
        <f t="shared" si="7"/>
        <v>0</v>
      </c>
      <c r="Y2244" s="168">
        <f t="shared" si="8"/>
        <v>0</v>
      </c>
      <c r="Z2244" s="168">
        <f t="shared" si="9"/>
        <v>0</v>
      </c>
    </row>
    <row r="2245" ht="15.0" customHeight="1">
      <c r="A2245" s="157" t="s">
        <v>2496</v>
      </c>
      <c r="B2245" s="158" t="s">
        <v>29</v>
      </c>
      <c r="C2245" s="158" t="s">
        <v>2431</v>
      </c>
      <c r="D2245" s="159">
        <v>44232.0</v>
      </c>
      <c r="E2245" s="157" t="s">
        <v>731</v>
      </c>
      <c r="F2245" s="160">
        <v>1.0</v>
      </c>
      <c r="G2245" s="160">
        <v>0.16</v>
      </c>
      <c r="H2245" s="160">
        <f t="shared" si="54"/>
        <v>1.16</v>
      </c>
      <c r="I2245" s="160"/>
      <c r="J2245" s="161"/>
      <c r="K2245" s="160"/>
      <c r="L2245" s="160">
        <f>+'FACP$'!$H2245-'FACP$'!$I2245-'FACP$'!$K2245</f>
        <v>1.16</v>
      </c>
      <c r="M2245" s="162" t="s">
        <v>130</v>
      </c>
      <c r="N2245" s="162" t="s">
        <v>554</v>
      </c>
      <c r="O2245" s="164">
        <v>44284.0</v>
      </c>
      <c r="P2245" s="164">
        <f t="shared" si="13"/>
        <v>44242</v>
      </c>
      <c r="Q2245" s="165">
        <f t="shared" si="2"/>
        <v>0</v>
      </c>
      <c r="R2245" s="167"/>
      <c r="S2245" s="167"/>
      <c r="T2245" s="168">
        <f t="shared" si="3"/>
        <v>1.16</v>
      </c>
      <c r="U2245" s="168">
        <f t="shared" si="4"/>
        <v>0</v>
      </c>
      <c r="V2245" s="168">
        <f t="shared" si="5"/>
        <v>0</v>
      </c>
      <c r="W2245" s="168">
        <f t="shared" si="6"/>
        <v>0</v>
      </c>
      <c r="X2245" s="168">
        <f t="shared" si="7"/>
        <v>0</v>
      </c>
      <c r="Y2245" s="168">
        <f t="shared" si="8"/>
        <v>0</v>
      </c>
      <c r="Z2245" s="168">
        <f t="shared" si="9"/>
        <v>0</v>
      </c>
    </row>
    <row r="2246" ht="15.0" customHeight="1">
      <c r="A2246" s="157" t="s">
        <v>2497</v>
      </c>
      <c r="B2246" s="158" t="s">
        <v>16</v>
      </c>
      <c r="C2246" s="158" t="s">
        <v>2431</v>
      </c>
      <c r="D2246" s="159">
        <v>44232.0</v>
      </c>
      <c r="E2246" s="157" t="s">
        <v>731</v>
      </c>
      <c r="F2246" s="160">
        <v>10086.0</v>
      </c>
      <c r="G2246" s="160">
        <v>1613.76</v>
      </c>
      <c r="H2246" s="160">
        <f t="shared" si="54"/>
        <v>11699.76</v>
      </c>
      <c r="I2246" s="160"/>
      <c r="J2246" s="161"/>
      <c r="K2246" s="160"/>
      <c r="L2246" s="160">
        <f>+'FACP$'!$H2246-'FACP$'!$I2246-'FACP$'!$K2246</f>
        <v>11699.76</v>
      </c>
      <c r="M2246" s="162" t="s">
        <v>985</v>
      </c>
      <c r="N2246" s="162" t="s">
        <v>127</v>
      </c>
      <c r="O2246" s="164"/>
      <c r="P2246" s="164">
        <f t="shared" si="13"/>
        <v>44242</v>
      </c>
      <c r="Q2246" s="165">
        <f t="shared" si="2"/>
        <v>0</v>
      </c>
      <c r="R2246" s="167"/>
      <c r="S2246" s="167"/>
      <c r="T2246" s="168">
        <f t="shared" si="3"/>
        <v>11699.76</v>
      </c>
      <c r="U2246" s="168">
        <f t="shared" si="4"/>
        <v>0</v>
      </c>
      <c r="V2246" s="168">
        <f t="shared" si="5"/>
        <v>0</v>
      </c>
      <c r="W2246" s="168">
        <f t="shared" si="6"/>
        <v>0</v>
      </c>
      <c r="X2246" s="168">
        <f t="shared" si="7"/>
        <v>0</v>
      </c>
      <c r="Y2246" s="168">
        <f t="shared" si="8"/>
        <v>0</v>
      </c>
      <c r="Z2246" s="168">
        <f t="shared" si="9"/>
        <v>0</v>
      </c>
    </row>
    <row r="2247" ht="15.0" customHeight="1">
      <c r="A2247" s="157" t="s">
        <v>2498</v>
      </c>
      <c r="B2247" s="158" t="s">
        <v>37</v>
      </c>
      <c r="C2247" s="158" t="s">
        <v>2431</v>
      </c>
      <c r="D2247" s="159">
        <v>44233.0</v>
      </c>
      <c r="E2247" s="157" t="s">
        <v>731</v>
      </c>
      <c r="F2247" s="160">
        <v>19188.0</v>
      </c>
      <c r="G2247" s="160">
        <v>3070.08</v>
      </c>
      <c r="H2247" s="160">
        <f t="shared" si="54"/>
        <v>22258.08</v>
      </c>
      <c r="I2247" s="160"/>
      <c r="J2247" s="161"/>
      <c r="K2247" s="160"/>
      <c r="L2247" s="160">
        <f>+'FACP$'!$H2247-'FACP$'!$I2247-'FACP$'!$K2247</f>
        <v>22258.08</v>
      </c>
      <c r="M2247" s="162" t="s">
        <v>116</v>
      </c>
      <c r="N2247" s="162" t="s">
        <v>554</v>
      </c>
      <c r="O2247" s="164">
        <v>44292.0</v>
      </c>
      <c r="P2247" s="164">
        <f t="shared" si="13"/>
        <v>44243</v>
      </c>
      <c r="Q2247" s="165">
        <f t="shared" si="2"/>
        <v>0</v>
      </c>
      <c r="R2247" s="167"/>
      <c r="S2247" s="167"/>
      <c r="T2247" s="168">
        <f t="shared" si="3"/>
        <v>22258.08</v>
      </c>
      <c r="U2247" s="168">
        <f t="shared" si="4"/>
        <v>0</v>
      </c>
      <c r="V2247" s="168">
        <f t="shared" si="5"/>
        <v>0</v>
      </c>
      <c r="W2247" s="168">
        <f t="shared" si="6"/>
        <v>0</v>
      </c>
      <c r="X2247" s="168">
        <f t="shared" si="7"/>
        <v>0</v>
      </c>
      <c r="Y2247" s="168">
        <f t="shared" si="8"/>
        <v>0</v>
      </c>
      <c r="Z2247" s="168">
        <f t="shared" si="9"/>
        <v>0</v>
      </c>
    </row>
    <row r="2248" ht="15.0" customHeight="1">
      <c r="A2248" s="157" t="s">
        <v>2499</v>
      </c>
      <c r="B2248" s="158" t="s">
        <v>29</v>
      </c>
      <c r="C2248" s="158" t="s">
        <v>2431</v>
      </c>
      <c r="D2248" s="159">
        <v>44233.0</v>
      </c>
      <c r="E2248" s="157" t="s">
        <v>731</v>
      </c>
      <c r="F2248" s="160">
        <v>38376.0</v>
      </c>
      <c r="G2248" s="160">
        <v>6140.16</v>
      </c>
      <c r="H2248" s="160">
        <f t="shared" si="54"/>
        <v>44516.16</v>
      </c>
      <c r="I2248" s="160"/>
      <c r="J2248" s="161"/>
      <c r="K2248" s="160"/>
      <c r="L2248" s="160">
        <f>+'FACP$'!$H2248-'FACP$'!$I2248-'FACP$'!$K2248</f>
        <v>44516.16</v>
      </c>
      <c r="M2248" s="162" t="s">
        <v>130</v>
      </c>
      <c r="N2248" s="162" t="s">
        <v>554</v>
      </c>
      <c r="O2248" s="164">
        <v>44284.0</v>
      </c>
      <c r="P2248" s="164">
        <f t="shared" si="13"/>
        <v>44243</v>
      </c>
      <c r="Q2248" s="165">
        <f t="shared" si="2"/>
        <v>0</v>
      </c>
      <c r="R2248" s="167"/>
      <c r="S2248" s="167"/>
      <c r="T2248" s="168">
        <f t="shared" si="3"/>
        <v>44516.16</v>
      </c>
      <c r="U2248" s="168">
        <f t="shared" si="4"/>
        <v>0</v>
      </c>
      <c r="V2248" s="168">
        <f t="shared" si="5"/>
        <v>0</v>
      </c>
      <c r="W2248" s="168">
        <f t="shared" si="6"/>
        <v>0</v>
      </c>
      <c r="X2248" s="168">
        <f t="shared" si="7"/>
        <v>0</v>
      </c>
      <c r="Y2248" s="168">
        <f t="shared" si="8"/>
        <v>0</v>
      </c>
      <c r="Z2248" s="168">
        <f t="shared" si="9"/>
        <v>0</v>
      </c>
    </row>
    <row r="2249" ht="15.0" customHeight="1">
      <c r="A2249" s="157" t="s">
        <v>2500</v>
      </c>
      <c r="B2249" s="158" t="s">
        <v>37</v>
      </c>
      <c r="C2249" s="158" t="s">
        <v>2431</v>
      </c>
      <c r="D2249" s="159">
        <v>44233.0</v>
      </c>
      <c r="E2249" s="157" t="s">
        <v>731</v>
      </c>
      <c r="F2249" s="160">
        <v>38376.0</v>
      </c>
      <c r="G2249" s="160">
        <v>6140.16</v>
      </c>
      <c r="H2249" s="160">
        <f t="shared" si="54"/>
        <v>44516.16</v>
      </c>
      <c r="I2249" s="160"/>
      <c r="J2249" s="161"/>
      <c r="K2249" s="160"/>
      <c r="L2249" s="160">
        <f>+'FACP$'!$H2249-'FACP$'!$I2249-'FACP$'!$K2249</f>
        <v>44516.16</v>
      </c>
      <c r="M2249" s="162" t="s">
        <v>116</v>
      </c>
      <c r="N2249" s="162" t="s">
        <v>554</v>
      </c>
      <c r="O2249" s="164">
        <v>44292.0</v>
      </c>
      <c r="P2249" s="164">
        <f t="shared" si="13"/>
        <v>44243</v>
      </c>
      <c r="Q2249" s="165">
        <f t="shared" si="2"/>
        <v>0</v>
      </c>
      <c r="R2249" s="167"/>
      <c r="S2249" s="167"/>
      <c r="T2249" s="168">
        <f t="shared" si="3"/>
        <v>44516.16</v>
      </c>
      <c r="U2249" s="168">
        <f t="shared" si="4"/>
        <v>0</v>
      </c>
      <c r="V2249" s="168">
        <f t="shared" si="5"/>
        <v>0</v>
      </c>
      <c r="W2249" s="168">
        <f t="shared" si="6"/>
        <v>0</v>
      </c>
      <c r="X2249" s="168">
        <f t="shared" si="7"/>
        <v>0</v>
      </c>
      <c r="Y2249" s="168">
        <f t="shared" si="8"/>
        <v>0</v>
      </c>
      <c r="Z2249" s="168">
        <f t="shared" si="9"/>
        <v>0</v>
      </c>
    </row>
    <row r="2250" ht="15.0" customHeight="1">
      <c r="A2250" s="157" t="s">
        <v>2501</v>
      </c>
      <c r="B2250" s="158" t="s">
        <v>37</v>
      </c>
      <c r="C2250" s="158" t="s">
        <v>2431</v>
      </c>
      <c r="D2250" s="159">
        <v>44233.0</v>
      </c>
      <c r="E2250" s="157" t="s">
        <v>731</v>
      </c>
      <c r="F2250" s="160">
        <v>38376.0</v>
      </c>
      <c r="G2250" s="160">
        <v>6140.16</v>
      </c>
      <c r="H2250" s="160">
        <f t="shared" si="54"/>
        <v>44516.16</v>
      </c>
      <c r="I2250" s="160"/>
      <c r="J2250" s="161"/>
      <c r="K2250" s="160"/>
      <c r="L2250" s="160">
        <f>+'FACP$'!$H2250-'FACP$'!$I2250-'FACP$'!$K2250</f>
        <v>44516.16</v>
      </c>
      <c r="M2250" s="162" t="s">
        <v>116</v>
      </c>
      <c r="N2250" s="162" t="s">
        <v>554</v>
      </c>
      <c r="O2250" s="164">
        <v>44292.0</v>
      </c>
      <c r="P2250" s="164">
        <f t="shared" si="13"/>
        <v>44243</v>
      </c>
      <c r="Q2250" s="165">
        <f t="shared" si="2"/>
        <v>0</v>
      </c>
      <c r="R2250" s="167"/>
      <c r="S2250" s="167"/>
      <c r="T2250" s="168">
        <f t="shared" si="3"/>
        <v>44516.16</v>
      </c>
      <c r="U2250" s="168">
        <f t="shared" si="4"/>
        <v>0</v>
      </c>
      <c r="V2250" s="168">
        <f t="shared" si="5"/>
        <v>0</v>
      </c>
      <c r="W2250" s="168">
        <f t="shared" si="6"/>
        <v>0</v>
      </c>
      <c r="X2250" s="168">
        <f t="shared" si="7"/>
        <v>0</v>
      </c>
      <c r="Y2250" s="168">
        <f t="shared" si="8"/>
        <v>0</v>
      </c>
      <c r="Z2250" s="168">
        <f t="shared" si="9"/>
        <v>0</v>
      </c>
    </row>
    <row r="2251" ht="15.0" customHeight="1">
      <c r="A2251" s="157" t="s">
        <v>2502</v>
      </c>
      <c r="B2251" s="158" t="s">
        <v>37</v>
      </c>
      <c r="C2251" s="158" t="s">
        <v>2431</v>
      </c>
      <c r="D2251" s="159">
        <v>44233.0</v>
      </c>
      <c r="E2251" s="157" t="s">
        <v>731</v>
      </c>
      <c r="F2251" s="160">
        <v>38376.0</v>
      </c>
      <c r="G2251" s="160">
        <v>6140.16</v>
      </c>
      <c r="H2251" s="160">
        <f t="shared" si="54"/>
        <v>44516.16</v>
      </c>
      <c r="I2251" s="160"/>
      <c r="J2251" s="161"/>
      <c r="K2251" s="160"/>
      <c r="L2251" s="160">
        <f>+'FACP$'!$H2251-'FACP$'!$I2251-'FACP$'!$K2251</f>
        <v>44516.16</v>
      </c>
      <c r="M2251" s="162" t="s">
        <v>116</v>
      </c>
      <c r="N2251" s="162" t="s">
        <v>554</v>
      </c>
      <c r="O2251" s="164">
        <v>44292.0</v>
      </c>
      <c r="P2251" s="164">
        <f t="shared" si="13"/>
        <v>44243</v>
      </c>
      <c r="Q2251" s="165">
        <f t="shared" si="2"/>
        <v>0</v>
      </c>
      <c r="R2251" s="167"/>
      <c r="S2251" s="167"/>
      <c r="T2251" s="168">
        <f t="shared" si="3"/>
        <v>44516.16</v>
      </c>
      <c r="U2251" s="168">
        <f t="shared" si="4"/>
        <v>0</v>
      </c>
      <c r="V2251" s="168">
        <f t="shared" si="5"/>
        <v>0</v>
      </c>
      <c r="W2251" s="168">
        <f t="shared" si="6"/>
        <v>0</v>
      </c>
      <c r="X2251" s="168">
        <f t="shared" si="7"/>
        <v>0</v>
      </c>
      <c r="Y2251" s="168">
        <f t="shared" si="8"/>
        <v>0</v>
      </c>
      <c r="Z2251" s="168">
        <f t="shared" si="9"/>
        <v>0</v>
      </c>
    </row>
    <row r="2252" ht="15.0" customHeight="1">
      <c r="A2252" s="157" t="s">
        <v>2503</v>
      </c>
      <c r="B2252" s="158" t="s">
        <v>19</v>
      </c>
      <c r="C2252" s="158" t="s">
        <v>2431</v>
      </c>
      <c r="D2252" s="159">
        <v>44233.0</v>
      </c>
      <c r="E2252" s="157" t="s">
        <v>731</v>
      </c>
      <c r="F2252" s="160">
        <v>38376.0</v>
      </c>
      <c r="G2252" s="160">
        <v>6140.16</v>
      </c>
      <c r="H2252" s="160">
        <f t="shared" si="54"/>
        <v>44516.16</v>
      </c>
      <c r="I2252" s="160"/>
      <c r="J2252" s="161"/>
      <c r="K2252" s="160"/>
      <c r="L2252" s="160">
        <f>+'FACP$'!$H2252-'FACP$'!$I2252-'FACP$'!$K2252</f>
        <v>44516.16</v>
      </c>
      <c r="M2252" s="162" t="s">
        <v>732</v>
      </c>
      <c r="N2252" s="162" t="s">
        <v>554</v>
      </c>
      <c r="O2252" s="164">
        <v>44279.0</v>
      </c>
      <c r="P2252" s="164">
        <f t="shared" si="13"/>
        <v>44243</v>
      </c>
      <c r="Q2252" s="165">
        <f t="shared" si="2"/>
        <v>0</v>
      </c>
      <c r="R2252" s="167"/>
      <c r="S2252" s="167"/>
      <c r="T2252" s="168">
        <f t="shared" si="3"/>
        <v>44516.16</v>
      </c>
      <c r="U2252" s="168">
        <f t="shared" si="4"/>
        <v>0</v>
      </c>
      <c r="V2252" s="168">
        <f t="shared" si="5"/>
        <v>0</v>
      </c>
      <c r="W2252" s="168">
        <f t="shared" si="6"/>
        <v>0</v>
      </c>
      <c r="X2252" s="168">
        <f t="shared" si="7"/>
        <v>0</v>
      </c>
      <c r="Y2252" s="168">
        <f t="shared" si="8"/>
        <v>0</v>
      </c>
      <c r="Z2252" s="168">
        <f t="shared" si="9"/>
        <v>0</v>
      </c>
    </row>
    <row r="2253" ht="15.0" customHeight="1">
      <c r="A2253" s="157" t="s">
        <v>2504</v>
      </c>
      <c r="B2253" s="158" t="s">
        <v>16</v>
      </c>
      <c r="C2253" s="158" t="s">
        <v>2431</v>
      </c>
      <c r="D2253" s="159">
        <v>44233.0</v>
      </c>
      <c r="E2253" s="157" t="s">
        <v>731</v>
      </c>
      <c r="F2253" s="160">
        <v>10086.0</v>
      </c>
      <c r="G2253" s="160">
        <v>1613.76</v>
      </c>
      <c r="H2253" s="160">
        <f t="shared" si="54"/>
        <v>11699.76</v>
      </c>
      <c r="I2253" s="160"/>
      <c r="J2253" s="161"/>
      <c r="K2253" s="160"/>
      <c r="L2253" s="160">
        <f>+'FACP$'!$H2253-'FACP$'!$I2253-'FACP$'!$K2253</f>
        <v>11699.76</v>
      </c>
      <c r="M2253" s="162" t="s">
        <v>985</v>
      </c>
      <c r="N2253" s="162" t="s">
        <v>127</v>
      </c>
      <c r="O2253" s="164"/>
      <c r="P2253" s="164">
        <f t="shared" si="13"/>
        <v>44243</v>
      </c>
      <c r="Q2253" s="165">
        <f t="shared" si="2"/>
        <v>0</v>
      </c>
      <c r="R2253" s="167"/>
      <c r="S2253" s="167"/>
      <c r="T2253" s="168">
        <f t="shared" si="3"/>
        <v>11699.76</v>
      </c>
      <c r="U2253" s="168">
        <f t="shared" si="4"/>
        <v>0</v>
      </c>
      <c r="V2253" s="168">
        <f t="shared" si="5"/>
        <v>0</v>
      </c>
      <c r="W2253" s="168">
        <f t="shared" si="6"/>
        <v>0</v>
      </c>
      <c r="X2253" s="168">
        <f t="shared" si="7"/>
        <v>0</v>
      </c>
      <c r="Y2253" s="168">
        <f t="shared" si="8"/>
        <v>0</v>
      </c>
      <c r="Z2253" s="168">
        <f t="shared" si="9"/>
        <v>0</v>
      </c>
    </row>
    <row r="2254" ht="15.0" customHeight="1">
      <c r="A2254" s="157" t="s">
        <v>2505</v>
      </c>
      <c r="B2254" s="158" t="s">
        <v>38</v>
      </c>
      <c r="C2254" s="158" t="s">
        <v>2431</v>
      </c>
      <c r="D2254" s="159">
        <v>44233.0</v>
      </c>
      <c r="E2254" s="157" t="s">
        <v>731</v>
      </c>
      <c r="F2254" s="160">
        <v>16640.39</v>
      </c>
      <c r="G2254" s="160">
        <v>2662.46</v>
      </c>
      <c r="H2254" s="160">
        <f t="shared" si="54"/>
        <v>19302.85</v>
      </c>
      <c r="I2254" s="160"/>
      <c r="J2254" s="161"/>
      <c r="K2254" s="160"/>
      <c r="L2254" s="160">
        <f>+'FACP$'!$H2254-'FACP$'!$I2254-'FACP$'!$K2254</f>
        <v>19302.85</v>
      </c>
      <c r="M2254" s="162" t="s">
        <v>145</v>
      </c>
      <c r="N2254" s="162" t="s">
        <v>554</v>
      </c>
      <c r="O2254" s="164">
        <v>44298.0</v>
      </c>
      <c r="P2254" s="164">
        <f t="shared" si="13"/>
        <v>44243</v>
      </c>
      <c r="Q2254" s="165">
        <f t="shared" si="2"/>
        <v>0</v>
      </c>
      <c r="R2254" s="167"/>
      <c r="S2254" s="167"/>
      <c r="T2254" s="168">
        <f t="shared" si="3"/>
        <v>19302.85</v>
      </c>
      <c r="U2254" s="168">
        <f t="shared" si="4"/>
        <v>0</v>
      </c>
      <c r="V2254" s="168">
        <f t="shared" si="5"/>
        <v>0</v>
      </c>
      <c r="W2254" s="168">
        <f t="shared" si="6"/>
        <v>0</v>
      </c>
      <c r="X2254" s="168">
        <f t="shared" si="7"/>
        <v>0</v>
      </c>
      <c r="Y2254" s="168">
        <f t="shared" si="8"/>
        <v>0</v>
      </c>
      <c r="Z2254" s="168">
        <f t="shared" si="9"/>
        <v>0</v>
      </c>
    </row>
    <row r="2255" ht="15.0" customHeight="1">
      <c r="A2255" s="157" t="s">
        <v>2506</v>
      </c>
      <c r="B2255" s="158" t="s">
        <v>38</v>
      </c>
      <c r="C2255" s="158" t="s">
        <v>2431</v>
      </c>
      <c r="D2255" s="159">
        <v>44233.0</v>
      </c>
      <c r="E2255" s="157" t="s">
        <v>731</v>
      </c>
      <c r="F2255" s="160">
        <v>15561.0</v>
      </c>
      <c r="G2255" s="160">
        <v>2489.76</v>
      </c>
      <c r="H2255" s="160">
        <f t="shared" si="54"/>
        <v>18050.76</v>
      </c>
      <c r="I2255" s="160"/>
      <c r="J2255" s="161"/>
      <c r="K2255" s="160"/>
      <c r="L2255" s="160">
        <f>+'FACP$'!$H2255-'FACP$'!$I2255-'FACP$'!$K2255</f>
        <v>18050.76</v>
      </c>
      <c r="M2255" s="162" t="s">
        <v>145</v>
      </c>
      <c r="N2255" s="162" t="s">
        <v>554</v>
      </c>
      <c r="O2255" s="164">
        <v>44298.0</v>
      </c>
      <c r="P2255" s="164">
        <f t="shared" si="13"/>
        <v>44243</v>
      </c>
      <c r="Q2255" s="165">
        <f t="shared" si="2"/>
        <v>0</v>
      </c>
      <c r="R2255" s="167"/>
      <c r="S2255" s="167"/>
      <c r="T2255" s="168">
        <f t="shared" si="3"/>
        <v>18050.76</v>
      </c>
      <c r="U2255" s="168">
        <f t="shared" si="4"/>
        <v>0</v>
      </c>
      <c r="V2255" s="168">
        <f t="shared" si="5"/>
        <v>0</v>
      </c>
      <c r="W2255" s="168">
        <f t="shared" si="6"/>
        <v>0</v>
      </c>
      <c r="X2255" s="168">
        <f t="shared" si="7"/>
        <v>0</v>
      </c>
      <c r="Y2255" s="168">
        <f t="shared" si="8"/>
        <v>0</v>
      </c>
      <c r="Z2255" s="168">
        <f t="shared" si="9"/>
        <v>0</v>
      </c>
    </row>
    <row r="2256" ht="15.0" customHeight="1">
      <c r="A2256" s="157" t="s">
        <v>2507</v>
      </c>
      <c r="B2256" s="158" t="s">
        <v>127</v>
      </c>
      <c r="C2256" s="158" t="s">
        <v>2431</v>
      </c>
      <c r="D2256" s="159">
        <v>44233.0</v>
      </c>
      <c r="E2256" s="157" t="s">
        <v>731</v>
      </c>
      <c r="F2256" s="160"/>
      <c r="G2256" s="160"/>
      <c r="H2256" s="160">
        <f t="shared" si="54"/>
        <v>0</v>
      </c>
      <c r="I2256" s="160"/>
      <c r="J2256" s="161"/>
      <c r="K2256" s="160"/>
      <c r="L2256" s="160">
        <f>+'FACP$'!$H2256-'FACP$'!$I2256-'FACP$'!$K2256</f>
        <v>0</v>
      </c>
      <c r="M2256" s="162"/>
      <c r="N2256" s="162"/>
      <c r="O2256" s="164"/>
      <c r="P2256" s="164">
        <f t="shared" si="13"/>
        <v>44243</v>
      </c>
      <c r="Q2256" s="165">
        <f t="shared" si="2"/>
        <v>1546</v>
      </c>
      <c r="R2256" s="167"/>
      <c r="S2256" s="167"/>
      <c r="T2256" s="168">
        <f t="shared" si="3"/>
        <v>0</v>
      </c>
      <c r="U2256" s="168">
        <f t="shared" si="4"/>
        <v>0</v>
      </c>
      <c r="V2256" s="168">
        <f t="shared" si="5"/>
        <v>0</v>
      </c>
      <c r="W2256" s="168">
        <f t="shared" si="6"/>
        <v>0</v>
      </c>
      <c r="X2256" s="168">
        <f t="shared" si="7"/>
        <v>0</v>
      </c>
      <c r="Y2256" s="168">
        <f t="shared" si="8"/>
        <v>0</v>
      </c>
      <c r="Z2256" s="168">
        <f t="shared" si="9"/>
        <v>0</v>
      </c>
    </row>
    <row r="2257" ht="15.0" customHeight="1">
      <c r="A2257" s="157" t="s">
        <v>2508</v>
      </c>
      <c r="B2257" s="158" t="s">
        <v>37</v>
      </c>
      <c r="C2257" s="158" t="s">
        <v>2431</v>
      </c>
      <c r="D2257" s="159">
        <v>44233.0</v>
      </c>
      <c r="E2257" s="157" t="s">
        <v>731</v>
      </c>
      <c r="F2257" s="160">
        <v>38380.0</v>
      </c>
      <c r="G2257" s="160">
        <v>6140.8</v>
      </c>
      <c r="H2257" s="160">
        <f t="shared" si="54"/>
        <v>44520.8</v>
      </c>
      <c r="I2257" s="160"/>
      <c r="J2257" s="161"/>
      <c r="K2257" s="160"/>
      <c r="L2257" s="160">
        <f>+'FACP$'!$H2257-'FACP$'!$I2257-'FACP$'!$K2257</f>
        <v>44520.8</v>
      </c>
      <c r="M2257" s="162" t="s">
        <v>116</v>
      </c>
      <c r="N2257" s="162" t="s">
        <v>554</v>
      </c>
      <c r="O2257" s="164">
        <v>44292.0</v>
      </c>
      <c r="P2257" s="164">
        <f t="shared" si="13"/>
        <v>44243</v>
      </c>
      <c r="Q2257" s="165">
        <f t="shared" si="2"/>
        <v>0</v>
      </c>
      <c r="R2257" s="167"/>
      <c r="S2257" s="167"/>
      <c r="T2257" s="168">
        <f t="shared" si="3"/>
        <v>44520.8</v>
      </c>
      <c r="U2257" s="168">
        <f t="shared" si="4"/>
        <v>0</v>
      </c>
      <c r="V2257" s="168">
        <f t="shared" si="5"/>
        <v>0</v>
      </c>
      <c r="W2257" s="168">
        <f t="shared" si="6"/>
        <v>0</v>
      </c>
      <c r="X2257" s="168">
        <f t="shared" si="7"/>
        <v>0</v>
      </c>
      <c r="Y2257" s="168">
        <f t="shared" si="8"/>
        <v>0</v>
      </c>
      <c r="Z2257" s="168">
        <f t="shared" si="9"/>
        <v>0</v>
      </c>
    </row>
    <row r="2258" ht="15.0" customHeight="1">
      <c r="A2258" s="157" t="s">
        <v>2509</v>
      </c>
      <c r="B2258" s="158" t="s">
        <v>19</v>
      </c>
      <c r="C2258" s="158" t="s">
        <v>2431</v>
      </c>
      <c r="D2258" s="159">
        <v>44233.0</v>
      </c>
      <c r="E2258" s="157" t="s">
        <v>731</v>
      </c>
      <c r="F2258" s="160">
        <v>38380.0</v>
      </c>
      <c r="G2258" s="160">
        <v>6140.8</v>
      </c>
      <c r="H2258" s="160">
        <f t="shared" si="54"/>
        <v>44520.8</v>
      </c>
      <c r="I2258" s="160"/>
      <c r="J2258" s="161"/>
      <c r="K2258" s="160"/>
      <c r="L2258" s="160">
        <f>+'FACP$'!$H2258-'FACP$'!$I2258-'FACP$'!$K2258</f>
        <v>44520.8</v>
      </c>
      <c r="M2258" s="162" t="s">
        <v>732</v>
      </c>
      <c r="N2258" s="162" t="s">
        <v>554</v>
      </c>
      <c r="O2258" s="164">
        <v>44279.0</v>
      </c>
      <c r="P2258" s="164">
        <f t="shared" si="13"/>
        <v>44243</v>
      </c>
      <c r="Q2258" s="165">
        <f t="shared" si="2"/>
        <v>0</v>
      </c>
      <c r="R2258" s="167"/>
      <c r="S2258" s="167"/>
      <c r="T2258" s="168">
        <f t="shared" si="3"/>
        <v>44520.8</v>
      </c>
      <c r="U2258" s="168">
        <f t="shared" si="4"/>
        <v>0</v>
      </c>
      <c r="V2258" s="168">
        <f t="shared" si="5"/>
        <v>0</v>
      </c>
      <c r="W2258" s="168">
        <f t="shared" si="6"/>
        <v>0</v>
      </c>
      <c r="X2258" s="168">
        <f t="shared" si="7"/>
        <v>0</v>
      </c>
      <c r="Y2258" s="168">
        <f t="shared" si="8"/>
        <v>0</v>
      </c>
      <c r="Z2258" s="168">
        <f t="shared" si="9"/>
        <v>0</v>
      </c>
    </row>
    <row r="2259" ht="15.0" customHeight="1">
      <c r="A2259" s="157" t="s">
        <v>2510</v>
      </c>
      <c r="B2259" s="158" t="s">
        <v>37</v>
      </c>
      <c r="C2259" s="158" t="s">
        <v>2431</v>
      </c>
      <c r="D2259" s="159">
        <v>44233.0</v>
      </c>
      <c r="E2259" s="157" t="s">
        <v>731</v>
      </c>
      <c r="F2259" s="160">
        <v>38380.0</v>
      </c>
      <c r="G2259" s="160">
        <v>6140.8</v>
      </c>
      <c r="H2259" s="160">
        <f t="shared" si="54"/>
        <v>44520.8</v>
      </c>
      <c r="I2259" s="160"/>
      <c r="J2259" s="161"/>
      <c r="K2259" s="160"/>
      <c r="L2259" s="160">
        <f>+'FACP$'!$H2259-'FACP$'!$I2259-'FACP$'!$K2259</f>
        <v>44520.8</v>
      </c>
      <c r="M2259" s="162" t="s">
        <v>116</v>
      </c>
      <c r="N2259" s="162" t="s">
        <v>554</v>
      </c>
      <c r="O2259" s="164">
        <v>44292.0</v>
      </c>
      <c r="P2259" s="164">
        <f t="shared" si="13"/>
        <v>44243</v>
      </c>
      <c r="Q2259" s="165">
        <f t="shared" si="2"/>
        <v>0</v>
      </c>
      <c r="R2259" s="167"/>
      <c r="S2259" s="167"/>
      <c r="T2259" s="168">
        <f t="shared" si="3"/>
        <v>44520.8</v>
      </c>
      <c r="U2259" s="168">
        <f t="shared" si="4"/>
        <v>0</v>
      </c>
      <c r="V2259" s="168">
        <f t="shared" si="5"/>
        <v>0</v>
      </c>
      <c r="W2259" s="168">
        <f t="shared" si="6"/>
        <v>0</v>
      </c>
      <c r="X2259" s="168">
        <f t="shared" si="7"/>
        <v>0</v>
      </c>
      <c r="Y2259" s="168">
        <f t="shared" si="8"/>
        <v>0</v>
      </c>
      <c r="Z2259" s="168">
        <f t="shared" si="9"/>
        <v>0</v>
      </c>
    </row>
    <row r="2260" ht="15.0" customHeight="1">
      <c r="A2260" s="157" t="s">
        <v>2511</v>
      </c>
      <c r="B2260" s="158" t="s">
        <v>19</v>
      </c>
      <c r="C2260" s="158" t="s">
        <v>2431</v>
      </c>
      <c r="D2260" s="159">
        <v>44233.0</v>
      </c>
      <c r="E2260" s="157" t="s">
        <v>731</v>
      </c>
      <c r="F2260" s="160">
        <v>38376.0</v>
      </c>
      <c r="G2260" s="160">
        <v>6140.16</v>
      </c>
      <c r="H2260" s="160">
        <f t="shared" si="54"/>
        <v>44516.16</v>
      </c>
      <c r="I2260" s="160"/>
      <c r="J2260" s="161"/>
      <c r="K2260" s="160"/>
      <c r="L2260" s="160">
        <f>+'FACP$'!$H2260-'FACP$'!$I2260-'FACP$'!$K2260</f>
        <v>44516.16</v>
      </c>
      <c r="M2260" s="162" t="s">
        <v>732</v>
      </c>
      <c r="N2260" s="162" t="s">
        <v>554</v>
      </c>
      <c r="O2260" s="164">
        <v>44279.0</v>
      </c>
      <c r="P2260" s="164">
        <f t="shared" si="13"/>
        <v>44243</v>
      </c>
      <c r="Q2260" s="165">
        <f t="shared" si="2"/>
        <v>0</v>
      </c>
      <c r="R2260" s="167"/>
      <c r="S2260" s="167"/>
      <c r="T2260" s="168">
        <f t="shared" si="3"/>
        <v>44516.16</v>
      </c>
      <c r="U2260" s="168">
        <f t="shared" si="4"/>
        <v>0</v>
      </c>
      <c r="V2260" s="168">
        <f t="shared" si="5"/>
        <v>0</v>
      </c>
      <c r="W2260" s="168">
        <f t="shared" si="6"/>
        <v>0</v>
      </c>
      <c r="X2260" s="168">
        <f t="shared" si="7"/>
        <v>0</v>
      </c>
      <c r="Y2260" s="168">
        <f t="shared" si="8"/>
        <v>0</v>
      </c>
      <c r="Z2260" s="168">
        <f t="shared" si="9"/>
        <v>0</v>
      </c>
    </row>
    <row r="2261" ht="15.0" customHeight="1">
      <c r="A2261" s="157" t="s">
        <v>2512</v>
      </c>
      <c r="B2261" s="158" t="s">
        <v>19</v>
      </c>
      <c r="C2261" s="158" t="s">
        <v>2431</v>
      </c>
      <c r="D2261" s="159">
        <v>44233.0</v>
      </c>
      <c r="E2261" s="157" t="s">
        <v>731</v>
      </c>
      <c r="F2261" s="160">
        <v>38376.0</v>
      </c>
      <c r="G2261" s="160">
        <v>6140.16</v>
      </c>
      <c r="H2261" s="160">
        <f t="shared" si="54"/>
        <v>44516.16</v>
      </c>
      <c r="I2261" s="160"/>
      <c r="J2261" s="161"/>
      <c r="K2261" s="160"/>
      <c r="L2261" s="160">
        <f>+'FACP$'!$H2261-'FACP$'!$I2261-'FACP$'!$K2261</f>
        <v>44516.16</v>
      </c>
      <c r="M2261" s="162" t="s">
        <v>732</v>
      </c>
      <c r="N2261" s="162" t="s">
        <v>554</v>
      </c>
      <c r="O2261" s="164"/>
      <c r="P2261" s="164">
        <f t="shared" si="13"/>
        <v>44243</v>
      </c>
      <c r="Q2261" s="165">
        <f t="shared" si="2"/>
        <v>0</v>
      </c>
      <c r="R2261" s="164" t="s">
        <v>2513</v>
      </c>
      <c r="S2261" s="167"/>
      <c r="T2261" s="168">
        <f t="shared" si="3"/>
        <v>44516.16</v>
      </c>
      <c r="U2261" s="168">
        <f t="shared" si="4"/>
        <v>0</v>
      </c>
      <c r="V2261" s="168">
        <f t="shared" si="5"/>
        <v>0</v>
      </c>
      <c r="W2261" s="168">
        <f t="shared" si="6"/>
        <v>0</v>
      </c>
      <c r="X2261" s="168">
        <f t="shared" si="7"/>
        <v>0</v>
      </c>
      <c r="Y2261" s="168">
        <f t="shared" si="8"/>
        <v>0</v>
      </c>
      <c r="Z2261" s="168">
        <f t="shared" si="9"/>
        <v>0</v>
      </c>
    </row>
    <row r="2262" ht="15.0" customHeight="1">
      <c r="A2262" s="157" t="s">
        <v>2514</v>
      </c>
      <c r="B2262" s="158" t="s">
        <v>37</v>
      </c>
      <c r="C2262" s="158" t="s">
        <v>2431</v>
      </c>
      <c r="D2262" s="159">
        <v>44233.0</v>
      </c>
      <c r="E2262" s="157" t="s">
        <v>731</v>
      </c>
      <c r="F2262" s="160">
        <v>38376.0</v>
      </c>
      <c r="G2262" s="160">
        <v>6140.16</v>
      </c>
      <c r="H2262" s="160">
        <f t="shared" si="54"/>
        <v>44516.16</v>
      </c>
      <c r="I2262" s="160"/>
      <c r="J2262" s="161"/>
      <c r="K2262" s="160"/>
      <c r="L2262" s="160">
        <f>+'FACP$'!$H2262-'FACP$'!$I2262-'FACP$'!$K2262</f>
        <v>44516.16</v>
      </c>
      <c r="M2262" s="162" t="s">
        <v>116</v>
      </c>
      <c r="N2262" s="162" t="s">
        <v>554</v>
      </c>
      <c r="O2262" s="164">
        <v>44292.0</v>
      </c>
      <c r="P2262" s="164">
        <f t="shared" si="13"/>
        <v>44243</v>
      </c>
      <c r="Q2262" s="165">
        <f t="shared" si="2"/>
        <v>0</v>
      </c>
      <c r="R2262" s="164" t="s">
        <v>2513</v>
      </c>
      <c r="S2262" s="167"/>
      <c r="T2262" s="168">
        <f t="shared" si="3"/>
        <v>44516.16</v>
      </c>
      <c r="U2262" s="168">
        <f t="shared" si="4"/>
        <v>0</v>
      </c>
      <c r="V2262" s="168">
        <f t="shared" si="5"/>
        <v>0</v>
      </c>
      <c r="W2262" s="168">
        <f t="shared" si="6"/>
        <v>0</v>
      </c>
      <c r="X2262" s="168">
        <f t="shared" si="7"/>
        <v>0</v>
      </c>
      <c r="Y2262" s="168">
        <f t="shared" si="8"/>
        <v>0</v>
      </c>
      <c r="Z2262" s="168">
        <f t="shared" si="9"/>
        <v>0</v>
      </c>
    </row>
    <row r="2263" ht="15.0" customHeight="1">
      <c r="A2263" s="157" t="s">
        <v>2515</v>
      </c>
      <c r="B2263" s="158" t="s">
        <v>37</v>
      </c>
      <c r="C2263" s="158" t="s">
        <v>2431</v>
      </c>
      <c r="D2263" s="159">
        <v>44233.0</v>
      </c>
      <c r="E2263" s="157" t="s">
        <v>731</v>
      </c>
      <c r="F2263" s="160">
        <v>38376.0</v>
      </c>
      <c r="G2263" s="160">
        <v>6140.16</v>
      </c>
      <c r="H2263" s="160">
        <f t="shared" si="54"/>
        <v>44516.16</v>
      </c>
      <c r="I2263" s="160"/>
      <c r="J2263" s="161"/>
      <c r="K2263" s="160"/>
      <c r="L2263" s="160">
        <f>+'FACP$'!$H2263-'FACP$'!$I2263-'FACP$'!$K2263</f>
        <v>44516.16</v>
      </c>
      <c r="M2263" s="162" t="s">
        <v>116</v>
      </c>
      <c r="N2263" s="162" t="s">
        <v>554</v>
      </c>
      <c r="O2263" s="164">
        <v>44292.0</v>
      </c>
      <c r="P2263" s="164">
        <f t="shared" si="13"/>
        <v>44243</v>
      </c>
      <c r="Q2263" s="165">
        <f t="shared" si="2"/>
        <v>0</v>
      </c>
      <c r="R2263" s="164" t="s">
        <v>2513</v>
      </c>
      <c r="S2263" s="167"/>
      <c r="T2263" s="168">
        <f t="shared" si="3"/>
        <v>44516.16</v>
      </c>
      <c r="U2263" s="168">
        <f t="shared" si="4"/>
        <v>0</v>
      </c>
      <c r="V2263" s="168">
        <f t="shared" si="5"/>
        <v>0</v>
      </c>
      <c r="W2263" s="168">
        <f t="shared" si="6"/>
        <v>0</v>
      </c>
      <c r="X2263" s="168">
        <f t="shared" si="7"/>
        <v>0</v>
      </c>
      <c r="Y2263" s="168">
        <f t="shared" si="8"/>
        <v>0</v>
      </c>
      <c r="Z2263" s="168">
        <f t="shared" si="9"/>
        <v>0</v>
      </c>
    </row>
    <row r="2264" ht="15.0" customHeight="1">
      <c r="A2264" s="157" t="s">
        <v>2516</v>
      </c>
      <c r="B2264" s="158" t="s">
        <v>37</v>
      </c>
      <c r="C2264" s="158" t="s">
        <v>2431</v>
      </c>
      <c r="D2264" s="159">
        <v>44233.0</v>
      </c>
      <c r="E2264" s="157" t="s">
        <v>731</v>
      </c>
      <c r="F2264" s="160">
        <v>38376.0</v>
      </c>
      <c r="G2264" s="160">
        <v>6140.16</v>
      </c>
      <c r="H2264" s="160">
        <f t="shared" si="54"/>
        <v>44516.16</v>
      </c>
      <c r="I2264" s="160"/>
      <c r="J2264" s="161"/>
      <c r="K2264" s="160"/>
      <c r="L2264" s="160">
        <f>+'FACP$'!$H2264-'FACP$'!$I2264-'FACP$'!$K2264</f>
        <v>44516.16</v>
      </c>
      <c r="M2264" s="162" t="s">
        <v>116</v>
      </c>
      <c r="N2264" s="162" t="s">
        <v>554</v>
      </c>
      <c r="O2264" s="164">
        <v>44292.0</v>
      </c>
      <c r="P2264" s="164">
        <f t="shared" si="13"/>
        <v>44243</v>
      </c>
      <c r="Q2264" s="165">
        <f t="shared" si="2"/>
        <v>0</v>
      </c>
      <c r="R2264" s="164" t="s">
        <v>2513</v>
      </c>
      <c r="S2264" s="167"/>
      <c r="T2264" s="168">
        <f t="shared" si="3"/>
        <v>44516.16</v>
      </c>
      <c r="U2264" s="168">
        <f t="shared" si="4"/>
        <v>0</v>
      </c>
      <c r="V2264" s="168">
        <f t="shared" si="5"/>
        <v>0</v>
      </c>
      <c r="W2264" s="168">
        <f t="shared" si="6"/>
        <v>0</v>
      </c>
      <c r="X2264" s="168">
        <f t="shared" si="7"/>
        <v>0</v>
      </c>
      <c r="Y2264" s="168">
        <f t="shared" si="8"/>
        <v>0</v>
      </c>
      <c r="Z2264" s="168">
        <f t="shared" si="9"/>
        <v>0</v>
      </c>
    </row>
    <row r="2265" ht="15.0" customHeight="1">
      <c r="A2265" s="157" t="s">
        <v>2517</v>
      </c>
      <c r="B2265" s="158" t="s">
        <v>16</v>
      </c>
      <c r="C2265" s="158" t="s">
        <v>2431</v>
      </c>
      <c r="D2265" s="159">
        <v>44233.0</v>
      </c>
      <c r="E2265" s="157" t="s">
        <v>731</v>
      </c>
      <c r="F2265" s="168">
        <v>10086.0</v>
      </c>
      <c r="G2265" s="168">
        <v>1613.76</v>
      </c>
      <c r="H2265" s="160">
        <f t="shared" si="54"/>
        <v>11699.76</v>
      </c>
      <c r="I2265" s="160"/>
      <c r="J2265" s="161"/>
      <c r="K2265" s="160"/>
      <c r="L2265" s="160">
        <f>+'FACP$'!$H2265-'FACP$'!$I2265-'FACP$'!$K2265</f>
        <v>11699.76</v>
      </c>
      <c r="M2265" s="162" t="s">
        <v>985</v>
      </c>
      <c r="N2265" s="162" t="s">
        <v>127</v>
      </c>
      <c r="O2265" s="164"/>
      <c r="P2265" s="164">
        <f t="shared" si="13"/>
        <v>44243</v>
      </c>
      <c r="Q2265" s="165">
        <f t="shared" si="2"/>
        <v>0</v>
      </c>
      <c r="R2265" s="167"/>
      <c r="S2265" s="167"/>
      <c r="T2265" s="168">
        <f t="shared" si="3"/>
        <v>11699.76</v>
      </c>
      <c r="U2265" s="168">
        <f t="shared" si="4"/>
        <v>0</v>
      </c>
      <c r="V2265" s="168">
        <f t="shared" si="5"/>
        <v>0</v>
      </c>
      <c r="W2265" s="168">
        <f t="shared" si="6"/>
        <v>0</v>
      </c>
      <c r="X2265" s="168">
        <f t="shared" si="7"/>
        <v>0</v>
      </c>
      <c r="Y2265" s="168">
        <f t="shared" si="8"/>
        <v>0</v>
      </c>
      <c r="Z2265" s="168">
        <f t="shared" si="9"/>
        <v>0</v>
      </c>
    </row>
    <row r="2266" ht="15.0" customHeight="1">
      <c r="A2266" s="157" t="s">
        <v>2518</v>
      </c>
      <c r="B2266" s="158" t="s">
        <v>16</v>
      </c>
      <c r="C2266" s="158" t="s">
        <v>2431</v>
      </c>
      <c r="D2266" s="159">
        <v>44233.0</v>
      </c>
      <c r="E2266" s="157" t="s">
        <v>731</v>
      </c>
      <c r="F2266" s="160">
        <v>10086.0</v>
      </c>
      <c r="G2266" s="160">
        <v>1613.76</v>
      </c>
      <c r="H2266" s="160">
        <f t="shared" si="54"/>
        <v>11699.76</v>
      </c>
      <c r="I2266" s="160"/>
      <c r="J2266" s="161"/>
      <c r="K2266" s="160"/>
      <c r="L2266" s="160">
        <f>+'FACP$'!$H2266-'FACP$'!$I2266-'FACP$'!$K2266</f>
        <v>11699.76</v>
      </c>
      <c r="M2266" s="162" t="s">
        <v>985</v>
      </c>
      <c r="N2266" s="162" t="s">
        <v>127</v>
      </c>
      <c r="O2266" s="164"/>
      <c r="P2266" s="164">
        <f t="shared" si="13"/>
        <v>44243</v>
      </c>
      <c r="Q2266" s="165">
        <f t="shared" si="2"/>
        <v>0</v>
      </c>
      <c r="R2266" s="167"/>
      <c r="S2266" s="167"/>
      <c r="T2266" s="168">
        <f t="shared" si="3"/>
        <v>11699.76</v>
      </c>
      <c r="U2266" s="168">
        <f t="shared" si="4"/>
        <v>0</v>
      </c>
      <c r="V2266" s="168">
        <f t="shared" si="5"/>
        <v>0</v>
      </c>
      <c r="W2266" s="168">
        <f t="shared" si="6"/>
        <v>0</v>
      </c>
      <c r="X2266" s="168">
        <f t="shared" si="7"/>
        <v>0</v>
      </c>
      <c r="Y2266" s="168">
        <f t="shared" si="8"/>
        <v>0</v>
      </c>
      <c r="Z2266" s="168">
        <f t="shared" si="9"/>
        <v>0</v>
      </c>
    </row>
    <row r="2267" ht="15.0" customHeight="1">
      <c r="A2267" s="157" t="s">
        <v>2519</v>
      </c>
      <c r="B2267" s="158" t="s">
        <v>37</v>
      </c>
      <c r="C2267" s="158" t="s">
        <v>2431</v>
      </c>
      <c r="D2267" s="159">
        <v>44234.0</v>
      </c>
      <c r="E2267" s="157" t="s">
        <v>731</v>
      </c>
      <c r="F2267" s="160">
        <v>38532.0</v>
      </c>
      <c r="G2267" s="160">
        <v>6140.16</v>
      </c>
      <c r="H2267" s="160">
        <f t="shared" si="54"/>
        <v>44672.16</v>
      </c>
      <c r="I2267" s="160"/>
      <c r="J2267" s="161"/>
      <c r="K2267" s="160"/>
      <c r="L2267" s="160">
        <f>+'FACP$'!$H2267-'FACP$'!$I2267-'FACP$'!$K2267</f>
        <v>44672.16</v>
      </c>
      <c r="M2267" s="162" t="s">
        <v>116</v>
      </c>
      <c r="N2267" s="162" t="s">
        <v>554</v>
      </c>
      <c r="O2267" s="164">
        <v>44292.0</v>
      </c>
      <c r="P2267" s="164">
        <f t="shared" si="13"/>
        <v>44244</v>
      </c>
      <c r="Q2267" s="165">
        <f t="shared" si="2"/>
        <v>0</v>
      </c>
      <c r="R2267" s="167"/>
      <c r="S2267" s="167"/>
      <c r="T2267" s="168">
        <f t="shared" si="3"/>
        <v>44672.16</v>
      </c>
      <c r="U2267" s="168">
        <f t="shared" si="4"/>
        <v>0</v>
      </c>
      <c r="V2267" s="168">
        <f t="shared" si="5"/>
        <v>0</v>
      </c>
      <c r="W2267" s="168">
        <f t="shared" si="6"/>
        <v>0</v>
      </c>
      <c r="X2267" s="168">
        <f t="shared" si="7"/>
        <v>0</v>
      </c>
      <c r="Y2267" s="168">
        <f t="shared" si="8"/>
        <v>0</v>
      </c>
      <c r="Z2267" s="168">
        <f t="shared" si="9"/>
        <v>0</v>
      </c>
    </row>
    <row r="2268" ht="15.0" customHeight="1">
      <c r="A2268" s="157" t="s">
        <v>2520</v>
      </c>
      <c r="B2268" s="158" t="s">
        <v>37</v>
      </c>
      <c r="C2268" s="158" t="s">
        <v>2431</v>
      </c>
      <c r="D2268" s="159">
        <v>44234.0</v>
      </c>
      <c r="E2268" s="157" t="s">
        <v>731</v>
      </c>
      <c r="F2268" s="160">
        <v>38532.0</v>
      </c>
      <c r="G2268" s="160">
        <v>6165.12</v>
      </c>
      <c r="H2268" s="160">
        <f t="shared" si="54"/>
        <v>44697.12</v>
      </c>
      <c r="I2268" s="160"/>
      <c r="J2268" s="161"/>
      <c r="K2268" s="160"/>
      <c r="L2268" s="160">
        <f>+'FACP$'!$H2268-'FACP$'!$I2268-'FACP$'!$K2268</f>
        <v>44697.12</v>
      </c>
      <c r="M2268" s="162" t="s">
        <v>116</v>
      </c>
      <c r="N2268" s="162" t="s">
        <v>554</v>
      </c>
      <c r="O2268" s="164">
        <v>44292.0</v>
      </c>
      <c r="P2268" s="164">
        <f t="shared" si="13"/>
        <v>44244</v>
      </c>
      <c r="Q2268" s="165">
        <f t="shared" si="2"/>
        <v>0</v>
      </c>
      <c r="R2268" s="167"/>
      <c r="S2268" s="167"/>
      <c r="T2268" s="168">
        <f t="shared" si="3"/>
        <v>44697.12</v>
      </c>
      <c r="U2268" s="168">
        <f t="shared" si="4"/>
        <v>0</v>
      </c>
      <c r="V2268" s="168">
        <f t="shared" si="5"/>
        <v>0</v>
      </c>
      <c r="W2268" s="168">
        <f t="shared" si="6"/>
        <v>0</v>
      </c>
      <c r="X2268" s="168">
        <f t="shared" si="7"/>
        <v>0</v>
      </c>
      <c r="Y2268" s="168">
        <f t="shared" si="8"/>
        <v>0</v>
      </c>
      <c r="Z2268" s="168">
        <f t="shared" si="9"/>
        <v>0</v>
      </c>
    </row>
    <row r="2269" ht="15.0" customHeight="1">
      <c r="A2269" s="157" t="s">
        <v>2521</v>
      </c>
      <c r="B2269" s="158" t="s">
        <v>37</v>
      </c>
      <c r="C2269" s="158" t="s">
        <v>2431</v>
      </c>
      <c r="D2269" s="159">
        <v>44234.0</v>
      </c>
      <c r="E2269" s="157" t="s">
        <v>731</v>
      </c>
      <c r="F2269" s="160">
        <v>38532.0</v>
      </c>
      <c r="G2269" s="160">
        <v>6165.12</v>
      </c>
      <c r="H2269" s="160">
        <f t="shared" si="54"/>
        <v>44697.12</v>
      </c>
      <c r="I2269" s="160"/>
      <c r="J2269" s="161"/>
      <c r="K2269" s="160"/>
      <c r="L2269" s="160">
        <f>+'FACP$'!$H2269-'FACP$'!$I2269-'FACP$'!$K2269</f>
        <v>44697.12</v>
      </c>
      <c r="M2269" s="162" t="s">
        <v>116</v>
      </c>
      <c r="N2269" s="162" t="s">
        <v>554</v>
      </c>
      <c r="O2269" s="164">
        <v>44292.0</v>
      </c>
      <c r="P2269" s="164">
        <f t="shared" si="13"/>
        <v>44244</v>
      </c>
      <c r="Q2269" s="165">
        <f t="shared" si="2"/>
        <v>0</v>
      </c>
      <c r="R2269" s="167"/>
      <c r="S2269" s="167"/>
      <c r="T2269" s="168">
        <f t="shared" si="3"/>
        <v>44697.12</v>
      </c>
      <c r="U2269" s="168">
        <f t="shared" si="4"/>
        <v>0</v>
      </c>
      <c r="V2269" s="168">
        <f t="shared" si="5"/>
        <v>0</v>
      </c>
      <c r="W2269" s="168">
        <f t="shared" si="6"/>
        <v>0</v>
      </c>
      <c r="X2269" s="168">
        <f t="shared" si="7"/>
        <v>0</v>
      </c>
      <c r="Y2269" s="168">
        <f t="shared" si="8"/>
        <v>0</v>
      </c>
      <c r="Z2269" s="168">
        <f t="shared" si="9"/>
        <v>0</v>
      </c>
    </row>
    <row r="2270" ht="15.0" customHeight="1">
      <c r="A2270" s="157" t="s">
        <v>2522</v>
      </c>
      <c r="B2270" s="158" t="s">
        <v>37</v>
      </c>
      <c r="C2270" s="158" t="s">
        <v>2431</v>
      </c>
      <c r="D2270" s="159">
        <v>44234.0</v>
      </c>
      <c r="E2270" s="157" t="s">
        <v>731</v>
      </c>
      <c r="F2270" s="160">
        <v>1729.0</v>
      </c>
      <c r="G2270" s="160">
        <v>276.64</v>
      </c>
      <c r="H2270" s="160">
        <f t="shared" si="54"/>
        <v>2005.64</v>
      </c>
      <c r="I2270" s="160"/>
      <c r="J2270" s="161"/>
      <c r="K2270" s="160"/>
      <c r="L2270" s="160">
        <f>+'FACP$'!$H2270-'FACP$'!$I2270-'FACP$'!$K2270</f>
        <v>2005.64</v>
      </c>
      <c r="M2270" s="162" t="s">
        <v>116</v>
      </c>
      <c r="N2270" s="162" t="s">
        <v>554</v>
      </c>
      <c r="O2270" s="164">
        <v>44292.0</v>
      </c>
      <c r="P2270" s="164">
        <f t="shared" si="13"/>
        <v>44244</v>
      </c>
      <c r="Q2270" s="165">
        <f t="shared" si="2"/>
        <v>0</v>
      </c>
      <c r="R2270" s="167"/>
      <c r="S2270" s="167"/>
      <c r="T2270" s="168">
        <f t="shared" si="3"/>
        <v>2005.64</v>
      </c>
      <c r="U2270" s="168">
        <f t="shared" si="4"/>
        <v>0</v>
      </c>
      <c r="V2270" s="168">
        <f t="shared" si="5"/>
        <v>0</v>
      </c>
      <c r="W2270" s="168">
        <f t="shared" si="6"/>
        <v>0</v>
      </c>
      <c r="X2270" s="168">
        <f t="shared" si="7"/>
        <v>0</v>
      </c>
      <c r="Y2270" s="168">
        <f t="shared" si="8"/>
        <v>0</v>
      </c>
      <c r="Z2270" s="168">
        <f t="shared" si="9"/>
        <v>0</v>
      </c>
    </row>
    <row r="2271" ht="15.0" customHeight="1">
      <c r="A2271" s="157" t="s">
        <v>2523</v>
      </c>
      <c r="B2271" s="158" t="s">
        <v>37</v>
      </c>
      <c r="C2271" s="158" t="s">
        <v>2431</v>
      </c>
      <c r="D2271" s="159">
        <v>44234.0</v>
      </c>
      <c r="E2271" s="157" t="s">
        <v>731</v>
      </c>
      <c r="F2271" s="160">
        <v>38532.0</v>
      </c>
      <c r="G2271" s="160">
        <v>6165.12</v>
      </c>
      <c r="H2271" s="160">
        <f t="shared" si="54"/>
        <v>44697.12</v>
      </c>
      <c r="I2271" s="160"/>
      <c r="J2271" s="161"/>
      <c r="K2271" s="160"/>
      <c r="L2271" s="160">
        <f>+'FACP$'!$H2271-'FACP$'!$I2271-'FACP$'!$K2271</f>
        <v>44697.12</v>
      </c>
      <c r="M2271" s="162" t="s">
        <v>116</v>
      </c>
      <c r="N2271" s="162" t="s">
        <v>554</v>
      </c>
      <c r="O2271" s="164">
        <v>44292.0</v>
      </c>
      <c r="P2271" s="164">
        <f t="shared" si="13"/>
        <v>44244</v>
      </c>
      <c r="Q2271" s="165">
        <f t="shared" si="2"/>
        <v>0</v>
      </c>
      <c r="R2271" s="167"/>
      <c r="S2271" s="167"/>
      <c r="T2271" s="168">
        <f t="shared" si="3"/>
        <v>44697.12</v>
      </c>
      <c r="U2271" s="168">
        <f t="shared" si="4"/>
        <v>0</v>
      </c>
      <c r="V2271" s="168">
        <f t="shared" si="5"/>
        <v>0</v>
      </c>
      <c r="W2271" s="168">
        <f t="shared" si="6"/>
        <v>0</v>
      </c>
      <c r="X2271" s="168">
        <f t="shared" si="7"/>
        <v>0</v>
      </c>
      <c r="Y2271" s="168">
        <f t="shared" si="8"/>
        <v>0</v>
      </c>
      <c r="Z2271" s="168">
        <f t="shared" si="9"/>
        <v>0</v>
      </c>
    </row>
    <row r="2272" ht="15.0" customHeight="1">
      <c r="A2272" s="157" t="s">
        <v>2524</v>
      </c>
      <c r="B2272" s="158" t="s">
        <v>37</v>
      </c>
      <c r="C2272" s="158" t="s">
        <v>2431</v>
      </c>
      <c r="D2272" s="159">
        <v>44234.0</v>
      </c>
      <c r="E2272" s="157" t="s">
        <v>731</v>
      </c>
      <c r="F2272" s="160">
        <v>38532.0</v>
      </c>
      <c r="G2272" s="160">
        <v>6165.12</v>
      </c>
      <c r="H2272" s="160">
        <f t="shared" si="54"/>
        <v>44697.12</v>
      </c>
      <c r="I2272" s="160"/>
      <c r="J2272" s="161"/>
      <c r="K2272" s="160"/>
      <c r="L2272" s="160">
        <f>+'FACP$'!$H2272-'FACP$'!$I2272-'FACP$'!$K2272</f>
        <v>44697.12</v>
      </c>
      <c r="M2272" s="162" t="s">
        <v>116</v>
      </c>
      <c r="N2272" s="162" t="s">
        <v>554</v>
      </c>
      <c r="O2272" s="164">
        <v>44292.0</v>
      </c>
      <c r="P2272" s="164">
        <f t="shared" si="13"/>
        <v>44244</v>
      </c>
      <c r="Q2272" s="165">
        <f t="shared" si="2"/>
        <v>0</v>
      </c>
      <c r="R2272" s="167"/>
      <c r="S2272" s="167"/>
      <c r="T2272" s="168">
        <f t="shared" si="3"/>
        <v>44697.12</v>
      </c>
      <c r="U2272" s="168">
        <f t="shared" si="4"/>
        <v>0</v>
      </c>
      <c r="V2272" s="168">
        <f t="shared" si="5"/>
        <v>0</v>
      </c>
      <c r="W2272" s="168">
        <f t="shared" si="6"/>
        <v>0</v>
      </c>
      <c r="X2272" s="168">
        <f t="shared" si="7"/>
        <v>0</v>
      </c>
      <c r="Y2272" s="168">
        <f t="shared" si="8"/>
        <v>0</v>
      </c>
      <c r="Z2272" s="168">
        <f t="shared" si="9"/>
        <v>0</v>
      </c>
    </row>
    <row r="2273" ht="15.0" customHeight="1">
      <c r="A2273" s="157" t="s">
        <v>2525</v>
      </c>
      <c r="B2273" s="158" t="s">
        <v>37</v>
      </c>
      <c r="C2273" s="158" t="s">
        <v>2431</v>
      </c>
      <c r="D2273" s="159">
        <v>44234.0</v>
      </c>
      <c r="E2273" s="157" t="s">
        <v>731</v>
      </c>
      <c r="F2273" s="160">
        <v>38532.0</v>
      </c>
      <c r="G2273" s="160">
        <v>6165.12</v>
      </c>
      <c r="H2273" s="160">
        <f t="shared" si="54"/>
        <v>44697.12</v>
      </c>
      <c r="I2273" s="160"/>
      <c r="J2273" s="161"/>
      <c r="K2273" s="160"/>
      <c r="L2273" s="160">
        <f>+'FACP$'!$H2273-'FACP$'!$I2273-'FACP$'!$K2273</f>
        <v>44697.12</v>
      </c>
      <c r="M2273" s="162" t="s">
        <v>116</v>
      </c>
      <c r="N2273" s="162" t="s">
        <v>554</v>
      </c>
      <c r="O2273" s="164">
        <v>44292.0</v>
      </c>
      <c r="P2273" s="164">
        <f t="shared" si="13"/>
        <v>44244</v>
      </c>
      <c r="Q2273" s="165">
        <f t="shared" si="2"/>
        <v>0</v>
      </c>
      <c r="R2273" s="167"/>
      <c r="S2273" s="167"/>
      <c r="T2273" s="168">
        <f t="shared" si="3"/>
        <v>44697.12</v>
      </c>
      <c r="U2273" s="168">
        <f t="shared" si="4"/>
        <v>0</v>
      </c>
      <c r="V2273" s="168">
        <f t="shared" si="5"/>
        <v>0</v>
      </c>
      <c r="W2273" s="168">
        <f t="shared" si="6"/>
        <v>0</v>
      </c>
      <c r="X2273" s="168">
        <f t="shared" si="7"/>
        <v>0</v>
      </c>
      <c r="Y2273" s="168">
        <f t="shared" si="8"/>
        <v>0</v>
      </c>
      <c r="Z2273" s="168">
        <f t="shared" si="9"/>
        <v>0</v>
      </c>
    </row>
    <row r="2274" ht="15.0" customHeight="1">
      <c r="A2274" s="157" t="s">
        <v>2526</v>
      </c>
      <c r="B2274" s="158" t="s">
        <v>37</v>
      </c>
      <c r="C2274" s="158" t="s">
        <v>2431</v>
      </c>
      <c r="D2274" s="159">
        <v>44234.0</v>
      </c>
      <c r="E2274" s="157" t="s">
        <v>731</v>
      </c>
      <c r="F2274" s="160">
        <v>38532.0</v>
      </c>
      <c r="G2274" s="160">
        <v>6165.12</v>
      </c>
      <c r="H2274" s="160">
        <f t="shared" si="54"/>
        <v>44697.12</v>
      </c>
      <c r="I2274" s="160"/>
      <c r="J2274" s="161"/>
      <c r="K2274" s="160"/>
      <c r="L2274" s="160">
        <f>+'FACP$'!$H2274-'FACP$'!$I2274-'FACP$'!$K2274</f>
        <v>44697.12</v>
      </c>
      <c r="M2274" s="162" t="s">
        <v>116</v>
      </c>
      <c r="N2274" s="162" t="s">
        <v>554</v>
      </c>
      <c r="O2274" s="164">
        <v>44292.0</v>
      </c>
      <c r="P2274" s="164">
        <f t="shared" si="13"/>
        <v>44244</v>
      </c>
      <c r="Q2274" s="165">
        <f t="shared" si="2"/>
        <v>0</v>
      </c>
      <c r="R2274" s="167"/>
      <c r="S2274" s="167"/>
      <c r="T2274" s="168">
        <f t="shared" si="3"/>
        <v>44697.12</v>
      </c>
      <c r="U2274" s="168">
        <f t="shared" si="4"/>
        <v>0</v>
      </c>
      <c r="V2274" s="168">
        <f t="shared" si="5"/>
        <v>0</v>
      </c>
      <c r="W2274" s="168">
        <f t="shared" si="6"/>
        <v>0</v>
      </c>
      <c r="X2274" s="168">
        <f t="shared" si="7"/>
        <v>0</v>
      </c>
      <c r="Y2274" s="168">
        <f t="shared" si="8"/>
        <v>0</v>
      </c>
      <c r="Z2274" s="168">
        <f t="shared" si="9"/>
        <v>0</v>
      </c>
    </row>
    <row r="2275" ht="15.0" customHeight="1">
      <c r="A2275" s="157" t="s">
        <v>2527</v>
      </c>
      <c r="B2275" s="158" t="s">
        <v>29</v>
      </c>
      <c r="C2275" s="158" t="s">
        <v>2431</v>
      </c>
      <c r="D2275" s="159">
        <v>44234.0</v>
      </c>
      <c r="E2275" s="157" t="s">
        <v>731</v>
      </c>
      <c r="F2275" s="160">
        <v>18772.0</v>
      </c>
      <c r="G2275" s="160">
        <v>3003.52</v>
      </c>
      <c r="H2275" s="160">
        <f t="shared" si="54"/>
        <v>21775.52</v>
      </c>
      <c r="I2275" s="160"/>
      <c r="J2275" s="161"/>
      <c r="K2275" s="160"/>
      <c r="L2275" s="160">
        <f>+'FACP$'!$H2275-'FACP$'!$I2275-'FACP$'!$K2275</f>
        <v>21775.52</v>
      </c>
      <c r="M2275" s="162" t="s">
        <v>130</v>
      </c>
      <c r="N2275" s="162" t="s">
        <v>554</v>
      </c>
      <c r="O2275" s="164">
        <v>44284.0</v>
      </c>
      <c r="P2275" s="164">
        <f t="shared" si="13"/>
        <v>44244</v>
      </c>
      <c r="Q2275" s="165">
        <f t="shared" si="2"/>
        <v>0</v>
      </c>
      <c r="R2275" s="167"/>
      <c r="S2275" s="167"/>
      <c r="T2275" s="168">
        <f t="shared" si="3"/>
        <v>21775.52</v>
      </c>
      <c r="U2275" s="168">
        <f t="shared" si="4"/>
        <v>0</v>
      </c>
      <c r="V2275" s="168">
        <f t="shared" si="5"/>
        <v>0</v>
      </c>
      <c r="W2275" s="168">
        <f t="shared" si="6"/>
        <v>0</v>
      </c>
      <c r="X2275" s="168">
        <f t="shared" si="7"/>
        <v>0</v>
      </c>
      <c r="Y2275" s="168">
        <f t="shared" si="8"/>
        <v>0</v>
      </c>
      <c r="Z2275" s="168">
        <f t="shared" si="9"/>
        <v>0</v>
      </c>
    </row>
    <row r="2276" ht="15.0" customHeight="1">
      <c r="A2276" s="157" t="s">
        <v>2528</v>
      </c>
      <c r="B2276" s="158" t="s">
        <v>16</v>
      </c>
      <c r="C2276" s="158" t="s">
        <v>2431</v>
      </c>
      <c r="D2276" s="159">
        <v>44234.0</v>
      </c>
      <c r="E2276" s="157" t="s">
        <v>731</v>
      </c>
      <c r="F2276" s="160">
        <v>10086.0</v>
      </c>
      <c r="G2276" s="160">
        <v>1613.76</v>
      </c>
      <c r="H2276" s="160">
        <f t="shared" si="54"/>
        <v>11699.76</v>
      </c>
      <c r="I2276" s="160"/>
      <c r="J2276" s="161"/>
      <c r="K2276" s="160"/>
      <c r="L2276" s="160">
        <f>+'FACP$'!$H2276-'FACP$'!$I2276-'FACP$'!$K2276</f>
        <v>11699.76</v>
      </c>
      <c r="M2276" s="162" t="s">
        <v>985</v>
      </c>
      <c r="N2276" s="162" t="s">
        <v>127</v>
      </c>
      <c r="O2276" s="164"/>
      <c r="P2276" s="164">
        <f t="shared" si="13"/>
        <v>44244</v>
      </c>
      <c r="Q2276" s="165">
        <f t="shared" si="2"/>
        <v>0</v>
      </c>
      <c r="R2276" s="167"/>
      <c r="S2276" s="167"/>
      <c r="T2276" s="168">
        <f t="shared" si="3"/>
        <v>11699.76</v>
      </c>
      <c r="U2276" s="168">
        <f t="shared" si="4"/>
        <v>0</v>
      </c>
      <c r="V2276" s="168">
        <f t="shared" si="5"/>
        <v>0</v>
      </c>
      <c r="W2276" s="168">
        <f t="shared" si="6"/>
        <v>0</v>
      </c>
      <c r="X2276" s="168">
        <f t="shared" si="7"/>
        <v>0</v>
      </c>
      <c r="Y2276" s="168">
        <f t="shared" si="8"/>
        <v>0</v>
      </c>
      <c r="Z2276" s="168">
        <f t="shared" si="9"/>
        <v>0</v>
      </c>
    </row>
    <row r="2277" ht="15.0" customHeight="1">
      <c r="A2277" s="157" t="s">
        <v>2529</v>
      </c>
      <c r="B2277" s="158" t="s">
        <v>16</v>
      </c>
      <c r="C2277" s="158" t="s">
        <v>2431</v>
      </c>
      <c r="D2277" s="159">
        <v>44234.0</v>
      </c>
      <c r="E2277" s="157" t="s">
        <v>731</v>
      </c>
      <c r="F2277" s="160">
        <v>10086.0</v>
      </c>
      <c r="G2277" s="160">
        <v>1613.76</v>
      </c>
      <c r="H2277" s="160">
        <f t="shared" si="54"/>
        <v>11699.76</v>
      </c>
      <c r="I2277" s="160"/>
      <c r="J2277" s="161"/>
      <c r="K2277" s="160"/>
      <c r="L2277" s="160">
        <f>+'FACP$'!$H2277-'FACP$'!$I2277-'FACP$'!$K2277</f>
        <v>11699.76</v>
      </c>
      <c r="M2277" s="162" t="s">
        <v>985</v>
      </c>
      <c r="N2277" s="162" t="s">
        <v>127</v>
      </c>
      <c r="O2277" s="164"/>
      <c r="P2277" s="164">
        <f t="shared" si="13"/>
        <v>44244</v>
      </c>
      <c r="Q2277" s="165">
        <f t="shared" si="2"/>
        <v>0</v>
      </c>
      <c r="R2277" s="167"/>
      <c r="S2277" s="167"/>
      <c r="T2277" s="168">
        <f t="shared" si="3"/>
        <v>11699.76</v>
      </c>
      <c r="U2277" s="168">
        <f t="shared" si="4"/>
        <v>0</v>
      </c>
      <c r="V2277" s="168">
        <f t="shared" si="5"/>
        <v>0</v>
      </c>
      <c r="W2277" s="168">
        <f t="shared" si="6"/>
        <v>0</v>
      </c>
      <c r="X2277" s="168">
        <f t="shared" si="7"/>
        <v>0</v>
      </c>
      <c r="Y2277" s="168">
        <f t="shared" si="8"/>
        <v>0</v>
      </c>
      <c r="Z2277" s="168">
        <f t="shared" si="9"/>
        <v>0</v>
      </c>
    </row>
    <row r="2278" ht="15.0" customHeight="1">
      <c r="A2278" s="157" t="s">
        <v>2530</v>
      </c>
      <c r="B2278" s="158" t="s">
        <v>38</v>
      </c>
      <c r="C2278" s="158" t="s">
        <v>2431</v>
      </c>
      <c r="D2278" s="159">
        <v>44234.0</v>
      </c>
      <c r="E2278" s="157" t="s">
        <v>731</v>
      </c>
      <c r="F2278" s="160">
        <v>15561.0</v>
      </c>
      <c r="G2278" s="160">
        <v>2489.76</v>
      </c>
      <c r="H2278" s="160">
        <f t="shared" si="54"/>
        <v>18050.76</v>
      </c>
      <c r="I2278" s="160"/>
      <c r="J2278" s="161"/>
      <c r="K2278" s="160"/>
      <c r="L2278" s="160">
        <f>+'FACP$'!$H2278-'FACP$'!$I2278-'FACP$'!$K2278</f>
        <v>18050.76</v>
      </c>
      <c r="M2278" s="162" t="s">
        <v>145</v>
      </c>
      <c r="N2278" s="162" t="s">
        <v>554</v>
      </c>
      <c r="O2278" s="164">
        <v>44305.0</v>
      </c>
      <c r="P2278" s="164">
        <f t="shared" si="13"/>
        <v>44244</v>
      </c>
      <c r="Q2278" s="165">
        <f t="shared" si="2"/>
        <v>0</v>
      </c>
      <c r="R2278" s="167"/>
      <c r="S2278" s="167"/>
      <c r="T2278" s="168">
        <f t="shared" si="3"/>
        <v>18050.76</v>
      </c>
      <c r="U2278" s="168">
        <f t="shared" si="4"/>
        <v>0</v>
      </c>
      <c r="V2278" s="168">
        <f t="shared" si="5"/>
        <v>0</v>
      </c>
      <c r="W2278" s="168">
        <f t="shared" si="6"/>
        <v>0</v>
      </c>
      <c r="X2278" s="168">
        <f t="shared" si="7"/>
        <v>0</v>
      </c>
      <c r="Y2278" s="168">
        <f t="shared" si="8"/>
        <v>0</v>
      </c>
      <c r="Z2278" s="168">
        <f t="shared" si="9"/>
        <v>0</v>
      </c>
    </row>
    <row r="2279" ht="15.0" customHeight="1">
      <c r="A2279" s="157" t="s">
        <v>2531</v>
      </c>
      <c r="B2279" s="158" t="s">
        <v>38</v>
      </c>
      <c r="C2279" s="158" t="s">
        <v>2431</v>
      </c>
      <c r="D2279" s="159">
        <v>44234.0</v>
      </c>
      <c r="E2279" s="157" t="s">
        <v>731</v>
      </c>
      <c r="F2279" s="160">
        <v>15561.0</v>
      </c>
      <c r="G2279" s="160">
        <v>2489.76</v>
      </c>
      <c r="H2279" s="160">
        <f t="shared" si="54"/>
        <v>18050.76</v>
      </c>
      <c r="I2279" s="160"/>
      <c r="J2279" s="161"/>
      <c r="K2279" s="160"/>
      <c r="L2279" s="160">
        <f>+'FACP$'!$H2279-'FACP$'!$I2279-'FACP$'!$K2279</f>
        <v>18050.76</v>
      </c>
      <c r="M2279" s="162" t="s">
        <v>145</v>
      </c>
      <c r="N2279" s="162" t="s">
        <v>554</v>
      </c>
      <c r="O2279" s="164">
        <v>44305.0</v>
      </c>
      <c r="P2279" s="164">
        <f t="shared" si="13"/>
        <v>44244</v>
      </c>
      <c r="Q2279" s="165">
        <f t="shared" si="2"/>
        <v>0</v>
      </c>
      <c r="R2279" s="167"/>
      <c r="S2279" s="167"/>
      <c r="T2279" s="168">
        <f t="shared" si="3"/>
        <v>18050.76</v>
      </c>
      <c r="U2279" s="168">
        <f t="shared" si="4"/>
        <v>0</v>
      </c>
      <c r="V2279" s="168">
        <f t="shared" si="5"/>
        <v>0</v>
      </c>
      <c r="W2279" s="168">
        <f t="shared" si="6"/>
        <v>0</v>
      </c>
      <c r="X2279" s="168">
        <f t="shared" si="7"/>
        <v>0</v>
      </c>
      <c r="Y2279" s="168">
        <f t="shared" si="8"/>
        <v>0</v>
      </c>
      <c r="Z2279" s="168">
        <f t="shared" si="9"/>
        <v>0</v>
      </c>
    </row>
    <row r="2280" ht="15.0" customHeight="1">
      <c r="A2280" s="157" t="s">
        <v>2532</v>
      </c>
      <c r="B2280" s="158" t="s">
        <v>38</v>
      </c>
      <c r="C2280" s="158" t="s">
        <v>2431</v>
      </c>
      <c r="D2280" s="159">
        <v>44234.0</v>
      </c>
      <c r="E2280" s="157" t="s">
        <v>731</v>
      </c>
      <c r="F2280" s="160">
        <v>15561.0</v>
      </c>
      <c r="G2280" s="160">
        <v>2489.76</v>
      </c>
      <c r="H2280" s="160">
        <f t="shared" si="54"/>
        <v>18050.76</v>
      </c>
      <c r="I2280" s="160"/>
      <c r="J2280" s="161"/>
      <c r="K2280" s="160"/>
      <c r="L2280" s="160">
        <f>+'FACP$'!$H2280-'FACP$'!$I2280-'FACP$'!$K2280</f>
        <v>18050.76</v>
      </c>
      <c r="M2280" s="162" t="s">
        <v>145</v>
      </c>
      <c r="N2280" s="162" t="s">
        <v>554</v>
      </c>
      <c r="O2280" s="164">
        <v>44305.0</v>
      </c>
      <c r="P2280" s="164">
        <f t="shared" si="13"/>
        <v>44244</v>
      </c>
      <c r="Q2280" s="165">
        <f t="shared" si="2"/>
        <v>0</v>
      </c>
      <c r="R2280" s="167"/>
      <c r="S2280" s="167"/>
      <c r="T2280" s="168">
        <f t="shared" si="3"/>
        <v>18050.76</v>
      </c>
      <c r="U2280" s="168">
        <f t="shared" si="4"/>
        <v>0</v>
      </c>
      <c r="V2280" s="168">
        <f t="shared" si="5"/>
        <v>0</v>
      </c>
      <c r="W2280" s="168">
        <f t="shared" si="6"/>
        <v>0</v>
      </c>
      <c r="X2280" s="168">
        <f t="shared" si="7"/>
        <v>0</v>
      </c>
      <c r="Y2280" s="168">
        <f t="shared" si="8"/>
        <v>0</v>
      </c>
      <c r="Z2280" s="168">
        <f t="shared" si="9"/>
        <v>0</v>
      </c>
    </row>
    <row r="2281" ht="15.0" customHeight="1">
      <c r="A2281" s="157" t="s">
        <v>2533</v>
      </c>
      <c r="B2281" s="158" t="s">
        <v>37</v>
      </c>
      <c r="C2281" s="158" t="s">
        <v>2431</v>
      </c>
      <c r="D2281" s="159">
        <v>44234.0</v>
      </c>
      <c r="E2281" s="157" t="s">
        <v>731</v>
      </c>
      <c r="F2281" s="160">
        <v>38532.0</v>
      </c>
      <c r="G2281" s="160">
        <v>6165.12</v>
      </c>
      <c r="H2281" s="160">
        <f t="shared" si="54"/>
        <v>44697.12</v>
      </c>
      <c r="I2281" s="160"/>
      <c r="J2281" s="161"/>
      <c r="K2281" s="160"/>
      <c r="L2281" s="160">
        <f>+'FACP$'!$H2281-'FACP$'!$I2281-'FACP$'!$K2281</f>
        <v>44697.12</v>
      </c>
      <c r="M2281" s="162" t="s">
        <v>116</v>
      </c>
      <c r="N2281" s="162" t="s">
        <v>554</v>
      </c>
      <c r="O2281" s="164">
        <v>44292.0</v>
      </c>
      <c r="P2281" s="164">
        <f t="shared" si="13"/>
        <v>44244</v>
      </c>
      <c r="Q2281" s="165">
        <f t="shared" si="2"/>
        <v>0</v>
      </c>
      <c r="R2281" s="167"/>
      <c r="S2281" s="167"/>
      <c r="T2281" s="168">
        <f t="shared" si="3"/>
        <v>44697.12</v>
      </c>
      <c r="U2281" s="168">
        <f t="shared" si="4"/>
        <v>0</v>
      </c>
      <c r="V2281" s="168">
        <f t="shared" si="5"/>
        <v>0</v>
      </c>
      <c r="W2281" s="168">
        <f t="shared" si="6"/>
        <v>0</v>
      </c>
      <c r="X2281" s="168">
        <f t="shared" si="7"/>
        <v>0</v>
      </c>
      <c r="Y2281" s="168">
        <f t="shared" si="8"/>
        <v>0</v>
      </c>
      <c r="Z2281" s="168">
        <f t="shared" si="9"/>
        <v>0</v>
      </c>
    </row>
    <row r="2282" ht="15.0" customHeight="1">
      <c r="A2282" s="157" t="s">
        <v>2534</v>
      </c>
      <c r="B2282" s="158" t="s">
        <v>37</v>
      </c>
      <c r="C2282" s="158" t="s">
        <v>2431</v>
      </c>
      <c r="D2282" s="159">
        <v>44234.0</v>
      </c>
      <c r="E2282" s="157" t="s">
        <v>731</v>
      </c>
      <c r="F2282" s="160">
        <v>38532.0</v>
      </c>
      <c r="G2282" s="160">
        <v>6165.12</v>
      </c>
      <c r="H2282" s="160">
        <f t="shared" si="54"/>
        <v>44697.12</v>
      </c>
      <c r="I2282" s="160"/>
      <c r="J2282" s="161"/>
      <c r="K2282" s="160"/>
      <c r="L2282" s="160">
        <f>+'FACP$'!$H2282-'FACP$'!$I2282-'FACP$'!$K2282</f>
        <v>44697.12</v>
      </c>
      <c r="M2282" s="162" t="s">
        <v>116</v>
      </c>
      <c r="N2282" s="162" t="s">
        <v>554</v>
      </c>
      <c r="O2282" s="164">
        <v>44292.0</v>
      </c>
      <c r="P2282" s="164">
        <f t="shared" si="13"/>
        <v>44244</v>
      </c>
      <c r="Q2282" s="165">
        <f t="shared" si="2"/>
        <v>0</v>
      </c>
      <c r="R2282" s="167"/>
      <c r="S2282" s="167"/>
      <c r="T2282" s="168">
        <f t="shared" si="3"/>
        <v>44697.12</v>
      </c>
      <c r="U2282" s="168">
        <f t="shared" si="4"/>
        <v>0</v>
      </c>
      <c r="V2282" s="168">
        <f t="shared" si="5"/>
        <v>0</v>
      </c>
      <c r="W2282" s="168">
        <f t="shared" si="6"/>
        <v>0</v>
      </c>
      <c r="X2282" s="168">
        <f t="shared" si="7"/>
        <v>0</v>
      </c>
      <c r="Y2282" s="168">
        <f t="shared" si="8"/>
        <v>0</v>
      </c>
      <c r="Z2282" s="168">
        <f t="shared" si="9"/>
        <v>0</v>
      </c>
    </row>
    <row r="2283" ht="15.0" customHeight="1">
      <c r="A2283" s="157" t="s">
        <v>2535</v>
      </c>
      <c r="B2283" s="158" t="s">
        <v>37</v>
      </c>
      <c r="C2283" s="158" t="s">
        <v>2431</v>
      </c>
      <c r="D2283" s="159">
        <v>44234.0</v>
      </c>
      <c r="E2283" s="157" t="s">
        <v>731</v>
      </c>
      <c r="F2283" s="160">
        <v>38532.0</v>
      </c>
      <c r="G2283" s="160">
        <v>6165.12</v>
      </c>
      <c r="H2283" s="160">
        <f t="shared" si="54"/>
        <v>44697.12</v>
      </c>
      <c r="I2283" s="160"/>
      <c r="J2283" s="161"/>
      <c r="K2283" s="160"/>
      <c r="L2283" s="160">
        <f>+'FACP$'!$H2283-'FACP$'!$I2283-'FACP$'!$K2283</f>
        <v>44697.12</v>
      </c>
      <c r="M2283" s="162" t="s">
        <v>116</v>
      </c>
      <c r="N2283" s="162" t="s">
        <v>554</v>
      </c>
      <c r="O2283" s="164">
        <v>44292.0</v>
      </c>
      <c r="P2283" s="164">
        <f t="shared" si="13"/>
        <v>44244</v>
      </c>
      <c r="Q2283" s="165">
        <f t="shared" si="2"/>
        <v>0</v>
      </c>
      <c r="R2283" s="167"/>
      <c r="S2283" s="167"/>
      <c r="T2283" s="168">
        <f t="shared" si="3"/>
        <v>44697.12</v>
      </c>
      <c r="U2283" s="168">
        <f t="shared" si="4"/>
        <v>0</v>
      </c>
      <c r="V2283" s="168">
        <f t="shared" si="5"/>
        <v>0</v>
      </c>
      <c r="W2283" s="168">
        <f t="shared" si="6"/>
        <v>0</v>
      </c>
      <c r="X2283" s="168">
        <f t="shared" si="7"/>
        <v>0</v>
      </c>
      <c r="Y2283" s="168">
        <f t="shared" si="8"/>
        <v>0</v>
      </c>
      <c r="Z2283" s="168">
        <f t="shared" si="9"/>
        <v>0</v>
      </c>
    </row>
    <row r="2284" ht="15.0" customHeight="1">
      <c r="A2284" s="157" t="s">
        <v>2536</v>
      </c>
      <c r="B2284" s="158" t="s">
        <v>37</v>
      </c>
      <c r="C2284" s="158" t="s">
        <v>2431</v>
      </c>
      <c r="D2284" s="159">
        <v>44235.0</v>
      </c>
      <c r="E2284" s="157" t="s">
        <v>731</v>
      </c>
      <c r="F2284" s="160">
        <v>38532.0</v>
      </c>
      <c r="G2284" s="160">
        <v>6165.12</v>
      </c>
      <c r="H2284" s="160">
        <f t="shared" si="54"/>
        <v>44697.12</v>
      </c>
      <c r="I2284" s="160"/>
      <c r="J2284" s="161"/>
      <c r="K2284" s="160"/>
      <c r="L2284" s="160">
        <f>+'FACP$'!$H2284-'FACP$'!$I2284-'FACP$'!$K2284</f>
        <v>44697.12</v>
      </c>
      <c r="M2284" s="162" t="s">
        <v>116</v>
      </c>
      <c r="N2284" s="162" t="s">
        <v>127</v>
      </c>
      <c r="O2284" s="164"/>
      <c r="P2284" s="164">
        <f t="shared" si="13"/>
        <v>44245</v>
      </c>
      <c r="Q2284" s="165">
        <f t="shared" si="2"/>
        <v>0</v>
      </c>
      <c r="R2284" s="167"/>
      <c r="S2284" s="167"/>
      <c r="T2284" s="168">
        <f t="shared" si="3"/>
        <v>44697.12</v>
      </c>
      <c r="U2284" s="168">
        <f t="shared" si="4"/>
        <v>0</v>
      </c>
      <c r="V2284" s="168">
        <f t="shared" si="5"/>
        <v>0</v>
      </c>
      <c r="W2284" s="168">
        <f t="shared" si="6"/>
        <v>0</v>
      </c>
      <c r="X2284" s="168">
        <f t="shared" si="7"/>
        <v>0</v>
      </c>
      <c r="Y2284" s="168">
        <f t="shared" si="8"/>
        <v>0</v>
      </c>
      <c r="Z2284" s="168">
        <f t="shared" si="9"/>
        <v>0</v>
      </c>
    </row>
    <row r="2285" ht="15.0" customHeight="1">
      <c r="A2285" s="157" t="s">
        <v>2537</v>
      </c>
      <c r="B2285" s="158" t="s">
        <v>37</v>
      </c>
      <c r="C2285" s="158" t="s">
        <v>2431</v>
      </c>
      <c r="D2285" s="159">
        <v>44235.0</v>
      </c>
      <c r="E2285" s="157" t="s">
        <v>731</v>
      </c>
      <c r="F2285" s="160">
        <v>38532.0</v>
      </c>
      <c r="G2285" s="160">
        <v>6165.12</v>
      </c>
      <c r="H2285" s="160">
        <f t="shared" si="54"/>
        <v>44697.12</v>
      </c>
      <c r="I2285" s="160"/>
      <c r="J2285" s="161"/>
      <c r="K2285" s="160"/>
      <c r="L2285" s="160">
        <f>+'FACP$'!$H2285-'FACP$'!$I2285-'FACP$'!$K2285</f>
        <v>44697.12</v>
      </c>
      <c r="M2285" s="162" t="s">
        <v>116</v>
      </c>
      <c r="N2285" s="162" t="s">
        <v>554</v>
      </c>
      <c r="O2285" s="164">
        <v>44292.0</v>
      </c>
      <c r="P2285" s="164">
        <f t="shared" si="13"/>
        <v>44245</v>
      </c>
      <c r="Q2285" s="165">
        <f t="shared" si="2"/>
        <v>0</v>
      </c>
      <c r="R2285" s="167"/>
      <c r="S2285" s="167"/>
      <c r="T2285" s="168">
        <f t="shared" si="3"/>
        <v>44697.12</v>
      </c>
      <c r="U2285" s="168">
        <f t="shared" si="4"/>
        <v>0</v>
      </c>
      <c r="V2285" s="168">
        <f t="shared" si="5"/>
        <v>0</v>
      </c>
      <c r="W2285" s="168">
        <f t="shared" si="6"/>
        <v>0</v>
      </c>
      <c r="X2285" s="168">
        <f t="shared" si="7"/>
        <v>0</v>
      </c>
      <c r="Y2285" s="168">
        <f t="shared" si="8"/>
        <v>0</v>
      </c>
      <c r="Z2285" s="168">
        <f t="shared" si="9"/>
        <v>0</v>
      </c>
    </row>
    <row r="2286" ht="15.0" customHeight="1">
      <c r="A2286" s="157" t="s">
        <v>2538</v>
      </c>
      <c r="B2286" s="158" t="s">
        <v>16</v>
      </c>
      <c r="C2286" s="158" t="s">
        <v>2431</v>
      </c>
      <c r="D2286" s="159">
        <v>44235.0</v>
      </c>
      <c r="E2286" s="157" t="s">
        <v>731</v>
      </c>
      <c r="F2286" s="160">
        <v>10127.0</v>
      </c>
      <c r="G2286" s="160">
        <v>1620.32</v>
      </c>
      <c r="H2286" s="160">
        <f t="shared" si="54"/>
        <v>11747.32</v>
      </c>
      <c r="I2286" s="160"/>
      <c r="J2286" s="161"/>
      <c r="K2286" s="160"/>
      <c r="L2286" s="160">
        <f>+'FACP$'!$H2286-'FACP$'!$I2286-'FACP$'!$K2286</f>
        <v>11747.32</v>
      </c>
      <c r="M2286" s="162" t="s">
        <v>985</v>
      </c>
      <c r="N2286" s="162" t="s">
        <v>127</v>
      </c>
      <c r="O2286" s="164"/>
      <c r="P2286" s="164">
        <f t="shared" si="13"/>
        <v>44245</v>
      </c>
      <c r="Q2286" s="165">
        <f t="shared" si="2"/>
        <v>0</v>
      </c>
      <c r="R2286" s="167"/>
      <c r="S2286" s="167"/>
      <c r="T2286" s="168">
        <f t="shared" si="3"/>
        <v>11747.32</v>
      </c>
      <c r="U2286" s="168">
        <f t="shared" si="4"/>
        <v>0</v>
      </c>
      <c r="V2286" s="168">
        <f t="shared" si="5"/>
        <v>0</v>
      </c>
      <c r="W2286" s="168">
        <f t="shared" si="6"/>
        <v>0</v>
      </c>
      <c r="X2286" s="168">
        <f t="shared" si="7"/>
        <v>0</v>
      </c>
      <c r="Y2286" s="168">
        <f t="shared" si="8"/>
        <v>0</v>
      </c>
      <c r="Z2286" s="168">
        <f t="shared" si="9"/>
        <v>0</v>
      </c>
    </row>
    <row r="2287" ht="15.0" customHeight="1">
      <c r="A2287" s="157" t="s">
        <v>2539</v>
      </c>
      <c r="B2287" s="158" t="s">
        <v>16</v>
      </c>
      <c r="C2287" s="158" t="s">
        <v>2431</v>
      </c>
      <c r="D2287" s="159">
        <v>44235.0</v>
      </c>
      <c r="E2287" s="157" t="s">
        <v>731</v>
      </c>
      <c r="F2287" s="160">
        <v>10374.0</v>
      </c>
      <c r="G2287" s="160">
        <v>1659.84</v>
      </c>
      <c r="H2287" s="160">
        <f t="shared" si="54"/>
        <v>12033.84</v>
      </c>
      <c r="I2287" s="160"/>
      <c r="J2287" s="161"/>
      <c r="K2287" s="160"/>
      <c r="L2287" s="160">
        <f>+'FACP$'!$H2287-'FACP$'!$I2287-'FACP$'!$K2287</f>
        <v>12033.84</v>
      </c>
      <c r="M2287" s="162" t="s">
        <v>985</v>
      </c>
      <c r="N2287" s="162" t="s">
        <v>127</v>
      </c>
      <c r="O2287" s="164"/>
      <c r="P2287" s="164">
        <f t="shared" si="13"/>
        <v>44245</v>
      </c>
      <c r="Q2287" s="165">
        <f t="shared" si="2"/>
        <v>0</v>
      </c>
      <c r="R2287" s="167"/>
      <c r="S2287" s="167"/>
      <c r="T2287" s="168">
        <f t="shared" si="3"/>
        <v>12033.84</v>
      </c>
      <c r="U2287" s="168">
        <f t="shared" si="4"/>
        <v>0</v>
      </c>
      <c r="V2287" s="168">
        <f t="shared" si="5"/>
        <v>0</v>
      </c>
      <c r="W2287" s="168">
        <f t="shared" si="6"/>
        <v>0</v>
      </c>
      <c r="X2287" s="168">
        <f t="shared" si="7"/>
        <v>0</v>
      </c>
      <c r="Y2287" s="168">
        <f t="shared" si="8"/>
        <v>0</v>
      </c>
      <c r="Z2287" s="168">
        <f t="shared" si="9"/>
        <v>0</v>
      </c>
    </row>
    <row r="2288" ht="15.0" customHeight="1">
      <c r="A2288" s="157" t="s">
        <v>2540</v>
      </c>
      <c r="B2288" s="158" t="s">
        <v>37</v>
      </c>
      <c r="C2288" s="158" t="s">
        <v>2431</v>
      </c>
      <c r="D2288" s="159">
        <v>44235.0</v>
      </c>
      <c r="E2288" s="157" t="s">
        <v>731</v>
      </c>
      <c r="F2288" s="160">
        <v>38532.0</v>
      </c>
      <c r="G2288" s="160">
        <v>6165.12</v>
      </c>
      <c r="H2288" s="160">
        <f t="shared" si="54"/>
        <v>44697.12</v>
      </c>
      <c r="I2288" s="160"/>
      <c r="J2288" s="161"/>
      <c r="K2288" s="160"/>
      <c r="L2288" s="160">
        <f>+'FACP$'!$H2288-'FACP$'!$I2288-'FACP$'!$K2288</f>
        <v>44697.12</v>
      </c>
      <c r="M2288" s="162" t="s">
        <v>116</v>
      </c>
      <c r="N2288" s="162" t="s">
        <v>554</v>
      </c>
      <c r="O2288" s="164">
        <v>44292.0</v>
      </c>
      <c r="P2288" s="164">
        <f t="shared" si="13"/>
        <v>44245</v>
      </c>
      <c r="Q2288" s="165">
        <f t="shared" si="2"/>
        <v>0</v>
      </c>
      <c r="R2288" s="167"/>
      <c r="S2288" s="167"/>
      <c r="T2288" s="168">
        <f t="shared" si="3"/>
        <v>44697.12</v>
      </c>
      <c r="U2288" s="168">
        <f t="shared" si="4"/>
        <v>0</v>
      </c>
      <c r="V2288" s="168">
        <f t="shared" si="5"/>
        <v>0</v>
      </c>
      <c r="W2288" s="168">
        <f t="shared" si="6"/>
        <v>0</v>
      </c>
      <c r="X2288" s="168">
        <f t="shared" si="7"/>
        <v>0</v>
      </c>
      <c r="Y2288" s="168">
        <f t="shared" si="8"/>
        <v>0</v>
      </c>
      <c r="Z2288" s="168">
        <f t="shared" si="9"/>
        <v>0</v>
      </c>
    </row>
    <row r="2289" ht="15.0" customHeight="1">
      <c r="A2289" s="157" t="s">
        <v>2541</v>
      </c>
      <c r="B2289" s="158" t="s">
        <v>127</v>
      </c>
      <c r="C2289" s="158"/>
      <c r="D2289" s="159"/>
      <c r="E2289" s="157"/>
      <c r="F2289" s="160"/>
      <c r="G2289" s="160"/>
      <c r="H2289" s="160">
        <f t="shared" si="54"/>
        <v>0</v>
      </c>
      <c r="I2289" s="160"/>
      <c r="J2289" s="161"/>
      <c r="K2289" s="160"/>
      <c r="L2289" s="160">
        <f>+'FACP$'!$H2289-'FACP$'!$I2289-'FACP$'!$K2289</f>
        <v>0</v>
      </c>
      <c r="M2289" s="162"/>
      <c r="N2289" s="162" t="s">
        <v>127</v>
      </c>
      <c r="O2289" s="164"/>
      <c r="P2289" s="164">
        <f t="shared" si="13"/>
        <v>10</v>
      </c>
      <c r="Q2289" s="165">
        <f t="shared" si="2"/>
        <v>0</v>
      </c>
      <c r="R2289" s="167"/>
      <c r="S2289" s="167"/>
      <c r="T2289" s="168">
        <f t="shared" si="3"/>
        <v>0</v>
      </c>
      <c r="U2289" s="168">
        <f t="shared" si="4"/>
        <v>0</v>
      </c>
      <c r="V2289" s="168">
        <f t="shared" si="5"/>
        <v>0</v>
      </c>
      <c r="W2289" s="168">
        <f t="shared" si="6"/>
        <v>0</v>
      </c>
      <c r="X2289" s="168">
        <f t="shared" si="7"/>
        <v>0</v>
      </c>
      <c r="Y2289" s="168">
        <f t="shared" si="8"/>
        <v>0</v>
      </c>
      <c r="Z2289" s="168">
        <f t="shared" si="9"/>
        <v>0</v>
      </c>
    </row>
    <row r="2290" ht="15.0" customHeight="1">
      <c r="A2290" s="157" t="s">
        <v>2542</v>
      </c>
      <c r="B2290" s="158" t="s">
        <v>37</v>
      </c>
      <c r="C2290" s="158" t="s">
        <v>2431</v>
      </c>
      <c r="D2290" s="159">
        <v>44235.0</v>
      </c>
      <c r="E2290" s="157" t="s">
        <v>731</v>
      </c>
      <c r="F2290" s="160">
        <v>38532.0</v>
      </c>
      <c r="G2290" s="160">
        <v>6165.12</v>
      </c>
      <c r="H2290" s="160">
        <f t="shared" si="54"/>
        <v>44697.12</v>
      </c>
      <c r="I2290" s="160"/>
      <c r="J2290" s="161"/>
      <c r="K2290" s="160"/>
      <c r="L2290" s="160">
        <f>+'FACP$'!$H2290-'FACP$'!$I2290-'FACP$'!$K2290</f>
        <v>44697.12</v>
      </c>
      <c r="M2290" s="162" t="s">
        <v>116</v>
      </c>
      <c r="N2290" s="162" t="s">
        <v>554</v>
      </c>
      <c r="O2290" s="164">
        <v>44292.0</v>
      </c>
      <c r="P2290" s="164">
        <f t="shared" si="13"/>
        <v>44245</v>
      </c>
      <c r="Q2290" s="165">
        <f t="shared" si="2"/>
        <v>0</v>
      </c>
      <c r="R2290" s="167"/>
      <c r="S2290" s="167"/>
      <c r="T2290" s="168">
        <f t="shared" si="3"/>
        <v>44697.12</v>
      </c>
      <c r="U2290" s="168">
        <f t="shared" si="4"/>
        <v>0</v>
      </c>
      <c r="V2290" s="168">
        <f t="shared" si="5"/>
        <v>0</v>
      </c>
      <c r="W2290" s="168">
        <f t="shared" si="6"/>
        <v>0</v>
      </c>
      <c r="X2290" s="168">
        <f t="shared" si="7"/>
        <v>0</v>
      </c>
      <c r="Y2290" s="168">
        <f t="shared" si="8"/>
        <v>0</v>
      </c>
      <c r="Z2290" s="168">
        <f t="shared" si="9"/>
        <v>0</v>
      </c>
    </row>
    <row r="2291" ht="15.0" customHeight="1">
      <c r="A2291" s="157" t="s">
        <v>2543</v>
      </c>
      <c r="B2291" s="158" t="s">
        <v>37</v>
      </c>
      <c r="C2291" s="158" t="s">
        <v>2431</v>
      </c>
      <c r="D2291" s="159">
        <v>44235.0</v>
      </c>
      <c r="E2291" s="157" t="s">
        <v>731</v>
      </c>
      <c r="F2291" s="160">
        <v>38532.0</v>
      </c>
      <c r="G2291" s="160">
        <v>6165.12</v>
      </c>
      <c r="H2291" s="160">
        <f t="shared" si="54"/>
        <v>44697.12</v>
      </c>
      <c r="I2291" s="160"/>
      <c r="J2291" s="161"/>
      <c r="K2291" s="160"/>
      <c r="L2291" s="160">
        <f>+'FACP$'!$H2291-'FACP$'!$I2291-'FACP$'!$K2291</f>
        <v>44697.12</v>
      </c>
      <c r="M2291" s="162" t="s">
        <v>116</v>
      </c>
      <c r="N2291" s="162" t="s">
        <v>554</v>
      </c>
      <c r="O2291" s="164">
        <v>44292.0</v>
      </c>
      <c r="P2291" s="164">
        <f t="shared" si="13"/>
        <v>44245</v>
      </c>
      <c r="Q2291" s="165">
        <f t="shared" si="2"/>
        <v>0</v>
      </c>
      <c r="R2291" s="167"/>
      <c r="S2291" s="167"/>
      <c r="T2291" s="168">
        <f t="shared" si="3"/>
        <v>44697.12</v>
      </c>
      <c r="U2291" s="168">
        <f t="shared" si="4"/>
        <v>0</v>
      </c>
      <c r="V2291" s="168">
        <f t="shared" si="5"/>
        <v>0</v>
      </c>
      <c r="W2291" s="168">
        <f t="shared" si="6"/>
        <v>0</v>
      </c>
      <c r="X2291" s="168">
        <f t="shared" si="7"/>
        <v>0</v>
      </c>
      <c r="Y2291" s="168">
        <f t="shared" si="8"/>
        <v>0</v>
      </c>
      <c r="Z2291" s="168">
        <f t="shared" si="9"/>
        <v>0</v>
      </c>
    </row>
    <row r="2292" ht="15.0" customHeight="1">
      <c r="A2292" s="157" t="s">
        <v>2544</v>
      </c>
      <c r="B2292" s="158" t="s">
        <v>37</v>
      </c>
      <c r="C2292" s="158" t="s">
        <v>2431</v>
      </c>
      <c r="D2292" s="159">
        <v>44235.0</v>
      </c>
      <c r="E2292" s="157" t="s">
        <v>731</v>
      </c>
      <c r="F2292" s="160">
        <v>38532.0</v>
      </c>
      <c r="G2292" s="160">
        <v>6165.12</v>
      </c>
      <c r="H2292" s="160">
        <f t="shared" si="54"/>
        <v>44697.12</v>
      </c>
      <c r="I2292" s="160"/>
      <c r="J2292" s="161"/>
      <c r="K2292" s="160"/>
      <c r="L2292" s="160">
        <f>+'FACP$'!$H2292-'FACP$'!$I2292-'FACP$'!$K2292</f>
        <v>44697.12</v>
      </c>
      <c r="M2292" s="162" t="s">
        <v>116</v>
      </c>
      <c r="N2292" s="162" t="s">
        <v>554</v>
      </c>
      <c r="O2292" s="164">
        <v>44292.0</v>
      </c>
      <c r="P2292" s="164">
        <f t="shared" si="13"/>
        <v>44245</v>
      </c>
      <c r="Q2292" s="165">
        <f t="shared" si="2"/>
        <v>0</v>
      </c>
      <c r="R2292" s="167"/>
      <c r="S2292" s="167"/>
      <c r="T2292" s="168">
        <f t="shared" si="3"/>
        <v>44697.12</v>
      </c>
      <c r="U2292" s="168">
        <f t="shared" si="4"/>
        <v>0</v>
      </c>
      <c r="V2292" s="168">
        <f t="shared" si="5"/>
        <v>0</v>
      </c>
      <c r="W2292" s="168">
        <f t="shared" si="6"/>
        <v>0</v>
      </c>
      <c r="X2292" s="168">
        <f t="shared" si="7"/>
        <v>0</v>
      </c>
      <c r="Y2292" s="168">
        <f t="shared" si="8"/>
        <v>0</v>
      </c>
      <c r="Z2292" s="168">
        <f t="shared" si="9"/>
        <v>0</v>
      </c>
    </row>
    <row r="2293" ht="15.0" customHeight="1">
      <c r="A2293" s="157" t="s">
        <v>2545</v>
      </c>
      <c r="B2293" s="158" t="s">
        <v>29</v>
      </c>
      <c r="C2293" s="158" t="s">
        <v>2431</v>
      </c>
      <c r="D2293" s="159">
        <v>44235.0</v>
      </c>
      <c r="E2293" s="157" t="s">
        <v>731</v>
      </c>
      <c r="F2293" s="160">
        <v>19266.0</v>
      </c>
      <c r="G2293" s="160">
        <v>3082.56</v>
      </c>
      <c r="H2293" s="160">
        <f t="shared" si="54"/>
        <v>22348.56</v>
      </c>
      <c r="I2293" s="160"/>
      <c r="J2293" s="161"/>
      <c r="K2293" s="160"/>
      <c r="L2293" s="160">
        <f>+'FACP$'!$H2293-'FACP$'!$I2293-'FACP$'!$K2293</f>
        <v>22348.56</v>
      </c>
      <c r="M2293" s="162" t="s">
        <v>130</v>
      </c>
      <c r="N2293" s="162" t="s">
        <v>554</v>
      </c>
      <c r="O2293" s="164">
        <v>44284.0</v>
      </c>
      <c r="P2293" s="164">
        <f t="shared" si="13"/>
        <v>44245</v>
      </c>
      <c r="Q2293" s="165">
        <f t="shared" si="2"/>
        <v>0</v>
      </c>
      <c r="R2293" s="167"/>
      <c r="S2293" s="167"/>
      <c r="T2293" s="168">
        <f t="shared" si="3"/>
        <v>22348.56</v>
      </c>
      <c r="U2293" s="168">
        <f t="shared" si="4"/>
        <v>0</v>
      </c>
      <c r="V2293" s="168">
        <f t="shared" si="5"/>
        <v>0</v>
      </c>
      <c r="W2293" s="168">
        <f t="shared" si="6"/>
        <v>0</v>
      </c>
      <c r="X2293" s="168">
        <f t="shared" si="7"/>
        <v>0</v>
      </c>
      <c r="Y2293" s="168">
        <f t="shared" si="8"/>
        <v>0</v>
      </c>
      <c r="Z2293" s="168">
        <f t="shared" si="9"/>
        <v>0</v>
      </c>
    </row>
    <row r="2294" ht="15.0" customHeight="1">
      <c r="A2294" s="157" t="s">
        <v>2546</v>
      </c>
      <c r="B2294" s="158" t="s">
        <v>19</v>
      </c>
      <c r="C2294" s="158" t="s">
        <v>2431</v>
      </c>
      <c r="D2294" s="159">
        <v>44235.0</v>
      </c>
      <c r="E2294" s="157" t="s">
        <v>731</v>
      </c>
      <c r="F2294" s="160">
        <v>19266.0</v>
      </c>
      <c r="G2294" s="160">
        <v>3082.56</v>
      </c>
      <c r="H2294" s="160">
        <f t="shared" si="54"/>
        <v>22348.56</v>
      </c>
      <c r="I2294" s="160"/>
      <c r="J2294" s="161"/>
      <c r="K2294" s="160"/>
      <c r="L2294" s="160">
        <f>+'FACP$'!$H2294-'FACP$'!$I2294-'FACP$'!$K2294</f>
        <v>22348.56</v>
      </c>
      <c r="M2294" s="162" t="s">
        <v>732</v>
      </c>
      <c r="N2294" s="162" t="s">
        <v>554</v>
      </c>
      <c r="O2294" s="164"/>
      <c r="P2294" s="164">
        <f t="shared" si="13"/>
        <v>44245</v>
      </c>
      <c r="Q2294" s="165">
        <f t="shared" si="2"/>
        <v>0</v>
      </c>
      <c r="R2294" s="164" t="s">
        <v>2513</v>
      </c>
      <c r="S2294" s="167"/>
      <c r="T2294" s="168">
        <f t="shared" si="3"/>
        <v>22348.56</v>
      </c>
      <c r="U2294" s="168">
        <f t="shared" si="4"/>
        <v>0</v>
      </c>
      <c r="V2294" s="168">
        <f t="shared" si="5"/>
        <v>0</v>
      </c>
      <c r="W2294" s="168">
        <f t="shared" si="6"/>
        <v>0</v>
      </c>
      <c r="X2294" s="168">
        <f t="shared" si="7"/>
        <v>0</v>
      </c>
      <c r="Y2294" s="168">
        <f t="shared" si="8"/>
        <v>0</v>
      </c>
      <c r="Z2294" s="168">
        <f t="shared" si="9"/>
        <v>0</v>
      </c>
    </row>
    <row r="2295" ht="15.0" customHeight="1">
      <c r="A2295" s="157" t="s">
        <v>2547</v>
      </c>
      <c r="B2295" s="158" t="s">
        <v>37</v>
      </c>
      <c r="C2295" s="158" t="s">
        <v>2431</v>
      </c>
      <c r="D2295" s="159">
        <v>44236.0</v>
      </c>
      <c r="E2295" s="157" t="s">
        <v>731</v>
      </c>
      <c r="F2295" s="160">
        <v>38532.0</v>
      </c>
      <c r="G2295" s="160">
        <v>6165.12</v>
      </c>
      <c r="H2295" s="160">
        <f t="shared" si="54"/>
        <v>44697.12</v>
      </c>
      <c r="I2295" s="160"/>
      <c r="J2295" s="161"/>
      <c r="K2295" s="160"/>
      <c r="L2295" s="160">
        <f>+'FACP$'!$H2295-'FACP$'!$I2295-'FACP$'!$K2295</f>
        <v>44697.12</v>
      </c>
      <c r="M2295" s="162" t="s">
        <v>116</v>
      </c>
      <c r="N2295" s="162" t="s">
        <v>554</v>
      </c>
      <c r="O2295" s="164">
        <v>44292.0</v>
      </c>
      <c r="P2295" s="164">
        <f t="shared" si="13"/>
        <v>44246</v>
      </c>
      <c r="Q2295" s="165">
        <f t="shared" si="2"/>
        <v>0</v>
      </c>
      <c r="R2295" s="167"/>
      <c r="S2295" s="167"/>
      <c r="T2295" s="168">
        <f t="shared" si="3"/>
        <v>44697.12</v>
      </c>
      <c r="U2295" s="168">
        <f t="shared" si="4"/>
        <v>0</v>
      </c>
      <c r="V2295" s="168">
        <f t="shared" si="5"/>
        <v>0</v>
      </c>
      <c r="W2295" s="168">
        <f t="shared" si="6"/>
        <v>0</v>
      </c>
      <c r="X2295" s="168">
        <f t="shared" si="7"/>
        <v>0</v>
      </c>
      <c r="Y2295" s="168">
        <f t="shared" si="8"/>
        <v>0</v>
      </c>
      <c r="Z2295" s="168">
        <f t="shared" si="9"/>
        <v>0</v>
      </c>
    </row>
    <row r="2296" ht="15.0" customHeight="1">
      <c r="A2296" s="157" t="s">
        <v>2548</v>
      </c>
      <c r="B2296" s="158" t="s">
        <v>16</v>
      </c>
      <c r="C2296" s="158" t="s">
        <v>2431</v>
      </c>
      <c r="D2296" s="159">
        <v>44236.0</v>
      </c>
      <c r="E2296" s="157" t="s">
        <v>731</v>
      </c>
      <c r="F2296" s="160">
        <v>10086.0</v>
      </c>
      <c r="G2296" s="160">
        <v>1613.76</v>
      </c>
      <c r="H2296" s="160">
        <f t="shared" si="54"/>
        <v>11699.76</v>
      </c>
      <c r="I2296" s="160"/>
      <c r="J2296" s="161"/>
      <c r="K2296" s="160"/>
      <c r="L2296" s="160">
        <f>+'FACP$'!$H2296-'FACP$'!$I2296-'FACP$'!$K2296</f>
        <v>11699.76</v>
      </c>
      <c r="M2296" s="162" t="s">
        <v>985</v>
      </c>
      <c r="N2296" s="162" t="s">
        <v>127</v>
      </c>
      <c r="O2296" s="164"/>
      <c r="P2296" s="164">
        <f t="shared" si="13"/>
        <v>44246</v>
      </c>
      <c r="Q2296" s="165">
        <f t="shared" si="2"/>
        <v>0</v>
      </c>
      <c r="R2296" s="167"/>
      <c r="S2296" s="167"/>
      <c r="T2296" s="168">
        <f t="shared" si="3"/>
        <v>11699.76</v>
      </c>
      <c r="U2296" s="168">
        <f t="shared" si="4"/>
        <v>0</v>
      </c>
      <c r="V2296" s="168">
        <f t="shared" si="5"/>
        <v>0</v>
      </c>
      <c r="W2296" s="168">
        <f t="shared" si="6"/>
        <v>0</v>
      </c>
      <c r="X2296" s="168">
        <f t="shared" si="7"/>
        <v>0</v>
      </c>
      <c r="Y2296" s="168">
        <f t="shared" si="8"/>
        <v>0</v>
      </c>
      <c r="Z2296" s="168">
        <f t="shared" si="9"/>
        <v>0</v>
      </c>
    </row>
    <row r="2297" ht="15.0" customHeight="1">
      <c r="A2297" s="157" t="s">
        <v>2549</v>
      </c>
      <c r="B2297" s="158" t="s">
        <v>19</v>
      </c>
      <c r="C2297" s="158" t="s">
        <v>2431</v>
      </c>
      <c r="D2297" s="159">
        <v>44236.0</v>
      </c>
      <c r="E2297" s="157" t="s">
        <v>731</v>
      </c>
      <c r="F2297" s="160">
        <v>18772.0</v>
      </c>
      <c r="G2297" s="160">
        <v>3003.52</v>
      </c>
      <c r="H2297" s="160">
        <f t="shared" si="54"/>
        <v>21775.52</v>
      </c>
      <c r="I2297" s="160"/>
      <c r="J2297" s="161"/>
      <c r="K2297" s="160"/>
      <c r="L2297" s="160">
        <f>+'FACP$'!$H2297-'FACP$'!$I2297-'FACP$'!$K2297</f>
        <v>21775.52</v>
      </c>
      <c r="M2297" s="162" t="s">
        <v>732</v>
      </c>
      <c r="N2297" s="162" t="s">
        <v>554</v>
      </c>
      <c r="O2297" s="164"/>
      <c r="P2297" s="164">
        <f t="shared" si="13"/>
        <v>44246</v>
      </c>
      <c r="Q2297" s="165">
        <f t="shared" si="2"/>
        <v>0</v>
      </c>
      <c r="R2297" s="164" t="s">
        <v>2513</v>
      </c>
      <c r="S2297" s="167"/>
      <c r="T2297" s="168">
        <f t="shared" si="3"/>
        <v>21775.52</v>
      </c>
      <c r="U2297" s="168">
        <f t="shared" si="4"/>
        <v>0</v>
      </c>
      <c r="V2297" s="168">
        <f t="shared" si="5"/>
        <v>0</v>
      </c>
      <c r="W2297" s="168">
        <f t="shared" si="6"/>
        <v>0</v>
      </c>
      <c r="X2297" s="168">
        <f t="shared" si="7"/>
        <v>0</v>
      </c>
      <c r="Y2297" s="168">
        <f t="shared" si="8"/>
        <v>0</v>
      </c>
      <c r="Z2297" s="168">
        <f t="shared" si="9"/>
        <v>0</v>
      </c>
    </row>
    <row r="2298" ht="15.0" customHeight="1">
      <c r="A2298" s="157" t="s">
        <v>2550</v>
      </c>
      <c r="B2298" s="158" t="s">
        <v>37</v>
      </c>
      <c r="C2298" s="158" t="s">
        <v>2431</v>
      </c>
      <c r="D2298" s="159">
        <v>44236.0</v>
      </c>
      <c r="E2298" s="157" t="s">
        <v>731</v>
      </c>
      <c r="F2298" s="160">
        <v>18772.0</v>
      </c>
      <c r="G2298" s="160">
        <v>3003.52</v>
      </c>
      <c r="H2298" s="160">
        <f t="shared" si="54"/>
        <v>21775.52</v>
      </c>
      <c r="I2298" s="160"/>
      <c r="J2298" s="161"/>
      <c r="K2298" s="160"/>
      <c r="L2298" s="160">
        <f>+'FACP$'!$H2298-'FACP$'!$I2298-'FACP$'!$K2298</f>
        <v>21775.52</v>
      </c>
      <c r="M2298" s="162" t="s">
        <v>116</v>
      </c>
      <c r="N2298" s="162" t="s">
        <v>554</v>
      </c>
      <c r="O2298" s="164">
        <v>44292.0</v>
      </c>
      <c r="P2298" s="164">
        <f t="shared" si="13"/>
        <v>44246</v>
      </c>
      <c r="Q2298" s="165">
        <f t="shared" si="2"/>
        <v>0</v>
      </c>
      <c r="R2298" s="167"/>
      <c r="S2298" s="167"/>
      <c r="T2298" s="168">
        <f t="shared" si="3"/>
        <v>21775.52</v>
      </c>
      <c r="U2298" s="168">
        <f t="shared" si="4"/>
        <v>0</v>
      </c>
      <c r="V2298" s="168">
        <f t="shared" si="5"/>
        <v>0</v>
      </c>
      <c r="W2298" s="168">
        <f t="shared" si="6"/>
        <v>0</v>
      </c>
      <c r="X2298" s="168">
        <f t="shared" si="7"/>
        <v>0</v>
      </c>
      <c r="Y2298" s="168">
        <f t="shared" si="8"/>
        <v>0</v>
      </c>
      <c r="Z2298" s="168">
        <f t="shared" si="9"/>
        <v>0</v>
      </c>
    </row>
    <row r="2299" ht="15.0" customHeight="1">
      <c r="A2299" s="157" t="s">
        <v>2551</v>
      </c>
      <c r="B2299" s="158" t="s">
        <v>38</v>
      </c>
      <c r="C2299" s="158" t="s">
        <v>2431</v>
      </c>
      <c r="D2299" s="159">
        <v>44236.0</v>
      </c>
      <c r="E2299" s="157" t="s">
        <v>731</v>
      </c>
      <c r="F2299" s="160">
        <v>15561.0</v>
      </c>
      <c r="G2299" s="160">
        <v>2489.76</v>
      </c>
      <c r="H2299" s="160">
        <f t="shared" si="54"/>
        <v>18050.76</v>
      </c>
      <c r="I2299" s="160"/>
      <c r="J2299" s="161"/>
      <c r="K2299" s="160"/>
      <c r="L2299" s="160">
        <f>+'FACP$'!$H2299-'FACP$'!$I2299-'FACP$'!$K2299</f>
        <v>18050.76</v>
      </c>
      <c r="M2299" s="162" t="s">
        <v>145</v>
      </c>
      <c r="N2299" s="162" t="s">
        <v>554</v>
      </c>
      <c r="O2299" s="164">
        <v>44298.0</v>
      </c>
      <c r="P2299" s="164">
        <f t="shared" si="13"/>
        <v>44246</v>
      </c>
      <c r="Q2299" s="165">
        <f t="shared" si="2"/>
        <v>0</v>
      </c>
      <c r="R2299" s="167"/>
      <c r="S2299" s="167"/>
      <c r="T2299" s="168">
        <f t="shared" si="3"/>
        <v>18050.76</v>
      </c>
      <c r="U2299" s="168">
        <f t="shared" si="4"/>
        <v>0</v>
      </c>
      <c r="V2299" s="168">
        <f t="shared" si="5"/>
        <v>0</v>
      </c>
      <c r="W2299" s="168">
        <f t="shared" si="6"/>
        <v>0</v>
      </c>
      <c r="X2299" s="168">
        <f t="shared" si="7"/>
        <v>0</v>
      </c>
      <c r="Y2299" s="168">
        <f t="shared" si="8"/>
        <v>0</v>
      </c>
      <c r="Z2299" s="168">
        <f t="shared" si="9"/>
        <v>0</v>
      </c>
    </row>
    <row r="2300" ht="15.0" customHeight="1">
      <c r="A2300" s="157" t="s">
        <v>2552</v>
      </c>
      <c r="B2300" s="158" t="s">
        <v>38</v>
      </c>
      <c r="C2300" s="158" t="s">
        <v>2431</v>
      </c>
      <c r="D2300" s="159">
        <v>44236.0</v>
      </c>
      <c r="E2300" s="157" t="s">
        <v>731</v>
      </c>
      <c r="F2300" s="160">
        <v>15561.0</v>
      </c>
      <c r="G2300" s="160">
        <v>2489.76</v>
      </c>
      <c r="H2300" s="160">
        <f t="shared" si="54"/>
        <v>18050.76</v>
      </c>
      <c r="I2300" s="160"/>
      <c r="J2300" s="161"/>
      <c r="K2300" s="160"/>
      <c r="L2300" s="160">
        <f>+'FACP$'!$H2300-'FACP$'!$I2300-'FACP$'!$K2300</f>
        <v>18050.76</v>
      </c>
      <c r="M2300" s="162" t="s">
        <v>145</v>
      </c>
      <c r="N2300" s="162" t="s">
        <v>554</v>
      </c>
      <c r="O2300" s="164">
        <v>44298.0</v>
      </c>
      <c r="P2300" s="164">
        <f t="shared" si="13"/>
        <v>44246</v>
      </c>
      <c r="Q2300" s="165">
        <f t="shared" si="2"/>
        <v>0</v>
      </c>
      <c r="R2300" s="167"/>
      <c r="S2300" s="167"/>
      <c r="T2300" s="168">
        <f t="shared" si="3"/>
        <v>18050.76</v>
      </c>
      <c r="U2300" s="168">
        <f t="shared" si="4"/>
        <v>0</v>
      </c>
      <c r="V2300" s="168">
        <f t="shared" si="5"/>
        <v>0</v>
      </c>
      <c r="W2300" s="168">
        <f t="shared" si="6"/>
        <v>0</v>
      </c>
      <c r="X2300" s="168">
        <f t="shared" si="7"/>
        <v>0</v>
      </c>
      <c r="Y2300" s="168">
        <f t="shared" si="8"/>
        <v>0</v>
      </c>
      <c r="Z2300" s="168">
        <f t="shared" si="9"/>
        <v>0</v>
      </c>
    </row>
    <row r="2301" ht="15.0" customHeight="1">
      <c r="A2301" s="157" t="s">
        <v>2553</v>
      </c>
      <c r="B2301" s="158" t="s">
        <v>38</v>
      </c>
      <c r="C2301" s="158" t="s">
        <v>2431</v>
      </c>
      <c r="D2301" s="159">
        <v>44236.0</v>
      </c>
      <c r="E2301" s="157" t="s">
        <v>731</v>
      </c>
      <c r="F2301" s="160">
        <v>15561.0</v>
      </c>
      <c r="G2301" s="160">
        <v>2489.76</v>
      </c>
      <c r="H2301" s="160">
        <f t="shared" si="54"/>
        <v>18050.76</v>
      </c>
      <c r="I2301" s="160"/>
      <c r="J2301" s="161"/>
      <c r="K2301" s="160"/>
      <c r="L2301" s="160">
        <f>+'FACP$'!$H2301-'FACP$'!$I2301-'FACP$'!$K2301</f>
        <v>18050.76</v>
      </c>
      <c r="M2301" s="162" t="s">
        <v>145</v>
      </c>
      <c r="N2301" s="162" t="s">
        <v>554</v>
      </c>
      <c r="O2301" s="164">
        <v>44298.0</v>
      </c>
      <c r="P2301" s="164">
        <f t="shared" si="13"/>
        <v>44246</v>
      </c>
      <c r="Q2301" s="165">
        <f t="shared" si="2"/>
        <v>0</v>
      </c>
      <c r="R2301" s="167"/>
      <c r="S2301" s="167"/>
      <c r="T2301" s="168">
        <f t="shared" si="3"/>
        <v>18050.76</v>
      </c>
      <c r="U2301" s="168">
        <f t="shared" si="4"/>
        <v>0</v>
      </c>
      <c r="V2301" s="168">
        <f t="shared" si="5"/>
        <v>0</v>
      </c>
      <c r="W2301" s="168">
        <f t="shared" si="6"/>
        <v>0</v>
      </c>
      <c r="X2301" s="168">
        <f t="shared" si="7"/>
        <v>0</v>
      </c>
      <c r="Y2301" s="168">
        <f t="shared" si="8"/>
        <v>0</v>
      </c>
      <c r="Z2301" s="168">
        <f t="shared" si="9"/>
        <v>0</v>
      </c>
    </row>
    <row r="2302" ht="15.0" customHeight="1">
      <c r="A2302" s="157" t="s">
        <v>2554</v>
      </c>
      <c r="B2302" s="158" t="s">
        <v>127</v>
      </c>
      <c r="C2302" s="158"/>
      <c r="D2302" s="159"/>
      <c r="E2302" s="157"/>
      <c r="F2302" s="160"/>
      <c r="G2302" s="160"/>
      <c r="H2302" s="160">
        <f t="shared" si="54"/>
        <v>0</v>
      </c>
      <c r="I2302" s="160"/>
      <c r="J2302" s="161"/>
      <c r="K2302" s="160"/>
      <c r="L2302" s="160">
        <f>+'FACP$'!$H2302-'FACP$'!$I2302-'FACP$'!$K2302</f>
        <v>0</v>
      </c>
      <c r="M2302" s="162"/>
      <c r="N2302" s="162" t="s">
        <v>127</v>
      </c>
      <c r="O2302" s="164"/>
      <c r="P2302" s="164">
        <f t="shared" si="13"/>
        <v>10</v>
      </c>
      <c r="Q2302" s="165">
        <f t="shared" si="2"/>
        <v>0</v>
      </c>
      <c r="R2302" s="167"/>
      <c r="S2302" s="167"/>
      <c r="T2302" s="168">
        <f t="shared" si="3"/>
        <v>0</v>
      </c>
      <c r="U2302" s="168">
        <f t="shared" si="4"/>
        <v>0</v>
      </c>
      <c r="V2302" s="168">
        <f t="shared" si="5"/>
        <v>0</v>
      </c>
      <c r="W2302" s="168">
        <f t="shared" si="6"/>
        <v>0</v>
      </c>
      <c r="X2302" s="168">
        <f t="shared" si="7"/>
        <v>0</v>
      </c>
      <c r="Y2302" s="168">
        <f t="shared" si="8"/>
        <v>0</v>
      </c>
      <c r="Z2302" s="168">
        <f t="shared" si="9"/>
        <v>0</v>
      </c>
    </row>
    <row r="2303" ht="15.0" customHeight="1">
      <c r="A2303" s="157" t="s">
        <v>2555</v>
      </c>
      <c r="B2303" s="158" t="s">
        <v>37</v>
      </c>
      <c r="C2303" s="158" t="s">
        <v>2431</v>
      </c>
      <c r="D2303" s="159">
        <v>44236.0</v>
      </c>
      <c r="E2303" s="157" t="s">
        <v>731</v>
      </c>
      <c r="F2303" s="160">
        <v>38532.0</v>
      </c>
      <c r="G2303" s="160">
        <v>6165.12</v>
      </c>
      <c r="H2303" s="160">
        <f t="shared" si="54"/>
        <v>44697.12</v>
      </c>
      <c r="I2303" s="160"/>
      <c r="J2303" s="161"/>
      <c r="K2303" s="160"/>
      <c r="L2303" s="160">
        <f>+'FACP$'!$H2303-'FACP$'!$I2303-'FACP$'!$K2303</f>
        <v>44697.12</v>
      </c>
      <c r="M2303" s="162" t="s">
        <v>116</v>
      </c>
      <c r="N2303" s="162" t="s">
        <v>554</v>
      </c>
      <c r="O2303" s="164">
        <v>44292.0</v>
      </c>
      <c r="P2303" s="164">
        <f t="shared" si="13"/>
        <v>44246</v>
      </c>
      <c r="Q2303" s="165">
        <f t="shared" si="2"/>
        <v>0</v>
      </c>
      <c r="R2303" s="167"/>
      <c r="S2303" s="167"/>
      <c r="T2303" s="168">
        <f t="shared" si="3"/>
        <v>44697.12</v>
      </c>
      <c r="U2303" s="168">
        <f t="shared" si="4"/>
        <v>0</v>
      </c>
      <c r="V2303" s="168">
        <f t="shared" si="5"/>
        <v>0</v>
      </c>
      <c r="W2303" s="168">
        <f t="shared" si="6"/>
        <v>0</v>
      </c>
      <c r="X2303" s="168">
        <f t="shared" si="7"/>
        <v>0</v>
      </c>
      <c r="Y2303" s="168">
        <f t="shared" si="8"/>
        <v>0</v>
      </c>
      <c r="Z2303" s="168">
        <f t="shared" si="9"/>
        <v>0</v>
      </c>
    </row>
    <row r="2304" ht="15.0" customHeight="1">
      <c r="A2304" s="157" t="s">
        <v>2556</v>
      </c>
      <c r="B2304" s="158" t="s">
        <v>16</v>
      </c>
      <c r="C2304" s="158" t="s">
        <v>2431</v>
      </c>
      <c r="D2304" s="159">
        <v>44236.0</v>
      </c>
      <c r="E2304" s="157" t="s">
        <v>731</v>
      </c>
      <c r="F2304" s="160">
        <v>10086.0</v>
      </c>
      <c r="G2304" s="160">
        <v>1613.76</v>
      </c>
      <c r="H2304" s="160">
        <f t="shared" si="54"/>
        <v>11699.76</v>
      </c>
      <c r="I2304" s="160"/>
      <c r="J2304" s="161"/>
      <c r="K2304" s="160"/>
      <c r="L2304" s="160">
        <f>+'FACP$'!$H2304-'FACP$'!$I2304-'FACP$'!$K2304</f>
        <v>11699.76</v>
      </c>
      <c r="M2304" s="162" t="s">
        <v>985</v>
      </c>
      <c r="N2304" s="162" t="s">
        <v>127</v>
      </c>
      <c r="O2304" s="164"/>
      <c r="P2304" s="164">
        <f t="shared" si="13"/>
        <v>44246</v>
      </c>
      <c r="Q2304" s="165">
        <f t="shared" si="2"/>
        <v>0</v>
      </c>
      <c r="R2304" s="167"/>
      <c r="S2304" s="167"/>
      <c r="T2304" s="168">
        <f t="shared" si="3"/>
        <v>11699.76</v>
      </c>
      <c r="U2304" s="168">
        <f t="shared" si="4"/>
        <v>0</v>
      </c>
      <c r="V2304" s="168">
        <f t="shared" si="5"/>
        <v>0</v>
      </c>
      <c r="W2304" s="168">
        <f t="shared" si="6"/>
        <v>0</v>
      </c>
      <c r="X2304" s="168">
        <f t="shared" si="7"/>
        <v>0</v>
      </c>
      <c r="Y2304" s="168">
        <f t="shared" si="8"/>
        <v>0</v>
      </c>
      <c r="Z2304" s="168">
        <f t="shared" si="9"/>
        <v>0</v>
      </c>
    </row>
    <row r="2305" ht="15.0" customHeight="1">
      <c r="A2305" s="157" t="s">
        <v>2557</v>
      </c>
      <c r="B2305" s="158" t="s">
        <v>19</v>
      </c>
      <c r="C2305" s="158" t="s">
        <v>2431</v>
      </c>
      <c r="D2305" s="159">
        <v>44236.0</v>
      </c>
      <c r="E2305" s="157" t="s">
        <v>731</v>
      </c>
      <c r="F2305" s="160">
        <v>38376.0</v>
      </c>
      <c r="G2305" s="160">
        <v>6140.16</v>
      </c>
      <c r="H2305" s="160">
        <f>F2305+G2305-23388.89</f>
        <v>21127.27</v>
      </c>
      <c r="I2305" s="160"/>
      <c r="J2305" s="161"/>
      <c r="K2305" s="160"/>
      <c r="L2305" s="160">
        <f>+'FACP$'!$H2305-'FACP$'!$I2305-'FACP$'!$K2305</f>
        <v>21127.27</v>
      </c>
      <c r="M2305" s="162" t="s">
        <v>732</v>
      </c>
      <c r="N2305" s="162" t="s">
        <v>554</v>
      </c>
      <c r="O2305" s="164">
        <v>44279.0</v>
      </c>
      <c r="P2305" s="164">
        <f t="shared" si="13"/>
        <v>44246</v>
      </c>
      <c r="Q2305" s="165">
        <f t="shared" si="2"/>
        <v>0</v>
      </c>
      <c r="R2305" s="164" t="s">
        <v>2513</v>
      </c>
      <c r="S2305" s="167"/>
      <c r="T2305" s="168">
        <f t="shared" si="3"/>
        <v>21127.27</v>
      </c>
      <c r="U2305" s="168">
        <f t="shared" si="4"/>
        <v>0</v>
      </c>
      <c r="V2305" s="168">
        <f t="shared" si="5"/>
        <v>0</v>
      </c>
      <c r="W2305" s="168">
        <f t="shared" si="6"/>
        <v>0</v>
      </c>
      <c r="X2305" s="168">
        <f t="shared" si="7"/>
        <v>0</v>
      </c>
      <c r="Y2305" s="168">
        <f t="shared" si="8"/>
        <v>0</v>
      </c>
      <c r="Z2305" s="168">
        <f t="shared" si="9"/>
        <v>0</v>
      </c>
    </row>
    <row r="2306" ht="15.0" customHeight="1">
      <c r="A2306" s="157" t="s">
        <v>2558</v>
      </c>
      <c r="B2306" s="158" t="s">
        <v>37</v>
      </c>
      <c r="C2306" s="158" t="s">
        <v>2431</v>
      </c>
      <c r="D2306" s="159">
        <v>44236.0</v>
      </c>
      <c r="E2306" s="157" t="s">
        <v>731</v>
      </c>
      <c r="F2306" s="160">
        <v>38376.0</v>
      </c>
      <c r="G2306" s="160">
        <v>6140.16</v>
      </c>
      <c r="H2306" s="160">
        <f t="shared" ref="H2306:H2369" si="55">F2306+G2306</f>
        <v>44516.16</v>
      </c>
      <c r="I2306" s="160"/>
      <c r="J2306" s="161"/>
      <c r="K2306" s="160"/>
      <c r="L2306" s="160">
        <f>+'FACP$'!$H2306-'FACP$'!$I2306-'FACP$'!$K2306</f>
        <v>44516.16</v>
      </c>
      <c r="M2306" s="162" t="s">
        <v>116</v>
      </c>
      <c r="N2306" s="162" t="s">
        <v>554</v>
      </c>
      <c r="O2306" s="164">
        <v>44292.0</v>
      </c>
      <c r="P2306" s="164">
        <f t="shared" si="13"/>
        <v>44246</v>
      </c>
      <c r="Q2306" s="165">
        <f t="shared" si="2"/>
        <v>0</v>
      </c>
      <c r="R2306" s="167"/>
      <c r="S2306" s="167"/>
      <c r="T2306" s="168">
        <f t="shared" si="3"/>
        <v>44516.16</v>
      </c>
      <c r="U2306" s="168">
        <f t="shared" si="4"/>
        <v>0</v>
      </c>
      <c r="V2306" s="168">
        <f t="shared" si="5"/>
        <v>0</v>
      </c>
      <c r="W2306" s="168">
        <f t="shared" si="6"/>
        <v>0</v>
      </c>
      <c r="X2306" s="168">
        <f t="shared" si="7"/>
        <v>0</v>
      </c>
      <c r="Y2306" s="168">
        <f t="shared" si="8"/>
        <v>0</v>
      </c>
      <c r="Z2306" s="168">
        <f t="shared" si="9"/>
        <v>0</v>
      </c>
    </row>
    <row r="2307" ht="15.0" customHeight="1">
      <c r="A2307" s="157" t="s">
        <v>2559</v>
      </c>
      <c r="B2307" s="158" t="s">
        <v>37</v>
      </c>
      <c r="C2307" s="158" t="s">
        <v>2431</v>
      </c>
      <c r="D2307" s="159">
        <v>44236.0</v>
      </c>
      <c r="E2307" s="157" t="s">
        <v>731</v>
      </c>
      <c r="F2307" s="160">
        <v>38532.0</v>
      </c>
      <c r="G2307" s="160">
        <v>6165.12</v>
      </c>
      <c r="H2307" s="160">
        <f t="shared" si="55"/>
        <v>44697.12</v>
      </c>
      <c r="I2307" s="160"/>
      <c r="J2307" s="161"/>
      <c r="K2307" s="160"/>
      <c r="L2307" s="160">
        <f>+'FACP$'!$H2307-'FACP$'!$I2307-'FACP$'!$K2307</f>
        <v>44697.12</v>
      </c>
      <c r="M2307" s="162" t="s">
        <v>116</v>
      </c>
      <c r="N2307" s="162" t="s">
        <v>554</v>
      </c>
      <c r="O2307" s="164">
        <v>44292.0</v>
      </c>
      <c r="P2307" s="164">
        <f t="shared" si="13"/>
        <v>44246</v>
      </c>
      <c r="Q2307" s="165">
        <f t="shared" si="2"/>
        <v>0</v>
      </c>
      <c r="R2307" s="167"/>
      <c r="S2307" s="167"/>
      <c r="T2307" s="168">
        <f t="shared" si="3"/>
        <v>44697.12</v>
      </c>
      <c r="U2307" s="168">
        <f t="shared" si="4"/>
        <v>0</v>
      </c>
      <c r="V2307" s="168">
        <f t="shared" si="5"/>
        <v>0</v>
      </c>
      <c r="W2307" s="168">
        <f t="shared" si="6"/>
        <v>0</v>
      </c>
      <c r="X2307" s="168">
        <f t="shared" si="7"/>
        <v>0</v>
      </c>
      <c r="Y2307" s="168">
        <f t="shared" si="8"/>
        <v>0</v>
      </c>
      <c r="Z2307" s="168">
        <f t="shared" si="9"/>
        <v>0</v>
      </c>
    </row>
    <row r="2308" ht="15.0" customHeight="1">
      <c r="A2308" s="157" t="s">
        <v>2560</v>
      </c>
      <c r="B2308" s="158" t="s">
        <v>37</v>
      </c>
      <c r="C2308" s="158" t="s">
        <v>2431</v>
      </c>
      <c r="D2308" s="159">
        <v>44236.0</v>
      </c>
      <c r="E2308" s="157" t="s">
        <v>731</v>
      </c>
      <c r="F2308" s="160">
        <v>38532.0</v>
      </c>
      <c r="G2308" s="160">
        <v>6165.12</v>
      </c>
      <c r="H2308" s="160">
        <f t="shared" si="55"/>
        <v>44697.12</v>
      </c>
      <c r="I2308" s="160"/>
      <c r="J2308" s="161"/>
      <c r="K2308" s="160"/>
      <c r="L2308" s="160">
        <f>+'FACP$'!$H2308-'FACP$'!$I2308-'FACP$'!$K2308</f>
        <v>44697.12</v>
      </c>
      <c r="M2308" s="162" t="s">
        <v>116</v>
      </c>
      <c r="N2308" s="162" t="s">
        <v>554</v>
      </c>
      <c r="O2308" s="164">
        <v>44292.0</v>
      </c>
      <c r="P2308" s="164">
        <f t="shared" si="13"/>
        <v>44246</v>
      </c>
      <c r="Q2308" s="165">
        <f t="shared" si="2"/>
        <v>0</v>
      </c>
      <c r="R2308" s="167"/>
      <c r="S2308" s="167"/>
      <c r="T2308" s="168">
        <f t="shared" si="3"/>
        <v>44697.12</v>
      </c>
      <c r="U2308" s="168">
        <f t="shared" si="4"/>
        <v>0</v>
      </c>
      <c r="V2308" s="168">
        <f t="shared" si="5"/>
        <v>0</v>
      </c>
      <c r="W2308" s="168">
        <f t="shared" si="6"/>
        <v>0</v>
      </c>
      <c r="X2308" s="168">
        <f t="shared" si="7"/>
        <v>0</v>
      </c>
      <c r="Y2308" s="168">
        <f t="shared" si="8"/>
        <v>0</v>
      </c>
      <c r="Z2308" s="168">
        <f t="shared" si="9"/>
        <v>0</v>
      </c>
    </row>
    <row r="2309" ht="15.0" customHeight="1">
      <c r="A2309" s="157" t="s">
        <v>2561</v>
      </c>
      <c r="B2309" s="158" t="s">
        <v>127</v>
      </c>
      <c r="C2309" s="158"/>
      <c r="D2309" s="159"/>
      <c r="E2309" s="157"/>
      <c r="F2309" s="160"/>
      <c r="G2309" s="160"/>
      <c r="H2309" s="160">
        <f t="shared" si="55"/>
        <v>0</v>
      </c>
      <c r="I2309" s="160"/>
      <c r="J2309" s="161"/>
      <c r="K2309" s="160"/>
      <c r="L2309" s="160">
        <f>+'FACP$'!$H2309-'FACP$'!$I2309-'FACP$'!$K2309</f>
        <v>0</v>
      </c>
      <c r="M2309" s="162"/>
      <c r="N2309" s="162" t="s">
        <v>127</v>
      </c>
      <c r="O2309" s="164"/>
      <c r="P2309" s="164">
        <f t="shared" si="13"/>
        <v>10</v>
      </c>
      <c r="Q2309" s="165">
        <f t="shared" si="2"/>
        <v>0</v>
      </c>
      <c r="R2309" s="167"/>
      <c r="S2309" s="167"/>
      <c r="T2309" s="168">
        <f t="shared" si="3"/>
        <v>0</v>
      </c>
      <c r="U2309" s="168">
        <f t="shared" si="4"/>
        <v>0</v>
      </c>
      <c r="V2309" s="168">
        <f t="shared" si="5"/>
        <v>0</v>
      </c>
      <c r="W2309" s="168">
        <f t="shared" si="6"/>
        <v>0</v>
      </c>
      <c r="X2309" s="168">
        <f t="shared" si="7"/>
        <v>0</v>
      </c>
      <c r="Y2309" s="168">
        <f t="shared" si="8"/>
        <v>0</v>
      </c>
      <c r="Z2309" s="168">
        <f t="shared" si="9"/>
        <v>0</v>
      </c>
    </row>
    <row r="2310" ht="15.0" customHeight="1">
      <c r="A2310" s="157" t="s">
        <v>2562</v>
      </c>
      <c r="B2310" s="158" t="s">
        <v>37</v>
      </c>
      <c r="C2310" s="158" t="s">
        <v>2431</v>
      </c>
      <c r="D2310" s="159">
        <v>44236.0</v>
      </c>
      <c r="E2310" s="157" t="s">
        <v>731</v>
      </c>
      <c r="F2310" s="160">
        <v>19266.0</v>
      </c>
      <c r="G2310" s="160">
        <v>3082.56</v>
      </c>
      <c r="H2310" s="160">
        <f t="shared" si="55"/>
        <v>22348.56</v>
      </c>
      <c r="I2310" s="160"/>
      <c r="J2310" s="161"/>
      <c r="K2310" s="160"/>
      <c r="L2310" s="160">
        <f>+'FACP$'!$H2310-'FACP$'!$I2310-'FACP$'!$K2310</f>
        <v>22348.56</v>
      </c>
      <c r="M2310" s="162" t="s">
        <v>116</v>
      </c>
      <c r="N2310" s="162" t="s">
        <v>554</v>
      </c>
      <c r="O2310" s="164">
        <v>44292.0</v>
      </c>
      <c r="P2310" s="164">
        <f t="shared" si="13"/>
        <v>44246</v>
      </c>
      <c r="Q2310" s="165">
        <f t="shared" si="2"/>
        <v>0</v>
      </c>
      <c r="R2310" s="167"/>
      <c r="S2310" s="167"/>
      <c r="T2310" s="168">
        <f t="shared" si="3"/>
        <v>22348.56</v>
      </c>
      <c r="U2310" s="168">
        <f t="shared" si="4"/>
        <v>0</v>
      </c>
      <c r="V2310" s="168">
        <f t="shared" si="5"/>
        <v>0</v>
      </c>
      <c r="W2310" s="168">
        <f t="shared" si="6"/>
        <v>0</v>
      </c>
      <c r="X2310" s="168">
        <f t="shared" si="7"/>
        <v>0</v>
      </c>
      <c r="Y2310" s="168">
        <f t="shared" si="8"/>
        <v>0</v>
      </c>
      <c r="Z2310" s="168">
        <f t="shared" si="9"/>
        <v>0</v>
      </c>
    </row>
    <row r="2311" ht="15.0" customHeight="1">
      <c r="A2311" s="157" t="s">
        <v>2563</v>
      </c>
      <c r="B2311" s="158" t="s">
        <v>29</v>
      </c>
      <c r="C2311" s="158" t="s">
        <v>2431</v>
      </c>
      <c r="D2311" s="159">
        <v>44236.0</v>
      </c>
      <c r="E2311" s="157" t="s">
        <v>731</v>
      </c>
      <c r="F2311" s="160">
        <v>19266.0</v>
      </c>
      <c r="G2311" s="160">
        <v>3082.56</v>
      </c>
      <c r="H2311" s="160">
        <f t="shared" si="55"/>
        <v>22348.56</v>
      </c>
      <c r="I2311" s="160"/>
      <c r="J2311" s="161"/>
      <c r="K2311" s="160"/>
      <c r="L2311" s="160">
        <f>+'FACP$'!$H2311-'FACP$'!$I2311-'FACP$'!$K2311</f>
        <v>22348.56</v>
      </c>
      <c r="M2311" s="162" t="s">
        <v>130</v>
      </c>
      <c r="N2311" s="162" t="s">
        <v>554</v>
      </c>
      <c r="O2311" s="164">
        <v>44284.0</v>
      </c>
      <c r="P2311" s="164">
        <f t="shared" si="13"/>
        <v>44246</v>
      </c>
      <c r="Q2311" s="165">
        <f t="shared" si="2"/>
        <v>0</v>
      </c>
      <c r="R2311" s="167"/>
      <c r="S2311" s="167"/>
      <c r="T2311" s="168">
        <f t="shared" si="3"/>
        <v>22348.56</v>
      </c>
      <c r="U2311" s="168">
        <f t="shared" si="4"/>
        <v>0</v>
      </c>
      <c r="V2311" s="168">
        <f t="shared" si="5"/>
        <v>0</v>
      </c>
      <c r="W2311" s="168">
        <f t="shared" si="6"/>
        <v>0</v>
      </c>
      <c r="X2311" s="168">
        <f t="shared" si="7"/>
        <v>0</v>
      </c>
      <c r="Y2311" s="168">
        <f t="shared" si="8"/>
        <v>0</v>
      </c>
      <c r="Z2311" s="168">
        <f t="shared" si="9"/>
        <v>0</v>
      </c>
    </row>
    <row r="2312" ht="15.0" customHeight="1">
      <c r="A2312" s="157" t="s">
        <v>2564</v>
      </c>
      <c r="B2312" s="158" t="s">
        <v>16</v>
      </c>
      <c r="C2312" s="158" t="s">
        <v>2431</v>
      </c>
      <c r="D2312" s="159">
        <v>44236.0</v>
      </c>
      <c r="E2312" s="157" t="s">
        <v>731</v>
      </c>
      <c r="F2312" s="160">
        <v>11362.0</v>
      </c>
      <c r="G2312" s="160">
        <v>1817.92</v>
      </c>
      <c r="H2312" s="160">
        <f t="shared" si="55"/>
        <v>13179.92</v>
      </c>
      <c r="I2312" s="160"/>
      <c r="J2312" s="161"/>
      <c r="K2312" s="160"/>
      <c r="L2312" s="160">
        <f>+'FACP$'!$H2312-'FACP$'!$I2312-'FACP$'!$K2312</f>
        <v>13179.92</v>
      </c>
      <c r="M2312" s="162" t="s">
        <v>985</v>
      </c>
      <c r="N2312" s="162" t="s">
        <v>127</v>
      </c>
      <c r="O2312" s="164"/>
      <c r="P2312" s="164">
        <f t="shared" si="13"/>
        <v>44246</v>
      </c>
      <c r="Q2312" s="165">
        <f t="shared" si="2"/>
        <v>0</v>
      </c>
      <c r="R2312" s="167"/>
      <c r="S2312" s="167"/>
      <c r="T2312" s="168">
        <f t="shared" si="3"/>
        <v>13179.92</v>
      </c>
      <c r="U2312" s="168">
        <f t="shared" si="4"/>
        <v>0</v>
      </c>
      <c r="V2312" s="168">
        <f t="shared" si="5"/>
        <v>0</v>
      </c>
      <c r="W2312" s="168">
        <f t="shared" si="6"/>
        <v>0</v>
      </c>
      <c r="X2312" s="168">
        <f t="shared" si="7"/>
        <v>0</v>
      </c>
      <c r="Y2312" s="168">
        <f t="shared" si="8"/>
        <v>0</v>
      </c>
      <c r="Z2312" s="168">
        <f t="shared" si="9"/>
        <v>0</v>
      </c>
      <c r="AA2312" s="240"/>
      <c r="AB2312" s="240"/>
      <c r="AC2312" s="240"/>
    </row>
    <row r="2313" ht="15.0" customHeight="1">
      <c r="A2313" s="157" t="s">
        <v>2565</v>
      </c>
      <c r="B2313" s="158" t="s">
        <v>37</v>
      </c>
      <c r="C2313" s="158" t="s">
        <v>2431</v>
      </c>
      <c r="D2313" s="159">
        <v>44236.0</v>
      </c>
      <c r="E2313" s="157" t="s">
        <v>731</v>
      </c>
      <c r="F2313" s="160">
        <v>38532.0</v>
      </c>
      <c r="G2313" s="160">
        <v>6165.12</v>
      </c>
      <c r="H2313" s="160">
        <f t="shared" si="55"/>
        <v>44697.12</v>
      </c>
      <c r="I2313" s="160"/>
      <c r="J2313" s="161"/>
      <c r="K2313" s="160"/>
      <c r="L2313" s="160">
        <f>+'FACP$'!$H2313-'FACP$'!$I2313-'FACP$'!$K2313</f>
        <v>44697.12</v>
      </c>
      <c r="M2313" s="162" t="s">
        <v>116</v>
      </c>
      <c r="N2313" s="162" t="s">
        <v>554</v>
      </c>
      <c r="O2313" s="164">
        <v>44292.0</v>
      </c>
      <c r="P2313" s="164">
        <f t="shared" si="13"/>
        <v>44246</v>
      </c>
      <c r="Q2313" s="165">
        <f t="shared" si="2"/>
        <v>0</v>
      </c>
      <c r="R2313" s="167"/>
      <c r="S2313" s="167"/>
      <c r="T2313" s="168">
        <f t="shared" si="3"/>
        <v>44697.12</v>
      </c>
      <c r="U2313" s="168">
        <f t="shared" si="4"/>
        <v>0</v>
      </c>
      <c r="V2313" s="168">
        <f t="shared" si="5"/>
        <v>0</v>
      </c>
      <c r="W2313" s="168">
        <f t="shared" si="6"/>
        <v>0</v>
      </c>
      <c r="X2313" s="168">
        <f t="shared" si="7"/>
        <v>0</v>
      </c>
      <c r="Y2313" s="168">
        <f t="shared" si="8"/>
        <v>0</v>
      </c>
      <c r="Z2313" s="168">
        <f t="shared" si="9"/>
        <v>0</v>
      </c>
    </row>
    <row r="2314" ht="15.0" customHeight="1">
      <c r="A2314" s="157" t="s">
        <v>2566</v>
      </c>
      <c r="B2314" s="158" t="s">
        <v>37</v>
      </c>
      <c r="C2314" s="158" t="s">
        <v>2431</v>
      </c>
      <c r="D2314" s="159">
        <v>44237.0</v>
      </c>
      <c r="E2314" s="157" t="s">
        <v>731</v>
      </c>
      <c r="F2314" s="160">
        <v>38532.0</v>
      </c>
      <c r="G2314" s="160">
        <v>6165.12</v>
      </c>
      <c r="H2314" s="160">
        <f t="shared" si="55"/>
        <v>44697.12</v>
      </c>
      <c r="I2314" s="160"/>
      <c r="J2314" s="161"/>
      <c r="K2314" s="160"/>
      <c r="L2314" s="160">
        <f>+'FACP$'!$H2314-'FACP$'!$I2314-'FACP$'!$K2314</f>
        <v>44697.12</v>
      </c>
      <c r="M2314" s="162" t="s">
        <v>116</v>
      </c>
      <c r="N2314" s="162" t="s">
        <v>554</v>
      </c>
      <c r="O2314" s="164">
        <v>44292.0</v>
      </c>
      <c r="P2314" s="164">
        <f t="shared" si="13"/>
        <v>44247</v>
      </c>
      <c r="Q2314" s="165">
        <f t="shared" si="2"/>
        <v>0</v>
      </c>
      <c r="R2314" s="167"/>
      <c r="S2314" s="167"/>
      <c r="T2314" s="168">
        <f t="shared" si="3"/>
        <v>44697.12</v>
      </c>
      <c r="U2314" s="168">
        <f t="shared" si="4"/>
        <v>0</v>
      </c>
      <c r="V2314" s="168">
        <f t="shared" si="5"/>
        <v>0</v>
      </c>
      <c r="W2314" s="168">
        <f t="shared" si="6"/>
        <v>0</v>
      </c>
      <c r="X2314" s="168">
        <f t="shared" si="7"/>
        <v>0</v>
      </c>
      <c r="Y2314" s="168">
        <f t="shared" si="8"/>
        <v>0</v>
      </c>
      <c r="Z2314" s="168">
        <f t="shared" si="9"/>
        <v>0</v>
      </c>
    </row>
    <row r="2315" ht="15.0" customHeight="1">
      <c r="A2315" s="157" t="s">
        <v>2567</v>
      </c>
      <c r="B2315" s="158" t="s">
        <v>38</v>
      </c>
      <c r="C2315" s="158" t="s">
        <v>2431</v>
      </c>
      <c r="D2315" s="159">
        <v>44237.0</v>
      </c>
      <c r="E2315" s="157" t="s">
        <v>731</v>
      </c>
      <c r="F2315" s="160">
        <v>15314.0</v>
      </c>
      <c r="G2315" s="160">
        <v>2450.24</v>
      </c>
      <c r="H2315" s="160">
        <f t="shared" si="55"/>
        <v>17764.24</v>
      </c>
      <c r="I2315" s="160"/>
      <c r="J2315" s="161"/>
      <c r="K2315" s="160"/>
      <c r="L2315" s="160">
        <f>+'FACP$'!$H2315-'FACP$'!$I2315-'FACP$'!$K2315</f>
        <v>17764.24</v>
      </c>
      <c r="M2315" s="162" t="s">
        <v>145</v>
      </c>
      <c r="N2315" s="162" t="s">
        <v>554</v>
      </c>
      <c r="O2315" s="164">
        <v>44305.0</v>
      </c>
      <c r="P2315" s="164">
        <f t="shared" si="13"/>
        <v>44247</v>
      </c>
      <c r="Q2315" s="165">
        <f t="shared" si="2"/>
        <v>0</v>
      </c>
      <c r="R2315" s="167"/>
      <c r="S2315" s="167"/>
      <c r="T2315" s="168">
        <f t="shared" si="3"/>
        <v>17764.24</v>
      </c>
      <c r="U2315" s="168">
        <f t="shared" si="4"/>
        <v>0</v>
      </c>
      <c r="V2315" s="168">
        <f t="shared" si="5"/>
        <v>0</v>
      </c>
      <c r="W2315" s="168">
        <f t="shared" si="6"/>
        <v>0</v>
      </c>
      <c r="X2315" s="168">
        <f t="shared" si="7"/>
        <v>0</v>
      </c>
      <c r="Y2315" s="168">
        <f t="shared" si="8"/>
        <v>0</v>
      </c>
      <c r="Z2315" s="168">
        <f t="shared" si="9"/>
        <v>0</v>
      </c>
    </row>
    <row r="2316" ht="15.0" customHeight="1">
      <c r="A2316" s="157" t="s">
        <v>2568</v>
      </c>
      <c r="B2316" s="158" t="s">
        <v>16</v>
      </c>
      <c r="C2316" s="158" t="s">
        <v>2431</v>
      </c>
      <c r="D2316" s="159">
        <v>44237.0</v>
      </c>
      <c r="E2316" s="157" t="s">
        <v>731</v>
      </c>
      <c r="F2316" s="160">
        <v>11362.0</v>
      </c>
      <c r="G2316" s="160">
        <v>1817.92</v>
      </c>
      <c r="H2316" s="160">
        <f t="shared" si="55"/>
        <v>13179.92</v>
      </c>
      <c r="I2316" s="160"/>
      <c r="J2316" s="161"/>
      <c r="K2316" s="160"/>
      <c r="L2316" s="160">
        <f>+'FACP$'!$H2316-'FACP$'!$I2316-'FACP$'!$K2316</f>
        <v>13179.92</v>
      </c>
      <c r="M2316" s="162" t="s">
        <v>985</v>
      </c>
      <c r="N2316" s="162" t="s">
        <v>127</v>
      </c>
      <c r="O2316" s="164"/>
      <c r="P2316" s="164">
        <f t="shared" si="13"/>
        <v>44247</v>
      </c>
      <c r="Q2316" s="165">
        <f t="shared" si="2"/>
        <v>0</v>
      </c>
      <c r="R2316" s="167"/>
      <c r="S2316" s="167"/>
      <c r="T2316" s="168">
        <f t="shared" si="3"/>
        <v>13179.92</v>
      </c>
      <c r="U2316" s="168">
        <f t="shared" si="4"/>
        <v>0</v>
      </c>
      <c r="V2316" s="168">
        <f t="shared" si="5"/>
        <v>0</v>
      </c>
      <c r="W2316" s="168">
        <f t="shared" si="6"/>
        <v>0</v>
      </c>
      <c r="X2316" s="168">
        <f t="shared" si="7"/>
        <v>0</v>
      </c>
      <c r="Y2316" s="168">
        <f t="shared" si="8"/>
        <v>0</v>
      </c>
      <c r="Z2316" s="168">
        <f t="shared" si="9"/>
        <v>0</v>
      </c>
    </row>
    <row r="2317" ht="15.0" customHeight="1">
      <c r="A2317" s="157" t="s">
        <v>2569</v>
      </c>
      <c r="B2317" s="158" t="s">
        <v>37</v>
      </c>
      <c r="C2317" s="158" t="s">
        <v>2431</v>
      </c>
      <c r="D2317" s="159">
        <v>44237.0</v>
      </c>
      <c r="E2317" s="157" t="s">
        <v>731</v>
      </c>
      <c r="F2317" s="160">
        <v>38532.0</v>
      </c>
      <c r="G2317" s="160">
        <v>6165.12</v>
      </c>
      <c r="H2317" s="160">
        <f t="shared" si="55"/>
        <v>44697.12</v>
      </c>
      <c r="I2317" s="160"/>
      <c r="J2317" s="161"/>
      <c r="K2317" s="160"/>
      <c r="L2317" s="160">
        <f>+'FACP$'!$H2317-'FACP$'!$I2317-'FACP$'!$K2317</f>
        <v>44697.12</v>
      </c>
      <c r="M2317" s="162" t="s">
        <v>116</v>
      </c>
      <c r="N2317" s="162" t="s">
        <v>127</v>
      </c>
      <c r="O2317" s="164"/>
      <c r="P2317" s="164">
        <f t="shared" si="13"/>
        <v>44247</v>
      </c>
      <c r="Q2317" s="165">
        <f t="shared" si="2"/>
        <v>0</v>
      </c>
      <c r="R2317" s="167"/>
      <c r="S2317" s="167"/>
      <c r="T2317" s="168">
        <f t="shared" si="3"/>
        <v>44697.12</v>
      </c>
      <c r="U2317" s="168">
        <f t="shared" si="4"/>
        <v>0</v>
      </c>
      <c r="V2317" s="168">
        <f t="shared" si="5"/>
        <v>0</v>
      </c>
      <c r="W2317" s="168">
        <f t="shared" si="6"/>
        <v>0</v>
      </c>
      <c r="X2317" s="168">
        <f t="shared" si="7"/>
        <v>0</v>
      </c>
      <c r="Y2317" s="168">
        <f t="shared" si="8"/>
        <v>0</v>
      </c>
      <c r="Z2317" s="168">
        <f t="shared" si="9"/>
        <v>0</v>
      </c>
    </row>
    <row r="2318" ht="15.0" customHeight="1">
      <c r="A2318" s="157" t="s">
        <v>2570</v>
      </c>
      <c r="B2318" s="158" t="s">
        <v>37</v>
      </c>
      <c r="C2318" s="158" t="s">
        <v>2431</v>
      </c>
      <c r="D2318" s="159">
        <v>44237.0</v>
      </c>
      <c r="E2318" s="157" t="s">
        <v>731</v>
      </c>
      <c r="F2318" s="160">
        <v>19266.0</v>
      </c>
      <c r="G2318" s="160">
        <v>3082.56</v>
      </c>
      <c r="H2318" s="160">
        <f t="shared" si="55"/>
        <v>22348.56</v>
      </c>
      <c r="I2318" s="160"/>
      <c r="J2318" s="161"/>
      <c r="K2318" s="160"/>
      <c r="L2318" s="160">
        <f>+'FACP$'!$H2318-'FACP$'!$I2318-'FACP$'!$K2318</f>
        <v>22348.56</v>
      </c>
      <c r="M2318" s="162" t="s">
        <v>116</v>
      </c>
      <c r="N2318" s="162" t="s">
        <v>554</v>
      </c>
      <c r="O2318" s="164">
        <v>44292.0</v>
      </c>
      <c r="P2318" s="164">
        <f t="shared" si="13"/>
        <v>44247</v>
      </c>
      <c r="Q2318" s="165">
        <f t="shared" si="2"/>
        <v>0</v>
      </c>
      <c r="R2318" s="167"/>
      <c r="S2318" s="167"/>
      <c r="T2318" s="168">
        <f t="shared" si="3"/>
        <v>22348.56</v>
      </c>
      <c r="U2318" s="168">
        <f t="shared" si="4"/>
        <v>0</v>
      </c>
      <c r="V2318" s="168">
        <f t="shared" si="5"/>
        <v>0</v>
      </c>
      <c r="W2318" s="168">
        <f t="shared" si="6"/>
        <v>0</v>
      </c>
      <c r="X2318" s="168">
        <f t="shared" si="7"/>
        <v>0</v>
      </c>
      <c r="Y2318" s="168">
        <f t="shared" si="8"/>
        <v>0</v>
      </c>
      <c r="Z2318" s="168">
        <f t="shared" si="9"/>
        <v>0</v>
      </c>
    </row>
    <row r="2319" ht="15.0" customHeight="1">
      <c r="A2319" s="157" t="s">
        <v>2571</v>
      </c>
      <c r="B2319" s="158" t="s">
        <v>19</v>
      </c>
      <c r="C2319" s="158" t="s">
        <v>2431</v>
      </c>
      <c r="D2319" s="159">
        <v>44237.0</v>
      </c>
      <c r="E2319" s="157" t="s">
        <v>731</v>
      </c>
      <c r="F2319" s="160">
        <v>19266.0</v>
      </c>
      <c r="G2319" s="160">
        <v>3082.56</v>
      </c>
      <c r="H2319" s="160">
        <f t="shared" si="55"/>
        <v>22348.56</v>
      </c>
      <c r="I2319" s="160"/>
      <c r="J2319" s="161"/>
      <c r="K2319" s="160"/>
      <c r="L2319" s="160">
        <f>+'FACP$'!$H2319-'FACP$'!$I2319-'FACP$'!$K2319</f>
        <v>22348.56</v>
      </c>
      <c r="M2319" s="162" t="s">
        <v>732</v>
      </c>
      <c r="N2319" s="162" t="s">
        <v>554</v>
      </c>
      <c r="O2319" s="164">
        <v>44279.0</v>
      </c>
      <c r="P2319" s="164">
        <f t="shared" si="13"/>
        <v>44247</v>
      </c>
      <c r="Q2319" s="165">
        <f t="shared" si="2"/>
        <v>0</v>
      </c>
      <c r="R2319" s="167"/>
      <c r="S2319" s="167"/>
      <c r="T2319" s="168">
        <f t="shared" si="3"/>
        <v>22348.56</v>
      </c>
      <c r="U2319" s="168">
        <f t="shared" si="4"/>
        <v>0</v>
      </c>
      <c r="V2319" s="168">
        <f t="shared" si="5"/>
        <v>0</v>
      </c>
      <c r="W2319" s="168">
        <f t="shared" si="6"/>
        <v>0</v>
      </c>
      <c r="X2319" s="168">
        <f t="shared" si="7"/>
        <v>0</v>
      </c>
      <c r="Y2319" s="168">
        <f t="shared" si="8"/>
        <v>0</v>
      </c>
      <c r="Z2319" s="168">
        <f t="shared" si="9"/>
        <v>0</v>
      </c>
    </row>
    <row r="2320" ht="15.0" customHeight="1">
      <c r="A2320" s="157" t="s">
        <v>2572</v>
      </c>
      <c r="B2320" s="158" t="s">
        <v>37</v>
      </c>
      <c r="C2320" s="158" t="s">
        <v>2431</v>
      </c>
      <c r="D2320" s="159">
        <v>44237.0</v>
      </c>
      <c r="E2320" s="157" t="s">
        <v>731</v>
      </c>
      <c r="F2320" s="160">
        <v>38532.0</v>
      </c>
      <c r="G2320" s="160">
        <v>6165.12</v>
      </c>
      <c r="H2320" s="160">
        <f t="shared" si="55"/>
        <v>44697.12</v>
      </c>
      <c r="I2320" s="160"/>
      <c r="J2320" s="161"/>
      <c r="K2320" s="160"/>
      <c r="L2320" s="160">
        <f>+'FACP$'!$H2320-'FACP$'!$I2320-'FACP$'!$K2320</f>
        <v>44697.12</v>
      </c>
      <c r="M2320" s="162" t="s">
        <v>116</v>
      </c>
      <c r="N2320" s="162" t="s">
        <v>554</v>
      </c>
      <c r="O2320" s="164">
        <v>44292.0</v>
      </c>
      <c r="P2320" s="164">
        <f t="shared" si="13"/>
        <v>44247</v>
      </c>
      <c r="Q2320" s="165">
        <f t="shared" si="2"/>
        <v>0</v>
      </c>
      <c r="R2320" s="164" t="s">
        <v>2573</v>
      </c>
      <c r="S2320" s="167"/>
      <c r="T2320" s="168">
        <f t="shared" si="3"/>
        <v>44697.12</v>
      </c>
      <c r="U2320" s="168">
        <f t="shared" si="4"/>
        <v>0</v>
      </c>
      <c r="V2320" s="168">
        <f t="shared" si="5"/>
        <v>0</v>
      </c>
      <c r="W2320" s="168">
        <f t="shared" si="6"/>
        <v>0</v>
      </c>
      <c r="X2320" s="168">
        <f t="shared" si="7"/>
        <v>0</v>
      </c>
      <c r="Y2320" s="168">
        <f t="shared" si="8"/>
        <v>0</v>
      </c>
      <c r="Z2320" s="168">
        <f t="shared" si="9"/>
        <v>0</v>
      </c>
    </row>
    <row r="2321" ht="15.0" customHeight="1">
      <c r="A2321" s="157" t="s">
        <v>2574</v>
      </c>
      <c r="B2321" s="158" t="s">
        <v>37</v>
      </c>
      <c r="C2321" s="158" t="s">
        <v>2431</v>
      </c>
      <c r="D2321" s="159">
        <v>44237.0</v>
      </c>
      <c r="E2321" s="157" t="s">
        <v>731</v>
      </c>
      <c r="F2321" s="160">
        <v>38532.0</v>
      </c>
      <c r="G2321" s="160">
        <v>6165.12</v>
      </c>
      <c r="H2321" s="160">
        <f t="shared" si="55"/>
        <v>44697.12</v>
      </c>
      <c r="I2321" s="160"/>
      <c r="J2321" s="161"/>
      <c r="K2321" s="160"/>
      <c r="L2321" s="160">
        <f>+'FACP$'!$H2321-'FACP$'!$I2321-'FACP$'!$K2321</f>
        <v>44697.12</v>
      </c>
      <c r="M2321" s="162" t="s">
        <v>116</v>
      </c>
      <c r="N2321" s="162" t="s">
        <v>554</v>
      </c>
      <c r="O2321" s="164">
        <v>44292.0</v>
      </c>
      <c r="P2321" s="164">
        <f t="shared" si="13"/>
        <v>44247</v>
      </c>
      <c r="Q2321" s="165">
        <f t="shared" si="2"/>
        <v>0</v>
      </c>
      <c r="R2321" s="164" t="s">
        <v>2573</v>
      </c>
      <c r="S2321" s="167"/>
      <c r="T2321" s="168">
        <f t="shared" si="3"/>
        <v>44697.12</v>
      </c>
      <c r="U2321" s="168">
        <f t="shared" si="4"/>
        <v>0</v>
      </c>
      <c r="V2321" s="168">
        <f t="shared" si="5"/>
        <v>0</v>
      </c>
      <c r="W2321" s="168">
        <f t="shared" si="6"/>
        <v>0</v>
      </c>
      <c r="X2321" s="168">
        <f t="shared" si="7"/>
        <v>0</v>
      </c>
      <c r="Y2321" s="168">
        <f t="shared" si="8"/>
        <v>0</v>
      </c>
      <c r="Z2321" s="168">
        <f t="shared" si="9"/>
        <v>0</v>
      </c>
    </row>
    <row r="2322" ht="15.0" customHeight="1">
      <c r="A2322" s="157" t="s">
        <v>2575</v>
      </c>
      <c r="B2322" s="158" t="s">
        <v>16</v>
      </c>
      <c r="C2322" s="158" t="s">
        <v>2431</v>
      </c>
      <c r="D2322" s="159">
        <v>44237.0</v>
      </c>
      <c r="E2322" s="157" t="s">
        <v>731</v>
      </c>
      <c r="F2322" s="160">
        <v>11362.0</v>
      </c>
      <c r="G2322" s="160">
        <v>1817.92</v>
      </c>
      <c r="H2322" s="160">
        <f t="shared" si="55"/>
        <v>13179.92</v>
      </c>
      <c r="I2322" s="160"/>
      <c r="J2322" s="161"/>
      <c r="K2322" s="160"/>
      <c r="L2322" s="160">
        <f>+'FACP$'!$H2322-'FACP$'!$I2322-'FACP$'!$K2322</f>
        <v>13179.92</v>
      </c>
      <c r="M2322" s="162" t="s">
        <v>985</v>
      </c>
      <c r="N2322" s="162" t="s">
        <v>127</v>
      </c>
      <c r="O2322" s="164"/>
      <c r="P2322" s="164">
        <f t="shared" si="13"/>
        <v>44247</v>
      </c>
      <c r="Q2322" s="165">
        <f t="shared" si="2"/>
        <v>0</v>
      </c>
      <c r="R2322" s="167"/>
      <c r="S2322" s="167"/>
      <c r="T2322" s="168">
        <f t="shared" si="3"/>
        <v>13179.92</v>
      </c>
      <c r="U2322" s="168">
        <f t="shared" si="4"/>
        <v>0</v>
      </c>
      <c r="V2322" s="168">
        <f t="shared" si="5"/>
        <v>0</v>
      </c>
      <c r="W2322" s="168">
        <f t="shared" si="6"/>
        <v>0</v>
      </c>
      <c r="X2322" s="168">
        <f t="shared" si="7"/>
        <v>0</v>
      </c>
      <c r="Y2322" s="168">
        <f t="shared" si="8"/>
        <v>0</v>
      </c>
      <c r="Z2322" s="168">
        <f t="shared" si="9"/>
        <v>0</v>
      </c>
    </row>
    <row r="2323" ht="15.0" customHeight="1">
      <c r="A2323" s="157" t="s">
        <v>2576</v>
      </c>
      <c r="B2323" s="158" t="s">
        <v>37</v>
      </c>
      <c r="C2323" s="158" t="s">
        <v>2431</v>
      </c>
      <c r="D2323" s="159">
        <v>44237.0</v>
      </c>
      <c r="E2323" s="157" t="s">
        <v>731</v>
      </c>
      <c r="F2323" s="160">
        <v>38532.0</v>
      </c>
      <c r="G2323" s="160">
        <v>6165.12</v>
      </c>
      <c r="H2323" s="160">
        <f t="shared" si="55"/>
        <v>44697.12</v>
      </c>
      <c r="I2323" s="160"/>
      <c r="J2323" s="161"/>
      <c r="K2323" s="160"/>
      <c r="L2323" s="160">
        <f>+'FACP$'!$H2323-'FACP$'!$I2323-'FACP$'!$K2323</f>
        <v>44697.12</v>
      </c>
      <c r="M2323" s="162" t="s">
        <v>116</v>
      </c>
      <c r="N2323" s="162" t="s">
        <v>554</v>
      </c>
      <c r="O2323" s="164">
        <v>44292.0</v>
      </c>
      <c r="P2323" s="164">
        <f t="shared" si="13"/>
        <v>44247</v>
      </c>
      <c r="Q2323" s="165">
        <f t="shared" si="2"/>
        <v>0</v>
      </c>
      <c r="R2323" s="164" t="s">
        <v>2573</v>
      </c>
      <c r="S2323" s="167"/>
      <c r="T2323" s="168">
        <f t="shared" si="3"/>
        <v>44697.12</v>
      </c>
      <c r="U2323" s="168">
        <f t="shared" si="4"/>
        <v>0</v>
      </c>
      <c r="V2323" s="168">
        <f t="shared" si="5"/>
        <v>0</v>
      </c>
      <c r="W2323" s="168">
        <f t="shared" si="6"/>
        <v>0</v>
      </c>
      <c r="X2323" s="168">
        <f t="shared" si="7"/>
        <v>0</v>
      </c>
      <c r="Y2323" s="168">
        <f t="shared" si="8"/>
        <v>0</v>
      </c>
      <c r="Z2323" s="168">
        <f t="shared" si="9"/>
        <v>0</v>
      </c>
    </row>
    <row r="2324" ht="15.0" customHeight="1">
      <c r="A2324" s="157" t="s">
        <v>2577</v>
      </c>
      <c r="B2324" s="158" t="s">
        <v>127</v>
      </c>
      <c r="C2324" s="158"/>
      <c r="D2324" s="159"/>
      <c r="E2324" s="157"/>
      <c r="F2324" s="160"/>
      <c r="G2324" s="160"/>
      <c r="H2324" s="160">
        <f t="shared" si="55"/>
        <v>0</v>
      </c>
      <c r="I2324" s="160"/>
      <c r="J2324" s="161"/>
      <c r="K2324" s="160"/>
      <c r="L2324" s="160">
        <f>+'FACP$'!$H2324-'FACP$'!$I2324-'FACP$'!$K2324</f>
        <v>0</v>
      </c>
      <c r="M2324" s="162"/>
      <c r="N2324" s="162" t="s">
        <v>127</v>
      </c>
      <c r="O2324" s="164"/>
      <c r="P2324" s="164">
        <f t="shared" si="13"/>
        <v>10</v>
      </c>
      <c r="Q2324" s="165">
        <f t="shared" si="2"/>
        <v>0</v>
      </c>
      <c r="R2324" s="167"/>
      <c r="S2324" s="167"/>
      <c r="T2324" s="168">
        <f t="shared" si="3"/>
        <v>0</v>
      </c>
      <c r="U2324" s="168">
        <f t="shared" si="4"/>
        <v>0</v>
      </c>
      <c r="V2324" s="168">
        <f t="shared" si="5"/>
        <v>0</v>
      </c>
      <c r="W2324" s="168">
        <f t="shared" si="6"/>
        <v>0</v>
      </c>
      <c r="X2324" s="168">
        <f t="shared" si="7"/>
        <v>0</v>
      </c>
      <c r="Y2324" s="168">
        <f t="shared" si="8"/>
        <v>0</v>
      </c>
      <c r="Z2324" s="168">
        <f t="shared" si="9"/>
        <v>0</v>
      </c>
    </row>
    <row r="2325" ht="15.0" customHeight="1">
      <c r="A2325" s="157" t="s">
        <v>2578</v>
      </c>
      <c r="B2325" s="158" t="s">
        <v>16</v>
      </c>
      <c r="C2325" s="158" t="s">
        <v>2431</v>
      </c>
      <c r="D2325" s="159">
        <v>44237.0</v>
      </c>
      <c r="E2325" s="157" t="s">
        <v>731</v>
      </c>
      <c r="F2325" s="160">
        <v>11362.0</v>
      </c>
      <c r="G2325" s="160">
        <v>1817.92</v>
      </c>
      <c r="H2325" s="160">
        <f t="shared" si="55"/>
        <v>13179.92</v>
      </c>
      <c r="I2325" s="160"/>
      <c r="J2325" s="161"/>
      <c r="K2325" s="160"/>
      <c r="L2325" s="160">
        <f>+'FACP$'!$H2325-'FACP$'!$I2325-'FACP$'!$K2325</f>
        <v>13179.92</v>
      </c>
      <c r="M2325" s="162" t="s">
        <v>985</v>
      </c>
      <c r="N2325" s="162" t="s">
        <v>127</v>
      </c>
      <c r="O2325" s="164"/>
      <c r="P2325" s="164">
        <f t="shared" si="13"/>
        <v>44247</v>
      </c>
      <c r="Q2325" s="165">
        <f t="shared" si="2"/>
        <v>0</v>
      </c>
      <c r="R2325" s="167"/>
      <c r="S2325" s="167"/>
      <c r="T2325" s="168">
        <f t="shared" si="3"/>
        <v>13179.92</v>
      </c>
      <c r="U2325" s="168">
        <f t="shared" si="4"/>
        <v>0</v>
      </c>
      <c r="V2325" s="168">
        <f t="shared" si="5"/>
        <v>0</v>
      </c>
      <c r="W2325" s="168">
        <f t="shared" si="6"/>
        <v>0</v>
      </c>
      <c r="X2325" s="168">
        <f t="shared" si="7"/>
        <v>0</v>
      </c>
      <c r="Y2325" s="168">
        <f t="shared" si="8"/>
        <v>0</v>
      </c>
      <c r="Z2325" s="168">
        <f t="shared" si="9"/>
        <v>0</v>
      </c>
    </row>
    <row r="2326" ht="15.0" customHeight="1">
      <c r="A2326" s="157" t="s">
        <v>2579</v>
      </c>
      <c r="B2326" s="158" t="s">
        <v>37</v>
      </c>
      <c r="C2326" s="158" t="s">
        <v>2431</v>
      </c>
      <c r="D2326" s="159">
        <v>44237.0</v>
      </c>
      <c r="E2326" s="157" t="s">
        <v>731</v>
      </c>
      <c r="F2326" s="160">
        <v>38532.0</v>
      </c>
      <c r="G2326" s="160">
        <v>6165.12</v>
      </c>
      <c r="H2326" s="160">
        <f t="shared" si="55"/>
        <v>44697.12</v>
      </c>
      <c r="I2326" s="160"/>
      <c r="J2326" s="161"/>
      <c r="K2326" s="160"/>
      <c r="L2326" s="160">
        <f>+'FACP$'!$H2326-'FACP$'!$I2326-'FACP$'!$K2326</f>
        <v>44697.12</v>
      </c>
      <c r="M2326" s="162" t="s">
        <v>116</v>
      </c>
      <c r="N2326" s="162" t="s">
        <v>554</v>
      </c>
      <c r="O2326" s="164">
        <v>44292.0</v>
      </c>
      <c r="P2326" s="164">
        <f t="shared" si="13"/>
        <v>44247</v>
      </c>
      <c r="Q2326" s="165">
        <f t="shared" si="2"/>
        <v>0</v>
      </c>
      <c r="R2326" s="164" t="s">
        <v>2573</v>
      </c>
      <c r="S2326" s="167"/>
      <c r="T2326" s="168">
        <f t="shared" si="3"/>
        <v>44697.12</v>
      </c>
      <c r="U2326" s="168">
        <f t="shared" si="4"/>
        <v>0</v>
      </c>
      <c r="V2326" s="168">
        <f t="shared" si="5"/>
        <v>0</v>
      </c>
      <c r="W2326" s="168">
        <f t="shared" si="6"/>
        <v>0</v>
      </c>
      <c r="X2326" s="168">
        <f t="shared" si="7"/>
        <v>0</v>
      </c>
      <c r="Y2326" s="168">
        <f t="shared" si="8"/>
        <v>0</v>
      </c>
      <c r="Z2326" s="168">
        <f t="shared" si="9"/>
        <v>0</v>
      </c>
    </row>
    <row r="2327" ht="15.0" customHeight="1">
      <c r="A2327" s="157" t="s">
        <v>2580</v>
      </c>
      <c r="B2327" s="158" t="s">
        <v>37</v>
      </c>
      <c r="C2327" s="158" t="s">
        <v>2431</v>
      </c>
      <c r="D2327" s="159">
        <v>44237.0</v>
      </c>
      <c r="E2327" s="157" t="s">
        <v>731</v>
      </c>
      <c r="F2327" s="160">
        <v>38532.0</v>
      </c>
      <c r="G2327" s="160">
        <v>6165.12</v>
      </c>
      <c r="H2327" s="160">
        <f t="shared" si="55"/>
        <v>44697.12</v>
      </c>
      <c r="I2327" s="160"/>
      <c r="J2327" s="161"/>
      <c r="K2327" s="160"/>
      <c r="L2327" s="160">
        <f>+'FACP$'!$H2327-'FACP$'!$I2327-'FACP$'!$K2327</f>
        <v>44697.12</v>
      </c>
      <c r="M2327" s="162" t="s">
        <v>116</v>
      </c>
      <c r="N2327" s="162" t="s">
        <v>554</v>
      </c>
      <c r="O2327" s="164">
        <v>44292.0</v>
      </c>
      <c r="P2327" s="164">
        <f t="shared" si="13"/>
        <v>44247</v>
      </c>
      <c r="Q2327" s="165">
        <f t="shared" si="2"/>
        <v>0</v>
      </c>
      <c r="R2327" s="164" t="s">
        <v>2573</v>
      </c>
      <c r="S2327" s="167"/>
      <c r="T2327" s="168">
        <f t="shared" si="3"/>
        <v>44697.12</v>
      </c>
      <c r="U2327" s="168">
        <f t="shared" si="4"/>
        <v>0</v>
      </c>
      <c r="V2327" s="168">
        <f t="shared" si="5"/>
        <v>0</v>
      </c>
      <c r="W2327" s="168">
        <f t="shared" si="6"/>
        <v>0</v>
      </c>
      <c r="X2327" s="168">
        <f t="shared" si="7"/>
        <v>0</v>
      </c>
      <c r="Y2327" s="168">
        <f t="shared" si="8"/>
        <v>0</v>
      </c>
      <c r="Z2327" s="168">
        <f t="shared" si="9"/>
        <v>0</v>
      </c>
    </row>
    <row r="2328" ht="15.0" customHeight="1">
      <c r="A2328" s="157" t="s">
        <v>2581</v>
      </c>
      <c r="B2328" s="158" t="s">
        <v>29</v>
      </c>
      <c r="C2328" s="158" t="s">
        <v>2431</v>
      </c>
      <c r="D2328" s="159">
        <v>44237.0</v>
      </c>
      <c r="E2328" s="157" t="s">
        <v>731</v>
      </c>
      <c r="F2328" s="160">
        <v>38532.0</v>
      </c>
      <c r="G2328" s="160">
        <v>6165.12</v>
      </c>
      <c r="H2328" s="160">
        <f t="shared" si="55"/>
        <v>44697.12</v>
      </c>
      <c r="I2328" s="160"/>
      <c r="J2328" s="161"/>
      <c r="K2328" s="160"/>
      <c r="L2328" s="160">
        <f>+'FACP$'!$H2328-'FACP$'!$I2328-'FACP$'!$K2328</f>
        <v>44697.12</v>
      </c>
      <c r="M2328" s="162" t="s">
        <v>130</v>
      </c>
      <c r="N2328" s="162" t="s">
        <v>554</v>
      </c>
      <c r="O2328" s="164">
        <v>44284.0</v>
      </c>
      <c r="P2328" s="164">
        <f t="shared" si="13"/>
        <v>44247</v>
      </c>
      <c r="Q2328" s="165">
        <f t="shared" si="2"/>
        <v>0</v>
      </c>
      <c r="R2328" s="167"/>
      <c r="S2328" s="167"/>
      <c r="T2328" s="168">
        <f t="shared" si="3"/>
        <v>44697.12</v>
      </c>
      <c r="U2328" s="168">
        <f t="shared" si="4"/>
        <v>0</v>
      </c>
      <c r="V2328" s="168">
        <f t="shared" si="5"/>
        <v>0</v>
      </c>
      <c r="W2328" s="168">
        <f t="shared" si="6"/>
        <v>0</v>
      </c>
      <c r="X2328" s="168">
        <f t="shared" si="7"/>
        <v>0</v>
      </c>
      <c r="Y2328" s="168">
        <f t="shared" si="8"/>
        <v>0</v>
      </c>
      <c r="Z2328" s="168">
        <f t="shared" si="9"/>
        <v>0</v>
      </c>
    </row>
    <row r="2329" ht="15.0" customHeight="1">
      <c r="A2329" s="157" t="s">
        <v>2582</v>
      </c>
      <c r="B2329" s="158" t="s">
        <v>37</v>
      </c>
      <c r="C2329" s="158" t="s">
        <v>2431</v>
      </c>
      <c r="D2329" s="159">
        <v>44237.0</v>
      </c>
      <c r="E2329" s="157" t="s">
        <v>731</v>
      </c>
      <c r="F2329" s="160">
        <v>38532.0</v>
      </c>
      <c r="G2329" s="160">
        <v>6165.12</v>
      </c>
      <c r="H2329" s="160">
        <f t="shared" si="55"/>
        <v>44697.12</v>
      </c>
      <c r="I2329" s="160"/>
      <c r="J2329" s="161"/>
      <c r="K2329" s="160"/>
      <c r="L2329" s="160">
        <f>+'FACP$'!$H2329-'FACP$'!$I2329-'FACP$'!$K2329</f>
        <v>44697.12</v>
      </c>
      <c r="M2329" s="162" t="s">
        <v>116</v>
      </c>
      <c r="N2329" s="162" t="s">
        <v>554</v>
      </c>
      <c r="O2329" s="164">
        <v>44292.0</v>
      </c>
      <c r="P2329" s="164">
        <f t="shared" si="13"/>
        <v>44247</v>
      </c>
      <c r="Q2329" s="165">
        <f t="shared" si="2"/>
        <v>0</v>
      </c>
      <c r="R2329" s="164" t="s">
        <v>2573</v>
      </c>
      <c r="S2329" s="167"/>
      <c r="T2329" s="168">
        <f t="shared" si="3"/>
        <v>44697.12</v>
      </c>
      <c r="U2329" s="168">
        <f t="shared" si="4"/>
        <v>0</v>
      </c>
      <c r="V2329" s="168">
        <f t="shared" si="5"/>
        <v>0</v>
      </c>
      <c r="W2329" s="168">
        <f t="shared" si="6"/>
        <v>0</v>
      </c>
      <c r="X2329" s="168">
        <f t="shared" si="7"/>
        <v>0</v>
      </c>
      <c r="Y2329" s="168">
        <f t="shared" si="8"/>
        <v>0</v>
      </c>
      <c r="Z2329" s="168">
        <f t="shared" si="9"/>
        <v>0</v>
      </c>
    </row>
    <row r="2330" ht="15.0" customHeight="1">
      <c r="A2330" s="157" t="s">
        <v>2583</v>
      </c>
      <c r="B2330" s="158" t="s">
        <v>16</v>
      </c>
      <c r="C2330" s="158" t="s">
        <v>2431</v>
      </c>
      <c r="D2330" s="159">
        <v>44238.0</v>
      </c>
      <c r="E2330" s="157" t="s">
        <v>731</v>
      </c>
      <c r="F2330" s="160">
        <v>11362.0</v>
      </c>
      <c r="G2330" s="160">
        <v>1817.92</v>
      </c>
      <c r="H2330" s="160">
        <f t="shared" si="55"/>
        <v>13179.92</v>
      </c>
      <c r="I2330" s="160"/>
      <c r="J2330" s="161"/>
      <c r="K2330" s="160"/>
      <c r="L2330" s="160">
        <f>+'FACP$'!$H2330-'FACP$'!$I2330-'FACP$'!$K2330</f>
        <v>13179.92</v>
      </c>
      <c r="M2330" s="162" t="s">
        <v>985</v>
      </c>
      <c r="N2330" s="162" t="s">
        <v>127</v>
      </c>
      <c r="O2330" s="164"/>
      <c r="P2330" s="164">
        <f t="shared" si="13"/>
        <v>44248</v>
      </c>
      <c r="Q2330" s="165">
        <f t="shared" si="2"/>
        <v>0</v>
      </c>
      <c r="R2330" s="167"/>
      <c r="S2330" s="167"/>
      <c r="T2330" s="168">
        <f t="shared" si="3"/>
        <v>13179.92</v>
      </c>
      <c r="U2330" s="168">
        <f t="shared" si="4"/>
        <v>0</v>
      </c>
      <c r="V2330" s="168">
        <f t="shared" si="5"/>
        <v>0</v>
      </c>
      <c r="W2330" s="168">
        <f t="shared" si="6"/>
        <v>0</v>
      </c>
      <c r="X2330" s="168">
        <f t="shared" si="7"/>
        <v>0</v>
      </c>
      <c r="Y2330" s="168">
        <f t="shared" si="8"/>
        <v>0</v>
      </c>
      <c r="Z2330" s="168">
        <f t="shared" si="9"/>
        <v>0</v>
      </c>
    </row>
    <row r="2331" ht="15.0" customHeight="1">
      <c r="A2331" s="157" t="s">
        <v>2584</v>
      </c>
      <c r="B2331" s="158" t="s">
        <v>37</v>
      </c>
      <c r="C2331" s="158" t="s">
        <v>2431</v>
      </c>
      <c r="D2331" s="159">
        <v>44238.0</v>
      </c>
      <c r="E2331" s="157" t="s">
        <v>731</v>
      </c>
      <c r="F2331" s="160">
        <v>38532.0</v>
      </c>
      <c r="G2331" s="160">
        <v>6165.12</v>
      </c>
      <c r="H2331" s="160">
        <f t="shared" si="55"/>
        <v>44697.12</v>
      </c>
      <c r="I2331" s="160"/>
      <c r="J2331" s="161"/>
      <c r="K2331" s="160"/>
      <c r="L2331" s="160">
        <f>+'FACP$'!$H2331-'FACP$'!$I2331-'FACP$'!$K2331</f>
        <v>44697.12</v>
      </c>
      <c r="M2331" s="162" t="s">
        <v>116</v>
      </c>
      <c r="N2331" s="162" t="s">
        <v>127</v>
      </c>
      <c r="O2331" s="164"/>
      <c r="P2331" s="164">
        <f t="shared" si="13"/>
        <v>44248</v>
      </c>
      <c r="Q2331" s="165">
        <f t="shared" si="2"/>
        <v>0</v>
      </c>
      <c r="R2331" s="167"/>
      <c r="S2331" s="167"/>
      <c r="T2331" s="168">
        <f t="shared" si="3"/>
        <v>44697.12</v>
      </c>
      <c r="U2331" s="168">
        <f t="shared" si="4"/>
        <v>0</v>
      </c>
      <c r="V2331" s="168">
        <f t="shared" si="5"/>
        <v>0</v>
      </c>
      <c r="W2331" s="168">
        <f t="shared" si="6"/>
        <v>0</v>
      </c>
      <c r="X2331" s="168">
        <f t="shared" si="7"/>
        <v>0</v>
      </c>
      <c r="Y2331" s="168">
        <f t="shared" si="8"/>
        <v>0</v>
      </c>
      <c r="Z2331" s="168">
        <f t="shared" si="9"/>
        <v>0</v>
      </c>
    </row>
    <row r="2332" ht="15.0" customHeight="1">
      <c r="A2332" s="157" t="s">
        <v>2585</v>
      </c>
      <c r="B2332" s="158" t="s">
        <v>37</v>
      </c>
      <c r="C2332" s="158" t="s">
        <v>2431</v>
      </c>
      <c r="D2332" s="159">
        <v>44238.0</v>
      </c>
      <c r="E2332" s="157" t="s">
        <v>731</v>
      </c>
      <c r="F2332" s="160">
        <v>38532.0</v>
      </c>
      <c r="G2332" s="160">
        <v>6165.12</v>
      </c>
      <c r="H2332" s="160">
        <f t="shared" si="55"/>
        <v>44697.12</v>
      </c>
      <c r="I2332" s="160"/>
      <c r="J2332" s="161"/>
      <c r="K2332" s="160"/>
      <c r="L2332" s="160">
        <f>+'FACP$'!$H2332-'FACP$'!$I2332-'FACP$'!$K2332</f>
        <v>44697.12</v>
      </c>
      <c r="M2332" s="162" t="s">
        <v>116</v>
      </c>
      <c r="N2332" s="162" t="s">
        <v>554</v>
      </c>
      <c r="O2332" s="164">
        <v>44292.0</v>
      </c>
      <c r="P2332" s="164">
        <f t="shared" si="13"/>
        <v>44248</v>
      </c>
      <c r="Q2332" s="165">
        <f t="shared" si="2"/>
        <v>0</v>
      </c>
      <c r="R2332" s="164" t="s">
        <v>2573</v>
      </c>
      <c r="S2332" s="167"/>
      <c r="T2332" s="168">
        <f t="shared" si="3"/>
        <v>44697.12</v>
      </c>
      <c r="U2332" s="168">
        <f t="shared" si="4"/>
        <v>0</v>
      </c>
      <c r="V2332" s="168">
        <f t="shared" si="5"/>
        <v>0</v>
      </c>
      <c r="W2332" s="168">
        <f t="shared" si="6"/>
        <v>0</v>
      </c>
      <c r="X2332" s="168">
        <f t="shared" si="7"/>
        <v>0</v>
      </c>
      <c r="Y2332" s="168">
        <f t="shared" si="8"/>
        <v>0</v>
      </c>
      <c r="Z2332" s="168">
        <f t="shared" si="9"/>
        <v>0</v>
      </c>
    </row>
    <row r="2333" ht="15.0" customHeight="1">
      <c r="A2333" s="157" t="s">
        <v>2586</v>
      </c>
      <c r="B2333" s="158" t="s">
        <v>127</v>
      </c>
      <c r="C2333" s="158"/>
      <c r="D2333" s="159"/>
      <c r="E2333" s="157"/>
      <c r="F2333" s="160"/>
      <c r="G2333" s="160"/>
      <c r="H2333" s="160">
        <f t="shared" si="55"/>
        <v>0</v>
      </c>
      <c r="I2333" s="160"/>
      <c r="J2333" s="161"/>
      <c r="K2333" s="160"/>
      <c r="L2333" s="160">
        <f>+'FACP$'!$H2333-'FACP$'!$I2333-'FACP$'!$K2333</f>
        <v>0</v>
      </c>
      <c r="M2333" s="162"/>
      <c r="N2333" s="162" t="s">
        <v>127</v>
      </c>
      <c r="O2333" s="164"/>
      <c r="P2333" s="164">
        <f t="shared" si="13"/>
        <v>10</v>
      </c>
      <c r="Q2333" s="165">
        <f t="shared" si="2"/>
        <v>0</v>
      </c>
      <c r="R2333" s="167"/>
      <c r="S2333" s="167"/>
      <c r="T2333" s="168">
        <f t="shared" si="3"/>
        <v>0</v>
      </c>
      <c r="U2333" s="168">
        <f t="shared" si="4"/>
        <v>0</v>
      </c>
      <c r="V2333" s="168">
        <f t="shared" si="5"/>
        <v>0</v>
      </c>
      <c r="W2333" s="168">
        <f t="shared" si="6"/>
        <v>0</v>
      </c>
      <c r="X2333" s="168">
        <f t="shared" si="7"/>
        <v>0</v>
      </c>
      <c r="Y2333" s="168">
        <f t="shared" si="8"/>
        <v>0</v>
      </c>
      <c r="Z2333" s="168">
        <f t="shared" si="9"/>
        <v>0</v>
      </c>
    </row>
    <row r="2334" ht="15.0" customHeight="1">
      <c r="A2334" s="157" t="s">
        <v>2587</v>
      </c>
      <c r="B2334" s="158" t="s">
        <v>127</v>
      </c>
      <c r="C2334" s="158"/>
      <c r="D2334" s="159"/>
      <c r="E2334" s="157"/>
      <c r="F2334" s="160"/>
      <c r="G2334" s="160"/>
      <c r="H2334" s="160">
        <f t="shared" si="55"/>
        <v>0</v>
      </c>
      <c r="I2334" s="160"/>
      <c r="J2334" s="161"/>
      <c r="K2334" s="160"/>
      <c r="L2334" s="160">
        <f>+'FACP$'!$H2334-'FACP$'!$I2334-'FACP$'!$K2334</f>
        <v>0</v>
      </c>
      <c r="M2334" s="162"/>
      <c r="N2334" s="162" t="s">
        <v>127</v>
      </c>
      <c r="O2334" s="164"/>
      <c r="P2334" s="164">
        <f t="shared" si="13"/>
        <v>10</v>
      </c>
      <c r="Q2334" s="165">
        <f t="shared" si="2"/>
        <v>0</v>
      </c>
      <c r="R2334" s="167"/>
      <c r="S2334" s="167"/>
      <c r="T2334" s="168">
        <f t="shared" si="3"/>
        <v>0</v>
      </c>
      <c r="U2334" s="168">
        <f t="shared" si="4"/>
        <v>0</v>
      </c>
      <c r="V2334" s="168">
        <f t="shared" si="5"/>
        <v>0</v>
      </c>
      <c r="W2334" s="168">
        <f t="shared" si="6"/>
        <v>0</v>
      </c>
      <c r="X2334" s="168">
        <f t="shared" si="7"/>
        <v>0</v>
      </c>
      <c r="Y2334" s="168">
        <f t="shared" si="8"/>
        <v>0</v>
      </c>
      <c r="Z2334" s="168">
        <f t="shared" si="9"/>
        <v>0</v>
      </c>
    </row>
    <row r="2335" ht="15.0" customHeight="1">
      <c r="A2335" s="157" t="s">
        <v>2588</v>
      </c>
      <c r="B2335" s="158" t="s">
        <v>127</v>
      </c>
      <c r="C2335" s="158"/>
      <c r="D2335" s="159"/>
      <c r="E2335" s="157"/>
      <c r="F2335" s="160"/>
      <c r="G2335" s="160"/>
      <c r="H2335" s="160">
        <f t="shared" si="55"/>
        <v>0</v>
      </c>
      <c r="I2335" s="160"/>
      <c r="J2335" s="161"/>
      <c r="K2335" s="160"/>
      <c r="L2335" s="160">
        <f>+'FACP$'!$H2335-'FACP$'!$I2335-'FACP$'!$K2335</f>
        <v>0</v>
      </c>
      <c r="M2335" s="162"/>
      <c r="N2335" s="162" t="s">
        <v>127</v>
      </c>
      <c r="O2335" s="164"/>
      <c r="P2335" s="164">
        <f t="shared" si="13"/>
        <v>10</v>
      </c>
      <c r="Q2335" s="165">
        <f t="shared" si="2"/>
        <v>0</v>
      </c>
      <c r="R2335" s="167"/>
      <c r="S2335" s="167"/>
      <c r="T2335" s="168">
        <f t="shared" si="3"/>
        <v>0</v>
      </c>
      <c r="U2335" s="168">
        <f t="shared" si="4"/>
        <v>0</v>
      </c>
      <c r="V2335" s="168">
        <f t="shared" si="5"/>
        <v>0</v>
      </c>
      <c r="W2335" s="168">
        <f t="shared" si="6"/>
        <v>0</v>
      </c>
      <c r="X2335" s="168">
        <f t="shared" si="7"/>
        <v>0</v>
      </c>
      <c r="Y2335" s="168">
        <f t="shared" si="8"/>
        <v>0</v>
      </c>
      <c r="Z2335" s="168">
        <f t="shared" si="9"/>
        <v>0</v>
      </c>
    </row>
    <row r="2336" ht="15.0" customHeight="1">
      <c r="A2336" s="157" t="s">
        <v>2589</v>
      </c>
      <c r="B2336" s="158" t="s">
        <v>127</v>
      </c>
      <c r="C2336" s="158"/>
      <c r="D2336" s="159"/>
      <c r="E2336" s="157"/>
      <c r="F2336" s="160"/>
      <c r="G2336" s="160"/>
      <c r="H2336" s="160">
        <f t="shared" si="55"/>
        <v>0</v>
      </c>
      <c r="I2336" s="160"/>
      <c r="J2336" s="161"/>
      <c r="K2336" s="160"/>
      <c r="L2336" s="160">
        <f>+'FACP$'!$H2336-'FACP$'!$I2336-'FACP$'!$K2336</f>
        <v>0</v>
      </c>
      <c r="M2336" s="162"/>
      <c r="N2336" s="162" t="s">
        <v>127</v>
      </c>
      <c r="O2336" s="164"/>
      <c r="P2336" s="164">
        <f t="shared" si="13"/>
        <v>10</v>
      </c>
      <c r="Q2336" s="165">
        <f t="shared" si="2"/>
        <v>0</v>
      </c>
      <c r="R2336" s="167"/>
      <c r="S2336" s="167"/>
      <c r="T2336" s="168">
        <f t="shared" si="3"/>
        <v>0</v>
      </c>
      <c r="U2336" s="168">
        <f t="shared" si="4"/>
        <v>0</v>
      </c>
      <c r="V2336" s="168">
        <f t="shared" si="5"/>
        <v>0</v>
      </c>
      <c r="W2336" s="168">
        <f t="shared" si="6"/>
        <v>0</v>
      </c>
      <c r="X2336" s="168">
        <f t="shared" si="7"/>
        <v>0</v>
      </c>
      <c r="Y2336" s="168">
        <f t="shared" si="8"/>
        <v>0</v>
      </c>
      <c r="Z2336" s="168">
        <f t="shared" si="9"/>
        <v>0</v>
      </c>
    </row>
    <row r="2337" ht="15.0" customHeight="1">
      <c r="A2337" s="157" t="s">
        <v>2590</v>
      </c>
      <c r="B2337" s="158" t="s">
        <v>37</v>
      </c>
      <c r="C2337" s="158" t="s">
        <v>2431</v>
      </c>
      <c r="D2337" s="159">
        <v>44238.0</v>
      </c>
      <c r="E2337" s="157" t="s">
        <v>731</v>
      </c>
      <c r="F2337" s="160">
        <v>38532.0</v>
      </c>
      <c r="G2337" s="160">
        <v>6165.12</v>
      </c>
      <c r="H2337" s="160">
        <f t="shared" si="55"/>
        <v>44697.12</v>
      </c>
      <c r="I2337" s="160"/>
      <c r="J2337" s="161"/>
      <c r="K2337" s="160"/>
      <c r="L2337" s="160">
        <f>+'FACP$'!$H2337-'FACP$'!$I2337-'FACP$'!$K2337</f>
        <v>44697.12</v>
      </c>
      <c r="M2337" s="162" t="s">
        <v>116</v>
      </c>
      <c r="N2337" s="162" t="s">
        <v>554</v>
      </c>
      <c r="O2337" s="164">
        <v>44292.0</v>
      </c>
      <c r="P2337" s="164">
        <f t="shared" si="13"/>
        <v>44248</v>
      </c>
      <c r="Q2337" s="165">
        <f t="shared" si="2"/>
        <v>0</v>
      </c>
      <c r="R2337" s="164" t="s">
        <v>2573</v>
      </c>
      <c r="S2337" s="167"/>
      <c r="T2337" s="168">
        <f t="shared" si="3"/>
        <v>44697.12</v>
      </c>
      <c r="U2337" s="168">
        <f t="shared" si="4"/>
        <v>0</v>
      </c>
      <c r="V2337" s="168">
        <f t="shared" si="5"/>
        <v>0</v>
      </c>
      <c r="W2337" s="168">
        <f t="shared" si="6"/>
        <v>0</v>
      </c>
      <c r="X2337" s="168">
        <f t="shared" si="7"/>
        <v>0</v>
      </c>
      <c r="Y2337" s="168">
        <f t="shared" si="8"/>
        <v>0</v>
      </c>
      <c r="Z2337" s="168">
        <f t="shared" si="9"/>
        <v>0</v>
      </c>
    </row>
    <row r="2338" ht="15.0" customHeight="1">
      <c r="A2338" s="157" t="s">
        <v>2591</v>
      </c>
      <c r="B2338" s="158" t="s">
        <v>37</v>
      </c>
      <c r="C2338" s="158" t="s">
        <v>2431</v>
      </c>
      <c r="D2338" s="159">
        <v>44238.0</v>
      </c>
      <c r="E2338" s="157" t="s">
        <v>731</v>
      </c>
      <c r="F2338" s="160">
        <v>19266.0</v>
      </c>
      <c r="G2338" s="160">
        <v>3082.56</v>
      </c>
      <c r="H2338" s="160">
        <f t="shared" si="55"/>
        <v>22348.56</v>
      </c>
      <c r="I2338" s="160"/>
      <c r="J2338" s="161"/>
      <c r="K2338" s="160"/>
      <c r="L2338" s="160">
        <f>+'FACP$'!$H2338-'FACP$'!$I2338-'FACP$'!$K2338</f>
        <v>22348.56</v>
      </c>
      <c r="M2338" s="162" t="s">
        <v>116</v>
      </c>
      <c r="N2338" s="162" t="s">
        <v>554</v>
      </c>
      <c r="O2338" s="164">
        <v>44292.0</v>
      </c>
      <c r="P2338" s="164">
        <f t="shared" si="13"/>
        <v>44248</v>
      </c>
      <c r="Q2338" s="165">
        <f t="shared" si="2"/>
        <v>0</v>
      </c>
      <c r="R2338" s="164" t="s">
        <v>2573</v>
      </c>
      <c r="S2338" s="167"/>
      <c r="T2338" s="168">
        <f t="shared" si="3"/>
        <v>22348.56</v>
      </c>
      <c r="U2338" s="168">
        <f t="shared" si="4"/>
        <v>0</v>
      </c>
      <c r="V2338" s="168">
        <f t="shared" si="5"/>
        <v>0</v>
      </c>
      <c r="W2338" s="168">
        <f t="shared" si="6"/>
        <v>0</v>
      </c>
      <c r="X2338" s="168">
        <f t="shared" si="7"/>
        <v>0</v>
      </c>
      <c r="Y2338" s="168">
        <f t="shared" si="8"/>
        <v>0</v>
      </c>
      <c r="Z2338" s="168">
        <f t="shared" si="9"/>
        <v>0</v>
      </c>
    </row>
    <row r="2339" ht="15.0" customHeight="1">
      <c r="A2339" s="157" t="s">
        <v>2592</v>
      </c>
      <c r="B2339" s="158" t="s">
        <v>18</v>
      </c>
      <c r="C2339" s="158" t="s">
        <v>2431</v>
      </c>
      <c r="D2339" s="159">
        <v>44238.0</v>
      </c>
      <c r="E2339" s="157" t="s">
        <v>731</v>
      </c>
      <c r="F2339" s="160">
        <v>19266.0</v>
      </c>
      <c r="G2339" s="160">
        <v>3082.56</v>
      </c>
      <c r="H2339" s="160">
        <f t="shared" si="55"/>
        <v>22348.56</v>
      </c>
      <c r="I2339" s="160"/>
      <c r="J2339" s="161"/>
      <c r="K2339" s="160"/>
      <c r="L2339" s="160">
        <f>+'FACP$'!$H2339-'FACP$'!$I2339-'FACP$'!$K2339</f>
        <v>22348.56</v>
      </c>
      <c r="M2339" s="162" t="s">
        <v>586</v>
      </c>
      <c r="N2339" s="162" t="s">
        <v>554</v>
      </c>
      <c r="O2339" s="164"/>
      <c r="P2339" s="164">
        <f t="shared" si="13"/>
        <v>44248</v>
      </c>
      <c r="Q2339" s="165">
        <f t="shared" si="2"/>
        <v>0</v>
      </c>
      <c r="R2339" s="164" t="s">
        <v>2593</v>
      </c>
      <c r="S2339" s="167"/>
      <c r="T2339" s="168">
        <f t="shared" si="3"/>
        <v>22348.56</v>
      </c>
      <c r="U2339" s="168">
        <f t="shared" si="4"/>
        <v>0</v>
      </c>
      <c r="V2339" s="168">
        <f t="shared" si="5"/>
        <v>0</v>
      </c>
      <c r="W2339" s="168">
        <f t="shared" si="6"/>
        <v>0</v>
      </c>
      <c r="X2339" s="168">
        <f t="shared" si="7"/>
        <v>0</v>
      </c>
      <c r="Y2339" s="168">
        <f t="shared" si="8"/>
        <v>0</v>
      </c>
      <c r="Z2339" s="168">
        <f t="shared" si="9"/>
        <v>0</v>
      </c>
    </row>
    <row r="2340" ht="15.0" customHeight="1">
      <c r="A2340" s="157" t="s">
        <v>2594</v>
      </c>
      <c r="B2340" s="158" t="s">
        <v>37</v>
      </c>
      <c r="C2340" s="158" t="s">
        <v>2431</v>
      </c>
      <c r="D2340" s="159">
        <v>44238.0</v>
      </c>
      <c r="E2340" s="157" t="s">
        <v>731</v>
      </c>
      <c r="F2340" s="160">
        <v>38532.0</v>
      </c>
      <c r="G2340" s="160">
        <v>6165.12</v>
      </c>
      <c r="H2340" s="160">
        <f t="shared" si="55"/>
        <v>44697.12</v>
      </c>
      <c r="I2340" s="160"/>
      <c r="J2340" s="161"/>
      <c r="K2340" s="160"/>
      <c r="L2340" s="160">
        <f>+'FACP$'!$H2340-'FACP$'!$I2340-'FACP$'!$K2340</f>
        <v>44697.12</v>
      </c>
      <c r="M2340" s="162" t="s">
        <v>116</v>
      </c>
      <c r="N2340" s="162" t="s">
        <v>554</v>
      </c>
      <c r="O2340" s="164">
        <v>44292.0</v>
      </c>
      <c r="P2340" s="164">
        <f t="shared" si="13"/>
        <v>44248</v>
      </c>
      <c r="Q2340" s="165">
        <f t="shared" si="2"/>
        <v>0</v>
      </c>
      <c r="R2340" s="164" t="s">
        <v>2573</v>
      </c>
      <c r="S2340" s="167"/>
      <c r="T2340" s="168">
        <f t="shared" si="3"/>
        <v>44697.12</v>
      </c>
      <c r="U2340" s="168">
        <f t="shared" si="4"/>
        <v>0</v>
      </c>
      <c r="V2340" s="168">
        <f t="shared" si="5"/>
        <v>0</v>
      </c>
      <c r="W2340" s="168">
        <f t="shared" si="6"/>
        <v>0</v>
      </c>
      <c r="X2340" s="168">
        <f t="shared" si="7"/>
        <v>0</v>
      </c>
      <c r="Y2340" s="168">
        <f t="shared" si="8"/>
        <v>0</v>
      </c>
      <c r="Z2340" s="168">
        <f t="shared" si="9"/>
        <v>0</v>
      </c>
    </row>
    <row r="2341" ht="15.0" customHeight="1">
      <c r="A2341" s="157" t="s">
        <v>2595</v>
      </c>
      <c r="B2341" s="158" t="s">
        <v>37</v>
      </c>
      <c r="C2341" s="158" t="s">
        <v>2431</v>
      </c>
      <c r="D2341" s="159">
        <v>44238.0</v>
      </c>
      <c r="E2341" s="157" t="s">
        <v>731</v>
      </c>
      <c r="F2341" s="160">
        <v>38532.0</v>
      </c>
      <c r="G2341" s="160">
        <v>6165.12</v>
      </c>
      <c r="H2341" s="160">
        <f t="shared" si="55"/>
        <v>44697.12</v>
      </c>
      <c r="I2341" s="160"/>
      <c r="J2341" s="161"/>
      <c r="K2341" s="160"/>
      <c r="L2341" s="160">
        <f>+'FACP$'!$H2341-'FACP$'!$I2341-'FACP$'!$K2341</f>
        <v>44697.12</v>
      </c>
      <c r="M2341" s="162" t="s">
        <v>116</v>
      </c>
      <c r="N2341" s="162" t="s">
        <v>554</v>
      </c>
      <c r="O2341" s="164">
        <v>44292.0</v>
      </c>
      <c r="P2341" s="164">
        <f t="shared" si="13"/>
        <v>44248</v>
      </c>
      <c r="Q2341" s="165">
        <f t="shared" si="2"/>
        <v>0</v>
      </c>
      <c r="R2341" s="164" t="s">
        <v>2573</v>
      </c>
      <c r="S2341" s="167"/>
      <c r="T2341" s="168">
        <f t="shared" si="3"/>
        <v>44697.12</v>
      </c>
      <c r="U2341" s="168">
        <f t="shared" si="4"/>
        <v>0</v>
      </c>
      <c r="V2341" s="168">
        <f t="shared" si="5"/>
        <v>0</v>
      </c>
      <c r="W2341" s="168">
        <f t="shared" si="6"/>
        <v>0</v>
      </c>
      <c r="X2341" s="168">
        <f t="shared" si="7"/>
        <v>0</v>
      </c>
      <c r="Y2341" s="168">
        <f t="shared" si="8"/>
        <v>0</v>
      </c>
      <c r="Z2341" s="168">
        <f t="shared" si="9"/>
        <v>0</v>
      </c>
    </row>
    <row r="2342" ht="15.0" customHeight="1">
      <c r="A2342" s="157" t="s">
        <v>2596</v>
      </c>
      <c r="B2342" s="158" t="s">
        <v>37</v>
      </c>
      <c r="C2342" s="158" t="s">
        <v>2431</v>
      </c>
      <c r="D2342" s="159">
        <v>44238.0</v>
      </c>
      <c r="E2342" s="157" t="s">
        <v>731</v>
      </c>
      <c r="F2342" s="160">
        <v>38532.0</v>
      </c>
      <c r="G2342" s="160">
        <v>6165.12</v>
      </c>
      <c r="H2342" s="160">
        <f t="shared" si="55"/>
        <v>44697.12</v>
      </c>
      <c r="I2342" s="160"/>
      <c r="J2342" s="161"/>
      <c r="K2342" s="160"/>
      <c r="L2342" s="160">
        <f>+'FACP$'!$H2342-'FACP$'!$I2342-'FACP$'!$K2342</f>
        <v>44697.12</v>
      </c>
      <c r="M2342" s="162" t="s">
        <v>116</v>
      </c>
      <c r="N2342" s="162" t="s">
        <v>554</v>
      </c>
      <c r="O2342" s="164">
        <v>44292.0</v>
      </c>
      <c r="P2342" s="164">
        <f t="shared" si="13"/>
        <v>44248</v>
      </c>
      <c r="Q2342" s="165">
        <f t="shared" si="2"/>
        <v>0</v>
      </c>
      <c r="R2342" s="164" t="s">
        <v>2573</v>
      </c>
      <c r="S2342" s="167"/>
      <c r="T2342" s="168">
        <f t="shared" si="3"/>
        <v>44697.12</v>
      </c>
      <c r="U2342" s="168">
        <f t="shared" si="4"/>
        <v>0</v>
      </c>
      <c r="V2342" s="168">
        <f t="shared" si="5"/>
        <v>0</v>
      </c>
      <c r="W2342" s="168">
        <f t="shared" si="6"/>
        <v>0</v>
      </c>
      <c r="X2342" s="168">
        <f t="shared" si="7"/>
        <v>0</v>
      </c>
      <c r="Y2342" s="168">
        <f t="shared" si="8"/>
        <v>0</v>
      </c>
      <c r="Z2342" s="168">
        <f t="shared" si="9"/>
        <v>0</v>
      </c>
    </row>
    <row r="2343" ht="15.0" customHeight="1">
      <c r="A2343" s="157" t="s">
        <v>2597</v>
      </c>
      <c r="B2343" s="158" t="s">
        <v>37</v>
      </c>
      <c r="C2343" s="158" t="s">
        <v>2431</v>
      </c>
      <c r="D2343" s="159">
        <v>44238.0</v>
      </c>
      <c r="E2343" s="157" t="s">
        <v>731</v>
      </c>
      <c r="F2343" s="160">
        <v>19266.0</v>
      </c>
      <c r="G2343" s="160">
        <v>3082.56</v>
      </c>
      <c r="H2343" s="160">
        <f t="shared" si="55"/>
        <v>22348.56</v>
      </c>
      <c r="I2343" s="160"/>
      <c r="J2343" s="161"/>
      <c r="K2343" s="160"/>
      <c r="L2343" s="160">
        <f>+'FACP$'!$H2343-'FACP$'!$I2343-'FACP$'!$K2343</f>
        <v>22348.56</v>
      </c>
      <c r="M2343" s="162" t="s">
        <v>116</v>
      </c>
      <c r="N2343" s="162" t="s">
        <v>554</v>
      </c>
      <c r="O2343" s="164">
        <v>44292.0</v>
      </c>
      <c r="P2343" s="164">
        <f t="shared" si="13"/>
        <v>44248</v>
      </c>
      <c r="Q2343" s="165">
        <f t="shared" si="2"/>
        <v>0</v>
      </c>
      <c r="R2343" s="164" t="s">
        <v>2573</v>
      </c>
      <c r="S2343" s="167"/>
      <c r="T2343" s="168">
        <f t="shared" si="3"/>
        <v>22348.56</v>
      </c>
      <c r="U2343" s="168">
        <f t="shared" si="4"/>
        <v>0</v>
      </c>
      <c r="V2343" s="168">
        <f t="shared" si="5"/>
        <v>0</v>
      </c>
      <c r="W2343" s="168">
        <f t="shared" si="6"/>
        <v>0</v>
      </c>
      <c r="X2343" s="168">
        <f t="shared" si="7"/>
        <v>0</v>
      </c>
      <c r="Y2343" s="168">
        <f t="shared" si="8"/>
        <v>0</v>
      </c>
      <c r="Z2343" s="168">
        <f t="shared" si="9"/>
        <v>0</v>
      </c>
    </row>
    <row r="2344" ht="15.0" customHeight="1">
      <c r="A2344" s="157" t="s">
        <v>2598</v>
      </c>
      <c r="B2344" s="158" t="s">
        <v>37</v>
      </c>
      <c r="C2344" s="158" t="s">
        <v>2431</v>
      </c>
      <c r="D2344" s="159">
        <v>44238.0</v>
      </c>
      <c r="E2344" s="157" t="s">
        <v>731</v>
      </c>
      <c r="F2344" s="160">
        <v>19266.0</v>
      </c>
      <c r="G2344" s="160">
        <v>3082.56</v>
      </c>
      <c r="H2344" s="160">
        <f t="shared" si="55"/>
        <v>22348.56</v>
      </c>
      <c r="I2344" s="160"/>
      <c r="J2344" s="161"/>
      <c r="K2344" s="160"/>
      <c r="L2344" s="160">
        <f>+'FACP$'!$H2344-'FACP$'!$I2344-'FACP$'!$K2344</f>
        <v>22348.56</v>
      </c>
      <c r="M2344" s="162" t="s">
        <v>116</v>
      </c>
      <c r="N2344" s="162" t="s">
        <v>554</v>
      </c>
      <c r="O2344" s="164">
        <v>44292.0</v>
      </c>
      <c r="P2344" s="164">
        <f t="shared" si="13"/>
        <v>44248</v>
      </c>
      <c r="Q2344" s="165">
        <f t="shared" si="2"/>
        <v>0</v>
      </c>
      <c r="R2344" s="164" t="s">
        <v>2573</v>
      </c>
      <c r="S2344" s="167"/>
      <c r="T2344" s="168">
        <f t="shared" si="3"/>
        <v>22348.56</v>
      </c>
      <c r="U2344" s="168">
        <f t="shared" si="4"/>
        <v>0</v>
      </c>
      <c r="V2344" s="168">
        <f t="shared" si="5"/>
        <v>0</v>
      </c>
      <c r="W2344" s="168">
        <f t="shared" si="6"/>
        <v>0</v>
      </c>
      <c r="X2344" s="168">
        <f t="shared" si="7"/>
        <v>0</v>
      </c>
      <c r="Y2344" s="168">
        <f t="shared" si="8"/>
        <v>0</v>
      </c>
      <c r="Z2344" s="168">
        <f t="shared" si="9"/>
        <v>0</v>
      </c>
    </row>
    <row r="2345" ht="15.0" customHeight="1">
      <c r="A2345" s="157" t="s">
        <v>2599</v>
      </c>
      <c r="B2345" s="158" t="s">
        <v>19</v>
      </c>
      <c r="C2345" s="158" t="s">
        <v>2431</v>
      </c>
      <c r="D2345" s="159">
        <v>44238.0</v>
      </c>
      <c r="E2345" s="157" t="s">
        <v>731</v>
      </c>
      <c r="F2345" s="160">
        <v>19266.0</v>
      </c>
      <c r="G2345" s="160">
        <v>3082.56</v>
      </c>
      <c r="H2345" s="160">
        <f t="shared" si="55"/>
        <v>22348.56</v>
      </c>
      <c r="I2345" s="160"/>
      <c r="J2345" s="161"/>
      <c r="K2345" s="160"/>
      <c r="L2345" s="160">
        <f>+'FACP$'!$H2345-'FACP$'!$I2345-'FACP$'!$K2345</f>
        <v>22348.56</v>
      </c>
      <c r="M2345" s="162" t="s">
        <v>732</v>
      </c>
      <c r="N2345" s="162" t="s">
        <v>127</v>
      </c>
      <c r="O2345" s="164"/>
      <c r="P2345" s="164">
        <f t="shared" si="13"/>
        <v>44248</v>
      </c>
      <c r="Q2345" s="165">
        <f t="shared" si="2"/>
        <v>0</v>
      </c>
      <c r="R2345" s="167"/>
      <c r="S2345" s="167"/>
      <c r="T2345" s="168">
        <f t="shared" si="3"/>
        <v>22348.56</v>
      </c>
      <c r="U2345" s="168">
        <f t="shared" si="4"/>
        <v>0</v>
      </c>
      <c r="V2345" s="168">
        <f t="shared" si="5"/>
        <v>0</v>
      </c>
      <c r="W2345" s="168">
        <f t="shared" si="6"/>
        <v>0</v>
      </c>
      <c r="X2345" s="168">
        <f t="shared" si="7"/>
        <v>0</v>
      </c>
      <c r="Y2345" s="168">
        <f t="shared" si="8"/>
        <v>0</v>
      </c>
      <c r="Z2345" s="168">
        <f t="shared" si="9"/>
        <v>0</v>
      </c>
    </row>
    <row r="2346" ht="15.0" customHeight="1">
      <c r="A2346" s="157" t="s">
        <v>2600</v>
      </c>
      <c r="B2346" s="158" t="s">
        <v>29</v>
      </c>
      <c r="C2346" s="158" t="s">
        <v>2431</v>
      </c>
      <c r="D2346" s="159">
        <v>44238.0</v>
      </c>
      <c r="E2346" s="157" t="s">
        <v>731</v>
      </c>
      <c r="F2346" s="160">
        <v>19266.0</v>
      </c>
      <c r="G2346" s="160">
        <v>3082.56</v>
      </c>
      <c r="H2346" s="160">
        <f t="shared" si="55"/>
        <v>22348.56</v>
      </c>
      <c r="I2346" s="160"/>
      <c r="J2346" s="161"/>
      <c r="K2346" s="160"/>
      <c r="L2346" s="160">
        <f>+'FACP$'!$H2346-'FACP$'!$I2346-'FACP$'!$K2346</f>
        <v>22348.56</v>
      </c>
      <c r="M2346" s="162" t="s">
        <v>130</v>
      </c>
      <c r="N2346" s="162" t="s">
        <v>554</v>
      </c>
      <c r="O2346" s="164">
        <v>44284.0</v>
      </c>
      <c r="P2346" s="164">
        <f t="shared" si="13"/>
        <v>44248</v>
      </c>
      <c r="Q2346" s="165">
        <f t="shared" si="2"/>
        <v>0</v>
      </c>
      <c r="R2346" s="167"/>
      <c r="S2346" s="167"/>
      <c r="T2346" s="168">
        <f t="shared" si="3"/>
        <v>22348.56</v>
      </c>
      <c r="U2346" s="168">
        <f t="shared" si="4"/>
        <v>0</v>
      </c>
      <c r="V2346" s="168">
        <f t="shared" si="5"/>
        <v>0</v>
      </c>
      <c r="W2346" s="168">
        <f t="shared" si="6"/>
        <v>0</v>
      </c>
      <c r="X2346" s="168">
        <f t="shared" si="7"/>
        <v>0</v>
      </c>
      <c r="Y2346" s="168">
        <f t="shared" si="8"/>
        <v>0</v>
      </c>
      <c r="Z2346" s="168">
        <f t="shared" si="9"/>
        <v>0</v>
      </c>
    </row>
    <row r="2347" ht="15.0" customHeight="1">
      <c r="A2347" s="157" t="s">
        <v>2601</v>
      </c>
      <c r="B2347" s="158" t="s">
        <v>16</v>
      </c>
      <c r="C2347" s="158" t="s">
        <v>2431</v>
      </c>
      <c r="D2347" s="159">
        <v>44238.0</v>
      </c>
      <c r="E2347" s="157" t="s">
        <v>731</v>
      </c>
      <c r="F2347" s="160">
        <v>11362.0</v>
      </c>
      <c r="G2347" s="160">
        <v>1817.92</v>
      </c>
      <c r="H2347" s="160">
        <f t="shared" si="55"/>
        <v>13179.92</v>
      </c>
      <c r="I2347" s="160"/>
      <c r="J2347" s="161"/>
      <c r="K2347" s="160"/>
      <c r="L2347" s="160">
        <f>+'FACP$'!$H2347-'FACP$'!$I2347-'FACP$'!$K2347</f>
        <v>13179.92</v>
      </c>
      <c r="M2347" s="162" t="s">
        <v>985</v>
      </c>
      <c r="N2347" s="162" t="s">
        <v>127</v>
      </c>
      <c r="O2347" s="164"/>
      <c r="P2347" s="164">
        <f t="shared" si="13"/>
        <v>44248</v>
      </c>
      <c r="Q2347" s="165">
        <f t="shared" si="2"/>
        <v>0</v>
      </c>
      <c r="R2347" s="167"/>
      <c r="S2347" s="167"/>
      <c r="T2347" s="168">
        <f t="shared" si="3"/>
        <v>13179.92</v>
      </c>
      <c r="U2347" s="168">
        <f t="shared" si="4"/>
        <v>0</v>
      </c>
      <c r="V2347" s="168">
        <f t="shared" si="5"/>
        <v>0</v>
      </c>
      <c r="W2347" s="168">
        <f t="shared" si="6"/>
        <v>0</v>
      </c>
      <c r="X2347" s="168">
        <f t="shared" si="7"/>
        <v>0</v>
      </c>
      <c r="Y2347" s="168">
        <f t="shared" si="8"/>
        <v>0</v>
      </c>
      <c r="Z2347" s="168">
        <f t="shared" si="9"/>
        <v>0</v>
      </c>
    </row>
    <row r="2348" ht="15.0" customHeight="1">
      <c r="A2348" s="157" t="s">
        <v>2602</v>
      </c>
      <c r="B2348" s="158" t="s">
        <v>29</v>
      </c>
      <c r="C2348" s="158" t="s">
        <v>2431</v>
      </c>
      <c r="D2348" s="159">
        <v>44239.0</v>
      </c>
      <c r="E2348" s="157" t="s">
        <v>731</v>
      </c>
      <c r="F2348" s="160">
        <v>19266.0</v>
      </c>
      <c r="G2348" s="160">
        <v>3082.56</v>
      </c>
      <c r="H2348" s="160">
        <f t="shared" si="55"/>
        <v>22348.56</v>
      </c>
      <c r="I2348" s="160"/>
      <c r="J2348" s="161"/>
      <c r="K2348" s="160"/>
      <c r="L2348" s="160">
        <f>+'FACP$'!$H2348-'FACP$'!$I2348-'FACP$'!$K2348</f>
        <v>22348.56</v>
      </c>
      <c r="M2348" s="162" t="s">
        <v>130</v>
      </c>
      <c r="N2348" s="162" t="s">
        <v>554</v>
      </c>
      <c r="O2348" s="164">
        <v>44284.0</v>
      </c>
      <c r="P2348" s="164">
        <f t="shared" si="13"/>
        <v>44249</v>
      </c>
      <c r="Q2348" s="165">
        <f t="shared" si="2"/>
        <v>0</v>
      </c>
      <c r="R2348" s="167"/>
      <c r="S2348" s="167"/>
      <c r="T2348" s="168">
        <f t="shared" si="3"/>
        <v>22348.56</v>
      </c>
      <c r="U2348" s="168">
        <f t="shared" si="4"/>
        <v>0</v>
      </c>
      <c r="V2348" s="168">
        <f t="shared" si="5"/>
        <v>0</v>
      </c>
      <c r="W2348" s="168">
        <f t="shared" si="6"/>
        <v>0</v>
      </c>
      <c r="X2348" s="168">
        <f t="shared" si="7"/>
        <v>0</v>
      </c>
      <c r="Y2348" s="168">
        <f t="shared" si="8"/>
        <v>0</v>
      </c>
      <c r="Z2348" s="168">
        <f t="shared" si="9"/>
        <v>0</v>
      </c>
    </row>
    <row r="2349" ht="15.0" customHeight="1">
      <c r="A2349" s="157" t="s">
        <v>2603</v>
      </c>
      <c r="B2349" s="158" t="s">
        <v>37</v>
      </c>
      <c r="C2349" s="158" t="s">
        <v>2431</v>
      </c>
      <c r="D2349" s="159">
        <v>44239.0</v>
      </c>
      <c r="E2349" s="157" t="s">
        <v>731</v>
      </c>
      <c r="F2349" s="160">
        <v>19266.0</v>
      </c>
      <c r="G2349" s="160">
        <v>3082.56</v>
      </c>
      <c r="H2349" s="160">
        <f t="shared" si="55"/>
        <v>22348.56</v>
      </c>
      <c r="I2349" s="160"/>
      <c r="J2349" s="161"/>
      <c r="K2349" s="160"/>
      <c r="L2349" s="160">
        <f>+'FACP$'!$H2349-'FACP$'!$I2349-'FACP$'!$K2349</f>
        <v>22348.56</v>
      </c>
      <c r="M2349" s="162" t="s">
        <v>116</v>
      </c>
      <c r="N2349" s="162" t="s">
        <v>554</v>
      </c>
      <c r="O2349" s="164">
        <v>44292.0</v>
      </c>
      <c r="P2349" s="164">
        <f t="shared" si="13"/>
        <v>44249</v>
      </c>
      <c r="Q2349" s="165">
        <f t="shared" si="2"/>
        <v>0</v>
      </c>
      <c r="R2349" s="164" t="s">
        <v>2573</v>
      </c>
      <c r="S2349" s="167"/>
      <c r="T2349" s="168">
        <f t="shared" si="3"/>
        <v>22348.56</v>
      </c>
      <c r="U2349" s="168">
        <f t="shared" si="4"/>
        <v>0</v>
      </c>
      <c r="V2349" s="168">
        <f t="shared" si="5"/>
        <v>0</v>
      </c>
      <c r="W2349" s="168">
        <f t="shared" si="6"/>
        <v>0</v>
      </c>
      <c r="X2349" s="168">
        <f t="shared" si="7"/>
        <v>0</v>
      </c>
      <c r="Y2349" s="168">
        <f t="shared" si="8"/>
        <v>0</v>
      </c>
      <c r="Z2349" s="168">
        <f t="shared" si="9"/>
        <v>0</v>
      </c>
    </row>
    <row r="2350" ht="15.0" customHeight="1">
      <c r="A2350" s="157" t="s">
        <v>2604</v>
      </c>
      <c r="B2350" s="158" t="s">
        <v>37</v>
      </c>
      <c r="C2350" s="158" t="s">
        <v>2431</v>
      </c>
      <c r="D2350" s="159">
        <v>44239.0</v>
      </c>
      <c r="E2350" s="157" t="s">
        <v>731</v>
      </c>
      <c r="F2350" s="160">
        <v>38532.0</v>
      </c>
      <c r="G2350" s="160">
        <v>6165.12</v>
      </c>
      <c r="H2350" s="160">
        <f t="shared" si="55"/>
        <v>44697.12</v>
      </c>
      <c r="I2350" s="160"/>
      <c r="J2350" s="161"/>
      <c r="K2350" s="160"/>
      <c r="L2350" s="160">
        <f>+'FACP$'!$H2350-'FACP$'!$I2350-'FACP$'!$K2350</f>
        <v>44697.12</v>
      </c>
      <c r="M2350" s="162" t="s">
        <v>116</v>
      </c>
      <c r="N2350" s="162" t="s">
        <v>554</v>
      </c>
      <c r="O2350" s="164">
        <v>44292.0</v>
      </c>
      <c r="P2350" s="164">
        <f t="shared" si="13"/>
        <v>44249</v>
      </c>
      <c r="Q2350" s="165">
        <f t="shared" si="2"/>
        <v>0</v>
      </c>
      <c r="R2350" s="164" t="s">
        <v>2573</v>
      </c>
      <c r="S2350" s="167"/>
      <c r="T2350" s="168">
        <f t="shared" si="3"/>
        <v>44697.12</v>
      </c>
      <c r="U2350" s="168">
        <f t="shared" si="4"/>
        <v>0</v>
      </c>
      <c r="V2350" s="168">
        <f t="shared" si="5"/>
        <v>0</v>
      </c>
      <c r="W2350" s="168">
        <f t="shared" si="6"/>
        <v>0</v>
      </c>
      <c r="X2350" s="168">
        <f t="shared" si="7"/>
        <v>0</v>
      </c>
      <c r="Y2350" s="168">
        <f t="shared" si="8"/>
        <v>0</v>
      </c>
      <c r="Z2350" s="168">
        <f t="shared" si="9"/>
        <v>0</v>
      </c>
    </row>
    <row r="2351" ht="15.0" customHeight="1">
      <c r="A2351" s="157" t="s">
        <v>2605</v>
      </c>
      <c r="B2351" s="158" t="s">
        <v>16</v>
      </c>
      <c r="C2351" s="158" t="s">
        <v>2431</v>
      </c>
      <c r="D2351" s="159">
        <v>44239.0</v>
      </c>
      <c r="E2351" s="157" t="s">
        <v>731</v>
      </c>
      <c r="F2351" s="160">
        <v>11362.0</v>
      </c>
      <c r="G2351" s="160">
        <v>1817.92</v>
      </c>
      <c r="H2351" s="160">
        <f t="shared" si="55"/>
        <v>13179.92</v>
      </c>
      <c r="I2351" s="160"/>
      <c r="J2351" s="161"/>
      <c r="K2351" s="160"/>
      <c r="L2351" s="160">
        <f>+'FACP$'!$H2351-'FACP$'!$I2351-'FACP$'!$K2351</f>
        <v>13179.92</v>
      </c>
      <c r="M2351" s="162" t="s">
        <v>985</v>
      </c>
      <c r="N2351" s="162" t="s">
        <v>127</v>
      </c>
      <c r="O2351" s="164"/>
      <c r="P2351" s="164">
        <f t="shared" si="13"/>
        <v>44249</v>
      </c>
      <c r="Q2351" s="165">
        <f t="shared" si="2"/>
        <v>0</v>
      </c>
      <c r="R2351" s="167"/>
      <c r="S2351" s="167"/>
      <c r="T2351" s="168">
        <f t="shared" si="3"/>
        <v>13179.92</v>
      </c>
      <c r="U2351" s="168">
        <f t="shared" si="4"/>
        <v>0</v>
      </c>
      <c r="V2351" s="168">
        <f t="shared" si="5"/>
        <v>0</v>
      </c>
      <c r="W2351" s="168">
        <f t="shared" si="6"/>
        <v>0</v>
      </c>
      <c r="X2351" s="168">
        <f t="shared" si="7"/>
        <v>0</v>
      </c>
      <c r="Y2351" s="168">
        <f t="shared" si="8"/>
        <v>0</v>
      </c>
      <c r="Z2351" s="168">
        <f t="shared" si="9"/>
        <v>0</v>
      </c>
    </row>
    <row r="2352" ht="15.0" customHeight="1">
      <c r="A2352" s="157" t="s">
        <v>2606</v>
      </c>
      <c r="B2352" s="158" t="s">
        <v>37</v>
      </c>
      <c r="C2352" s="158" t="s">
        <v>2431</v>
      </c>
      <c r="D2352" s="159">
        <v>44239.0</v>
      </c>
      <c r="E2352" s="157" t="s">
        <v>731</v>
      </c>
      <c r="F2352" s="160">
        <v>19266.0</v>
      </c>
      <c r="G2352" s="160">
        <v>3082.56</v>
      </c>
      <c r="H2352" s="160">
        <f t="shared" si="55"/>
        <v>22348.56</v>
      </c>
      <c r="I2352" s="160"/>
      <c r="J2352" s="161"/>
      <c r="K2352" s="160"/>
      <c r="L2352" s="160">
        <f>+'FACP$'!$H2352-'FACP$'!$I2352-'FACP$'!$K2352</f>
        <v>22348.56</v>
      </c>
      <c r="M2352" s="162" t="s">
        <v>116</v>
      </c>
      <c r="N2352" s="162" t="s">
        <v>554</v>
      </c>
      <c r="O2352" s="164">
        <v>44292.0</v>
      </c>
      <c r="P2352" s="164">
        <f t="shared" si="13"/>
        <v>44249</v>
      </c>
      <c r="Q2352" s="165">
        <f t="shared" si="2"/>
        <v>0</v>
      </c>
      <c r="R2352" s="164" t="s">
        <v>2573</v>
      </c>
      <c r="S2352" s="167"/>
      <c r="T2352" s="168">
        <f t="shared" si="3"/>
        <v>22348.56</v>
      </c>
      <c r="U2352" s="168">
        <f t="shared" si="4"/>
        <v>0</v>
      </c>
      <c r="V2352" s="168">
        <f t="shared" si="5"/>
        <v>0</v>
      </c>
      <c r="W2352" s="168">
        <f t="shared" si="6"/>
        <v>0</v>
      </c>
      <c r="X2352" s="168">
        <f t="shared" si="7"/>
        <v>0</v>
      </c>
      <c r="Y2352" s="168">
        <f t="shared" si="8"/>
        <v>0</v>
      </c>
      <c r="Z2352" s="168">
        <f t="shared" si="9"/>
        <v>0</v>
      </c>
    </row>
    <row r="2353" ht="15.0" customHeight="1">
      <c r="A2353" s="157" t="s">
        <v>2607</v>
      </c>
      <c r="B2353" s="158" t="s">
        <v>37</v>
      </c>
      <c r="C2353" s="158" t="s">
        <v>2431</v>
      </c>
      <c r="D2353" s="159">
        <v>44239.0</v>
      </c>
      <c r="E2353" s="157" t="s">
        <v>731</v>
      </c>
      <c r="F2353" s="160">
        <v>38532.0</v>
      </c>
      <c r="G2353" s="160">
        <v>6165.12</v>
      </c>
      <c r="H2353" s="160">
        <f t="shared" si="55"/>
        <v>44697.12</v>
      </c>
      <c r="I2353" s="160"/>
      <c r="J2353" s="161"/>
      <c r="K2353" s="160"/>
      <c r="L2353" s="160">
        <f>+'FACP$'!$H2353-'FACP$'!$I2353-'FACP$'!$K2353</f>
        <v>44697.12</v>
      </c>
      <c r="M2353" s="162" t="s">
        <v>116</v>
      </c>
      <c r="N2353" s="162" t="s">
        <v>127</v>
      </c>
      <c r="O2353" s="164"/>
      <c r="P2353" s="164">
        <f t="shared" si="13"/>
        <v>44249</v>
      </c>
      <c r="Q2353" s="165">
        <f t="shared" si="2"/>
        <v>0</v>
      </c>
      <c r="R2353" s="167"/>
      <c r="S2353" s="167"/>
      <c r="T2353" s="168">
        <f t="shared" si="3"/>
        <v>44697.12</v>
      </c>
      <c r="U2353" s="168">
        <f t="shared" si="4"/>
        <v>0</v>
      </c>
      <c r="V2353" s="168">
        <f t="shared" si="5"/>
        <v>0</v>
      </c>
      <c r="W2353" s="168">
        <f t="shared" si="6"/>
        <v>0</v>
      </c>
      <c r="X2353" s="168">
        <f t="shared" si="7"/>
        <v>0</v>
      </c>
      <c r="Y2353" s="168">
        <f t="shared" si="8"/>
        <v>0</v>
      </c>
      <c r="Z2353" s="168">
        <f t="shared" si="9"/>
        <v>0</v>
      </c>
    </row>
    <row r="2354" ht="15.0" customHeight="1">
      <c r="A2354" s="157" t="s">
        <v>2608</v>
      </c>
      <c r="B2354" s="158" t="s">
        <v>127</v>
      </c>
      <c r="C2354" s="158"/>
      <c r="D2354" s="159"/>
      <c r="E2354" s="157"/>
      <c r="F2354" s="160"/>
      <c r="G2354" s="160"/>
      <c r="H2354" s="160">
        <f t="shared" si="55"/>
        <v>0</v>
      </c>
      <c r="I2354" s="160"/>
      <c r="J2354" s="161"/>
      <c r="K2354" s="160"/>
      <c r="L2354" s="160">
        <f>+'FACP$'!$H2354-'FACP$'!$I2354-'FACP$'!$K2354</f>
        <v>0</v>
      </c>
      <c r="M2354" s="162"/>
      <c r="N2354" s="162" t="s">
        <v>127</v>
      </c>
      <c r="O2354" s="164"/>
      <c r="P2354" s="164">
        <f t="shared" si="13"/>
        <v>10</v>
      </c>
      <c r="Q2354" s="165">
        <f t="shared" si="2"/>
        <v>0</v>
      </c>
      <c r="R2354" s="167"/>
      <c r="S2354" s="167"/>
      <c r="T2354" s="168">
        <f t="shared" si="3"/>
        <v>0</v>
      </c>
      <c r="U2354" s="168">
        <f t="shared" si="4"/>
        <v>0</v>
      </c>
      <c r="V2354" s="168">
        <f t="shared" si="5"/>
        <v>0</v>
      </c>
      <c r="W2354" s="168">
        <f t="shared" si="6"/>
        <v>0</v>
      </c>
      <c r="X2354" s="168">
        <f t="shared" si="7"/>
        <v>0</v>
      </c>
      <c r="Y2354" s="168">
        <f t="shared" si="8"/>
        <v>0</v>
      </c>
      <c r="Z2354" s="168">
        <f t="shared" si="9"/>
        <v>0</v>
      </c>
    </row>
    <row r="2355" ht="15.0" customHeight="1">
      <c r="A2355" s="157" t="s">
        <v>2609</v>
      </c>
      <c r="B2355" s="158" t="s">
        <v>37</v>
      </c>
      <c r="C2355" s="158" t="s">
        <v>2431</v>
      </c>
      <c r="D2355" s="159">
        <v>44239.0</v>
      </c>
      <c r="E2355" s="157" t="s">
        <v>731</v>
      </c>
      <c r="F2355" s="160">
        <v>38532.0</v>
      </c>
      <c r="G2355" s="160">
        <v>6165.12</v>
      </c>
      <c r="H2355" s="160">
        <f t="shared" si="55"/>
        <v>44697.12</v>
      </c>
      <c r="I2355" s="160"/>
      <c r="J2355" s="161"/>
      <c r="K2355" s="160"/>
      <c r="L2355" s="160">
        <f>+'FACP$'!$H2355-'FACP$'!$I2355-'FACP$'!$K2355</f>
        <v>44697.12</v>
      </c>
      <c r="M2355" s="162" t="s">
        <v>116</v>
      </c>
      <c r="N2355" s="162" t="s">
        <v>554</v>
      </c>
      <c r="O2355" s="164">
        <v>44292.0</v>
      </c>
      <c r="P2355" s="164">
        <f t="shared" si="13"/>
        <v>44249</v>
      </c>
      <c r="Q2355" s="165">
        <f t="shared" si="2"/>
        <v>0</v>
      </c>
      <c r="R2355" s="164" t="s">
        <v>2573</v>
      </c>
      <c r="S2355" s="167"/>
      <c r="T2355" s="168">
        <f t="shared" si="3"/>
        <v>44697.12</v>
      </c>
      <c r="U2355" s="168">
        <f t="shared" si="4"/>
        <v>0</v>
      </c>
      <c r="V2355" s="168">
        <f t="shared" si="5"/>
        <v>0</v>
      </c>
      <c r="W2355" s="168">
        <f t="shared" si="6"/>
        <v>0</v>
      </c>
      <c r="X2355" s="168">
        <f t="shared" si="7"/>
        <v>0</v>
      </c>
      <c r="Y2355" s="168">
        <f t="shared" si="8"/>
        <v>0</v>
      </c>
      <c r="Z2355" s="168">
        <f t="shared" si="9"/>
        <v>0</v>
      </c>
    </row>
    <row r="2356" ht="15.0" customHeight="1">
      <c r="A2356" s="157" t="s">
        <v>2610</v>
      </c>
      <c r="B2356" s="158" t="s">
        <v>37</v>
      </c>
      <c r="C2356" s="158" t="s">
        <v>2431</v>
      </c>
      <c r="D2356" s="159">
        <v>44239.0</v>
      </c>
      <c r="E2356" s="157" t="s">
        <v>731</v>
      </c>
      <c r="F2356" s="160">
        <v>38532.0</v>
      </c>
      <c r="G2356" s="160">
        <v>6165.12</v>
      </c>
      <c r="H2356" s="160">
        <f t="shared" si="55"/>
        <v>44697.12</v>
      </c>
      <c r="I2356" s="160"/>
      <c r="J2356" s="161"/>
      <c r="K2356" s="160"/>
      <c r="L2356" s="160">
        <f>+'FACP$'!$H2356-'FACP$'!$I2356-'FACP$'!$K2356</f>
        <v>44697.12</v>
      </c>
      <c r="M2356" s="162" t="s">
        <v>116</v>
      </c>
      <c r="N2356" s="162" t="s">
        <v>554</v>
      </c>
      <c r="O2356" s="164">
        <v>44292.0</v>
      </c>
      <c r="P2356" s="164">
        <f t="shared" si="13"/>
        <v>44249</v>
      </c>
      <c r="Q2356" s="165">
        <f t="shared" si="2"/>
        <v>0</v>
      </c>
      <c r="R2356" s="164" t="s">
        <v>2573</v>
      </c>
      <c r="S2356" s="167"/>
      <c r="T2356" s="168">
        <f t="shared" si="3"/>
        <v>44697.12</v>
      </c>
      <c r="U2356" s="168">
        <f t="shared" si="4"/>
        <v>0</v>
      </c>
      <c r="V2356" s="168">
        <f t="shared" si="5"/>
        <v>0</v>
      </c>
      <c r="W2356" s="168">
        <f t="shared" si="6"/>
        <v>0</v>
      </c>
      <c r="X2356" s="168">
        <f t="shared" si="7"/>
        <v>0</v>
      </c>
      <c r="Y2356" s="168">
        <f t="shared" si="8"/>
        <v>0</v>
      </c>
      <c r="Z2356" s="168">
        <f t="shared" si="9"/>
        <v>0</v>
      </c>
    </row>
    <row r="2357" ht="15.0" customHeight="1">
      <c r="A2357" s="157" t="s">
        <v>2611</v>
      </c>
      <c r="B2357" s="158" t="s">
        <v>37</v>
      </c>
      <c r="C2357" s="158" t="s">
        <v>2431</v>
      </c>
      <c r="D2357" s="159">
        <v>44239.0</v>
      </c>
      <c r="E2357" s="157" t="s">
        <v>731</v>
      </c>
      <c r="F2357" s="160">
        <v>38532.0</v>
      </c>
      <c r="G2357" s="160">
        <v>6165.12</v>
      </c>
      <c r="H2357" s="160">
        <f t="shared" si="55"/>
        <v>44697.12</v>
      </c>
      <c r="I2357" s="160"/>
      <c r="J2357" s="161"/>
      <c r="K2357" s="160"/>
      <c r="L2357" s="160">
        <f>+'FACP$'!$H2357-'FACP$'!$I2357-'FACP$'!$K2357</f>
        <v>44697.12</v>
      </c>
      <c r="M2357" s="162" t="s">
        <v>116</v>
      </c>
      <c r="N2357" s="162" t="s">
        <v>127</v>
      </c>
      <c r="O2357" s="164"/>
      <c r="P2357" s="164">
        <f t="shared" si="13"/>
        <v>44249</v>
      </c>
      <c r="Q2357" s="165">
        <f t="shared" si="2"/>
        <v>0</v>
      </c>
      <c r="R2357" s="167"/>
      <c r="S2357" s="167"/>
      <c r="T2357" s="168">
        <f t="shared" si="3"/>
        <v>44697.12</v>
      </c>
      <c r="U2357" s="168">
        <f t="shared" si="4"/>
        <v>0</v>
      </c>
      <c r="V2357" s="168">
        <f t="shared" si="5"/>
        <v>0</v>
      </c>
      <c r="W2357" s="168">
        <f t="shared" si="6"/>
        <v>0</v>
      </c>
      <c r="X2357" s="168">
        <f t="shared" si="7"/>
        <v>0</v>
      </c>
      <c r="Y2357" s="168">
        <f t="shared" si="8"/>
        <v>0</v>
      </c>
      <c r="Z2357" s="168">
        <f t="shared" si="9"/>
        <v>0</v>
      </c>
    </row>
    <row r="2358" ht="15.0" customHeight="1">
      <c r="A2358" s="157" t="s">
        <v>2612</v>
      </c>
      <c r="B2358" s="158" t="s">
        <v>37</v>
      </c>
      <c r="C2358" s="158" t="s">
        <v>2431</v>
      </c>
      <c r="D2358" s="159">
        <v>44239.0</v>
      </c>
      <c r="E2358" s="157" t="s">
        <v>731</v>
      </c>
      <c r="F2358" s="160">
        <v>19266.0</v>
      </c>
      <c r="G2358" s="160">
        <v>3082.56</v>
      </c>
      <c r="H2358" s="160">
        <f t="shared" si="55"/>
        <v>22348.56</v>
      </c>
      <c r="I2358" s="160"/>
      <c r="J2358" s="161"/>
      <c r="K2358" s="160"/>
      <c r="L2358" s="160">
        <f>+'FACP$'!$H2358-'FACP$'!$I2358-'FACP$'!$K2358</f>
        <v>22348.56</v>
      </c>
      <c r="M2358" s="162" t="s">
        <v>116</v>
      </c>
      <c r="N2358" s="162" t="s">
        <v>127</v>
      </c>
      <c r="O2358" s="164"/>
      <c r="P2358" s="164">
        <f t="shared" si="13"/>
        <v>44249</v>
      </c>
      <c r="Q2358" s="165">
        <f t="shared" si="2"/>
        <v>0</v>
      </c>
      <c r="R2358" s="167"/>
      <c r="S2358" s="167"/>
      <c r="T2358" s="168">
        <f t="shared" si="3"/>
        <v>22348.56</v>
      </c>
      <c r="U2358" s="168">
        <f t="shared" si="4"/>
        <v>0</v>
      </c>
      <c r="V2358" s="168">
        <f t="shared" si="5"/>
        <v>0</v>
      </c>
      <c r="W2358" s="168">
        <f t="shared" si="6"/>
        <v>0</v>
      </c>
      <c r="X2358" s="168">
        <f t="shared" si="7"/>
        <v>0</v>
      </c>
      <c r="Y2358" s="168">
        <f t="shared" si="8"/>
        <v>0</v>
      </c>
      <c r="Z2358" s="168">
        <f t="shared" si="9"/>
        <v>0</v>
      </c>
    </row>
    <row r="2359" ht="15.0" customHeight="1">
      <c r="A2359" s="157" t="s">
        <v>2613</v>
      </c>
      <c r="B2359" s="158" t="s">
        <v>37</v>
      </c>
      <c r="C2359" s="158" t="s">
        <v>2431</v>
      </c>
      <c r="D2359" s="159">
        <v>44239.0</v>
      </c>
      <c r="E2359" s="157" t="s">
        <v>731</v>
      </c>
      <c r="F2359" s="160">
        <v>19266.0</v>
      </c>
      <c r="G2359" s="160">
        <v>3082.56</v>
      </c>
      <c r="H2359" s="160">
        <f t="shared" si="55"/>
        <v>22348.56</v>
      </c>
      <c r="I2359" s="160"/>
      <c r="J2359" s="161"/>
      <c r="K2359" s="160"/>
      <c r="L2359" s="160">
        <f>+'FACP$'!$H2359-'FACP$'!$I2359-'FACP$'!$K2359</f>
        <v>22348.56</v>
      </c>
      <c r="M2359" s="162" t="s">
        <v>116</v>
      </c>
      <c r="N2359" s="162" t="s">
        <v>127</v>
      </c>
      <c r="O2359" s="164"/>
      <c r="P2359" s="164">
        <f t="shared" si="13"/>
        <v>44249</v>
      </c>
      <c r="Q2359" s="165">
        <f t="shared" si="2"/>
        <v>0</v>
      </c>
      <c r="R2359" s="167"/>
      <c r="S2359" s="167"/>
      <c r="T2359" s="168">
        <f t="shared" si="3"/>
        <v>22348.56</v>
      </c>
      <c r="U2359" s="168">
        <f t="shared" si="4"/>
        <v>0</v>
      </c>
      <c r="V2359" s="168">
        <f t="shared" si="5"/>
        <v>0</v>
      </c>
      <c r="W2359" s="168">
        <f t="shared" si="6"/>
        <v>0</v>
      </c>
      <c r="X2359" s="168">
        <f t="shared" si="7"/>
        <v>0</v>
      </c>
      <c r="Y2359" s="168">
        <f t="shared" si="8"/>
        <v>0</v>
      </c>
      <c r="Z2359" s="168">
        <f t="shared" si="9"/>
        <v>0</v>
      </c>
    </row>
    <row r="2360" ht="15.0" customHeight="1">
      <c r="A2360" s="157" t="s">
        <v>2614</v>
      </c>
      <c r="B2360" s="158" t="s">
        <v>29</v>
      </c>
      <c r="C2360" s="158" t="s">
        <v>2431</v>
      </c>
      <c r="D2360" s="159">
        <v>44239.0</v>
      </c>
      <c r="E2360" s="157" t="s">
        <v>731</v>
      </c>
      <c r="F2360" s="160">
        <v>19266.0</v>
      </c>
      <c r="G2360" s="160">
        <v>3082.56</v>
      </c>
      <c r="H2360" s="160">
        <f t="shared" si="55"/>
        <v>22348.56</v>
      </c>
      <c r="I2360" s="160"/>
      <c r="J2360" s="161"/>
      <c r="K2360" s="160"/>
      <c r="L2360" s="160">
        <f>+'FACP$'!$H2360-'FACP$'!$I2360-'FACP$'!$K2360</f>
        <v>22348.56</v>
      </c>
      <c r="M2360" s="162" t="s">
        <v>130</v>
      </c>
      <c r="N2360" s="162" t="s">
        <v>127</v>
      </c>
      <c r="O2360" s="164"/>
      <c r="P2360" s="164">
        <f t="shared" si="13"/>
        <v>44249</v>
      </c>
      <c r="Q2360" s="165">
        <f t="shared" si="2"/>
        <v>0</v>
      </c>
      <c r="R2360" s="167"/>
      <c r="S2360" s="167"/>
      <c r="T2360" s="168">
        <f t="shared" si="3"/>
        <v>22348.56</v>
      </c>
      <c r="U2360" s="168">
        <f t="shared" si="4"/>
        <v>0</v>
      </c>
      <c r="V2360" s="168">
        <f t="shared" si="5"/>
        <v>0</v>
      </c>
      <c r="W2360" s="168">
        <f t="shared" si="6"/>
        <v>0</v>
      </c>
      <c r="X2360" s="168">
        <f t="shared" si="7"/>
        <v>0</v>
      </c>
      <c r="Y2360" s="168">
        <f t="shared" si="8"/>
        <v>0</v>
      </c>
      <c r="Z2360" s="168">
        <f t="shared" si="9"/>
        <v>0</v>
      </c>
    </row>
    <row r="2361" ht="15.0" customHeight="1">
      <c r="A2361" s="157" t="s">
        <v>2615</v>
      </c>
      <c r="B2361" s="158" t="s">
        <v>37</v>
      </c>
      <c r="C2361" s="158" t="s">
        <v>2431</v>
      </c>
      <c r="D2361" s="159">
        <v>44239.0</v>
      </c>
      <c r="E2361" s="157" t="s">
        <v>731</v>
      </c>
      <c r="F2361" s="160">
        <v>19266.0</v>
      </c>
      <c r="G2361" s="160">
        <v>3082.56</v>
      </c>
      <c r="H2361" s="160">
        <f t="shared" si="55"/>
        <v>22348.56</v>
      </c>
      <c r="I2361" s="160"/>
      <c r="J2361" s="161"/>
      <c r="K2361" s="160"/>
      <c r="L2361" s="160">
        <f>+'FACP$'!$H2361-'FACP$'!$I2361-'FACP$'!$K2361</f>
        <v>22348.56</v>
      </c>
      <c r="M2361" s="162" t="s">
        <v>116</v>
      </c>
      <c r="N2361" s="162" t="s">
        <v>127</v>
      </c>
      <c r="O2361" s="164"/>
      <c r="P2361" s="164">
        <f t="shared" si="13"/>
        <v>44249</v>
      </c>
      <c r="Q2361" s="165">
        <f t="shared" si="2"/>
        <v>0</v>
      </c>
      <c r="R2361" s="167"/>
      <c r="S2361" s="167"/>
      <c r="T2361" s="168">
        <f t="shared" si="3"/>
        <v>22348.56</v>
      </c>
      <c r="U2361" s="168">
        <f t="shared" si="4"/>
        <v>0</v>
      </c>
      <c r="V2361" s="168">
        <f t="shared" si="5"/>
        <v>0</v>
      </c>
      <c r="W2361" s="168">
        <f t="shared" si="6"/>
        <v>0</v>
      </c>
      <c r="X2361" s="168">
        <f t="shared" si="7"/>
        <v>0</v>
      </c>
      <c r="Y2361" s="168">
        <f t="shared" si="8"/>
        <v>0</v>
      </c>
      <c r="Z2361" s="168">
        <f t="shared" si="9"/>
        <v>0</v>
      </c>
    </row>
    <row r="2362" ht="15.0" customHeight="1">
      <c r="A2362" s="157" t="s">
        <v>2616</v>
      </c>
      <c r="B2362" s="158" t="s">
        <v>127</v>
      </c>
      <c r="C2362" s="158"/>
      <c r="D2362" s="159"/>
      <c r="E2362" s="157"/>
      <c r="F2362" s="160"/>
      <c r="G2362" s="160"/>
      <c r="H2362" s="160">
        <f t="shared" si="55"/>
        <v>0</v>
      </c>
      <c r="I2362" s="160"/>
      <c r="J2362" s="161"/>
      <c r="K2362" s="160"/>
      <c r="L2362" s="160">
        <f>+'FACP$'!$H2362-'FACP$'!$I2362-'FACP$'!$K2362</f>
        <v>0</v>
      </c>
      <c r="M2362" s="162"/>
      <c r="N2362" s="162" t="s">
        <v>127</v>
      </c>
      <c r="O2362" s="164"/>
      <c r="P2362" s="164">
        <f t="shared" si="13"/>
        <v>10</v>
      </c>
      <c r="Q2362" s="165">
        <f t="shared" si="2"/>
        <v>0</v>
      </c>
      <c r="R2362" s="167"/>
      <c r="S2362" s="167"/>
      <c r="T2362" s="168">
        <f t="shared" si="3"/>
        <v>0</v>
      </c>
      <c r="U2362" s="168">
        <f t="shared" si="4"/>
        <v>0</v>
      </c>
      <c r="V2362" s="168">
        <f t="shared" si="5"/>
        <v>0</v>
      </c>
      <c r="W2362" s="168">
        <f t="shared" si="6"/>
        <v>0</v>
      </c>
      <c r="X2362" s="168">
        <f t="shared" si="7"/>
        <v>0</v>
      </c>
      <c r="Y2362" s="168">
        <f t="shared" si="8"/>
        <v>0</v>
      </c>
      <c r="Z2362" s="168">
        <f t="shared" si="9"/>
        <v>0</v>
      </c>
    </row>
    <row r="2363" ht="15.0" customHeight="1">
      <c r="A2363" s="157" t="s">
        <v>2617</v>
      </c>
      <c r="B2363" s="158" t="s">
        <v>16</v>
      </c>
      <c r="C2363" s="158" t="s">
        <v>2431</v>
      </c>
      <c r="D2363" s="159">
        <v>44239.0</v>
      </c>
      <c r="E2363" s="157" t="s">
        <v>731</v>
      </c>
      <c r="F2363" s="160">
        <v>11362.0</v>
      </c>
      <c r="G2363" s="160">
        <v>1817.92</v>
      </c>
      <c r="H2363" s="160">
        <f t="shared" si="55"/>
        <v>13179.92</v>
      </c>
      <c r="I2363" s="160"/>
      <c r="J2363" s="161"/>
      <c r="K2363" s="160"/>
      <c r="L2363" s="160">
        <f>+'FACP$'!$H2363-'FACP$'!$I2363-'FACP$'!$K2363</f>
        <v>13179.92</v>
      </c>
      <c r="M2363" s="162" t="s">
        <v>985</v>
      </c>
      <c r="N2363" s="162" t="s">
        <v>127</v>
      </c>
      <c r="O2363" s="164"/>
      <c r="P2363" s="164">
        <f t="shared" si="13"/>
        <v>44249</v>
      </c>
      <c r="Q2363" s="165">
        <f t="shared" si="2"/>
        <v>0</v>
      </c>
      <c r="R2363" s="167"/>
      <c r="S2363" s="167"/>
      <c r="T2363" s="168">
        <f t="shared" si="3"/>
        <v>13179.92</v>
      </c>
      <c r="U2363" s="168">
        <f t="shared" si="4"/>
        <v>0</v>
      </c>
      <c r="V2363" s="168">
        <f t="shared" si="5"/>
        <v>0</v>
      </c>
      <c r="W2363" s="168">
        <f t="shared" si="6"/>
        <v>0</v>
      </c>
      <c r="X2363" s="168">
        <f t="shared" si="7"/>
        <v>0</v>
      </c>
      <c r="Y2363" s="168">
        <f t="shared" si="8"/>
        <v>0</v>
      </c>
      <c r="Z2363" s="168">
        <f t="shared" si="9"/>
        <v>0</v>
      </c>
    </row>
    <row r="2364" ht="15.0" customHeight="1">
      <c r="A2364" s="157" t="s">
        <v>2618</v>
      </c>
      <c r="B2364" s="158" t="s">
        <v>16</v>
      </c>
      <c r="C2364" s="158" t="s">
        <v>2431</v>
      </c>
      <c r="D2364" s="159">
        <v>44239.0</v>
      </c>
      <c r="E2364" s="157" t="s">
        <v>731</v>
      </c>
      <c r="F2364" s="160">
        <v>11362.0</v>
      </c>
      <c r="G2364" s="160">
        <v>1817.92</v>
      </c>
      <c r="H2364" s="160">
        <f t="shared" si="55"/>
        <v>13179.92</v>
      </c>
      <c r="I2364" s="160"/>
      <c r="J2364" s="161"/>
      <c r="K2364" s="160"/>
      <c r="L2364" s="160">
        <f>+'FACP$'!$H2364-'FACP$'!$I2364-'FACP$'!$K2364</f>
        <v>13179.92</v>
      </c>
      <c r="M2364" s="162" t="s">
        <v>985</v>
      </c>
      <c r="N2364" s="162" t="s">
        <v>127</v>
      </c>
      <c r="O2364" s="164"/>
      <c r="P2364" s="164">
        <f t="shared" si="13"/>
        <v>44249</v>
      </c>
      <c r="Q2364" s="165">
        <f t="shared" si="2"/>
        <v>0</v>
      </c>
      <c r="R2364" s="167"/>
      <c r="S2364" s="167"/>
      <c r="T2364" s="168">
        <f t="shared" si="3"/>
        <v>13179.92</v>
      </c>
      <c r="U2364" s="168">
        <f t="shared" si="4"/>
        <v>0</v>
      </c>
      <c r="V2364" s="168">
        <f t="shared" si="5"/>
        <v>0</v>
      </c>
      <c r="W2364" s="168">
        <f t="shared" si="6"/>
        <v>0</v>
      </c>
      <c r="X2364" s="168">
        <f t="shared" si="7"/>
        <v>0</v>
      </c>
      <c r="Y2364" s="168">
        <f t="shared" si="8"/>
        <v>0</v>
      </c>
      <c r="Z2364" s="168">
        <f t="shared" si="9"/>
        <v>0</v>
      </c>
    </row>
    <row r="2365" ht="15.0" customHeight="1">
      <c r="A2365" s="157" t="s">
        <v>2619</v>
      </c>
      <c r="B2365" s="158" t="s">
        <v>37</v>
      </c>
      <c r="C2365" s="158" t="s">
        <v>2431</v>
      </c>
      <c r="D2365" s="159">
        <v>44239.0</v>
      </c>
      <c r="E2365" s="157" t="s">
        <v>731</v>
      </c>
      <c r="F2365" s="160">
        <v>19266.0</v>
      </c>
      <c r="G2365" s="160">
        <v>3082.56</v>
      </c>
      <c r="H2365" s="160">
        <f t="shared" si="55"/>
        <v>22348.56</v>
      </c>
      <c r="I2365" s="160"/>
      <c r="J2365" s="161"/>
      <c r="K2365" s="160"/>
      <c r="L2365" s="160">
        <f>+'FACP$'!$H2365-'FACP$'!$I2365-'FACP$'!$K2365</f>
        <v>22348.56</v>
      </c>
      <c r="M2365" s="162" t="s">
        <v>116</v>
      </c>
      <c r="N2365" s="162" t="s">
        <v>554</v>
      </c>
      <c r="O2365" s="164">
        <v>44292.0</v>
      </c>
      <c r="P2365" s="164">
        <f t="shared" si="13"/>
        <v>44249</v>
      </c>
      <c r="Q2365" s="165">
        <f t="shared" si="2"/>
        <v>0</v>
      </c>
      <c r="R2365" s="164" t="s">
        <v>2573</v>
      </c>
      <c r="S2365" s="167"/>
      <c r="T2365" s="168">
        <f t="shared" si="3"/>
        <v>22348.56</v>
      </c>
      <c r="U2365" s="168">
        <f t="shared" si="4"/>
        <v>0</v>
      </c>
      <c r="V2365" s="168">
        <f t="shared" si="5"/>
        <v>0</v>
      </c>
      <c r="W2365" s="168">
        <f t="shared" si="6"/>
        <v>0</v>
      </c>
      <c r="X2365" s="168">
        <f t="shared" si="7"/>
        <v>0</v>
      </c>
      <c r="Y2365" s="168">
        <f t="shared" si="8"/>
        <v>0</v>
      </c>
      <c r="Z2365" s="168">
        <f t="shared" si="9"/>
        <v>0</v>
      </c>
    </row>
    <row r="2366" ht="15.0" customHeight="1">
      <c r="A2366" s="157" t="s">
        <v>2620</v>
      </c>
      <c r="B2366" s="158" t="s">
        <v>29</v>
      </c>
      <c r="C2366" s="158" t="s">
        <v>2431</v>
      </c>
      <c r="D2366" s="159">
        <v>44240.0</v>
      </c>
      <c r="E2366" s="157" t="s">
        <v>731</v>
      </c>
      <c r="F2366" s="160">
        <v>19266.0</v>
      </c>
      <c r="G2366" s="160">
        <v>3082.56</v>
      </c>
      <c r="H2366" s="160">
        <f t="shared" si="55"/>
        <v>22348.56</v>
      </c>
      <c r="I2366" s="160"/>
      <c r="J2366" s="161"/>
      <c r="K2366" s="160"/>
      <c r="L2366" s="160">
        <f>+'FACP$'!$H2366-'FACP$'!$I2366-'FACP$'!$K2366</f>
        <v>22348.56</v>
      </c>
      <c r="M2366" s="162" t="s">
        <v>130</v>
      </c>
      <c r="N2366" s="162" t="s">
        <v>554</v>
      </c>
      <c r="O2366" s="164">
        <v>44284.0</v>
      </c>
      <c r="P2366" s="164">
        <f t="shared" si="13"/>
        <v>44250</v>
      </c>
      <c r="Q2366" s="165">
        <f t="shared" si="2"/>
        <v>0</v>
      </c>
      <c r="R2366" s="167"/>
      <c r="S2366" s="167"/>
      <c r="T2366" s="168">
        <f t="shared" si="3"/>
        <v>22348.56</v>
      </c>
      <c r="U2366" s="168">
        <f t="shared" si="4"/>
        <v>0</v>
      </c>
      <c r="V2366" s="168">
        <f t="shared" si="5"/>
        <v>0</v>
      </c>
      <c r="W2366" s="168">
        <f t="shared" si="6"/>
        <v>0</v>
      </c>
      <c r="X2366" s="168">
        <f t="shared" si="7"/>
        <v>0</v>
      </c>
      <c r="Y2366" s="168">
        <f t="shared" si="8"/>
        <v>0</v>
      </c>
      <c r="Z2366" s="168">
        <f t="shared" si="9"/>
        <v>0</v>
      </c>
    </row>
    <row r="2367" ht="15.0" customHeight="1">
      <c r="A2367" s="157" t="s">
        <v>2621</v>
      </c>
      <c r="B2367" s="158" t="s">
        <v>37</v>
      </c>
      <c r="C2367" s="158" t="s">
        <v>2431</v>
      </c>
      <c r="D2367" s="159">
        <v>44239.0</v>
      </c>
      <c r="E2367" s="157" t="s">
        <v>731</v>
      </c>
      <c r="F2367" s="160">
        <v>38532.0</v>
      </c>
      <c r="G2367" s="160">
        <v>6165.12</v>
      </c>
      <c r="H2367" s="160">
        <f t="shared" si="55"/>
        <v>44697.12</v>
      </c>
      <c r="I2367" s="160"/>
      <c r="J2367" s="161"/>
      <c r="K2367" s="160"/>
      <c r="L2367" s="160">
        <f>+'FACP$'!$H2367-'FACP$'!$I2367-'FACP$'!$K2367</f>
        <v>44697.12</v>
      </c>
      <c r="M2367" s="162" t="s">
        <v>116</v>
      </c>
      <c r="N2367" s="162" t="s">
        <v>554</v>
      </c>
      <c r="O2367" s="164">
        <v>44292.0</v>
      </c>
      <c r="P2367" s="164">
        <f t="shared" si="13"/>
        <v>44249</v>
      </c>
      <c r="Q2367" s="165">
        <f t="shared" si="2"/>
        <v>0</v>
      </c>
      <c r="R2367" s="164" t="s">
        <v>2573</v>
      </c>
      <c r="S2367" s="167"/>
      <c r="T2367" s="168">
        <f t="shared" si="3"/>
        <v>44697.12</v>
      </c>
      <c r="U2367" s="168">
        <f t="shared" si="4"/>
        <v>0</v>
      </c>
      <c r="V2367" s="168">
        <f t="shared" si="5"/>
        <v>0</v>
      </c>
      <c r="W2367" s="168">
        <f t="shared" si="6"/>
        <v>0</v>
      </c>
      <c r="X2367" s="168">
        <f t="shared" si="7"/>
        <v>0</v>
      </c>
      <c r="Y2367" s="168">
        <f t="shared" si="8"/>
        <v>0</v>
      </c>
      <c r="Z2367" s="168">
        <f t="shared" si="9"/>
        <v>0</v>
      </c>
    </row>
    <row r="2368" ht="15.0" customHeight="1">
      <c r="A2368" s="157" t="s">
        <v>2622</v>
      </c>
      <c r="B2368" s="158" t="s">
        <v>127</v>
      </c>
      <c r="C2368" s="158"/>
      <c r="D2368" s="159"/>
      <c r="E2368" s="157"/>
      <c r="F2368" s="160"/>
      <c r="G2368" s="160"/>
      <c r="H2368" s="160">
        <f t="shared" si="55"/>
        <v>0</v>
      </c>
      <c r="I2368" s="160"/>
      <c r="J2368" s="161"/>
      <c r="K2368" s="160"/>
      <c r="L2368" s="160">
        <f>+'FACP$'!$H2368-'FACP$'!$I2368-'FACP$'!$K2368</f>
        <v>0</v>
      </c>
      <c r="M2368" s="162"/>
      <c r="N2368" s="162" t="s">
        <v>127</v>
      </c>
      <c r="O2368" s="164"/>
      <c r="P2368" s="164">
        <f t="shared" si="13"/>
        <v>10</v>
      </c>
      <c r="Q2368" s="165">
        <f t="shared" si="2"/>
        <v>0</v>
      </c>
      <c r="R2368" s="167"/>
      <c r="S2368" s="167"/>
      <c r="T2368" s="168">
        <f t="shared" si="3"/>
        <v>0</v>
      </c>
      <c r="U2368" s="168">
        <f t="shared" si="4"/>
        <v>0</v>
      </c>
      <c r="V2368" s="168">
        <f t="shared" si="5"/>
        <v>0</v>
      </c>
      <c r="W2368" s="168">
        <f t="shared" si="6"/>
        <v>0</v>
      </c>
      <c r="X2368" s="168">
        <f t="shared" si="7"/>
        <v>0</v>
      </c>
      <c r="Y2368" s="168">
        <f t="shared" si="8"/>
        <v>0</v>
      </c>
      <c r="Z2368" s="168">
        <f t="shared" si="9"/>
        <v>0</v>
      </c>
    </row>
    <row r="2369" ht="15.0" customHeight="1">
      <c r="A2369" s="157" t="s">
        <v>2623</v>
      </c>
      <c r="B2369" s="158" t="s">
        <v>29</v>
      </c>
      <c r="C2369" s="158" t="s">
        <v>2431</v>
      </c>
      <c r="D2369" s="159">
        <v>44239.0</v>
      </c>
      <c r="E2369" s="157" t="s">
        <v>731</v>
      </c>
      <c r="F2369" s="160">
        <v>19266.0</v>
      </c>
      <c r="G2369" s="160">
        <v>3082.56</v>
      </c>
      <c r="H2369" s="160">
        <f t="shared" si="55"/>
        <v>22348.56</v>
      </c>
      <c r="I2369" s="160"/>
      <c r="J2369" s="161"/>
      <c r="K2369" s="160"/>
      <c r="L2369" s="160">
        <f>+'FACP$'!$H2369-'FACP$'!$I2369-'FACP$'!$K2369</f>
        <v>22348.56</v>
      </c>
      <c r="M2369" s="162" t="s">
        <v>130</v>
      </c>
      <c r="N2369" s="162" t="s">
        <v>554</v>
      </c>
      <c r="O2369" s="164">
        <v>44298.0</v>
      </c>
      <c r="P2369" s="164">
        <f t="shared" si="13"/>
        <v>44249</v>
      </c>
      <c r="Q2369" s="165">
        <f t="shared" si="2"/>
        <v>0</v>
      </c>
      <c r="R2369" s="167"/>
      <c r="S2369" s="167"/>
      <c r="T2369" s="168">
        <f t="shared" si="3"/>
        <v>22348.56</v>
      </c>
      <c r="U2369" s="168">
        <f t="shared" si="4"/>
        <v>0</v>
      </c>
      <c r="V2369" s="168">
        <f t="shared" si="5"/>
        <v>0</v>
      </c>
      <c r="W2369" s="168">
        <f t="shared" si="6"/>
        <v>0</v>
      </c>
      <c r="X2369" s="168">
        <f t="shared" si="7"/>
        <v>0</v>
      </c>
      <c r="Y2369" s="168">
        <f t="shared" si="8"/>
        <v>0</v>
      </c>
      <c r="Z2369" s="168">
        <f t="shared" si="9"/>
        <v>0</v>
      </c>
    </row>
    <row r="2370" ht="15.0" customHeight="1">
      <c r="A2370" s="157" t="s">
        <v>2624</v>
      </c>
      <c r="B2370" s="228" t="s">
        <v>18</v>
      </c>
      <c r="C2370" s="228" t="s">
        <v>2431</v>
      </c>
      <c r="D2370" s="229">
        <v>44239.0</v>
      </c>
      <c r="E2370" s="230" t="s">
        <v>731</v>
      </c>
      <c r="F2370" s="231">
        <v>19266.0</v>
      </c>
      <c r="G2370" s="231">
        <v>3082.56</v>
      </c>
      <c r="H2370" s="160">
        <f>F2370+G2370-18631.26</f>
        <v>3717.3</v>
      </c>
      <c r="I2370" s="231"/>
      <c r="J2370" s="232"/>
      <c r="K2370" s="231"/>
      <c r="L2370" s="231">
        <f>+'FACP$'!$H2370-'FACP$'!$I2370-'FACP$'!$K2370</f>
        <v>3717.3</v>
      </c>
      <c r="M2370" s="233" t="s">
        <v>586</v>
      </c>
      <c r="N2370" s="233" t="s">
        <v>554</v>
      </c>
      <c r="O2370" s="235">
        <v>44279.0</v>
      </c>
      <c r="P2370" s="235">
        <f t="shared" si="13"/>
        <v>44249</v>
      </c>
      <c r="Q2370" s="236">
        <f t="shared" si="2"/>
        <v>0</v>
      </c>
      <c r="R2370" s="235" t="s">
        <v>2593</v>
      </c>
      <c r="S2370" s="237"/>
      <c r="T2370" s="168">
        <f t="shared" si="3"/>
        <v>3717.3</v>
      </c>
      <c r="U2370" s="168">
        <f t="shared" si="4"/>
        <v>0</v>
      </c>
      <c r="V2370" s="168">
        <f t="shared" si="5"/>
        <v>0</v>
      </c>
      <c r="W2370" s="168">
        <f t="shared" si="6"/>
        <v>0</v>
      </c>
      <c r="X2370" s="168">
        <f t="shared" si="7"/>
        <v>0</v>
      </c>
      <c r="Y2370" s="168">
        <f t="shared" si="8"/>
        <v>0</v>
      </c>
      <c r="Z2370" s="168">
        <f t="shared" si="9"/>
        <v>0</v>
      </c>
    </row>
    <row r="2371" ht="15.0" customHeight="1">
      <c r="A2371" s="157" t="s">
        <v>2625</v>
      </c>
      <c r="B2371" s="158" t="s">
        <v>29</v>
      </c>
      <c r="C2371" s="158" t="s">
        <v>2431</v>
      </c>
      <c r="D2371" s="159">
        <v>44243.0</v>
      </c>
      <c r="E2371" s="157" t="s">
        <v>731</v>
      </c>
      <c r="F2371" s="160">
        <v>19266.0</v>
      </c>
      <c r="G2371" s="160">
        <v>3082.56</v>
      </c>
      <c r="H2371" s="160">
        <f t="shared" ref="H2371:H2413" si="56">F2371+G2371</f>
        <v>22348.56</v>
      </c>
      <c r="I2371" s="160"/>
      <c r="J2371" s="161"/>
      <c r="K2371" s="160"/>
      <c r="L2371" s="160">
        <f>+'FACP$'!$H2371-'FACP$'!$I2371-'FACP$'!$K2371</f>
        <v>22348.56</v>
      </c>
      <c r="M2371" s="162" t="s">
        <v>130</v>
      </c>
      <c r="N2371" s="162" t="s">
        <v>127</v>
      </c>
      <c r="O2371" s="164"/>
      <c r="P2371" s="164">
        <f t="shared" si="13"/>
        <v>44253</v>
      </c>
      <c r="Q2371" s="165">
        <f t="shared" si="2"/>
        <v>0</v>
      </c>
      <c r="R2371" s="167"/>
      <c r="S2371" s="167"/>
      <c r="T2371" s="168">
        <f t="shared" si="3"/>
        <v>22348.56</v>
      </c>
      <c r="U2371" s="168">
        <f t="shared" si="4"/>
        <v>0</v>
      </c>
      <c r="V2371" s="168">
        <f t="shared" si="5"/>
        <v>0</v>
      </c>
      <c r="W2371" s="168">
        <f t="shared" si="6"/>
        <v>0</v>
      </c>
      <c r="X2371" s="168">
        <f t="shared" si="7"/>
        <v>0</v>
      </c>
      <c r="Y2371" s="168">
        <f t="shared" si="8"/>
        <v>0</v>
      </c>
      <c r="Z2371" s="168">
        <f t="shared" si="9"/>
        <v>0</v>
      </c>
    </row>
    <row r="2372" ht="15.0" customHeight="1">
      <c r="A2372" s="157" t="s">
        <v>2626</v>
      </c>
      <c r="B2372" s="158" t="s">
        <v>29</v>
      </c>
      <c r="C2372" s="158" t="s">
        <v>2431</v>
      </c>
      <c r="D2372" s="159">
        <v>44243.0</v>
      </c>
      <c r="E2372" s="157" t="s">
        <v>731</v>
      </c>
      <c r="F2372" s="160">
        <v>19266.0</v>
      </c>
      <c r="G2372" s="160">
        <v>3082.56</v>
      </c>
      <c r="H2372" s="160">
        <f t="shared" si="56"/>
        <v>22348.56</v>
      </c>
      <c r="I2372" s="160"/>
      <c r="J2372" s="161"/>
      <c r="K2372" s="160"/>
      <c r="L2372" s="160">
        <f>+'FACP$'!$H2372-'FACP$'!$I2372-'FACP$'!$K2372</f>
        <v>22348.56</v>
      </c>
      <c r="M2372" s="162" t="s">
        <v>130</v>
      </c>
      <c r="N2372" s="162" t="s">
        <v>554</v>
      </c>
      <c r="O2372" s="164">
        <v>44284.0</v>
      </c>
      <c r="P2372" s="164">
        <f t="shared" si="13"/>
        <v>44253</v>
      </c>
      <c r="Q2372" s="165">
        <f t="shared" si="2"/>
        <v>0</v>
      </c>
      <c r="R2372" s="167"/>
      <c r="S2372" s="167"/>
      <c r="T2372" s="168">
        <f t="shared" si="3"/>
        <v>22348.56</v>
      </c>
      <c r="U2372" s="168">
        <f t="shared" si="4"/>
        <v>0</v>
      </c>
      <c r="V2372" s="168">
        <f t="shared" si="5"/>
        <v>0</v>
      </c>
      <c r="W2372" s="168">
        <f t="shared" si="6"/>
        <v>0</v>
      </c>
      <c r="X2372" s="168">
        <f t="shared" si="7"/>
        <v>0</v>
      </c>
      <c r="Y2372" s="168">
        <f t="shared" si="8"/>
        <v>0</v>
      </c>
      <c r="Z2372" s="168">
        <f t="shared" si="9"/>
        <v>0</v>
      </c>
    </row>
    <row r="2373" ht="15.0" customHeight="1">
      <c r="A2373" s="157" t="s">
        <v>2627</v>
      </c>
      <c r="B2373" s="158" t="s">
        <v>29</v>
      </c>
      <c r="C2373" s="158" t="s">
        <v>2431</v>
      </c>
      <c r="D2373" s="159">
        <v>44243.0</v>
      </c>
      <c r="E2373" s="157" t="s">
        <v>731</v>
      </c>
      <c r="F2373" s="160">
        <v>19266.0</v>
      </c>
      <c r="G2373" s="160">
        <v>3082.56</v>
      </c>
      <c r="H2373" s="160">
        <f t="shared" si="56"/>
        <v>22348.56</v>
      </c>
      <c r="I2373" s="160"/>
      <c r="J2373" s="161"/>
      <c r="K2373" s="160"/>
      <c r="L2373" s="160">
        <f>+'FACP$'!$H2373-'FACP$'!$I2373-'FACP$'!$K2373</f>
        <v>22348.56</v>
      </c>
      <c r="M2373" s="162" t="s">
        <v>130</v>
      </c>
      <c r="N2373" s="162" t="s">
        <v>554</v>
      </c>
      <c r="O2373" s="164">
        <v>44284.0</v>
      </c>
      <c r="P2373" s="164">
        <f t="shared" si="13"/>
        <v>44253</v>
      </c>
      <c r="Q2373" s="165">
        <f t="shared" si="2"/>
        <v>0</v>
      </c>
      <c r="R2373" s="167"/>
      <c r="S2373" s="167"/>
      <c r="T2373" s="168">
        <f t="shared" si="3"/>
        <v>22348.56</v>
      </c>
      <c r="U2373" s="168">
        <f t="shared" si="4"/>
        <v>0</v>
      </c>
      <c r="V2373" s="168">
        <f t="shared" si="5"/>
        <v>0</v>
      </c>
      <c r="W2373" s="168">
        <f t="shared" si="6"/>
        <v>0</v>
      </c>
      <c r="X2373" s="168">
        <f t="shared" si="7"/>
        <v>0</v>
      </c>
      <c r="Y2373" s="168">
        <f t="shared" si="8"/>
        <v>0</v>
      </c>
      <c r="Z2373" s="168">
        <f t="shared" si="9"/>
        <v>0</v>
      </c>
    </row>
    <row r="2374" ht="15.0" customHeight="1">
      <c r="A2374" s="157" t="s">
        <v>2628</v>
      </c>
      <c r="B2374" s="158" t="s">
        <v>127</v>
      </c>
      <c r="C2374" s="158"/>
      <c r="D2374" s="159"/>
      <c r="E2374" s="157"/>
      <c r="F2374" s="160"/>
      <c r="G2374" s="160"/>
      <c r="H2374" s="160">
        <f t="shared" si="56"/>
        <v>0</v>
      </c>
      <c r="I2374" s="160"/>
      <c r="J2374" s="161"/>
      <c r="K2374" s="160"/>
      <c r="L2374" s="160">
        <f>+'FACP$'!$H2374-'FACP$'!$I2374-'FACP$'!$K2374</f>
        <v>0</v>
      </c>
      <c r="M2374" s="162"/>
      <c r="N2374" s="162" t="s">
        <v>127</v>
      </c>
      <c r="O2374" s="164"/>
      <c r="P2374" s="164">
        <f t="shared" si="13"/>
        <v>10</v>
      </c>
      <c r="Q2374" s="165">
        <f t="shared" si="2"/>
        <v>0</v>
      </c>
      <c r="R2374" s="167"/>
      <c r="S2374" s="167"/>
      <c r="T2374" s="168">
        <f t="shared" si="3"/>
        <v>0</v>
      </c>
      <c r="U2374" s="168">
        <f t="shared" si="4"/>
        <v>0</v>
      </c>
      <c r="V2374" s="168">
        <f t="shared" si="5"/>
        <v>0</v>
      </c>
      <c r="W2374" s="168">
        <f t="shared" si="6"/>
        <v>0</v>
      </c>
      <c r="X2374" s="168">
        <f t="shared" si="7"/>
        <v>0</v>
      </c>
      <c r="Y2374" s="168">
        <f t="shared" si="8"/>
        <v>0</v>
      </c>
      <c r="Z2374" s="168">
        <f t="shared" si="9"/>
        <v>0</v>
      </c>
    </row>
    <row r="2375" ht="15.0" customHeight="1">
      <c r="A2375" s="157" t="s">
        <v>2629</v>
      </c>
      <c r="B2375" s="158" t="s">
        <v>16</v>
      </c>
      <c r="C2375" s="158" t="s">
        <v>2630</v>
      </c>
      <c r="D2375" s="159">
        <v>44253.0</v>
      </c>
      <c r="E2375" s="157" t="s">
        <v>731</v>
      </c>
      <c r="F2375" s="160">
        <v>299599.32</v>
      </c>
      <c r="G2375" s="160">
        <v>47935.89</v>
      </c>
      <c r="H2375" s="160">
        <f t="shared" si="56"/>
        <v>347535.21</v>
      </c>
      <c r="I2375" s="160"/>
      <c r="J2375" s="161"/>
      <c r="K2375" s="160"/>
      <c r="L2375" s="160">
        <f>+'FACP$'!$H2375-'FACP$'!$I2375-'FACP$'!$K2375</f>
        <v>347535.21</v>
      </c>
      <c r="M2375" s="162" t="s">
        <v>985</v>
      </c>
      <c r="N2375" s="162" t="s">
        <v>554</v>
      </c>
      <c r="O2375" s="164">
        <v>44279.0</v>
      </c>
      <c r="P2375" s="164">
        <f t="shared" si="13"/>
        <v>44263</v>
      </c>
      <c r="Q2375" s="165">
        <f t="shared" si="2"/>
        <v>0</v>
      </c>
      <c r="R2375" s="167"/>
      <c r="S2375" s="167" t="s">
        <v>910</v>
      </c>
      <c r="T2375" s="168">
        <f t="shared" si="3"/>
        <v>347535.21</v>
      </c>
      <c r="U2375" s="168">
        <f t="shared" si="4"/>
        <v>0</v>
      </c>
      <c r="V2375" s="168">
        <f t="shared" si="5"/>
        <v>0</v>
      </c>
      <c r="W2375" s="168">
        <f t="shared" si="6"/>
        <v>0</v>
      </c>
      <c r="X2375" s="168">
        <f t="shared" si="7"/>
        <v>0</v>
      </c>
      <c r="Y2375" s="168">
        <f t="shared" si="8"/>
        <v>0</v>
      </c>
      <c r="Z2375" s="168">
        <f t="shared" si="9"/>
        <v>0</v>
      </c>
    </row>
    <row r="2376" ht="15.0" customHeight="1">
      <c r="A2376" s="157" t="s">
        <v>2631</v>
      </c>
      <c r="B2376" s="158" t="s">
        <v>16</v>
      </c>
      <c r="C2376" s="158" t="s">
        <v>2632</v>
      </c>
      <c r="D2376" s="159">
        <v>44253.0</v>
      </c>
      <c r="E2376" s="157" t="s">
        <v>731</v>
      </c>
      <c r="F2376" s="160">
        <v>314947.12</v>
      </c>
      <c r="G2376" s="160">
        <v>50391.54</v>
      </c>
      <c r="H2376" s="160">
        <f t="shared" si="56"/>
        <v>365338.66</v>
      </c>
      <c r="I2376" s="160"/>
      <c r="J2376" s="161"/>
      <c r="K2376" s="160"/>
      <c r="L2376" s="160">
        <f>+'FACP$'!$H2376-'FACP$'!$I2376-'FACP$'!$K2376</f>
        <v>365338.66</v>
      </c>
      <c r="M2376" s="162" t="s">
        <v>985</v>
      </c>
      <c r="N2376" s="162" t="s">
        <v>554</v>
      </c>
      <c r="O2376" s="164">
        <v>44279.0</v>
      </c>
      <c r="P2376" s="164">
        <f t="shared" si="13"/>
        <v>44263</v>
      </c>
      <c r="Q2376" s="165">
        <f t="shared" si="2"/>
        <v>0</v>
      </c>
      <c r="R2376" s="167"/>
      <c r="S2376" s="167" t="s">
        <v>910</v>
      </c>
      <c r="T2376" s="168">
        <f t="shared" si="3"/>
        <v>365338.66</v>
      </c>
      <c r="U2376" s="168">
        <f t="shared" si="4"/>
        <v>0</v>
      </c>
      <c r="V2376" s="168">
        <f t="shared" si="5"/>
        <v>0</v>
      </c>
      <c r="W2376" s="168">
        <f t="shared" si="6"/>
        <v>0</v>
      </c>
      <c r="X2376" s="168">
        <f t="shared" si="7"/>
        <v>0</v>
      </c>
      <c r="Y2376" s="168">
        <f t="shared" si="8"/>
        <v>0</v>
      </c>
      <c r="Z2376" s="168">
        <f t="shared" si="9"/>
        <v>0</v>
      </c>
    </row>
    <row r="2377" ht="15.0" customHeight="1">
      <c r="A2377" s="157" t="s">
        <v>2633</v>
      </c>
      <c r="B2377" s="158" t="s">
        <v>127</v>
      </c>
      <c r="C2377" s="158"/>
      <c r="D2377" s="159"/>
      <c r="E2377" s="157"/>
      <c r="F2377" s="160"/>
      <c r="G2377" s="160"/>
      <c r="H2377" s="160">
        <f t="shared" si="56"/>
        <v>0</v>
      </c>
      <c r="I2377" s="160"/>
      <c r="J2377" s="161"/>
      <c r="K2377" s="160"/>
      <c r="L2377" s="160">
        <f>+'FACP$'!$H2377-'FACP$'!$I2377-'FACP$'!$K2377</f>
        <v>0</v>
      </c>
      <c r="M2377" s="162"/>
      <c r="N2377" s="162" t="s">
        <v>127</v>
      </c>
      <c r="O2377" s="164"/>
      <c r="P2377" s="164">
        <f t="shared" si="13"/>
        <v>10</v>
      </c>
      <c r="Q2377" s="165">
        <f t="shared" si="2"/>
        <v>0</v>
      </c>
      <c r="R2377" s="167"/>
      <c r="S2377" s="167"/>
      <c r="T2377" s="168">
        <f t="shared" si="3"/>
        <v>0</v>
      </c>
      <c r="U2377" s="168">
        <f t="shared" si="4"/>
        <v>0</v>
      </c>
      <c r="V2377" s="168">
        <f t="shared" si="5"/>
        <v>0</v>
      </c>
      <c r="W2377" s="168">
        <f t="shared" si="6"/>
        <v>0</v>
      </c>
      <c r="X2377" s="168">
        <f t="shared" si="7"/>
        <v>0</v>
      </c>
      <c r="Y2377" s="168">
        <f t="shared" si="8"/>
        <v>0</v>
      </c>
      <c r="Z2377" s="168">
        <f t="shared" si="9"/>
        <v>0</v>
      </c>
    </row>
    <row r="2378" ht="15.0" customHeight="1">
      <c r="A2378" s="157" t="s">
        <v>2634</v>
      </c>
      <c r="B2378" s="158" t="s">
        <v>26</v>
      </c>
      <c r="C2378" s="158" t="s">
        <v>2632</v>
      </c>
      <c r="D2378" s="159">
        <v>44253.0</v>
      </c>
      <c r="E2378" s="157" t="s">
        <v>731</v>
      </c>
      <c r="F2378" s="160">
        <v>55573.68</v>
      </c>
      <c r="G2378" s="160">
        <v>8891.79</v>
      </c>
      <c r="H2378" s="160">
        <f t="shared" si="56"/>
        <v>64465.47</v>
      </c>
      <c r="I2378" s="160"/>
      <c r="J2378" s="161"/>
      <c r="K2378" s="160"/>
      <c r="L2378" s="160">
        <f>+'FACP$'!$H2378-'FACP$'!$I2378-'FACP$'!$K2378</f>
        <v>64465.47</v>
      </c>
      <c r="M2378" s="162" t="s">
        <v>2386</v>
      </c>
      <c r="N2378" s="162" t="s">
        <v>554</v>
      </c>
      <c r="O2378" s="164">
        <v>44292.0</v>
      </c>
      <c r="P2378" s="164">
        <f t="shared" si="13"/>
        <v>44263</v>
      </c>
      <c r="Q2378" s="165">
        <f t="shared" si="2"/>
        <v>0</v>
      </c>
      <c r="R2378" s="167"/>
      <c r="S2378" s="167"/>
      <c r="T2378" s="168">
        <f t="shared" si="3"/>
        <v>64465.47</v>
      </c>
      <c r="U2378" s="168">
        <f t="shared" si="4"/>
        <v>0</v>
      </c>
      <c r="V2378" s="168">
        <f t="shared" si="5"/>
        <v>0</v>
      </c>
      <c r="W2378" s="168">
        <f t="shared" si="6"/>
        <v>0</v>
      </c>
      <c r="X2378" s="168">
        <f t="shared" si="7"/>
        <v>0</v>
      </c>
      <c r="Y2378" s="168">
        <f t="shared" si="8"/>
        <v>0</v>
      </c>
      <c r="Z2378" s="168">
        <f t="shared" si="9"/>
        <v>0</v>
      </c>
    </row>
    <row r="2379" ht="15.0" customHeight="1">
      <c r="A2379" s="157" t="s">
        <v>2635</v>
      </c>
      <c r="B2379" s="158" t="s">
        <v>29</v>
      </c>
      <c r="C2379" s="158" t="s">
        <v>2632</v>
      </c>
      <c r="D2379" s="159">
        <v>44253.0</v>
      </c>
      <c r="E2379" s="157" t="s">
        <v>731</v>
      </c>
      <c r="F2379" s="160">
        <v>908628.0</v>
      </c>
      <c r="G2379" s="160">
        <v>145380.48</v>
      </c>
      <c r="H2379" s="160">
        <f t="shared" si="56"/>
        <v>1054008.48</v>
      </c>
      <c r="I2379" s="160"/>
      <c r="J2379" s="161"/>
      <c r="K2379" s="160"/>
      <c r="L2379" s="160">
        <f>+'FACP$'!$H2379-'FACP$'!$I2379-'FACP$'!$K2379</f>
        <v>1054008.48</v>
      </c>
      <c r="M2379" s="162" t="s">
        <v>130</v>
      </c>
      <c r="N2379" s="162" t="s">
        <v>554</v>
      </c>
      <c r="O2379" s="164">
        <v>44284.0</v>
      </c>
      <c r="P2379" s="164">
        <f t="shared" si="13"/>
        <v>44263</v>
      </c>
      <c r="Q2379" s="165">
        <f t="shared" si="2"/>
        <v>0</v>
      </c>
      <c r="R2379" s="167"/>
      <c r="S2379" s="167"/>
      <c r="T2379" s="168">
        <f t="shared" si="3"/>
        <v>1054008.48</v>
      </c>
      <c r="U2379" s="168">
        <f t="shared" si="4"/>
        <v>0</v>
      </c>
      <c r="V2379" s="168">
        <f t="shared" si="5"/>
        <v>0</v>
      </c>
      <c r="W2379" s="168">
        <f t="shared" si="6"/>
        <v>0</v>
      </c>
      <c r="X2379" s="168">
        <f t="shared" si="7"/>
        <v>0</v>
      </c>
      <c r="Y2379" s="168">
        <f t="shared" si="8"/>
        <v>0</v>
      </c>
      <c r="Z2379" s="168">
        <f t="shared" si="9"/>
        <v>0</v>
      </c>
    </row>
    <row r="2380" ht="15.0" customHeight="1">
      <c r="A2380" s="157" t="s">
        <v>2636</v>
      </c>
      <c r="B2380" s="158" t="s">
        <v>29</v>
      </c>
      <c r="C2380" s="158" t="s">
        <v>2630</v>
      </c>
      <c r="D2380" s="159">
        <v>44253.0</v>
      </c>
      <c r="E2380" s="157" t="s">
        <v>731</v>
      </c>
      <c r="F2380" s="160">
        <v>315233.7</v>
      </c>
      <c r="G2380" s="160">
        <v>50437.39</v>
      </c>
      <c r="H2380" s="160">
        <f t="shared" si="56"/>
        <v>365671.09</v>
      </c>
      <c r="I2380" s="160"/>
      <c r="J2380" s="161"/>
      <c r="K2380" s="160"/>
      <c r="L2380" s="160">
        <f>+'FACP$'!$H2380-'FACP$'!$I2380-'FACP$'!$K2380</f>
        <v>365671.09</v>
      </c>
      <c r="M2380" s="162" t="s">
        <v>130</v>
      </c>
      <c r="N2380" s="162" t="s">
        <v>554</v>
      </c>
      <c r="O2380" s="164">
        <v>44271.0</v>
      </c>
      <c r="P2380" s="164">
        <f t="shared" si="13"/>
        <v>44263</v>
      </c>
      <c r="Q2380" s="165">
        <f t="shared" si="2"/>
        <v>0</v>
      </c>
      <c r="R2380" s="167"/>
      <c r="S2380" s="167"/>
      <c r="T2380" s="168">
        <f t="shared" si="3"/>
        <v>365671.09</v>
      </c>
      <c r="U2380" s="168">
        <f t="shared" si="4"/>
        <v>0</v>
      </c>
      <c r="V2380" s="168">
        <f t="shared" si="5"/>
        <v>0</v>
      </c>
      <c r="W2380" s="168">
        <f t="shared" si="6"/>
        <v>0</v>
      </c>
      <c r="X2380" s="168">
        <f t="shared" si="7"/>
        <v>0</v>
      </c>
      <c r="Y2380" s="168">
        <f t="shared" si="8"/>
        <v>0</v>
      </c>
      <c r="Z2380" s="168">
        <f t="shared" si="9"/>
        <v>0</v>
      </c>
    </row>
    <row r="2381" ht="15.0" customHeight="1">
      <c r="A2381" s="157" t="s">
        <v>2637</v>
      </c>
      <c r="B2381" s="158" t="s">
        <v>38</v>
      </c>
      <c r="C2381" s="158" t="s">
        <v>2632</v>
      </c>
      <c r="D2381" s="159">
        <v>44253.0</v>
      </c>
      <c r="E2381" s="157" t="s">
        <v>731</v>
      </c>
      <c r="F2381" s="160">
        <v>433892.2</v>
      </c>
      <c r="G2381" s="160">
        <v>69422.75</v>
      </c>
      <c r="H2381" s="160">
        <f t="shared" si="56"/>
        <v>503314.95</v>
      </c>
      <c r="I2381" s="160"/>
      <c r="J2381" s="161"/>
      <c r="K2381" s="160"/>
      <c r="L2381" s="160">
        <f>+'FACP$'!$H2381-'FACP$'!$I2381-'FACP$'!$K2381</f>
        <v>503314.95</v>
      </c>
      <c r="M2381" s="162" t="s">
        <v>145</v>
      </c>
      <c r="N2381" s="162" t="s">
        <v>554</v>
      </c>
      <c r="O2381" s="164">
        <v>44305.0</v>
      </c>
      <c r="P2381" s="164">
        <f t="shared" si="13"/>
        <v>44263</v>
      </c>
      <c r="Q2381" s="165">
        <f t="shared" si="2"/>
        <v>0</v>
      </c>
      <c r="R2381" s="167"/>
      <c r="S2381" s="167"/>
      <c r="T2381" s="168">
        <f t="shared" si="3"/>
        <v>503314.95</v>
      </c>
      <c r="U2381" s="168">
        <f t="shared" si="4"/>
        <v>0</v>
      </c>
      <c r="V2381" s="168">
        <f t="shared" si="5"/>
        <v>0</v>
      </c>
      <c r="W2381" s="168">
        <f t="shared" si="6"/>
        <v>0</v>
      </c>
      <c r="X2381" s="168">
        <f t="shared" si="7"/>
        <v>0</v>
      </c>
      <c r="Y2381" s="168">
        <f t="shared" si="8"/>
        <v>0</v>
      </c>
      <c r="Z2381" s="168">
        <f t="shared" si="9"/>
        <v>0</v>
      </c>
    </row>
    <row r="2382" ht="15.0" customHeight="1">
      <c r="A2382" s="157" t="s">
        <v>2638</v>
      </c>
      <c r="B2382" s="158" t="s">
        <v>27</v>
      </c>
      <c r="C2382" s="158" t="s">
        <v>2639</v>
      </c>
      <c r="D2382" s="159">
        <v>44253.0</v>
      </c>
      <c r="E2382" s="157" t="s">
        <v>731</v>
      </c>
      <c r="F2382" s="160">
        <v>511327.1</v>
      </c>
      <c r="G2382" s="160">
        <v>81812.34</v>
      </c>
      <c r="H2382" s="160">
        <f t="shared" si="56"/>
        <v>593139.44</v>
      </c>
      <c r="I2382" s="160"/>
      <c r="J2382" s="161"/>
      <c r="K2382" s="160"/>
      <c r="L2382" s="160">
        <f>+'FACP$'!$H2382-'FACP$'!$I2382-'FACP$'!$K2382</f>
        <v>593139.44</v>
      </c>
      <c r="M2382" s="162" t="s">
        <v>151</v>
      </c>
      <c r="N2382" s="162" t="s">
        <v>554</v>
      </c>
      <c r="O2382" s="164">
        <v>44279.0</v>
      </c>
      <c r="P2382" s="164">
        <f t="shared" si="13"/>
        <v>44263</v>
      </c>
      <c r="Q2382" s="165">
        <f t="shared" si="2"/>
        <v>0</v>
      </c>
      <c r="R2382" s="167"/>
      <c r="S2382" s="167" t="s">
        <v>910</v>
      </c>
      <c r="T2382" s="168">
        <f t="shared" si="3"/>
        <v>593139.44</v>
      </c>
      <c r="U2382" s="168">
        <f t="shared" si="4"/>
        <v>0</v>
      </c>
      <c r="V2382" s="168">
        <f t="shared" si="5"/>
        <v>0</v>
      </c>
      <c r="W2382" s="168">
        <f t="shared" si="6"/>
        <v>0</v>
      </c>
      <c r="X2382" s="168">
        <f t="shared" si="7"/>
        <v>0</v>
      </c>
      <c r="Y2382" s="168">
        <f t="shared" si="8"/>
        <v>0</v>
      </c>
      <c r="Z2382" s="168">
        <f t="shared" si="9"/>
        <v>0</v>
      </c>
    </row>
    <row r="2383" ht="15.0" customHeight="1">
      <c r="A2383" s="157" t="s">
        <v>2640</v>
      </c>
      <c r="B2383" s="158" t="s">
        <v>27</v>
      </c>
      <c r="C2383" s="158" t="s">
        <v>2641</v>
      </c>
      <c r="D2383" s="159">
        <v>44253.0</v>
      </c>
      <c r="E2383" s="157" t="s">
        <v>731</v>
      </c>
      <c r="F2383" s="160">
        <v>413744.26</v>
      </c>
      <c r="G2383" s="160">
        <v>66199.08</v>
      </c>
      <c r="H2383" s="160">
        <f t="shared" si="56"/>
        <v>479943.34</v>
      </c>
      <c r="I2383" s="160"/>
      <c r="J2383" s="161"/>
      <c r="K2383" s="160"/>
      <c r="L2383" s="160">
        <f>+'FACP$'!$H2383-'FACP$'!$I2383-'FACP$'!$K2383</f>
        <v>479943.34</v>
      </c>
      <c r="M2383" s="162" t="s">
        <v>151</v>
      </c>
      <c r="N2383" s="162" t="s">
        <v>554</v>
      </c>
      <c r="O2383" s="164">
        <v>44286.0</v>
      </c>
      <c r="P2383" s="164">
        <f t="shared" si="13"/>
        <v>44263</v>
      </c>
      <c r="Q2383" s="165">
        <f t="shared" si="2"/>
        <v>0</v>
      </c>
      <c r="R2383" s="167"/>
      <c r="S2383" s="167"/>
      <c r="T2383" s="168">
        <f t="shared" si="3"/>
        <v>479943.34</v>
      </c>
      <c r="U2383" s="168">
        <f t="shared" si="4"/>
        <v>0</v>
      </c>
      <c r="V2383" s="168">
        <f t="shared" si="5"/>
        <v>0</v>
      </c>
      <c r="W2383" s="168">
        <f t="shared" si="6"/>
        <v>0</v>
      </c>
      <c r="X2383" s="168">
        <f t="shared" si="7"/>
        <v>0</v>
      </c>
      <c r="Y2383" s="168">
        <f t="shared" si="8"/>
        <v>0</v>
      </c>
      <c r="Z2383" s="168">
        <f t="shared" si="9"/>
        <v>0</v>
      </c>
    </row>
    <row r="2384" ht="15.0" customHeight="1">
      <c r="A2384" s="157" t="s">
        <v>2642</v>
      </c>
      <c r="B2384" s="158" t="s">
        <v>27</v>
      </c>
      <c r="C2384" s="158" t="s">
        <v>2643</v>
      </c>
      <c r="D2384" s="159">
        <v>44253.0</v>
      </c>
      <c r="E2384" s="157" t="s">
        <v>731</v>
      </c>
      <c r="F2384" s="160">
        <v>27394.19</v>
      </c>
      <c r="G2384" s="160">
        <v>4383.07</v>
      </c>
      <c r="H2384" s="160">
        <f t="shared" si="56"/>
        <v>31777.26</v>
      </c>
      <c r="I2384" s="160"/>
      <c r="J2384" s="161"/>
      <c r="K2384" s="160"/>
      <c r="L2384" s="160">
        <f>+'FACP$'!$H2384-'FACP$'!$I2384-'FACP$'!$K2384</f>
        <v>31777.26</v>
      </c>
      <c r="M2384" s="162" t="s">
        <v>151</v>
      </c>
      <c r="N2384" s="162" t="s">
        <v>554</v>
      </c>
      <c r="O2384" s="164">
        <v>44293.0</v>
      </c>
      <c r="P2384" s="164">
        <f t="shared" si="13"/>
        <v>44263</v>
      </c>
      <c r="Q2384" s="165">
        <f t="shared" si="2"/>
        <v>0</v>
      </c>
      <c r="R2384" s="167"/>
      <c r="S2384" s="167"/>
      <c r="T2384" s="168">
        <f t="shared" si="3"/>
        <v>31777.26</v>
      </c>
      <c r="U2384" s="168">
        <f t="shared" si="4"/>
        <v>0</v>
      </c>
      <c r="V2384" s="168">
        <f t="shared" si="5"/>
        <v>0</v>
      </c>
      <c r="W2384" s="168">
        <f t="shared" si="6"/>
        <v>0</v>
      </c>
      <c r="X2384" s="168">
        <f t="shared" si="7"/>
        <v>0</v>
      </c>
      <c r="Y2384" s="168">
        <f t="shared" si="8"/>
        <v>0</v>
      </c>
      <c r="Z2384" s="168">
        <f t="shared" si="9"/>
        <v>0</v>
      </c>
    </row>
    <row r="2385" ht="15.0" customHeight="1">
      <c r="A2385" s="157" t="s">
        <v>2644</v>
      </c>
      <c r="B2385" s="158" t="s">
        <v>27</v>
      </c>
      <c r="C2385" s="158" t="s">
        <v>2645</v>
      </c>
      <c r="D2385" s="159">
        <v>44253.0</v>
      </c>
      <c r="E2385" s="157" t="s">
        <v>731</v>
      </c>
      <c r="F2385" s="160">
        <v>22166.22</v>
      </c>
      <c r="G2385" s="160">
        <v>3546.6</v>
      </c>
      <c r="H2385" s="160">
        <f t="shared" si="56"/>
        <v>25712.82</v>
      </c>
      <c r="I2385" s="160"/>
      <c r="J2385" s="161"/>
      <c r="K2385" s="160"/>
      <c r="L2385" s="160">
        <f>+'FACP$'!$H2385-'FACP$'!$I2385-'FACP$'!$K2385</f>
        <v>25712.82</v>
      </c>
      <c r="M2385" s="162" t="s">
        <v>151</v>
      </c>
      <c r="N2385" s="162" t="s">
        <v>554</v>
      </c>
      <c r="O2385" s="164">
        <v>44293.0</v>
      </c>
      <c r="P2385" s="164">
        <f t="shared" si="13"/>
        <v>44263</v>
      </c>
      <c r="Q2385" s="165">
        <f t="shared" si="2"/>
        <v>0</v>
      </c>
      <c r="R2385" s="167"/>
      <c r="S2385" s="167"/>
      <c r="T2385" s="168">
        <f t="shared" si="3"/>
        <v>25712.82</v>
      </c>
      <c r="U2385" s="168">
        <f t="shared" si="4"/>
        <v>0</v>
      </c>
      <c r="V2385" s="168">
        <f t="shared" si="5"/>
        <v>0</v>
      </c>
      <c r="W2385" s="168">
        <f t="shared" si="6"/>
        <v>0</v>
      </c>
      <c r="X2385" s="168">
        <f t="shared" si="7"/>
        <v>0</v>
      </c>
      <c r="Y2385" s="168">
        <f t="shared" si="8"/>
        <v>0</v>
      </c>
      <c r="Z2385" s="168">
        <f t="shared" si="9"/>
        <v>0</v>
      </c>
    </row>
    <row r="2386" ht="15.0" customHeight="1">
      <c r="A2386" s="157" t="s">
        <v>2646</v>
      </c>
      <c r="B2386" s="158" t="s">
        <v>27</v>
      </c>
      <c r="C2386" s="158" t="s">
        <v>2647</v>
      </c>
      <c r="D2386" s="159">
        <v>44253.0</v>
      </c>
      <c r="E2386" s="157" t="s">
        <v>731</v>
      </c>
      <c r="F2386" s="160">
        <v>186638.16</v>
      </c>
      <c r="G2386" s="160">
        <v>29862.11</v>
      </c>
      <c r="H2386" s="160">
        <f t="shared" si="56"/>
        <v>216500.27</v>
      </c>
      <c r="I2386" s="160"/>
      <c r="J2386" s="161"/>
      <c r="K2386" s="160"/>
      <c r="L2386" s="160">
        <f>+'FACP$'!$H2386-'FACP$'!$I2386-'FACP$'!$K2386</f>
        <v>216500.27</v>
      </c>
      <c r="M2386" s="162" t="s">
        <v>151</v>
      </c>
      <c r="N2386" s="162" t="s">
        <v>554</v>
      </c>
      <c r="O2386" s="164">
        <v>44293.0</v>
      </c>
      <c r="P2386" s="164">
        <f t="shared" si="13"/>
        <v>44263</v>
      </c>
      <c r="Q2386" s="165">
        <f t="shared" si="2"/>
        <v>0</v>
      </c>
      <c r="R2386" s="167"/>
      <c r="S2386" s="167"/>
      <c r="T2386" s="168">
        <f t="shared" si="3"/>
        <v>216500.27</v>
      </c>
      <c r="U2386" s="168">
        <f t="shared" si="4"/>
        <v>0</v>
      </c>
      <c r="V2386" s="168">
        <f t="shared" si="5"/>
        <v>0</v>
      </c>
      <c r="W2386" s="168">
        <f t="shared" si="6"/>
        <v>0</v>
      </c>
      <c r="X2386" s="168">
        <f t="shared" si="7"/>
        <v>0</v>
      </c>
      <c r="Y2386" s="168">
        <f t="shared" si="8"/>
        <v>0</v>
      </c>
      <c r="Z2386" s="168">
        <f t="shared" si="9"/>
        <v>0</v>
      </c>
    </row>
    <row r="2387" ht="15.0" customHeight="1">
      <c r="A2387" s="157" t="s">
        <v>2648</v>
      </c>
      <c r="B2387" s="158" t="s">
        <v>27</v>
      </c>
      <c r="C2387" s="158" t="s">
        <v>2649</v>
      </c>
      <c r="D2387" s="159">
        <v>44253.0</v>
      </c>
      <c r="E2387" s="157" t="s">
        <v>731</v>
      </c>
      <c r="F2387" s="160">
        <v>153123.59</v>
      </c>
      <c r="G2387" s="160">
        <v>24499.77</v>
      </c>
      <c r="H2387" s="160">
        <f t="shared" si="56"/>
        <v>177623.36</v>
      </c>
      <c r="I2387" s="160"/>
      <c r="J2387" s="161"/>
      <c r="K2387" s="160"/>
      <c r="L2387" s="160">
        <f>+'FACP$'!$H2387-'FACP$'!$I2387-'FACP$'!$K2387</f>
        <v>177623.36</v>
      </c>
      <c r="M2387" s="162" t="s">
        <v>151</v>
      </c>
      <c r="N2387" s="162" t="s">
        <v>554</v>
      </c>
      <c r="O2387" s="164">
        <v>44293.0</v>
      </c>
      <c r="P2387" s="164">
        <f t="shared" si="13"/>
        <v>44263</v>
      </c>
      <c r="Q2387" s="165">
        <f t="shared" si="2"/>
        <v>0</v>
      </c>
      <c r="R2387" s="167"/>
      <c r="S2387" s="167"/>
      <c r="T2387" s="168">
        <f t="shared" si="3"/>
        <v>177623.36</v>
      </c>
      <c r="U2387" s="168">
        <f t="shared" si="4"/>
        <v>0</v>
      </c>
      <c r="V2387" s="168">
        <f t="shared" si="5"/>
        <v>0</v>
      </c>
      <c r="W2387" s="168">
        <f t="shared" si="6"/>
        <v>0</v>
      </c>
      <c r="X2387" s="168">
        <f t="shared" si="7"/>
        <v>0</v>
      </c>
      <c r="Y2387" s="168">
        <f t="shared" si="8"/>
        <v>0</v>
      </c>
      <c r="Z2387" s="168">
        <f t="shared" si="9"/>
        <v>0</v>
      </c>
    </row>
    <row r="2388" ht="15.0" customHeight="1">
      <c r="A2388" s="157" t="s">
        <v>2650</v>
      </c>
      <c r="B2388" s="158" t="s">
        <v>27</v>
      </c>
      <c r="C2388" s="158" t="s">
        <v>2651</v>
      </c>
      <c r="D2388" s="159">
        <v>44253.0</v>
      </c>
      <c r="E2388" s="157" t="s">
        <v>731</v>
      </c>
      <c r="F2388" s="160">
        <v>12756.08</v>
      </c>
      <c r="G2388" s="160">
        <v>2040.97</v>
      </c>
      <c r="H2388" s="160">
        <f t="shared" si="56"/>
        <v>14797.05</v>
      </c>
      <c r="I2388" s="160"/>
      <c r="J2388" s="161"/>
      <c r="K2388" s="160"/>
      <c r="L2388" s="160">
        <f>+'FACP$'!$H2388-'FACP$'!$I2388-'FACP$'!$K2388</f>
        <v>14797.05</v>
      </c>
      <c r="M2388" s="162" t="s">
        <v>151</v>
      </c>
      <c r="N2388" s="162" t="s">
        <v>554</v>
      </c>
      <c r="O2388" s="164">
        <v>44293.0</v>
      </c>
      <c r="P2388" s="164">
        <f t="shared" si="13"/>
        <v>44263</v>
      </c>
      <c r="Q2388" s="165">
        <f t="shared" si="2"/>
        <v>0</v>
      </c>
      <c r="R2388" s="167"/>
      <c r="S2388" s="167"/>
      <c r="T2388" s="168">
        <f t="shared" si="3"/>
        <v>14797.05</v>
      </c>
      <c r="U2388" s="168">
        <f t="shared" si="4"/>
        <v>0</v>
      </c>
      <c r="V2388" s="168">
        <f t="shared" si="5"/>
        <v>0</v>
      </c>
      <c r="W2388" s="168">
        <f t="shared" si="6"/>
        <v>0</v>
      </c>
      <c r="X2388" s="168">
        <f t="shared" si="7"/>
        <v>0</v>
      </c>
      <c r="Y2388" s="168">
        <f t="shared" si="8"/>
        <v>0</v>
      </c>
      <c r="Z2388" s="168">
        <f t="shared" si="9"/>
        <v>0</v>
      </c>
    </row>
    <row r="2389" ht="15.0" customHeight="1">
      <c r="A2389" s="157" t="s">
        <v>2652</v>
      </c>
      <c r="B2389" s="158" t="s">
        <v>27</v>
      </c>
      <c r="C2389" s="158" t="s">
        <v>2653</v>
      </c>
      <c r="D2389" s="159">
        <v>44253.0</v>
      </c>
      <c r="E2389" s="157" t="s">
        <v>731</v>
      </c>
      <c r="F2389" s="160">
        <v>10465.47</v>
      </c>
      <c r="G2389" s="160">
        <v>1674.48</v>
      </c>
      <c r="H2389" s="160">
        <f t="shared" si="56"/>
        <v>12139.95</v>
      </c>
      <c r="I2389" s="160"/>
      <c r="J2389" s="161"/>
      <c r="K2389" s="160"/>
      <c r="L2389" s="160">
        <f>+'FACP$'!$H2389-'FACP$'!$I2389-'FACP$'!$K2389</f>
        <v>12139.95</v>
      </c>
      <c r="M2389" s="162" t="s">
        <v>151</v>
      </c>
      <c r="N2389" s="162" t="s">
        <v>554</v>
      </c>
      <c r="O2389" s="164">
        <v>44293.0</v>
      </c>
      <c r="P2389" s="164">
        <f t="shared" si="13"/>
        <v>44263</v>
      </c>
      <c r="Q2389" s="165">
        <f t="shared" si="2"/>
        <v>0</v>
      </c>
      <c r="R2389" s="167"/>
      <c r="S2389" s="167"/>
      <c r="T2389" s="168">
        <f t="shared" si="3"/>
        <v>12139.95</v>
      </c>
      <c r="U2389" s="168">
        <f t="shared" si="4"/>
        <v>0</v>
      </c>
      <c r="V2389" s="168">
        <f t="shared" si="5"/>
        <v>0</v>
      </c>
      <c r="W2389" s="168">
        <f t="shared" si="6"/>
        <v>0</v>
      </c>
      <c r="X2389" s="168">
        <f t="shared" si="7"/>
        <v>0</v>
      </c>
      <c r="Y2389" s="168">
        <f t="shared" si="8"/>
        <v>0</v>
      </c>
      <c r="Z2389" s="168">
        <f t="shared" si="9"/>
        <v>0</v>
      </c>
    </row>
    <row r="2390" ht="15.0" customHeight="1">
      <c r="A2390" s="157" t="s">
        <v>2654</v>
      </c>
      <c r="B2390" s="158" t="s">
        <v>27</v>
      </c>
      <c r="C2390" s="158" t="s">
        <v>2639</v>
      </c>
      <c r="D2390" s="159">
        <v>44253.0</v>
      </c>
      <c r="E2390" s="157" t="s">
        <v>731</v>
      </c>
      <c r="F2390" s="160">
        <v>131262.18</v>
      </c>
      <c r="G2390" s="160">
        <v>21001.95</v>
      </c>
      <c r="H2390" s="160">
        <f t="shared" si="56"/>
        <v>152264.13</v>
      </c>
      <c r="I2390" s="160"/>
      <c r="J2390" s="161"/>
      <c r="K2390" s="160"/>
      <c r="L2390" s="160">
        <f>+'FACP$'!$H2390-'FACP$'!$I2390-'FACP$'!$K2390</f>
        <v>152264.13</v>
      </c>
      <c r="M2390" s="162" t="s">
        <v>158</v>
      </c>
      <c r="N2390" s="162" t="s">
        <v>554</v>
      </c>
      <c r="O2390" s="164">
        <v>44279.0</v>
      </c>
      <c r="P2390" s="164">
        <f t="shared" si="13"/>
        <v>44263</v>
      </c>
      <c r="Q2390" s="165">
        <f t="shared" si="2"/>
        <v>0</v>
      </c>
      <c r="R2390" s="167"/>
      <c r="S2390" s="167" t="s">
        <v>910</v>
      </c>
      <c r="T2390" s="168">
        <f t="shared" si="3"/>
        <v>152264.13</v>
      </c>
      <c r="U2390" s="168">
        <f t="shared" si="4"/>
        <v>0</v>
      </c>
      <c r="V2390" s="168">
        <f t="shared" si="5"/>
        <v>0</v>
      </c>
      <c r="W2390" s="168">
        <f t="shared" si="6"/>
        <v>0</v>
      </c>
      <c r="X2390" s="168">
        <f t="shared" si="7"/>
        <v>0</v>
      </c>
      <c r="Y2390" s="168">
        <f t="shared" si="8"/>
        <v>0</v>
      </c>
      <c r="Z2390" s="168">
        <f t="shared" si="9"/>
        <v>0</v>
      </c>
    </row>
    <row r="2391" ht="15.0" customHeight="1">
      <c r="A2391" s="157" t="s">
        <v>2655</v>
      </c>
      <c r="B2391" s="158" t="s">
        <v>27</v>
      </c>
      <c r="C2391" s="158" t="s">
        <v>2641</v>
      </c>
      <c r="D2391" s="159">
        <v>44253.0</v>
      </c>
      <c r="E2391" s="157" t="s">
        <v>731</v>
      </c>
      <c r="F2391" s="160">
        <v>88509.33</v>
      </c>
      <c r="G2391" s="160">
        <v>14161.49</v>
      </c>
      <c r="H2391" s="160">
        <f t="shared" si="56"/>
        <v>102670.82</v>
      </c>
      <c r="I2391" s="160"/>
      <c r="J2391" s="161"/>
      <c r="K2391" s="160"/>
      <c r="L2391" s="160">
        <f>+'FACP$'!$H2391-'FACP$'!$I2391-'FACP$'!$K2391</f>
        <v>102670.82</v>
      </c>
      <c r="M2391" s="162" t="s">
        <v>158</v>
      </c>
      <c r="N2391" s="162" t="s">
        <v>554</v>
      </c>
      <c r="O2391" s="164">
        <v>44279.0</v>
      </c>
      <c r="P2391" s="164">
        <f t="shared" si="13"/>
        <v>44263</v>
      </c>
      <c r="Q2391" s="165">
        <f t="shared" si="2"/>
        <v>0</v>
      </c>
      <c r="R2391" s="167"/>
      <c r="S2391" s="167" t="s">
        <v>910</v>
      </c>
      <c r="T2391" s="168">
        <f t="shared" si="3"/>
        <v>102670.82</v>
      </c>
      <c r="U2391" s="168">
        <f t="shared" si="4"/>
        <v>0</v>
      </c>
      <c r="V2391" s="168">
        <f t="shared" si="5"/>
        <v>0</v>
      </c>
      <c r="W2391" s="168">
        <f t="shared" si="6"/>
        <v>0</v>
      </c>
      <c r="X2391" s="168">
        <f t="shared" si="7"/>
        <v>0</v>
      </c>
      <c r="Y2391" s="168">
        <f t="shared" si="8"/>
        <v>0</v>
      </c>
      <c r="Z2391" s="168">
        <f t="shared" si="9"/>
        <v>0</v>
      </c>
    </row>
    <row r="2392" ht="15.0" customHeight="1">
      <c r="A2392" s="157" t="s">
        <v>2656</v>
      </c>
      <c r="B2392" s="158" t="s">
        <v>27</v>
      </c>
      <c r="C2392" s="158" t="s">
        <v>2647</v>
      </c>
      <c r="D2392" s="159">
        <v>44253.0</v>
      </c>
      <c r="E2392" s="157" t="s">
        <v>731</v>
      </c>
      <c r="F2392" s="160">
        <v>99092.26</v>
      </c>
      <c r="G2392" s="160">
        <v>15854.76</v>
      </c>
      <c r="H2392" s="160">
        <f t="shared" si="56"/>
        <v>114947.02</v>
      </c>
      <c r="I2392" s="160"/>
      <c r="J2392" s="161"/>
      <c r="K2392" s="160"/>
      <c r="L2392" s="160">
        <f>+'FACP$'!$H2392-'FACP$'!$I2392-'FACP$'!$K2392</f>
        <v>114947.02</v>
      </c>
      <c r="M2392" s="162" t="s">
        <v>158</v>
      </c>
      <c r="N2392" s="162" t="s">
        <v>554</v>
      </c>
      <c r="O2392" s="164">
        <v>44286.0</v>
      </c>
      <c r="P2392" s="164">
        <f t="shared" si="13"/>
        <v>44263</v>
      </c>
      <c r="Q2392" s="165">
        <f t="shared" si="2"/>
        <v>0</v>
      </c>
      <c r="R2392" s="167"/>
      <c r="S2392" s="167"/>
      <c r="T2392" s="168">
        <f t="shared" si="3"/>
        <v>114947.02</v>
      </c>
      <c r="U2392" s="168">
        <f t="shared" si="4"/>
        <v>0</v>
      </c>
      <c r="V2392" s="168">
        <f t="shared" si="5"/>
        <v>0</v>
      </c>
      <c r="W2392" s="168">
        <f t="shared" si="6"/>
        <v>0</v>
      </c>
      <c r="X2392" s="168">
        <f t="shared" si="7"/>
        <v>0</v>
      </c>
      <c r="Y2392" s="168">
        <f t="shared" si="8"/>
        <v>0</v>
      </c>
      <c r="Z2392" s="168">
        <f t="shared" si="9"/>
        <v>0</v>
      </c>
    </row>
    <row r="2393" ht="15.0" customHeight="1">
      <c r="A2393" s="157" t="s">
        <v>2657</v>
      </c>
      <c r="B2393" s="158" t="s">
        <v>27</v>
      </c>
      <c r="C2393" s="158" t="s">
        <v>2649</v>
      </c>
      <c r="D2393" s="159">
        <v>44253.0</v>
      </c>
      <c r="E2393" s="157" t="s">
        <v>731</v>
      </c>
      <c r="F2393" s="160">
        <v>65966.8</v>
      </c>
      <c r="G2393" s="160">
        <v>10554.69</v>
      </c>
      <c r="H2393" s="160">
        <f t="shared" si="56"/>
        <v>76521.49</v>
      </c>
      <c r="I2393" s="160"/>
      <c r="J2393" s="161"/>
      <c r="K2393" s="160"/>
      <c r="L2393" s="160">
        <f>+'FACP$'!$H2393-'FACP$'!$I2393-'FACP$'!$K2393</f>
        <v>76521.49</v>
      </c>
      <c r="M2393" s="162" t="s">
        <v>158</v>
      </c>
      <c r="N2393" s="162" t="s">
        <v>554</v>
      </c>
      <c r="O2393" s="164">
        <v>44286.0</v>
      </c>
      <c r="P2393" s="164">
        <f t="shared" si="13"/>
        <v>44263</v>
      </c>
      <c r="Q2393" s="165">
        <f t="shared" si="2"/>
        <v>0</v>
      </c>
      <c r="R2393" s="167"/>
      <c r="S2393" s="167"/>
      <c r="T2393" s="168">
        <f t="shared" si="3"/>
        <v>76521.49</v>
      </c>
      <c r="U2393" s="168">
        <f t="shared" si="4"/>
        <v>0</v>
      </c>
      <c r="V2393" s="168">
        <f t="shared" si="5"/>
        <v>0</v>
      </c>
      <c r="W2393" s="168">
        <f t="shared" si="6"/>
        <v>0</v>
      </c>
      <c r="X2393" s="168">
        <f t="shared" si="7"/>
        <v>0</v>
      </c>
      <c r="Y2393" s="168">
        <f t="shared" si="8"/>
        <v>0</v>
      </c>
      <c r="Z2393" s="168">
        <f t="shared" si="9"/>
        <v>0</v>
      </c>
    </row>
    <row r="2394" ht="15.0" customHeight="1">
      <c r="A2394" s="157" t="s">
        <v>2658</v>
      </c>
      <c r="B2394" s="158" t="s">
        <v>33</v>
      </c>
      <c r="C2394" s="158" t="s">
        <v>2632</v>
      </c>
      <c r="D2394" s="159">
        <v>44254.0</v>
      </c>
      <c r="E2394" s="157" t="s">
        <v>731</v>
      </c>
      <c r="F2394" s="160">
        <v>686021.85</v>
      </c>
      <c r="G2394" s="160">
        <v>109763.5</v>
      </c>
      <c r="H2394" s="160">
        <f t="shared" si="56"/>
        <v>795785.35</v>
      </c>
      <c r="I2394" s="160"/>
      <c r="J2394" s="161"/>
      <c r="K2394" s="160"/>
      <c r="L2394" s="160">
        <f>+'FACP$'!$H2394-'FACP$'!$I2394-'FACP$'!$K2394</f>
        <v>795785.35</v>
      </c>
      <c r="M2394" s="162" t="s">
        <v>958</v>
      </c>
      <c r="N2394" s="162" t="s">
        <v>554</v>
      </c>
      <c r="O2394" s="164">
        <v>44260.0</v>
      </c>
      <c r="P2394" s="164">
        <f t="shared" si="13"/>
        <v>44264</v>
      </c>
      <c r="Q2394" s="165">
        <f t="shared" si="2"/>
        <v>0</v>
      </c>
      <c r="R2394" s="167"/>
      <c r="S2394" s="167"/>
      <c r="T2394" s="168">
        <f t="shared" si="3"/>
        <v>795785.35</v>
      </c>
      <c r="U2394" s="168">
        <f t="shared" si="4"/>
        <v>0</v>
      </c>
      <c r="V2394" s="168">
        <f t="shared" si="5"/>
        <v>0</v>
      </c>
      <c r="W2394" s="168">
        <f t="shared" si="6"/>
        <v>0</v>
      </c>
      <c r="X2394" s="168">
        <f t="shared" si="7"/>
        <v>0</v>
      </c>
      <c r="Y2394" s="168">
        <f t="shared" si="8"/>
        <v>0</v>
      </c>
      <c r="Z2394" s="168">
        <f t="shared" si="9"/>
        <v>0</v>
      </c>
    </row>
    <row r="2395" ht="15.0" customHeight="1">
      <c r="A2395" s="157" t="s">
        <v>2659</v>
      </c>
      <c r="B2395" s="158" t="s">
        <v>35</v>
      </c>
      <c r="C2395" s="158" t="s">
        <v>2632</v>
      </c>
      <c r="D2395" s="159">
        <v>44254.0</v>
      </c>
      <c r="E2395" s="157" t="s">
        <v>731</v>
      </c>
      <c r="F2395" s="160">
        <v>502083.61</v>
      </c>
      <c r="G2395" s="160">
        <v>80333.38</v>
      </c>
      <c r="H2395" s="160">
        <f t="shared" si="56"/>
        <v>582416.99</v>
      </c>
      <c r="I2395" s="160"/>
      <c r="J2395" s="161"/>
      <c r="K2395" s="160"/>
      <c r="L2395" s="160">
        <f>+'FACP$'!$H2395-'FACP$'!$I2395-'FACP$'!$K2395</f>
        <v>582416.99</v>
      </c>
      <c r="M2395" s="162" t="s">
        <v>276</v>
      </c>
      <c r="N2395" s="162" t="s">
        <v>554</v>
      </c>
      <c r="O2395" s="164">
        <v>44266.0</v>
      </c>
      <c r="P2395" s="164">
        <f t="shared" si="13"/>
        <v>44264</v>
      </c>
      <c r="Q2395" s="165">
        <f t="shared" si="2"/>
        <v>0</v>
      </c>
      <c r="R2395" s="167"/>
      <c r="S2395" s="167" t="s">
        <v>910</v>
      </c>
      <c r="T2395" s="168">
        <f t="shared" si="3"/>
        <v>582416.99</v>
      </c>
      <c r="U2395" s="168">
        <f t="shared" si="4"/>
        <v>0</v>
      </c>
      <c r="V2395" s="168">
        <f t="shared" si="5"/>
        <v>0</v>
      </c>
      <c r="W2395" s="168">
        <f t="shared" si="6"/>
        <v>0</v>
      </c>
      <c r="X2395" s="168">
        <f t="shared" si="7"/>
        <v>0</v>
      </c>
      <c r="Y2395" s="168">
        <f t="shared" si="8"/>
        <v>0</v>
      </c>
      <c r="Z2395" s="168">
        <f t="shared" si="9"/>
        <v>0</v>
      </c>
    </row>
    <row r="2396" ht="15.0" customHeight="1">
      <c r="A2396" s="157" t="s">
        <v>2660</v>
      </c>
      <c r="B2396" s="158" t="s">
        <v>36</v>
      </c>
      <c r="C2396" s="158" t="s">
        <v>2632</v>
      </c>
      <c r="D2396" s="159">
        <v>44254.0</v>
      </c>
      <c r="E2396" s="157" t="s">
        <v>731</v>
      </c>
      <c r="F2396" s="160">
        <v>49132.83</v>
      </c>
      <c r="G2396" s="160">
        <v>7861.25</v>
      </c>
      <c r="H2396" s="160">
        <f t="shared" si="56"/>
        <v>56994.08</v>
      </c>
      <c r="I2396" s="160"/>
      <c r="J2396" s="161"/>
      <c r="K2396" s="160"/>
      <c r="L2396" s="160">
        <f>+'FACP$'!$H2396-'FACP$'!$I2396-'FACP$'!$K2396</f>
        <v>56994.08</v>
      </c>
      <c r="M2396" s="162" t="s">
        <v>278</v>
      </c>
      <c r="N2396" s="162" t="s">
        <v>554</v>
      </c>
      <c r="O2396" s="164">
        <v>44278.0</v>
      </c>
      <c r="P2396" s="164">
        <f t="shared" si="13"/>
        <v>44264</v>
      </c>
      <c r="Q2396" s="165">
        <f t="shared" si="2"/>
        <v>0</v>
      </c>
      <c r="R2396" s="167"/>
      <c r="S2396" s="167" t="s">
        <v>910</v>
      </c>
      <c r="T2396" s="168">
        <f t="shared" si="3"/>
        <v>56994.08</v>
      </c>
      <c r="U2396" s="168">
        <f t="shared" si="4"/>
        <v>0</v>
      </c>
      <c r="V2396" s="168">
        <f t="shared" si="5"/>
        <v>0</v>
      </c>
      <c r="W2396" s="168">
        <f t="shared" si="6"/>
        <v>0</v>
      </c>
      <c r="X2396" s="168">
        <f t="shared" si="7"/>
        <v>0</v>
      </c>
      <c r="Y2396" s="168">
        <f t="shared" si="8"/>
        <v>0</v>
      </c>
      <c r="Z2396" s="168">
        <f t="shared" si="9"/>
        <v>0</v>
      </c>
    </row>
    <row r="2397" ht="15.0" customHeight="1">
      <c r="A2397" s="157" t="s">
        <v>2661</v>
      </c>
      <c r="B2397" s="158" t="s">
        <v>1127</v>
      </c>
      <c r="C2397" s="158" t="s">
        <v>2632</v>
      </c>
      <c r="D2397" s="159">
        <v>44254.0</v>
      </c>
      <c r="E2397" s="157" t="s">
        <v>731</v>
      </c>
      <c r="F2397" s="160">
        <v>398310.04</v>
      </c>
      <c r="G2397" s="160">
        <v>63729.61</v>
      </c>
      <c r="H2397" s="160">
        <f t="shared" si="56"/>
        <v>462039.65</v>
      </c>
      <c r="I2397" s="160"/>
      <c r="J2397" s="161"/>
      <c r="K2397" s="160"/>
      <c r="L2397" s="160">
        <f>+'FACP$'!$H2397-'FACP$'!$I2397-'FACP$'!$K2397</f>
        <v>462039.65</v>
      </c>
      <c r="M2397" s="162" t="s">
        <v>580</v>
      </c>
      <c r="N2397" s="162" t="s">
        <v>554</v>
      </c>
      <c r="O2397" s="164">
        <v>44273.0</v>
      </c>
      <c r="P2397" s="164">
        <f t="shared" si="13"/>
        <v>44264</v>
      </c>
      <c r="Q2397" s="165">
        <f t="shared" si="2"/>
        <v>0</v>
      </c>
      <c r="R2397" s="167"/>
      <c r="S2397" s="167"/>
      <c r="T2397" s="168">
        <f t="shared" si="3"/>
        <v>462039.65</v>
      </c>
      <c r="U2397" s="168">
        <f t="shared" si="4"/>
        <v>0</v>
      </c>
      <c r="V2397" s="168">
        <f t="shared" si="5"/>
        <v>0</v>
      </c>
      <c r="W2397" s="168">
        <f t="shared" si="6"/>
        <v>0</v>
      </c>
      <c r="X2397" s="168">
        <f t="shared" si="7"/>
        <v>0</v>
      </c>
      <c r="Y2397" s="168">
        <f t="shared" si="8"/>
        <v>0</v>
      </c>
      <c r="Z2397" s="168">
        <f t="shared" si="9"/>
        <v>0</v>
      </c>
    </row>
    <row r="2398" ht="15.0" customHeight="1">
      <c r="A2398" s="157" t="s">
        <v>2662</v>
      </c>
      <c r="B2398" s="158" t="s">
        <v>43</v>
      </c>
      <c r="C2398" s="158" t="s">
        <v>2632</v>
      </c>
      <c r="D2398" s="159">
        <v>44254.0</v>
      </c>
      <c r="E2398" s="157" t="s">
        <v>731</v>
      </c>
      <c r="F2398" s="160">
        <v>1067270.83</v>
      </c>
      <c r="G2398" s="160">
        <v>170763.33</v>
      </c>
      <c r="H2398" s="160">
        <f t="shared" si="56"/>
        <v>1238034.16</v>
      </c>
      <c r="I2398" s="160"/>
      <c r="J2398" s="161"/>
      <c r="K2398" s="160"/>
      <c r="L2398" s="160">
        <f>+'FACP$'!$H2398-'FACP$'!$I2398-'FACP$'!$K2398</f>
        <v>1238034.16</v>
      </c>
      <c r="M2398" s="162" t="s">
        <v>43</v>
      </c>
      <c r="N2398" s="162" t="s">
        <v>554</v>
      </c>
      <c r="O2398" s="164">
        <v>44281.0</v>
      </c>
      <c r="P2398" s="164">
        <f t="shared" si="13"/>
        <v>44264</v>
      </c>
      <c r="Q2398" s="165">
        <f t="shared" si="2"/>
        <v>0</v>
      </c>
      <c r="R2398" s="167"/>
      <c r="S2398" s="167"/>
      <c r="T2398" s="168">
        <f t="shared" si="3"/>
        <v>1238034.16</v>
      </c>
      <c r="U2398" s="168">
        <f t="shared" si="4"/>
        <v>0</v>
      </c>
      <c r="V2398" s="168">
        <f t="shared" si="5"/>
        <v>0</v>
      </c>
      <c r="W2398" s="168">
        <f t="shared" si="6"/>
        <v>0</v>
      </c>
      <c r="X2398" s="168">
        <f t="shared" si="7"/>
        <v>0</v>
      </c>
      <c r="Y2398" s="168">
        <f t="shared" si="8"/>
        <v>0</v>
      </c>
      <c r="Z2398" s="168">
        <f t="shared" si="9"/>
        <v>0</v>
      </c>
    </row>
    <row r="2399" ht="15.0" customHeight="1">
      <c r="A2399" s="157" t="s">
        <v>2663</v>
      </c>
      <c r="B2399" s="158" t="s">
        <v>41</v>
      </c>
      <c r="C2399" s="158" t="s">
        <v>2632</v>
      </c>
      <c r="D2399" s="159">
        <v>44259.0</v>
      </c>
      <c r="E2399" s="157" t="s">
        <v>731</v>
      </c>
      <c r="F2399" s="160">
        <v>729813.5</v>
      </c>
      <c r="G2399" s="160">
        <v>116770.16</v>
      </c>
      <c r="H2399" s="160">
        <f t="shared" si="56"/>
        <v>846583.66</v>
      </c>
      <c r="I2399" s="160"/>
      <c r="J2399" s="161"/>
      <c r="K2399" s="160"/>
      <c r="L2399" s="160">
        <f>+'FACP$'!$H2399-'FACP$'!$I2399-'FACP$'!$K2399</f>
        <v>846583.66</v>
      </c>
      <c r="M2399" s="162" t="s">
        <v>121</v>
      </c>
      <c r="N2399" s="162" t="s">
        <v>554</v>
      </c>
      <c r="O2399" s="164">
        <v>44383.0</v>
      </c>
      <c r="P2399" s="164">
        <f t="shared" si="13"/>
        <v>44269</v>
      </c>
      <c r="Q2399" s="165">
        <f t="shared" si="2"/>
        <v>0</v>
      </c>
      <c r="R2399" s="167"/>
      <c r="S2399" s="167"/>
      <c r="T2399" s="168">
        <f t="shared" si="3"/>
        <v>846583.66</v>
      </c>
      <c r="U2399" s="168">
        <f t="shared" si="4"/>
        <v>0</v>
      </c>
      <c r="V2399" s="168">
        <f t="shared" si="5"/>
        <v>0</v>
      </c>
      <c r="W2399" s="168">
        <f t="shared" si="6"/>
        <v>0</v>
      </c>
      <c r="X2399" s="168">
        <f t="shared" si="7"/>
        <v>0</v>
      </c>
      <c r="Y2399" s="168">
        <f t="shared" si="8"/>
        <v>0</v>
      </c>
      <c r="Z2399" s="168">
        <f t="shared" si="9"/>
        <v>0</v>
      </c>
    </row>
    <row r="2400" ht="15.0" customHeight="1">
      <c r="A2400" s="157" t="s">
        <v>2664</v>
      </c>
      <c r="B2400" s="158" t="s">
        <v>16</v>
      </c>
      <c r="C2400" s="158" t="s">
        <v>2665</v>
      </c>
      <c r="D2400" s="159">
        <v>44264.0</v>
      </c>
      <c r="E2400" s="157" t="s">
        <v>731</v>
      </c>
      <c r="F2400" s="160">
        <v>69383.0</v>
      </c>
      <c r="G2400" s="160">
        <v>11101.28</v>
      </c>
      <c r="H2400" s="160">
        <f t="shared" si="56"/>
        <v>80484.28</v>
      </c>
      <c r="I2400" s="160"/>
      <c r="J2400" s="161"/>
      <c r="K2400" s="160"/>
      <c r="L2400" s="160">
        <f>+'FACP$'!$H2400-'FACP$'!$I2400-'FACP$'!$K2400</f>
        <v>80484.28</v>
      </c>
      <c r="M2400" s="162" t="s">
        <v>985</v>
      </c>
      <c r="N2400" s="162" t="s">
        <v>554</v>
      </c>
      <c r="O2400" s="164">
        <v>44358.0</v>
      </c>
      <c r="P2400" s="164">
        <f t="shared" si="13"/>
        <v>44274</v>
      </c>
      <c r="Q2400" s="165">
        <f t="shared" si="2"/>
        <v>0</v>
      </c>
      <c r="R2400" s="167"/>
      <c r="S2400" s="167"/>
      <c r="T2400" s="168">
        <f t="shared" si="3"/>
        <v>80484.28</v>
      </c>
      <c r="U2400" s="168">
        <f t="shared" si="4"/>
        <v>0</v>
      </c>
      <c r="V2400" s="168">
        <f t="shared" si="5"/>
        <v>0</v>
      </c>
      <c r="W2400" s="168">
        <f t="shared" si="6"/>
        <v>0</v>
      </c>
      <c r="X2400" s="168">
        <f t="shared" si="7"/>
        <v>0</v>
      </c>
      <c r="Y2400" s="168">
        <f t="shared" si="8"/>
        <v>0</v>
      </c>
      <c r="Z2400" s="168">
        <f t="shared" si="9"/>
        <v>0</v>
      </c>
    </row>
    <row r="2401" ht="15.0" customHeight="1">
      <c r="A2401" s="157" t="s">
        <v>2666</v>
      </c>
      <c r="B2401" s="158" t="s">
        <v>16</v>
      </c>
      <c r="C2401" s="158" t="s">
        <v>2667</v>
      </c>
      <c r="D2401" s="159">
        <v>44264.0</v>
      </c>
      <c r="E2401" s="157" t="s">
        <v>731</v>
      </c>
      <c r="F2401" s="160">
        <v>67218.77</v>
      </c>
      <c r="G2401" s="160">
        <v>10755.0</v>
      </c>
      <c r="H2401" s="160">
        <f t="shared" si="56"/>
        <v>77973.77</v>
      </c>
      <c r="I2401" s="160"/>
      <c r="J2401" s="161"/>
      <c r="K2401" s="160"/>
      <c r="L2401" s="160">
        <f>+'FACP$'!$H2401-'FACP$'!$I2401-'FACP$'!$K2401</f>
        <v>77973.77</v>
      </c>
      <c r="M2401" s="162" t="s">
        <v>985</v>
      </c>
      <c r="N2401" s="162" t="s">
        <v>554</v>
      </c>
      <c r="O2401" s="164">
        <v>44358.0</v>
      </c>
      <c r="P2401" s="164">
        <f t="shared" si="13"/>
        <v>44274</v>
      </c>
      <c r="Q2401" s="165">
        <f t="shared" si="2"/>
        <v>0</v>
      </c>
      <c r="R2401" s="167"/>
      <c r="S2401" s="167"/>
      <c r="T2401" s="168">
        <f t="shared" si="3"/>
        <v>77973.77</v>
      </c>
      <c r="U2401" s="168">
        <f t="shared" si="4"/>
        <v>0</v>
      </c>
      <c r="V2401" s="168">
        <f t="shared" si="5"/>
        <v>0</v>
      </c>
      <c r="W2401" s="168">
        <f t="shared" si="6"/>
        <v>0</v>
      </c>
      <c r="X2401" s="168">
        <f t="shared" si="7"/>
        <v>0</v>
      </c>
      <c r="Y2401" s="168">
        <f t="shared" si="8"/>
        <v>0</v>
      </c>
      <c r="Z2401" s="168">
        <f t="shared" si="9"/>
        <v>0</v>
      </c>
    </row>
    <row r="2402" ht="15.0" customHeight="1">
      <c r="A2402" s="157" t="s">
        <v>2668</v>
      </c>
      <c r="B2402" s="158" t="s">
        <v>18</v>
      </c>
      <c r="C2402" s="158" t="s">
        <v>2665</v>
      </c>
      <c r="D2402" s="159">
        <v>44264.0</v>
      </c>
      <c r="E2402" s="157" t="s">
        <v>731</v>
      </c>
      <c r="F2402" s="160">
        <v>149982.53</v>
      </c>
      <c r="G2402" s="160">
        <v>23997.21</v>
      </c>
      <c r="H2402" s="160">
        <f t="shared" si="56"/>
        <v>173979.74</v>
      </c>
      <c r="I2402" s="160"/>
      <c r="J2402" s="161"/>
      <c r="K2402" s="160"/>
      <c r="L2402" s="160">
        <f>+'FACP$'!$H2402-'FACP$'!$I2402-'FACP$'!$K2402</f>
        <v>173979.74</v>
      </c>
      <c r="M2402" s="162" t="s">
        <v>586</v>
      </c>
      <c r="N2402" s="162" t="s">
        <v>554</v>
      </c>
      <c r="O2402" s="164">
        <v>44302.0</v>
      </c>
      <c r="P2402" s="164">
        <f t="shared" si="13"/>
        <v>44274</v>
      </c>
      <c r="Q2402" s="165">
        <f t="shared" si="2"/>
        <v>0</v>
      </c>
      <c r="R2402" s="167"/>
      <c r="S2402" s="167"/>
      <c r="T2402" s="168">
        <f t="shared" si="3"/>
        <v>173979.74</v>
      </c>
      <c r="U2402" s="168">
        <f t="shared" si="4"/>
        <v>0</v>
      </c>
      <c r="V2402" s="168">
        <f t="shared" si="5"/>
        <v>0</v>
      </c>
      <c r="W2402" s="168">
        <f t="shared" si="6"/>
        <v>0</v>
      </c>
      <c r="X2402" s="168">
        <f t="shared" si="7"/>
        <v>0</v>
      </c>
      <c r="Y2402" s="168">
        <f t="shared" si="8"/>
        <v>0</v>
      </c>
      <c r="Z2402" s="168">
        <f t="shared" si="9"/>
        <v>0</v>
      </c>
    </row>
    <row r="2403" ht="15.0" customHeight="1">
      <c r="A2403" s="157" t="s">
        <v>2669</v>
      </c>
      <c r="B2403" s="158" t="s">
        <v>19</v>
      </c>
      <c r="C2403" s="158" t="s">
        <v>2665</v>
      </c>
      <c r="D2403" s="159">
        <v>44264.0</v>
      </c>
      <c r="E2403" s="157" t="s">
        <v>731</v>
      </c>
      <c r="F2403" s="160">
        <v>47902.32</v>
      </c>
      <c r="G2403" s="160">
        <v>7664.37</v>
      </c>
      <c r="H2403" s="160">
        <f t="shared" si="56"/>
        <v>55566.69</v>
      </c>
      <c r="I2403" s="160"/>
      <c r="J2403" s="161"/>
      <c r="K2403" s="160"/>
      <c r="L2403" s="160">
        <f>+'FACP$'!$H2403-'FACP$'!$I2403-'FACP$'!$K2403</f>
        <v>55566.69</v>
      </c>
      <c r="M2403" s="162" t="s">
        <v>732</v>
      </c>
      <c r="N2403" s="162" t="s">
        <v>554</v>
      </c>
      <c r="O2403" s="164">
        <v>44302.0</v>
      </c>
      <c r="P2403" s="164">
        <f t="shared" si="13"/>
        <v>44274</v>
      </c>
      <c r="Q2403" s="165">
        <f t="shared" si="2"/>
        <v>0</v>
      </c>
      <c r="R2403" s="167"/>
      <c r="S2403" s="167"/>
      <c r="T2403" s="168">
        <f t="shared" si="3"/>
        <v>55566.69</v>
      </c>
      <c r="U2403" s="168">
        <f t="shared" si="4"/>
        <v>0</v>
      </c>
      <c r="V2403" s="168">
        <f t="shared" si="5"/>
        <v>0</v>
      </c>
      <c r="W2403" s="168">
        <f t="shared" si="6"/>
        <v>0</v>
      </c>
      <c r="X2403" s="168">
        <f t="shared" si="7"/>
        <v>0</v>
      </c>
      <c r="Y2403" s="168">
        <f t="shared" si="8"/>
        <v>0</v>
      </c>
      <c r="Z2403" s="168">
        <f t="shared" si="9"/>
        <v>0</v>
      </c>
    </row>
    <row r="2404" ht="15.0" customHeight="1">
      <c r="A2404" s="157" t="s">
        <v>2670</v>
      </c>
      <c r="B2404" s="158" t="s">
        <v>26</v>
      </c>
      <c r="C2404" s="158" t="s">
        <v>2665</v>
      </c>
      <c r="D2404" s="159">
        <v>44264.0</v>
      </c>
      <c r="E2404" s="157" t="s">
        <v>731</v>
      </c>
      <c r="F2404" s="160">
        <v>48908.97</v>
      </c>
      <c r="G2404" s="160">
        <v>7825.44</v>
      </c>
      <c r="H2404" s="160">
        <f t="shared" si="56"/>
        <v>56734.41</v>
      </c>
      <c r="I2404" s="160"/>
      <c r="J2404" s="161"/>
      <c r="K2404" s="160"/>
      <c r="L2404" s="160">
        <f>+'FACP$'!$H2404-'FACP$'!$I2404-'FACP$'!$K2404</f>
        <v>56734.41</v>
      </c>
      <c r="M2404" s="162" t="s">
        <v>2386</v>
      </c>
      <c r="N2404" s="162" t="s">
        <v>554</v>
      </c>
      <c r="O2404" s="164">
        <v>44323.0</v>
      </c>
      <c r="P2404" s="164">
        <f t="shared" si="13"/>
        <v>44274</v>
      </c>
      <c r="Q2404" s="165">
        <f t="shared" si="2"/>
        <v>0</v>
      </c>
      <c r="R2404" s="167"/>
      <c r="S2404" s="167"/>
      <c r="T2404" s="168">
        <f t="shared" si="3"/>
        <v>56734.41</v>
      </c>
      <c r="U2404" s="168">
        <f t="shared" si="4"/>
        <v>0</v>
      </c>
      <c r="V2404" s="168">
        <f t="shared" si="5"/>
        <v>0</v>
      </c>
      <c r="W2404" s="168">
        <f t="shared" si="6"/>
        <v>0</v>
      </c>
      <c r="X2404" s="168">
        <f t="shared" si="7"/>
        <v>0</v>
      </c>
      <c r="Y2404" s="168">
        <f t="shared" si="8"/>
        <v>0</v>
      </c>
      <c r="Z2404" s="168">
        <f t="shared" si="9"/>
        <v>0</v>
      </c>
    </row>
    <row r="2405" ht="15.0" customHeight="1">
      <c r="A2405" s="157" t="s">
        <v>2671</v>
      </c>
      <c r="B2405" s="158" t="s">
        <v>29</v>
      </c>
      <c r="C2405" s="158" t="s">
        <v>2665</v>
      </c>
      <c r="D2405" s="159">
        <v>44264.0</v>
      </c>
      <c r="E2405" s="157" t="s">
        <v>731</v>
      </c>
      <c r="F2405" s="160">
        <v>1854649.68</v>
      </c>
      <c r="G2405" s="160">
        <v>296743.95</v>
      </c>
      <c r="H2405" s="160">
        <f t="shared" si="56"/>
        <v>2151393.63</v>
      </c>
      <c r="I2405" s="160"/>
      <c r="J2405" s="161"/>
      <c r="K2405" s="160"/>
      <c r="L2405" s="160">
        <f>+'FACP$'!$H2405-'FACP$'!$I2405-'FACP$'!$K2405</f>
        <v>2151393.63</v>
      </c>
      <c r="M2405" s="162" t="s">
        <v>130</v>
      </c>
      <c r="N2405" s="162" t="s">
        <v>554</v>
      </c>
      <c r="O2405" s="164">
        <v>44284.0</v>
      </c>
      <c r="P2405" s="164">
        <f t="shared" si="13"/>
        <v>44274</v>
      </c>
      <c r="Q2405" s="165">
        <f t="shared" si="2"/>
        <v>0</v>
      </c>
      <c r="R2405" s="167"/>
      <c r="S2405" s="167"/>
      <c r="T2405" s="168">
        <f t="shared" si="3"/>
        <v>2151393.63</v>
      </c>
      <c r="U2405" s="168">
        <f t="shared" si="4"/>
        <v>0</v>
      </c>
      <c r="V2405" s="168">
        <f t="shared" si="5"/>
        <v>0</v>
      </c>
      <c r="W2405" s="168">
        <f t="shared" si="6"/>
        <v>0</v>
      </c>
      <c r="X2405" s="168">
        <f t="shared" si="7"/>
        <v>0</v>
      </c>
      <c r="Y2405" s="168">
        <f t="shared" si="8"/>
        <v>0</v>
      </c>
      <c r="Z2405" s="168">
        <f t="shared" si="9"/>
        <v>0</v>
      </c>
    </row>
    <row r="2406" ht="15.0" customHeight="1">
      <c r="A2406" s="157" t="s">
        <v>2672</v>
      </c>
      <c r="B2406" s="158" t="s">
        <v>29</v>
      </c>
      <c r="C2406" s="158" t="s">
        <v>2667</v>
      </c>
      <c r="D2406" s="159">
        <v>44264.0</v>
      </c>
      <c r="E2406" s="157" t="s">
        <v>731</v>
      </c>
      <c r="F2406" s="160">
        <v>210652.22</v>
      </c>
      <c r="G2406" s="160">
        <v>33704.36</v>
      </c>
      <c r="H2406" s="160">
        <f t="shared" si="56"/>
        <v>244356.58</v>
      </c>
      <c r="I2406" s="160"/>
      <c r="J2406" s="161"/>
      <c r="K2406" s="160"/>
      <c r="L2406" s="160">
        <f>+'FACP$'!$H2406-'FACP$'!$I2406-'FACP$'!$K2406</f>
        <v>244356.58</v>
      </c>
      <c r="M2406" s="162" t="s">
        <v>130</v>
      </c>
      <c r="N2406" s="162" t="s">
        <v>554</v>
      </c>
      <c r="O2406" s="164">
        <v>44327.0</v>
      </c>
      <c r="P2406" s="164">
        <f t="shared" si="13"/>
        <v>44274</v>
      </c>
      <c r="Q2406" s="165">
        <f t="shared" si="2"/>
        <v>0</v>
      </c>
      <c r="R2406" s="167"/>
      <c r="S2406" s="167"/>
      <c r="T2406" s="168">
        <f t="shared" si="3"/>
        <v>244356.58</v>
      </c>
      <c r="U2406" s="168">
        <f t="shared" si="4"/>
        <v>0</v>
      </c>
      <c r="V2406" s="168">
        <f t="shared" si="5"/>
        <v>0</v>
      </c>
      <c r="W2406" s="168">
        <f t="shared" si="6"/>
        <v>0</v>
      </c>
      <c r="X2406" s="168">
        <f t="shared" si="7"/>
        <v>0</v>
      </c>
      <c r="Y2406" s="168">
        <f t="shared" si="8"/>
        <v>0</v>
      </c>
      <c r="Z2406" s="168">
        <f t="shared" si="9"/>
        <v>0</v>
      </c>
    </row>
    <row r="2407" ht="15.0" customHeight="1">
      <c r="A2407" s="157" t="s">
        <v>2673</v>
      </c>
      <c r="B2407" s="158" t="s">
        <v>37</v>
      </c>
      <c r="C2407" s="158" t="s">
        <v>2665</v>
      </c>
      <c r="D2407" s="159">
        <v>44264.0</v>
      </c>
      <c r="E2407" s="157" t="s">
        <v>731</v>
      </c>
      <c r="F2407" s="160">
        <v>690837.25</v>
      </c>
      <c r="G2407" s="160">
        <v>110533.96</v>
      </c>
      <c r="H2407" s="160">
        <f t="shared" si="56"/>
        <v>801371.21</v>
      </c>
      <c r="I2407" s="160"/>
      <c r="J2407" s="161"/>
      <c r="K2407" s="160"/>
      <c r="L2407" s="160">
        <f>+'FACP$'!$H2407-'FACP$'!$I2407-'FACP$'!$K2407</f>
        <v>801371.21</v>
      </c>
      <c r="M2407" s="162" t="s">
        <v>116</v>
      </c>
      <c r="N2407" s="162" t="s">
        <v>554</v>
      </c>
      <c r="O2407" s="164">
        <v>44298.0</v>
      </c>
      <c r="P2407" s="164">
        <f t="shared" si="13"/>
        <v>44274</v>
      </c>
      <c r="Q2407" s="165">
        <f t="shared" si="2"/>
        <v>0</v>
      </c>
      <c r="R2407" s="167"/>
      <c r="S2407" s="167"/>
      <c r="T2407" s="168">
        <f t="shared" si="3"/>
        <v>801371.21</v>
      </c>
      <c r="U2407" s="168">
        <f t="shared" si="4"/>
        <v>0</v>
      </c>
      <c r="V2407" s="168">
        <f t="shared" si="5"/>
        <v>0</v>
      </c>
      <c r="W2407" s="168">
        <f t="shared" si="6"/>
        <v>0</v>
      </c>
      <c r="X2407" s="168">
        <f t="shared" si="7"/>
        <v>0</v>
      </c>
      <c r="Y2407" s="168">
        <f t="shared" si="8"/>
        <v>0</v>
      </c>
      <c r="Z2407" s="168">
        <f t="shared" si="9"/>
        <v>0</v>
      </c>
    </row>
    <row r="2408" ht="15.0" customHeight="1">
      <c r="A2408" s="157" t="s">
        <v>2674</v>
      </c>
      <c r="B2408" s="158" t="s">
        <v>33</v>
      </c>
      <c r="C2408" s="158" t="s">
        <v>2665</v>
      </c>
      <c r="D2408" s="159">
        <v>44264.0</v>
      </c>
      <c r="E2408" s="157" t="s">
        <v>731</v>
      </c>
      <c r="F2408" s="160">
        <v>315048.56</v>
      </c>
      <c r="G2408" s="160">
        <v>50407.77</v>
      </c>
      <c r="H2408" s="160">
        <f t="shared" si="56"/>
        <v>365456.33</v>
      </c>
      <c r="I2408" s="160"/>
      <c r="J2408" s="161"/>
      <c r="K2408" s="160"/>
      <c r="L2408" s="160">
        <f>+'FACP$'!$H2408-'FACP$'!$I2408-'FACP$'!$K2408</f>
        <v>365456.33</v>
      </c>
      <c r="M2408" s="162" t="s">
        <v>33</v>
      </c>
      <c r="N2408" s="162" t="s">
        <v>554</v>
      </c>
      <c r="O2408" s="164">
        <v>44274.0</v>
      </c>
      <c r="P2408" s="164">
        <f t="shared" si="13"/>
        <v>44274</v>
      </c>
      <c r="Q2408" s="165">
        <f t="shared" si="2"/>
        <v>0</v>
      </c>
      <c r="R2408" s="167"/>
      <c r="S2408" s="167"/>
      <c r="T2408" s="168">
        <f t="shared" si="3"/>
        <v>365456.33</v>
      </c>
      <c r="U2408" s="168">
        <f t="shared" si="4"/>
        <v>0</v>
      </c>
      <c r="V2408" s="168">
        <f t="shared" si="5"/>
        <v>0</v>
      </c>
      <c r="W2408" s="168">
        <f t="shared" si="6"/>
        <v>0</v>
      </c>
      <c r="X2408" s="168">
        <f t="shared" si="7"/>
        <v>0</v>
      </c>
      <c r="Y2408" s="168">
        <f t="shared" si="8"/>
        <v>0</v>
      </c>
      <c r="Z2408" s="168">
        <f t="shared" si="9"/>
        <v>0</v>
      </c>
    </row>
    <row r="2409" ht="15.0" customHeight="1">
      <c r="A2409" s="157" t="s">
        <v>2675</v>
      </c>
      <c r="B2409" s="158" t="s">
        <v>35</v>
      </c>
      <c r="C2409" s="158" t="s">
        <v>2665</v>
      </c>
      <c r="D2409" s="159">
        <v>44264.0</v>
      </c>
      <c r="E2409" s="157" t="s">
        <v>731</v>
      </c>
      <c r="F2409" s="160">
        <v>1462755.69</v>
      </c>
      <c r="G2409" s="160">
        <v>234040.91</v>
      </c>
      <c r="H2409" s="160">
        <f t="shared" si="56"/>
        <v>1696796.6</v>
      </c>
      <c r="I2409" s="160"/>
      <c r="J2409" s="161"/>
      <c r="K2409" s="160"/>
      <c r="L2409" s="160">
        <f>+'FACP$'!$H2409-'FACP$'!$I2409-'FACP$'!$K2409</f>
        <v>1696796.6</v>
      </c>
      <c r="M2409" s="162" t="s">
        <v>276</v>
      </c>
      <c r="N2409" s="162" t="s">
        <v>554</v>
      </c>
      <c r="O2409" s="164">
        <v>44294.0</v>
      </c>
      <c r="P2409" s="164">
        <f t="shared" si="13"/>
        <v>44274</v>
      </c>
      <c r="Q2409" s="165">
        <f t="shared" si="2"/>
        <v>0</v>
      </c>
      <c r="R2409" s="167"/>
      <c r="S2409" s="167"/>
      <c r="T2409" s="168">
        <f t="shared" si="3"/>
        <v>1696796.6</v>
      </c>
      <c r="U2409" s="168">
        <f t="shared" si="4"/>
        <v>0</v>
      </c>
      <c r="V2409" s="168">
        <f t="shared" si="5"/>
        <v>0</v>
      </c>
      <c r="W2409" s="168">
        <f t="shared" si="6"/>
        <v>0</v>
      </c>
      <c r="X2409" s="168">
        <f t="shared" si="7"/>
        <v>0</v>
      </c>
      <c r="Y2409" s="168">
        <f t="shared" si="8"/>
        <v>0</v>
      </c>
      <c r="Z2409" s="168">
        <f t="shared" si="9"/>
        <v>0</v>
      </c>
    </row>
    <row r="2410" ht="15.0" customHeight="1">
      <c r="A2410" s="157" t="s">
        <v>2676</v>
      </c>
      <c r="B2410" s="158" t="s">
        <v>36</v>
      </c>
      <c r="C2410" s="158" t="s">
        <v>2665</v>
      </c>
      <c r="D2410" s="159">
        <v>44264.0</v>
      </c>
      <c r="E2410" s="157" t="s">
        <v>731</v>
      </c>
      <c r="F2410" s="160">
        <v>26314.89</v>
      </c>
      <c r="G2410" s="160">
        <v>4210.38</v>
      </c>
      <c r="H2410" s="160">
        <f t="shared" si="56"/>
        <v>30525.27</v>
      </c>
      <c r="I2410" s="160"/>
      <c r="J2410" s="161"/>
      <c r="K2410" s="160"/>
      <c r="L2410" s="160">
        <f>+'FACP$'!$H2410-'FACP$'!$I2410-'FACP$'!$K2410</f>
        <v>30525.27</v>
      </c>
      <c r="M2410" s="162" t="s">
        <v>278</v>
      </c>
      <c r="N2410" s="162" t="s">
        <v>554</v>
      </c>
      <c r="O2410" s="164">
        <v>44305.0</v>
      </c>
      <c r="P2410" s="164">
        <f t="shared" si="13"/>
        <v>44274</v>
      </c>
      <c r="Q2410" s="165">
        <f t="shared" si="2"/>
        <v>0</v>
      </c>
      <c r="R2410" s="167"/>
      <c r="S2410" s="167"/>
      <c r="T2410" s="168">
        <f t="shared" si="3"/>
        <v>30525.27</v>
      </c>
      <c r="U2410" s="168">
        <f t="shared" si="4"/>
        <v>0</v>
      </c>
      <c r="V2410" s="168">
        <f t="shared" si="5"/>
        <v>0</v>
      </c>
      <c r="W2410" s="168">
        <f t="shared" si="6"/>
        <v>0</v>
      </c>
      <c r="X2410" s="168">
        <f t="shared" si="7"/>
        <v>0</v>
      </c>
      <c r="Y2410" s="168">
        <f t="shared" si="8"/>
        <v>0</v>
      </c>
      <c r="Z2410" s="168">
        <f t="shared" si="9"/>
        <v>0</v>
      </c>
    </row>
    <row r="2411" ht="15.0" customHeight="1">
      <c r="A2411" s="157" t="s">
        <v>2677</v>
      </c>
      <c r="B2411" s="158" t="s">
        <v>38</v>
      </c>
      <c r="C2411" s="158" t="s">
        <v>2665</v>
      </c>
      <c r="D2411" s="159">
        <v>44264.0</v>
      </c>
      <c r="E2411" s="157" t="s">
        <v>731</v>
      </c>
      <c r="F2411" s="160">
        <v>105819.14</v>
      </c>
      <c r="G2411" s="160">
        <v>16931.06</v>
      </c>
      <c r="H2411" s="160">
        <f t="shared" si="56"/>
        <v>122750.2</v>
      </c>
      <c r="I2411" s="160"/>
      <c r="J2411" s="161"/>
      <c r="K2411" s="160"/>
      <c r="L2411" s="160">
        <f>+'FACP$'!$H2411-'FACP$'!$I2411-'FACP$'!$K2411</f>
        <v>122750.2</v>
      </c>
      <c r="M2411" s="162" t="s">
        <v>145</v>
      </c>
      <c r="N2411" s="162" t="s">
        <v>554</v>
      </c>
      <c r="O2411" s="164">
        <v>44312.0</v>
      </c>
      <c r="P2411" s="164">
        <f t="shared" si="13"/>
        <v>44274</v>
      </c>
      <c r="Q2411" s="165">
        <f t="shared" si="2"/>
        <v>0</v>
      </c>
      <c r="R2411" s="167"/>
      <c r="S2411" s="167"/>
      <c r="T2411" s="168">
        <f t="shared" si="3"/>
        <v>122750.2</v>
      </c>
      <c r="U2411" s="168">
        <f t="shared" si="4"/>
        <v>0</v>
      </c>
      <c r="V2411" s="168">
        <f t="shared" si="5"/>
        <v>0</v>
      </c>
      <c r="W2411" s="168">
        <f t="shared" si="6"/>
        <v>0</v>
      </c>
      <c r="X2411" s="168">
        <f t="shared" si="7"/>
        <v>0</v>
      </c>
      <c r="Y2411" s="168">
        <f t="shared" si="8"/>
        <v>0</v>
      </c>
      <c r="Z2411" s="168">
        <f t="shared" si="9"/>
        <v>0</v>
      </c>
    </row>
    <row r="2412" ht="15.0" customHeight="1">
      <c r="A2412" s="157" t="s">
        <v>2678</v>
      </c>
      <c r="B2412" s="158" t="s">
        <v>1127</v>
      </c>
      <c r="C2412" s="158" t="s">
        <v>2665</v>
      </c>
      <c r="D2412" s="159">
        <v>44264.0</v>
      </c>
      <c r="E2412" s="157" t="s">
        <v>731</v>
      </c>
      <c r="F2412" s="160">
        <v>237811.02</v>
      </c>
      <c r="G2412" s="160">
        <v>38049.76</v>
      </c>
      <c r="H2412" s="160">
        <f t="shared" si="56"/>
        <v>275860.78</v>
      </c>
      <c r="I2412" s="160"/>
      <c r="J2412" s="161"/>
      <c r="K2412" s="160"/>
      <c r="L2412" s="160">
        <f>+'FACP$'!$H2412-'FACP$'!$I2412-'FACP$'!$K2412</f>
        <v>275860.78</v>
      </c>
      <c r="M2412" s="162" t="s">
        <v>580</v>
      </c>
      <c r="N2412" s="162" t="s">
        <v>554</v>
      </c>
      <c r="O2412" s="164">
        <v>44273.0</v>
      </c>
      <c r="P2412" s="164">
        <f t="shared" si="13"/>
        <v>44274</v>
      </c>
      <c r="Q2412" s="165">
        <f t="shared" si="2"/>
        <v>0</v>
      </c>
      <c r="R2412" s="167"/>
      <c r="S2412" s="167"/>
      <c r="T2412" s="168">
        <f t="shared" si="3"/>
        <v>275860.78</v>
      </c>
      <c r="U2412" s="168">
        <f t="shared" si="4"/>
        <v>0</v>
      </c>
      <c r="V2412" s="168">
        <f t="shared" si="5"/>
        <v>0</v>
      </c>
      <c r="W2412" s="168">
        <f t="shared" si="6"/>
        <v>0</v>
      </c>
      <c r="X2412" s="168">
        <f t="shared" si="7"/>
        <v>0</v>
      </c>
      <c r="Y2412" s="168">
        <f t="shared" si="8"/>
        <v>0</v>
      </c>
      <c r="Z2412" s="168">
        <f t="shared" si="9"/>
        <v>0</v>
      </c>
    </row>
    <row r="2413" ht="15.0" customHeight="1">
      <c r="A2413" s="157" t="s">
        <v>2679</v>
      </c>
      <c r="B2413" s="158" t="s">
        <v>43</v>
      </c>
      <c r="C2413" s="158" t="s">
        <v>2665</v>
      </c>
      <c r="D2413" s="159">
        <v>44264.0</v>
      </c>
      <c r="E2413" s="157" t="s">
        <v>731</v>
      </c>
      <c r="F2413" s="160">
        <v>371422.43</v>
      </c>
      <c r="G2413" s="160">
        <v>59427.59</v>
      </c>
      <c r="H2413" s="160">
        <f t="shared" si="56"/>
        <v>430850.02</v>
      </c>
      <c r="I2413" s="160"/>
      <c r="J2413" s="161"/>
      <c r="K2413" s="160"/>
      <c r="L2413" s="160">
        <f>+'FACP$'!$H2413-'FACP$'!$I2413-'FACP$'!$K2413</f>
        <v>430850.02</v>
      </c>
      <c r="M2413" s="162" t="s">
        <v>43</v>
      </c>
      <c r="N2413" s="162" t="s">
        <v>554</v>
      </c>
      <c r="O2413" s="164">
        <v>44281.0</v>
      </c>
      <c r="P2413" s="164">
        <f t="shared" si="13"/>
        <v>44274</v>
      </c>
      <c r="Q2413" s="165">
        <f t="shared" si="2"/>
        <v>0</v>
      </c>
      <c r="R2413" s="167"/>
      <c r="S2413" s="167"/>
      <c r="T2413" s="168">
        <f t="shared" si="3"/>
        <v>430850.02</v>
      </c>
      <c r="U2413" s="168">
        <f t="shared" si="4"/>
        <v>0</v>
      </c>
      <c r="V2413" s="168">
        <f t="shared" si="5"/>
        <v>0</v>
      </c>
      <c r="W2413" s="168">
        <f t="shared" si="6"/>
        <v>0</v>
      </c>
      <c r="X2413" s="168">
        <f t="shared" si="7"/>
        <v>0</v>
      </c>
      <c r="Y2413" s="168">
        <f t="shared" si="8"/>
        <v>0</v>
      </c>
      <c r="Z2413" s="168">
        <f t="shared" si="9"/>
        <v>0</v>
      </c>
    </row>
    <row r="2414" ht="15.0" customHeight="1">
      <c r="A2414" s="157" t="s">
        <v>2680</v>
      </c>
      <c r="B2414" s="158" t="s">
        <v>41</v>
      </c>
      <c r="C2414" s="158" t="s">
        <v>2665</v>
      </c>
      <c r="D2414" s="159">
        <v>44273.0</v>
      </c>
      <c r="E2414" s="157" t="s">
        <v>731</v>
      </c>
      <c r="F2414" s="160">
        <v>428822.45</v>
      </c>
      <c r="G2414" s="160">
        <v>68611.59</v>
      </c>
      <c r="H2414" s="160">
        <f>F2414+G2414-180000</f>
        <v>317434.04</v>
      </c>
      <c r="I2414" s="160"/>
      <c r="J2414" s="161"/>
      <c r="K2414" s="160"/>
      <c r="L2414" s="160">
        <f>+'FACP$'!$H2414-'FACP$'!$I2414-'FACP$'!$K2414</f>
        <v>317434.04</v>
      </c>
      <c r="M2414" s="162" t="s">
        <v>121</v>
      </c>
      <c r="N2414" s="162" t="s">
        <v>554</v>
      </c>
      <c r="O2414" s="164">
        <v>44393.0</v>
      </c>
      <c r="P2414" s="164">
        <f t="shared" si="13"/>
        <v>44283</v>
      </c>
      <c r="Q2414" s="165">
        <f t="shared" si="2"/>
        <v>0</v>
      </c>
      <c r="R2414" s="167" t="s">
        <v>2681</v>
      </c>
      <c r="S2414" s="167"/>
      <c r="T2414" s="168">
        <f t="shared" si="3"/>
        <v>317434.04</v>
      </c>
      <c r="U2414" s="168">
        <f t="shared" si="4"/>
        <v>0</v>
      </c>
      <c r="V2414" s="168">
        <f t="shared" si="5"/>
        <v>0</v>
      </c>
      <c r="W2414" s="168">
        <f t="shared" si="6"/>
        <v>0</v>
      </c>
      <c r="X2414" s="168">
        <f t="shared" si="7"/>
        <v>0</v>
      </c>
      <c r="Y2414" s="168">
        <f t="shared" si="8"/>
        <v>0</v>
      </c>
      <c r="Z2414" s="168">
        <f t="shared" si="9"/>
        <v>0</v>
      </c>
    </row>
    <row r="2415" ht="15.0" customHeight="1">
      <c r="A2415" s="157" t="s">
        <v>2682</v>
      </c>
      <c r="B2415" s="158" t="s">
        <v>16</v>
      </c>
      <c r="C2415" s="158" t="s">
        <v>2683</v>
      </c>
      <c r="D2415" s="159">
        <v>44277.0</v>
      </c>
      <c r="E2415" s="157" t="s">
        <v>731</v>
      </c>
      <c r="F2415" s="160">
        <v>38532.0</v>
      </c>
      <c r="G2415" s="160">
        <v>6165.12</v>
      </c>
      <c r="H2415" s="160">
        <f t="shared" ref="H2415:H2461" si="57">F2415+G2415</f>
        <v>44697.12</v>
      </c>
      <c r="I2415" s="160"/>
      <c r="J2415" s="161"/>
      <c r="K2415" s="160"/>
      <c r="L2415" s="160">
        <f>+'FACP$'!$H2415-'FACP$'!$I2415-'FACP$'!$K2415</f>
        <v>44697.12</v>
      </c>
      <c r="M2415" s="162" t="s">
        <v>985</v>
      </c>
      <c r="N2415" s="162" t="s">
        <v>127</v>
      </c>
      <c r="O2415" s="164"/>
      <c r="P2415" s="164">
        <f t="shared" si="13"/>
        <v>44287</v>
      </c>
      <c r="Q2415" s="165">
        <f t="shared" si="2"/>
        <v>0</v>
      </c>
      <c r="R2415" s="167"/>
      <c r="S2415" s="167"/>
      <c r="T2415" s="168">
        <f t="shared" si="3"/>
        <v>44697.12</v>
      </c>
      <c r="U2415" s="168">
        <f t="shared" si="4"/>
        <v>0</v>
      </c>
      <c r="V2415" s="168">
        <f t="shared" si="5"/>
        <v>0</v>
      </c>
      <c r="W2415" s="168">
        <f t="shared" si="6"/>
        <v>0</v>
      </c>
      <c r="X2415" s="168">
        <f t="shared" si="7"/>
        <v>0</v>
      </c>
      <c r="Y2415" s="168">
        <f t="shared" si="8"/>
        <v>0</v>
      </c>
      <c r="Z2415" s="168">
        <f t="shared" si="9"/>
        <v>0</v>
      </c>
    </row>
    <row r="2416" ht="15.0" customHeight="1">
      <c r="A2416" s="157" t="s">
        <v>2684</v>
      </c>
      <c r="B2416" s="158" t="s">
        <v>37</v>
      </c>
      <c r="C2416" s="158" t="s">
        <v>2683</v>
      </c>
      <c r="D2416" s="159">
        <v>44277.0</v>
      </c>
      <c r="E2416" s="157" t="s">
        <v>731</v>
      </c>
      <c r="F2416" s="160">
        <v>38532.0</v>
      </c>
      <c r="G2416" s="160">
        <v>6165.12</v>
      </c>
      <c r="H2416" s="160">
        <f t="shared" si="57"/>
        <v>44697.12</v>
      </c>
      <c r="I2416" s="160"/>
      <c r="J2416" s="161"/>
      <c r="K2416" s="160"/>
      <c r="L2416" s="160">
        <f>+'FACP$'!$H2416-'FACP$'!$I2416-'FACP$'!$K2416</f>
        <v>44697.12</v>
      </c>
      <c r="M2416" s="162" t="s">
        <v>116</v>
      </c>
      <c r="N2416" s="162" t="s">
        <v>127</v>
      </c>
      <c r="O2416" s="164"/>
      <c r="P2416" s="164">
        <f t="shared" si="13"/>
        <v>44287</v>
      </c>
      <c r="Q2416" s="165">
        <f t="shared" si="2"/>
        <v>0</v>
      </c>
      <c r="R2416" s="167"/>
      <c r="S2416" s="167"/>
      <c r="T2416" s="168">
        <f t="shared" si="3"/>
        <v>44697.12</v>
      </c>
      <c r="U2416" s="168">
        <f t="shared" si="4"/>
        <v>0</v>
      </c>
      <c r="V2416" s="168">
        <f t="shared" si="5"/>
        <v>0</v>
      </c>
      <c r="W2416" s="168">
        <f t="shared" si="6"/>
        <v>0</v>
      </c>
      <c r="X2416" s="168">
        <f t="shared" si="7"/>
        <v>0</v>
      </c>
      <c r="Y2416" s="168">
        <f t="shared" si="8"/>
        <v>0</v>
      </c>
      <c r="Z2416" s="168">
        <f t="shared" si="9"/>
        <v>0</v>
      </c>
    </row>
    <row r="2417" ht="15.0" customHeight="1">
      <c r="A2417" s="157" t="s">
        <v>2685</v>
      </c>
      <c r="B2417" s="158" t="s">
        <v>16</v>
      </c>
      <c r="C2417" s="158" t="s">
        <v>2686</v>
      </c>
      <c r="D2417" s="159">
        <v>44281.0</v>
      </c>
      <c r="E2417" s="157" t="s">
        <v>731</v>
      </c>
      <c r="F2417" s="160">
        <v>10644.33</v>
      </c>
      <c r="G2417" s="160">
        <v>1703.09</v>
      </c>
      <c r="H2417" s="160">
        <f t="shared" si="57"/>
        <v>12347.42</v>
      </c>
      <c r="I2417" s="160"/>
      <c r="J2417" s="161"/>
      <c r="K2417" s="160"/>
      <c r="L2417" s="160">
        <f>+'FACP$'!$H2417-'FACP$'!$I2417-'FACP$'!$K2417</f>
        <v>12347.42</v>
      </c>
      <c r="M2417" s="162" t="s">
        <v>985</v>
      </c>
      <c r="N2417" s="162" t="s">
        <v>554</v>
      </c>
      <c r="O2417" s="164">
        <v>44494.0</v>
      </c>
      <c r="P2417" s="164">
        <f t="shared" si="13"/>
        <v>44291</v>
      </c>
      <c r="Q2417" s="165">
        <f t="shared" si="2"/>
        <v>0</v>
      </c>
      <c r="R2417" s="167"/>
      <c r="S2417" s="167"/>
      <c r="T2417" s="168">
        <f t="shared" si="3"/>
        <v>12347.42</v>
      </c>
      <c r="U2417" s="168">
        <f t="shared" si="4"/>
        <v>0</v>
      </c>
      <c r="V2417" s="168">
        <f t="shared" si="5"/>
        <v>0</v>
      </c>
      <c r="W2417" s="168">
        <f t="shared" si="6"/>
        <v>0</v>
      </c>
      <c r="X2417" s="168">
        <f t="shared" si="7"/>
        <v>0</v>
      </c>
      <c r="Y2417" s="168">
        <f t="shared" si="8"/>
        <v>0</v>
      </c>
      <c r="Z2417" s="168">
        <f t="shared" si="9"/>
        <v>0</v>
      </c>
    </row>
    <row r="2418" ht="15.0" customHeight="1">
      <c r="A2418" s="157" t="s">
        <v>2687</v>
      </c>
      <c r="B2418" s="158" t="s">
        <v>127</v>
      </c>
      <c r="C2418" s="158"/>
      <c r="D2418" s="159"/>
      <c r="E2418" s="157"/>
      <c r="F2418" s="160"/>
      <c r="G2418" s="160"/>
      <c r="H2418" s="160">
        <f t="shared" si="57"/>
        <v>0</v>
      </c>
      <c r="I2418" s="160"/>
      <c r="J2418" s="161"/>
      <c r="K2418" s="160"/>
      <c r="L2418" s="160">
        <f>+'FACP$'!$H2418-'FACP$'!$I2418-'FACP$'!$K2418</f>
        <v>0</v>
      </c>
      <c r="M2418" s="162"/>
      <c r="N2418" s="162" t="s">
        <v>127</v>
      </c>
      <c r="O2418" s="164"/>
      <c r="P2418" s="164">
        <f t="shared" si="13"/>
        <v>10</v>
      </c>
      <c r="Q2418" s="165">
        <f t="shared" si="2"/>
        <v>0</v>
      </c>
      <c r="R2418" s="167"/>
      <c r="S2418" s="167"/>
      <c r="T2418" s="168">
        <f t="shared" si="3"/>
        <v>0</v>
      </c>
      <c r="U2418" s="168">
        <f t="shared" si="4"/>
        <v>0</v>
      </c>
      <c r="V2418" s="168">
        <f t="shared" si="5"/>
        <v>0</v>
      </c>
      <c r="W2418" s="168">
        <f t="shared" si="6"/>
        <v>0</v>
      </c>
      <c r="X2418" s="168">
        <f t="shared" si="7"/>
        <v>0</v>
      </c>
      <c r="Y2418" s="168">
        <f t="shared" si="8"/>
        <v>0</v>
      </c>
      <c r="Z2418" s="168">
        <f t="shared" si="9"/>
        <v>0</v>
      </c>
    </row>
    <row r="2419" ht="15.0" customHeight="1">
      <c r="A2419" s="157" t="s">
        <v>2688</v>
      </c>
      <c r="B2419" s="158" t="s">
        <v>127</v>
      </c>
      <c r="C2419" s="158"/>
      <c r="D2419" s="159"/>
      <c r="E2419" s="157"/>
      <c r="F2419" s="160"/>
      <c r="G2419" s="160"/>
      <c r="H2419" s="160">
        <f t="shared" si="57"/>
        <v>0</v>
      </c>
      <c r="I2419" s="160"/>
      <c r="J2419" s="161"/>
      <c r="K2419" s="160"/>
      <c r="L2419" s="160">
        <f>+'FACP$'!$H2419-'FACP$'!$I2419-'FACP$'!$K2419</f>
        <v>0</v>
      </c>
      <c r="M2419" s="162"/>
      <c r="N2419" s="162" t="s">
        <v>127</v>
      </c>
      <c r="O2419" s="164"/>
      <c r="P2419" s="164">
        <f t="shared" si="13"/>
        <v>10</v>
      </c>
      <c r="Q2419" s="165">
        <f t="shared" si="2"/>
        <v>0</v>
      </c>
      <c r="R2419" s="167"/>
      <c r="S2419" s="167"/>
      <c r="T2419" s="168">
        <f t="shared" si="3"/>
        <v>0</v>
      </c>
      <c r="U2419" s="168">
        <f t="shared" si="4"/>
        <v>0</v>
      </c>
      <c r="V2419" s="168">
        <f t="shared" si="5"/>
        <v>0</v>
      </c>
      <c r="W2419" s="168">
        <f t="shared" si="6"/>
        <v>0</v>
      </c>
      <c r="X2419" s="168">
        <f t="shared" si="7"/>
        <v>0</v>
      </c>
      <c r="Y2419" s="168">
        <f t="shared" si="8"/>
        <v>0</v>
      </c>
      <c r="Z2419" s="168">
        <f t="shared" si="9"/>
        <v>0</v>
      </c>
    </row>
    <row r="2420" ht="15.0" customHeight="1">
      <c r="A2420" s="157" t="s">
        <v>2689</v>
      </c>
      <c r="B2420" s="158" t="s">
        <v>18</v>
      </c>
      <c r="C2420" s="158" t="s">
        <v>2690</v>
      </c>
      <c r="D2420" s="159">
        <v>44281.0</v>
      </c>
      <c r="E2420" s="157" t="s">
        <v>731</v>
      </c>
      <c r="F2420" s="160">
        <v>4508.04</v>
      </c>
      <c r="G2420" s="160">
        <v>721.29</v>
      </c>
      <c r="H2420" s="160">
        <f t="shared" si="57"/>
        <v>5229.33</v>
      </c>
      <c r="I2420" s="160"/>
      <c r="J2420" s="161"/>
      <c r="K2420" s="160"/>
      <c r="L2420" s="160">
        <f>+'FACP$'!$H2420-'FACP$'!$I2420-'FACP$'!$K2420</f>
        <v>5229.33</v>
      </c>
      <c r="M2420" s="162" t="s">
        <v>586</v>
      </c>
      <c r="N2420" s="162" t="s">
        <v>554</v>
      </c>
      <c r="O2420" s="164">
        <v>44302.0</v>
      </c>
      <c r="P2420" s="164">
        <f t="shared" si="13"/>
        <v>44291</v>
      </c>
      <c r="Q2420" s="165">
        <f t="shared" si="2"/>
        <v>0</v>
      </c>
      <c r="R2420" s="167"/>
      <c r="S2420" s="167"/>
      <c r="T2420" s="168">
        <f t="shared" si="3"/>
        <v>5229.33</v>
      </c>
      <c r="U2420" s="168">
        <f t="shared" si="4"/>
        <v>0</v>
      </c>
      <c r="V2420" s="168">
        <f t="shared" si="5"/>
        <v>0</v>
      </c>
      <c r="W2420" s="168">
        <f t="shared" si="6"/>
        <v>0</v>
      </c>
      <c r="X2420" s="168">
        <f t="shared" si="7"/>
        <v>0</v>
      </c>
      <c r="Y2420" s="168">
        <f t="shared" si="8"/>
        <v>0</v>
      </c>
      <c r="Z2420" s="168">
        <f t="shared" si="9"/>
        <v>0</v>
      </c>
    </row>
    <row r="2421" ht="15.0" customHeight="1">
      <c r="A2421" s="157" t="s">
        <v>2691</v>
      </c>
      <c r="B2421" s="158" t="s">
        <v>19</v>
      </c>
      <c r="C2421" s="158" t="s">
        <v>2692</v>
      </c>
      <c r="D2421" s="159">
        <v>44281.0</v>
      </c>
      <c r="E2421" s="157" t="s">
        <v>731</v>
      </c>
      <c r="F2421" s="160">
        <v>7347.54</v>
      </c>
      <c r="G2421" s="160">
        <v>1175.61</v>
      </c>
      <c r="H2421" s="160">
        <f t="shared" si="57"/>
        <v>8523.15</v>
      </c>
      <c r="I2421" s="160"/>
      <c r="J2421" s="161"/>
      <c r="K2421" s="160"/>
      <c r="L2421" s="160">
        <f>+'FACP$'!$H2421-'FACP$'!$I2421-'FACP$'!$K2421</f>
        <v>8523.15</v>
      </c>
      <c r="M2421" s="162" t="s">
        <v>732</v>
      </c>
      <c r="N2421" s="162" t="s">
        <v>554</v>
      </c>
      <c r="O2421" s="164">
        <v>44302.0</v>
      </c>
      <c r="P2421" s="164">
        <f t="shared" si="13"/>
        <v>44291</v>
      </c>
      <c r="Q2421" s="165">
        <f t="shared" si="2"/>
        <v>0</v>
      </c>
      <c r="R2421" s="167"/>
      <c r="S2421" s="167"/>
      <c r="T2421" s="168">
        <f t="shared" si="3"/>
        <v>8523.15</v>
      </c>
      <c r="U2421" s="168">
        <f t="shared" si="4"/>
        <v>0</v>
      </c>
      <c r="V2421" s="168">
        <f t="shared" si="5"/>
        <v>0</v>
      </c>
      <c r="W2421" s="168">
        <f t="shared" si="6"/>
        <v>0</v>
      </c>
      <c r="X2421" s="168">
        <f t="shared" si="7"/>
        <v>0</v>
      </c>
      <c r="Y2421" s="168">
        <f t="shared" si="8"/>
        <v>0</v>
      </c>
      <c r="Z2421" s="168">
        <f t="shared" si="9"/>
        <v>0</v>
      </c>
    </row>
    <row r="2422" ht="15.0" customHeight="1">
      <c r="A2422" s="157" t="s">
        <v>2693</v>
      </c>
      <c r="B2422" s="158" t="s">
        <v>29</v>
      </c>
      <c r="C2422" s="158" t="s">
        <v>2694</v>
      </c>
      <c r="D2422" s="159">
        <v>44281.0</v>
      </c>
      <c r="E2422" s="157" t="s">
        <v>731</v>
      </c>
      <c r="F2422" s="160">
        <v>9536.73</v>
      </c>
      <c r="G2422" s="168">
        <v>1525.88</v>
      </c>
      <c r="H2422" s="160">
        <f t="shared" si="57"/>
        <v>11062.61</v>
      </c>
      <c r="I2422" s="160"/>
      <c r="J2422" s="161"/>
      <c r="K2422" s="160"/>
      <c r="L2422" s="160">
        <f>+'FACP$'!$H2422-'FACP$'!$I2422-'FACP$'!$K2422</f>
        <v>11062.61</v>
      </c>
      <c r="M2422" s="162" t="s">
        <v>130</v>
      </c>
      <c r="N2422" s="162" t="s">
        <v>554</v>
      </c>
      <c r="O2422" s="164">
        <v>44459.0</v>
      </c>
      <c r="P2422" s="164">
        <f t="shared" si="13"/>
        <v>44291</v>
      </c>
      <c r="Q2422" s="165">
        <f t="shared" si="2"/>
        <v>0</v>
      </c>
      <c r="R2422" s="167"/>
      <c r="S2422" s="167"/>
      <c r="T2422" s="168">
        <f t="shared" si="3"/>
        <v>11062.61</v>
      </c>
      <c r="U2422" s="168">
        <f t="shared" si="4"/>
        <v>0</v>
      </c>
      <c r="V2422" s="168">
        <f t="shared" si="5"/>
        <v>0</v>
      </c>
      <c r="W2422" s="168">
        <f t="shared" si="6"/>
        <v>0</v>
      </c>
      <c r="X2422" s="168">
        <f t="shared" si="7"/>
        <v>0</v>
      </c>
      <c r="Y2422" s="168">
        <f t="shared" si="8"/>
        <v>0</v>
      </c>
      <c r="Z2422" s="168">
        <f t="shared" si="9"/>
        <v>0</v>
      </c>
    </row>
    <row r="2423" ht="15.0" customHeight="1">
      <c r="A2423" s="157" t="s">
        <v>2695</v>
      </c>
      <c r="B2423" s="158" t="s">
        <v>37</v>
      </c>
      <c r="C2423" s="158" t="s">
        <v>2696</v>
      </c>
      <c r="D2423" s="159">
        <v>44281.0</v>
      </c>
      <c r="E2423" s="157" t="s">
        <v>731</v>
      </c>
      <c r="F2423" s="160">
        <v>81293.49</v>
      </c>
      <c r="G2423" s="160">
        <v>13006.96</v>
      </c>
      <c r="H2423" s="160">
        <f t="shared" si="57"/>
        <v>94300.45</v>
      </c>
      <c r="I2423" s="160"/>
      <c r="J2423" s="161"/>
      <c r="K2423" s="160"/>
      <c r="L2423" s="160">
        <f>+'FACP$'!$H2423-'FACP$'!$I2423-'FACP$'!$K2423</f>
        <v>94300.45</v>
      </c>
      <c r="M2423" s="162" t="s">
        <v>116</v>
      </c>
      <c r="N2423" s="162" t="s">
        <v>554</v>
      </c>
      <c r="O2423" s="164">
        <v>44305.0</v>
      </c>
      <c r="P2423" s="164">
        <f t="shared" si="13"/>
        <v>44291</v>
      </c>
      <c r="Q2423" s="165">
        <f t="shared" si="2"/>
        <v>0</v>
      </c>
      <c r="R2423" s="167"/>
      <c r="S2423" s="167"/>
      <c r="T2423" s="168">
        <f t="shared" si="3"/>
        <v>94300.45</v>
      </c>
      <c r="U2423" s="168">
        <f t="shared" si="4"/>
        <v>0</v>
      </c>
      <c r="V2423" s="168">
        <f t="shared" si="5"/>
        <v>0</v>
      </c>
      <c r="W2423" s="168">
        <f t="shared" si="6"/>
        <v>0</v>
      </c>
      <c r="X2423" s="168">
        <f t="shared" si="7"/>
        <v>0</v>
      </c>
      <c r="Y2423" s="168">
        <f t="shared" si="8"/>
        <v>0</v>
      </c>
      <c r="Z2423" s="168">
        <f t="shared" si="9"/>
        <v>0</v>
      </c>
    </row>
    <row r="2424" ht="15.0" customHeight="1">
      <c r="A2424" s="157" t="s">
        <v>2697</v>
      </c>
      <c r="B2424" s="158" t="s">
        <v>33</v>
      </c>
      <c r="C2424" s="158" t="s">
        <v>2698</v>
      </c>
      <c r="D2424" s="159">
        <v>44281.0</v>
      </c>
      <c r="E2424" s="157" t="s">
        <v>731</v>
      </c>
      <c r="F2424" s="160">
        <v>64439.55</v>
      </c>
      <c r="G2424" s="160">
        <v>10310.33</v>
      </c>
      <c r="H2424" s="160">
        <f t="shared" si="57"/>
        <v>74749.88</v>
      </c>
      <c r="I2424" s="160"/>
      <c r="J2424" s="161"/>
      <c r="K2424" s="160"/>
      <c r="L2424" s="160">
        <f>+'FACP$'!$H2424-'FACP$'!$I2424-'FACP$'!$K2424</f>
        <v>74749.88</v>
      </c>
      <c r="M2424" s="162" t="s">
        <v>958</v>
      </c>
      <c r="N2424" s="162" t="s">
        <v>554</v>
      </c>
      <c r="O2424" s="164">
        <v>44309.0</v>
      </c>
      <c r="P2424" s="164">
        <f t="shared" si="13"/>
        <v>44291</v>
      </c>
      <c r="Q2424" s="165">
        <f t="shared" si="2"/>
        <v>0</v>
      </c>
      <c r="R2424" s="167"/>
      <c r="S2424" s="167"/>
      <c r="T2424" s="168">
        <f t="shared" si="3"/>
        <v>74749.88</v>
      </c>
      <c r="U2424" s="168">
        <f t="shared" si="4"/>
        <v>0</v>
      </c>
      <c r="V2424" s="168">
        <f t="shared" si="5"/>
        <v>0</v>
      </c>
      <c r="W2424" s="168">
        <f t="shared" si="6"/>
        <v>0</v>
      </c>
      <c r="X2424" s="168">
        <f t="shared" si="7"/>
        <v>0</v>
      </c>
      <c r="Y2424" s="168">
        <f t="shared" si="8"/>
        <v>0</v>
      </c>
      <c r="Z2424" s="168">
        <f t="shared" si="9"/>
        <v>0</v>
      </c>
    </row>
    <row r="2425" ht="15.0" customHeight="1">
      <c r="A2425" s="157" t="s">
        <v>2699</v>
      </c>
      <c r="B2425" s="158" t="s">
        <v>38</v>
      </c>
      <c r="C2425" s="158" t="s">
        <v>2700</v>
      </c>
      <c r="D2425" s="159">
        <v>44281.0</v>
      </c>
      <c r="E2425" s="157" t="s">
        <v>731</v>
      </c>
      <c r="F2425" s="160">
        <v>23677.48</v>
      </c>
      <c r="G2425" s="168">
        <v>3788.4</v>
      </c>
      <c r="H2425" s="160">
        <f t="shared" si="57"/>
        <v>27465.88</v>
      </c>
      <c r="I2425" s="160"/>
      <c r="J2425" s="161"/>
      <c r="K2425" s="160"/>
      <c r="L2425" s="160">
        <f>+'FACP$'!$H2425-'FACP$'!$I2425-'FACP$'!$K2425</f>
        <v>27465.88</v>
      </c>
      <c r="M2425" s="162" t="s">
        <v>145</v>
      </c>
      <c r="N2425" s="162" t="s">
        <v>554</v>
      </c>
      <c r="O2425" s="164">
        <v>44351.0</v>
      </c>
      <c r="P2425" s="164">
        <f t="shared" si="13"/>
        <v>44291</v>
      </c>
      <c r="Q2425" s="165">
        <f t="shared" si="2"/>
        <v>0</v>
      </c>
      <c r="R2425" s="167"/>
      <c r="S2425" s="167"/>
      <c r="T2425" s="168">
        <f t="shared" si="3"/>
        <v>27465.88</v>
      </c>
      <c r="U2425" s="168">
        <f t="shared" si="4"/>
        <v>0</v>
      </c>
      <c r="V2425" s="168">
        <f t="shared" si="5"/>
        <v>0</v>
      </c>
      <c r="W2425" s="168">
        <f t="shared" si="6"/>
        <v>0</v>
      </c>
      <c r="X2425" s="168">
        <f t="shared" si="7"/>
        <v>0</v>
      </c>
      <c r="Y2425" s="168">
        <f t="shared" si="8"/>
        <v>0</v>
      </c>
      <c r="Z2425" s="168">
        <f t="shared" si="9"/>
        <v>0</v>
      </c>
    </row>
    <row r="2426" ht="15.0" customHeight="1">
      <c r="A2426" s="157" t="s">
        <v>2701</v>
      </c>
      <c r="B2426" s="158" t="s">
        <v>1127</v>
      </c>
      <c r="C2426" s="158" t="s">
        <v>2702</v>
      </c>
      <c r="D2426" s="159">
        <v>44281.0</v>
      </c>
      <c r="E2426" s="157" t="s">
        <v>731</v>
      </c>
      <c r="F2426" s="160">
        <v>68688.75</v>
      </c>
      <c r="G2426" s="160">
        <v>10990.2</v>
      </c>
      <c r="H2426" s="160">
        <f t="shared" si="57"/>
        <v>79678.95</v>
      </c>
      <c r="I2426" s="160"/>
      <c r="J2426" s="161"/>
      <c r="K2426" s="160"/>
      <c r="L2426" s="160">
        <f>+'FACP$'!$H2426-'FACP$'!$I2426-'FACP$'!$K2426</f>
        <v>79678.95</v>
      </c>
      <c r="M2426" s="162" t="s">
        <v>580</v>
      </c>
      <c r="N2426" s="162" t="s">
        <v>554</v>
      </c>
      <c r="O2426" s="164">
        <v>44298.0</v>
      </c>
      <c r="P2426" s="164">
        <f t="shared" si="13"/>
        <v>44291</v>
      </c>
      <c r="Q2426" s="165">
        <f t="shared" si="2"/>
        <v>0</v>
      </c>
      <c r="R2426" s="167"/>
      <c r="S2426" s="167"/>
      <c r="T2426" s="168">
        <f t="shared" si="3"/>
        <v>79678.95</v>
      </c>
      <c r="U2426" s="168">
        <f t="shared" si="4"/>
        <v>0</v>
      </c>
      <c r="V2426" s="168">
        <f t="shared" si="5"/>
        <v>0</v>
      </c>
      <c r="W2426" s="168">
        <f t="shared" si="6"/>
        <v>0</v>
      </c>
      <c r="X2426" s="168">
        <f t="shared" si="7"/>
        <v>0</v>
      </c>
      <c r="Y2426" s="168">
        <f t="shared" si="8"/>
        <v>0</v>
      </c>
      <c r="Z2426" s="168">
        <f t="shared" si="9"/>
        <v>0</v>
      </c>
    </row>
    <row r="2427" ht="15.0" customHeight="1">
      <c r="A2427" s="157" t="s">
        <v>2703</v>
      </c>
      <c r="B2427" s="158" t="s">
        <v>43</v>
      </c>
      <c r="C2427" s="158" t="s">
        <v>2704</v>
      </c>
      <c r="D2427" s="159">
        <v>44281.0</v>
      </c>
      <c r="E2427" s="157" t="s">
        <v>731</v>
      </c>
      <c r="F2427" s="160">
        <v>113899.23</v>
      </c>
      <c r="G2427" s="160">
        <v>18223.88</v>
      </c>
      <c r="H2427" s="160">
        <f t="shared" si="57"/>
        <v>132123.11</v>
      </c>
      <c r="I2427" s="160"/>
      <c r="J2427" s="161"/>
      <c r="K2427" s="160"/>
      <c r="L2427" s="160">
        <f>+'FACP$'!$H2427-'FACP$'!$I2427-'FACP$'!$K2427</f>
        <v>132123.11</v>
      </c>
      <c r="M2427" s="162" t="s">
        <v>43</v>
      </c>
      <c r="N2427" s="162" t="s">
        <v>554</v>
      </c>
      <c r="O2427" s="164">
        <v>44680.0</v>
      </c>
      <c r="P2427" s="164">
        <f t="shared" si="13"/>
        <v>44291</v>
      </c>
      <c r="Q2427" s="165">
        <f t="shared" si="2"/>
        <v>0</v>
      </c>
      <c r="R2427" s="167"/>
      <c r="S2427" s="167"/>
      <c r="T2427" s="168">
        <f t="shared" si="3"/>
        <v>132123.11</v>
      </c>
      <c r="U2427" s="168">
        <f t="shared" si="4"/>
        <v>0</v>
      </c>
      <c r="V2427" s="168">
        <f t="shared" si="5"/>
        <v>0</v>
      </c>
      <c r="W2427" s="168">
        <f t="shared" si="6"/>
        <v>0</v>
      </c>
      <c r="X2427" s="168">
        <f t="shared" si="7"/>
        <v>0</v>
      </c>
      <c r="Y2427" s="168">
        <f t="shared" si="8"/>
        <v>0</v>
      </c>
      <c r="Z2427" s="168">
        <f t="shared" si="9"/>
        <v>0</v>
      </c>
    </row>
    <row r="2428" ht="15.0" customHeight="1">
      <c r="A2428" s="157" t="s">
        <v>2705</v>
      </c>
      <c r="B2428" s="158" t="s">
        <v>41</v>
      </c>
      <c r="C2428" s="158" t="s">
        <v>2706</v>
      </c>
      <c r="D2428" s="159">
        <v>44281.0</v>
      </c>
      <c r="E2428" s="157" t="s">
        <v>731</v>
      </c>
      <c r="F2428" s="160">
        <v>81212.46</v>
      </c>
      <c r="G2428" s="160">
        <v>12993.99</v>
      </c>
      <c r="H2428" s="160">
        <f t="shared" si="57"/>
        <v>94206.45</v>
      </c>
      <c r="I2428" s="160"/>
      <c r="J2428" s="161"/>
      <c r="K2428" s="160"/>
      <c r="L2428" s="160">
        <f>+'FACP$'!$H2428-'FACP$'!$I2428-'FACP$'!$K2428</f>
        <v>94206.45</v>
      </c>
      <c r="M2428" s="162" t="s">
        <v>121</v>
      </c>
      <c r="N2428" s="162" t="s">
        <v>554</v>
      </c>
      <c r="O2428" s="164">
        <v>44393.0</v>
      </c>
      <c r="P2428" s="164">
        <f t="shared" si="13"/>
        <v>44291</v>
      </c>
      <c r="Q2428" s="165">
        <f t="shared" si="2"/>
        <v>0</v>
      </c>
      <c r="R2428" s="167"/>
      <c r="S2428" s="167"/>
      <c r="T2428" s="168">
        <f t="shared" si="3"/>
        <v>94206.45</v>
      </c>
      <c r="U2428" s="168">
        <f t="shared" si="4"/>
        <v>0</v>
      </c>
      <c r="V2428" s="168">
        <f t="shared" si="5"/>
        <v>0</v>
      </c>
      <c r="W2428" s="168">
        <f t="shared" si="6"/>
        <v>0</v>
      </c>
      <c r="X2428" s="168">
        <f t="shared" si="7"/>
        <v>0</v>
      </c>
      <c r="Y2428" s="168">
        <f t="shared" si="8"/>
        <v>0</v>
      </c>
      <c r="Z2428" s="168">
        <f t="shared" si="9"/>
        <v>0</v>
      </c>
    </row>
    <row r="2429" ht="15.0" customHeight="1">
      <c r="A2429" s="157" t="s">
        <v>2707</v>
      </c>
      <c r="B2429" s="158" t="s">
        <v>16</v>
      </c>
      <c r="C2429" s="158" t="s">
        <v>2708</v>
      </c>
      <c r="D2429" s="159">
        <v>44284.0</v>
      </c>
      <c r="E2429" s="157" t="s">
        <v>731</v>
      </c>
      <c r="F2429" s="160">
        <v>285196.28</v>
      </c>
      <c r="G2429" s="160">
        <v>45631.4</v>
      </c>
      <c r="H2429" s="160">
        <f t="shared" si="57"/>
        <v>330827.68</v>
      </c>
      <c r="I2429" s="160"/>
      <c r="J2429" s="161"/>
      <c r="K2429" s="160"/>
      <c r="L2429" s="160">
        <f>+'FACP$'!$H2429-'FACP$'!$I2429-'FACP$'!$K2429</f>
        <v>330827.68</v>
      </c>
      <c r="M2429" s="162" t="s">
        <v>985</v>
      </c>
      <c r="N2429" s="162" t="s">
        <v>554</v>
      </c>
      <c r="O2429" s="164">
        <v>44295.0</v>
      </c>
      <c r="P2429" s="164">
        <f t="shared" si="13"/>
        <v>44294</v>
      </c>
      <c r="Q2429" s="165">
        <f t="shared" si="2"/>
        <v>0</v>
      </c>
      <c r="R2429" s="167"/>
      <c r="S2429" s="167"/>
      <c r="T2429" s="168">
        <f t="shared" si="3"/>
        <v>330827.68</v>
      </c>
      <c r="U2429" s="168">
        <f t="shared" si="4"/>
        <v>0</v>
      </c>
      <c r="V2429" s="168">
        <f t="shared" si="5"/>
        <v>0</v>
      </c>
      <c r="W2429" s="168">
        <f t="shared" si="6"/>
        <v>0</v>
      </c>
      <c r="X2429" s="168">
        <f t="shared" si="7"/>
        <v>0</v>
      </c>
      <c r="Y2429" s="168">
        <f t="shared" si="8"/>
        <v>0</v>
      </c>
      <c r="Z2429" s="168">
        <f t="shared" si="9"/>
        <v>0</v>
      </c>
    </row>
    <row r="2430" ht="15.0" customHeight="1">
      <c r="A2430" s="157" t="s">
        <v>2709</v>
      </c>
      <c r="B2430" s="158" t="s">
        <v>16</v>
      </c>
      <c r="C2430" s="158" t="s">
        <v>2710</v>
      </c>
      <c r="D2430" s="159">
        <v>44284.0</v>
      </c>
      <c r="E2430" s="157" t="s">
        <v>731</v>
      </c>
      <c r="F2430" s="160">
        <v>355899.01</v>
      </c>
      <c r="G2430" s="160">
        <v>56943.84</v>
      </c>
      <c r="H2430" s="160">
        <f t="shared" si="57"/>
        <v>412842.85</v>
      </c>
      <c r="I2430" s="160"/>
      <c r="J2430" s="161"/>
      <c r="K2430" s="160"/>
      <c r="L2430" s="160">
        <f>+'FACP$'!$H2430-'FACP$'!$I2430-'FACP$'!$K2430</f>
        <v>412842.85</v>
      </c>
      <c r="M2430" s="162" t="s">
        <v>985</v>
      </c>
      <c r="N2430" s="162" t="s">
        <v>554</v>
      </c>
      <c r="O2430" s="164">
        <v>44295.0</v>
      </c>
      <c r="P2430" s="164">
        <f t="shared" si="13"/>
        <v>44294</v>
      </c>
      <c r="Q2430" s="165">
        <f t="shared" si="2"/>
        <v>0</v>
      </c>
      <c r="R2430" s="167"/>
      <c r="S2430" s="167"/>
      <c r="T2430" s="168">
        <f t="shared" si="3"/>
        <v>412842.85</v>
      </c>
      <c r="U2430" s="168">
        <f t="shared" si="4"/>
        <v>0</v>
      </c>
      <c r="V2430" s="168">
        <f t="shared" si="5"/>
        <v>0</v>
      </c>
      <c r="W2430" s="168">
        <f t="shared" si="6"/>
        <v>0</v>
      </c>
      <c r="X2430" s="168">
        <f t="shared" si="7"/>
        <v>0</v>
      </c>
      <c r="Y2430" s="168">
        <f t="shared" si="8"/>
        <v>0</v>
      </c>
      <c r="Z2430" s="168">
        <f t="shared" si="9"/>
        <v>0</v>
      </c>
    </row>
    <row r="2431" ht="15.0" customHeight="1">
      <c r="A2431" s="157" t="s">
        <v>2711</v>
      </c>
      <c r="B2431" s="158" t="s">
        <v>18</v>
      </c>
      <c r="C2431" s="158" t="s">
        <v>2708</v>
      </c>
      <c r="D2431" s="159">
        <v>44284.0</v>
      </c>
      <c r="E2431" s="157" t="s">
        <v>731</v>
      </c>
      <c r="F2431" s="160">
        <v>119852.82</v>
      </c>
      <c r="G2431" s="160">
        <v>19176.45</v>
      </c>
      <c r="H2431" s="160">
        <f t="shared" si="57"/>
        <v>139029.27</v>
      </c>
      <c r="I2431" s="160"/>
      <c r="J2431" s="161"/>
      <c r="K2431" s="160"/>
      <c r="L2431" s="160">
        <f>+'FACP$'!$H2431-'FACP$'!$I2431-'FACP$'!$K2431</f>
        <v>139029.27</v>
      </c>
      <c r="M2431" s="162" t="s">
        <v>586</v>
      </c>
      <c r="N2431" s="162" t="s">
        <v>554</v>
      </c>
      <c r="O2431" s="164">
        <v>44302.0</v>
      </c>
      <c r="P2431" s="164">
        <f t="shared" si="13"/>
        <v>44294</v>
      </c>
      <c r="Q2431" s="165">
        <f t="shared" si="2"/>
        <v>0</v>
      </c>
      <c r="R2431" s="167"/>
      <c r="S2431" s="167"/>
      <c r="T2431" s="168">
        <f t="shared" si="3"/>
        <v>139029.27</v>
      </c>
      <c r="U2431" s="168">
        <f t="shared" si="4"/>
        <v>0</v>
      </c>
      <c r="V2431" s="168">
        <f t="shared" si="5"/>
        <v>0</v>
      </c>
      <c r="W2431" s="168">
        <f t="shared" si="6"/>
        <v>0</v>
      </c>
      <c r="X2431" s="168">
        <f t="shared" si="7"/>
        <v>0</v>
      </c>
      <c r="Y2431" s="168">
        <f t="shared" si="8"/>
        <v>0</v>
      </c>
      <c r="Z2431" s="168">
        <f t="shared" si="9"/>
        <v>0</v>
      </c>
    </row>
    <row r="2432" ht="15.0" customHeight="1">
      <c r="A2432" s="157" t="s">
        <v>2712</v>
      </c>
      <c r="B2432" s="158" t="s">
        <v>19</v>
      </c>
      <c r="C2432" s="158" t="s">
        <v>2708</v>
      </c>
      <c r="D2432" s="159">
        <v>44284.0</v>
      </c>
      <c r="E2432" s="157" t="s">
        <v>731</v>
      </c>
      <c r="F2432" s="168">
        <v>165200.58</v>
      </c>
      <c r="G2432" s="160">
        <v>26432.09</v>
      </c>
      <c r="H2432" s="160">
        <f t="shared" si="57"/>
        <v>191632.67</v>
      </c>
      <c r="I2432" s="160"/>
      <c r="J2432" s="161"/>
      <c r="K2432" s="160"/>
      <c r="L2432" s="160">
        <f>+'FACP$'!$H2432-'FACP$'!$I2432-'FACP$'!$K2432</f>
        <v>191632.67</v>
      </c>
      <c r="M2432" s="162" t="s">
        <v>732</v>
      </c>
      <c r="N2432" s="162" t="s">
        <v>554</v>
      </c>
      <c r="O2432" s="164">
        <v>44302.0</v>
      </c>
      <c r="P2432" s="164">
        <f t="shared" si="13"/>
        <v>44294</v>
      </c>
      <c r="Q2432" s="165">
        <f t="shared" si="2"/>
        <v>0</v>
      </c>
      <c r="R2432" s="167"/>
      <c r="S2432" s="167"/>
      <c r="T2432" s="168">
        <f t="shared" si="3"/>
        <v>191632.67</v>
      </c>
      <c r="U2432" s="168">
        <f t="shared" si="4"/>
        <v>0</v>
      </c>
      <c r="V2432" s="168">
        <f t="shared" si="5"/>
        <v>0</v>
      </c>
      <c r="W2432" s="168">
        <f t="shared" si="6"/>
        <v>0</v>
      </c>
      <c r="X2432" s="168">
        <f t="shared" si="7"/>
        <v>0</v>
      </c>
      <c r="Y2432" s="168">
        <f t="shared" si="8"/>
        <v>0</v>
      </c>
      <c r="Z2432" s="168">
        <f t="shared" si="9"/>
        <v>0</v>
      </c>
    </row>
    <row r="2433" ht="15.0" customHeight="1">
      <c r="A2433" s="157" t="s">
        <v>2713</v>
      </c>
      <c r="B2433" s="158" t="s">
        <v>29</v>
      </c>
      <c r="C2433" s="158" t="s">
        <v>2708</v>
      </c>
      <c r="D2433" s="159">
        <v>44284.0</v>
      </c>
      <c r="E2433" s="157" t="s">
        <v>731</v>
      </c>
      <c r="F2433" s="168">
        <v>273530.3</v>
      </c>
      <c r="G2433" s="168">
        <v>43764.85</v>
      </c>
      <c r="H2433" s="160">
        <f t="shared" si="57"/>
        <v>317295.15</v>
      </c>
      <c r="I2433" s="160"/>
      <c r="J2433" s="161"/>
      <c r="K2433" s="160"/>
      <c r="L2433" s="160">
        <f>+'FACP$'!$H2433-'FACP$'!$I2433-'FACP$'!$K2433</f>
        <v>317295.15</v>
      </c>
      <c r="M2433" s="162" t="s">
        <v>130</v>
      </c>
      <c r="N2433" s="162" t="s">
        <v>554</v>
      </c>
      <c r="O2433" s="164">
        <v>44309.0</v>
      </c>
      <c r="P2433" s="164">
        <f t="shared" si="13"/>
        <v>44294</v>
      </c>
      <c r="Q2433" s="165">
        <f t="shared" si="2"/>
        <v>0</v>
      </c>
      <c r="R2433" s="167"/>
      <c r="S2433" s="167"/>
      <c r="T2433" s="168">
        <f t="shared" si="3"/>
        <v>317295.15</v>
      </c>
      <c r="U2433" s="168">
        <f t="shared" si="4"/>
        <v>0</v>
      </c>
      <c r="V2433" s="168">
        <f t="shared" si="5"/>
        <v>0</v>
      </c>
      <c r="W2433" s="168">
        <f t="shared" si="6"/>
        <v>0</v>
      </c>
      <c r="X2433" s="168">
        <f t="shared" si="7"/>
        <v>0</v>
      </c>
      <c r="Y2433" s="168">
        <f t="shared" si="8"/>
        <v>0</v>
      </c>
      <c r="Z2433" s="168">
        <f t="shared" si="9"/>
        <v>0</v>
      </c>
    </row>
    <row r="2434" ht="15.0" customHeight="1">
      <c r="A2434" s="157" t="s">
        <v>2714</v>
      </c>
      <c r="B2434" s="158" t="s">
        <v>29</v>
      </c>
      <c r="C2434" s="158" t="s">
        <v>2710</v>
      </c>
      <c r="D2434" s="159">
        <v>44284.0</v>
      </c>
      <c r="E2434" s="157" t="s">
        <v>731</v>
      </c>
      <c r="F2434" s="168">
        <v>357702.16</v>
      </c>
      <c r="G2434" s="160">
        <v>57232.35</v>
      </c>
      <c r="H2434" s="160">
        <f t="shared" si="57"/>
        <v>414934.51</v>
      </c>
      <c r="I2434" s="160"/>
      <c r="J2434" s="161"/>
      <c r="K2434" s="160"/>
      <c r="L2434" s="160">
        <f>+'FACP$'!$H2434-'FACP$'!$I2434-'FACP$'!$K2434</f>
        <v>414934.51</v>
      </c>
      <c r="M2434" s="162" t="s">
        <v>130</v>
      </c>
      <c r="N2434" s="162" t="s">
        <v>554</v>
      </c>
      <c r="O2434" s="164">
        <v>44327.0</v>
      </c>
      <c r="P2434" s="164">
        <f t="shared" si="13"/>
        <v>44294</v>
      </c>
      <c r="Q2434" s="165">
        <f t="shared" si="2"/>
        <v>0</v>
      </c>
      <c r="R2434" s="167"/>
      <c r="S2434" s="167"/>
      <c r="T2434" s="168">
        <f t="shared" si="3"/>
        <v>414934.51</v>
      </c>
      <c r="U2434" s="168">
        <f t="shared" si="4"/>
        <v>0</v>
      </c>
      <c r="V2434" s="168">
        <f t="shared" si="5"/>
        <v>0</v>
      </c>
      <c r="W2434" s="168">
        <f t="shared" si="6"/>
        <v>0</v>
      </c>
      <c r="X2434" s="168">
        <f t="shared" si="7"/>
        <v>0</v>
      </c>
      <c r="Y2434" s="168">
        <f t="shared" si="8"/>
        <v>0</v>
      </c>
      <c r="Z2434" s="168">
        <f t="shared" si="9"/>
        <v>0</v>
      </c>
    </row>
    <row r="2435" ht="15.0" customHeight="1">
      <c r="A2435" s="157" t="s">
        <v>2715</v>
      </c>
      <c r="B2435" s="158" t="s">
        <v>41</v>
      </c>
      <c r="C2435" s="158" t="s">
        <v>2708</v>
      </c>
      <c r="D2435" s="159">
        <v>44284.0</v>
      </c>
      <c r="E2435" s="157" t="s">
        <v>731</v>
      </c>
      <c r="F2435" s="168">
        <v>520403.96</v>
      </c>
      <c r="G2435" s="168">
        <v>83264.63</v>
      </c>
      <c r="H2435" s="160">
        <f t="shared" si="57"/>
        <v>603668.59</v>
      </c>
      <c r="I2435" s="160"/>
      <c r="J2435" s="161"/>
      <c r="K2435" s="160"/>
      <c r="L2435" s="160">
        <f>+'FACP$'!$H2435-'FACP$'!$I2435-'FACP$'!$K2435</f>
        <v>603668.59</v>
      </c>
      <c r="M2435" s="162" t="s">
        <v>121</v>
      </c>
      <c r="N2435" s="162" t="s">
        <v>554</v>
      </c>
      <c r="O2435" s="164">
        <v>44393.0</v>
      </c>
      <c r="P2435" s="164">
        <f t="shared" si="13"/>
        <v>44294</v>
      </c>
      <c r="Q2435" s="165">
        <f t="shared" si="2"/>
        <v>0</v>
      </c>
      <c r="R2435" s="167"/>
      <c r="S2435" s="167"/>
      <c r="T2435" s="168">
        <f t="shared" si="3"/>
        <v>603668.59</v>
      </c>
      <c r="U2435" s="168">
        <f t="shared" si="4"/>
        <v>0</v>
      </c>
      <c r="V2435" s="168">
        <f t="shared" si="5"/>
        <v>0</v>
      </c>
      <c r="W2435" s="168">
        <f t="shared" si="6"/>
        <v>0</v>
      </c>
      <c r="X2435" s="168">
        <f t="shared" si="7"/>
        <v>0</v>
      </c>
      <c r="Y2435" s="168">
        <f t="shared" si="8"/>
        <v>0</v>
      </c>
      <c r="Z2435" s="168">
        <f t="shared" si="9"/>
        <v>0</v>
      </c>
    </row>
    <row r="2436" ht="15.0" customHeight="1">
      <c r="A2436" s="157" t="s">
        <v>2716</v>
      </c>
      <c r="B2436" s="158" t="s">
        <v>37</v>
      </c>
      <c r="C2436" s="158" t="s">
        <v>2708</v>
      </c>
      <c r="D2436" s="159">
        <v>44284.0</v>
      </c>
      <c r="E2436" s="157" t="s">
        <v>731</v>
      </c>
      <c r="F2436" s="160">
        <v>1628819.22</v>
      </c>
      <c r="G2436" s="168">
        <v>260611.08</v>
      </c>
      <c r="H2436" s="160">
        <f t="shared" si="57"/>
        <v>1889430.3</v>
      </c>
      <c r="I2436" s="160"/>
      <c r="J2436" s="161"/>
      <c r="K2436" s="160"/>
      <c r="L2436" s="160">
        <f>+'FACP$'!$H2436-'FACP$'!$I2436-'FACP$'!$K2436</f>
        <v>1889430.3</v>
      </c>
      <c r="M2436" s="162" t="s">
        <v>116</v>
      </c>
      <c r="N2436" s="162" t="s">
        <v>554</v>
      </c>
      <c r="O2436" s="164">
        <v>44305.0</v>
      </c>
      <c r="P2436" s="164">
        <f t="shared" si="13"/>
        <v>44294</v>
      </c>
      <c r="Q2436" s="165">
        <f t="shared" si="2"/>
        <v>0</v>
      </c>
      <c r="R2436" s="167"/>
      <c r="S2436" s="167"/>
      <c r="T2436" s="168">
        <f t="shared" si="3"/>
        <v>1889430.3</v>
      </c>
      <c r="U2436" s="168">
        <f t="shared" si="4"/>
        <v>0</v>
      </c>
      <c r="V2436" s="168">
        <f t="shared" si="5"/>
        <v>0</v>
      </c>
      <c r="W2436" s="168">
        <f t="shared" si="6"/>
        <v>0</v>
      </c>
      <c r="X2436" s="168">
        <f t="shared" si="7"/>
        <v>0</v>
      </c>
      <c r="Y2436" s="168">
        <f t="shared" si="8"/>
        <v>0</v>
      </c>
      <c r="Z2436" s="168">
        <f t="shared" si="9"/>
        <v>0</v>
      </c>
    </row>
    <row r="2437" ht="15.0" customHeight="1">
      <c r="A2437" s="157" t="s">
        <v>2717</v>
      </c>
      <c r="B2437" s="158" t="s">
        <v>33</v>
      </c>
      <c r="C2437" s="158" t="s">
        <v>2708</v>
      </c>
      <c r="D2437" s="159">
        <v>44284.0</v>
      </c>
      <c r="E2437" s="157" t="s">
        <v>731</v>
      </c>
      <c r="F2437" s="160">
        <v>672978.23</v>
      </c>
      <c r="G2437" s="168">
        <v>107676.52</v>
      </c>
      <c r="H2437" s="160">
        <f t="shared" si="57"/>
        <v>780654.75</v>
      </c>
      <c r="I2437" s="160"/>
      <c r="J2437" s="161"/>
      <c r="K2437" s="160"/>
      <c r="L2437" s="160">
        <f>+'FACP$'!$H2437-'FACP$'!$I2437-'FACP$'!$K2437</f>
        <v>780654.75</v>
      </c>
      <c r="M2437" s="162" t="s">
        <v>958</v>
      </c>
      <c r="N2437" s="162" t="s">
        <v>554</v>
      </c>
      <c r="O2437" s="164">
        <v>44295.0</v>
      </c>
      <c r="P2437" s="164">
        <f t="shared" si="13"/>
        <v>44294</v>
      </c>
      <c r="Q2437" s="165">
        <f t="shared" si="2"/>
        <v>0</v>
      </c>
      <c r="R2437" s="167"/>
      <c r="S2437" s="167"/>
      <c r="T2437" s="168">
        <f t="shared" si="3"/>
        <v>780654.75</v>
      </c>
      <c r="U2437" s="168">
        <f t="shared" si="4"/>
        <v>0</v>
      </c>
      <c r="V2437" s="168">
        <f t="shared" si="5"/>
        <v>0</v>
      </c>
      <c r="W2437" s="168">
        <f t="shared" si="6"/>
        <v>0</v>
      </c>
      <c r="X2437" s="168">
        <f t="shared" si="7"/>
        <v>0</v>
      </c>
      <c r="Y2437" s="168">
        <f t="shared" si="8"/>
        <v>0</v>
      </c>
      <c r="Z2437" s="168">
        <f t="shared" si="9"/>
        <v>0</v>
      </c>
    </row>
    <row r="2438" ht="15.0" customHeight="1">
      <c r="A2438" s="157" t="s">
        <v>2718</v>
      </c>
      <c r="B2438" s="158" t="s">
        <v>35</v>
      </c>
      <c r="C2438" s="158" t="s">
        <v>2708</v>
      </c>
      <c r="D2438" s="159">
        <v>44284.0</v>
      </c>
      <c r="E2438" s="157" t="s">
        <v>731</v>
      </c>
      <c r="F2438" s="168">
        <v>345325.78</v>
      </c>
      <c r="G2438" s="168">
        <v>55252.12</v>
      </c>
      <c r="H2438" s="160">
        <f t="shared" si="57"/>
        <v>400577.9</v>
      </c>
      <c r="I2438" s="160"/>
      <c r="J2438" s="161"/>
      <c r="K2438" s="160"/>
      <c r="L2438" s="160">
        <f>+'FACP$'!$H2438-'FACP$'!$I2438-'FACP$'!$K2438</f>
        <v>400577.9</v>
      </c>
      <c r="M2438" s="162" t="s">
        <v>276</v>
      </c>
      <c r="N2438" s="162" t="s">
        <v>554</v>
      </c>
      <c r="O2438" s="164">
        <v>44300.0</v>
      </c>
      <c r="P2438" s="164">
        <f t="shared" si="13"/>
        <v>44294</v>
      </c>
      <c r="Q2438" s="165">
        <f t="shared" si="2"/>
        <v>0</v>
      </c>
      <c r="R2438" s="167"/>
      <c r="S2438" s="167"/>
      <c r="T2438" s="168">
        <f t="shared" si="3"/>
        <v>400577.9</v>
      </c>
      <c r="U2438" s="168">
        <f t="shared" si="4"/>
        <v>0</v>
      </c>
      <c r="V2438" s="168">
        <f t="shared" si="5"/>
        <v>0</v>
      </c>
      <c r="W2438" s="168">
        <f t="shared" si="6"/>
        <v>0</v>
      </c>
      <c r="X2438" s="168">
        <f t="shared" si="7"/>
        <v>0</v>
      </c>
      <c r="Y2438" s="168">
        <f t="shared" si="8"/>
        <v>0</v>
      </c>
      <c r="Z2438" s="168">
        <f t="shared" si="9"/>
        <v>0</v>
      </c>
    </row>
    <row r="2439" ht="15.0" customHeight="1">
      <c r="A2439" s="157" t="s">
        <v>2719</v>
      </c>
      <c r="B2439" s="158" t="s">
        <v>36</v>
      </c>
      <c r="C2439" s="158" t="s">
        <v>2708</v>
      </c>
      <c r="D2439" s="159">
        <v>44284.0</v>
      </c>
      <c r="E2439" s="157" t="s">
        <v>731</v>
      </c>
      <c r="F2439" s="168">
        <v>42783.88</v>
      </c>
      <c r="G2439" s="168">
        <v>6845.42</v>
      </c>
      <c r="H2439" s="160">
        <f t="shared" si="57"/>
        <v>49629.3</v>
      </c>
      <c r="I2439" s="160"/>
      <c r="J2439" s="161"/>
      <c r="K2439" s="160"/>
      <c r="L2439" s="160">
        <f>+'FACP$'!$H2439-'FACP$'!$I2439-'FACP$'!$K2439</f>
        <v>49629.3</v>
      </c>
      <c r="M2439" s="162" t="s">
        <v>278</v>
      </c>
      <c r="N2439" s="162" t="s">
        <v>554</v>
      </c>
      <c r="O2439" s="164">
        <v>44323.0</v>
      </c>
      <c r="P2439" s="164">
        <f t="shared" si="13"/>
        <v>44294</v>
      </c>
      <c r="Q2439" s="165">
        <f t="shared" si="2"/>
        <v>0</v>
      </c>
      <c r="R2439" s="167"/>
      <c r="S2439" s="167"/>
      <c r="T2439" s="168">
        <f t="shared" si="3"/>
        <v>49629.3</v>
      </c>
      <c r="U2439" s="168">
        <f t="shared" si="4"/>
        <v>0</v>
      </c>
      <c r="V2439" s="168">
        <f t="shared" si="5"/>
        <v>0</v>
      </c>
      <c r="W2439" s="168">
        <f t="shared" si="6"/>
        <v>0</v>
      </c>
      <c r="X2439" s="168">
        <f t="shared" si="7"/>
        <v>0</v>
      </c>
      <c r="Y2439" s="168">
        <f t="shared" si="8"/>
        <v>0</v>
      </c>
      <c r="Z2439" s="168">
        <f t="shared" si="9"/>
        <v>0</v>
      </c>
    </row>
    <row r="2440" ht="15.0" customHeight="1">
      <c r="A2440" s="157" t="s">
        <v>2720</v>
      </c>
      <c r="B2440" s="158" t="s">
        <v>38</v>
      </c>
      <c r="C2440" s="158" t="s">
        <v>2708</v>
      </c>
      <c r="D2440" s="159">
        <v>44284.0</v>
      </c>
      <c r="E2440" s="157" t="s">
        <v>731</v>
      </c>
      <c r="F2440" s="168">
        <v>478994.45</v>
      </c>
      <c r="G2440" s="168">
        <v>76639.11</v>
      </c>
      <c r="H2440" s="160">
        <f t="shared" si="57"/>
        <v>555633.56</v>
      </c>
      <c r="I2440" s="160"/>
      <c r="J2440" s="161"/>
      <c r="K2440" s="160"/>
      <c r="L2440" s="160">
        <f>+'FACP$'!$H2440-'FACP$'!$I2440-'FACP$'!$K2440</f>
        <v>555633.56</v>
      </c>
      <c r="M2440" s="162" t="s">
        <v>145</v>
      </c>
      <c r="N2440" s="162" t="s">
        <v>554</v>
      </c>
      <c r="O2440" s="164">
        <v>44312.0</v>
      </c>
      <c r="P2440" s="164">
        <f t="shared" si="13"/>
        <v>44294</v>
      </c>
      <c r="Q2440" s="165">
        <f t="shared" si="2"/>
        <v>0</v>
      </c>
      <c r="R2440" s="220" t="s">
        <v>2721</v>
      </c>
      <c r="S2440" s="167"/>
      <c r="T2440" s="168">
        <f t="shared" si="3"/>
        <v>555633.56</v>
      </c>
      <c r="U2440" s="168">
        <f t="shared" si="4"/>
        <v>0</v>
      </c>
      <c r="V2440" s="168">
        <f t="shared" si="5"/>
        <v>0</v>
      </c>
      <c r="W2440" s="168">
        <f t="shared" si="6"/>
        <v>0</v>
      </c>
      <c r="X2440" s="168">
        <f t="shared" si="7"/>
        <v>0</v>
      </c>
      <c r="Y2440" s="168">
        <f t="shared" si="8"/>
        <v>0</v>
      </c>
      <c r="Z2440" s="168">
        <f t="shared" si="9"/>
        <v>0</v>
      </c>
    </row>
    <row r="2441" ht="15.0" customHeight="1">
      <c r="A2441" s="157" t="s">
        <v>2722</v>
      </c>
      <c r="B2441" s="158" t="s">
        <v>1127</v>
      </c>
      <c r="C2441" s="158" t="s">
        <v>2708</v>
      </c>
      <c r="D2441" s="159">
        <v>44284.0</v>
      </c>
      <c r="E2441" s="157" t="s">
        <v>731</v>
      </c>
      <c r="F2441" s="168">
        <v>600997.4</v>
      </c>
      <c r="G2441" s="168">
        <v>96159.58</v>
      </c>
      <c r="H2441" s="160">
        <f t="shared" si="57"/>
        <v>697156.98</v>
      </c>
      <c r="I2441" s="160"/>
      <c r="J2441" s="161"/>
      <c r="K2441" s="160"/>
      <c r="L2441" s="160">
        <f>+'FACP$'!$H2441-'FACP$'!$I2441-'FACP$'!$K2441</f>
        <v>697156.98</v>
      </c>
      <c r="M2441" s="162" t="s">
        <v>580</v>
      </c>
      <c r="N2441" s="162" t="s">
        <v>554</v>
      </c>
      <c r="O2441" s="164">
        <v>44298.0</v>
      </c>
      <c r="P2441" s="164">
        <f t="shared" si="13"/>
        <v>44294</v>
      </c>
      <c r="Q2441" s="165">
        <f t="shared" si="2"/>
        <v>0</v>
      </c>
      <c r="R2441" s="167"/>
      <c r="S2441" s="167"/>
      <c r="T2441" s="168">
        <f t="shared" si="3"/>
        <v>697156.98</v>
      </c>
      <c r="U2441" s="168">
        <f t="shared" si="4"/>
        <v>0</v>
      </c>
      <c r="V2441" s="168">
        <f t="shared" si="5"/>
        <v>0</v>
      </c>
      <c r="W2441" s="168">
        <f t="shared" si="6"/>
        <v>0</v>
      </c>
      <c r="X2441" s="168">
        <f t="shared" si="7"/>
        <v>0</v>
      </c>
      <c r="Y2441" s="168">
        <f t="shared" si="8"/>
        <v>0</v>
      </c>
      <c r="Z2441" s="168">
        <f t="shared" si="9"/>
        <v>0</v>
      </c>
    </row>
    <row r="2442" ht="15.0" customHeight="1">
      <c r="A2442" s="157" t="s">
        <v>2723</v>
      </c>
      <c r="B2442" s="158" t="s">
        <v>43</v>
      </c>
      <c r="C2442" s="158" t="s">
        <v>2708</v>
      </c>
      <c r="D2442" s="159">
        <v>44284.0</v>
      </c>
      <c r="E2442" s="157" t="s">
        <v>731</v>
      </c>
      <c r="F2442" s="168">
        <v>819584.03</v>
      </c>
      <c r="G2442" s="168">
        <v>131133.45</v>
      </c>
      <c r="H2442" s="160">
        <f t="shared" si="57"/>
        <v>950717.48</v>
      </c>
      <c r="I2442" s="160"/>
      <c r="J2442" s="161"/>
      <c r="K2442" s="160"/>
      <c r="L2442" s="160">
        <f>+'FACP$'!$H2442-'FACP$'!$I2442-'FACP$'!$K2442</f>
        <v>950717.48</v>
      </c>
      <c r="M2442" s="162" t="s">
        <v>43</v>
      </c>
      <c r="N2442" s="162" t="s">
        <v>554</v>
      </c>
      <c r="O2442" s="164">
        <v>44316.0</v>
      </c>
      <c r="P2442" s="164">
        <f t="shared" si="13"/>
        <v>44294</v>
      </c>
      <c r="Q2442" s="165">
        <f t="shared" si="2"/>
        <v>0</v>
      </c>
      <c r="R2442" s="167"/>
      <c r="S2442" s="167"/>
      <c r="T2442" s="168">
        <f t="shared" si="3"/>
        <v>950717.48</v>
      </c>
      <c r="U2442" s="168">
        <f t="shared" si="4"/>
        <v>0</v>
      </c>
      <c r="V2442" s="168">
        <f t="shared" si="5"/>
        <v>0</v>
      </c>
      <c r="W2442" s="168">
        <f t="shared" si="6"/>
        <v>0</v>
      </c>
      <c r="X2442" s="168">
        <f t="shared" si="7"/>
        <v>0</v>
      </c>
      <c r="Y2442" s="168">
        <f t="shared" si="8"/>
        <v>0</v>
      </c>
      <c r="Z2442" s="168">
        <f t="shared" si="9"/>
        <v>0</v>
      </c>
    </row>
    <row r="2443" ht="15.0" customHeight="1">
      <c r="A2443" s="157" t="s">
        <v>2724</v>
      </c>
      <c r="B2443" s="158" t="s">
        <v>27</v>
      </c>
      <c r="C2443" s="158" t="s">
        <v>2725</v>
      </c>
      <c r="D2443" s="159">
        <v>44284.0</v>
      </c>
      <c r="E2443" s="157" t="s">
        <v>731</v>
      </c>
      <c r="F2443" s="168">
        <v>766418.05</v>
      </c>
      <c r="G2443" s="168">
        <v>122626.89</v>
      </c>
      <c r="H2443" s="160">
        <f t="shared" si="57"/>
        <v>889044.94</v>
      </c>
      <c r="I2443" s="160"/>
      <c r="J2443" s="161"/>
      <c r="K2443" s="160"/>
      <c r="L2443" s="160">
        <f>+'FACP$'!$H2443-'FACP$'!$I2443-'FACP$'!$K2443</f>
        <v>889044.94</v>
      </c>
      <c r="M2443" s="162" t="s">
        <v>151</v>
      </c>
      <c r="N2443" s="162" t="s">
        <v>554</v>
      </c>
      <c r="O2443" s="164">
        <v>44301.0</v>
      </c>
      <c r="P2443" s="164">
        <f t="shared" si="13"/>
        <v>44294</v>
      </c>
      <c r="Q2443" s="165">
        <f t="shared" si="2"/>
        <v>0</v>
      </c>
      <c r="R2443" s="167"/>
      <c r="S2443" s="167"/>
      <c r="T2443" s="168">
        <f t="shared" si="3"/>
        <v>889044.94</v>
      </c>
      <c r="U2443" s="168">
        <f t="shared" si="4"/>
        <v>0</v>
      </c>
      <c r="V2443" s="168">
        <f t="shared" si="5"/>
        <v>0</v>
      </c>
      <c r="W2443" s="168">
        <f t="shared" si="6"/>
        <v>0</v>
      </c>
      <c r="X2443" s="168">
        <f t="shared" si="7"/>
        <v>0</v>
      </c>
      <c r="Y2443" s="168">
        <f t="shared" si="8"/>
        <v>0</v>
      </c>
      <c r="Z2443" s="168">
        <f t="shared" si="9"/>
        <v>0</v>
      </c>
    </row>
    <row r="2444" ht="15.0" customHeight="1">
      <c r="A2444" s="157" t="s">
        <v>2726</v>
      </c>
      <c r="B2444" s="158" t="s">
        <v>127</v>
      </c>
      <c r="C2444" s="158"/>
      <c r="D2444" s="159"/>
      <c r="E2444" s="157"/>
      <c r="F2444" s="160"/>
      <c r="G2444" s="160"/>
      <c r="H2444" s="160">
        <f t="shared" si="57"/>
        <v>0</v>
      </c>
      <c r="I2444" s="160"/>
      <c r="J2444" s="161"/>
      <c r="K2444" s="160"/>
      <c r="L2444" s="160">
        <f>+'FACP$'!$H2444-'FACP$'!$I2444-'FACP$'!$K2444</f>
        <v>0</v>
      </c>
      <c r="M2444" s="162"/>
      <c r="N2444" s="162" t="s">
        <v>127</v>
      </c>
      <c r="O2444" s="164"/>
      <c r="P2444" s="164">
        <f t="shared" si="13"/>
        <v>10</v>
      </c>
      <c r="Q2444" s="165">
        <f t="shared" si="2"/>
        <v>0</v>
      </c>
      <c r="R2444" s="167"/>
      <c r="S2444" s="167"/>
      <c r="T2444" s="168">
        <f t="shared" si="3"/>
        <v>0</v>
      </c>
      <c r="U2444" s="168">
        <f t="shared" si="4"/>
        <v>0</v>
      </c>
      <c r="V2444" s="168">
        <f t="shared" si="5"/>
        <v>0</v>
      </c>
      <c r="W2444" s="168">
        <f t="shared" si="6"/>
        <v>0</v>
      </c>
      <c r="X2444" s="168">
        <f t="shared" si="7"/>
        <v>0</v>
      </c>
      <c r="Y2444" s="168">
        <f t="shared" si="8"/>
        <v>0</v>
      </c>
      <c r="Z2444" s="168">
        <f t="shared" si="9"/>
        <v>0</v>
      </c>
    </row>
    <row r="2445" ht="15.0" customHeight="1">
      <c r="A2445" s="157" t="s">
        <v>2727</v>
      </c>
      <c r="B2445" s="158" t="s">
        <v>27</v>
      </c>
      <c r="C2445" s="158" t="s">
        <v>2728</v>
      </c>
      <c r="D2445" s="159">
        <v>44284.0</v>
      </c>
      <c r="E2445" s="157" t="s">
        <v>731</v>
      </c>
      <c r="F2445" s="168">
        <v>31808.79</v>
      </c>
      <c r="G2445" s="168">
        <v>5089.41</v>
      </c>
      <c r="H2445" s="160">
        <f t="shared" si="57"/>
        <v>36898.2</v>
      </c>
      <c r="I2445" s="160"/>
      <c r="J2445" s="161"/>
      <c r="K2445" s="160"/>
      <c r="L2445" s="160">
        <f>+'FACP$'!$H2445-'FACP$'!$I2445-'FACP$'!$K2445</f>
        <v>36898.2</v>
      </c>
      <c r="M2445" s="162" t="s">
        <v>151</v>
      </c>
      <c r="N2445" s="162" t="s">
        <v>554</v>
      </c>
      <c r="O2445" s="164">
        <v>44301.0</v>
      </c>
      <c r="P2445" s="164">
        <f t="shared" si="13"/>
        <v>44294</v>
      </c>
      <c r="Q2445" s="165">
        <f t="shared" si="2"/>
        <v>0</v>
      </c>
      <c r="R2445" s="167"/>
      <c r="S2445" s="167"/>
      <c r="T2445" s="168">
        <f t="shared" si="3"/>
        <v>36898.2</v>
      </c>
      <c r="U2445" s="168">
        <f t="shared" si="4"/>
        <v>0</v>
      </c>
      <c r="V2445" s="168">
        <f t="shared" si="5"/>
        <v>0</v>
      </c>
      <c r="W2445" s="168">
        <f t="shared" si="6"/>
        <v>0</v>
      </c>
      <c r="X2445" s="168">
        <f t="shared" si="7"/>
        <v>0</v>
      </c>
      <c r="Y2445" s="168">
        <f t="shared" si="8"/>
        <v>0</v>
      </c>
      <c r="Z2445" s="168">
        <f t="shared" si="9"/>
        <v>0</v>
      </c>
    </row>
    <row r="2446" ht="15.0" customHeight="1">
      <c r="A2446" s="157" t="s">
        <v>2729</v>
      </c>
      <c r="B2446" s="158" t="s">
        <v>27</v>
      </c>
      <c r="C2446" s="158" t="s">
        <v>2730</v>
      </c>
      <c r="D2446" s="159">
        <v>44284.0</v>
      </c>
      <c r="E2446" s="157" t="s">
        <v>731</v>
      </c>
      <c r="F2446" s="168">
        <v>24390.32</v>
      </c>
      <c r="G2446" s="168">
        <v>3902.45</v>
      </c>
      <c r="H2446" s="160">
        <f t="shared" si="57"/>
        <v>28292.77</v>
      </c>
      <c r="I2446" s="160"/>
      <c r="J2446" s="161"/>
      <c r="K2446" s="160"/>
      <c r="L2446" s="160">
        <f>+'FACP$'!$H2446-'FACP$'!$I2446-'FACP$'!$K2446</f>
        <v>28292.77</v>
      </c>
      <c r="M2446" s="162" t="s">
        <v>151</v>
      </c>
      <c r="N2446" s="162" t="s">
        <v>554</v>
      </c>
      <c r="O2446" s="164">
        <v>44301.0</v>
      </c>
      <c r="P2446" s="164">
        <f t="shared" si="13"/>
        <v>44294</v>
      </c>
      <c r="Q2446" s="165">
        <f t="shared" si="2"/>
        <v>0</v>
      </c>
      <c r="R2446" s="167"/>
      <c r="S2446" s="167"/>
      <c r="T2446" s="168">
        <f t="shared" si="3"/>
        <v>28292.77</v>
      </c>
      <c r="U2446" s="168">
        <f t="shared" si="4"/>
        <v>0</v>
      </c>
      <c r="V2446" s="168">
        <f t="shared" si="5"/>
        <v>0</v>
      </c>
      <c r="W2446" s="168">
        <f t="shared" si="6"/>
        <v>0</v>
      </c>
      <c r="X2446" s="168">
        <f t="shared" si="7"/>
        <v>0</v>
      </c>
      <c r="Y2446" s="168">
        <f t="shared" si="8"/>
        <v>0</v>
      </c>
      <c r="Z2446" s="168">
        <f t="shared" si="9"/>
        <v>0</v>
      </c>
    </row>
    <row r="2447" ht="15.0" customHeight="1">
      <c r="A2447" s="157" t="s">
        <v>2731</v>
      </c>
      <c r="B2447" s="158" t="s">
        <v>27</v>
      </c>
      <c r="C2447" s="158" t="s">
        <v>2708</v>
      </c>
      <c r="D2447" s="159">
        <v>44284.0</v>
      </c>
      <c r="E2447" s="157" t="s">
        <v>731</v>
      </c>
      <c r="F2447" s="168">
        <v>170013.27</v>
      </c>
      <c r="G2447" s="168">
        <v>27202.12</v>
      </c>
      <c r="H2447" s="160">
        <f t="shared" si="57"/>
        <v>197215.39</v>
      </c>
      <c r="I2447" s="160"/>
      <c r="J2447" s="161"/>
      <c r="K2447" s="160"/>
      <c r="L2447" s="160">
        <f>+'FACP$'!$H2447-'FACP$'!$I2447-'FACP$'!$K2447</f>
        <v>197215.39</v>
      </c>
      <c r="M2447" s="162" t="s">
        <v>158</v>
      </c>
      <c r="N2447" s="162" t="s">
        <v>554</v>
      </c>
      <c r="O2447" s="164">
        <v>44307.0</v>
      </c>
      <c r="P2447" s="164">
        <f t="shared" si="13"/>
        <v>44294</v>
      </c>
      <c r="Q2447" s="165">
        <f t="shared" si="2"/>
        <v>0</v>
      </c>
      <c r="R2447" s="167"/>
      <c r="S2447" s="167"/>
      <c r="T2447" s="168">
        <f t="shared" si="3"/>
        <v>197215.39</v>
      </c>
      <c r="U2447" s="168">
        <f t="shared" si="4"/>
        <v>0</v>
      </c>
      <c r="V2447" s="168">
        <f t="shared" si="5"/>
        <v>0</v>
      </c>
      <c r="W2447" s="168">
        <f t="shared" si="6"/>
        <v>0</v>
      </c>
      <c r="X2447" s="168">
        <f t="shared" si="7"/>
        <v>0</v>
      </c>
      <c r="Y2447" s="168">
        <f t="shared" si="8"/>
        <v>0</v>
      </c>
      <c r="Z2447" s="168">
        <f t="shared" si="9"/>
        <v>0</v>
      </c>
    </row>
    <row r="2448" ht="15.0" customHeight="1">
      <c r="A2448" s="157" t="s">
        <v>2732</v>
      </c>
      <c r="B2448" s="158" t="s">
        <v>27</v>
      </c>
      <c r="C2448" s="158" t="s">
        <v>2733</v>
      </c>
      <c r="D2448" s="159">
        <v>44284.0</v>
      </c>
      <c r="E2448" s="157" t="s">
        <v>731</v>
      </c>
      <c r="F2448" s="160">
        <v>110408.56</v>
      </c>
      <c r="G2448" s="168">
        <v>17665.37</v>
      </c>
      <c r="H2448" s="160">
        <f t="shared" si="57"/>
        <v>128073.93</v>
      </c>
      <c r="I2448" s="160"/>
      <c r="J2448" s="161"/>
      <c r="K2448" s="160"/>
      <c r="L2448" s="160">
        <f>+'FACP$'!$H2448-'FACP$'!$I2448-'FACP$'!$K2448</f>
        <v>128073.93</v>
      </c>
      <c r="M2448" s="162" t="s">
        <v>158</v>
      </c>
      <c r="N2448" s="162" t="s">
        <v>554</v>
      </c>
      <c r="O2448" s="164">
        <v>44307.0</v>
      </c>
      <c r="P2448" s="164">
        <f t="shared" si="13"/>
        <v>44294</v>
      </c>
      <c r="Q2448" s="165">
        <f t="shared" si="2"/>
        <v>0</v>
      </c>
      <c r="R2448" s="167"/>
      <c r="S2448" s="167"/>
      <c r="T2448" s="168">
        <f t="shared" si="3"/>
        <v>128073.93</v>
      </c>
      <c r="U2448" s="168">
        <f t="shared" si="4"/>
        <v>0</v>
      </c>
      <c r="V2448" s="168">
        <f t="shared" si="5"/>
        <v>0</v>
      </c>
      <c r="W2448" s="168">
        <f t="shared" si="6"/>
        <v>0</v>
      </c>
      <c r="X2448" s="168">
        <f t="shared" si="7"/>
        <v>0</v>
      </c>
      <c r="Y2448" s="168">
        <f t="shared" si="8"/>
        <v>0</v>
      </c>
      <c r="Z2448" s="168">
        <f t="shared" si="9"/>
        <v>0</v>
      </c>
    </row>
    <row r="2449" ht="15.0" customHeight="1">
      <c r="A2449" s="157" t="s">
        <v>2734</v>
      </c>
      <c r="B2449" s="158" t="s">
        <v>27</v>
      </c>
      <c r="C2449" s="158" t="s">
        <v>2733</v>
      </c>
      <c r="D2449" s="159">
        <v>44284.0</v>
      </c>
      <c r="E2449" s="157" t="s">
        <v>731</v>
      </c>
      <c r="F2449" s="168">
        <v>587673.32</v>
      </c>
      <c r="G2449" s="168">
        <v>94027.73</v>
      </c>
      <c r="H2449" s="160">
        <f t="shared" si="57"/>
        <v>681701.05</v>
      </c>
      <c r="I2449" s="160"/>
      <c r="J2449" s="161"/>
      <c r="K2449" s="160"/>
      <c r="L2449" s="160">
        <f>+'FACP$'!$H2449-'FACP$'!$I2449-'FACP$'!$K2449</f>
        <v>681701.05</v>
      </c>
      <c r="M2449" s="162" t="s">
        <v>151</v>
      </c>
      <c r="N2449" s="162" t="s">
        <v>554</v>
      </c>
      <c r="O2449" s="164">
        <v>44301.0</v>
      </c>
      <c r="P2449" s="164">
        <f t="shared" si="13"/>
        <v>44294</v>
      </c>
      <c r="Q2449" s="165">
        <f t="shared" si="2"/>
        <v>0</v>
      </c>
      <c r="R2449" s="167" t="s">
        <v>2735</v>
      </c>
      <c r="S2449" s="167"/>
      <c r="T2449" s="168">
        <f t="shared" si="3"/>
        <v>681701.05</v>
      </c>
      <c r="U2449" s="168">
        <f t="shared" si="4"/>
        <v>0</v>
      </c>
      <c r="V2449" s="168">
        <f t="shared" si="5"/>
        <v>0</v>
      </c>
      <c r="W2449" s="168">
        <f t="shared" si="6"/>
        <v>0</v>
      </c>
      <c r="X2449" s="168">
        <f t="shared" si="7"/>
        <v>0</v>
      </c>
      <c r="Y2449" s="168">
        <f t="shared" si="8"/>
        <v>0</v>
      </c>
      <c r="Z2449" s="168">
        <f t="shared" si="9"/>
        <v>0</v>
      </c>
    </row>
    <row r="2450" ht="15.0" customHeight="1">
      <c r="A2450" s="157" t="s">
        <v>2736</v>
      </c>
      <c r="B2450" s="158" t="s">
        <v>26</v>
      </c>
      <c r="C2450" s="158" t="s">
        <v>2708</v>
      </c>
      <c r="D2450" s="159">
        <v>44284.0</v>
      </c>
      <c r="E2450" s="157" t="s">
        <v>731</v>
      </c>
      <c r="F2450" s="168">
        <v>65867.75</v>
      </c>
      <c r="G2450" s="168">
        <v>10538.84</v>
      </c>
      <c r="H2450" s="160">
        <f t="shared" si="57"/>
        <v>76406.59</v>
      </c>
      <c r="I2450" s="160"/>
      <c r="J2450" s="161"/>
      <c r="K2450" s="160"/>
      <c r="L2450" s="160">
        <f>+'FACP$'!$H2450-'FACP$'!$I2450-'FACP$'!$K2450</f>
        <v>76406.59</v>
      </c>
      <c r="M2450" s="162" t="s">
        <v>2386</v>
      </c>
      <c r="N2450" s="162" t="s">
        <v>554</v>
      </c>
      <c r="O2450" s="164">
        <v>44329.0</v>
      </c>
      <c r="P2450" s="164">
        <f t="shared" si="13"/>
        <v>44294</v>
      </c>
      <c r="Q2450" s="165">
        <f t="shared" si="2"/>
        <v>0</v>
      </c>
      <c r="R2450" s="167"/>
      <c r="S2450" s="167"/>
      <c r="T2450" s="168">
        <f t="shared" si="3"/>
        <v>76406.59</v>
      </c>
      <c r="U2450" s="168">
        <f t="shared" si="4"/>
        <v>0</v>
      </c>
      <c r="V2450" s="168">
        <f t="shared" si="5"/>
        <v>0</v>
      </c>
      <c r="W2450" s="168">
        <f t="shared" si="6"/>
        <v>0</v>
      </c>
      <c r="X2450" s="168">
        <f t="shared" si="7"/>
        <v>0</v>
      </c>
      <c r="Y2450" s="168">
        <f t="shared" si="8"/>
        <v>0</v>
      </c>
      <c r="Z2450" s="168">
        <f t="shared" si="9"/>
        <v>0</v>
      </c>
    </row>
    <row r="2451" ht="15.0" customHeight="1">
      <c r="A2451" s="157" t="s">
        <v>2737</v>
      </c>
      <c r="B2451" s="158" t="s">
        <v>35</v>
      </c>
      <c r="C2451" s="158" t="s">
        <v>2388</v>
      </c>
      <c r="D2451" s="159">
        <v>44285.0</v>
      </c>
      <c r="E2451" s="157" t="s">
        <v>731</v>
      </c>
      <c r="F2451" s="160">
        <v>482940.05</v>
      </c>
      <c r="G2451" s="160">
        <v>77270.41</v>
      </c>
      <c r="H2451" s="160">
        <f t="shared" si="57"/>
        <v>560210.46</v>
      </c>
      <c r="I2451" s="160"/>
      <c r="J2451" s="161"/>
      <c r="K2451" s="160"/>
      <c r="L2451" s="160">
        <f>+'FACP$'!$H2451-'FACP$'!$I2451-'FACP$'!$K2451</f>
        <v>560210.46</v>
      </c>
      <c r="M2451" s="162" t="s">
        <v>276</v>
      </c>
      <c r="N2451" s="162" t="s">
        <v>127</v>
      </c>
      <c r="O2451" s="164"/>
      <c r="P2451" s="164">
        <f t="shared" si="13"/>
        <v>44295</v>
      </c>
      <c r="Q2451" s="165">
        <f t="shared" si="2"/>
        <v>0</v>
      </c>
      <c r="R2451" s="167" t="s">
        <v>2738</v>
      </c>
      <c r="S2451" s="167"/>
      <c r="T2451" s="168">
        <f t="shared" si="3"/>
        <v>560210.46</v>
      </c>
      <c r="U2451" s="168">
        <f t="shared" si="4"/>
        <v>0</v>
      </c>
      <c r="V2451" s="168">
        <f t="shared" si="5"/>
        <v>0</v>
      </c>
      <c r="W2451" s="168">
        <f t="shared" si="6"/>
        <v>0</v>
      </c>
      <c r="X2451" s="168">
        <f t="shared" si="7"/>
        <v>0</v>
      </c>
      <c r="Y2451" s="168">
        <f t="shared" si="8"/>
        <v>0</v>
      </c>
      <c r="Z2451" s="168">
        <f t="shared" si="9"/>
        <v>0</v>
      </c>
    </row>
    <row r="2452" ht="15.0" customHeight="1">
      <c r="A2452" s="157" t="s">
        <v>2739</v>
      </c>
      <c r="B2452" s="158" t="s">
        <v>35</v>
      </c>
      <c r="C2452" s="158" t="s">
        <v>2388</v>
      </c>
      <c r="D2452" s="159">
        <v>44286.0</v>
      </c>
      <c r="E2452" s="157" t="s">
        <v>731</v>
      </c>
      <c r="F2452" s="160">
        <v>482940.05</v>
      </c>
      <c r="G2452" s="160">
        <v>77270.41</v>
      </c>
      <c r="H2452" s="160">
        <f t="shared" si="57"/>
        <v>560210.46</v>
      </c>
      <c r="I2452" s="160"/>
      <c r="J2452" s="161"/>
      <c r="K2452" s="160"/>
      <c r="L2452" s="160">
        <f>+'FACP$'!$H2452-'FACP$'!$I2452-'FACP$'!$K2452</f>
        <v>560210.46</v>
      </c>
      <c r="M2452" s="162" t="s">
        <v>276</v>
      </c>
      <c r="N2452" s="162" t="s">
        <v>554</v>
      </c>
      <c r="O2452" s="164">
        <v>44237.0</v>
      </c>
      <c r="P2452" s="164">
        <f t="shared" si="13"/>
        <v>44296</v>
      </c>
      <c r="Q2452" s="165">
        <f t="shared" si="2"/>
        <v>0</v>
      </c>
      <c r="R2452" s="167"/>
      <c r="S2452" s="167"/>
      <c r="T2452" s="168">
        <f t="shared" si="3"/>
        <v>560210.46</v>
      </c>
      <c r="U2452" s="168">
        <f t="shared" si="4"/>
        <v>0</v>
      </c>
      <c r="V2452" s="168">
        <f t="shared" si="5"/>
        <v>0</v>
      </c>
      <c r="W2452" s="168">
        <f t="shared" si="6"/>
        <v>0</v>
      </c>
      <c r="X2452" s="168">
        <f t="shared" si="7"/>
        <v>0</v>
      </c>
      <c r="Y2452" s="168">
        <f t="shared" si="8"/>
        <v>0</v>
      </c>
      <c r="Z2452" s="168">
        <f t="shared" si="9"/>
        <v>0</v>
      </c>
    </row>
    <row r="2453" ht="15.0" customHeight="1">
      <c r="A2453" s="157" t="s">
        <v>2740</v>
      </c>
      <c r="B2453" s="158" t="s">
        <v>127</v>
      </c>
      <c r="C2453" s="158"/>
      <c r="D2453" s="159"/>
      <c r="E2453" s="157"/>
      <c r="F2453" s="160"/>
      <c r="G2453" s="160"/>
      <c r="H2453" s="160">
        <f t="shared" si="57"/>
        <v>0</v>
      </c>
      <c r="I2453" s="160"/>
      <c r="J2453" s="161"/>
      <c r="K2453" s="160"/>
      <c r="L2453" s="160">
        <f>+'FACP$'!$H2453-'FACP$'!$I2453-'FACP$'!$K2453</f>
        <v>0</v>
      </c>
      <c r="M2453" s="162"/>
      <c r="N2453" s="162" t="s">
        <v>127</v>
      </c>
      <c r="O2453" s="164"/>
      <c r="P2453" s="164">
        <f t="shared" si="13"/>
        <v>10</v>
      </c>
      <c r="Q2453" s="165">
        <f t="shared" si="2"/>
        <v>0</v>
      </c>
      <c r="R2453" s="167"/>
      <c r="S2453" s="167"/>
      <c r="T2453" s="168">
        <f t="shared" si="3"/>
        <v>0</v>
      </c>
      <c r="U2453" s="168">
        <f t="shared" si="4"/>
        <v>0</v>
      </c>
      <c r="V2453" s="168">
        <f t="shared" si="5"/>
        <v>0</v>
      </c>
      <c r="W2453" s="168">
        <f t="shared" si="6"/>
        <v>0</v>
      </c>
      <c r="X2453" s="168">
        <f t="shared" si="7"/>
        <v>0</v>
      </c>
      <c r="Y2453" s="168">
        <f t="shared" si="8"/>
        <v>0</v>
      </c>
      <c r="Z2453" s="168">
        <f t="shared" si="9"/>
        <v>0</v>
      </c>
    </row>
    <row r="2454" ht="15.0" customHeight="1">
      <c r="A2454" s="157" t="s">
        <v>2741</v>
      </c>
      <c r="B2454" s="158" t="s">
        <v>27</v>
      </c>
      <c r="C2454" s="158" t="s">
        <v>2742</v>
      </c>
      <c r="D2454" s="159">
        <v>44286.0</v>
      </c>
      <c r="E2454" s="157" t="s">
        <v>731</v>
      </c>
      <c r="F2454" s="168">
        <v>3395.03</v>
      </c>
      <c r="G2454" s="160">
        <v>543.2</v>
      </c>
      <c r="H2454" s="160">
        <f t="shared" si="57"/>
        <v>3938.23</v>
      </c>
      <c r="I2454" s="160"/>
      <c r="J2454" s="161"/>
      <c r="K2454" s="160"/>
      <c r="L2454" s="160">
        <f>+'FACP$'!$H2454-'FACP$'!$I2454-'FACP$'!$K2454</f>
        <v>3938.23</v>
      </c>
      <c r="M2454" s="162" t="s">
        <v>158</v>
      </c>
      <c r="N2454" s="162" t="s">
        <v>554</v>
      </c>
      <c r="O2454" s="164">
        <v>44307.0</v>
      </c>
      <c r="P2454" s="164">
        <f t="shared" si="13"/>
        <v>44296</v>
      </c>
      <c r="Q2454" s="165">
        <f t="shared" si="2"/>
        <v>0</v>
      </c>
      <c r="R2454" s="167"/>
      <c r="S2454" s="167"/>
      <c r="T2454" s="168">
        <f t="shared" si="3"/>
        <v>3938.23</v>
      </c>
      <c r="U2454" s="168">
        <f t="shared" si="4"/>
        <v>0</v>
      </c>
      <c r="V2454" s="168">
        <f t="shared" si="5"/>
        <v>0</v>
      </c>
      <c r="W2454" s="168">
        <f t="shared" si="6"/>
        <v>0</v>
      </c>
      <c r="X2454" s="168">
        <f t="shared" si="7"/>
        <v>0</v>
      </c>
      <c r="Y2454" s="168">
        <f t="shared" si="8"/>
        <v>0</v>
      </c>
      <c r="Z2454" s="168">
        <f t="shared" si="9"/>
        <v>0</v>
      </c>
    </row>
    <row r="2455" ht="15.0" customHeight="1">
      <c r="A2455" s="157" t="s">
        <v>2743</v>
      </c>
      <c r="B2455" s="158" t="s">
        <v>27</v>
      </c>
      <c r="C2455" s="158" t="s">
        <v>2744</v>
      </c>
      <c r="D2455" s="159">
        <v>44286.0</v>
      </c>
      <c r="E2455" s="157" t="s">
        <v>731</v>
      </c>
      <c r="F2455" s="168">
        <v>2418.3</v>
      </c>
      <c r="G2455" s="168">
        <v>386.93</v>
      </c>
      <c r="H2455" s="160">
        <f t="shared" si="57"/>
        <v>2805.23</v>
      </c>
      <c r="I2455" s="160"/>
      <c r="J2455" s="161"/>
      <c r="K2455" s="160"/>
      <c r="L2455" s="160">
        <f>+'FACP$'!$H2455-'FACP$'!$I2455-'FACP$'!$K2455</f>
        <v>2805.23</v>
      </c>
      <c r="M2455" s="162" t="s">
        <v>158</v>
      </c>
      <c r="N2455" s="162" t="s">
        <v>554</v>
      </c>
      <c r="O2455" s="164">
        <v>44307.0</v>
      </c>
      <c r="P2455" s="164">
        <f t="shared" si="13"/>
        <v>44296</v>
      </c>
      <c r="Q2455" s="165">
        <f t="shared" si="2"/>
        <v>0</v>
      </c>
      <c r="R2455" s="167"/>
      <c r="S2455" s="167"/>
      <c r="T2455" s="168">
        <f t="shared" si="3"/>
        <v>2805.23</v>
      </c>
      <c r="U2455" s="168">
        <f t="shared" si="4"/>
        <v>0</v>
      </c>
      <c r="V2455" s="168">
        <f t="shared" si="5"/>
        <v>0</v>
      </c>
      <c r="W2455" s="168">
        <f t="shared" si="6"/>
        <v>0</v>
      </c>
      <c r="X2455" s="168">
        <f t="shared" si="7"/>
        <v>0</v>
      </c>
      <c r="Y2455" s="168">
        <f t="shared" si="8"/>
        <v>0</v>
      </c>
      <c r="Z2455" s="168">
        <f t="shared" si="9"/>
        <v>0</v>
      </c>
    </row>
    <row r="2456" ht="15.0" customHeight="1">
      <c r="A2456" s="157" t="s">
        <v>2745</v>
      </c>
      <c r="B2456" s="158" t="s">
        <v>27</v>
      </c>
      <c r="C2456" s="158" t="s">
        <v>2742</v>
      </c>
      <c r="D2456" s="159">
        <v>44286.0</v>
      </c>
      <c r="E2456" s="157" t="s">
        <v>731</v>
      </c>
      <c r="F2456" s="168">
        <v>15623.89</v>
      </c>
      <c r="G2456" s="168">
        <v>2499.82</v>
      </c>
      <c r="H2456" s="160">
        <f t="shared" si="57"/>
        <v>18123.71</v>
      </c>
      <c r="I2456" s="160"/>
      <c r="J2456" s="161"/>
      <c r="K2456" s="160"/>
      <c r="L2456" s="160">
        <f>+'FACP$'!$H2456-'FACP$'!$I2456-'FACP$'!$K2456</f>
        <v>18123.71</v>
      </c>
      <c r="M2456" s="162" t="s">
        <v>151</v>
      </c>
      <c r="N2456" s="162" t="s">
        <v>554</v>
      </c>
      <c r="O2456" s="164">
        <v>44307.0</v>
      </c>
      <c r="P2456" s="164">
        <f t="shared" si="13"/>
        <v>44296</v>
      </c>
      <c r="Q2456" s="165">
        <f t="shared" si="2"/>
        <v>0</v>
      </c>
      <c r="R2456" s="167"/>
      <c r="S2456" s="167"/>
      <c r="T2456" s="168">
        <f t="shared" si="3"/>
        <v>18123.71</v>
      </c>
      <c r="U2456" s="168">
        <f t="shared" si="4"/>
        <v>0</v>
      </c>
      <c r="V2456" s="168">
        <f t="shared" si="5"/>
        <v>0</v>
      </c>
      <c r="W2456" s="168">
        <f t="shared" si="6"/>
        <v>0</v>
      </c>
      <c r="X2456" s="168">
        <f t="shared" si="7"/>
        <v>0</v>
      </c>
      <c r="Y2456" s="168">
        <f t="shared" si="8"/>
        <v>0</v>
      </c>
      <c r="Z2456" s="168">
        <f t="shared" si="9"/>
        <v>0</v>
      </c>
    </row>
    <row r="2457" ht="15.0" customHeight="1">
      <c r="A2457" s="157" t="s">
        <v>2746</v>
      </c>
      <c r="B2457" s="158" t="s">
        <v>27</v>
      </c>
      <c r="C2457" s="158" t="s">
        <v>2744</v>
      </c>
      <c r="D2457" s="159">
        <v>44286.0</v>
      </c>
      <c r="E2457" s="157" t="s">
        <v>731</v>
      </c>
      <c r="F2457" s="168">
        <v>13378.56</v>
      </c>
      <c r="G2457" s="168">
        <v>2140.57</v>
      </c>
      <c r="H2457" s="160">
        <f t="shared" si="57"/>
        <v>15519.13</v>
      </c>
      <c r="I2457" s="160"/>
      <c r="J2457" s="161"/>
      <c r="K2457" s="160"/>
      <c r="L2457" s="160">
        <f>+'FACP$'!$H2457-'FACP$'!$I2457-'FACP$'!$K2457</f>
        <v>15519.13</v>
      </c>
      <c r="M2457" s="162" t="s">
        <v>151</v>
      </c>
      <c r="N2457" s="162" t="s">
        <v>554</v>
      </c>
      <c r="O2457" s="164">
        <v>44307.0</v>
      </c>
      <c r="P2457" s="164">
        <f t="shared" si="13"/>
        <v>44296</v>
      </c>
      <c r="Q2457" s="165">
        <f t="shared" si="2"/>
        <v>0</v>
      </c>
      <c r="R2457" s="167"/>
      <c r="S2457" s="167"/>
      <c r="T2457" s="168">
        <f t="shared" si="3"/>
        <v>15519.13</v>
      </c>
      <c r="U2457" s="168">
        <f t="shared" si="4"/>
        <v>0</v>
      </c>
      <c r="V2457" s="168">
        <f t="shared" si="5"/>
        <v>0</v>
      </c>
      <c r="W2457" s="168">
        <f t="shared" si="6"/>
        <v>0</v>
      </c>
      <c r="X2457" s="168">
        <f t="shared" si="7"/>
        <v>0</v>
      </c>
      <c r="Y2457" s="168">
        <f t="shared" si="8"/>
        <v>0</v>
      </c>
      <c r="Z2457" s="168">
        <f t="shared" si="9"/>
        <v>0</v>
      </c>
    </row>
    <row r="2458" ht="15.0" customHeight="1">
      <c r="A2458" s="157" t="s">
        <v>2747</v>
      </c>
      <c r="B2458" s="158" t="s">
        <v>27</v>
      </c>
      <c r="C2458" s="158" t="s">
        <v>2748</v>
      </c>
      <c r="D2458" s="159">
        <v>44286.0</v>
      </c>
      <c r="E2458" s="157" t="s">
        <v>731</v>
      </c>
      <c r="F2458" s="160">
        <v>305.42</v>
      </c>
      <c r="G2458" s="168">
        <v>48.87</v>
      </c>
      <c r="H2458" s="160">
        <f t="shared" si="57"/>
        <v>354.29</v>
      </c>
      <c r="I2458" s="160"/>
      <c r="J2458" s="161"/>
      <c r="K2458" s="160"/>
      <c r="L2458" s="160">
        <f>+'FACP$'!$H2458-'FACP$'!$I2458-'FACP$'!$K2458</f>
        <v>354.29</v>
      </c>
      <c r="M2458" s="162" t="s">
        <v>151</v>
      </c>
      <c r="N2458" s="162" t="s">
        <v>554</v>
      </c>
      <c r="O2458" s="164">
        <v>44307.0</v>
      </c>
      <c r="P2458" s="164">
        <f t="shared" si="13"/>
        <v>44296</v>
      </c>
      <c r="Q2458" s="165">
        <f t="shared" si="2"/>
        <v>0</v>
      </c>
      <c r="R2458" s="167"/>
      <c r="S2458" s="167"/>
      <c r="T2458" s="168">
        <f t="shared" si="3"/>
        <v>354.29</v>
      </c>
      <c r="U2458" s="168">
        <f t="shared" si="4"/>
        <v>0</v>
      </c>
      <c r="V2458" s="168">
        <f t="shared" si="5"/>
        <v>0</v>
      </c>
      <c r="W2458" s="168">
        <f t="shared" si="6"/>
        <v>0</v>
      </c>
      <c r="X2458" s="168">
        <f t="shared" si="7"/>
        <v>0</v>
      </c>
      <c r="Y2458" s="168">
        <f t="shared" si="8"/>
        <v>0</v>
      </c>
      <c r="Z2458" s="168">
        <f t="shared" si="9"/>
        <v>0</v>
      </c>
    </row>
    <row r="2459" ht="15.0" customHeight="1">
      <c r="A2459" s="157" t="s">
        <v>2749</v>
      </c>
      <c r="B2459" s="158" t="s">
        <v>27</v>
      </c>
      <c r="C2459" s="241" t="s">
        <v>2750</v>
      </c>
      <c r="D2459" s="159">
        <v>44286.0</v>
      </c>
      <c r="E2459" s="157" t="s">
        <v>731</v>
      </c>
      <c r="F2459" s="160">
        <v>260.35</v>
      </c>
      <c r="G2459" s="167">
        <v>41.66</v>
      </c>
      <c r="H2459" s="160">
        <f t="shared" si="57"/>
        <v>302.01</v>
      </c>
      <c r="I2459" s="160"/>
      <c r="J2459" s="161"/>
      <c r="K2459" s="160"/>
      <c r="L2459" s="160">
        <f>+'FACP$'!$H2459-'FACP$'!$I2459-'FACP$'!$K2459</f>
        <v>302.01</v>
      </c>
      <c r="M2459" s="162" t="s">
        <v>151</v>
      </c>
      <c r="N2459" s="162" t="s">
        <v>554</v>
      </c>
      <c r="O2459" s="164">
        <v>44307.0</v>
      </c>
      <c r="P2459" s="164">
        <f t="shared" si="13"/>
        <v>44296</v>
      </c>
      <c r="Q2459" s="165">
        <f t="shared" si="2"/>
        <v>0</v>
      </c>
      <c r="R2459" s="167" t="s">
        <v>2751</v>
      </c>
      <c r="S2459" s="167"/>
      <c r="T2459" s="168">
        <f t="shared" si="3"/>
        <v>302.01</v>
      </c>
      <c r="U2459" s="168">
        <f t="shared" si="4"/>
        <v>0</v>
      </c>
      <c r="V2459" s="168">
        <f t="shared" si="5"/>
        <v>0</v>
      </c>
      <c r="W2459" s="168">
        <f t="shared" si="6"/>
        <v>0</v>
      </c>
      <c r="X2459" s="168">
        <f t="shared" si="7"/>
        <v>0</v>
      </c>
      <c r="Y2459" s="168">
        <f t="shared" si="8"/>
        <v>0</v>
      </c>
      <c r="Z2459" s="168">
        <f t="shared" si="9"/>
        <v>0</v>
      </c>
    </row>
    <row r="2460" ht="15.0" customHeight="1">
      <c r="A2460" s="157" t="s">
        <v>2752</v>
      </c>
      <c r="B2460" s="158" t="s">
        <v>27</v>
      </c>
      <c r="C2460" s="158" t="s">
        <v>2753</v>
      </c>
      <c r="D2460" s="159">
        <v>44286.0</v>
      </c>
      <c r="E2460" s="157" t="s">
        <v>731</v>
      </c>
      <c r="F2460" s="168">
        <v>54696.89</v>
      </c>
      <c r="G2460" s="168">
        <v>8751.5</v>
      </c>
      <c r="H2460" s="160">
        <f t="shared" si="57"/>
        <v>63448.39</v>
      </c>
      <c r="I2460" s="160"/>
      <c r="J2460" s="161"/>
      <c r="K2460" s="160"/>
      <c r="L2460" s="160">
        <f>+'FACP$'!$H2460-'FACP$'!$I2460-'FACP$'!$K2460</f>
        <v>63448.39</v>
      </c>
      <c r="M2460" s="162" t="s">
        <v>151</v>
      </c>
      <c r="N2460" s="162" t="s">
        <v>554</v>
      </c>
      <c r="O2460" s="164">
        <v>44307.0</v>
      </c>
      <c r="P2460" s="164">
        <f t="shared" si="13"/>
        <v>44296</v>
      </c>
      <c r="Q2460" s="165">
        <f t="shared" si="2"/>
        <v>0</v>
      </c>
      <c r="R2460" s="167"/>
      <c r="S2460" s="167"/>
      <c r="T2460" s="168">
        <f t="shared" si="3"/>
        <v>63448.39</v>
      </c>
      <c r="U2460" s="168">
        <f t="shared" si="4"/>
        <v>0</v>
      </c>
      <c r="V2460" s="168">
        <f t="shared" si="5"/>
        <v>0</v>
      </c>
      <c r="W2460" s="168">
        <f t="shared" si="6"/>
        <v>0</v>
      </c>
      <c r="X2460" s="168">
        <f t="shared" si="7"/>
        <v>0</v>
      </c>
      <c r="Y2460" s="168">
        <f t="shared" si="8"/>
        <v>0</v>
      </c>
      <c r="Z2460" s="168">
        <f t="shared" si="9"/>
        <v>0</v>
      </c>
    </row>
    <row r="2461" ht="15.0" customHeight="1">
      <c r="A2461" s="157" t="s">
        <v>2754</v>
      </c>
      <c r="B2461" s="158" t="s">
        <v>27</v>
      </c>
      <c r="C2461" s="158" t="s">
        <v>2755</v>
      </c>
      <c r="D2461" s="159">
        <v>44286.0</v>
      </c>
      <c r="E2461" s="157" t="s">
        <v>731</v>
      </c>
      <c r="F2461" s="168">
        <v>46663.06</v>
      </c>
      <c r="G2461" s="168">
        <v>7466.09</v>
      </c>
      <c r="H2461" s="160">
        <f t="shared" si="57"/>
        <v>54129.15</v>
      </c>
      <c r="I2461" s="160"/>
      <c r="J2461" s="161"/>
      <c r="K2461" s="160"/>
      <c r="L2461" s="160">
        <f>+'FACP$'!$H2461-'FACP$'!$I2461-'FACP$'!$K2461</f>
        <v>54129.15</v>
      </c>
      <c r="M2461" s="162" t="s">
        <v>151</v>
      </c>
      <c r="N2461" s="162" t="s">
        <v>554</v>
      </c>
      <c r="O2461" s="164">
        <v>44307.0</v>
      </c>
      <c r="P2461" s="164">
        <f t="shared" si="13"/>
        <v>44296</v>
      </c>
      <c r="Q2461" s="165">
        <f t="shared" si="2"/>
        <v>0</v>
      </c>
      <c r="R2461" s="167"/>
      <c r="S2461" s="167"/>
      <c r="T2461" s="168">
        <f t="shared" si="3"/>
        <v>54129.15</v>
      </c>
      <c r="U2461" s="168">
        <f t="shared" si="4"/>
        <v>0</v>
      </c>
      <c r="V2461" s="168">
        <f t="shared" si="5"/>
        <v>0</v>
      </c>
      <c r="W2461" s="168">
        <f t="shared" si="6"/>
        <v>0</v>
      </c>
      <c r="X2461" s="168">
        <f t="shared" si="7"/>
        <v>0</v>
      </c>
      <c r="Y2461" s="168">
        <f t="shared" si="8"/>
        <v>0</v>
      </c>
      <c r="Z2461" s="168">
        <f t="shared" si="9"/>
        <v>0</v>
      </c>
    </row>
    <row r="2462" ht="15.0" customHeight="1">
      <c r="A2462" s="157" t="s">
        <v>2756</v>
      </c>
      <c r="B2462" s="158" t="s">
        <v>27</v>
      </c>
      <c r="C2462" s="158" t="s">
        <v>2757</v>
      </c>
      <c r="D2462" s="159">
        <v>44286.0</v>
      </c>
      <c r="E2462" s="157" t="s">
        <v>731</v>
      </c>
      <c r="F2462" s="160">
        <v>1577.26</v>
      </c>
      <c r="G2462" s="168">
        <v>252.36</v>
      </c>
      <c r="H2462" s="160">
        <f>F2462+G2462-1829.62</f>
        <v>0</v>
      </c>
      <c r="I2462" s="160"/>
      <c r="J2462" s="161"/>
      <c r="K2462" s="160"/>
      <c r="L2462" s="160">
        <f>+'FACP$'!$H2462-'FACP$'!$I2462-'FACP$'!$K2462</f>
        <v>0</v>
      </c>
      <c r="M2462" s="162" t="s">
        <v>151</v>
      </c>
      <c r="N2462" s="162" t="s">
        <v>554</v>
      </c>
      <c r="O2462" s="164">
        <v>44468.0</v>
      </c>
      <c r="P2462" s="164">
        <f t="shared" si="13"/>
        <v>44296</v>
      </c>
      <c r="Q2462" s="165">
        <f t="shared" si="2"/>
        <v>0</v>
      </c>
      <c r="R2462" s="220" t="s">
        <v>2758</v>
      </c>
      <c r="S2462" s="167"/>
      <c r="T2462" s="168">
        <f t="shared" si="3"/>
        <v>0</v>
      </c>
      <c r="U2462" s="168">
        <f t="shared" si="4"/>
        <v>0</v>
      </c>
      <c r="V2462" s="168">
        <f t="shared" si="5"/>
        <v>0</v>
      </c>
      <c r="W2462" s="168">
        <f t="shared" si="6"/>
        <v>0</v>
      </c>
      <c r="X2462" s="168">
        <f t="shared" si="7"/>
        <v>0</v>
      </c>
      <c r="Y2462" s="168">
        <f t="shared" si="8"/>
        <v>0</v>
      </c>
      <c r="Z2462" s="168">
        <f t="shared" si="9"/>
        <v>0</v>
      </c>
    </row>
    <row r="2463" ht="15.0" customHeight="1">
      <c r="A2463" s="157" t="s">
        <v>2759</v>
      </c>
      <c r="B2463" s="228" t="s">
        <v>27</v>
      </c>
      <c r="C2463" s="228" t="s">
        <v>2760</v>
      </c>
      <c r="D2463" s="229">
        <v>44286.0</v>
      </c>
      <c r="E2463" s="230" t="s">
        <v>731</v>
      </c>
      <c r="F2463" s="242">
        <v>10465.47</v>
      </c>
      <c r="G2463" s="242">
        <v>1674.48</v>
      </c>
      <c r="H2463" s="160">
        <f>F2463+G2463-'NCP$'!H78</f>
        <v>1491.78</v>
      </c>
      <c r="I2463" s="231"/>
      <c r="J2463" s="232"/>
      <c r="K2463" s="231"/>
      <c r="L2463" s="231">
        <f>+'FACP$'!$H2463-'FACP$'!$I2463-'FACP$'!$K2463</f>
        <v>1491.78</v>
      </c>
      <c r="M2463" s="233" t="s">
        <v>151</v>
      </c>
      <c r="N2463" s="233" t="s">
        <v>554</v>
      </c>
      <c r="O2463" s="235">
        <v>44307.0</v>
      </c>
      <c r="P2463" s="235">
        <f t="shared" si="13"/>
        <v>44296</v>
      </c>
      <c r="Q2463" s="236">
        <f t="shared" si="2"/>
        <v>0</v>
      </c>
      <c r="R2463" s="237" t="s">
        <v>2761</v>
      </c>
      <c r="S2463" s="237"/>
      <c r="T2463" s="168">
        <f t="shared" si="3"/>
        <v>1491.78</v>
      </c>
      <c r="U2463" s="168">
        <f t="shared" si="4"/>
        <v>0</v>
      </c>
      <c r="V2463" s="168">
        <f t="shared" si="5"/>
        <v>0</v>
      </c>
      <c r="W2463" s="168">
        <f t="shared" si="6"/>
        <v>0</v>
      </c>
      <c r="X2463" s="168">
        <f t="shared" si="7"/>
        <v>0</v>
      </c>
      <c r="Y2463" s="168">
        <f t="shared" si="8"/>
        <v>0</v>
      </c>
      <c r="Z2463" s="168">
        <f t="shared" si="9"/>
        <v>0</v>
      </c>
    </row>
    <row r="2464" ht="15.0" customHeight="1">
      <c r="A2464" s="157" t="s">
        <v>2762</v>
      </c>
      <c r="B2464" s="158" t="s">
        <v>27</v>
      </c>
      <c r="C2464" s="158" t="s">
        <v>2763</v>
      </c>
      <c r="D2464" s="159">
        <v>44286.0</v>
      </c>
      <c r="E2464" s="157" t="s">
        <v>731</v>
      </c>
      <c r="F2464" s="168">
        <v>777339.18</v>
      </c>
      <c r="G2464" s="168">
        <v>124374.27</v>
      </c>
      <c r="H2464" s="160">
        <f t="shared" ref="H2464:H2536" si="58">F2464+G2464</f>
        <v>901713.45</v>
      </c>
      <c r="I2464" s="160"/>
      <c r="J2464" s="161"/>
      <c r="K2464" s="160"/>
      <c r="L2464" s="160">
        <f>+'FACP$'!$H2464-'FACP$'!$I2464-'FACP$'!$K2464</f>
        <v>901713.45</v>
      </c>
      <c r="M2464" s="162" t="s">
        <v>151</v>
      </c>
      <c r="N2464" s="162" t="s">
        <v>554</v>
      </c>
      <c r="O2464" s="164">
        <v>44316.0</v>
      </c>
      <c r="P2464" s="164">
        <f t="shared" si="13"/>
        <v>44296</v>
      </c>
      <c r="Q2464" s="165">
        <f t="shared" si="2"/>
        <v>0</v>
      </c>
      <c r="R2464" s="220" t="s">
        <v>2735</v>
      </c>
      <c r="S2464" s="167"/>
      <c r="T2464" s="168">
        <f t="shared" si="3"/>
        <v>901713.45</v>
      </c>
      <c r="U2464" s="168">
        <f t="shared" si="4"/>
        <v>0</v>
      </c>
      <c r="V2464" s="168">
        <f t="shared" si="5"/>
        <v>0</v>
      </c>
      <c r="W2464" s="168">
        <f t="shared" si="6"/>
        <v>0</v>
      </c>
      <c r="X2464" s="168">
        <f t="shared" si="7"/>
        <v>0</v>
      </c>
      <c r="Y2464" s="168">
        <f t="shared" si="8"/>
        <v>0</v>
      </c>
      <c r="Z2464" s="168">
        <f t="shared" si="9"/>
        <v>0</v>
      </c>
    </row>
    <row r="2465" ht="15.0" customHeight="1">
      <c r="A2465" s="157" t="s">
        <v>2764</v>
      </c>
      <c r="B2465" s="158" t="s">
        <v>27</v>
      </c>
      <c r="C2465" s="158" t="s">
        <v>2765</v>
      </c>
      <c r="D2465" s="159">
        <v>44286.0</v>
      </c>
      <c r="E2465" s="157" t="s">
        <v>731</v>
      </c>
      <c r="F2465" s="160">
        <v>580212.47</v>
      </c>
      <c r="G2465" s="168">
        <v>92834.0</v>
      </c>
      <c r="H2465" s="160">
        <f t="shared" si="58"/>
        <v>673046.47</v>
      </c>
      <c r="I2465" s="160"/>
      <c r="J2465" s="161"/>
      <c r="K2465" s="160"/>
      <c r="L2465" s="160">
        <f>+'FACP$'!$H2465-'FACP$'!$I2465-'FACP$'!$K2465</f>
        <v>673046.47</v>
      </c>
      <c r="M2465" s="162" t="s">
        <v>151</v>
      </c>
      <c r="N2465" s="162" t="s">
        <v>554</v>
      </c>
      <c r="O2465" s="164">
        <v>44321.0</v>
      </c>
      <c r="P2465" s="164">
        <f t="shared" si="13"/>
        <v>44296</v>
      </c>
      <c r="Q2465" s="165">
        <f t="shared" si="2"/>
        <v>0</v>
      </c>
      <c r="R2465" s="167" t="s">
        <v>2735</v>
      </c>
      <c r="S2465" s="167"/>
      <c r="T2465" s="168">
        <f t="shared" si="3"/>
        <v>673046.47</v>
      </c>
      <c r="U2465" s="168">
        <f t="shared" si="4"/>
        <v>0</v>
      </c>
      <c r="V2465" s="168">
        <f t="shared" si="5"/>
        <v>0</v>
      </c>
      <c r="W2465" s="168">
        <f t="shared" si="6"/>
        <v>0</v>
      </c>
      <c r="X2465" s="168">
        <f t="shared" si="7"/>
        <v>0</v>
      </c>
      <c r="Y2465" s="168">
        <f t="shared" si="8"/>
        <v>0</v>
      </c>
      <c r="Z2465" s="168">
        <f t="shared" si="9"/>
        <v>0</v>
      </c>
    </row>
    <row r="2466" ht="15.0" customHeight="1">
      <c r="A2466" s="157" t="s">
        <v>2766</v>
      </c>
      <c r="B2466" s="158" t="s">
        <v>27</v>
      </c>
      <c r="C2466" s="158" t="s">
        <v>2767</v>
      </c>
      <c r="D2466" s="159">
        <v>44286.0</v>
      </c>
      <c r="E2466" s="157" t="s">
        <v>731</v>
      </c>
      <c r="F2466" s="160">
        <v>33506.19</v>
      </c>
      <c r="G2466" s="168">
        <v>5360.99</v>
      </c>
      <c r="H2466" s="160">
        <f t="shared" si="58"/>
        <v>38867.18</v>
      </c>
      <c r="I2466" s="160"/>
      <c r="J2466" s="161"/>
      <c r="K2466" s="160"/>
      <c r="L2466" s="160">
        <f>+'FACP$'!$H2466-'FACP$'!$I2466-'FACP$'!$K2466</f>
        <v>38867.18</v>
      </c>
      <c r="M2466" s="162" t="s">
        <v>151</v>
      </c>
      <c r="N2466" s="162" t="s">
        <v>554</v>
      </c>
      <c r="O2466" s="164">
        <v>44321.0</v>
      </c>
      <c r="P2466" s="164">
        <f t="shared" si="13"/>
        <v>44296</v>
      </c>
      <c r="Q2466" s="165">
        <f t="shared" si="2"/>
        <v>0</v>
      </c>
      <c r="R2466" s="167" t="s">
        <v>2735</v>
      </c>
      <c r="S2466" s="167"/>
      <c r="T2466" s="168">
        <f t="shared" si="3"/>
        <v>38867.18</v>
      </c>
      <c r="U2466" s="168">
        <f t="shared" si="4"/>
        <v>0</v>
      </c>
      <c r="V2466" s="168">
        <f t="shared" si="5"/>
        <v>0</v>
      </c>
      <c r="W2466" s="168">
        <f t="shared" si="6"/>
        <v>0</v>
      </c>
      <c r="X2466" s="168">
        <f t="shared" si="7"/>
        <v>0</v>
      </c>
      <c r="Y2466" s="168">
        <f t="shared" si="8"/>
        <v>0</v>
      </c>
      <c r="Z2466" s="168">
        <f t="shared" si="9"/>
        <v>0</v>
      </c>
    </row>
    <row r="2467" ht="15.0" customHeight="1">
      <c r="A2467" s="157" t="s">
        <v>2768</v>
      </c>
      <c r="B2467" s="158" t="s">
        <v>27</v>
      </c>
      <c r="C2467" s="158" t="s">
        <v>2769</v>
      </c>
      <c r="D2467" s="159">
        <v>44286.0</v>
      </c>
      <c r="E2467" s="157" t="s">
        <v>731</v>
      </c>
      <c r="F2467" s="168">
        <v>25009.3</v>
      </c>
      <c r="G2467" s="168">
        <v>4001.49</v>
      </c>
      <c r="H2467" s="160">
        <f t="shared" si="58"/>
        <v>29010.79</v>
      </c>
      <c r="I2467" s="160"/>
      <c r="J2467" s="161"/>
      <c r="K2467" s="160"/>
      <c r="L2467" s="160">
        <f>+'FACP$'!$H2467-'FACP$'!$I2467-'FACP$'!$K2467</f>
        <v>29010.79</v>
      </c>
      <c r="M2467" s="162" t="s">
        <v>151</v>
      </c>
      <c r="N2467" s="162" t="s">
        <v>554</v>
      </c>
      <c r="O2467" s="164">
        <v>44321.0</v>
      </c>
      <c r="P2467" s="164">
        <f t="shared" si="13"/>
        <v>44296</v>
      </c>
      <c r="Q2467" s="165">
        <f t="shared" si="2"/>
        <v>0</v>
      </c>
      <c r="R2467" s="167" t="s">
        <v>2735</v>
      </c>
      <c r="S2467" s="167"/>
      <c r="T2467" s="168">
        <f t="shared" si="3"/>
        <v>29010.79</v>
      </c>
      <c r="U2467" s="168">
        <f t="shared" si="4"/>
        <v>0</v>
      </c>
      <c r="V2467" s="168">
        <f t="shared" si="5"/>
        <v>0</v>
      </c>
      <c r="W2467" s="168">
        <f t="shared" si="6"/>
        <v>0</v>
      </c>
      <c r="X2467" s="168">
        <f t="shared" si="7"/>
        <v>0</v>
      </c>
      <c r="Y2467" s="168">
        <f t="shared" si="8"/>
        <v>0</v>
      </c>
      <c r="Z2467" s="168">
        <f t="shared" si="9"/>
        <v>0</v>
      </c>
    </row>
    <row r="2468" ht="15.0" customHeight="1">
      <c r="A2468" s="157" t="s">
        <v>2770</v>
      </c>
      <c r="B2468" s="158" t="s">
        <v>27</v>
      </c>
      <c r="C2468" s="158" t="s">
        <v>2763</v>
      </c>
      <c r="D2468" s="159">
        <v>44286.0</v>
      </c>
      <c r="E2468" s="157" t="s">
        <v>731</v>
      </c>
      <c r="F2468" s="160">
        <v>193544.44</v>
      </c>
      <c r="G2468" s="168">
        <v>30967.11</v>
      </c>
      <c r="H2468" s="160">
        <f t="shared" si="58"/>
        <v>224511.55</v>
      </c>
      <c r="I2468" s="160"/>
      <c r="J2468" s="161"/>
      <c r="K2468" s="160"/>
      <c r="L2468" s="160">
        <f>+'FACP$'!$H2468-'FACP$'!$I2468-'FACP$'!$K2468</f>
        <v>224511.55</v>
      </c>
      <c r="M2468" s="162" t="s">
        <v>158</v>
      </c>
      <c r="N2468" s="162" t="s">
        <v>554</v>
      </c>
      <c r="O2468" s="164">
        <v>44328.0</v>
      </c>
      <c r="P2468" s="164">
        <f t="shared" si="13"/>
        <v>44296</v>
      </c>
      <c r="Q2468" s="165">
        <f t="shared" si="2"/>
        <v>0</v>
      </c>
      <c r="R2468" s="167"/>
      <c r="S2468" s="167"/>
      <c r="T2468" s="168">
        <f t="shared" si="3"/>
        <v>224511.55</v>
      </c>
      <c r="U2468" s="168">
        <f t="shared" si="4"/>
        <v>0</v>
      </c>
      <c r="V2468" s="168">
        <f t="shared" si="5"/>
        <v>0</v>
      </c>
      <c r="W2468" s="168">
        <f t="shared" si="6"/>
        <v>0</v>
      </c>
      <c r="X2468" s="168">
        <f t="shared" si="7"/>
        <v>0</v>
      </c>
      <c r="Y2468" s="168">
        <f t="shared" si="8"/>
        <v>0</v>
      </c>
      <c r="Z2468" s="168">
        <f t="shared" si="9"/>
        <v>0</v>
      </c>
    </row>
    <row r="2469" ht="15.0" customHeight="1">
      <c r="A2469" s="157" t="s">
        <v>2771</v>
      </c>
      <c r="B2469" s="158" t="s">
        <v>27</v>
      </c>
      <c r="C2469" s="158" t="s">
        <v>2765</v>
      </c>
      <c r="D2469" s="159">
        <v>44286.0</v>
      </c>
      <c r="E2469" s="157" t="s">
        <v>731</v>
      </c>
      <c r="F2469" s="168">
        <v>118631.67</v>
      </c>
      <c r="G2469" s="168">
        <v>18981.07</v>
      </c>
      <c r="H2469" s="160">
        <f t="shared" si="58"/>
        <v>137612.74</v>
      </c>
      <c r="I2469" s="160"/>
      <c r="J2469" s="161"/>
      <c r="K2469" s="160"/>
      <c r="L2469" s="160">
        <f>+'FACP$'!$H2469-'FACP$'!$I2469-'FACP$'!$K2469</f>
        <v>137612.74</v>
      </c>
      <c r="M2469" s="162" t="s">
        <v>158</v>
      </c>
      <c r="N2469" s="162" t="s">
        <v>554</v>
      </c>
      <c r="O2469" s="164">
        <v>44328.0</v>
      </c>
      <c r="P2469" s="164">
        <f t="shared" si="13"/>
        <v>44296</v>
      </c>
      <c r="Q2469" s="165">
        <f t="shared" si="2"/>
        <v>0</v>
      </c>
      <c r="R2469" s="167"/>
      <c r="S2469" s="167"/>
      <c r="T2469" s="168">
        <f t="shared" si="3"/>
        <v>137612.74</v>
      </c>
      <c r="U2469" s="168">
        <f t="shared" si="4"/>
        <v>0</v>
      </c>
      <c r="V2469" s="168">
        <f t="shared" si="5"/>
        <v>0</v>
      </c>
      <c r="W2469" s="168">
        <f t="shared" si="6"/>
        <v>0</v>
      </c>
      <c r="X2469" s="168">
        <f t="shared" si="7"/>
        <v>0</v>
      </c>
      <c r="Y2469" s="168">
        <f t="shared" si="8"/>
        <v>0</v>
      </c>
      <c r="Z2469" s="168">
        <f t="shared" si="9"/>
        <v>0</v>
      </c>
    </row>
    <row r="2470" ht="15.0" customHeight="1">
      <c r="A2470" s="157" t="s">
        <v>2772</v>
      </c>
      <c r="B2470" s="158" t="s">
        <v>33</v>
      </c>
      <c r="C2470" s="158" t="s">
        <v>2773</v>
      </c>
      <c r="D2470" s="159">
        <v>44291.0</v>
      </c>
      <c r="E2470" s="157" t="s">
        <v>731</v>
      </c>
      <c r="F2470" s="160">
        <v>828697.07</v>
      </c>
      <c r="G2470" s="160">
        <v>132591.53</v>
      </c>
      <c r="H2470" s="160">
        <f t="shared" si="58"/>
        <v>961288.6</v>
      </c>
      <c r="I2470" s="160"/>
      <c r="J2470" s="161"/>
      <c r="K2470" s="160"/>
      <c r="L2470" s="160">
        <f>+'FACP$'!$H2470-'FACP$'!$I2470-'FACP$'!$K2470</f>
        <v>961288.6</v>
      </c>
      <c r="M2470" s="162" t="s">
        <v>958</v>
      </c>
      <c r="N2470" s="162" t="s">
        <v>554</v>
      </c>
      <c r="O2470" s="164">
        <v>44309.0</v>
      </c>
      <c r="P2470" s="164">
        <f t="shared" si="13"/>
        <v>44301</v>
      </c>
      <c r="Q2470" s="165">
        <f t="shared" si="2"/>
        <v>0</v>
      </c>
      <c r="R2470" s="167"/>
      <c r="S2470" s="167"/>
      <c r="T2470" s="168">
        <f t="shared" si="3"/>
        <v>961288.6</v>
      </c>
      <c r="U2470" s="168">
        <f t="shared" si="4"/>
        <v>0</v>
      </c>
      <c r="V2470" s="168">
        <f t="shared" si="5"/>
        <v>0</v>
      </c>
      <c r="W2470" s="168">
        <f t="shared" si="6"/>
        <v>0</v>
      </c>
      <c r="X2470" s="168">
        <f t="shared" si="7"/>
        <v>0</v>
      </c>
      <c r="Y2470" s="168">
        <f t="shared" si="8"/>
        <v>0</v>
      </c>
      <c r="Z2470" s="168">
        <f t="shared" si="9"/>
        <v>0</v>
      </c>
    </row>
    <row r="2471" ht="15.0" customHeight="1">
      <c r="A2471" s="157" t="s">
        <v>2774</v>
      </c>
      <c r="B2471" s="158" t="s">
        <v>35</v>
      </c>
      <c r="C2471" s="158" t="s">
        <v>2773</v>
      </c>
      <c r="D2471" s="159">
        <v>44291.0</v>
      </c>
      <c r="E2471" s="157" t="s">
        <v>731</v>
      </c>
      <c r="F2471" s="160">
        <v>452291.0</v>
      </c>
      <c r="G2471" s="160">
        <v>72366.56</v>
      </c>
      <c r="H2471" s="160">
        <f t="shared" si="58"/>
        <v>524657.56</v>
      </c>
      <c r="I2471" s="160"/>
      <c r="J2471" s="161"/>
      <c r="K2471" s="160"/>
      <c r="L2471" s="160">
        <f>+'FACP$'!$H2471-'FACP$'!$I2471-'FACP$'!$K2471</f>
        <v>524657.56</v>
      </c>
      <c r="M2471" s="162" t="s">
        <v>276</v>
      </c>
      <c r="N2471" s="162" t="s">
        <v>554</v>
      </c>
      <c r="O2471" s="164">
        <v>44309.0</v>
      </c>
      <c r="P2471" s="164">
        <f t="shared" si="13"/>
        <v>44301</v>
      </c>
      <c r="Q2471" s="165">
        <f t="shared" si="2"/>
        <v>0</v>
      </c>
      <c r="R2471" s="167"/>
      <c r="S2471" s="167"/>
      <c r="T2471" s="168">
        <f t="shared" si="3"/>
        <v>524657.56</v>
      </c>
      <c r="U2471" s="168">
        <f t="shared" si="4"/>
        <v>0</v>
      </c>
      <c r="V2471" s="168">
        <f t="shared" si="5"/>
        <v>0</v>
      </c>
      <c r="W2471" s="168">
        <f t="shared" si="6"/>
        <v>0</v>
      </c>
      <c r="X2471" s="168">
        <f t="shared" si="7"/>
        <v>0</v>
      </c>
      <c r="Y2471" s="168">
        <f t="shared" si="8"/>
        <v>0</v>
      </c>
      <c r="Z2471" s="168">
        <f t="shared" si="9"/>
        <v>0</v>
      </c>
    </row>
    <row r="2472" ht="15.0" customHeight="1">
      <c r="A2472" s="157" t="s">
        <v>2775</v>
      </c>
      <c r="B2472" s="158" t="s">
        <v>36</v>
      </c>
      <c r="C2472" s="158" t="s">
        <v>2773</v>
      </c>
      <c r="D2472" s="159">
        <v>44291.0</v>
      </c>
      <c r="E2472" s="157" t="s">
        <v>731</v>
      </c>
      <c r="F2472" s="160">
        <v>64667.79</v>
      </c>
      <c r="G2472" s="160">
        <v>10346.85</v>
      </c>
      <c r="H2472" s="160">
        <f t="shared" si="58"/>
        <v>75014.64</v>
      </c>
      <c r="I2472" s="160"/>
      <c r="J2472" s="161"/>
      <c r="K2472" s="160"/>
      <c r="L2472" s="160">
        <f>+'FACP$'!$H2472-'FACP$'!$I2472-'FACP$'!$K2472</f>
        <v>75014.64</v>
      </c>
      <c r="M2472" s="162" t="s">
        <v>278</v>
      </c>
      <c r="N2472" s="162" t="s">
        <v>554</v>
      </c>
      <c r="O2472" s="164">
        <v>44327.0</v>
      </c>
      <c r="P2472" s="164">
        <f t="shared" si="13"/>
        <v>44301</v>
      </c>
      <c r="Q2472" s="165">
        <f t="shared" si="2"/>
        <v>0</v>
      </c>
      <c r="R2472" s="167"/>
      <c r="S2472" s="167"/>
      <c r="T2472" s="168">
        <f t="shared" si="3"/>
        <v>75014.64</v>
      </c>
      <c r="U2472" s="168">
        <f t="shared" si="4"/>
        <v>0</v>
      </c>
      <c r="V2472" s="168">
        <f t="shared" si="5"/>
        <v>0</v>
      </c>
      <c r="W2472" s="168">
        <f t="shared" si="6"/>
        <v>0</v>
      </c>
      <c r="X2472" s="168">
        <f t="shared" si="7"/>
        <v>0</v>
      </c>
      <c r="Y2472" s="168">
        <f t="shared" si="8"/>
        <v>0</v>
      </c>
      <c r="Z2472" s="168">
        <f t="shared" si="9"/>
        <v>0</v>
      </c>
    </row>
    <row r="2473" ht="15.0" customHeight="1">
      <c r="A2473" s="157" t="s">
        <v>2776</v>
      </c>
      <c r="B2473" s="158" t="s">
        <v>1127</v>
      </c>
      <c r="C2473" s="158" t="s">
        <v>2773</v>
      </c>
      <c r="D2473" s="159">
        <v>44291.0</v>
      </c>
      <c r="E2473" s="157" t="s">
        <v>731</v>
      </c>
      <c r="F2473" s="160">
        <v>722557.4</v>
      </c>
      <c r="G2473" s="160">
        <v>115609.18</v>
      </c>
      <c r="H2473" s="160">
        <f t="shared" si="58"/>
        <v>838166.58</v>
      </c>
      <c r="I2473" s="160"/>
      <c r="J2473" s="161"/>
      <c r="K2473" s="160"/>
      <c r="L2473" s="160">
        <f>+'FACP$'!$H2473-'FACP$'!$I2473-'FACP$'!$K2473</f>
        <v>838166.58</v>
      </c>
      <c r="M2473" s="162" t="s">
        <v>580</v>
      </c>
      <c r="N2473" s="162" t="s">
        <v>554</v>
      </c>
      <c r="O2473" s="164">
        <v>44301.0</v>
      </c>
      <c r="P2473" s="164">
        <f t="shared" si="13"/>
        <v>44301</v>
      </c>
      <c r="Q2473" s="165">
        <f t="shared" si="2"/>
        <v>0</v>
      </c>
      <c r="R2473" s="167"/>
      <c r="S2473" s="167"/>
      <c r="T2473" s="168">
        <f t="shared" si="3"/>
        <v>838166.58</v>
      </c>
      <c r="U2473" s="168">
        <f t="shared" si="4"/>
        <v>0</v>
      </c>
      <c r="V2473" s="168">
        <f t="shared" si="5"/>
        <v>0</v>
      </c>
      <c r="W2473" s="168">
        <f t="shared" si="6"/>
        <v>0</v>
      </c>
      <c r="X2473" s="168">
        <f t="shared" si="7"/>
        <v>0</v>
      </c>
      <c r="Y2473" s="168">
        <f t="shared" si="8"/>
        <v>0</v>
      </c>
      <c r="Z2473" s="168">
        <f t="shared" si="9"/>
        <v>0</v>
      </c>
    </row>
    <row r="2474" ht="15.0" customHeight="1">
      <c r="A2474" s="157" t="s">
        <v>2777</v>
      </c>
      <c r="B2474" s="158" t="s">
        <v>43</v>
      </c>
      <c r="C2474" s="158" t="s">
        <v>2773</v>
      </c>
      <c r="D2474" s="159">
        <v>44291.0</v>
      </c>
      <c r="E2474" s="157" t="s">
        <v>731</v>
      </c>
      <c r="F2474" s="160">
        <v>93731.68</v>
      </c>
      <c r="G2474" s="160">
        <v>14997.07</v>
      </c>
      <c r="H2474" s="160">
        <f t="shared" si="58"/>
        <v>108728.75</v>
      </c>
      <c r="I2474" s="160"/>
      <c r="J2474" s="161"/>
      <c r="K2474" s="160"/>
      <c r="L2474" s="160">
        <f>+'FACP$'!$H2474-'FACP$'!$I2474-'FACP$'!$K2474</f>
        <v>108728.75</v>
      </c>
      <c r="M2474" s="162" t="s">
        <v>43</v>
      </c>
      <c r="N2474" s="162" t="s">
        <v>127</v>
      </c>
      <c r="O2474" s="164"/>
      <c r="P2474" s="164">
        <f t="shared" si="13"/>
        <v>44301</v>
      </c>
      <c r="Q2474" s="165">
        <f t="shared" si="2"/>
        <v>0</v>
      </c>
      <c r="R2474" s="167"/>
      <c r="S2474" s="167"/>
      <c r="T2474" s="168">
        <f t="shared" si="3"/>
        <v>108728.75</v>
      </c>
      <c r="U2474" s="168">
        <f t="shared" si="4"/>
        <v>0</v>
      </c>
      <c r="V2474" s="168">
        <f t="shared" si="5"/>
        <v>0</v>
      </c>
      <c r="W2474" s="168">
        <f t="shared" si="6"/>
        <v>0</v>
      </c>
      <c r="X2474" s="168">
        <f t="shared" si="7"/>
        <v>0</v>
      </c>
      <c r="Y2474" s="168">
        <f t="shared" si="8"/>
        <v>0</v>
      </c>
      <c r="Z2474" s="168">
        <f t="shared" si="9"/>
        <v>0</v>
      </c>
    </row>
    <row r="2475" ht="15.0" customHeight="1">
      <c r="A2475" s="157" t="s">
        <v>2778</v>
      </c>
      <c r="B2475" s="158" t="s">
        <v>127</v>
      </c>
      <c r="C2475" s="158"/>
      <c r="D2475" s="159"/>
      <c r="E2475" s="157"/>
      <c r="F2475" s="160"/>
      <c r="G2475" s="160"/>
      <c r="H2475" s="160">
        <f t="shared" si="58"/>
        <v>0</v>
      </c>
      <c r="I2475" s="160"/>
      <c r="J2475" s="161"/>
      <c r="K2475" s="160"/>
      <c r="L2475" s="160">
        <f>+'FACP$'!$H2475-'FACP$'!$I2475-'FACP$'!$K2475</f>
        <v>0</v>
      </c>
      <c r="M2475" s="162"/>
      <c r="N2475" s="162" t="s">
        <v>127</v>
      </c>
      <c r="O2475" s="164"/>
      <c r="P2475" s="164">
        <f t="shared" si="13"/>
        <v>10</v>
      </c>
      <c r="Q2475" s="165">
        <f t="shared" si="2"/>
        <v>0</v>
      </c>
      <c r="R2475" s="167"/>
      <c r="S2475" s="167"/>
      <c r="T2475" s="168">
        <f t="shared" si="3"/>
        <v>0</v>
      </c>
      <c r="U2475" s="168">
        <f t="shared" si="4"/>
        <v>0</v>
      </c>
      <c r="V2475" s="168">
        <f t="shared" si="5"/>
        <v>0</v>
      </c>
      <c r="W2475" s="168">
        <f t="shared" si="6"/>
        <v>0</v>
      </c>
      <c r="X2475" s="168">
        <f t="shared" si="7"/>
        <v>0</v>
      </c>
      <c r="Y2475" s="168">
        <f t="shared" si="8"/>
        <v>0</v>
      </c>
      <c r="Z2475" s="168">
        <f t="shared" si="9"/>
        <v>0</v>
      </c>
    </row>
    <row r="2476" ht="15.0" customHeight="1">
      <c r="A2476" s="157" t="s">
        <v>2779</v>
      </c>
      <c r="B2476" s="243" t="s">
        <v>16</v>
      </c>
      <c r="C2476" s="158" t="s">
        <v>2773</v>
      </c>
      <c r="D2476" s="159">
        <v>44293.0</v>
      </c>
      <c r="E2476" s="157" t="s">
        <v>731</v>
      </c>
      <c r="F2476" s="160">
        <v>324536.71</v>
      </c>
      <c r="G2476" s="160">
        <v>51925.87</v>
      </c>
      <c r="H2476" s="160">
        <f t="shared" si="58"/>
        <v>376462.58</v>
      </c>
      <c r="I2476" s="160"/>
      <c r="J2476" s="161"/>
      <c r="K2476" s="160"/>
      <c r="L2476" s="160">
        <f>+'FACP$'!$H2476-'FACP$'!$I2476-'FACP$'!$K2476</f>
        <v>376462.58</v>
      </c>
      <c r="M2476" s="162" t="s">
        <v>985</v>
      </c>
      <c r="N2476" s="162" t="s">
        <v>554</v>
      </c>
      <c r="O2476" s="164">
        <v>44313.0</v>
      </c>
      <c r="P2476" s="164">
        <f t="shared" si="13"/>
        <v>44303</v>
      </c>
      <c r="Q2476" s="165">
        <f t="shared" si="2"/>
        <v>0</v>
      </c>
      <c r="R2476" s="167"/>
      <c r="S2476" s="167"/>
      <c r="T2476" s="168">
        <f t="shared" si="3"/>
        <v>376462.58</v>
      </c>
      <c r="U2476" s="168">
        <f t="shared" si="4"/>
        <v>0</v>
      </c>
      <c r="V2476" s="168">
        <f t="shared" si="5"/>
        <v>0</v>
      </c>
      <c r="W2476" s="168">
        <f t="shared" si="6"/>
        <v>0</v>
      </c>
      <c r="X2476" s="168">
        <f t="shared" si="7"/>
        <v>0</v>
      </c>
      <c r="Y2476" s="168">
        <f t="shared" si="8"/>
        <v>0</v>
      </c>
      <c r="Z2476" s="168">
        <f t="shared" si="9"/>
        <v>0</v>
      </c>
    </row>
    <row r="2477" ht="15.0" customHeight="1">
      <c r="A2477" s="157" t="s">
        <v>2780</v>
      </c>
      <c r="B2477" s="158" t="s">
        <v>16</v>
      </c>
      <c r="C2477" s="158" t="s">
        <v>2781</v>
      </c>
      <c r="D2477" s="159">
        <v>44293.0</v>
      </c>
      <c r="E2477" s="157" t="s">
        <v>731</v>
      </c>
      <c r="F2477" s="160">
        <v>426095.24</v>
      </c>
      <c r="G2477" s="160">
        <v>68175.24</v>
      </c>
      <c r="H2477" s="160">
        <f t="shared" si="58"/>
        <v>494270.48</v>
      </c>
      <c r="I2477" s="160"/>
      <c r="J2477" s="161"/>
      <c r="K2477" s="160"/>
      <c r="L2477" s="160">
        <f>+'FACP$'!$H2477-'FACP$'!$I2477-'FACP$'!$K2477</f>
        <v>494270.48</v>
      </c>
      <c r="M2477" s="162" t="s">
        <v>985</v>
      </c>
      <c r="N2477" s="162" t="s">
        <v>554</v>
      </c>
      <c r="O2477" s="164">
        <v>44313.0</v>
      </c>
      <c r="P2477" s="164">
        <f t="shared" si="13"/>
        <v>44303</v>
      </c>
      <c r="Q2477" s="165">
        <f t="shared" si="2"/>
        <v>0</v>
      </c>
      <c r="R2477" s="167"/>
      <c r="S2477" s="167"/>
      <c r="T2477" s="168">
        <f t="shared" si="3"/>
        <v>494270.48</v>
      </c>
      <c r="U2477" s="168">
        <f t="shared" si="4"/>
        <v>0</v>
      </c>
      <c r="V2477" s="168">
        <f t="shared" si="5"/>
        <v>0</v>
      </c>
      <c r="W2477" s="168">
        <f t="shared" si="6"/>
        <v>0</v>
      </c>
      <c r="X2477" s="168">
        <f t="shared" si="7"/>
        <v>0</v>
      </c>
      <c r="Y2477" s="168">
        <f t="shared" si="8"/>
        <v>0</v>
      </c>
      <c r="Z2477" s="168">
        <f t="shared" si="9"/>
        <v>0</v>
      </c>
    </row>
    <row r="2478" ht="15.0" customHeight="1">
      <c r="A2478" s="157" t="s">
        <v>2782</v>
      </c>
      <c r="B2478" s="158" t="s">
        <v>18</v>
      </c>
      <c r="C2478" s="158" t="s">
        <v>2773</v>
      </c>
      <c r="D2478" s="159">
        <v>44293.0</v>
      </c>
      <c r="E2478" s="157" t="s">
        <v>731</v>
      </c>
      <c r="F2478" s="160">
        <v>150589.17</v>
      </c>
      <c r="G2478" s="160">
        <v>24094.27</v>
      </c>
      <c r="H2478" s="160">
        <f t="shared" si="58"/>
        <v>174683.44</v>
      </c>
      <c r="I2478" s="160"/>
      <c r="J2478" s="161"/>
      <c r="K2478" s="160"/>
      <c r="L2478" s="160">
        <f>+'FACP$'!$H2478-'FACP$'!$I2478-'FACP$'!$K2478</f>
        <v>174683.44</v>
      </c>
      <c r="M2478" s="162" t="s">
        <v>586</v>
      </c>
      <c r="N2478" s="162" t="s">
        <v>554</v>
      </c>
      <c r="O2478" s="164">
        <v>44312.0</v>
      </c>
      <c r="P2478" s="164">
        <f t="shared" si="13"/>
        <v>44303</v>
      </c>
      <c r="Q2478" s="165">
        <f t="shared" si="2"/>
        <v>0</v>
      </c>
      <c r="R2478" s="167"/>
      <c r="S2478" s="167"/>
      <c r="T2478" s="168">
        <f t="shared" si="3"/>
        <v>174683.44</v>
      </c>
      <c r="U2478" s="168">
        <f t="shared" si="4"/>
        <v>0</v>
      </c>
      <c r="V2478" s="168">
        <f t="shared" si="5"/>
        <v>0</v>
      </c>
      <c r="W2478" s="168">
        <f t="shared" si="6"/>
        <v>0</v>
      </c>
      <c r="X2478" s="168">
        <f t="shared" si="7"/>
        <v>0</v>
      </c>
      <c r="Y2478" s="168">
        <f t="shared" si="8"/>
        <v>0</v>
      </c>
      <c r="Z2478" s="168">
        <f t="shared" si="9"/>
        <v>0</v>
      </c>
    </row>
    <row r="2479" ht="15.0" customHeight="1">
      <c r="A2479" s="157" t="s">
        <v>2783</v>
      </c>
      <c r="B2479" s="158" t="s">
        <v>19</v>
      </c>
      <c r="C2479" s="158" t="s">
        <v>2773</v>
      </c>
      <c r="D2479" s="159">
        <v>44293.0</v>
      </c>
      <c r="E2479" s="157" t="s">
        <v>731</v>
      </c>
      <c r="F2479" s="160">
        <v>232995.04</v>
      </c>
      <c r="G2479" s="160">
        <v>37279.21</v>
      </c>
      <c r="H2479" s="160">
        <f t="shared" si="58"/>
        <v>270274.25</v>
      </c>
      <c r="I2479" s="160"/>
      <c r="J2479" s="161"/>
      <c r="K2479" s="160"/>
      <c r="L2479" s="160">
        <f>+'FACP$'!$H2479-'FACP$'!$I2479-'FACP$'!$K2479</f>
        <v>270274.25</v>
      </c>
      <c r="M2479" s="162" t="s">
        <v>732</v>
      </c>
      <c r="N2479" s="162" t="s">
        <v>554</v>
      </c>
      <c r="O2479" s="164">
        <v>44312.0</v>
      </c>
      <c r="P2479" s="164">
        <f t="shared" si="13"/>
        <v>44303</v>
      </c>
      <c r="Q2479" s="165">
        <f t="shared" si="2"/>
        <v>0</v>
      </c>
      <c r="R2479" s="167"/>
      <c r="S2479" s="167"/>
      <c r="T2479" s="168">
        <f t="shared" si="3"/>
        <v>270274.25</v>
      </c>
      <c r="U2479" s="168">
        <f t="shared" si="4"/>
        <v>0</v>
      </c>
      <c r="V2479" s="168">
        <f t="shared" si="5"/>
        <v>0</v>
      </c>
      <c r="W2479" s="168">
        <f t="shared" si="6"/>
        <v>0</v>
      </c>
      <c r="X2479" s="168">
        <f t="shared" si="7"/>
        <v>0</v>
      </c>
      <c r="Y2479" s="168">
        <f t="shared" si="8"/>
        <v>0</v>
      </c>
      <c r="Z2479" s="168">
        <f t="shared" si="9"/>
        <v>0</v>
      </c>
    </row>
    <row r="2480" ht="15.0" customHeight="1">
      <c r="A2480" s="157" t="s">
        <v>2784</v>
      </c>
      <c r="B2480" s="158" t="s">
        <v>26</v>
      </c>
      <c r="C2480" s="158" t="s">
        <v>2773</v>
      </c>
      <c r="D2480" s="159">
        <v>44293.0</v>
      </c>
      <c r="E2480" s="157" t="s">
        <v>731</v>
      </c>
      <c r="F2480" s="160">
        <v>63044.96</v>
      </c>
      <c r="G2480" s="160">
        <v>10087.19</v>
      </c>
      <c r="H2480" s="160">
        <f t="shared" si="58"/>
        <v>73132.15</v>
      </c>
      <c r="I2480" s="160"/>
      <c r="J2480" s="161"/>
      <c r="K2480" s="160"/>
      <c r="L2480" s="160">
        <f>+'FACP$'!$H2480-'FACP$'!$I2480-'FACP$'!$K2480</f>
        <v>73132.15</v>
      </c>
      <c r="M2480" s="162" t="s">
        <v>2386</v>
      </c>
      <c r="N2480" s="162" t="s">
        <v>554</v>
      </c>
      <c r="O2480" s="164">
        <v>44329.0</v>
      </c>
      <c r="P2480" s="164">
        <f t="shared" si="13"/>
        <v>44303</v>
      </c>
      <c r="Q2480" s="165">
        <f t="shared" si="2"/>
        <v>0</v>
      </c>
      <c r="R2480" s="167"/>
      <c r="S2480" s="167"/>
      <c r="T2480" s="168">
        <f t="shared" si="3"/>
        <v>73132.15</v>
      </c>
      <c r="U2480" s="168">
        <f t="shared" si="4"/>
        <v>0</v>
      </c>
      <c r="V2480" s="168">
        <f t="shared" si="5"/>
        <v>0</v>
      </c>
      <c r="W2480" s="168">
        <f t="shared" si="6"/>
        <v>0</v>
      </c>
      <c r="X2480" s="168">
        <f t="shared" si="7"/>
        <v>0</v>
      </c>
      <c r="Y2480" s="168">
        <f t="shared" si="8"/>
        <v>0</v>
      </c>
      <c r="Z2480" s="168">
        <f t="shared" si="9"/>
        <v>0</v>
      </c>
    </row>
    <row r="2481" ht="15.0" customHeight="1">
      <c r="A2481" s="157" t="s">
        <v>2785</v>
      </c>
      <c r="B2481" s="158" t="s">
        <v>127</v>
      </c>
      <c r="C2481" s="158"/>
      <c r="D2481" s="159"/>
      <c r="E2481" s="157"/>
      <c r="F2481" s="160"/>
      <c r="G2481" s="160"/>
      <c r="H2481" s="160">
        <f t="shared" si="58"/>
        <v>0</v>
      </c>
      <c r="I2481" s="160"/>
      <c r="J2481" s="161"/>
      <c r="K2481" s="160"/>
      <c r="L2481" s="160">
        <f>+'FACP$'!$H2481-'FACP$'!$I2481-'FACP$'!$K2481</f>
        <v>0</v>
      </c>
      <c r="M2481" s="162"/>
      <c r="N2481" s="162" t="s">
        <v>127</v>
      </c>
      <c r="O2481" s="164"/>
      <c r="P2481" s="164">
        <f t="shared" si="13"/>
        <v>10</v>
      </c>
      <c r="Q2481" s="165">
        <f t="shared" si="2"/>
        <v>0</v>
      </c>
      <c r="R2481" s="167"/>
      <c r="S2481" s="167"/>
      <c r="T2481" s="168">
        <f t="shared" si="3"/>
        <v>0</v>
      </c>
      <c r="U2481" s="168">
        <f t="shared" si="4"/>
        <v>0</v>
      </c>
      <c r="V2481" s="168">
        <f t="shared" si="5"/>
        <v>0</v>
      </c>
      <c r="W2481" s="168">
        <f t="shared" si="6"/>
        <v>0</v>
      </c>
      <c r="X2481" s="168">
        <f t="shared" si="7"/>
        <v>0</v>
      </c>
      <c r="Y2481" s="168">
        <f t="shared" si="8"/>
        <v>0</v>
      </c>
      <c r="Z2481" s="168">
        <f t="shared" si="9"/>
        <v>0</v>
      </c>
    </row>
    <row r="2482" ht="15.0" customHeight="1">
      <c r="A2482" s="157" t="s">
        <v>2786</v>
      </c>
      <c r="B2482" s="158" t="s">
        <v>29</v>
      </c>
      <c r="C2482" s="158" t="s">
        <v>2781</v>
      </c>
      <c r="D2482" s="159">
        <v>44293.0</v>
      </c>
      <c r="E2482" s="157" t="s">
        <v>731</v>
      </c>
      <c r="F2482" s="160">
        <v>459288.08</v>
      </c>
      <c r="G2482" s="160">
        <v>73486.09</v>
      </c>
      <c r="H2482" s="160">
        <f t="shared" si="58"/>
        <v>532774.17</v>
      </c>
      <c r="I2482" s="160"/>
      <c r="J2482" s="161"/>
      <c r="K2482" s="160"/>
      <c r="L2482" s="160">
        <f>+'FACP$'!$H2482-'FACP$'!$I2482-'FACP$'!$K2482</f>
        <v>532774.17</v>
      </c>
      <c r="M2482" s="162" t="s">
        <v>130</v>
      </c>
      <c r="N2482" s="162" t="s">
        <v>554</v>
      </c>
      <c r="O2482" s="164">
        <v>44327.0</v>
      </c>
      <c r="P2482" s="164">
        <f t="shared" si="13"/>
        <v>44303</v>
      </c>
      <c r="Q2482" s="165">
        <f t="shared" si="2"/>
        <v>0</v>
      </c>
      <c r="R2482" s="167"/>
      <c r="S2482" s="167"/>
      <c r="T2482" s="168">
        <f t="shared" si="3"/>
        <v>532774.17</v>
      </c>
      <c r="U2482" s="168">
        <f t="shared" si="4"/>
        <v>0</v>
      </c>
      <c r="V2482" s="168">
        <f t="shared" si="5"/>
        <v>0</v>
      </c>
      <c r="W2482" s="168">
        <f t="shared" si="6"/>
        <v>0</v>
      </c>
      <c r="X2482" s="168">
        <f t="shared" si="7"/>
        <v>0</v>
      </c>
      <c r="Y2482" s="168">
        <f t="shared" si="8"/>
        <v>0</v>
      </c>
      <c r="Z2482" s="168">
        <f t="shared" si="9"/>
        <v>0</v>
      </c>
    </row>
    <row r="2483" ht="15.0" customHeight="1">
      <c r="A2483" s="157" t="s">
        <v>2787</v>
      </c>
      <c r="B2483" s="158" t="s">
        <v>41</v>
      </c>
      <c r="C2483" s="158" t="s">
        <v>2773</v>
      </c>
      <c r="D2483" s="159">
        <v>44293.0</v>
      </c>
      <c r="E2483" s="157" t="s">
        <v>731</v>
      </c>
      <c r="F2483" s="160">
        <v>679411.69</v>
      </c>
      <c r="G2483" s="160">
        <v>108705.87</v>
      </c>
      <c r="H2483" s="160">
        <f t="shared" si="58"/>
        <v>788117.56</v>
      </c>
      <c r="I2483" s="160"/>
      <c r="J2483" s="161"/>
      <c r="K2483" s="160"/>
      <c r="L2483" s="160">
        <f>+'FACP$'!$H2483-'FACP$'!$I2483-'FACP$'!$K2483</f>
        <v>788117.56</v>
      </c>
      <c r="M2483" s="162" t="s">
        <v>121</v>
      </c>
      <c r="N2483" s="162" t="s">
        <v>554</v>
      </c>
      <c r="O2483" s="164">
        <v>44309.0</v>
      </c>
      <c r="P2483" s="164">
        <f t="shared" si="13"/>
        <v>44303</v>
      </c>
      <c r="Q2483" s="165">
        <f t="shared" si="2"/>
        <v>0</v>
      </c>
      <c r="R2483" s="167"/>
      <c r="S2483" s="167"/>
      <c r="T2483" s="168">
        <f t="shared" si="3"/>
        <v>788117.56</v>
      </c>
      <c r="U2483" s="168">
        <f t="shared" si="4"/>
        <v>0</v>
      </c>
      <c r="V2483" s="168">
        <f t="shared" si="5"/>
        <v>0</v>
      </c>
      <c r="W2483" s="168">
        <f t="shared" si="6"/>
        <v>0</v>
      </c>
      <c r="X2483" s="168">
        <f t="shared" si="7"/>
        <v>0</v>
      </c>
      <c r="Y2483" s="168">
        <f t="shared" si="8"/>
        <v>0</v>
      </c>
      <c r="Z2483" s="168">
        <f t="shared" si="9"/>
        <v>0</v>
      </c>
    </row>
    <row r="2484" ht="15.0" customHeight="1">
      <c r="A2484" s="157" t="s">
        <v>2788</v>
      </c>
      <c r="B2484" s="158" t="s">
        <v>37</v>
      </c>
      <c r="C2484" s="158" t="s">
        <v>2773</v>
      </c>
      <c r="D2484" s="159">
        <v>44293.0</v>
      </c>
      <c r="E2484" s="157" t="s">
        <v>731</v>
      </c>
      <c r="F2484" s="160">
        <v>1915063.39</v>
      </c>
      <c r="G2484" s="160">
        <v>306410.14</v>
      </c>
      <c r="H2484" s="160">
        <f t="shared" si="58"/>
        <v>2221473.53</v>
      </c>
      <c r="I2484" s="160"/>
      <c r="J2484" s="161"/>
      <c r="K2484" s="160"/>
      <c r="L2484" s="160">
        <f>+'FACP$'!$H2484-'FACP$'!$I2484-'FACP$'!$K2484</f>
        <v>2221473.53</v>
      </c>
      <c r="M2484" s="162" t="s">
        <v>116</v>
      </c>
      <c r="N2484" s="162" t="s">
        <v>554</v>
      </c>
      <c r="O2484" s="164">
        <v>44312.0</v>
      </c>
      <c r="P2484" s="164">
        <f t="shared" si="13"/>
        <v>44303</v>
      </c>
      <c r="Q2484" s="165">
        <f t="shared" si="2"/>
        <v>0</v>
      </c>
      <c r="R2484" s="167"/>
      <c r="S2484" s="167"/>
      <c r="T2484" s="168">
        <f t="shared" si="3"/>
        <v>2221473.53</v>
      </c>
      <c r="U2484" s="168">
        <f t="shared" si="4"/>
        <v>0</v>
      </c>
      <c r="V2484" s="168">
        <f t="shared" si="5"/>
        <v>0</v>
      </c>
      <c r="W2484" s="168">
        <f t="shared" si="6"/>
        <v>0</v>
      </c>
      <c r="X2484" s="168">
        <f t="shared" si="7"/>
        <v>0</v>
      </c>
      <c r="Y2484" s="168">
        <f t="shared" si="8"/>
        <v>0</v>
      </c>
      <c r="Z2484" s="168">
        <f t="shared" si="9"/>
        <v>0</v>
      </c>
    </row>
    <row r="2485" ht="15.0" customHeight="1">
      <c r="A2485" s="157" t="s">
        <v>2789</v>
      </c>
      <c r="B2485" s="158" t="s">
        <v>38</v>
      </c>
      <c r="C2485" s="158" t="s">
        <v>2773</v>
      </c>
      <c r="D2485" s="159">
        <v>44293.0</v>
      </c>
      <c r="E2485" s="157" t="s">
        <v>731</v>
      </c>
      <c r="F2485" s="160">
        <v>547157.16</v>
      </c>
      <c r="G2485" s="160">
        <v>87545.15</v>
      </c>
      <c r="H2485" s="160">
        <f t="shared" si="58"/>
        <v>634702.31</v>
      </c>
      <c r="I2485" s="160"/>
      <c r="J2485" s="161"/>
      <c r="K2485" s="160"/>
      <c r="L2485" s="160">
        <f>+'FACP$'!$H2485-'FACP$'!$I2485-'FACP$'!$K2485</f>
        <v>634702.31</v>
      </c>
      <c r="M2485" s="162" t="s">
        <v>145</v>
      </c>
      <c r="N2485" s="162" t="s">
        <v>127</v>
      </c>
      <c r="O2485" s="164"/>
      <c r="P2485" s="164">
        <f t="shared" si="13"/>
        <v>44303</v>
      </c>
      <c r="Q2485" s="165">
        <f t="shared" si="2"/>
        <v>0</v>
      </c>
      <c r="R2485" s="167"/>
      <c r="S2485" s="167"/>
      <c r="T2485" s="168">
        <f t="shared" si="3"/>
        <v>634702.31</v>
      </c>
      <c r="U2485" s="168">
        <f t="shared" si="4"/>
        <v>0</v>
      </c>
      <c r="V2485" s="168">
        <f t="shared" si="5"/>
        <v>0</v>
      </c>
      <c r="W2485" s="168">
        <f t="shared" si="6"/>
        <v>0</v>
      </c>
      <c r="X2485" s="168">
        <f t="shared" si="7"/>
        <v>0</v>
      </c>
      <c r="Y2485" s="168">
        <f t="shared" si="8"/>
        <v>0</v>
      </c>
      <c r="Z2485" s="168">
        <f t="shared" si="9"/>
        <v>0</v>
      </c>
    </row>
    <row r="2486" ht="15.0" customHeight="1">
      <c r="A2486" s="157" t="s">
        <v>2790</v>
      </c>
      <c r="B2486" s="158" t="s">
        <v>29</v>
      </c>
      <c r="C2486" s="158" t="s">
        <v>2773</v>
      </c>
      <c r="D2486" s="159">
        <v>44293.0</v>
      </c>
      <c r="E2486" s="157" t="s">
        <v>731</v>
      </c>
      <c r="F2486" s="160">
        <v>333871.41</v>
      </c>
      <c r="G2486" s="160">
        <v>53419.43</v>
      </c>
      <c r="H2486" s="160">
        <f t="shared" si="58"/>
        <v>387290.84</v>
      </c>
      <c r="I2486" s="160"/>
      <c r="J2486" s="161"/>
      <c r="K2486" s="160"/>
      <c r="L2486" s="160">
        <f>+'FACP$'!$H2486-'FACP$'!$I2486-'FACP$'!$K2486</f>
        <v>387290.84</v>
      </c>
      <c r="M2486" s="162" t="s">
        <v>130</v>
      </c>
      <c r="N2486" s="162" t="s">
        <v>554</v>
      </c>
      <c r="O2486" s="164">
        <v>44309.0</v>
      </c>
      <c r="P2486" s="164">
        <f t="shared" si="13"/>
        <v>44303</v>
      </c>
      <c r="Q2486" s="165">
        <f t="shared" si="2"/>
        <v>0</v>
      </c>
      <c r="R2486" s="167"/>
      <c r="S2486" s="167"/>
      <c r="T2486" s="168">
        <f t="shared" si="3"/>
        <v>387290.84</v>
      </c>
      <c r="U2486" s="168">
        <f t="shared" si="4"/>
        <v>0</v>
      </c>
      <c r="V2486" s="168">
        <f t="shared" si="5"/>
        <v>0</v>
      </c>
      <c r="W2486" s="168">
        <f t="shared" si="6"/>
        <v>0</v>
      </c>
      <c r="X2486" s="168">
        <f t="shared" si="7"/>
        <v>0</v>
      </c>
      <c r="Y2486" s="168">
        <f t="shared" si="8"/>
        <v>0</v>
      </c>
      <c r="Z2486" s="168">
        <f t="shared" si="9"/>
        <v>0</v>
      </c>
    </row>
    <row r="2487" ht="15.0" customHeight="1">
      <c r="A2487" s="157" t="s">
        <v>2791</v>
      </c>
      <c r="B2487" s="158" t="s">
        <v>43</v>
      </c>
      <c r="C2487" s="158" t="s">
        <v>2773</v>
      </c>
      <c r="D2487" s="159">
        <v>44293.0</v>
      </c>
      <c r="E2487" s="157" t="s">
        <v>731</v>
      </c>
      <c r="F2487" s="160">
        <v>944231.68</v>
      </c>
      <c r="G2487" s="160">
        <v>151077.07</v>
      </c>
      <c r="H2487" s="160">
        <f t="shared" si="58"/>
        <v>1095308.75</v>
      </c>
      <c r="I2487" s="160"/>
      <c r="J2487" s="161"/>
      <c r="K2487" s="160"/>
      <c r="L2487" s="160">
        <f>+'FACP$'!$H2487-'FACP$'!$I2487-'FACP$'!$K2487</f>
        <v>1095308.75</v>
      </c>
      <c r="M2487" s="162" t="s">
        <v>43</v>
      </c>
      <c r="N2487" s="162" t="s">
        <v>554</v>
      </c>
      <c r="O2487" s="164">
        <v>44316.0</v>
      </c>
      <c r="P2487" s="164">
        <f t="shared" si="13"/>
        <v>44303</v>
      </c>
      <c r="Q2487" s="165">
        <f t="shared" si="2"/>
        <v>0</v>
      </c>
      <c r="R2487" s="167" t="s">
        <v>2792</v>
      </c>
      <c r="S2487" s="167"/>
      <c r="T2487" s="168">
        <f t="shared" si="3"/>
        <v>1095308.75</v>
      </c>
      <c r="U2487" s="168">
        <f t="shared" si="4"/>
        <v>0</v>
      </c>
      <c r="V2487" s="168">
        <f t="shared" si="5"/>
        <v>0</v>
      </c>
      <c r="W2487" s="168">
        <f t="shared" si="6"/>
        <v>0</v>
      </c>
      <c r="X2487" s="168">
        <f t="shared" si="7"/>
        <v>0</v>
      </c>
      <c r="Y2487" s="168">
        <f t="shared" si="8"/>
        <v>0</v>
      </c>
      <c r="Z2487" s="168">
        <f t="shared" si="9"/>
        <v>0</v>
      </c>
    </row>
    <row r="2488" ht="15.0" customHeight="1">
      <c r="A2488" s="157" t="s">
        <v>2793</v>
      </c>
      <c r="B2488" s="158" t="s">
        <v>127</v>
      </c>
      <c r="C2488" s="158"/>
      <c r="D2488" s="159"/>
      <c r="E2488" s="157"/>
      <c r="F2488" s="160"/>
      <c r="G2488" s="160"/>
      <c r="H2488" s="160">
        <f t="shared" si="58"/>
        <v>0</v>
      </c>
      <c r="I2488" s="160"/>
      <c r="J2488" s="161"/>
      <c r="K2488" s="160"/>
      <c r="L2488" s="160">
        <f>+'FACP$'!$H2488-'FACP$'!$I2488-'FACP$'!$K2488</f>
        <v>0</v>
      </c>
      <c r="M2488" s="162"/>
      <c r="N2488" s="162" t="s">
        <v>127</v>
      </c>
      <c r="O2488" s="164"/>
      <c r="P2488" s="164">
        <f t="shared" si="13"/>
        <v>10</v>
      </c>
      <c r="Q2488" s="165">
        <f t="shared" si="2"/>
        <v>0</v>
      </c>
      <c r="R2488" s="167"/>
      <c r="S2488" s="167"/>
      <c r="T2488" s="168">
        <f t="shared" si="3"/>
        <v>0</v>
      </c>
      <c r="U2488" s="168">
        <f t="shared" si="4"/>
        <v>0</v>
      </c>
      <c r="V2488" s="168">
        <f t="shared" si="5"/>
        <v>0</v>
      </c>
      <c r="W2488" s="168">
        <f t="shared" si="6"/>
        <v>0</v>
      </c>
      <c r="X2488" s="168">
        <f t="shared" si="7"/>
        <v>0</v>
      </c>
      <c r="Y2488" s="168">
        <f t="shared" si="8"/>
        <v>0</v>
      </c>
      <c r="Z2488" s="168">
        <f t="shared" si="9"/>
        <v>0</v>
      </c>
    </row>
    <row r="2489" ht="15.0" customHeight="1">
      <c r="A2489" s="157" t="s">
        <v>2794</v>
      </c>
      <c r="B2489" s="158" t="s">
        <v>37</v>
      </c>
      <c r="C2489" s="158" t="s">
        <v>2795</v>
      </c>
      <c r="D2489" s="159">
        <v>44297.0</v>
      </c>
      <c r="E2489" s="157" t="s">
        <v>731</v>
      </c>
      <c r="F2489" s="160">
        <v>38532.0</v>
      </c>
      <c r="G2489" s="160">
        <v>6165.12</v>
      </c>
      <c r="H2489" s="160">
        <f t="shared" si="58"/>
        <v>44697.12</v>
      </c>
      <c r="I2489" s="160"/>
      <c r="J2489" s="161"/>
      <c r="K2489" s="160"/>
      <c r="L2489" s="160">
        <f>+'FACP$'!$H2489-'FACP$'!$I2489-'FACP$'!$K2489</f>
        <v>44697.12</v>
      </c>
      <c r="M2489" s="162" t="s">
        <v>116</v>
      </c>
      <c r="N2489" s="162" t="s">
        <v>127</v>
      </c>
      <c r="O2489" s="164"/>
      <c r="P2489" s="164">
        <f t="shared" si="13"/>
        <v>44307</v>
      </c>
      <c r="Q2489" s="165">
        <f t="shared" si="2"/>
        <v>0</v>
      </c>
      <c r="R2489" s="167"/>
      <c r="S2489" s="167"/>
      <c r="T2489" s="168">
        <f t="shared" si="3"/>
        <v>44697.12</v>
      </c>
      <c r="U2489" s="168">
        <f t="shared" si="4"/>
        <v>0</v>
      </c>
      <c r="V2489" s="168">
        <f t="shared" si="5"/>
        <v>0</v>
      </c>
      <c r="W2489" s="168">
        <f t="shared" si="6"/>
        <v>0</v>
      </c>
      <c r="X2489" s="168">
        <f t="shared" si="7"/>
        <v>0</v>
      </c>
      <c r="Y2489" s="168">
        <f t="shared" si="8"/>
        <v>0</v>
      </c>
      <c r="Z2489" s="168">
        <f t="shared" si="9"/>
        <v>0</v>
      </c>
    </row>
    <row r="2490" ht="15.0" customHeight="1">
      <c r="A2490" s="157" t="s">
        <v>2796</v>
      </c>
      <c r="B2490" s="209" t="s">
        <v>41</v>
      </c>
      <c r="C2490" s="244" t="s">
        <v>2797</v>
      </c>
      <c r="D2490" s="186">
        <v>44300.0</v>
      </c>
      <c r="E2490" s="210" t="s">
        <v>731</v>
      </c>
      <c r="F2490" s="211">
        <v>63715.64</v>
      </c>
      <c r="G2490" s="211">
        <v>10194.5</v>
      </c>
      <c r="H2490" s="160">
        <f t="shared" si="58"/>
        <v>73910.14</v>
      </c>
      <c r="I2490" s="211"/>
      <c r="J2490" s="212"/>
      <c r="K2490" s="211"/>
      <c r="L2490" s="211">
        <f>+'FACP$'!$H2490-'FACP$'!$I2490-'FACP$'!$K2490</f>
        <v>73910.14</v>
      </c>
      <c r="M2490" s="227" t="s">
        <v>121</v>
      </c>
      <c r="N2490" s="227" t="s">
        <v>554</v>
      </c>
      <c r="O2490" s="245">
        <v>44531.0</v>
      </c>
      <c r="P2490" s="245">
        <f t="shared" si="13"/>
        <v>44310</v>
      </c>
      <c r="Q2490" s="246">
        <f t="shared" si="2"/>
        <v>0</v>
      </c>
      <c r="R2490" s="223" t="s">
        <v>2798</v>
      </c>
      <c r="S2490" s="223"/>
      <c r="T2490" s="168">
        <f t="shared" si="3"/>
        <v>73910.14</v>
      </c>
      <c r="U2490" s="168">
        <f t="shared" si="4"/>
        <v>0</v>
      </c>
      <c r="V2490" s="168">
        <f t="shared" si="5"/>
        <v>0</v>
      </c>
      <c r="W2490" s="168">
        <f t="shared" si="6"/>
        <v>0</v>
      </c>
      <c r="X2490" s="168">
        <f t="shared" si="7"/>
        <v>0</v>
      </c>
      <c r="Y2490" s="168">
        <f t="shared" si="8"/>
        <v>0</v>
      </c>
      <c r="Z2490" s="168">
        <f t="shared" si="9"/>
        <v>0</v>
      </c>
    </row>
    <row r="2491" ht="15.0" customHeight="1">
      <c r="A2491" s="157" t="s">
        <v>2799</v>
      </c>
      <c r="B2491" s="209" t="s">
        <v>43</v>
      </c>
      <c r="C2491" s="244" t="s">
        <v>2800</v>
      </c>
      <c r="D2491" s="186">
        <v>44300.0</v>
      </c>
      <c r="E2491" s="210" t="s">
        <v>731</v>
      </c>
      <c r="F2491" s="211">
        <v>61149.67</v>
      </c>
      <c r="G2491" s="211">
        <v>9783.95</v>
      </c>
      <c r="H2491" s="160">
        <f t="shared" si="58"/>
        <v>70933.62</v>
      </c>
      <c r="I2491" s="211"/>
      <c r="J2491" s="212"/>
      <c r="K2491" s="211"/>
      <c r="L2491" s="211">
        <f>+'FACP$'!$H2491-'FACP$'!$I2491-'FACP$'!$K2491</f>
        <v>70933.62</v>
      </c>
      <c r="M2491" s="227" t="s">
        <v>43</v>
      </c>
      <c r="N2491" s="227" t="s">
        <v>127</v>
      </c>
      <c r="O2491" s="245"/>
      <c r="P2491" s="245">
        <f t="shared" si="13"/>
        <v>44310</v>
      </c>
      <c r="Q2491" s="246">
        <f t="shared" si="2"/>
        <v>0</v>
      </c>
      <c r="R2491" s="223" t="s">
        <v>2801</v>
      </c>
      <c r="S2491" s="223"/>
      <c r="T2491" s="168">
        <f t="shared" si="3"/>
        <v>70933.62</v>
      </c>
      <c r="U2491" s="168">
        <f t="shared" si="4"/>
        <v>0</v>
      </c>
      <c r="V2491" s="168">
        <f t="shared" si="5"/>
        <v>0</v>
      </c>
      <c r="W2491" s="168">
        <f t="shared" si="6"/>
        <v>0</v>
      </c>
      <c r="X2491" s="168">
        <f t="shared" si="7"/>
        <v>0</v>
      </c>
      <c r="Y2491" s="168">
        <f t="shared" si="8"/>
        <v>0</v>
      </c>
      <c r="Z2491" s="168">
        <f t="shared" si="9"/>
        <v>0</v>
      </c>
    </row>
    <row r="2492" ht="15.0" customHeight="1">
      <c r="A2492" s="157" t="s">
        <v>2802</v>
      </c>
      <c r="B2492" s="158" t="s">
        <v>37</v>
      </c>
      <c r="C2492" s="158" t="s">
        <v>2803</v>
      </c>
      <c r="D2492" s="159">
        <v>44301.0</v>
      </c>
      <c r="E2492" s="157" t="s">
        <v>731</v>
      </c>
      <c r="F2492" s="160">
        <v>38532.0</v>
      </c>
      <c r="G2492" s="160">
        <v>6165.12</v>
      </c>
      <c r="H2492" s="160">
        <f t="shared" si="58"/>
        <v>44697.12</v>
      </c>
      <c r="I2492" s="160"/>
      <c r="J2492" s="161"/>
      <c r="K2492" s="160"/>
      <c r="L2492" s="160">
        <f>+'FACP$'!$H2492-'FACP$'!$I2492-'FACP$'!$K2492</f>
        <v>44697.12</v>
      </c>
      <c r="M2492" s="162" t="s">
        <v>116</v>
      </c>
      <c r="N2492" s="162" t="s">
        <v>127</v>
      </c>
      <c r="O2492" s="164"/>
      <c r="P2492" s="164">
        <f t="shared" si="13"/>
        <v>44311</v>
      </c>
      <c r="Q2492" s="165">
        <f t="shared" si="2"/>
        <v>0</v>
      </c>
      <c r="R2492" s="167"/>
      <c r="S2492" s="167"/>
      <c r="T2492" s="168">
        <f t="shared" si="3"/>
        <v>44697.12</v>
      </c>
      <c r="U2492" s="168">
        <f t="shared" si="4"/>
        <v>0</v>
      </c>
      <c r="V2492" s="168">
        <f t="shared" si="5"/>
        <v>0</v>
      </c>
      <c r="W2492" s="168">
        <f t="shared" si="6"/>
        <v>0</v>
      </c>
      <c r="X2492" s="168">
        <f t="shared" si="7"/>
        <v>0</v>
      </c>
      <c r="Y2492" s="168">
        <f t="shared" si="8"/>
        <v>0</v>
      </c>
      <c r="Z2492" s="168">
        <f t="shared" si="9"/>
        <v>0</v>
      </c>
    </row>
    <row r="2493" ht="15.0" customHeight="1">
      <c r="A2493" s="157" t="s">
        <v>2804</v>
      </c>
      <c r="B2493" s="158" t="s">
        <v>16</v>
      </c>
      <c r="C2493" s="158" t="s">
        <v>2803</v>
      </c>
      <c r="D2493" s="159">
        <v>44301.0</v>
      </c>
      <c r="E2493" s="157" t="s">
        <v>731</v>
      </c>
      <c r="F2493" s="160">
        <v>11362.0</v>
      </c>
      <c r="G2493" s="160">
        <v>1817.92</v>
      </c>
      <c r="H2493" s="160">
        <f t="shared" si="58"/>
        <v>13179.92</v>
      </c>
      <c r="I2493" s="160"/>
      <c r="J2493" s="161"/>
      <c r="K2493" s="160"/>
      <c r="L2493" s="160">
        <f>+'FACP$'!$H2493-'FACP$'!$I2493-'FACP$'!$K2493</f>
        <v>13179.92</v>
      </c>
      <c r="M2493" s="162" t="s">
        <v>985</v>
      </c>
      <c r="N2493" s="162" t="s">
        <v>127</v>
      </c>
      <c r="O2493" s="164"/>
      <c r="P2493" s="164">
        <f t="shared" si="13"/>
        <v>44311</v>
      </c>
      <c r="Q2493" s="165">
        <f t="shared" si="2"/>
        <v>0</v>
      </c>
      <c r="R2493" s="167"/>
      <c r="S2493" s="167"/>
      <c r="T2493" s="168">
        <f t="shared" si="3"/>
        <v>13179.92</v>
      </c>
      <c r="U2493" s="168">
        <f t="shared" si="4"/>
        <v>0</v>
      </c>
      <c r="V2493" s="168">
        <f t="shared" si="5"/>
        <v>0</v>
      </c>
      <c r="W2493" s="168">
        <f t="shared" si="6"/>
        <v>0</v>
      </c>
      <c r="X2493" s="168">
        <f t="shared" si="7"/>
        <v>0</v>
      </c>
      <c r="Y2493" s="168">
        <f t="shared" si="8"/>
        <v>0</v>
      </c>
      <c r="Z2493" s="168">
        <f t="shared" si="9"/>
        <v>0</v>
      </c>
    </row>
    <row r="2494" ht="15.0" customHeight="1">
      <c r="A2494" s="157" t="s">
        <v>2805</v>
      </c>
      <c r="B2494" s="158" t="s">
        <v>37</v>
      </c>
      <c r="C2494" s="158" t="s">
        <v>2803</v>
      </c>
      <c r="D2494" s="159">
        <v>44301.0</v>
      </c>
      <c r="E2494" s="157" t="s">
        <v>731</v>
      </c>
      <c r="F2494" s="160">
        <v>38532.0</v>
      </c>
      <c r="G2494" s="160">
        <v>6165.12</v>
      </c>
      <c r="H2494" s="160">
        <f t="shared" si="58"/>
        <v>44697.12</v>
      </c>
      <c r="I2494" s="160"/>
      <c r="J2494" s="161"/>
      <c r="K2494" s="160"/>
      <c r="L2494" s="160">
        <f>+'FACP$'!$H2494-'FACP$'!$I2494-'FACP$'!$K2494</f>
        <v>44697.12</v>
      </c>
      <c r="M2494" s="162" t="s">
        <v>116</v>
      </c>
      <c r="N2494" s="162" t="s">
        <v>127</v>
      </c>
      <c r="O2494" s="164"/>
      <c r="P2494" s="164">
        <f t="shared" si="13"/>
        <v>44311</v>
      </c>
      <c r="Q2494" s="165">
        <f t="shared" si="2"/>
        <v>0</v>
      </c>
      <c r="R2494" s="167"/>
      <c r="S2494" s="167"/>
      <c r="T2494" s="168">
        <f t="shared" si="3"/>
        <v>44697.12</v>
      </c>
      <c r="U2494" s="168">
        <f t="shared" si="4"/>
        <v>0</v>
      </c>
      <c r="V2494" s="168">
        <f t="shared" si="5"/>
        <v>0</v>
      </c>
      <c r="W2494" s="168">
        <f t="shared" si="6"/>
        <v>0</v>
      </c>
      <c r="X2494" s="168">
        <f t="shared" si="7"/>
        <v>0</v>
      </c>
      <c r="Y2494" s="168">
        <f t="shared" si="8"/>
        <v>0</v>
      </c>
      <c r="Z2494" s="168">
        <f t="shared" si="9"/>
        <v>0</v>
      </c>
    </row>
    <row r="2495" ht="15.0" customHeight="1">
      <c r="A2495" s="157" t="s">
        <v>2806</v>
      </c>
      <c r="B2495" s="158" t="s">
        <v>35</v>
      </c>
      <c r="C2495" s="158" t="s">
        <v>2803</v>
      </c>
      <c r="D2495" s="159">
        <v>44301.0</v>
      </c>
      <c r="E2495" s="157" t="s">
        <v>731</v>
      </c>
      <c r="F2495" s="160">
        <v>19266.0</v>
      </c>
      <c r="G2495" s="160">
        <v>3082.56</v>
      </c>
      <c r="H2495" s="160">
        <f t="shared" si="58"/>
        <v>22348.56</v>
      </c>
      <c r="I2495" s="160"/>
      <c r="J2495" s="161"/>
      <c r="K2495" s="160"/>
      <c r="L2495" s="160">
        <f>+'FACP$'!$H2495-'FACP$'!$I2495-'FACP$'!$K2495</f>
        <v>22348.56</v>
      </c>
      <c r="M2495" s="162" t="s">
        <v>276</v>
      </c>
      <c r="N2495" s="162" t="s">
        <v>127</v>
      </c>
      <c r="O2495" s="164"/>
      <c r="P2495" s="164">
        <f t="shared" si="13"/>
        <v>44311</v>
      </c>
      <c r="Q2495" s="165">
        <f t="shared" si="2"/>
        <v>0</v>
      </c>
      <c r="R2495" s="167"/>
      <c r="S2495" s="167"/>
      <c r="T2495" s="168">
        <f t="shared" si="3"/>
        <v>22348.56</v>
      </c>
      <c r="U2495" s="168">
        <f t="shared" si="4"/>
        <v>0</v>
      </c>
      <c r="V2495" s="168">
        <f t="shared" si="5"/>
        <v>0</v>
      </c>
      <c r="W2495" s="168">
        <f t="shared" si="6"/>
        <v>0</v>
      </c>
      <c r="X2495" s="168">
        <f t="shared" si="7"/>
        <v>0</v>
      </c>
      <c r="Y2495" s="168">
        <f t="shared" si="8"/>
        <v>0</v>
      </c>
      <c r="Z2495" s="168">
        <f t="shared" si="9"/>
        <v>0</v>
      </c>
    </row>
    <row r="2496" ht="15.0" customHeight="1">
      <c r="A2496" s="157" t="s">
        <v>2807</v>
      </c>
      <c r="B2496" s="158" t="s">
        <v>33</v>
      </c>
      <c r="C2496" s="158" t="s">
        <v>2803</v>
      </c>
      <c r="D2496" s="159">
        <v>44301.0</v>
      </c>
      <c r="E2496" s="157" t="s">
        <v>731</v>
      </c>
      <c r="F2496" s="160">
        <v>19266.0</v>
      </c>
      <c r="G2496" s="160">
        <v>3082.56</v>
      </c>
      <c r="H2496" s="160">
        <f t="shared" si="58"/>
        <v>22348.56</v>
      </c>
      <c r="I2496" s="160"/>
      <c r="J2496" s="161"/>
      <c r="K2496" s="160"/>
      <c r="L2496" s="160">
        <f>+'FACP$'!$H2496-'FACP$'!$I2496-'FACP$'!$K2496</f>
        <v>22348.56</v>
      </c>
      <c r="M2496" s="162" t="s">
        <v>958</v>
      </c>
      <c r="N2496" s="162" t="s">
        <v>127</v>
      </c>
      <c r="O2496" s="164"/>
      <c r="P2496" s="164">
        <f t="shared" si="13"/>
        <v>44311</v>
      </c>
      <c r="Q2496" s="165">
        <f t="shared" si="2"/>
        <v>0</v>
      </c>
      <c r="R2496" s="167"/>
      <c r="S2496" s="167"/>
      <c r="T2496" s="168">
        <f t="shared" si="3"/>
        <v>22348.56</v>
      </c>
      <c r="U2496" s="168">
        <f t="shared" si="4"/>
        <v>0</v>
      </c>
      <c r="V2496" s="168">
        <f t="shared" si="5"/>
        <v>0</v>
      </c>
      <c r="W2496" s="168">
        <f t="shared" si="6"/>
        <v>0</v>
      </c>
      <c r="X2496" s="168">
        <f t="shared" si="7"/>
        <v>0</v>
      </c>
      <c r="Y2496" s="168">
        <f t="shared" si="8"/>
        <v>0</v>
      </c>
      <c r="Z2496" s="168">
        <f t="shared" si="9"/>
        <v>0</v>
      </c>
    </row>
    <row r="2497" ht="15.0" customHeight="1">
      <c r="A2497" s="157" t="s">
        <v>2808</v>
      </c>
      <c r="B2497" s="158" t="s">
        <v>110</v>
      </c>
      <c r="C2497" s="158" t="s">
        <v>2803</v>
      </c>
      <c r="D2497" s="159">
        <v>44301.0</v>
      </c>
      <c r="E2497" s="157" t="s">
        <v>731</v>
      </c>
      <c r="F2497" s="160">
        <v>19266.0</v>
      </c>
      <c r="G2497" s="160">
        <v>3082.56</v>
      </c>
      <c r="H2497" s="160">
        <f t="shared" si="58"/>
        <v>22348.56</v>
      </c>
      <c r="I2497" s="160"/>
      <c r="J2497" s="161"/>
      <c r="K2497" s="160"/>
      <c r="L2497" s="160">
        <f>+'FACP$'!$H2497-'FACP$'!$I2497-'FACP$'!$K2497</f>
        <v>22348.56</v>
      </c>
      <c r="M2497" s="162" t="s">
        <v>158</v>
      </c>
      <c r="N2497" s="162" t="s">
        <v>127</v>
      </c>
      <c r="O2497" s="164"/>
      <c r="P2497" s="164">
        <f t="shared" si="13"/>
        <v>44311</v>
      </c>
      <c r="Q2497" s="165">
        <f t="shared" si="2"/>
        <v>0</v>
      </c>
      <c r="R2497" s="167"/>
      <c r="S2497" s="167"/>
      <c r="T2497" s="168">
        <f t="shared" si="3"/>
        <v>22348.56</v>
      </c>
      <c r="U2497" s="168">
        <f t="shared" si="4"/>
        <v>0</v>
      </c>
      <c r="V2497" s="168">
        <f t="shared" si="5"/>
        <v>0</v>
      </c>
      <c r="W2497" s="168">
        <f t="shared" si="6"/>
        <v>0</v>
      </c>
      <c r="X2497" s="168">
        <f t="shared" si="7"/>
        <v>0</v>
      </c>
      <c r="Y2497" s="168">
        <f t="shared" si="8"/>
        <v>0</v>
      </c>
      <c r="Z2497" s="168">
        <f t="shared" si="9"/>
        <v>0</v>
      </c>
    </row>
    <row r="2498" ht="15.0" customHeight="1">
      <c r="A2498" s="157" t="s">
        <v>2809</v>
      </c>
      <c r="B2498" s="158" t="s">
        <v>16</v>
      </c>
      <c r="C2498" s="158" t="s">
        <v>2810</v>
      </c>
      <c r="D2498" s="159">
        <v>44309.0</v>
      </c>
      <c r="E2498" s="157" t="s">
        <v>731</v>
      </c>
      <c r="F2498" s="160">
        <v>238325.09</v>
      </c>
      <c r="G2498" s="160">
        <v>38132.02</v>
      </c>
      <c r="H2498" s="160">
        <f t="shared" si="58"/>
        <v>276457.11</v>
      </c>
      <c r="I2498" s="160"/>
      <c r="J2498" s="161"/>
      <c r="K2498" s="160"/>
      <c r="L2498" s="160">
        <f>+'FACP$'!$H2498-'FACP$'!$I2498-'FACP$'!$K2498</f>
        <v>276457.11</v>
      </c>
      <c r="M2498" s="162" t="s">
        <v>985</v>
      </c>
      <c r="N2498" s="162" t="s">
        <v>554</v>
      </c>
      <c r="O2498" s="164">
        <v>44330.0</v>
      </c>
      <c r="P2498" s="164">
        <f t="shared" si="13"/>
        <v>44319</v>
      </c>
      <c r="Q2498" s="165">
        <f t="shared" si="2"/>
        <v>0</v>
      </c>
      <c r="R2498" s="167"/>
      <c r="S2498" s="167"/>
      <c r="T2498" s="168">
        <f t="shared" si="3"/>
        <v>276457.11</v>
      </c>
      <c r="U2498" s="168">
        <f t="shared" si="4"/>
        <v>0</v>
      </c>
      <c r="V2498" s="168">
        <f t="shared" si="5"/>
        <v>0</v>
      </c>
      <c r="W2498" s="168">
        <f t="shared" si="6"/>
        <v>0</v>
      </c>
      <c r="X2498" s="168">
        <f t="shared" si="7"/>
        <v>0</v>
      </c>
      <c r="Y2498" s="168">
        <f t="shared" si="8"/>
        <v>0</v>
      </c>
      <c r="Z2498" s="168">
        <f t="shared" si="9"/>
        <v>0</v>
      </c>
    </row>
    <row r="2499" ht="15.0" customHeight="1">
      <c r="A2499" s="157" t="s">
        <v>2811</v>
      </c>
      <c r="B2499" s="158" t="s">
        <v>16</v>
      </c>
      <c r="C2499" s="158" t="s">
        <v>2812</v>
      </c>
      <c r="D2499" s="159">
        <v>44309.0</v>
      </c>
      <c r="E2499" s="157" t="s">
        <v>731</v>
      </c>
      <c r="F2499" s="160">
        <v>307092.76</v>
      </c>
      <c r="G2499" s="160">
        <v>49134.84</v>
      </c>
      <c r="H2499" s="160">
        <f t="shared" si="58"/>
        <v>356227.6</v>
      </c>
      <c r="I2499" s="160"/>
      <c r="J2499" s="161"/>
      <c r="K2499" s="160"/>
      <c r="L2499" s="160">
        <f>+'FACP$'!$H2499-'FACP$'!$I2499-'FACP$'!$K2499</f>
        <v>356227.6</v>
      </c>
      <c r="M2499" s="162" t="s">
        <v>985</v>
      </c>
      <c r="N2499" s="162" t="s">
        <v>554</v>
      </c>
      <c r="O2499" s="164">
        <v>44330.0</v>
      </c>
      <c r="P2499" s="164">
        <f t="shared" si="13"/>
        <v>44319</v>
      </c>
      <c r="Q2499" s="165">
        <f t="shared" si="2"/>
        <v>0</v>
      </c>
      <c r="R2499" s="167"/>
      <c r="S2499" s="167"/>
      <c r="T2499" s="168">
        <f t="shared" si="3"/>
        <v>356227.6</v>
      </c>
      <c r="U2499" s="168">
        <f t="shared" si="4"/>
        <v>0</v>
      </c>
      <c r="V2499" s="168">
        <f t="shared" si="5"/>
        <v>0</v>
      </c>
      <c r="W2499" s="168">
        <f t="shared" si="6"/>
        <v>0</v>
      </c>
      <c r="X2499" s="168">
        <f t="shared" si="7"/>
        <v>0</v>
      </c>
      <c r="Y2499" s="168">
        <f t="shared" si="8"/>
        <v>0</v>
      </c>
      <c r="Z2499" s="168">
        <f t="shared" si="9"/>
        <v>0</v>
      </c>
    </row>
    <row r="2500" ht="15.0" customHeight="1">
      <c r="A2500" s="157" t="s">
        <v>2813</v>
      </c>
      <c r="B2500" s="158" t="s">
        <v>18</v>
      </c>
      <c r="C2500" s="158" t="s">
        <v>2810</v>
      </c>
      <c r="D2500" s="159">
        <v>44309.0</v>
      </c>
      <c r="E2500" s="157" t="s">
        <v>731</v>
      </c>
      <c r="F2500" s="160">
        <v>112667.61</v>
      </c>
      <c r="G2500" s="247">
        <v>18026.82</v>
      </c>
      <c r="H2500" s="160">
        <f t="shared" si="58"/>
        <v>130694.43</v>
      </c>
      <c r="I2500" s="160"/>
      <c r="J2500" s="161"/>
      <c r="K2500" s="160"/>
      <c r="L2500" s="160">
        <f>+'FACP$'!$H2500-'FACP$'!$I2500-'FACP$'!$K2500</f>
        <v>130694.43</v>
      </c>
      <c r="M2500" s="162" t="s">
        <v>586</v>
      </c>
      <c r="N2500" s="162" t="s">
        <v>554</v>
      </c>
      <c r="O2500" s="164">
        <v>44333.0</v>
      </c>
      <c r="P2500" s="164">
        <f t="shared" si="13"/>
        <v>44319</v>
      </c>
      <c r="Q2500" s="165">
        <f t="shared" si="2"/>
        <v>0</v>
      </c>
      <c r="R2500" s="167"/>
      <c r="S2500" s="167"/>
      <c r="T2500" s="168">
        <f t="shared" si="3"/>
        <v>130694.43</v>
      </c>
      <c r="U2500" s="168">
        <f t="shared" si="4"/>
        <v>0</v>
      </c>
      <c r="V2500" s="168">
        <f t="shared" si="5"/>
        <v>0</v>
      </c>
      <c r="W2500" s="168">
        <f t="shared" si="6"/>
        <v>0</v>
      </c>
      <c r="X2500" s="168">
        <f t="shared" si="7"/>
        <v>0</v>
      </c>
      <c r="Y2500" s="168">
        <f t="shared" si="8"/>
        <v>0</v>
      </c>
      <c r="Z2500" s="168">
        <f t="shared" si="9"/>
        <v>0</v>
      </c>
    </row>
    <row r="2501" ht="15.0" customHeight="1">
      <c r="A2501" s="157" t="s">
        <v>2814</v>
      </c>
      <c r="B2501" s="158" t="s">
        <v>19</v>
      </c>
      <c r="C2501" s="158" t="s">
        <v>2810</v>
      </c>
      <c r="D2501" s="159">
        <v>44309.0</v>
      </c>
      <c r="E2501" s="157" t="s">
        <v>731</v>
      </c>
      <c r="F2501" s="160">
        <v>133425.16</v>
      </c>
      <c r="G2501" s="160">
        <v>21348.03</v>
      </c>
      <c r="H2501" s="160">
        <f t="shared" si="58"/>
        <v>154773.19</v>
      </c>
      <c r="I2501" s="160"/>
      <c r="J2501" s="161"/>
      <c r="K2501" s="160"/>
      <c r="L2501" s="160">
        <f>+'FACP$'!$H2501-'FACP$'!$I2501-'FACP$'!$K2501</f>
        <v>154773.19</v>
      </c>
      <c r="M2501" s="162" t="s">
        <v>732</v>
      </c>
      <c r="N2501" s="162" t="s">
        <v>554</v>
      </c>
      <c r="O2501" s="164">
        <v>44333.0</v>
      </c>
      <c r="P2501" s="164">
        <f t="shared" si="13"/>
        <v>44319</v>
      </c>
      <c r="Q2501" s="165">
        <f t="shared" si="2"/>
        <v>0</v>
      </c>
      <c r="R2501" s="167"/>
      <c r="S2501" s="167"/>
      <c r="T2501" s="168">
        <f t="shared" si="3"/>
        <v>154773.19</v>
      </c>
      <c r="U2501" s="168">
        <f t="shared" si="4"/>
        <v>0</v>
      </c>
      <c r="V2501" s="168">
        <f t="shared" si="5"/>
        <v>0</v>
      </c>
      <c r="W2501" s="168">
        <f t="shared" si="6"/>
        <v>0</v>
      </c>
      <c r="X2501" s="168">
        <f t="shared" si="7"/>
        <v>0</v>
      </c>
      <c r="Y2501" s="168">
        <f t="shared" si="8"/>
        <v>0</v>
      </c>
      <c r="Z2501" s="168">
        <f t="shared" si="9"/>
        <v>0</v>
      </c>
    </row>
    <row r="2502" ht="15.0" customHeight="1">
      <c r="A2502" s="157" t="s">
        <v>2815</v>
      </c>
      <c r="B2502" s="158" t="s">
        <v>26</v>
      </c>
      <c r="C2502" s="158" t="s">
        <v>2810</v>
      </c>
      <c r="D2502" s="159">
        <v>44309.0</v>
      </c>
      <c r="E2502" s="157" t="s">
        <v>731</v>
      </c>
      <c r="F2502" s="160">
        <v>61596.69</v>
      </c>
      <c r="G2502" s="160">
        <v>9855.47</v>
      </c>
      <c r="H2502" s="160">
        <f t="shared" si="58"/>
        <v>71452.16</v>
      </c>
      <c r="I2502" s="160"/>
      <c r="J2502" s="161"/>
      <c r="K2502" s="160"/>
      <c r="L2502" s="160">
        <f>+'FACP$'!$H2502-'FACP$'!$I2502-'FACP$'!$K2502</f>
        <v>71452.16</v>
      </c>
      <c r="M2502" s="162" t="s">
        <v>2386</v>
      </c>
      <c r="N2502" s="162" t="s">
        <v>554</v>
      </c>
      <c r="O2502" s="164">
        <v>44337.0</v>
      </c>
      <c r="P2502" s="164">
        <f t="shared" si="13"/>
        <v>44319</v>
      </c>
      <c r="Q2502" s="165">
        <f t="shared" si="2"/>
        <v>0</v>
      </c>
      <c r="R2502" s="167"/>
      <c r="S2502" s="167"/>
      <c r="T2502" s="168">
        <f t="shared" si="3"/>
        <v>71452.16</v>
      </c>
      <c r="U2502" s="168">
        <f t="shared" si="4"/>
        <v>0</v>
      </c>
      <c r="V2502" s="168">
        <f t="shared" si="5"/>
        <v>0</v>
      </c>
      <c r="W2502" s="168">
        <f t="shared" si="6"/>
        <v>0</v>
      </c>
      <c r="X2502" s="168">
        <f t="shared" si="7"/>
        <v>0</v>
      </c>
      <c r="Y2502" s="168">
        <f t="shared" si="8"/>
        <v>0</v>
      </c>
      <c r="Z2502" s="168">
        <f t="shared" si="9"/>
        <v>0</v>
      </c>
    </row>
    <row r="2503" ht="15.0" customHeight="1">
      <c r="A2503" s="157" t="s">
        <v>2816</v>
      </c>
      <c r="B2503" s="158" t="s">
        <v>29</v>
      </c>
      <c r="C2503" s="158" t="s">
        <v>2810</v>
      </c>
      <c r="D2503" s="159">
        <v>44309.0</v>
      </c>
      <c r="E2503" s="157" t="s">
        <v>731</v>
      </c>
      <c r="F2503" s="160">
        <v>236750.36</v>
      </c>
      <c r="G2503" s="160">
        <v>37880.06</v>
      </c>
      <c r="H2503" s="160">
        <f t="shared" si="58"/>
        <v>274630.42</v>
      </c>
      <c r="I2503" s="160"/>
      <c r="J2503" s="161"/>
      <c r="K2503" s="160"/>
      <c r="L2503" s="160">
        <f>+'FACP$'!$H2503-'FACP$'!$I2503-'FACP$'!$K2503</f>
        <v>274630.42</v>
      </c>
      <c r="M2503" s="162" t="s">
        <v>130</v>
      </c>
      <c r="N2503" s="162" t="s">
        <v>554</v>
      </c>
      <c r="O2503" s="164">
        <v>44327.0</v>
      </c>
      <c r="P2503" s="164">
        <f t="shared" si="13"/>
        <v>44319</v>
      </c>
      <c r="Q2503" s="165">
        <f t="shared" si="2"/>
        <v>0</v>
      </c>
      <c r="R2503" s="167"/>
      <c r="S2503" s="167"/>
      <c r="T2503" s="168">
        <f t="shared" si="3"/>
        <v>274630.42</v>
      </c>
      <c r="U2503" s="168">
        <f t="shared" si="4"/>
        <v>0</v>
      </c>
      <c r="V2503" s="168">
        <f t="shared" si="5"/>
        <v>0</v>
      </c>
      <c r="W2503" s="168">
        <f t="shared" si="6"/>
        <v>0</v>
      </c>
      <c r="X2503" s="168">
        <f t="shared" si="7"/>
        <v>0</v>
      </c>
      <c r="Y2503" s="168">
        <f t="shared" si="8"/>
        <v>0</v>
      </c>
      <c r="Z2503" s="168">
        <f t="shared" si="9"/>
        <v>0</v>
      </c>
    </row>
    <row r="2504" ht="15.0" customHeight="1">
      <c r="A2504" s="157" t="s">
        <v>2817</v>
      </c>
      <c r="B2504" s="158" t="s">
        <v>29</v>
      </c>
      <c r="C2504" s="158" t="s">
        <v>2812</v>
      </c>
      <c r="D2504" s="159">
        <v>44309.0</v>
      </c>
      <c r="E2504" s="157" t="s">
        <v>731</v>
      </c>
      <c r="F2504" s="160">
        <v>327224.72</v>
      </c>
      <c r="G2504" s="160">
        <v>52355.96</v>
      </c>
      <c r="H2504" s="160">
        <f t="shared" si="58"/>
        <v>379580.68</v>
      </c>
      <c r="I2504" s="160"/>
      <c r="J2504" s="161"/>
      <c r="K2504" s="160"/>
      <c r="L2504" s="160">
        <f>+'FACP$'!$H2504-'FACP$'!$I2504-'FACP$'!$K2504</f>
        <v>379580.68</v>
      </c>
      <c r="M2504" s="162" t="s">
        <v>130</v>
      </c>
      <c r="N2504" s="162" t="s">
        <v>554</v>
      </c>
      <c r="O2504" s="164">
        <v>44357.0</v>
      </c>
      <c r="P2504" s="164">
        <f t="shared" si="13"/>
        <v>44319</v>
      </c>
      <c r="Q2504" s="165">
        <f t="shared" si="2"/>
        <v>0</v>
      </c>
      <c r="R2504" s="167"/>
      <c r="S2504" s="167"/>
      <c r="T2504" s="168">
        <f t="shared" si="3"/>
        <v>379580.68</v>
      </c>
      <c r="U2504" s="168">
        <f t="shared" si="4"/>
        <v>0</v>
      </c>
      <c r="V2504" s="168">
        <f t="shared" si="5"/>
        <v>0</v>
      </c>
      <c r="W2504" s="168">
        <f t="shared" si="6"/>
        <v>0</v>
      </c>
      <c r="X2504" s="168">
        <f t="shared" si="7"/>
        <v>0</v>
      </c>
      <c r="Y2504" s="168">
        <f t="shared" si="8"/>
        <v>0</v>
      </c>
      <c r="Z2504" s="168">
        <f t="shared" si="9"/>
        <v>0</v>
      </c>
      <c r="AA2504" s="240"/>
      <c r="AB2504" s="240"/>
      <c r="AC2504" s="240"/>
    </row>
    <row r="2505" ht="15.0" customHeight="1">
      <c r="A2505" s="157" t="s">
        <v>2818</v>
      </c>
      <c r="B2505" s="158" t="s">
        <v>41</v>
      </c>
      <c r="C2505" s="158" t="s">
        <v>2810</v>
      </c>
      <c r="D2505" s="159">
        <v>44309.0</v>
      </c>
      <c r="E2505" s="157" t="s">
        <v>731</v>
      </c>
      <c r="F2505" s="160">
        <v>494840.53</v>
      </c>
      <c r="G2505" s="160">
        <v>79174.48</v>
      </c>
      <c r="H2505" s="160">
        <f t="shared" si="58"/>
        <v>574015.01</v>
      </c>
      <c r="I2505" s="160"/>
      <c r="J2505" s="161"/>
      <c r="K2505" s="160"/>
      <c r="L2505" s="160">
        <f>+'FACP$'!$H2505-'FACP$'!$I2505-'FACP$'!$K2505</f>
        <v>574015.01</v>
      </c>
      <c r="M2505" s="162" t="s">
        <v>121</v>
      </c>
      <c r="N2505" s="162" t="s">
        <v>127</v>
      </c>
      <c r="O2505" s="164"/>
      <c r="P2505" s="164">
        <f t="shared" si="13"/>
        <v>44319</v>
      </c>
      <c r="Q2505" s="165">
        <f t="shared" si="2"/>
        <v>0</v>
      </c>
      <c r="R2505" s="167"/>
      <c r="S2505" s="167"/>
      <c r="T2505" s="168">
        <f t="shared" si="3"/>
        <v>574015.01</v>
      </c>
      <c r="U2505" s="168">
        <f t="shared" si="4"/>
        <v>0</v>
      </c>
      <c r="V2505" s="168">
        <f t="shared" si="5"/>
        <v>0</v>
      </c>
      <c r="W2505" s="168">
        <f t="shared" si="6"/>
        <v>0</v>
      </c>
      <c r="X2505" s="168">
        <f t="shared" si="7"/>
        <v>0</v>
      </c>
      <c r="Y2505" s="168">
        <f t="shared" si="8"/>
        <v>0</v>
      </c>
      <c r="Z2505" s="168">
        <f t="shared" si="9"/>
        <v>0</v>
      </c>
    </row>
    <row r="2506" ht="15.0" customHeight="1">
      <c r="A2506" s="157" t="s">
        <v>2819</v>
      </c>
      <c r="B2506" s="158" t="s">
        <v>37</v>
      </c>
      <c r="C2506" s="158" t="s">
        <v>2810</v>
      </c>
      <c r="D2506" s="159">
        <v>44309.0</v>
      </c>
      <c r="E2506" s="157" t="s">
        <v>731</v>
      </c>
      <c r="F2506" s="160">
        <v>1680448.49</v>
      </c>
      <c r="G2506" s="160">
        <v>268871.76</v>
      </c>
      <c r="H2506" s="160">
        <f t="shared" si="58"/>
        <v>1949320.25</v>
      </c>
      <c r="I2506" s="160"/>
      <c r="J2506" s="161"/>
      <c r="K2506" s="160"/>
      <c r="L2506" s="160">
        <f>+'FACP$'!$H2506-'FACP$'!$I2506-'FACP$'!$K2506</f>
        <v>1949320.25</v>
      </c>
      <c r="M2506" s="162" t="s">
        <v>116</v>
      </c>
      <c r="N2506" s="162" t="s">
        <v>554</v>
      </c>
      <c r="O2506" s="164">
        <v>44326.0</v>
      </c>
      <c r="P2506" s="164">
        <f t="shared" si="13"/>
        <v>44319</v>
      </c>
      <c r="Q2506" s="165">
        <f t="shared" si="2"/>
        <v>0</v>
      </c>
      <c r="R2506" s="167"/>
      <c r="S2506" s="167"/>
      <c r="T2506" s="168">
        <f t="shared" si="3"/>
        <v>1949320.25</v>
      </c>
      <c r="U2506" s="168">
        <f t="shared" si="4"/>
        <v>0</v>
      </c>
      <c r="V2506" s="168">
        <f t="shared" si="5"/>
        <v>0</v>
      </c>
      <c r="W2506" s="168">
        <f t="shared" si="6"/>
        <v>0</v>
      </c>
      <c r="X2506" s="168">
        <f t="shared" si="7"/>
        <v>0</v>
      </c>
      <c r="Y2506" s="168">
        <f t="shared" si="8"/>
        <v>0</v>
      </c>
      <c r="Z2506" s="168">
        <f t="shared" si="9"/>
        <v>0</v>
      </c>
    </row>
    <row r="2507" ht="15.0" customHeight="1">
      <c r="A2507" s="157" t="s">
        <v>2820</v>
      </c>
      <c r="B2507" s="158" t="s">
        <v>33</v>
      </c>
      <c r="C2507" s="158" t="s">
        <v>2810</v>
      </c>
      <c r="D2507" s="159">
        <v>44309.0</v>
      </c>
      <c r="E2507" s="157" t="s">
        <v>731</v>
      </c>
      <c r="F2507" s="160">
        <v>627143.19</v>
      </c>
      <c r="G2507" s="160">
        <v>100342.91</v>
      </c>
      <c r="H2507" s="160">
        <f t="shared" si="58"/>
        <v>727486.1</v>
      </c>
      <c r="I2507" s="160"/>
      <c r="J2507" s="161"/>
      <c r="K2507" s="160"/>
      <c r="L2507" s="160">
        <f>+'FACP$'!$H2507-'FACP$'!$I2507-'FACP$'!$K2507</f>
        <v>727486.1</v>
      </c>
      <c r="M2507" s="162" t="s">
        <v>958</v>
      </c>
      <c r="N2507" s="162" t="s">
        <v>554</v>
      </c>
      <c r="O2507" s="164">
        <v>44323.0</v>
      </c>
      <c r="P2507" s="164">
        <f t="shared" si="13"/>
        <v>44319</v>
      </c>
      <c r="Q2507" s="165">
        <f t="shared" si="2"/>
        <v>0</v>
      </c>
      <c r="R2507" s="167"/>
      <c r="S2507" s="167"/>
      <c r="T2507" s="168">
        <f t="shared" si="3"/>
        <v>727486.1</v>
      </c>
      <c r="U2507" s="168">
        <f t="shared" si="4"/>
        <v>0</v>
      </c>
      <c r="V2507" s="168">
        <f t="shared" si="5"/>
        <v>0</v>
      </c>
      <c r="W2507" s="168">
        <f t="shared" si="6"/>
        <v>0</v>
      </c>
      <c r="X2507" s="168">
        <f t="shared" si="7"/>
        <v>0</v>
      </c>
      <c r="Y2507" s="168">
        <f t="shared" si="8"/>
        <v>0</v>
      </c>
      <c r="Z2507" s="168">
        <f t="shared" si="9"/>
        <v>0</v>
      </c>
    </row>
    <row r="2508" ht="15.0" customHeight="1">
      <c r="A2508" s="157" t="s">
        <v>2821</v>
      </c>
      <c r="B2508" s="158" t="s">
        <v>35</v>
      </c>
      <c r="C2508" s="158" t="s">
        <v>2810</v>
      </c>
      <c r="D2508" s="159">
        <v>44309.0</v>
      </c>
      <c r="E2508" s="157" t="s">
        <v>731</v>
      </c>
      <c r="F2508" s="160">
        <v>285708.8</v>
      </c>
      <c r="G2508" s="160">
        <v>45713.41</v>
      </c>
      <c r="H2508" s="160">
        <f t="shared" si="58"/>
        <v>331422.21</v>
      </c>
      <c r="I2508" s="160"/>
      <c r="J2508" s="161"/>
      <c r="K2508" s="160"/>
      <c r="L2508" s="160">
        <f>+'FACP$'!$H2508-'FACP$'!$I2508-'FACP$'!$K2508</f>
        <v>331422.21</v>
      </c>
      <c r="M2508" s="162" t="s">
        <v>276</v>
      </c>
      <c r="N2508" s="162" t="s">
        <v>554</v>
      </c>
      <c r="O2508" s="164">
        <v>44321.0</v>
      </c>
      <c r="P2508" s="164">
        <f t="shared" si="13"/>
        <v>44319</v>
      </c>
      <c r="Q2508" s="165">
        <f t="shared" si="2"/>
        <v>0</v>
      </c>
      <c r="R2508" s="167"/>
      <c r="S2508" s="167"/>
      <c r="T2508" s="168">
        <f t="shared" si="3"/>
        <v>331422.21</v>
      </c>
      <c r="U2508" s="168">
        <f t="shared" si="4"/>
        <v>0</v>
      </c>
      <c r="V2508" s="168">
        <f t="shared" si="5"/>
        <v>0</v>
      </c>
      <c r="W2508" s="168">
        <f t="shared" si="6"/>
        <v>0</v>
      </c>
      <c r="X2508" s="168">
        <f t="shared" si="7"/>
        <v>0</v>
      </c>
      <c r="Y2508" s="168">
        <f t="shared" si="8"/>
        <v>0</v>
      </c>
      <c r="Z2508" s="168">
        <f t="shared" si="9"/>
        <v>0</v>
      </c>
    </row>
    <row r="2509" ht="15.0" customHeight="1">
      <c r="A2509" s="157" t="s">
        <v>2822</v>
      </c>
      <c r="B2509" s="158" t="s">
        <v>36</v>
      </c>
      <c r="C2509" s="158" t="s">
        <v>2810</v>
      </c>
      <c r="D2509" s="159">
        <v>44309.0</v>
      </c>
      <c r="E2509" s="157" t="s">
        <v>731</v>
      </c>
      <c r="F2509" s="160">
        <v>50287.9</v>
      </c>
      <c r="G2509" s="160">
        <v>8046.06</v>
      </c>
      <c r="H2509" s="160">
        <f t="shared" si="58"/>
        <v>58333.96</v>
      </c>
      <c r="I2509" s="160"/>
      <c r="J2509" s="161"/>
      <c r="K2509" s="160"/>
      <c r="L2509" s="160">
        <f>+'FACP$'!$H2509-'FACP$'!$I2509-'FACP$'!$K2509</f>
        <v>58333.96</v>
      </c>
      <c r="M2509" s="162" t="s">
        <v>278</v>
      </c>
      <c r="N2509" s="162" t="s">
        <v>554</v>
      </c>
      <c r="O2509" s="164">
        <v>44354.0</v>
      </c>
      <c r="P2509" s="164">
        <f t="shared" si="13"/>
        <v>44319</v>
      </c>
      <c r="Q2509" s="165">
        <f t="shared" si="2"/>
        <v>0</v>
      </c>
      <c r="R2509" s="167"/>
      <c r="S2509" s="167"/>
      <c r="T2509" s="168">
        <f t="shared" si="3"/>
        <v>58333.96</v>
      </c>
      <c r="U2509" s="168">
        <f t="shared" si="4"/>
        <v>0</v>
      </c>
      <c r="V2509" s="168">
        <f t="shared" si="5"/>
        <v>0</v>
      </c>
      <c r="W2509" s="168">
        <f t="shared" si="6"/>
        <v>0</v>
      </c>
      <c r="X2509" s="168">
        <f t="shared" si="7"/>
        <v>0</v>
      </c>
      <c r="Y2509" s="168">
        <f t="shared" si="8"/>
        <v>0</v>
      </c>
      <c r="Z2509" s="168">
        <f t="shared" si="9"/>
        <v>0</v>
      </c>
    </row>
    <row r="2510" ht="15.0" customHeight="1">
      <c r="A2510" s="157" t="s">
        <v>2823</v>
      </c>
      <c r="B2510" s="158" t="s">
        <v>38</v>
      </c>
      <c r="C2510" s="158" t="s">
        <v>2810</v>
      </c>
      <c r="D2510" s="159">
        <v>44309.0</v>
      </c>
      <c r="E2510" s="157" t="s">
        <v>731</v>
      </c>
      <c r="F2510" s="160">
        <v>505846.48</v>
      </c>
      <c r="G2510" s="160">
        <v>80935.44</v>
      </c>
      <c r="H2510" s="160">
        <f t="shared" si="58"/>
        <v>586781.92</v>
      </c>
      <c r="I2510" s="160"/>
      <c r="J2510" s="161"/>
      <c r="K2510" s="160"/>
      <c r="L2510" s="160">
        <f>+'FACP$'!$H2510-'FACP$'!$I2510-'FACP$'!$K2510</f>
        <v>586781.92</v>
      </c>
      <c r="M2510" s="162" t="s">
        <v>145</v>
      </c>
      <c r="N2510" s="162" t="s">
        <v>554</v>
      </c>
      <c r="O2510" s="164">
        <v>44351.0</v>
      </c>
      <c r="P2510" s="164">
        <f t="shared" si="13"/>
        <v>44319</v>
      </c>
      <c r="Q2510" s="165">
        <f t="shared" si="2"/>
        <v>0</v>
      </c>
      <c r="R2510" s="167"/>
      <c r="S2510" s="167"/>
      <c r="T2510" s="168">
        <f t="shared" si="3"/>
        <v>586781.92</v>
      </c>
      <c r="U2510" s="168">
        <f t="shared" si="4"/>
        <v>0</v>
      </c>
      <c r="V2510" s="168">
        <f t="shared" si="5"/>
        <v>0</v>
      </c>
      <c r="W2510" s="168">
        <f t="shared" si="6"/>
        <v>0</v>
      </c>
      <c r="X2510" s="168">
        <f t="shared" si="7"/>
        <v>0</v>
      </c>
      <c r="Y2510" s="168">
        <f t="shared" si="8"/>
        <v>0</v>
      </c>
      <c r="Z2510" s="168">
        <f t="shared" si="9"/>
        <v>0</v>
      </c>
    </row>
    <row r="2511" ht="15.0" customHeight="1">
      <c r="A2511" s="157" t="s">
        <v>2824</v>
      </c>
      <c r="B2511" s="158" t="s">
        <v>1127</v>
      </c>
      <c r="C2511" s="158" t="s">
        <v>2810</v>
      </c>
      <c r="D2511" s="159">
        <v>44309.0</v>
      </c>
      <c r="E2511" s="157" t="s">
        <v>731</v>
      </c>
      <c r="F2511" s="160">
        <v>400600.77</v>
      </c>
      <c r="G2511" s="160">
        <v>64096.12</v>
      </c>
      <c r="H2511" s="160">
        <f t="shared" si="58"/>
        <v>464696.89</v>
      </c>
      <c r="I2511" s="160"/>
      <c r="J2511" s="161"/>
      <c r="K2511" s="160"/>
      <c r="L2511" s="160">
        <f>+'FACP$'!$H2511-'FACP$'!$I2511-'FACP$'!$K2511</f>
        <v>464696.89</v>
      </c>
      <c r="M2511" s="162" t="s">
        <v>580</v>
      </c>
      <c r="N2511" s="162" t="s">
        <v>554</v>
      </c>
      <c r="O2511" s="164">
        <v>44329.0</v>
      </c>
      <c r="P2511" s="164">
        <f t="shared" si="13"/>
        <v>44319</v>
      </c>
      <c r="Q2511" s="165">
        <f t="shared" si="2"/>
        <v>0</v>
      </c>
      <c r="R2511" s="167"/>
      <c r="S2511" s="167"/>
      <c r="T2511" s="168">
        <f t="shared" si="3"/>
        <v>464696.89</v>
      </c>
      <c r="U2511" s="168">
        <f t="shared" si="4"/>
        <v>0</v>
      </c>
      <c r="V2511" s="168">
        <f t="shared" si="5"/>
        <v>0</v>
      </c>
      <c r="W2511" s="168">
        <f t="shared" si="6"/>
        <v>0</v>
      </c>
      <c r="X2511" s="168">
        <f t="shared" si="7"/>
        <v>0</v>
      </c>
      <c r="Y2511" s="168">
        <f t="shared" si="8"/>
        <v>0</v>
      </c>
      <c r="Z2511" s="168">
        <f t="shared" si="9"/>
        <v>0</v>
      </c>
    </row>
    <row r="2512" ht="15.0" customHeight="1">
      <c r="A2512" s="157" t="s">
        <v>2825</v>
      </c>
      <c r="B2512" s="158" t="s">
        <v>43</v>
      </c>
      <c r="C2512" s="158" t="s">
        <v>2810</v>
      </c>
      <c r="D2512" s="159">
        <v>44309.0</v>
      </c>
      <c r="E2512" s="157" t="s">
        <v>731</v>
      </c>
      <c r="F2512" s="160">
        <v>377991.46</v>
      </c>
      <c r="G2512" s="160">
        <v>60478.63</v>
      </c>
      <c r="H2512" s="160">
        <f t="shared" si="58"/>
        <v>438470.09</v>
      </c>
      <c r="I2512" s="160"/>
      <c r="J2512" s="161"/>
      <c r="K2512" s="160"/>
      <c r="L2512" s="160">
        <f>+'FACP$'!$H2512-'FACP$'!$I2512-'FACP$'!$K2512</f>
        <v>438470.09</v>
      </c>
      <c r="M2512" s="162" t="s">
        <v>43</v>
      </c>
      <c r="N2512" s="162" t="s">
        <v>554</v>
      </c>
      <c r="O2512" s="164">
        <v>44439.0</v>
      </c>
      <c r="P2512" s="164">
        <f t="shared" si="13"/>
        <v>44319</v>
      </c>
      <c r="Q2512" s="165">
        <f t="shared" si="2"/>
        <v>0</v>
      </c>
      <c r="R2512" s="167"/>
      <c r="S2512" s="167"/>
      <c r="T2512" s="168">
        <f t="shared" si="3"/>
        <v>438470.09</v>
      </c>
      <c r="U2512" s="168">
        <f t="shared" si="4"/>
        <v>0</v>
      </c>
      <c r="V2512" s="168">
        <f t="shared" si="5"/>
        <v>0</v>
      </c>
      <c r="W2512" s="168">
        <f t="shared" si="6"/>
        <v>0</v>
      </c>
      <c r="X2512" s="168">
        <f t="shared" si="7"/>
        <v>0</v>
      </c>
      <c r="Y2512" s="168">
        <f t="shared" si="8"/>
        <v>0</v>
      </c>
      <c r="Z2512" s="168">
        <f t="shared" si="9"/>
        <v>0</v>
      </c>
    </row>
    <row r="2513" ht="15.0" customHeight="1">
      <c r="A2513" s="157" t="s">
        <v>2826</v>
      </c>
      <c r="B2513" s="158" t="s">
        <v>27</v>
      </c>
      <c r="C2513" s="158" t="s">
        <v>2827</v>
      </c>
      <c r="D2513" s="159">
        <v>44309.0</v>
      </c>
      <c r="E2513" s="157" t="s">
        <v>731</v>
      </c>
      <c r="F2513" s="160">
        <v>399587.2</v>
      </c>
      <c r="G2513" s="160">
        <v>63933.95</v>
      </c>
      <c r="H2513" s="160">
        <f t="shared" si="58"/>
        <v>463521.15</v>
      </c>
      <c r="I2513" s="160"/>
      <c r="J2513" s="161"/>
      <c r="K2513" s="160"/>
      <c r="L2513" s="160">
        <f>+'FACP$'!$H2513-'FACP$'!$I2513-'FACP$'!$K2513</f>
        <v>463521.15</v>
      </c>
      <c r="M2513" s="162" t="s">
        <v>151</v>
      </c>
      <c r="N2513" s="162" t="s">
        <v>554</v>
      </c>
      <c r="O2513" s="164">
        <v>44335.0</v>
      </c>
      <c r="P2513" s="164">
        <f t="shared" si="13"/>
        <v>44319</v>
      </c>
      <c r="Q2513" s="165">
        <f t="shared" si="2"/>
        <v>0</v>
      </c>
      <c r="R2513" s="167"/>
      <c r="S2513" s="167"/>
      <c r="T2513" s="168">
        <f t="shared" si="3"/>
        <v>463521.15</v>
      </c>
      <c r="U2513" s="168">
        <f t="shared" si="4"/>
        <v>0</v>
      </c>
      <c r="V2513" s="168">
        <f t="shared" si="5"/>
        <v>0</v>
      </c>
      <c r="W2513" s="168">
        <f t="shared" si="6"/>
        <v>0</v>
      </c>
      <c r="X2513" s="168">
        <f t="shared" si="7"/>
        <v>0</v>
      </c>
      <c r="Y2513" s="168">
        <f t="shared" si="8"/>
        <v>0</v>
      </c>
      <c r="Z2513" s="168">
        <f t="shared" si="9"/>
        <v>0</v>
      </c>
    </row>
    <row r="2514" ht="15.0" customHeight="1">
      <c r="A2514" s="157" t="s">
        <v>2828</v>
      </c>
      <c r="B2514" s="158" t="s">
        <v>27</v>
      </c>
      <c r="C2514" s="158" t="s">
        <v>2829</v>
      </c>
      <c r="D2514" s="159">
        <v>44309.0</v>
      </c>
      <c r="E2514" s="157" t="s">
        <v>731</v>
      </c>
      <c r="F2514" s="160">
        <v>377242.71</v>
      </c>
      <c r="G2514" s="160">
        <v>60358.83</v>
      </c>
      <c r="H2514" s="160">
        <f t="shared" si="58"/>
        <v>437601.54</v>
      </c>
      <c r="I2514" s="160"/>
      <c r="J2514" s="161"/>
      <c r="K2514" s="160"/>
      <c r="L2514" s="160">
        <f>+'FACP$'!$H2514-'FACP$'!$I2514-'FACP$'!$K2514</f>
        <v>437601.54</v>
      </c>
      <c r="M2514" s="162" t="s">
        <v>151</v>
      </c>
      <c r="N2514" s="162" t="s">
        <v>127</v>
      </c>
      <c r="O2514" s="164"/>
      <c r="P2514" s="164">
        <f t="shared" si="13"/>
        <v>44319</v>
      </c>
      <c r="Q2514" s="165">
        <f t="shared" si="2"/>
        <v>0</v>
      </c>
      <c r="R2514" s="167"/>
      <c r="S2514" s="167"/>
      <c r="T2514" s="168">
        <f t="shared" si="3"/>
        <v>437601.54</v>
      </c>
      <c r="U2514" s="168">
        <f t="shared" si="4"/>
        <v>0</v>
      </c>
      <c r="V2514" s="168">
        <f t="shared" si="5"/>
        <v>0</v>
      </c>
      <c r="W2514" s="168">
        <f t="shared" si="6"/>
        <v>0</v>
      </c>
      <c r="X2514" s="168">
        <f t="shared" si="7"/>
        <v>0</v>
      </c>
      <c r="Y2514" s="168">
        <f t="shared" si="8"/>
        <v>0</v>
      </c>
      <c r="Z2514" s="168">
        <f t="shared" si="9"/>
        <v>0</v>
      </c>
    </row>
    <row r="2515" ht="15.0" customHeight="1">
      <c r="A2515" s="157" t="s">
        <v>2830</v>
      </c>
      <c r="B2515" s="158" t="s">
        <v>27</v>
      </c>
      <c r="C2515" s="158" t="s">
        <v>2831</v>
      </c>
      <c r="D2515" s="159">
        <v>44309.0</v>
      </c>
      <c r="E2515" s="157" t="s">
        <v>731</v>
      </c>
      <c r="F2515" s="160">
        <v>22114.56</v>
      </c>
      <c r="G2515" s="160">
        <v>3538.33</v>
      </c>
      <c r="H2515" s="160">
        <f t="shared" si="58"/>
        <v>25652.89</v>
      </c>
      <c r="I2515" s="160"/>
      <c r="J2515" s="161"/>
      <c r="K2515" s="160"/>
      <c r="L2515" s="160">
        <f>+'FACP$'!$H2515-'FACP$'!$I2515-'FACP$'!$K2515</f>
        <v>25652.89</v>
      </c>
      <c r="M2515" s="162" t="s">
        <v>151</v>
      </c>
      <c r="N2515" s="162" t="s">
        <v>554</v>
      </c>
      <c r="O2515" s="164">
        <v>44342.0</v>
      </c>
      <c r="P2515" s="164">
        <f t="shared" si="13"/>
        <v>44319</v>
      </c>
      <c r="Q2515" s="165">
        <f t="shared" si="2"/>
        <v>0</v>
      </c>
      <c r="R2515" s="167"/>
      <c r="S2515" s="167"/>
      <c r="T2515" s="168">
        <f t="shared" si="3"/>
        <v>25652.89</v>
      </c>
      <c r="U2515" s="168">
        <f t="shared" si="4"/>
        <v>0</v>
      </c>
      <c r="V2515" s="168">
        <f t="shared" si="5"/>
        <v>0</v>
      </c>
      <c r="W2515" s="168">
        <f t="shared" si="6"/>
        <v>0</v>
      </c>
      <c r="X2515" s="168">
        <f t="shared" si="7"/>
        <v>0</v>
      </c>
      <c r="Y2515" s="168">
        <f t="shared" si="8"/>
        <v>0</v>
      </c>
      <c r="Z2515" s="168">
        <f t="shared" si="9"/>
        <v>0</v>
      </c>
    </row>
    <row r="2516" ht="15.0" customHeight="1">
      <c r="A2516" s="157" t="s">
        <v>2832</v>
      </c>
      <c r="B2516" s="158" t="s">
        <v>27</v>
      </c>
      <c r="C2516" s="158" t="s">
        <v>2833</v>
      </c>
      <c r="D2516" s="159">
        <v>44309.0</v>
      </c>
      <c r="E2516" s="157" t="s">
        <v>731</v>
      </c>
      <c r="F2516" s="160">
        <v>18110.76</v>
      </c>
      <c r="G2516" s="160">
        <v>2897.72</v>
      </c>
      <c r="H2516" s="160">
        <f t="shared" si="58"/>
        <v>21008.48</v>
      </c>
      <c r="I2516" s="160"/>
      <c r="J2516" s="161"/>
      <c r="K2516" s="160"/>
      <c r="L2516" s="160">
        <f>+'FACP$'!$H2516-'FACP$'!$I2516-'FACP$'!$K2516</f>
        <v>21008.48</v>
      </c>
      <c r="M2516" s="162" t="s">
        <v>151</v>
      </c>
      <c r="N2516" s="162" t="s">
        <v>554</v>
      </c>
      <c r="O2516" s="164">
        <v>44342.0</v>
      </c>
      <c r="P2516" s="164">
        <f t="shared" si="13"/>
        <v>44319</v>
      </c>
      <c r="Q2516" s="165">
        <f t="shared" si="2"/>
        <v>0</v>
      </c>
      <c r="R2516" s="167"/>
      <c r="S2516" s="167"/>
      <c r="T2516" s="168">
        <f t="shared" si="3"/>
        <v>21008.48</v>
      </c>
      <c r="U2516" s="168">
        <f t="shared" si="4"/>
        <v>0</v>
      </c>
      <c r="V2516" s="168">
        <f t="shared" si="5"/>
        <v>0</v>
      </c>
      <c r="W2516" s="168">
        <f t="shared" si="6"/>
        <v>0</v>
      </c>
      <c r="X2516" s="168">
        <f t="shared" si="7"/>
        <v>0</v>
      </c>
      <c r="Y2516" s="168">
        <f t="shared" si="8"/>
        <v>0</v>
      </c>
      <c r="Z2516" s="168">
        <f t="shared" si="9"/>
        <v>0</v>
      </c>
    </row>
    <row r="2517" ht="15.0" customHeight="1">
      <c r="A2517" s="157" t="s">
        <v>2834</v>
      </c>
      <c r="B2517" s="158" t="s">
        <v>27</v>
      </c>
      <c r="C2517" s="158" t="s">
        <v>2827</v>
      </c>
      <c r="D2517" s="159">
        <v>44309.0</v>
      </c>
      <c r="E2517" s="157" t="s">
        <v>731</v>
      </c>
      <c r="F2517" s="160">
        <v>159731.33</v>
      </c>
      <c r="G2517" s="160">
        <v>25557.01</v>
      </c>
      <c r="H2517" s="160">
        <f t="shared" si="58"/>
        <v>185288.34</v>
      </c>
      <c r="I2517" s="160"/>
      <c r="J2517" s="161"/>
      <c r="K2517" s="160"/>
      <c r="L2517" s="160">
        <f>+'FACP$'!$H2517-'FACP$'!$I2517-'FACP$'!$K2517</f>
        <v>185288.34</v>
      </c>
      <c r="M2517" s="162" t="s">
        <v>158</v>
      </c>
      <c r="N2517" s="162" t="s">
        <v>554</v>
      </c>
      <c r="O2517" s="164">
        <v>44342.0</v>
      </c>
      <c r="P2517" s="164">
        <f t="shared" si="13"/>
        <v>44319</v>
      </c>
      <c r="Q2517" s="165">
        <f t="shared" si="2"/>
        <v>0</v>
      </c>
      <c r="R2517" s="167"/>
      <c r="S2517" s="167"/>
      <c r="T2517" s="168">
        <f t="shared" si="3"/>
        <v>185288.34</v>
      </c>
      <c r="U2517" s="168">
        <f t="shared" si="4"/>
        <v>0</v>
      </c>
      <c r="V2517" s="168">
        <f t="shared" si="5"/>
        <v>0</v>
      </c>
      <c r="W2517" s="168">
        <f t="shared" si="6"/>
        <v>0</v>
      </c>
      <c r="X2517" s="168">
        <f t="shared" si="7"/>
        <v>0</v>
      </c>
      <c r="Y2517" s="168">
        <f t="shared" si="8"/>
        <v>0</v>
      </c>
      <c r="Z2517" s="168">
        <f t="shared" si="9"/>
        <v>0</v>
      </c>
    </row>
    <row r="2518" ht="15.0" customHeight="1">
      <c r="A2518" s="157" t="s">
        <v>2835</v>
      </c>
      <c r="B2518" s="158" t="s">
        <v>127</v>
      </c>
      <c r="C2518" s="158"/>
      <c r="D2518" s="159"/>
      <c r="E2518" s="157"/>
      <c r="F2518" s="160"/>
      <c r="G2518" s="160"/>
      <c r="H2518" s="160">
        <f t="shared" si="58"/>
        <v>0</v>
      </c>
      <c r="I2518" s="160"/>
      <c r="J2518" s="161"/>
      <c r="K2518" s="160"/>
      <c r="L2518" s="160">
        <f>+'FACP$'!$H2518-'FACP$'!$I2518-'FACP$'!$K2518</f>
        <v>0</v>
      </c>
      <c r="M2518" s="162"/>
      <c r="N2518" s="162" t="s">
        <v>127</v>
      </c>
      <c r="O2518" s="164"/>
      <c r="P2518" s="164">
        <f t="shared" si="13"/>
        <v>10</v>
      </c>
      <c r="Q2518" s="165">
        <f t="shared" si="2"/>
        <v>0</v>
      </c>
      <c r="R2518" s="167"/>
      <c r="S2518" s="167"/>
      <c r="T2518" s="168">
        <f t="shared" si="3"/>
        <v>0</v>
      </c>
      <c r="U2518" s="168">
        <f t="shared" si="4"/>
        <v>0</v>
      </c>
      <c r="V2518" s="168">
        <f t="shared" si="5"/>
        <v>0</v>
      </c>
      <c r="W2518" s="168">
        <f t="shared" si="6"/>
        <v>0</v>
      </c>
      <c r="X2518" s="168">
        <f t="shared" si="7"/>
        <v>0</v>
      </c>
      <c r="Y2518" s="168">
        <f t="shared" si="8"/>
        <v>0</v>
      </c>
      <c r="Z2518" s="168">
        <f t="shared" si="9"/>
        <v>0</v>
      </c>
    </row>
    <row r="2519" ht="15.0" customHeight="1">
      <c r="A2519" s="157" t="s">
        <v>2836</v>
      </c>
      <c r="B2519" s="158" t="s">
        <v>27</v>
      </c>
      <c r="C2519" s="158" t="s">
        <v>2829</v>
      </c>
      <c r="D2519" s="159">
        <v>44309.0</v>
      </c>
      <c r="E2519" s="157" t="s">
        <v>731</v>
      </c>
      <c r="F2519" s="160">
        <v>105236.54</v>
      </c>
      <c r="G2519" s="160">
        <v>16837.85</v>
      </c>
      <c r="H2519" s="160">
        <f t="shared" si="58"/>
        <v>122074.39</v>
      </c>
      <c r="I2519" s="160"/>
      <c r="J2519" s="161"/>
      <c r="K2519" s="160"/>
      <c r="L2519" s="160">
        <f>+'FACP$'!$H2519-'FACP$'!$I2519-'FACP$'!$K2519</f>
        <v>122074.39</v>
      </c>
      <c r="M2519" s="162" t="s">
        <v>158</v>
      </c>
      <c r="N2519" s="162" t="s">
        <v>554</v>
      </c>
      <c r="O2519" s="164">
        <v>44342.0</v>
      </c>
      <c r="P2519" s="164">
        <f t="shared" si="13"/>
        <v>44319</v>
      </c>
      <c r="Q2519" s="165">
        <f t="shared" si="2"/>
        <v>0</v>
      </c>
      <c r="R2519" s="167"/>
      <c r="S2519" s="167"/>
      <c r="T2519" s="168">
        <f t="shared" si="3"/>
        <v>122074.39</v>
      </c>
      <c r="U2519" s="168">
        <f t="shared" si="4"/>
        <v>0</v>
      </c>
      <c r="V2519" s="168">
        <f t="shared" si="5"/>
        <v>0</v>
      </c>
      <c r="W2519" s="168">
        <f t="shared" si="6"/>
        <v>0</v>
      </c>
      <c r="X2519" s="168">
        <f t="shared" si="7"/>
        <v>0</v>
      </c>
      <c r="Y2519" s="168">
        <f t="shared" si="8"/>
        <v>0</v>
      </c>
      <c r="Z2519" s="168">
        <f t="shared" si="9"/>
        <v>0</v>
      </c>
    </row>
    <row r="2520" ht="15.0" customHeight="1">
      <c r="A2520" s="157" t="s">
        <v>2837</v>
      </c>
      <c r="B2520" s="158" t="s">
        <v>41</v>
      </c>
      <c r="C2520" s="158" t="s">
        <v>2810</v>
      </c>
      <c r="D2520" s="159">
        <v>44312.0</v>
      </c>
      <c r="E2520" s="157" t="s">
        <v>731</v>
      </c>
      <c r="F2520" s="160">
        <v>453559.97</v>
      </c>
      <c r="G2520" s="160">
        <v>72569.6</v>
      </c>
      <c r="H2520" s="160">
        <f t="shared" si="58"/>
        <v>526129.57</v>
      </c>
      <c r="I2520" s="160"/>
      <c r="J2520" s="161"/>
      <c r="K2520" s="160"/>
      <c r="L2520" s="160">
        <f>+'FACP$'!$H2520-'FACP$'!$I2520-'FACP$'!$K2520</f>
        <v>526129.57</v>
      </c>
      <c r="M2520" s="162" t="s">
        <v>121</v>
      </c>
      <c r="N2520" s="162" t="s">
        <v>554</v>
      </c>
      <c r="O2520" s="164">
        <v>44406.0</v>
      </c>
      <c r="P2520" s="164">
        <f t="shared" si="13"/>
        <v>44322</v>
      </c>
      <c r="Q2520" s="165">
        <f t="shared" si="2"/>
        <v>0</v>
      </c>
      <c r="R2520" s="167"/>
      <c r="S2520" s="167"/>
      <c r="T2520" s="168">
        <f t="shared" si="3"/>
        <v>526129.57</v>
      </c>
      <c r="U2520" s="168">
        <f t="shared" si="4"/>
        <v>0</v>
      </c>
      <c r="V2520" s="168">
        <f t="shared" si="5"/>
        <v>0</v>
      </c>
      <c r="W2520" s="168">
        <f t="shared" si="6"/>
        <v>0</v>
      </c>
      <c r="X2520" s="168">
        <f t="shared" si="7"/>
        <v>0</v>
      </c>
      <c r="Y2520" s="168">
        <f t="shared" si="8"/>
        <v>0</v>
      </c>
      <c r="Z2520" s="168">
        <f t="shared" si="9"/>
        <v>0</v>
      </c>
    </row>
    <row r="2521" ht="15.0" customHeight="1">
      <c r="A2521" s="157" t="s">
        <v>2838</v>
      </c>
      <c r="B2521" s="158" t="s">
        <v>27</v>
      </c>
      <c r="C2521" s="158" t="s">
        <v>2829</v>
      </c>
      <c r="D2521" s="159">
        <v>44309.0</v>
      </c>
      <c r="E2521" s="157" t="s">
        <v>731</v>
      </c>
      <c r="F2521" s="160">
        <v>327242.71</v>
      </c>
      <c r="G2521" s="160">
        <v>52358.83</v>
      </c>
      <c r="H2521" s="160">
        <f t="shared" si="58"/>
        <v>379601.54</v>
      </c>
      <c r="I2521" s="160"/>
      <c r="J2521" s="161"/>
      <c r="K2521" s="160"/>
      <c r="L2521" s="160">
        <f>+'FACP$'!$H2521-'FACP$'!$I2521-'FACP$'!$K2521</f>
        <v>379601.54</v>
      </c>
      <c r="M2521" s="162" t="s">
        <v>151</v>
      </c>
      <c r="N2521" s="162" t="s">
        <v>554</v>
      </c>
      <c r="O2521" s="164">
        <v>44335.0</v>
      </c>
      <c r="P2521" s="164">
        <f t="shared" si="13"/>
        <v>44319</v>
      </c>
      <c r="Q2521" s="165">
        <f t="shared" si="2"/>
        <v>0</v>
      </c>
      <c r="R2521" s="167"/>
      <c r="S2521" s="167"/>
      <c r="T2521" s="168">
        <f t="shared" si="3"/>
        <v>379601.54</v>
      </c>
      <c r="U2521" s="168">
        <f t="shared" si="4"/>
        <v>0</v>
      </c>
      <c r="V2521" s="168">
        <f t="shared" si="5"/>
        <v>0</v>
      </c>
      <c r="W2521" s="168">
        <f t="shared" si="6"/>
        <v>0</v>
      </c>
      <c r="X2521" s="168">
        <f t="shared" si="7"/>
        <v>0</v>
      </c>
      <c r="Y2521" s="168">
        <f t="shared" si="8"/>
        <v>0</v>
      </c>
      <c r="Z2521" s="168">
        <f t="shared" si="9"/>
        <v>0</v>
      </c>
    </row>
    <row r="2522" ht="15.0" customHeight="1">
      <c r="A2522" s="157" t="s">
        <v>2839</v>
      </c>
      <c r="B2522" s="158" t="s">
        <v>27</v>
      </c>
      <c r="C2522" s="158" t="s">
        <v>2840</v>
      </c>
      <c r="D2522" s="159">
        <v>44316.0</v>
      </c>
      <c r="E2522" s="157" t="s">
        <v>731</v>
      </c>
      <c r="F2522" s="160">
        <v>731449.95</v>
      </c>
      <c r="G2522" s="160">
        <v>117031.99</v>
      </c>
      <c r="H2522" s="160">
        <f t="shared" si="58"/>
        <v>848481.94</v>
      </c>
      <c r="I2522" s="160"/>
      <c r="J2522" s="161"/>
      <c r="K2522" s="160"/>
      <c r="L2522" s="160">
        <f>+'FACP$'!$H2522-'FACP$'!$I2522-'FACP$'!$K2522</f>
        <v>848481.94</v>
      </c>
      <c r="M2522" s="162" t="s">
        <v>151</v>
      </c>
      <c r="N2522" s="162" t="s">
        <v>554</v>
      </c>
      <c r="O2522" s="164">
        <v>44349.0</v>
      </c>
      <c r="P2522" s="164">
        <f t="shared" si="13"/>
        <v>44326</v>
      </c>
      <c r="Q2522" s="165">
        <f t="shared" si="2"/>
        <v>0</v>
      </c>
      <c r="R2522" s="167"/>
      <c r="S2522" s="167"/>
      <c r="T2522" s="168">
        <f t="shared" si="3"/>
        <v>848481.94</v>
      </c>
      <c r="U2522" s="168">
        <f t="shared" si="4"/>
        <v>0</v>
      </c>
      <c r="V2522" s="168">
        <f t="shared" si="5"/>
        <v>0</v>
      </c>
      <c r="W2522" s="168">
        <f t="shared" si="6"/>
        <v>0</v>
      </c>
      <c r="X2522" s="168">
        <f t="shared" si="7"/>
        <v>0</v>
      </c>
      <c r="Y2522" s="168">
        <f t="shared" si="8"/>
        <v>0</v>
      </c>
      <c r="Z2522" s="168">
        <f t="shared" si="9"/>
        <v>0</v>
      </c>
    </row>
    <row r="2523" ht="15.0" customHeight="1">
      <c r="A2523" s="157" t="s">
        <v>2841</v>
      </c>
      <c r="B2523" s="158" t="s">
        <v>27</v>
      </c>
      <c r="C2523" s="158" t="s">
        <v>2842</v>
      </c>
      <c r="D2523" s="159">
        <v>44316.0</v>
      </c>
      <c r="E2523" s="157" t="s">
        <v>731</v>
      </c>
      <c r="F2523" s="160">
        <v>589931.04</v>
      </c>
      <c r="G2523" s="160">
        <v>94388.97</v>
      </c>
      <c r="H2523" s="160">
        <f t="shared" si="58"/>
        <v>684320.01</v>
      </c>
      <c r="I2523" s="160"/>
      <c r="J2523" s="161"/>
      <c r="K2523" s="160"/>
      <c r="L2523" s="160">
        <f>+'FACP$'!$H2523-'FACP$'!$I2523-'FACP$'!$K2523</f>
        <v>684320.01</v>
      </c>
      <c r="M2523" s="162" t="s">
        <v>151</v>
      </c>
      <c r="N2523" s="162" t="s">
        <v>554</v>
      </c>
      <c r="O2523" s="164">
        <v>44356.0</v>
      </c>
      <c r="P2523" s="164">
        <f t="shared" si="13"/>
        <v>44326</v>
      </c>
      <c r="Q2523" s="165">
        <f t="shared" si="2"/>
        <v>0</v>
      </c>
      <c r="R2523" s="167" t="s">
        <v>2843</v>
      </c>
      <c r="S2523" s="167"/>
      <c r="T2523" s="168">
        <f t="shared" si="3"/>
        <v>684320.01</v>
      </c>
      <c r="U2523" s="168">
        <f t="shared" si="4"/>
        <v>0</v>
      </c>
      <c r="V2523" s="168">
        <f t="shared" si="5"/>
        <v>0</v>
      </c>
      <c r="W2523" s="168">
        <f t="shared" si="6"/>
        <v>0</v>
      </c>
      <c r="X2523" s="168">
        <f t="shared" si="7"/>
        <v>0</v>
      </c>
      <c r="Y2523" s="168">
        <f t="shared" si="8"/>
        <v>0</v>
      </c>
      <c r="Z2523" s="168">
        <f t="shared" si="9"/>
        <v>0</v>
      </c>
    </row>
    <row r="2524" ht="15.0" customHeight="1">
      <c r="A2524" s="157" t="s">
        <v>2844</v>
      </c>
      <c r="B2524" s="158" t="s">
        <v>27</v>
      </c>
      <c r="C2524" s="158" t="s">
        <v>2845</v>
      </c>
      <c r="D2524" s="159">
        <v>44316.0</v>
      </c>
      <c r="E2524" s="157" t="s">
        <v>731</v>
      </c>
      <c r="F2524" s="160">
        <v>30551.36</v>
      </c>
      <c r="G2524" s="160">
        <v>4888.22</v>
      </c>
      <c r="H2524" s="160">
        <f t="shared" si="58"/>
        <v>35439.58</v>
      </c>
      <c r="I2524" s="160"/>
      <c r="J2524" s="161"/>
      <c r="K2524" s="160"/>
      <c r="L2524" s="160">
        <f>+'FACP$'!$H2524-'FACP$'!$I2524-'FACP$'!$K2524</f>
        <v>35439.58</v>
      </c>
      <c r="M2524" s="162" t="s">
        <v>151</v>
      </c>
      <c r="N2524" s="162" t="s">
        <v>554</v>
      </c>
      <c r="O2524" s="164">
        <v>44356.0</v>
      </c>
      <c r="P2524" s="164">
        <f t="shared" si="13"/>
        <v>44326</v>
      </c>
      <c r="Q2524" s="165">
        <f t="shared" si="2"/>
        <v>0</v>
      </c>
      <c r="R2524" s="167"/>
      <c r="S2524" s="167"/>
      <c r="T2524" s="168">
        <f t="shared" si="3"/>
        <v>35439.58</v>
      </c>
      <c r="U2524" s="168">
        <f t="shared" si="4"/>
        <v>0</v>
      </c>
      <c r="V2524" s="168">
        <f t="shared" si="5"/>
        <v>0</v>
      </c>
      <c r="W2524" s="168">
        <f t="shared" si="6"/>
        <v>0</v>
      </c>
      <c r="X2524" s="168">
        <f t="shared" si="7"/>
        <v>0</v>
      </c>
      <c r="Y2524" s="168">
        <f t="shared" si="8"/>
        <v>0</v>
      </c>
      <c r="Z2524" s="168">
        <f t="shared" si="9"/>
        <v>0</v>
      </c>
    </row>
    <row r="2525" ht="15.0" customHeight="1">
      <c r="A2525" s="157" t="s">
        <v>2846</v>
      </c>
      <c r="B2525" s="158" t="s">
        <v>27</v>
      </c>
      <c r="C2525" s="158" t="s">
        <v>2847</v>
      </c>
      <c r="D2525" s="159">
        <v>44316.0</v>
      </c>
      <c r="E2525" s="157" t="s">
        <v>731</v>
      </c>
      <c r="F2525" s="160">
        <v>24640.37</v>
      </c>
      <c r="G2525" s="160">
        <v>3942.46</v>
      </c>
      <c r="H2525" s="160">
        <f t="shared" si="58"/>
        <v>28582.83</v>
      </c>
      <c r="I2525" s="160"/>
      <c r="J2525" s="161"/>
      <c r="K2525" s="160"/>
      <c r="L2525" s="160">
        <f>+'FACP$'!$H2525-'FACP$'!$I2525-'FACP$'!$K2525</f>
        <v>28582.83</v>
      </c>
      <c r="M2525" s="162" t="s">
        <v>151</v>
      </c>
      <c r="N2525" s="162" t="s">
        <v>554</v>
      </c>
      <c r="O2525" s="164">
        <v>44356.0</v>
      </c>
      <c r="P2525" s="164">
        <f t="shared" si="13"/>
        <v>44326</v>
      </c>
      <c r="Q2525" s="165">
        <f t="shared" si="2"/>
        <v>0</v>
      </c>
      <c r="R2525" s="167"/>
      <c r="S2525" s="167"/>
      <c r="T2525" s="168">
        <f t="shared" si="3"/>
        <v>28582.83</v>
      </c>
      <c r="U2525" s="168">
        <f t="shared" si="4"/>
        <v>0</v>
      </c>
      <c r="V2525" s="168">
        <f t="shared" si="5"/>
        <v>0</v>
      </c>
      <c r="W2525" s="168">
        <f t="shared" si="6"/>
        <v>0</v>
      </c>
      <c r="X2525" s="168">
        <f t="shared" si="7"/>
        <v>0</v>
      </c>
      <c r="Y2525" s="168">
        <f t="shared" si="8"/>
        <v>0</v>
      </c>
      <c r="Z2525" s="168">
        <f t="shared" si="9"/>
        <v>0</v>
      </c>
    </row>
    <row r="2526" ht="15.0" customHeight="1">
      <c r="A2526" s="157" t="s">
        <v>2848</v>
      </c>
      <c r="B2526" s="158" t="s">
        <v>27</v>
      </c>
      <c r="C2526" s="158" t="s">
        <v>2840</v>
      </c>
      <c r="D2526" s="159">
        <v>44316.0</v>
      </c>
      <c r="E2526" s="157" t="s">
        <v>731</v>
      </c>
      <c r="F2526" s="160">
        <v>175708.26</v>
      </c>
      <c r="G2526" s="160">
        <v>28113.32</v>
      </c>
      <c r="H2526" s="160">
        <f t="shared" si="58"/>
        <v>203821.58</v>
      </c>
      <c r="I2526" s="160"/>
      <c r="J2526" s="161"/>
      <c r="K2526" s="160"/>
      <c r="L2526" s="160">
        <f>+'FACP$'!$H2526-'FACP$'!$I2526-'FACP$'!$K2526</f>
        <v>203821.58</v>
      </c>
      <c r="M2526" s="162" t="s">
        <v>158</v>
      </c>
      <c r="N2526" s="162" t="s">
        <v>554</v>
      </c>
      <c r="O2526" s="164">
        <v>44349.0</v>
      </c>
      <c r="P2526" s="164">
        <f t="shared" si="13"/>
        <v>44326</v>
      </c>
      <c r="Q2526" s="165">
        <f t="shared" si="2"/>
        <v>0</v>
      </c>
      <c r="R2526" s="167"/>
      <c r="S2526" s="167"/>
      <c r="T2526" s="168">
        <f t="shared" si="3"/>
        <v>203821.58</v>
      </c>
      <c r="U2526" s="168">
        <f t="shared" si="4"/>
        <v>0</v>
      </c>
      <c r="V2526" s="168">
        <f t="shared" si="5"/>
        <v>0</v>
      </c>
      <c r="W2526" s="168">
        <f t="shared" si="6"/>
        <v>0</v>
      </c>
      <c r="X2526" s="168">
        <f t="shared" si="7"/>
        <v>0</v>
      </c>
      <c r="Y2526" s="168">
        <f t="shared" si="8"/>
        <v>0</v>
      </c>
      <c r="Z2526" s="168">
        <f t="shared" si="9"/>
        <v>0</v>
      </c>
    </row>
    <row r="2527" ht="15.0" customHeight="1">
      <c r="A2527" s="157" t="s">
        <v>2849</v>
      </c>
      <c r="B2527" s="158" t="s">
        <v>27</v>
      </c>
      <c r="C2527" s="158" t="s">
        <v>2842</v>
      </c>
      <c r="D2527" s="159">
        <v>44316.0</v>
      </c>
      <c r="E2527" s="157" t="s">
        <v>731</v>
      </c>
      <c r="F2527" s="160">
        <v>113757.71</v>
      </c>
      <c r="G2527" s="160">
        <v>18201.23</v>
      </c>
      <c r="H2527" s="160">
        <f t="shared" si="58"/>
        <v>131958.94</v>
      </c>
      <c r="I2527" s="160"/>
      <c r="J2527" s="161"/>
      <c r="K2527" s="160"/>
      <c r="L2527" s="160">
        <f>+'FACP$'!$H2527-'FACP$'!$I2527-'FACP$'!$K2527</f>
        <v>131958.94</v>
      </c>
      <c r="M2527" s="162" t="s">
        <v>158</v>
      </c>
      <c r="N2527" s="162" t="s">
        <v>554</v>
      </c>
      <c r="O2527" s="164">
        <v>44356.0</v>
      </c>
      <c r="P2527" s="164">
        <f t="shared" si="13"/>
        <v>44326</v>
      </c>
      <c r="Q2527" s="165">
        <f t="shared" si="2"/>
        <v>0</v>
      </c>
      <c r="R2527" s="167"/>
      <c r="S2527" s="167"/>
      <c r="T2527" s="168">
        <f t="shared" si="3"/>
        <v>131958.94</v>
      </c>
      <c r="U2527" s="168">
        <f t="shared" si="4"/>
        <v>0</v>
      </c>
      <c r="V2527" s="168">
        <f t="shared" si="5"/>
        <v>0</v>
      </c>
      <c r="W2527" s="168">
        <f t="shared" si="6"/>
        <v>0</v>
      </c>
      <c r="X2527" s="168">
        <f t="shared" si="7"/>
        <v>0</v>
      </c>
      <c r="Y2527" s="168">
        <f t="shared" si="8"/>
        <v>0</v>
      </c>
      <c r="Z2527" s="168">
        <f t="shared" si="9"/>
        <v>0</v>
      </c>
    </row>
    <row r="2528" ht="15.0" customHeight="1">
      <c r="A2528" s="157" t="s">
        <v>2850</v>
      </c>
      <c r="B2528" s="158" t="s">
        <v>43</v>
      </c>
      <c r="C2528" s="158" t="s">
        <v>2851</v>
      </c>
      <c r="D2528" s="159">
        <v>44320.0</v>
      </c>
      <c r="E2528" s="157" t="s">
        <v>731</v>
      </c>
      <c r="F2528" s="160">
        <v>249420.03</v>
      </c>
      <c r="G2528" s="160">
        <v>39907.21</v>
      </c>
      <c r="H2528" s="160">
        <f t="shared" si="58"/>
        <v>289327.24</v>
      </c>
      <c r="I2528" s="160"/>
      <c r="J2528" s="161"/>
      <c r="K2528" s="160"/>
      <c r="L2528" s="160">
        <f>+'FACP$'!$H2528-'FACP$'!$I2528-'FACP$'!$K2528</f>
        <v>289327.24</v>
      </c>
      <c r="M2528" s="162" t="s">
        <v>43</v>
      </c>
      <c r="N2528" s="162" t="s">
        <v>554</v>
      </c>
      <c r="O2528" s="164">
        <v>44442.0</v>
      </c>
      <c r="P2528" s="164">
        <f t="shared" si="13"/>
        <v>44330</v>
      </c>
      <c r="Q2528" s="165">
        <f t="shared" si="2"/>
        <v>0</v>
      </c>
      <c r="R2528" s="167"/>
      <c r="S2528" s="167"/>
      <c r="T2528" s="168">
        <f t="shared" si="3"/>
        <v>289327.24</v>
      </c>
      <c r="U2528" s="168">
        <f t="shared" si="4"/>
        <v>0</v>
      </c>
      <c r="V2528" s="168">
        <f t="shared" si="5"/>
        <v>0</v>
      </c>
      <c r="W2528" s="168">
        <f t="shared" si="6"/>
        <v>0</v>
      </c>
      <c r="X2528" s="168">
        <f t="shared" si="7"/>
        <v>0</v>
      </c>
      <c r="Y2528" s="168">
        <f t="shared" si="8"/>
        <v>0</v>
      </c>
      <c r="Z2528" s="168">
        <f t="shared" si="9"/>
        <v>0</v>
      </c>
    </row>
    <row r="2529" ht="15.0" customHeight="1">
      <c r="A2529" s="157" t="s">
        <v>2852</v>
      </c>
      <c r="B2529" s="158" t="s">
        <v>16</v>
      </c>
      <c r="C2529" s="158" t="s">
        <v>2851</v>
      </c>
      <c r="D2529" s="159">
        <v>44322.0</v>
      </c>
      <c r="E2529" s="157" t="s">
        <v>731</v>
      </c>
      <c r="F2529" s="160">
        <v>322715.52</v>
      </c>
      <c r="G2529" s="160">
        <v>51634.48</v>
      </c>
      <c r="H2529" s="160">
        <f t="shared" si="58"/>
        <v>374350</v>
      </c>
      <c r="I2529" s="160"/>
      <c r="J2529" s="161"/>
      <c r="K2529" s="160"/>
      <c r="L2529" s="160">
        <f>+'FACP$'!$H2529-'FACP$'!$I2529-'FACP$'!$K2529</f>
        <v>374350</v>
      </c>
      <c r="M2529" s="162" t="s">
        <v>985</v>
      </c>
      <c r="N2529" s="162" t="s">
        <v>554</v>
      </c>
      <c r="O2529" s="164">
        <v>44335.0</v>
      </c>
      <c r="P2529" s="164">
        <f t="shared" si="13"/>
        <v>44332</v>
      </c>
      <c r="Q2529" s="165">
        <f t="shared" si="2"/>
        <v>0</v>
      </c>
      <c r="R2529" s="167"/>
      <c r="S2529" s="167"/>
      <c r="T2529" s="168">
        <f t="shared" si="3"/>
        <v>374350</v>
      </c>
      <c r="U2529" s="168">
        <f t="shared" si="4"/>
        <v>0</v>
      </c>
      <c r="V2529" s="168">
        <f t="shared" si="5"/>
        <v>0</v>
      </c>
      <c r="W2529" s="168">
        <f t="shared" si="6"/>
        <v>0</v>
      </c>
      <c r="X2529" s="168">
        <f t="shared" si="7"/>
        <v>0</v>
      </c>
      <c r="Y2529" s="168">
        <f t="shared" si="8"/>
        <v>0</v>
      </c>
      <c r="Z2529" s="168">
        <f t="shared" si="9"/>
        <v>0</v>
      </c>
    </row>
    <row r="2530" ht="15.0" customHeight="1">
      <c r="A2530" s="157" t="s">
        <v>2853</v>
      </c>
      <c r="B2530" s="158" t="s">
        <v>16</v>
      </c>
      <c r="C2530" s="158" t="s">
        <v>2854</v>
      </c>
      <c r="D2530" s="159">
        <v>44322.0</v>
      </c>
      <c r="E2530" s="157" t="s">
        <v>731</v>
      </c>
      <c r="F2530" s="160">
        <v>394437.32</v>
      </c>
      <c r="G2530" s="160">
        <v>63109.97</v>
      </c>
      <c r="H2530" s="160">
        <f t="shared" si="58"/>
        <v>457547.29</v>
      </c>
      <c r="I2530" s="160"/>
      <c r="J2530" s="161"/>
      <c r="K2530" s="160"/>
      <c r="L2530" s="160">
        <f>+'FACP$'!$H2530-'FACP$'!$I2530-'FACP$'!$K2530</f>
        <v>457547.29</v>
      </c>
      <c r="M2530" s="162" t="s">
        <v>985</v>
      </c>
      <c r="N2530" s="162" t="s">
        <v>554</v>
      </c>
      <c r="O2530" s="164">
        <v>44335.0</v>
      </c>
      <c r="P2530" s="164">
        <f t="shared" si="13"/>
        <v>44332</v>
      </c>
      <c r="Q2530" s="165">
        <f t="shared" si="2"/>
        <v>0</v>
      </c>
      <c r="R2530" s="167"/>
      <c r="S2530" s="167"/>
      <c r="T2530" s="168">
        <f t="shared" si="3"/>
        <v>457547.29</v>
      </c>
      <c r="U2530" s="168">
        <f t="shared" si="4"/>
        <v>0</v>
      </c>
      <c r="V2530" s="168">
        <f t="shared" si="5"/>
        <v>0</v>
      </c>
      <c r="W2530" s="168">
        <f t="shared" si="6"/>
        <v>0</v>
      </c>
      <c r="X2530" s="168">
        <f t="shared" si="7"/>
        <v>0</v>
      </c>
      <c r="Y2530" s="168">
        <f t="shared" si="8"/>
        <v>0</v>
      </c>
      <c r="Z2530" s="168">
        <f t="shared" si="9"/>
        <v>0</v>
      </c>
    </row>
    <row r="2531" ht="15.0" customHeight="1">
      <c r="A2531" s="157" t="s">
        <v>2855</v>
      </c>
      <c r="B2531" s="158" t="s">
        <v>127</v>
      </c>
      <c r="C2531" s="158" t="s">
        <v>127</v>
      </c>
      <c r="D2531" s="159"/>
      <c r="E2531" s="157" t="s">
        <v>731</v>
      </c>
      <c r="F2531" s="160">
        <v>0.0</v>
      </c>
      <c r="G2531" s="160">
        <v>0.0</v>
      </c>
      <c r="H2531" s="160">
        <f t="shared" si="58"/>
        <v>0</v>
      </c>
      <c r="I2531" s="160"/>
      <c r="J2531" s="161"/>
      <c r="K2531" s="160"/>
      <c r="L2531" s="160">
        <f>+'FACP$'!$H2531-'FACP$'!$I2531-'FACP$'!$K2531</f>
        <v>0</v>
      </c>
      <c r="M2531" s="162" t="s">
        <v>127</v>
      </c>
      <c r="N2531" s="162"/>
      <c r="O2531" s="164"/>
      <c r="P2531" s="164">
        <f t="shared" si="13"/>
        <v>10</v>
      </c>
      <c r="Q2531" s="165">
        <f t="shared" si="2"/>
        <v>45779</v>
      </c>
      <c r="R2531" s="167"/>
      <c r="S2531" s="167"/>
      <c r="T2531" s="168">
        <f t="shared" si="3"/>
        <v>0</v>
      </c>
      <c r="U2531" s="168">
        <f t="shared" si="4"/>
        <v>0</v>
      </c>
      <c r="V2531" s="168">
        <f t="shared" si="5"/>
        <v>0</v>
      </c>
      <c r="W2531" s="168">
        <f t="shared" si="6"/>
        <v>0</v>
      </c>
      <c r="X2531" s="168">
        <f t="shared" si="7"/>
        <v>0</v>
      </c>
      <c r="Y2531" s="168">
        <f t="shared" si="8"/>
        <v>0</v>
      </c>
      <c r="Z2531" s="168">
        <f t="shared" si="9"/>
        <v>0</v>
      </c>
    </row>
    <row r="2532" ht="15.0" customHeight="1">
      <c r="A2532" s="157" t="s">
        <v>2856</v>
      </c>
      <c r="B2532" s="158" t="s">
        <v>18</v>
      </c>
      <c r="C2532" s="158" t="s">
        <v>2851</v>
      </c>
      <c r="D2532" s="159">
        <v>44322.0</v>
      </c>
      <c r="E2532" s="157" t="s">
        <v>731</v>
      </c>
      <c r="F2532" s="160">
        <v>154720.91</v>
      </c>
      <c r="G2532" s="160">
        <v>24755.35</v>
      </c>
      <c r="H2532" s="160">
        <f t="shared" si="58"/>
        <v>179476.26</v>
      </c>
      <c r="I2532" s="160"/>
      <c r="J2532" s="161"/>
      <c r="K2532" s="160"/>
      <c r="L2532" s="160">
        <f>+'FACP$'!$H2532-'FACP$'!$I2532-'FACP$'!$K2532</f>
        <v>179476.26</v>
      </c>
      <c r="M2532" s="162" t="s">
        <v>586</v>
      </c>
      <c r="N2532" s="162" t="s">
        <v>554</v>
      </c>
      <c r="O2532" s="164">
        <v>44333.0</v>
      </c>
      <c r="P2532" s="164">
        <f t="shared" si="13"/>
        <v>44332</v>
      </c>
      <c r="Q2532" s="165">
        <f t="shared" si="2"/>
        <v>0</v>
      </c>
      <c r="R2532" s="167"/>
      <c r="S2532" s="167"/>
      <c r="T2532" s="168">
        <f t="shared" si="3"/>
        <v>179476.26</v>
      </c>
      <c r="U2532" s="168">
        <f t="shared" si="4"/>
        <v>0</v>
      </c>
      <c r="V2532" s="168">
        <f t="shared" si="5"/>
        <v>0</v>
      </c>
      <c r="W2532" s="168">
        <f t="shared" si="6"/>
        <v>0</v>
      </c>
      <c r="X2532" s="168">
        <f t="shared" si="7"/>
        <v>0</v>
      </c>
      <c r="Y2532" s="168">
        <f t="shared" si="8"/>
        <v>0</v>
      </c>
      <c r="Z2532" s="168">
        <f t="shared" si="9"/>
        <v>0</v>
      </c>
    </row>
    <row r="2533" ht="15.0" customHeight="1">
      <c r="A2533" s="157" t="s">
        <v>2857</v>
      </c>
      <c r="B2533" s="158" t="s">
        <v>19</v>
      </c>
      <c r="C2533" s="158" t="s">
        <v>2851</v>
      </c>
      <c r="D2533" s="159">
        <v>44322.0</v>
      </c>
      <c r="E2533" s="157" t="s">
        <v>731</v>
      </c>
      <c r="F2533" s="160">
        <v>187946.03</v>
      </c>
      <c r="G2533" s="160">
        <v>30071.36</v>
      </c>
      <c r="H2533" s="160">
        <f t="shared" si="58"/>
        <v>218017.39</v>
      </c>
      <c r="I2533" s="160"/>
      <c r="J2533" s="161"/>
      <c r="K2533" s="160"/>
      <c r="L2533" s="160">
        <f>+'FACP$'!$H2533-'FACP$'!$I2533-'FACP$'!$K2533</f>
        <v>218017.39</v>
      </c>
      <c r="M2533" s="162" t="s">
        <v>732</v>
      </c>
      <c r="N2533" s="162" t="s">
        <v>554</v>
      </c>
      <c r="O2533" s="164">
        <v>44333.0</v>
      </c>
      <c r="P2533" s="164">
        <f t="shared" si="13"/>
        <v>44332</v>
      </c>
      <c r="Q2533" s="165">
        <f t="shared" si="2"/>
        <v>0</v>
      </c>
      <c r="R2533" s="167"/>
      <c r="S2533" s="167"/>
      <c r="T2533" s="168">
        <f t="shared" si="3"/>
        <v>218017.39</v>
      </c>
      <c r="U2533" s="168">
        <f t="shared" si="4"/>
        <v>0</v>
      </c>
      <c r="V2533" s="168">
        <f t="shared" si="5"/>
        <v>0</v>
      </c>
      <c r="W2533" s="168">
        <f t="shared" si="6"/>
        <v>0</v>
      </c>
      <c r="X2533" s="168">
        <f t="shared" si="7"/>
        <v>0</v>
      </c>
      <c r="Y2533" s="168">
        <f t="shared" si="8"/>
        <v>0</v>
      </c>
      <c r="Z2533" s="168">
        <f t="shared" si="9"/>
        <v>0</v>
      </c>
    </row>
    <row r="2534" ht="15.0" customHeight="1">
      <c r="A2534" s="157" t="s">
        <v>2858</v>
      </c>
      <c r="B2534" s="158" t="s">
        <v>26</v>
      </c>
      <c r="C2534" s="158" t="s">
        <v>2851</v>
      </c>
      <c r="D2534" s="159">
        <v>44322.0</v>
      </c>
      <c r="E2534" s="157" t="s">
        <v>731</v>
      </c>
      <c r="F2534" s="160">
        <v>63270.96</v>
      </c>
      <c r="G2534" s="160">
        <v>10123.35</v>
      </c>
      <c r="H2534" s="160">
        <f t="shared" si="58"/>
        <v>73394.31</v>
      </c>
      <c r="I2534" s="160"/>
      <c r="J2534" s="161"/>
      <c r="K2534" s="160"/>
      <c r="L2534" s="160">
        <f>+'FACP$'!$H2534-'FACP$'!$I2534-'FACP$'!$K2534</f>
        <v>73394.31</v>
      </c>
      <c r="M2534" s="162" t="s">
        <v>2386</v>
      </c>
      <c r="N2534" s="162" t="s">
        <v>554</v>
      </c>
      <c r="O2534" s="164">
        <v>44348.0</v>
      </c>
      <c r="P2534" s="164">
        <f t="shared" si="13"/>
        <v>44332</v>
      </c>
      <c r="Q2534" s="165">
        <f t="shared" si="2"/>
        <v>0</v>
      </c>
      <c r="R2534" s="167"/>
      <c r="S2534" s="167"/>
      <c r="T2534" s="168">
        <f t="shared" si="3"/>
        <v>73394.31</v>
      </c>
      <c r="U2534" s="168">
        <f t="shared" si="4"/>
        <v>0</v>
      </c>
      <c r="V2534" s="168">
        <f t="shared" si="5"/>
        <v>0</v>
      </c>
      <c r="W2534" s="168">
        <f t="shared" si="6"/>
        <v>0</v>
      </c>
      <c r="X2534" s="168">
        <f t="shared" si="7"/>
        <v>0</v>
      </c>
      <c r="Y2534" s="168">
        <f t="shared" si="8"/>
        <v>0</v>
      </c>
      <c r="Z2534" s="168">
        <f t="shared" si="9"/>
        <v>0</v>
      </c>
    </row>
    <row r="2535" ht="15.0" customHeight="1">
      <c r="A2535" s="157" t="s">
        <v>2859</v>
      </c>
      <c r="B2535" s="158" t="s">
        <v>29</v>
      </c>
      <c r="C2535" s="158" t="s">
        <v>2851</v>
      </c>
      <c r="D2535" s="159">
        <v>44322.0</v>
      </c>
      <c r="E2535" s="157" t="s">
        <v>731</v>
      </c>
      <c r="F2535" s="160">
        <v>270854.22</v>
      </c>
      <c r="G2535" s="160">
        <v>43336.68</v>
      </c>
      <c r="H2535" s="160">
        <f t="shared" si="58"/>
        <v>314190.9</v>
      </c>
      <c r="I2535" s="160"/>
      <c r="J2535" s="161"/>
      <c r="K2535" s="160"/>
      <c r="L2535" s="160">
        <f>+'FACP$'!$H2535-'FACP$'!$I2535-'FACP$'!$K2535</f>
        <v>314190.9</v>
      </c>
      <c r="M2535" s="162" t="s">
        <v>130</v>
      </c>
      <c r="N2535" s="162" t="s">
        <v>554</v>
      </c>
      <c r="O2535" s="164">
        <v>44329.0</v>
      </c>
      <c r="P2535" s="164">
        <f t="shared" si="13"/>
        <v>44332</v>
      </c>
      <c r="Q2535" s="165">
        <f t="shared" si="2"/>
        <v>0</v>
      </c>
      <c r="R2535" s="167"/>
      <c r="S2535" s="167"/>
      <c r="T2535" s="168">
        <f t="shared" si="3"/>
        <v>314190.9</v>
      </c>
      <c r="U2535" s="168">
        <f t="shared" si="4"/>
        <v>0</v>
      </c>
      <c r="V2535" s="168">
        <f t="shared" si="5"/>
        <v>0</v>
      </c>
      <c r="W2535" s="168">
        <f t="shared" si="6"/>
        <v>0</v>
      </c>
      <c r="X2535" s="168">
        <f t="shared" si="7"/>
        <v>0</v>
      </c>
      <c r="Y2535" s="168">
        <f t="shared" si="8"/>
        <v>0</v>
      </c>
      <c r="Z2535" s="168">
        <f t="shared" si="9"/>
        <v>0</v>
      </c>
    </row>
    <row r="2536" ht="15.0" customHeight="1">
      <c r="A2536" s="157" t="s">
        <v>2860</v>
      </c>
      <c r="B2536" s="158" t="s">
        <v>29</v>
      </c>
      <c r="C2536" s="158" t="s">
        <v>2854</v>
      </c>
      <c r="D2536" s="159">
        <v>44322.0</v>
      </c>
      <c r="E2536" s="157" t="s">
        <v>731</v>
      </c>
      <c r="F2536" s="160">
        <v>339462.02</v>
      </c>
      <c r="G2536" s="160">
        <v>54313.92</v>
      </c>
      <c r="H2536" s="160">
        <f t="shared" si="58"/>
        <v>393775.94</v>
      </c>
      <c r="I2536" s="160"/>
      <c r="J2536" s="161"/>
      <c r="K2536" s="160"/>
      <c r="L2536" s="160">
        <f>+'FACP$'!$H2536-'FACP$'!$I2536-'FACP$'!$K2536</f>
        <v>393775.94</v>
      </c>
      <c r="M2536" s="162" t="s">
        <v>130</v>
      </c>
      <c r="N2536" s="162" t="s">
        <v>554</v>
      </c>
      <c r="O2536" s="164">
        <v>44357.0</v>
      </c>
      <c r="P2536" s="164">
        <f t="shared" si="13"/>
        <v>44332</v>
      </c>
      <c r="Q2536" s="165">
        <f t="shared" si="2"/>
        <v>0</v>
      </c>
      <c r="R2536" s="167"/>
      <c r="S2536" s="167"/>
      <c r="T2536" s="168">
        <f t="shared" si="3"/>
        <v>393775.94</v>
      </c>
      <c r="U2536" s="168">
        <f t="shared" si="4"/>
        <v>0</v>
      </c>
      <c r="V2536" s="168">
        <f t="shared" si="5"/>
        <v>0</v>
      </c>
      <c r="W2536" s="168">
        <f t="shared" si="6"/>
        <v>0</v>
      </c>
      <c r="X2536" s="168">
        <f t="shared" si="7"/>
        <v>0</v>
      </c>
      <c r="Y2536" s="168">
        <f t="shared" si="8"/>
        <v>0</v>
      </c>
      <c r="Z2536" s="168">
        <f t="shared" si="9"/>
        <v>0</v>
      </c>
    </row>
    <row r="2537" ht="15.0" customHeight="1">
      <c r="A2537" s="157" t="s">
        <v>2861</v>
      </c>
      <c r="B2537" s="158" t="s">
        <v>41</v>
      </c>
      <c r="C2537" s="158" t="s">
        <v>2851</v>
      </c>
      <c r="D2537" s="159">
        <v>44322.0</v>
      </c>
      <c r="E2537" s="157" t="s">
        <v>731</v>
      </c>
      <c r="F2537" s="160">
        <v>341857.9</v>
      </c>
      <c r="G2537" s="160">
        <v>54697.26</v>
      </c>
      <c r="H2537" s="160">
        <f>F2537+G2537-264000</f>
        <v>132555.16</v>
      </c>
      <c r="I2537" s="160"/>
      <c r="J2537" s="161"/>
      <c r="K2537" s="160"/>
      <c r="L2537" s="160">
        <f>+'FACP$'!$H2537-'FACP$'!$I2537-'FACP$'!$K2537</f>
        <v>132555.16</v>
      </c>
      <c r="M2537" s="162" t="s">
        <v>121</v>
      </c>
      <c r="N2537" s="162" t="s">
        <v>554</v>
      </c>
      <c r="O2537" s="164">
        <v>44531.0</v>
      </c>
      <c r="P2537" s="164">
        <f t="shared" si="13"/>
        <v>44332</v>
      </c>
      <c r="Q2537" s="165">
        <f t="shared" si="2"/>
        <v>0</v>
      </c>
      <c r="R2537" s="167" t="s">
        <v>2862</v>
      </c>
      <c r="S2537" s="167"/>
      <c r="T2537" s="168">
        <f t="shared" si="3"/>
        <v>132555.16</v>
      </c>
      <c r="U2537" s="168">
        <f t="shared" si="4"/>
        <v>0</v>
      </c>
      <c r="V2537" s="168">
        <f t="shared" si="5"/>
        <v>0</v>
      </c>
      <c r="W2537" s="168">
        <f t="shared" si="6"/>
        <v>0</v>
      </c>
      <c r="X2537" s="168">
        <f t="shared" si="7"/>
        <v>0</v>
      </c>
      <c r="Y2537" s="168">
        <f t="shared" si="8"/>
        <v>0</v>
      </c>
      <c r="Z2537" s="168">
        <f t="shared" si="9"/>
        <v>0</v>
      </c>
    </row>
    <row r="2538" ht="15.0" customHeight="1">
      <c r="A2538" s="157" t="s">
        <v>2863</v>
      </c>
      <c r="B2538" s="158" t="s">
        <v>37</v>
      </c>
      <c r="C2538" s="158" t="s">
        <v>2851</v>
      </c>
      <c r="D2538" s="159">
        <v>44322.0</v>
      </c>
      <c r="E2538" s="157" t="s">
        <v>731</v>
      </c>
      <c r="F2538" s="160">
        <v>1931574.14</v>
      </c>
      <c r="G2538" s="160">
        <v>309051.86</v>
      </c>
      <c r="H2538" s="160">
        <f t="shared" ref="H2538:H2592" si="59">F2538+G2538</f>
        <v>2240626</v>
      </c>
      <c r="I2538" s="160"/>
      <c r="J2538" s="161"/>
      <c r="K2538" s="160"/>
      <c r="L2538" s="160">
        <f>+'FACP$'!$H2538-'FACP$'!$I2538-'FACP$'!$K2538</f>
        <v>2240626</v>
      </c>
      <c r="M2538" s="162" t="s">
        <v>116</v>
      </c>
      <c r="N2538" s="162" t="s">
        <v>554</v>
      </c>
      <c r="O2538" s="164">
        <v>44333.0</v>
      </c>
      <c r="P2538" s="164">
        <f t="shared" si="13"/>
        <v>44332</v>
      </c>
      <c r="Q2538" s="165">
        <f t="shared" si="2"/>
        <v>0</v>
      </c>
      <c r="R2538" s="167"/>
      <c r="S2538" s="167"/>
      <c r="T2538" s="168">
        <f t="shared" si="3"/>
        <v>2240626</v>
      </c>
      <c r="U2538" s="168">
        <f t="shared" si="4"/>
        <v>0</v>
      </c>
      <c r="V2538" s="168">
        <f t="shared" si="5"/>
        <v>0</v>
      </c>
      <c r="W2538" s="168">
        <f t="shared" si="6"/>
        <v>0</v>
      </c>
      <c r="X2538" s="168">
        <f t="shared" si="7"/>
        <v>0</v>
      </c>
      <c r="Y2538" s="168">
        <f t="shared" si="8"/>
        <v>0</v>
      </c>
      <c r="Z2538" s="168">
        <f t="shared" si="9"/>
        <v>0</v>
      </c>
    </row>
    <row r="2539" ht="15.0" customHeight="1">
      <c r="A2539" s="157" t="s">
        <v>2864</v>
      </c>
      <c r="B2539" s="158" t="s">
        <v>33</v>
      </c>
      <c r="C2539" s="158" t="s">
        <v>2851</v>
      </c>
      <c r="D2539" s="159">
        <v>44322.0</v>
      </c>
      <c r="E2539" s="157" t="s">
        <v>731</v>
      </c>
      <c r="F2539" s="160">
        <v>627646.18</v>
      </c>
      <c r="G2539" s="160">
        <v>100423.39</v>
      </c>
      <c r="H2539" s="160">
        <f t="shared" si="59"/>
        <v>728069.57</v>
      </c>
      <c r="I2539" s="160"/>
      <c r="J2539" s="161"/>
      <c r="K2539" s="160"/>
      <c r="L2539" s="160">
        <f>+'FACP$'!$H2539-'FACP$'!$I2539-'FACP$'!$K2539</f>
        <v>728069.57</v>
      </c>
      <c r="M2539" s="162" t="s">
        <v>958</v>
      </c>
      <c r="N2539" s="162" t="s">
        <v>554</v>
      </c>
      <c r="O2539" s="164">
        <v>44330.0</v>
      </c>
      <c r="P2539" s="164">
        <f t="shared" si="13"/>
        <v>44332</v>
      </c>
      <c r="Q2539" s="165">
        <f t="shared" si="2"/>
        <v>0</v>
      </c>
      <c r="R2539" s="167"/>
      <c r="S2539" s="167"/>
      <c r="T2539" s="168">
        <f t="shared" si="3"/>
        <v>728069.57</v>
      </c>
      <c r="U2539" s="168">
        <f t="shared" si="4"/>
        <v>0</v>
      </c>
      <c r="V2539" s="168">
        <f t="shared" si="5"/>
        <v>0</v>
      </c>
      <c r="W2539" s="168">
        <f t="shared" si="6"/>
        <v>0</v>
      </c>
      <c r="X2539" s="168">
        <f t="shared" si="7"/>
        <v>0</v>
      </c>
      <c r="Y2539" s="168">
        <f t="shared" si="8"/>
        <v>0</v>
      </c>
      <c r="Z2539" s="168">
        <f t="shared" si="9"/>
        <v>0</v>
      </c>
    </row>
    <row r="2540" ht="15.0" customHeight="1">
      <c r="A2540" s="157" t="s">
        <v>2865</v>
      </c>
      <c r="B2540" s="158" t="s">
        <v>35</v>
      </c>
      <c r="C2540" s="158" t="s">
        <v>2851</v>
      </c>
      <c r="D2540" s="159">
        <v>44322.0</v>
      </c>
      <c r="E2540" s="157" t="s">
        <v>731</v>
      </c>
      <c r="F2540" s="160">
        <v>263536.0</v>
      </c>
      <c r="G2540" s="160">
        <v>42165.76</v>
      </c>
      <c r="H2540" s="160">
        <f t="shared" si="59"/>
        <v>305701.76</v>
      </c>
      <c r="I2540" s="160"/>
      <c r="J2540" s="161"/>
      <c r="K2540" s="160"/>
      <c r="L2540" s="160">
        <f>+'FACP$'!$H2540-'FACP$'!$I2540-'FACP$'!$K2540</f>
        <v>305701.76</v>
      </c>
      <c r="M2540" s="162" t="s">
        <v>276</v>
      </c>
      <c r="N2540" s="162" t="s">
        <v>554</v>
      </c>
      <c r="O2540" s="164">
        <v>44333.0</v>
      </c>
      <c r="P2540" s="164">
        <f t="shared" si="13"/>
        <v>44332</v>
      </c>
      <c r="Q2540" s="165">
        <f t="shared" si="2"/>
        <v>0</v>
      </c>
      <c r="R2540" s="167"/>
      <c r="S2540" s="167"/>
      <c r="T2540" s="168">
        <f t="shared" si="3"/>
        <v>305701.76</v>
      </c>
      <c r="U2540" s="168">
        <f t="shared" si="4"/>
        <v>0</v>
      </c>
      <c r="V2540" s="168">
        <f t="shared" si="5"/>
        <v>0</v>
      </c>
      <c r="W2540" s="168">
        <f t="shared" si="6"/>
        <v>0</v>
      </c>
      <c r="X2540" s="168">
        <f t="shared" si="7"/>
        <v>0</v>
      </c>
      <c r="Y2540" s="168">
        <f t="shared" si="8"/>
        <v>0</v>
      </c>
      <c r="Z2540" s="168">
        <f t="shared" si="9"/>
        <v>0</v>
      </c>
    </row>
    <row r="2541" ht="15.0" customHeight="1">
      <c r="A2541" s="157" t="s">
        <v>2866</v>
      </c>
      <c r="B2541" s="158" t="s">
        <v>36</v>
      </c>
      <c r="C2541" s="158" t="s">
        <v>2851</v>
      </c>
      <c r="D2541" s="159">
        <v>44322.0</v>
      </c>
      <c r="E2541" s="157" t="s">
        <v>731</v>
      </c>
      <c r="F2541" s="160">
        <v>72729.6</v>
      </c>
      <c r="G2541" s="160">
        <v>11636.74</v>
      </c>
      <c r="H2541" s="160">
        <f t="shared" si="59"/>
        <v>84366.34</v>
      </c>
      <c r="I2541" s="160"/>
      <c r="J2541" s="161"/>
      <c r="K2541" s="160"/>
      <c r="L2541" s="160">
        <f>+'FACP$'!$H2541-'FACP$'!$I2541-'FACP$'!$K2541</f>
        <v>84366.34</v>
      </c>
      <c r="M2541" s="162" t="s">
        <v>278</v>
      </c>
      <c r="N2541" s="162" t="s">
        <v>554</v>
      </c>
      <c r="O2541" s="164">
        <v>44354.0</v>
      </c>
      <c r="P2541" s="164">
        <f t="shared" si="13"/>
        <v>44332</v>
      </c>
      <c r="Q2541" s="165">
        <f t="shared" si="2"/>
        <v>0</v>
      </c>
      <c r="R2541" s="167"/>
      <c r="S2541" s="167"/>
      <c r="T2541" s="168">
        <f t="shared" si="3"/>
        <v>84366.34</v>
      </c>
      <c r="U2541" s="168">
        <f t="shared" si="4"/>
        <v>0</v>
      </c>
      <c r="V2541" s="168">
        <f t="shared" si="5"/>
        <v>0</v>
      </c>
      <c r="W2541" s="168">
        <f t="shared" si="6"/>
        <v>0</v>
      </c>
      <c r="X2541" s="168">
        <f t="shared" si="7"/>
        <v>0</v>
      </c>
      <c r="Y2541" s="168">
        <f t="shared" si="8"/>
        <v>0</v>
      </c>
      <c r="Z2541" s="168">
        <f t="shared" si="9"/>
        <v>0</v>
      </c>
    </row>
    <row r="2542" ht="15.0" customHeight="1">
      <c r="A2542" s="157" t="s">
        <v>2867</v>
      </c>
      <c r="B2542" s="158" t="s">
        <v>38</v>
      </c>
      <c r="C2542" s="158" t="s">
        <v>2851</v>
      </c>
      <c r="D2542" s="159">
        <v>44322.0</v>
      </c>
      <c r="E2542" s="157" t="s">
        <v>731</v>
      </c>
      <c r="F2542" s="160">
        <v>611488.2</v>
      </c>
      <c r="G2542" s="160">
        <v>97838.11</v>
      </c>
      <c r="H2542" s="160">
        <f t="shared" si="59"/>
        <v>709326.31</v>
      </c>
      <c r="I2542" s="160"/>
      <c r="J2542" s="161"/>
      <c r="K2542" s="160"/>
      <c r="L2542" s="160">
        <f>+'FACP$'!$H2542-'FACP$'!$I2542-'FACP$'!$K2542</f>
        <v>709326.31</v>
      </c>
      <c r="M2542" s="162" t="s">
        <v>145</v>
      </c>
      <c r="N2542" s="162" t="s">
        <v>554</v>
      </c>
      <c r="O2542" s="164">
        <v>44351.0</v>
      </c>
      <c r="P2542" s="164">
        <f t="shared" si="13"/>
        <v>44332</v>
      </c>
      <c r="Q2542" s="165">
        <f t="shared" si="2"/>
        <v>0</v>
      </c>
      <c r="R2542" s="167"/>
      <c r="S2542" s="167"/>
      <c r="T2542" s="168">
        <f t="shared" si="3"/>
        <v>709326.31</v>
      </c>
      <c r="U2542" s="168">
        <f t="shared" si="4"/>
        <v>0</v>
      </c>
      <c r="V2542" s="168">
        <f t="shared" si="5"/>
        <v>0</v>
      </c>
      <c r="W2542" s="168">
        <f t="shared" si="6"/>
        <v>0</v>
      </c>
      <c r="X2542" s="168">
        <f t="shared" si="7"/>
        <v>0</v>
      </c>
      <c r="Y2542" s="168">
        <f t="shared" si="8"/>
        <v>0</v>
      </c>
      <c r="Z2542" s="168">
        <f t="shared" si="9"/>
        <v>0</v>
      </c>
    </row>
    <row r="2543" ht="15.0" customHeight="1">
      <c r="A2543" s="157" t="s">
        <v>2868</v>
      </c>
      <c r="B2543" s="158" t="s">
        <v>1127</v>
      </c>
      <c r="C2543" s="158" t="s">
        <v>2851</v>
      </c>
      <c r="D2543" s="159">
        <v>44322.0</v>
      </c>
      <c r="E2543" s="157" t="s">
        <v>731</v>
      </c>
      <c r="F2543" s="160">
        <v>518312.54</v>
      </c>
      <c r="G2543" s="160">
        <v>82930.01</v>
      </c>
      <c r="H2543" s="160">
        <f t="shared" si="59"/>
        <v>601242.55</v>
      </c>
      <c r="I2543" s="160"/>
      <c r="J2543" s="161"/>
      <c r="K2543" s="160"/>
      <c r="L2543" s="160">
        <f>+'FACP$'!$H2543-'FACP$'!$I2543-'FACP$'!$K2543</f>
        <v>601242.55</v>
      </c>
      <c r="M2543" s="162" t="s">
        <v>580</v>
      </c>
      <c r="N2543" s="162" t="s">
        <v>554</v>
      </c>
      <c r="O2543" s="164">
        <v>44336.0</v>
      </c>
      <c r="P2543" s="164">
        <f t="shared" si="13"/>
        <v>44332</v>
      </c>
      <c r="Q2543" s="165">
        <f t="shared" si="2"/>
        <v>0</v>
      </c>
      <c r="R2543" s="167"/>
      <c r="S2543" s="167"/>
      <c r="T2543" s="168">
        <f t="shared" si="3"/>
        <v>601242.55</v>
      </c>
      <c r="U2543" s="168">
        <f t="shared" si="4"/>
        <v>0</v>
      </c>
      <c r="V2543" s="168">
        <f t="shared" si="5"/>
        <v>0</v>
      </c>
      <c r="W2543" s="168">
        <f t="shared" si="6"/>
        <v>0</v>
      </c>
      <c r="X2543" s="168">
        <f t="shared" si="7"/>
        <v>0</v>
      </c>
      <c r="Y2543" s="168">
        <f t="shared" si="8"/>
        <v>0</v>
      </c>
      <c r="Z2543" s="168">
        <f t="shared" si="9"/>
        <v>0</v>
      </c>
    </row>
    <row r="2544" ht="15.0" customHeight="1">
      <c r="A2544" s="157" t="s">
        <v>2869</v>
      </c>
      <c r="B2544" s="158" t="s">
        <v>16</v>
      </c>
      <c r="C2544" s="158" t="s">
        <v>2870</v>
      </c>
      <c r="D2544" s="159">
        <v>44335.0</v>
      </c>
      <c r="E2544" s="157" t="s">
        <v>731</v>
      </c>
      <c r="F2544" s="160">
        <v>265206.64</v>
      </c>
      <c r="G2544" s="160">
        <v>42433.06</v>
      </c>
      <c r="H2544" s="160">
        <f t="shared" si="59"/>
        <v>307639.7</v>
      </c>
      <c r="I2544" s="160"/>
      <c r="J2544" s="161"/>
      <c r="K2544" s="160"/>
      <c r="L2544" s="160">
        <f>+'FACP$'!$H2544-'FACP$'!$I2544-'FACP$'!$K2544</f>
        <v>307639.7</v>
      </c>
      <c r="M2544" s="162" t="s">
        <v>985</v>
      </c>
      <c r="N2544" s="162" t="s">
        <v>554</v>
      </c>
      <c r="O2544" s="164">
        <v>44357.0</v>
      </c>
      <c r="P2544" s="164">
        <f t="shared" si="13"/>
        <v>44345</v>
      </c>
      <c r="Q2544" s="165">
        <f t="shared" si="2"/>
        <v>0</v>
      </c>
      <c r="R2544" s="167"/>
      <c r="S2544" s="167"/>
      <c r="T2544" s="168">
        <f t="shared" si="3"/>
        <v>307639.7</v>
      </c>
      <c r="U2544" s="168">
        <f t="shared" si="4"/>
        <v>0</v>
      </c>
      <c r="V2544" s="168">
        <f t="shared" si="5"/>
        <v>0</v>
      </c>
      <c r="W2544" s="168">
        <f t="shared" si="6"/>
        <v>0</v>
      </c>
      <c r="X2544" s="168">
        <f t="shared" si="7"/>
        <v>0</v>
      </c>
      <c r="Y2544" s="168">
        <f t="shared" si="8"/>
        <v>0</v>
      </c>
      <c r="Z2544" s="168">
        <f t="shared" si="9"/>
        <v>0</v>
      </c>
    </row>
    <row r="2545" ht="15.0" customHeight="1">
      <c r="A2545" s="157" t="s">
        <v>2871</v>
      </c>
      <c r="B2545" s="158" t="s">
        <v>16</v>
      </c>
      <c r="C2545" s="158" t="s">
        <v>2872</v>
      </c>
      <c r="D2545" s="159">
        <v>44335.0</v>
      </c>
      <c r="E2545" s="157" t="s">
        <v>731</v>
      </c>
      <c r="F2545" s="160">
        <v>304743.47</v>
      </c>
      <c r="G2545" s="160">
        <v>48758.96</v>
      </c>
      <c r="H2545" s="160">
        <f t="shared" si="59"/>
        <v>353502.43</v>
      </c>
      <c r="I2545" s="160"/>
      <c r="J2545" s="161"/>
      <c r="K2545" s="160"/>
      <c r="L2545" s="160">
        <f>+'FACP$'!$H2545-'FACP$'!$I2545-'FACP$'!$K2545</f>
        <v>353502.43</v>
      </c>
      <c r="M2545" s="162" t="s">
        <v>985</v>
      </c>
      <c r="N2545" s="162" t="s">
        <v>554</v>
      </c>
      <c r="O2545" s="164">
        <v>44357.0</v>
      </c>
      <c r="P2545" s="164">
        <f t="shared" si="13"/>
        <v>44345</v>
      </c>
      <c r="Q2545" s="165">
        <f t="shared" si="2"/>
        <v>0</v>
      </c>
      <c r="R2545" s="167"/>
      <c r="S2545" s="167"/>
      <c r="T2545" s="168">
        <f t="shared" si="3"/>
        <v>353502.43</v>
      </c>
      <c r="U2545" s="168">
        <f t="shared" si="4"/>
        <v>0</v>
      </c>
      <c r="V2545" s="168">
        <f t="shared" si="5"/>
        <v>0</v>
      </c>
      <c r="W2545" s="168">
        <f t="shared" si="6"/>
        <v>0</v>
      </c>
      <c r="X2545" s="168">
        <f t="shared" si="7"/>
        <v>0</v>
      </c>
      <c r="Y2545" s="168">
        <f t="shared" si="8"/>
        <v>0</v>
      </c>
      <c r="Z2545" s="168">
        <f t="shared" si="9"/>
        <v>0</v>
      </c>
    </row>
    <row r="2546" ht="15.0" customHeight="1">
      <c r="A2546" s="157" t="s">
        <v>2873</v>
      </c>
      <c r="B2546" s="158" t="s">
        <v>18</v>
      </c>
      <c r="C2546" s="158" t="s">
        <v>2870</v>
      </c>
      <c r="D2546" s="159">
        <v>44335.0</v>
      </c>
      <c r="E2546" s="157" t="s">
        <v>731</v>
      </c>
      <c r="F2546" s="160">
        <v>132127.34</v>
      </c>
      <c r="G2546" s="160">
        <v>21140.37</v>
      </c>
      <c r="H2546" s="160">
        <f t="shared" si="59"/>
        <v>153267.71</v>
      </c>
      <c r="I2546" s="160"/>
      <c r="J2546" s="161"/>
      <c r="K2546" s="160"/>
      <c r="L2546" s="160">
        <f>+'FACP$'!$H2546-'FACP$'!$I2546-'FACP$'!$K2546</f>
        <v>153267.71</v>
      </c>
      <c r="M2546" s="162" t="s">
        <v>586</v>
      </c>
      <c r="N2546" s="162" t="s">
        <v>554</v>
      </c>
      <c r="O2546" s="164">
        <v>44344.0</v>
      </c>
      <c r="P2546" s="164">
        <f t="shared" si="13"/>
        <v>44345</v>
      </c>
      <c r="Q2546" s="165">
        <f t="shared" si="2"/>
        <v>0</v>
      </c>
      <c r="R2546" s="167"/>
      <c r="S2546" s="167"/>
      <c r="T2546" s="168">
        <f t="shared" si="3"/>
        <v>153267.71</v>
      </c>
      <c r="U2546" s="168">
        <f t="shared" si="4"/>
        <v>0</v>
      </c>
      <c r="V2546" s="168">
        <f t="shared" si="5"/>
        <v>0</v>
      </c>
      <c r="W2546" s="168">
        <f t="shared" si="6"/>
        <v>0</v>
      </c>
      <c r="X2546" s="168">
        <f t="shared" si="7"/>
        <v>0</v>
      </c>
      <c r="Y2546" s="168">
        <f t="shared" si="8"/>
        <v>0</v>
      </c>
      <c r="Z2546" s="168">
        <f t="shared" si="9"/>
        <v>0</v>
      </c>
    </row>
    <row r="2547" ht="15.0" customHeight="1">
      <c r="A2547" s="157" t="s">
        <v>2874</v>
      </c>
      <c r="B2547" s="158" t="s">
        <v>19</v>
      </c>
      <c r="C2547" s="158" t="s">
        <v>2870</v>
      </c>
      <c r="D2547" s="159">
        <v>44335.0</v>
      </c>
      <c r="E2547" s="157" t="s">
        <v>731</v>
      </c>
      <c r="F2547" s="160">
        <v>152889.19</v>
      </c>
      <c r="G2547" s="160">
        <v>24462.27</v>
      </c>
      <c r="H2547" s="160">
        <f t="shared" si="59"/>
        <v>177351.46</v>
      </c>
      <c r="I2547" s="160"/>
      <c r="J2547" s="161"/>
      <c r="K2547" s="160"/>
      <c r="L2547" s="160">
        <f>+'FACP$'!$H2547-'FACP$'!$I2547-'FACP$'!$K2547</f>
        <v>177351.46</v>
      </c>
      <c r="M2547" s="162" t="s">
        <v>732</v>
      </c>
      <c r="N2547" s="162" t="s">
        <v>554</v>
      </c>
      <c r="O2547" s="164">
        <v>44361.0</v>
      </c>
      <c r="P2547" s="164">
        <f t="shared" si="13"/>
        <v>44345</v>
      </c>
      <c r="Q2547" s="165">
        <f t="shared" si="2"/>
        <v>0</v>
      </c>
      <c r="R2547" s="167"/>
      <c r="S2547" s="167"/>
      <c r="T2547" s="168">
        <f t="shared" si="3"/>
        <v>177351.46</v>
      </c>
      <c r="U2547" s="168">
        <f t="shared" si="4"/>
        <v>0</v>
      </c>
      <c r="V2547" s="168">
        <f t="shared" si="5"/>
        <v>0</v>
      </c>
      <c r="W2547" s="168">
        <f t="shared" si="6"/>
        <v>0</v>
      </c>
      <c r="X2547" s="168">
        <f t="shared" si="7"/>
        <v>0</v>
      </c>
      <c r="Y2547" s="168">
        <f t="shared" si="8"/>
        <v>0</v>
      </c>
      <c r="Z2547" s="168">
        <f t="shared" si="9"/>
        <v>0</v>
      </c>
    </row>
    <row r="2548" ht="15.0" customHeight="1">
      <c r="A2548" s="157" t="s">
        <v>2875</v>
      </c>
      <c r="B2548" s="158" t="s">
        <v>26</v>
      </c>
      <c r="C2548" s="158" t="s">
        <v>2870</v>
      </c>
      <c r="D2548" s="159">
        <v>44335.0</v>
      </c>
      <c r="E2548" s="157" t="s">
        <v>731</v>
      </c>
      <c r="F2548" s="160">
        <v>91565.37</v>
      </c>
      <c r="G2548" s="160">
        <v>14650.46</v>
      </c>
      <c r="H2548" s="160">
        <f t="shared" si="59"/>
        <v>106215.83</v>
      </c>
      <c r="I2548" s="160"/>
      <c r="J2548" s="161"/>
      <c r="K2548" s="160"/>
      <c r="L2548" s="160">
        <f>+'FACP$'!$H2548-'FACP$'!$I2548-'FACP$'!$K2548</f>
        <v>106215.83</v>
      </c>
      <c r="M2548" s="162" t="s">
        <v>2386</v>
      </c>
      <c r="N2548" s="162" t="s">
        <v>554</v>
      </c>
      <c r="O2548" s="164">
        <v>44379.0</v>
      </c>
      <c r="P2548" s="164">
        <f t="shared" si="13"/>
        <v>44345</v>
      </c>
      <c r="Q2548" s="165">
        <f t="shared" si="2"/>
        <v>0</v>
      </c>
      <c r="R2548" s="167"/>
      <c r="S2548" s="167"/>
      <c r="T2548" s="168">
        <f t="shared" si="3"/>
        <v>106215.83</v>
      </c>
      <c r="U2548" s="168">
        <f t="shared" si="4"/>
        <v>0</v>
      </c>
      <c r="V2548" s="168">
        <f t="shared" si="5"/>
        <v>0</v>
      </c>
      <c r="W2548" s="168">
        <f t="shared" si="6"/>
        <v>0</v>
      </c>
      <c r="X2548" s="168">
        <f t="shared" si="7"/>
        <v>0</v>
      </c>
      <c r="Y2548" s="168">
        <f t="shared" si="8"/>
        <v>0</v>
      </c>
      <c r="Z2548" s="168">
        <f t="shared" si="9"/>
        <v>0</v>
      </c>
    </row>
    <row r="2549" ht="15.0" customHeight="1">
      <c r="A2549" s="157" t="s">
        <v>2876</v>
      </c>
      <c r="B2549" s="158" t="s">
        <v>29</v>
      </c>
      <c r="C2549" s="158" t="s">
        <v>2870</v>
      </c>
      <c r="D2549" s="159">
        <v>44335.0</v>
      </c>
      <c r="E2549" s="157" t="s">
        <v>731</v>
      </c>
      <c r="F2549" s="160">
        <v>265758.83</v>
      </c>
      <c r="G2549" s="160">
        <v>42521.41</v>
      </c>
      <c r="H2549" s="160">
        <f t="shared" si="59"/>
        <v>308280.24</v>
      </c>
      <c r="I2549" s="160"/>
      <c r="J2549" s="161"/>
      <c r="K2549" s="160"/>
      <c r="L2549" s="160">
        <f>+'FACP$'!$H2549-'FACP$'!$I2549-'FACP$'!$K2549</f>
        <v>308280.24</v>
      </c>
      <c r="M2549" s="162" t="s">
        <v>130</v>
      </c>
      <c r="N2549" s="162" t="s">
        <v>554</v>
      </c>
      <c r="O2549" s="164">
        <v>44343.0</v>
      </c>
      <c r="P2549" s="164">
        <f t="shared" si="13"/>
        <v>44345</v>
      </c>
      <c r="Q2549" s="165">
        <f t="shared" si="2"/>
        <v>0</v>
      </c>
      <c r="R2549" s="167"/>
      <c r="S2549" s="167"/>
      <c r="T2549" s="168">
        <f t="shared" si="3"/>
        <v>308280.24</v>
      </c>
      <c r="U2549" s="168">
        <f t="shared" si="4"/>
        <v>0</v>
      </c>
      <c r="V2549" s="168">
        <f t="shared" si="5"/>
        <v>0</v>
      </c>
      <c r="W2549" s="168">
        <f t="shared" si="6"/>
        <v>0</v>
      </c>
      <c r="X2549" s="168">
        <f t="shared" si="7"/>
        <v>0</v>
      </c>
      <c r="Y2549" s="168">
        <f t="shared" si="8"/>
        <v>0</v>
      </c>
      <c r="Z2549" s="168">
        <f t="shared" si="9"/>
        <v>0</v>
      </c>
    </row>
    <row r="2550" ht="15.0" customHeight="1">
      <c r="A2550" s="157" t="s">
        <v>2877</v>
      </c>
      <c r="B2550" s="158" t="s">
        <v>29</v>
      </c>
      <c r="C2550" s="158" t="s">
        <v>2872</v>
      </c>
      <c r="D2550" s="159">
        <v>44335.0</v>
      </c>
      <c r="E2550" s="157" t="s">
        <v>731</v>
      </c>
      <c r="F2550" s="160">
        <v>363092.93</v>
      </c>
      <c r="G2550" s="160">
        <v>58094.87</v>
      </c>
      <c r="H2550" s="160">
        <f t="shared" si="59"/>
        <v>421187.8</v>
      </c>
      <c r="I2550" s="160"/>
      <c r="J2550" s="161"/>
      <c r="K2550" s="160"/>
      <c r="L2550" s="160">
        <f>+'FACP$'!$H2550-'FACP$'!$I2550-'FACP$'!$K2550</f>
        <v>421187.8</v>
      </c>
      <c r="M2550" s="162" t="s">
        <v>130</v>
      </c>
      <c r="N2550" s="162" t="s">
        <v>554</v>
      </c>
      <c r="O2550" s="164">
        <v>44384.0</v>
      </c>
      <c r="P2550" s="164">
        <f t="shared" si="13"/>
        <v>44345</v>
      </c>
      <c r="Q2550" s="165">
        <f t="shared" si="2"/>
        <v>0</v>
      </c>
      <c r="R2550" s="167"/>
      <c r="S2550" s="167"/>
      <c r="T2550" s="168">
        <f t="shared" si="3"/>
        <v>421187.8</v>
      </c>
      <c r="U2550" s="168">
        <f t="shared" si="4"/>
        <v>0</v>
      </c>
      <c r="V2550" s="168">
        <f t="shared" si="5"/>
        <v>0</v>
      </c>
      <c r="W2550" s="168">
        <f t="shared" si="6"/>
        <v>0</v>
      </c>
      <c r="X2550" s="168">
        <f t="shared" si="7"/>
        <v>0</v>
      </c>
      <c r="Y2550" s="168">
        <f t="shared" si="8"/>
        <v>0</v>
      </c>
      <c r="Z2550" s="168">
        <f t="shared" si="9"/>
        <v>0</v>
      </c>
    </row>
    <row r="2551" ht="15.0" customHeight="1">
      <c r="A2551" s="157" t="s">
        <v>2878</v>
      </c>
      <c r="B2551" s="158" t="s">
        <v>37</v>
      </c>
      <c r="C2551" s="158" t="s">
        <v>2870</v>
      </c>
      <c r="D2551" s="159">
        <v>44335.0</v>
      </c>
      <c r="E2551" s="157" t="s">
        <v>731</v>
      </c>
      <c r="F2551" s="160">
        <v>1745872.61</v>
      </c>
      <c r="G2551" s="160">
        <v>279339.62</v>
      </c>
      <c r="H2551" s="160">
        <f t="shared" si="59"/>
        <v>2025212.23</v>
      </c>
      <c r="I2551" s="160"/>
      <c r="J2551" s="161"/>
      <c r="K2551" s="160"/>
      <c r="L2551" s="160">
        <f>+'FACP$'!$H2551-'FACP$'!$I2551-'FACP$'!$K2551</f>
        <v>2025212.23</v>
      </c>
      <c r="M2551" s="162" t="s">
        <v>116</v>
      </c>
      <c r="N2551" s="162" t="s">
        <v>554</v>
      </c>
      <c r="O2551" s="164">
        <v>44361.0</v>
      </c>
      <c r="P2551" s="164">
        <f t="shared" si="13"/>
        <v>44345</v>
      </c>
      <c r="Q2551" s="165">
        <f t="shared" si="2"/>
        <v>0</v>
      </c>
      <c r="R2551" s="167"/>
      <c r="S2551" s="167"/>
      <c r="T2551" s="168">
        <f t="shared" si="3"/>
        <v>2025212.23</v>
      </c>
      <c r="U2551" s="168">
        <f t="shared" si="4"/>
        <v>0</v>
      </c>
      <c r="V2551" s="168">
        <f t="shared" si="5"/>
        <v>0</v>
      </c>
      <c r="W2551" s="168">
        <f t="shared" si="6"/>
        <v>0</v>
      </c>
      <c r="X2551" s="168">
        <f t="shared" si="7"/>
        <v>0</v>
      </c>
      <c r="Y2551" s="168">
        <f t="shared" si="8"/>
        <v>0</v>
      </c>
      <c r="Z2551" s="168">
        <f t="shared" si="9"/>
        <v>0</v>
      </c>
    </row>
    <row r="2552" ht="15.0" customHeight="1">
      <c r="A2552" s="157" t="s">
        <v>2879</v>
      </c>
      <c r="B2552" s="158" t="s">
        <v>38</v>
      </c>
      <c r="C2552" s="158" t="s">
        <v>2870</v>
      </c>
      <c r="D2552" s="159">
        <v>44335.0</v>
      </c>
      <c r="E2552" s="157" t="s">
        <v>731</v>
      </c>
      <c r="F2552" s="160">
        <v>559475.84</v>
      </c>
      <c r="G2552" s="160">
        <v>89516.13</v>
      </c>
      <c r="H2552" s="160">
        <f t="shared" si="59"/>
        <v>648991.97</v>
      </c>
      <c r="I2552" s="160"/>
      <c r="J2552" s="161"/>
      <c r="K2552" s="160"/>
      <c r="L2552" s="160">
        <f>+'FACP$'!$H2552-'FACP$'!$I2552-'FACP$'!$K2552</f>
        <v>648991.97</v>
      </c>
      <c r="M2552" s="162" t="s">
        <v>145</v>
      </c>
      <c r="N2552" s="162" t="s">
        <v>554</v>
      </c>
      <c r="O2552" s="164">
        <v>44368.0</v>
      </c>
      <c r="P2552" s="164">
        <f t="shared" si="13"/>
        <v>44345</v>
      </c>
      <c r="Q2552" s="165">
        <f t="shared" si="2"/>
        <v>0</v>
      </c>
      <c r="R2552" s="167"/>
      <c r="S2552" s="167"/>
      <c r="T2552" s="168">
        <f t="shared" si="3"/>
        <v>648991.97</v>
      </c>
      <c r="U2552" s="168">
        <f t="shared" si="4"/>
        <v>0</v>
      </c>
      <c r="V2552" s="168">
        <f t="shared" si="5"/>
        <v>0</v>
      </c>
      <c r="W2552" s="168">
        <f t="shared" si="6"/>
        <v>0</v>
      </c>
      <c r="X2552" s="168">
        <f t="shared" si="7"/>
        <v>0</v>
      </c>
      <c r="Y2552" s="168">
        <f t="shared" si="8"/>
        <v>0</v>
      </c>
      <c r="Z2552" s="168">
        <f t="shared" si="9"/>
        <v>0</v>
      </c>
    </row>
    <row r="2553" ht="15.0" customHeight="1">
      <c r="A2553" s="157" t="s">
        <v>2880</v>
      </c>
      <c r="B2553" s="158" t="s">
        <v>41</v>
      </c>
      <c r="C2553" s="158" t="s">
        <v>2870</v>
      </c>
      <c r="D2553" s="159">
        <v>44335.0</v>
      </c>
      <c r="E2553" s="157" t="s">
        <v>731</v>
      </c>
      <c r="F2553" s="160">
        <v>310835.11</v>
      </c>
      <c r="G2553" s="160">
        <v>49733.62</v>
      </c>
      <c r="H2553" s="160">
        <f t="shared" si="59"/>
        <v>360568.73</v>
      </c>
      <c r="I2553" s="160"/>
      <c r="J2553" s="161"/>
      <c r="K2553" s="160"/>
      <c r="L2553" s="160">
        <f>+'FACP$'!$H2553-'FACP$'!$I2553-'FACP$'!$K2553</f>
        <v>360568.73</v>
      </c>
      <c r="M2553" s="162" t="s">
        <v>121</v>
      </c>
      <c r="N2553" s="162" t="s">
        <v>554</v>
      </c>
      <c r="O2553" s="164">
        <v>44434.0</v>
      </c>
      <c r="P2553" s="164">
        <f t="shared" si="13"/>
        <v>44345</v>
      </c>
      <c r="Q2553" s="165">
        <f t="shared" si="2"/>
        <v>0</v>
      </c>
      <c r="R2553" s="167" t="s">
        <v>2881</v>
      </c>
      <c r="S2553" s="167"/>
      <c r="T2553" s="168">
        <f t="shared" si="3"/>
        <v>360568.73</v>
      </c>
      <c r="U2553" s="168">
        <f t="shared" si="4"/>
        <v>0</v>
      </c>
      <c r="V2553" s="168">
        <f t="shared" si="5"/>
        <v>0</v>
      </c>
      <c r="W2553" s="168">
        <f t="shared" si="6"/>
        <v>0</v>
      </c>
      <c r="X2553" s="168">
        <f t="shared" si="7"/>
        <v>0</v>
      </c>
      <c r="Y2553" s="168">
        <f t="shared" si="8"/>
        <v>0</v>
      </c>
      <c r="Z2553" s="168">
        <f t="shared" si="9"/>
        <v>0</v>
      </c>
    </row>
    <row r="2554" ht="15.0" customHeight="1">
      <c r="A2554" s="157" t="s">
        <v>2882</v>
      </c>
      <c r="B2554" s="158" t="s">
        <v>26</v>
      </c>
      <c r="C2554" s="158" t="s">
        <v>2870</v>
      </c>
      <c r="D2554" s="159">
        <v>44340.0</v>
      </c>
      <c r="E2554" s="157" t="s">
        <v>731</v>
      </c>
      <c r="F2554" s="160">
        <v>20447.36</v>
      </c>
      <c r="G2554" s="160">
        <v>3271.58</v>
      </c>
      <c r="H2554" s="160">
        <f t="shared" si="59"/>
        <v>23718.94</v>
      </c>
      <c r="I2554" s="160"/>
      <c r="J2554" s="161"/>
      <c r="K2554" s="160"/>
      <c r="L2554" s="160">
        <f>+'FACP$'!$H2554-'FACP$'!$I2554-'FACP$'!$K2554</f>
        <v>23718.94</v>
      </c>
      <c r="M2554" s="162" t="s">
        <v>188</v>
      </c>
      <c r="N2554" s="162" t="s">
        <v>554</v>
      </c>
      <c r="O2554" s="164">
        <v>44372.0</v>
      </c>
      <c r="P2554" s="164">
        <f t="shared" si="13"/>
        <v>44350</v>
      </c>
      <c r="Q2554" s="165">
        <f t="shared" si="2"/>
        <v>0</v>
      </c>
      <c r="R2554" s="167"/>
      <c r="S2554" s="167"/>
      <c r="T2554" s="168">
        <f t="shared" si="3"/>
        <v>23718.94</v>
      </c>
      <c r="U2554" s="168">
        <f t="shared" si="4"/>
        <v>0</v>
      </c>
      <c r="V2554" s="168">
        <f t="shared" si="5"/>
        <v>0</v>
      </c>
      <c r="W2554" s="168">
        <f t="shared" si="6"/>
        <v>0</v>
      </c>
      <c r="X2554" s="168">
        <f t="shared" si="7"/>
        <v>0</v>
      </c>
      <c r="Y2554" s="168">
        <f t="shared" si="8"/>
        <v>0</v>
      </c>
      <c r="Z2554" s="168">
        <f t="shared" si="9"/>
        <v>0</v>
      </c>
    </row>
    <row r="2555" ht="15.0" customHeight="1">
      <c r="A2555" s="157" t="s">
        <v>2883</v>
      </c>
      <c r="B2555" s="158" t="s">
        <v>27</v>
      </c>
      <c r="C2555" s="158" t="s">
        <v>2884</v>
      </c>
      <c r="D2555" s="159">
        <v>44342.0</v>
      </c>
      <c r="E2555" s="157" t="s">
        <v>731</v>
      </c>
      <c r="F2555" s="160">
        <v>630493.16</v>
      </c>
      <c r="G2555" s="160">
        <v>100878.91</v>
      </c>
      <c r="H2555" s="160">
        <f t="shared" si="59"/>
        <v>731372.07</v>
      </c>
      <c r="I2555" s="160"/>
      <c r="J2555" s="161"/>
      <c r="K2555" s="160"/>
      <c r="L2555" s="160">
        <f>+'FACP$'!$H2555-'FACP$'!$I2555-'FACP$'!$K2555</f>
        <v>731372.07</v>
      </c>
      <c r="M2555" s="162" t="s">
        <v>151</v>
      </c>
      <c r="N2555" s="162" t="s">
        <v>554</v>
      </c>
      <c r="O2555" s="164">
        <v>44363.0</v>
      </c>
      <c r="P2555" s="164">
        <f t="shared" si="13"/>
        <v>44352</v>
      </c>
      <c r="Q2555" s="165">
        <f t="shared" si="2"/>
        <v>0</v>
      </c>
      <c r="R2555" s="167"/>
      <c r="S2555" s="167"/>
      <c r="T2555" s="168">
        <f t="shared" si="3"/>
        <v>731372.07</v>
      </c>
      <c r="U2555" s="168">
        <f t="shared" si="4"/>
        <v>0</v>
      </c>
      <c r="V2555" s="168">
        <f t="shared" si="5"/>
        <v>0</v>
      </c>
      <c r="W2555" s="168">
        <f t="shared" si="6"/>
        <v>0</v>
      </c>
      <c r="X2555" s="168">
        <f t="shared" si="7"/>
        <v>0</v>
      </c>
      <c r="Y2555" s="168">
        <f t="shared" si="8"/>
        <v>0</v>
      </c>
      <c r="Z2555" s="168">
        <f t="shared" si="9"/>
        <v>0</v>
      </c>
    </row>
    <row r="2556" ht="15.0" customHeight="1">
      <c r="A2556" s="157" t="s">
        <v>2885</v>
      </c>
      <c r="B2556" s="158" t="s">
        <v>27</v>
      </c>
      <c r="C2556" s="158" t="s">
        <v>2886</v>
      </c>
      <c r="D2556" s="159">
        <v>44342.0</v>
      </c>
      <c r="E2556" s="157" t="s">
        <v>731</v>
      </c>
      <c r="F2556" s="160">
        <v>465594.95</v>
      </c>
      <c r="G2556" s="160">
        <v>74495.19</v>
      </c>
      <c r="H2556" s="160">
        <f t="shared" si="59"/>
        <v>540090.14</v>
      </c>
      <c r="I2556" s="160"/>
      <c r="J2556" s="161"/>
      <c r="K2556" s="160"/>
      <c r="L2556" s="160">
        <f>+'FACP$'!$H2556-'FACP$'!$I2556-'FACP$'!$K2556</f>
        <v>540090.14</v>
      </c>
      <c r="M2556" s="162" t="s">
        <v>151</v>
      </c>
      <c r="N2556" s="162" t="s">
        <v>554</v>
      </c>
      <c r="O2556" s="164">
        <v>44372.0</v>
      </c>
      <c r="P2556" s="164">
        <f t="shared" si="13"/>
        <v>44352</v>
      </c>
      <c r="Q2556" s="165">
        <f t="shared" si="2"/>
        <v>0</v>
      </c>
      <c r="R2556" s="167"/>
      <c r="S2556" s="167"/>
      <c r="T2556" s="168">
        <f t="shared" si="3"/>
        <v>540090.14</v>
      </c>
      <c r="U2556" s="168">
        <f t="shared" si="4"/>
        <v>0</v>
      </c>
      <c r="V2556" s="168">
        <f t="shared" si="5"/>
        <v>0</v>
      </c>
      <c r="W2556" s="168">
        <f t="shared" si="6"/>
        <v>0</v>
      </c>
      <c r="X2556" s="168">
        <f t="shared" si="7"/>
        <v>0</v>
      </c>
      <c r="Y2556" s="168">
        <f t="shared" si="8"/>
        <v>0</v>
      </c>
      <c r="Z2556" s="168">
        <f t="shared" si="9"/>
        <v>0</v>
      </c>
    </row>
    <row r="2557" ht="15.0" customHeight="1">
      <c r="A2557" s="157" t="s">
        <v>2887</v>
      </c>
      <c r="B2557" s="158" t="s">
        <v>27</v>
      </c>
      <c r="C2557" s="158" t="s">
        <v>2888</v>
      </c>
      <c r="D2557" s="159">
        <v>44342.0</v>
      </c>
      <c r="E2557" s="157" t="s">
        <v>731</v>
      </c>
      <c r="F2557" s="160">
        <v>32217.59</v>
      </c>
      <c r="G2557" s="160">
        <v>5154.81</v>
      </c>
      <c r="H2557" s="160">
        <f t="shared" si="59"/>
        <v>37372.4</v>
      </c>
      <c r="I2557" s="160"/>
      <c r="J2557" s="161"/>
      <c r="K2557" s="160"/>
      <c r="L2557" s="160">
        <f>+'FACP$'!$H2557-'FACP$'!$I2557-'FACP$'!$K2557</f>
        <v>37372.4</v>
      </c>
      <c r="M2557" s="162" t="s">
        <v>151</v>
      </c>
      <c r="N2557" s="162" t="s">
        <v>554</v>
      </c>
      <c r="O2557" s="164">
        <v>44372.0</v>
      </c>
      <c r="P2557" s="164">
        <f t="shared" si="13"/>
        <v>44352</v>
      </c>
      <c r="Q2557" s="165">
        <f t="shared" si="2"/>
        <v>0</v>
      </c>
      <c r="R2557" s="167"/>
      <c r="S2557" s="167"/>
      <c r="T2557" s="168">
        <f t="shared" si="3"/>
        <v>37372.4</v>
      </c>
      <c r="U2557" s="168">
        <f t="shared" si="4"/>
        <v>0</v>
      </c>
      <c r="V2557" s="168">
        <f t="shared" si="5"/>
        <v>0</v>
      </c>
      <c r="W2557" s="168">
        <f t="shared" si="6"/>
        <v>0</v>
      </c>
      <c r="X2557" s="168">
        <f t="shared" si="7"/>
        <v>0</v>
      </c>
      <c r="Y2557" s="168">
        <f t="shared" si="8"/>
        <v>0</v>
      </c>
      <c r="Z2557" s="168">
        <f t="shared" si="9"/>
        <v>0</v>
      </c>
    </row>
    <row r="2558" ht="15.0" customHeight="1">
      <c r="A2558" s="157" t="s">
        <v>2889</v>
      </c>
      <c r="B2558" s="158" t="s">
        <v>27</v>
      </c>
      <c r="C2558" s="158" t="s">
        <v>2890</v>
      </c>
      <c r="D2558" s="159">
        <v>44342.0</v>
      </c>
      <c r="E2558" s="157" t="s">
        <v>731</v>
      </c>
      <c r="F2558" s="160">
        <v>23791.45</v>
      </c>
      <c r="G2558" s="160">
        <v>3806.63</v>
      </c>
      <c r="H2558" s="160">
        <f t="shared" si="59"/>
        <v>27598.08</v>
      </c>
      <c r="I2558" s="160"/>
      <c r="J2558" s="161"/>
      <c r="K2558" s="160"/>
      <c r="L2558" s="160">
        <f>+'FACP$'!$H2558-'FACP$'!$I2558-'FACP$'!$K2558</f>
        <v>27598.08</v>
      </c>
      <c r="M2558" s="162" t="s">
        <v>151</v>
      </c>
      <c r="N2558" s="162" t="s">
        <v>554</v>
      </c>
      <c r="O2558" s="164">
        <v>44372.0</v>
      </c>
      <c r="P2558" s="164">
        <f t="shared" si="13"/>
        <v>44352</v>
      </c>
      <c r="Q2558" s="165">
        <f t="shared" si="2"/>
        <v>0</v>
      </c>
      <c r="R2558" s="167"/>
      <c r="S2558" s="167"/>
      <c r="T2558" s="168">
        <f t="shared" si="3"/>
        <v>27598.08</v>
      </c>
      <c r="U2558" s="168">
        <f t="shared" si="4"/>
        <v>0</v>
      </c>
      <c r="V2558" s="168">
        <f t="shared" si="5"/>
        <v>0</v>
      </c>
      <c r="W2558" s="168">
        <f t="shared" si="6"/>
        <v>0</v>
      </c>
      <c r="X2558" s="168">
        <f t="shared" si="7"/>
        <v>0</v>
      </c>
      <c r="Y2558" s="168">
        <f t="shared" si="8"/>
        <v>0</v>
      </c>
      <c r="Z2558" s="168">
        <f t="shared" si="9"/>
        <v>0</v>
      </c>
    </row>
    <row r="2559" ht="15.0" customHeight="1">
      <c r="A2559" s="157" t="s">
        <v>2891</v>
      </c>
      <c r="B2559" s="158" t="s">
        <v>27</v>
      </c>
      <c r="C2559" s="158" t="s">
        <v>2884</v>
      </c>
      <c r="D2559" s="159">
        <v>44342.0</v>
      </c>
      <c r="E2559" s="157" t="s">
        <v>731</v>
      </c>
      <c r="F2559" s="160">
        <v>199320.26</v>
      </c>
      <c r="G2559" s="160">
        <v>31891.24</v>
      </c>
      <c r="H2559" s="160">
        <f t="shared" si="59"/>
        <v>231211.5</v>
      </c>
      <c r="I2559" s="160"/>
      <c r="J2559" s="161"/>
      <c r="K2559" s="160"/>
      <c r="L2559" s="160">
        <f>+'FACP$'!$H2559-'FACP$'!$I2559-'FACP$'!$K2559</f>
        <v>231211.5</v>
      </c>
      <c r="M2559" s="162" t="s">
        <v>158</v>
      </c>
      <c r="N2559" s="162" t="s">
        <v>554</v>
      </c>
      <c r="O2559" s="164">
        <v>44363.0</v>
      </c>
      <c r="P2559" s="164">
        <f t="shared" si="13"/>
        <v>44352</v>
      </c>
      <c r="Q2559" s="165">
        <f t="shared" si="2"/>
        <v>0</v>
      </c>
      <c r="R2559" s="167"/>
      <c r="S2559" s="167"/>
      <c r="T2559" s="168">
        <f t="shared" si="3"/>
        <v>231211.5</v>
      </c>
      <c r="U2559" s="168">
        <f t="shared" si="4"/>
        <v>0</v>
      </c>
      <c r="V2559" s="168">
        <f t="shared" si="5"/>
        <v>0</v>
      </c>
      <c r="W2559" s="168">
        <f t="shared" si="6"/>
        <v>0</v>
      </c>
      <c r="X2559" s="168">
        <f t="shared" si="7"/>
        <v>0</v>
      </c>
      <c r="Y2559" s="168">
        <f t="shared" si="8"/>
        <v>0</v>
      </c>
      <c r="Z2559" s="168">
        <f t="shared" si="9"/>
        <v>0</v>
      </c>
    </row>
    <row r="2560" ht="15.0" customHeight="1">
      <c r="A2560" s="157" t="s">
        <v>2892</v>
      </c>
      <c r="B2560" s="158" t="s">
        <v>27</v>
      </c>
      <c r="C2560" s="158" t="s">
        <v>2886</v>
      </c>
      <c r="D2560" s="159">
        <v>44342.0</v>
      </c>
      <c r="E2560" s="157" t="s">
        <v>731</v>
      </c>
      <c r="F2560" s="160">
        <v>118161.14</v>
      </c>
      <c r="G2560" s="160">
        <v>18905.78</v>
      </c>
      <c r="H2560" s="160">
        <f t="shared" si="59"/>
        <v>137066.92</v>
      </c>
      <c r="I2560" s="160"/>
      <c r="J2560" s="161"/>
      <c r="K2560" s="160"/>
      <c r="L2560" s="160">
        <f>+'FACP$'!$H2560-'FACP$'!$I2560-'FACP$'!$K2560</f>
        <v>137066.92</v>
      </c>
      <c r="M2560" s="162" t="s">
        <v>158</v>
      </c>
      <c r="N2560" s="162" t="s">
        <v>554</v>
      </c>
      <c r="O2560" s="164">
        <v>44372.0</v>
      </c>
      <c r="P2560" s="164">
        <f t="shared" si="13"/>
        <v>44352</v>
      </c>
      <c r="Q2560" s="165">
        <f t="shared" si="2"/>
        <v>0</v>
      </c>
      <c r="R2560" s="167"/>
      <c r="S2560" s="167"/>
      <c r="T2560" s="168">
        <f t="shared" si="3"/>
        <v>137066.92</v>
      </c>
      <c r="U2560" s="168">
        <f t="shared" si="4"/>
        <v>0</v>
      </c>
      <c r="V2560" s="168">
        <f t="shared" si="5"/>
        <v>0</v>
      </c>
      <c r="W2560" s="168">
        <f t="shared" si="6"/>
        <v>0</v>
      </c>
      <c r="X2560" s="168">
        <f t="shared" si="7"/>
        <v>0</v>
      </c>
      <c r="Y2560" s="168">
        <f t="shared" si="8"/>
        <v>0</v>
      </c>
      <c r="Z2560" s="168">
        <f t="shared" si="9"/>
        <v>0</v>
      </c>
    </row>
    <row r="2561" ht="15.0" customHeight="1">
      <c r="A2561" s="157" t="s">
        <v>2893</v>
      </c>
      <c r="B2561" s="158" t="s">
        <v>127</v>
      </c>
      <c r="C2561" s="158"/>
      <c r="D2561" s="159"/>
      <c r="E2561" s="157"/>
      <c r="F2561" s="160"/>
      <c r="G2561" s="160"/>
      <c r="H2561" s="160">
        <f t="shared" si="59"/>
        <v>0</v>
      </c>
      <c r="I2561" s="160"/>
      <c r="J2561" s="161"/>
      <c r="K2561" s="160"/>
      <c r="L2561" s="160">
        <f>+'FACP$'!$H2561-'FACP$'!$I2561-'FACP$'!$K2561</f>
        <v>0</v>
      </c>
      <c r="M2561" s="162" t="s">
        <v>127</v>
      </c>
      <c r="N2561" s="162" t="s">
        <v>127</v>
      </c>
      <c r="O2561" s="164"/>
      <c r="P2561" s="164">
        <f t="shared" si="13"/>
        <v>10</v>
      </c>
      <c r="Q2561" s="165">
        <f t="shared" si="2"/>
        <v>0</v>
      </c>
      <c r="R2561" s="167"/>
      <c r="S2561" s="167"/>
      <c r="T2561" s="168">
        <f t="shared" si="3"/>
        <v>0</v>
      </c>
      <c r="U2561" s="168">
        <f t="shared" si="4"/>
        <v>0</v>
      </c>
      <c r="V2561" s="168">
        <f t="shared" si="5"/>
        <v>0</v>
      </c>
      <c r="W2561" s="168">
        <f t="shared" si="6"/>
        <v>0</v>
      </c>
      <c r="X2561" s="168">
        <f t="shared" si="7"/>
        <v>0</v>
      </c>
      <c r="Y2561" s="168">
        <f t="shared" si="8"/>
        <v>0</v>
      </c>
      <c r="Z2561" s="168">
        <f t="shared" si="9"/>
        <v>0</v>
      </c>
    </row>
    <row r="2562" ht="15.0" customHeight="1">
      <c r="A2562" s="157" t="s">
        <v>2894</v>
      </c>
      <c r="B2562" s="158" t="s">
        <v>33</v>
      </c>
      <c r="C2562" s="158" t="s">
        <v>2870</v>
      </c>
      <c r="D2562" s="159">
        <v>44342.0</v>
      </c>
      <c r="E2562" s="157" t="s">
        <v>731</v>
      </c>
      <c r="F2562" s="160">
        <v>464606.49</v>
      </c>
      <c r="G2562" s="160">
        <v>74337.04</v>
      </c>
      <c r="H2562" s="160">
        <f t="shared" si="59"/>
        <v>538943.53</v>
      </c>
      <c r="I2562" s="160"/>
      <c r="J2562" s="161"/>
      <c r="K2562" s="160"/>
      <c r="L2562" s="160">
        <f>+'FACP$'!$H2562-'FACP$'!$I2562-'FACP$'!$K2562</f>
        <v>538943.53</v>
      </c>
      <c r="M2562" s="162" t="s">
        <v>33</v>
      </c>
      <c r="N2562" s="162" t="s">
        <v>554</v>
      </c>
      <c r="O2562" s="164">
        <v>44357.0</v>
      </c>
      <c r="P2562" s="164">
        <f t="shared" si="13"/>
        <v>44352</v>
      </c>
      <c r="Q2562" s="165">
        <f t="shared" si="2"/>
        <v>0</v>
      </c>
      <c r="R2562" s="167"/>
      <c r="S2562" s="167"/>
      <c r="T2562" s="168">
        <f t="shared" si="3"/>
        <v>538943.53</v>
      </c>
      <c r="U2562" s="168">
        <f t="shared" si="4"/>
        <v>0</v>
      </c>
      <c r="V2562" s="168">
        <f t="shared" si="5"/>
        <v>0</v>
      </c>
      <c r="W2562" s="168">
        <f t="shared" si="6"/>
        <v>0</v>
      </c>
      <c r="X2562" s="168">
        <f t="shared" si="7"/>
        <v>0</v>
      </c>
      <c r="Y2562" s="168">
        <f t="shared" si="8"/>
        <v>0</v>
      </c>
      <c r="Z2562" s="168">
        <f t="shared" si="9"/>
        <v>0</v>
      </c>
    </row>
    <row r="2563" ht="15.0" customHeight="1">
      <c r="A2563" s="157" t="s">
        <v>2895</v>
      </c>
      <c r="B2563" s="158" t="s">
        <v>35</v>
      </c>
      <c r="C2563" s="158" t="s">
        <v>2870</v>
      </c>
      <c r="D2563" s="159">
        <v>44342.0</v>
      </c>
      <c r="E2563" s="157" t="s">
        <v>731</v>
      </c>
      <c r="F2563" s="160">
        <v>202116.33</v>
      </c>
      <c r="G2563" s="160">
        <v>32338.61</v>
      </c>
      <c r="H2563" s="160">
        <f t="shared" si="59"/>
        <v>234454.94</v>
      </c>
      <c r="I2563" s="160"/>
      <c r="J2563" s="161"/>
      <c r="K2563" s="160"/>
      <c r="L2563" s="160">
        <f>+'FACP$'!$H2563-'FACP$'!$I2563-'FACP$'!$K2563</f>
        <v>234454.94</v>
      </c>
      <c r="M2563" s="162" t="s">
        <v>276</v>
      </c>
      <c r="N2563" s="162" t="s">
        <v>554</v>
      </c>
      <c r="O2563" s="164">
        <v>44350.0</v>
      </c>
      <c r="P2563" s="164">
        <f t="shared" si="13"/>
        <v>44352</v>
      </c>
      <c r="Q2563" s="165">
        <f t="shared" si="2"/>
        <v>0</v>
      </c>
      <c r="R2563" s="167"/>
      <c r="S2563" s="167"/>
      <c r="T2563" s="168">
        <f t="shared" si="3"/>
        <v>234454.94</v>
      </c>
      <c r="U2563" s="168">
        <f t="shared" si="4"/>
        <v>0</v>
      </c>
      <c r="V2563" s="168">
        <f t="shared" si="5"/>
        <v>0</v>
      </c>
      <c r="W2563" s="168">
        <f t="shared" si="6"/>
        <v>0</v>
      </c>
      <c r="X2563" s="168">
        <f t="shared" si="7"/>
        <v>0</v>
      </c>
      <c r="Y2563" s="168">
        <f t="shared" si="8"/>
        <v>0</v>
      </c>
      <c r="Z2563" s="168">
        <f t="shared" si="9"/>
        <v>0</v>
      </c>
    </row>
    <row r="2564" ht="15.0" customHeight="1">
      <c r="A2564" s="157" t="s">
        <v>2896</v>
      </c>
      <c r="B2564" s="158" t="s">
        <v>36</v>
      </c>
      <c r="C2564" s="158" t="s">
        <v>2870</v>
      </c>
      <c r="D2564" s="159">
        <v>44342.0</v>
      </c>
      <c r="E2564" s="157" t="s">
        <v>731</v>
      </c>
      <c r="F2564" s="160">
        <v>52294.58</v>
      </c>
      <c r="G2564" s="160">
        <v>8367.13</v>
      </c>
      <c r="H2564" s="160">
        <f t="shared" si="59"/>
        <v>60661.71</v>
      </c>
      <c r="I2564" s="160"/>
      <c r="J2564" s="161"/>
      <c r="K2564" s="160"/>
      <c r="L2564" s="160">
        <f>+'FACP$'!$H2564-'FACP$'!$I2564-'FACP$'!$K2564</f>
        <v>60661.71</v>
      </c>
      <c r="M2564" s="162" t="s">
        <v>278</v>
      </c>
      <c r="N2564" s="162" t="s">
        <v>554</v>
      </c>
      <c r="O2564" s="164">
        <v>44414.0</v>
      </c>
      <c r="P2564" s="164">
        <f t="shared" si="13"/>
        <v>44352</v>
      </c>
      <c r="Q2564" s="165">
        <f t="shared" si="2"/>
        <v>0</v>
      </c>
      <c r="R2564" s="167"/>
      <c r="S2564" s="167"/>
      <c r="T2564" s="168">
        <f t="shared" si="3"/>
        <v>60661.71</v>
      </c>
      <c r="U2564" s="168">
        <f t="shared" si="4"/>
        <v>0</v>
      </c>
      <c r="V2564" s="168">
        <f t="shared" si="5"/>
        <v>0</v>
      </c>
      <c r="W2564" s="168">
        <f t="shared" si="6"/>
        <v>0</v>
      </c>
      <c r="X2564" s="168">
        <f t="shared" si="7"/>
        <v>0</v>
      </c>
      <c r="Y2564" s="168">
        <f t="shared" si="8"/>
        <v>0</v>
      </c>
      <c r="Z2564" s="168">
        <f t="shared" si="9"/>
        <v>0</v>
      </c>
    </row>
    <row r="2565" ht="15.0" customHeight="1">
      <c r="A2565" s="157" t="s">
        <v>2897</v>
      </c>
      <c r="B2565" s="158" t="s">
        <v>1127</v>
      </c>
      <c r="C2565" s="158" t="s">
        <v>2870</v>
      </c>
      <c r="D2565" s="159">
        <v>44342.0</v>
      </c>
      <c r="E2565" s="157" t="s">
        <v>731</v>
      </c>
      <c r="F2565" s="160">
        <v>602028.32</v>
      </c>
      <c r="G2565" s="160">
        <v>96324.53</v>
      </c>
      <c r="H2565" s="160">
        <f t="shared" si="59"/>
        <v>698352.85</v>
      </c>
      <c r="I2565" s="160"/>
      <c r="J2565" s="161"/>
      <c r="K2565" s="160"/>
      <c r="L2565" s="160">
        <f>+'FACP$'!$H2565-'FACP$'!$I2565-'FACP$'!$K2565</f>
        <v>698352.85</v>
      </c>
      <c r="M2565" s="162" t="s">
        <v>580</v>
      </c>
      <c r="N2565" s="162" t="s">
        <v>554</v>
      </c>
      <c r="O2565" s="164">
        <v>44357.0</v>
      </c>
      <c r="P2565" s="164">
        <f t="shared" si="13"/>
        <v>44352</v>
      </c>
      <c r="Q2565" s="165">
        <f t="shared" si="2"/>
        <v>0</v>
      </c>
      <c r="R2565" s="167"/>
      <c r="S2565" s="167"/>
      <c r="T2565" s="168">
        <f t="shared" si="3"/>
        <v>698352.85</v>
      </c>
      <c r="U2565" s="168">
        <f t="shared" si="4"/>
        <v>0</v>
      </c>
      <c r="V2565" s="168">
        <f t="shared" si="5"/>
        <v>0</v>
      </c>
      <c r="W2565" s="168">
        <f t="shared" si="6"/>
        <v>0</v>
      </c>
      <c r="X2565" s="168">
        <f t="shared" si="7"/>
        <v>0</v>
      </c>
      <c r="Y2565" s="168">
        <f t="shared" si="8"/>
        <v>0</v>
      </c>
      <c r="Z2565" s="168">
        <f t="shared" si="9"/>
        <v>0</v>
      </c>
    </row>
    <row r="2566" ht="15.0" customHeight="1">
      <c r="A2566" s="157" t="s">
        <v>2898</v>
      </c>
      <c r="B2566" s="158" t="s">
        <v>27</v>
      </c>
      <c r="C2566" s="158" t="s">
        <v>2899</v>
      </c>
      <c r="D2566" s="159">
        <v>44347.0</v>
      </c>
      <c r="E2566" s="157" t="s">
        <v>731</v>
      </c>
      <c r="F2566" s="160">
        <v>777875.35</v>
      </c>
      <c r="G2566" s="160">
        <v>124460.06</v>
      </c>
      <c r="H2566" s="160">
        <f t="shared" si="59"/>
        <v>902335.41</v>
      </c>
      <c r="I2566" s="160"/>
      <c r="J2566" s="161"/>
      <c r="K2566" s="160"/>
      <c r="L2566" s="160">
        <f>+'FACP$'!$H2566-'FACP$'!$I2566-'FACP$'!$K2566</f>
        <v>902335.41</v>
      </c>
      <c r="M2566" s="162" t="s">
        <v>151</v>
      </c>
      <c r="N2566" s="162" t="s">
        <v>554</v>
      </c>
      <c r="O2566" s="164">
        <v>44377.0</v>
      </c>
      <c r="P2566" s="164">
        <f t="shared" si="13"/>
        <v>44357</v>
      </c>
      <c r="Q2566" s="165">
        <f t="shared" si="2"/>
        <v>0</v>
      </c>
      <c r="R2566" s="167"/>
      <c r="S2566" s="167"/>
      <c r="T2566" s="168">
        <f t="shared" si="3"/>
        <v>902335.41</v>
      </c>
      <c r="U2566" s="168">
        <f t="shared" si="4"/>
        <v>0</v>
      </c>
      <c r="V2566" s="168">
        <f t="shared" si="5"/>
        <v>0</v>
      </c>
      <c r="W2566" s="168">
        <f t="shared" si="6"/>
        <v>0</v>
      </c>
      <c r="X2566" s="168">
        <f t="shared" si="7"/>
        <v>0</v>
      </c>
      <c r="Y2566" s="168">
        <f t="shared" si="8"/>
        <v>0</v>
      </c>
      <c r="Z2566" s="168">
        <f t="shared" si="9"/>
        <v>0</v>
      </c>
    </row>
    <row r="2567" ht="15.0" customHeight="1">
      <c r="A2567" s="157" t="s">
        <v>2900</v>
      </c>
      <c r="B2567" s="158" t="s">
        <v>27</v>
      </c>
      <c r="C2567" s="158" t="s">
        <v>2901</v>
      </c>
      <c r="D2567" s="159">
        <v>44347.0</v>
      </c>
      <c r="E2567" s="157" t="s">
        <v>731</v>
      </c>
      <c r="F2567" s="160">
        <v>574431.03</v>
      </c>
      <c r="G2567" s="160">
        <v>91908.96</v>
      </c>
      <c r="H2567" s="160">
        <f t="shared" si="59"/>
        <v>666339.99</v>
      </c>
      <c r="I2567" s="160"/>
      <c r="J2567" s="161"/>
      <c r="K2567" s="160"/>
      <c r="L2567" s="160">
        <f>+'FACP$'!$H2567-'FACP$'!$I2567-'FACP$'!$K2567</f>
        <v>666339.99</v>
      </c>
      <c r="M2567" s="162" t="s">
        <v>151</v>
      </c>
      <c r="N2567" s="162" t="s">
        <v>554</v>
      </c>
      <c r="O2567" s="164">
        <v>44385.0</v>
      </c>
      <c r="P2567" s="164">
        <f t="shared" si="13"/>
        <v>44357</v>
      </c>
      <c r="Q2567" s="165">
        <f t="shared" si="2"/>
        <v>0</v>
      </c>
      <c r="R2567" s="167"/>
      <c r="S2567" s="167"/>
      <c r="T2567" s="168">
        <f t="shared" si="3"/>
        <v>666339.99</v>
      </c>
      <c r="U2567" s="168">
        <f t="shared" si="4"/>
        <v>0</v>
      </c>
      <c r="V2567" s="168">
        <f t="shared" si="5"/>
        <v>0</v>
      </c>
      <c r="W2567" s="168">
        <f t="shared" si="6"/>
        <v>0</v>
      </c>
      <c r="X2567" s="168">
        <f t="shared" si="7"/>
        <v>0</v>
      </c>
      <c r="Y2567" s="168">
        <f t="shared" si="8"/>
        <v>0</v>
      </c>
      <c r="Z2567" s="168">
        <f t="shared" si="9"/>
        <v>0</v>
      </c>
    </row>
    <row r="2568" ht="15.0" customHeight="1">
      <c r="A2568" s="157" t="s">
        <v>2902</v>
      </c>
      <c r="B2568" s="158" t="s">
        <v>27</v>
      </c>
      <c r="C2568" s="158" t="s">
        <v>2903</v>
      </c>
      <c r="D2568" s="159">
        <v>44347.0</v>
      </c>
      <c r="E2568" s="157" t="s">
        <v>731</v>
      </c>
      <c r="F2568" s="160">
        <v>35780.66</v>
      </c>
      <c r="G2568" s="160">
        <v>5724.91</v>
      </c>
      <c r="H2568" s="160">
        <f t="shared" si="59"/>
        <v>41505.57</v>
      </c>
      <c r="I2568" s="160"/>
      <c r="J2568" s="161"/>
      <c r="K2568" s="160"/>
      <c r="L2568" s="160">
        <f>+'FACP$'!$H2568-'FACP$'!$I2568-'FACP$'!$K2568</f>
        <v>41505.57</v>
      </c>
      <c r="M2568" s="162" t="s">
        <v>151</v>
      </c>
      <c r="N2568" s="162" t="s">
        <v>554</v>
      </c>
      <c r="O2568" s="164">
        <v>44385.0</v>
      </c>
      <c r="P2568" s="164">
        <f t="shared" si="13"/>
        <v>44357</v>
      </c>
      <c r="Q2568" s="165">
        <f t="shared" si="2"/>
        <v>0</v>
      </c>
      <c r="R2568" s="167"/>
      <c r="S2568" s="167"/>
      <c r="T2568" s="168">
        <f t="shared" si="3"/>
        <v>41505.57</v>
      </c>
      <c r="U2568" s="168">
        <f t="shared" si="4"/>
        <v>0</v>
      </c>
      <c r="V2568" s="168">
        <f t="shared" si="5"/>
        <v>0</v>
      </c>
      <c r="W2568" s="168">
        <f t="shared" si="6"/>
        <v>0</v>
      </c>
      <c r="X2568" s="168">
        <f t="shared" si="7"/>
        <v>0</v>
      </c>
      <c r="Y2568" s="168">
        <f t="shared" si="8"/>
        <v>0</v>
      </c>
      <c r="Z2568" s="168">
        <f t="shared" si="9"/>
        <v>0</v>
      </c>
    </row>
    <row r="2569" ht="15.0" customHeight="1">
      <c r="A2569" s="157" t="s">
        <v>2904</v>
      </c>
      <c r="B2569" s="158" t="s">
        <v>27</v>
      </c>
      <c r="C2569" s="158" t="s">
        <v>2905</v>
      </c>
      <c r="D2569" s="159">
        <v>44347.0</v>
      </c>
      <c r="E2569" s="157" t="s">
        <v>731</v>
      </c>
      <c r="F2569" s="160">
        <v>26422.64</v>
      </c>
      <c r="G2569" s="160">
        <v>4227.62</v>
      </c>
      <c r="H2569" s="160">
        <f t="shared" si="59"/>
        <v>30650.26</v>
      </c>
      <c r="I2569" s="160"/>
      <c r="J2569" s="161"/>
      <c r="K2569" s="160"/>
      <c r="L2569" s="160">
        <f>+'FACP$'!$H2569-'FACP$'!$I2569-'FACP$'!$K2569</f>
        <v>30650.26</v>
      </c>
      <c r="M2569" s="162" t="s">
        <v>151</v>
      </c>
      <c r="N2569" s="162" t="s">
        <v>554</v>
      </c>
      <c r="O2569" s="164">
        <v>44385.0</v>
      </c>
      <c r="P2569" s="164">
        <f t="shared" si="13"/>
        <v>44357</v>
      </c>
      <c r="Q2569" s="165">
        <f t="shared" si="2"/>
        <v>0</v>
      </c>
      <c r="R2569" s="167"/>
      <c r="S2569" s="167"/>
      <c r="T2569" s="168">
        <f t="shared" si="3"/>
        <v>30650.26</v>
      </c>
      <c r="U2569" s="168">
        <f t="shared" si="4"/>
        <v>0</v>
      </c>
      <c r="V2569" s="168">
        <f t="shared" si="5"/>
        <v>0</v>
      </c>
      <c r="W2569" s="168">
        <f t="shared" si="6"/>
        <v>0</v>
      </c>
      <c r="X2569" s="168">
        <f t="shared" si="7"/>
        <v>0</v>
      </c>
      <c r="Y2569" s="168">
        <f t="shared" si="8"/>
        <v>0</v>
      </c>
      <c r="Z2569" s="168">
        <f t="shared" si="9"/>
        <v>0</v>
      </c>
    </row>
    <row r="2570" ht="15.0" customHeight="1">
      <c r="A2570" s="157" t="s">
        <v>2906</v>
      </c>
      <c r="B2570" s="158" t="s">
        <v>27</v>
      </c>
      <c r="C2570" s="158" t="s">
        <v>2899</v>
      </c>
      <c r="D2570" s="159">
        <v>44347.0</v>
      </c>
      <c r="E2570" s="157" t="s">
        <v>731</v>
      </c>
      <c r="F2570" s="160">
        <v>216356.36</v>
      </c>
      <c r="G2570" s="160">
        <v>34617.02</v>
      </c>
      <c r="H2570" s="160">
        <f t="shared" si="59"/>
        <v>250973.38</v>
      </c>
      <c r="I2570" s="160"/>
      <c r="J2570" s="161"/>
      <c r="K2570" s="160"/>
      <c r="L2570" s="160">
        <f>+'FACP$'!$H2570-'FACP$'!$I2570-'FACP$'!$K2570</f>
        <v>250973.38</v>
      </c>
      <c r="M2570" s="162" t="s">
        <v>158</v>
      </c>
      <c r="N2570" s="162" t="s">
        <v>554</v>
      </c>
      <c r="O2570" s="164">
        <v>44377.0</v>
      </c>
      <c r="P2570" s="164">
        <f t="shared" si="13"/>
        <v>44357</v>
      </c>
      <c r="Q2570" s="165">
        <f t="shared" si="2"/>
        <v>0</v>
      </c>
      <c r="R2570" s="167" t="s">
        <v>2907</v>
      </c>
      <c r="S2570" s="167"/>
      <c r="T2570" s="168">
        <f t="shared" si="3"/>
        <v>250973.38</v>
      </c>
      <c r="U2570" s="168">
        <f t="shared" si="4"/>
        <v>0</v>
      </c>
      <c r="V2570" s="168">
        <f t="shared" si="5"/>
        <v>0</v>
      </c>
      <c r="W2570" s="168">
        <f t="shared" si="6"/>
        <v>0</v>
      </c>
      <c r="X2570" s="168">
        <f t="shared" si="7"/>
        <v>0</v>
      </c>
      <c r="Y2570" s="168">
        <f t="shared" si="8"/>
        <v>0</v>
      </c>
      <c r="Z2570" s="168">
        <f t="shared" si="9"/>
        <v>0</v>
      </c>
    </row>
    <row r="2571" ht="15.0" customHeight="1">
      <c r="A2571" s="157" t="s">
        <v>2908</v>
      </c>
      <c r="B2571" s="158" t="s">
        <v>27</v>
      </c>
      <c r="C2571" s="158" t="s">
        <v>2901</v>
      </c>
      <c r="D2571" s="159">
        <v>44347.0</v>
      </c>
      <c r="E2571" s="157" t="s">
        <v>731</v>
      </c>
      <c r="F2571" s="160">
        <v>127698.68</v>
      </c>
      <c r="G2571" s="160">
        <v>20431.79</v>
      </c>
      <c r="H2571" s="160">
        <f t="shared" si="59"/>
        <v>148130.47</v>
      </c>
      <c r="I2571" s="160"/>
      <c r="J2571" s="161"/>
      <c r="K2571" s="160"/>
      <c r="L2571" s="160">
        <f>+'FACP$'!$H2571-'FACP$'!$I2571-'FACP$'!$K2571</f>
        <v>148130.47</v>
      </c>
      <c r="M2571" s="162" t="s">
        <v>158</v>
      </c>
      <c r="N2571" s="162" t="s">
        <v>554</v>
      </c>
      <c r="O2571" s="164">
        <v>44385.0</v>
      </c>
      <c r="P2571" s="164">
        <f t="shared" si="13"/>
        <v>44357</v>
      </c>
      <c r="Q2571" s="165">
        <f t="shared" si="2"/>
        <v>0</v>
      </c>
      <c r="R2571" s="167"/>
      <c r="S2571" s="167"/>
      <c r="T2571" s="168">
        <f t="shared" si="3"/>
        <v>148130.47</v>
      </c>
      <c r="U2571" s="168">
        <f t="shared" si="4"/>
        <v>0</v>
      </c>
      <c r="V2571" s="168">
        <f t="shared" si="5"/>
        <v>0</v>
      </c>
      <c r="W2571" s="168">
        <f t="shared" si="6"/>
        <v>0</v>
      </c>
      <c r="X2571" s="168">
        <f t="shared" si="7"/>
        <v>0</v>
      </c>
      <c r="Y2571" s="168">
        <f t="shared" si="8"/>
        <v>0</v>
      </c>
      <c r="Z2571" s="168">
        <f t="shared" si="9"/>
        <v>0</v>
      </c>
    </row>
    <row r="2572" ht="15.0" customHeight="1">
      <c r="A2572" s="157" t="s">
        <v>2909</v>
      </c>
      <c r="B2572" s="158" t="s">
        <v>38</v>
      </c>
      <c r="C2572" s="158" t="s">
        <v>2773</v>
      </c>
      <c r="D2572" s="159">
        <v>44347.0</v>
      </c>
      <c r="E2572" s="157" t="s">
        <v>731</v>
      </c>
      <c r="F2572" s="160">
        <v>547157.16</v>
      </c>
      <c r="G2572" s="160">
        <v>87545.15</v>
      </c>
      <c r="H2572" s="160">
        <f t="shared" si="59"/>
        <v>634702.31</v>
      </c>
      <c r="I2572" s="160"/>
      <c r="J2572" s="161"/>
      <c r="K2572" s="160"/>
      <c r="L2572" s="160">
        <f>+'FACP$'!$H2572-'FACP$'!$I2572-'FACP$'!$K2572</f>
        <v>634702.31</v>
      </c>
      <c r="M2572" s="162" t="s">
        <v>145</v>
      </c>
      <c r="N2572" s="162" t="s">
        <v>554</v>
      </c>
      <c r="O2572" s="164">
        <v>44368.0</v>
      </c>
      <c r="P2572" s="164">
        <f t="shared" si="13"/>
        <v>44357</v>
      </c>
      <c r="Q2572" s="165">
        <f t="shared" si="2"/>
        <v>0</v>
      </c>
      <c r="R2572" s="167" t="s">
        <v>2910</v>
      </c>
      <c r="S2572" s="167"/>
      <c r="T2572" s="168">
        <f t="shared" si="3"/>
        <v>634702.31</v>
      </c>
      <c r="U2572" s="168">
        <f t="shared" si="4"/>
        <v>0</v>
      </c>
      <c r="V2572" s="168">
        <f t="shared" si="5"/>
        <v>0</v>
      </c>
      <c r="W2572" s="168">
        <f t="shared" si="6"/>
        <v>0</v>
      </c>
      <c r="X2572" s="168">
        <f t="shared" si="7"/>
        <v>0</v>
      </c>
      <c r="Y2572" s="168">
        <f t="shared" si="8"/>
        <v>0</v>
      </c>
      <c r="Z2572" s="168">
        <f t="shared" si="9"/>
        <v>0</v>
      </c>
    </row>
    <row r="2573" ht="15.0" customHeight="1">
      <c r="A2573" s="157" t="s">
        <v>2911</v>
      </c>
      <c r="B2573" s="158" t="s">
        <v>27</v>
      </c>
      <c r="C2573" s="158" t="s">
        <v>2912</v>
      </c>
      <c r="D2573" s="159">
        <v>44351.0</v>
      </c>
      <c r="E2573" s="157" t="s">
        <v>731</v>
      </c>
      <c r="F2573" s="160">
        <v>4483.78</v>
      </c>
      <c r="G2573" s="160">
        <v>717.4</v>
      </c>
      <c r="H2573" s="160">
        <f t="shared" si="59"/>
        <v>5201.18</v>
      </c>
      <c r="I2573" s="160"/>
      <c r="J2573" s="161"/>
      <c r="K2573" s="160"/>
      <c r="L2573" s="160">
        <f>+'FACP$'!$H2573-'FACP$'!$I2573-'FACP$'!$K2573</f>
        <v>5201.18</v>
      </c>
      <c r="M2573" s="162" t="s">
        <v>151</v>
      </c>
      <c r="N2573" s="162" t="s">
        <v>554</v>
      </c>
      <c r="O2573" s="164">
        <v>44404.0</v>
      </c>
      <c r="P2573" s="164">
        <f t="shared" si="13"/>
        <v>44361</v>
      </c>
      <c r="Q2573" s="165">
        <f t="shared" si="2"/>
        <v>0</v>
      </c>
      <c r="R2573" s="167"/>
      <c r="S2573" s="167"/>
      <c r="T2573" s="168">
        <f t="shared" si="3"/>
        <v>5201.18</v>
      </c>
      <c r="U2573" s="168">
        <f t="shared" si="4"/>
        <v>0</v>
      </c>
      <c r="V2573" s="168">
        <f t="shared" si="5"/>
        <v>0</v>
      </c>
      <c r="W2573" s="168">
        <f t="shared" si="6"/>
        <v>0</v>
      </c>
      <c r="X2573" s="168">
        <f t="shared" si="7"/>
        <v>0</v>
      </c>
      <c r="Y2573" s="168">
        <f t="shared" si="8"/>
        <v>0</v>
      </c>
      <c r="Z2573" s="168">
        <f t="shared" si="9"/>
        <v>0</v>
      </c>
    </row>
    <row r="2574" ht="15.0" customHeight="1">
      <c r="A2574" s="157" t="s">
        <v>2913</v>
      </c>
      <c r="B2574" s="158" t="s">
        <v>27</v>
      </c>
      <c r="C2574" s="158" t="s">
        <v>2914</v>
      </c>
      <c r="D2574" s="159">
        <v>44351.0</v>
      </c>
      <c r="E2574" s="157" t="s">
        <v>731</v>
      </c>
      <c r="F2574" s="160">
        <v>3423.21</v>
      </c>
      <c r="G2574" s="160">
        <v>547.71</v>
      </c>
      <c r="H2574" s="160">
        <f t="shared" si="59"/>
        <v>3970.92</v>
      </c>
      <c r="I2574" s="160"/>
      <c r="J2574" s="161"/>
      <c r="K2574" s="160"/>
      <c r="L2574" s="160">
        <f>+'FACP$'!$H2574-'FACP$'!$I2574-'FACP$'!$K2574</f>
        <v>3970.92</v>
      </c>
      <c r="M2574" s="162" t="s">
        <v>151</v>
      </c>
      <c r="N2574" s="162" t="s">
        <v>554</v>
      </c>
      <c r="O2574" s="164">
        <v>44404.0</v>
      </c>
      <c r="P2574" s="164">
        <f t="shared" si="13"/>
        <v>44361</v>
      </c>
      <c r="Q2574" s="165">
        <f t="shared" si="2"/>
        <v>0</v>
      </c>
      <c r="R2574" s="167"/>
      <c r="S2574" s="167"/>
      <c r="T2574" s="168">
        <f t="shared" si="3"/>
        <v>3970.92</v>
      </c>
      <c r="U2574" s="168">
        <f t="shared" si="4"/>
        <v>0</v>
      </c>
      <c r="V2574" s="168">
        <f t="shared" si="5"/>
        <v>0</v>
      </c>
      <c r="W2574" s="168">
        <f t="shared" si="6"/>
        <v>0</v>
      </c>
      <c r="X2574" s="168">
        <f t="shared" si="7"/>
        <v>0</v>
      </c>
      <c r="Y2574" s="168">
        <f t="shared" si="8"/>
        <v>0</v>
      </c>
      <c r="Z2574" s="168">
        <f t="shared" si="9"/>
        <v>0</v>
      </c>
    </row>
    <row r="2575" ht="15.0" customHeight="1">
      <c r="A2575" s="157" t="s">
        <v>2915</v>
      </c>
      <c r="B2575" s="158" t="s">
        <v>27</v>
      </c>
      <c r="C2575" s="158" t="s">
        <v>2916</v>
      </c>
      <c r="D2575" s="159">
        <v>44351.0</v>
      </c>
      <c r="E2575" s="157" t="s">
        <v>731</v>
      </c>
      <c r="F2575" s="160">
        <v>254.56</v>
      </c>
      <c r="G2575" s="160">
        <v>40.73</v>
      </c>
      <c r="H2575" s="160">
        <f t="shared" si="59"/>
        <v>295.29</v>
      </c>
      <c r="I2575" s="160"/>
      <c r="J2575" s="161"/>
      <c r="K2575" s="160"/>
      <c r="L2575" s="160">
        <f>+'FACP$'!$H2575-'FACP$'!$I2575-'FACP$'!$K2575</f>
        <v>295.29</v>
      </c>
      <c r="M2575" s="162" t="s">
        <v>151</v>
      </c>
      <c r="N2575" s="162" t="s">
        <v>554</v>
      </c>
      <c r="O2575" s="164">
        <v>44404.0</v>
      </c>
      <c r="P2575" s="164">
        <f t="shared" si="13"/>
        <v>44361</v>
      </c>
      <c r="Q2575" s="165">
        <f t="shared" si="2"/>
        <v>0</v>
      </c>
      <c r="R2575" s="167"/>
      <c r="S2575" s="167"/>
      <c r="T2575" s="168">
        <f t="shared" si="3"/>
        <v>295.29</v>
      </c>
      <c r="U2575" s="168">
        <f t="shared" si="4"/>
        <v>0</v>
      </c>
      <c r="V2575" s="168">
        <f t="shared" si="5"/>
        <v>0</v>
      </c>
      <c r="W2575" s="168">
        <f t="shared" si="6"/>
        <v>0</v>
      </c>
      <c r="X2575" s="168">
        <f t="shared" si="7"/>
        <v>0</v>
      </c>
      <c r="Y2575" s="168">
        <f t="shared" si="8"/>
        <v>0</v>
      </c>
      <c r="Z2575" s="168">
        <f t="shared" si="9"/>
        <v>0</v>
      </c>
    </row>
    <row r="2576" ht="15.0" customHeight="1">
      <c r="A2576" s="157" t="s">
        <v>2917</v>
      </c>
      <c r="B2576" s="158" t="s">
        <v>27</v>
      </c>
      <c r="C2576" s="221" t="s">
        <v>2918</v>
      </c>
      <c r="D2576" s="159">
        <v>44351.0</v>
      </c>
      <c r="E2576" s="157" t="s">
        <v>731</v>
      </c>
      <c r="F2576" s="160">
        <v>194.34</v>
      </c>
      <c r="G2576" s="160">
        <v>31.09</v>
      </c>
      <c r="H2576" s="160">
        <f t="shared" si="59"/>
        <v>225.43</v>
      </c>
      <c r="I2576" s="160"/>
      <c r="J2576" s="161"/>
      <c r="K2576" s="160"/>
      <c r="L2576" s="160">
        <f>+'FACP$'!$H2576-'FACP$'!$I2576-'FACP$'!$K2576</f>
        <v>225.43</v>
      </c>
      <c r="M2576" s="162" t="s">
        <v>151</v>
      </c>
      <c r="N2576" s="162" t="s">
        <v>554</v>
      </c>
      <c r="O2576" s="164">
        <v>44404.0</v>
      </c>
      <c r="P2576" s="164">
        <f t="shared" si="13"/>
        <v>44361</v>
      </c>
      <c r="Q2576" s="165">
        <f t="shared" si="2"/>
        <v>0</v>
      </c>
      <c r="R2576" s="167"/>
      <c r="S2576" s="167"/>
      <c r="T2576" s="168">
        <f t="shared" si="3"/>
        <v>225.43</v>
      </c>
      <c r="U2576" s="168">
        <f t="shared" si="4"/>
        <v>0</v>
      </c>
      <c r="V2576" s="168">
        <f t="shared" si="5"/>
        <v>0</v>
      </c>
      <c r="W2576" s="168">
        <f t="shared" si="6"/>
        <v>0</v>
      </c>
      <c r="X2576" s="168">
        <f t="shared" si="7"/>
        <v>0</v>
      </c>
      <c r="Y2576" s="168">
        <f t="shared" si="8"/>
        <v>0</v>
      </c>
      <c r="Z2576" s="168">
        <f t="shared" si="9"/>
        <v>0</v>
      </c>
    </row>
    <row r="2577" ht="15.0" customHeight="1">
      <c r="A2577" s="157" t="s">
        <v>2919</v>
      </c>
      <c r="B2577" s="158" t="s">
        <v>27</v>
      </c>
      <c r="C2577" s="158" t="s">
        <v>2920</v>
      </c>
      <c r="D2577" s="159">
        <v>44351.0</v>
      </c>
      <c r="E2577" s="157" t="s">
        <v>731</v>
      </c>
      <c r="F2577" s="160">
        <v>2866.57</v>
      </c>
      <c r="G2577" s="160">
        <v>458.65</v>
      </c>
      <c r="H2577" s="160">
        <f t="shared" si="59"/>
        <v>3325.22</v>
      </c>
      <c r="I2577" s="160"/>
      <c r="J2577" s="161"/>
      <c r="K2577" s="160"/>
      <c r="L2577" s="160">
        <f>+'FACP$'!$H2577-'FACP$'!$I2577-'FACP$'!$K2577</f>
        <v>3325.22</v>
      </c>
      <c r="M2577" s="162" t="s">
        <v>158</v>
      </c>
      <c r="N2577" s="162" t="s">
        <v>554</v>
      </c>
      <c r="O2577" s="164">
        <v>44404.0</v>
      </c>
      <c r="P2577" s="164">
        <f t="shared" si="13"/>
        <v>44361</v>
      </c>
      <c r="Q2577" s="165">
        <f t="shared" si="2"/>
        <v>0</v>
      </c>
      <c r="R2577" s="167"/>
      <c r="S2577" s="167"/>
      <c r="T2577" s="168">
        <f t="shared" si="3"/>
        <v>3325.22</v>
      </c>
      <c r="U2577" s="168">
        <f t="shared" si="4"/>
        <v>0</v>
      </c>
      <c r="V2577" s="168">
        <f t="shared" si="5"/>
        <v>0</v>
      </c>
      <c r="W2577" s="168">
        <f t="shared" si="6"/>
        <v>0</v>
      </c>
      <c r="X2577" s="168">
        <f t="shared" si="7"/>
        <v>0</v>
      </c>
      <c r="Y2577" s="168">
        <f t="shared" si="8"/>
        <v>0</v>
      </c>
      <c r="Z2577" s="168">
        <f t="shared" si="9"/>
        <v>0</v>
      </c>
    </row>
    <row r="2578" ht="15.0" customHeight="1">
      <c r="A2578" s="157" t="s">
        <v>2921</v>
      </c>
      <c r="B2578" s="158" t="s">
        <v>27</v>
      </c>
      <c r="C2578" s="158" t="s">
        <v>2922</v>
      </c>
      <c r="D2578" s="159">
        <v>44351.0</v>
      </c>
      <c r="E2578" s="157" t="s">
        <v>731</v>
      </c>
      <c r="F2578" s="160">
        <v>1756.77</v>
      </c>
      <c r="G2578" s="160">
        <v>281.08</v>
      </c>
      <c r="H2578" s="160">
        <f t="shared" si="59"/>
        <v>2037.85</v>
      </c>
      <c r="I2578" s="160"/>
      <c r="J2578" s="161"/>
      <c r="K2578" s="160"/>
      <c r="L2578" s="160">
        <f>+'FACP$'!$H2578-'FACP$'!$I2578-'FACP$'!$K2578</f>
        <v>2037.85</v>
      </c>
      <c r="M2578" s="162" t="s">
        <v>158</v>
      </c>
      <c r="N2578" s="162" t="s">
        <v>554</v>
      </c>
      <c r="O2578" s="164">
        <v>44404.0</v>
      </c>
      <c r="P2578" s="164">
        <f t="shared" si="13"/>
        <v>44361</v>
      </c>
      <c r="Q2578" s="165">
        <f t="shared" si="2"/>
        <v>0</v>
      </c>
      <c r="R2578" s="167"/>
      <c r="S2578" s="167"/>
      <c r="T2578" s="168">
        <f t="shared" si="3"/>
        <v>2037.85</v>
      </c>
      <c r="U2578" s="168">
        <f t="shared" si="4"/>
        <v>0</v>
      </c>
      <c r="V2578" s="168">
        <f t="shared" si="5"/>
        <v>0</v>
      </c>
      <c r="W2578" s="168">
        <f t="shared" si="6"/>
        <v>0</v>
      </c>
      <c r="X2578" s="168">
        <f t="shared" si="7"/>
        <v>0</v>
      </c>
      <c r="Y2578" s="168">
        <f t="shared" si="8"/>
        <v>0</v>
      </c>
      <c r="Z2578" s="168">
        <f t="shared" si="9"/>
        <v>0</v>
      </c>
    </row>
    <row r="2579" ht="15.0" customHeight="1">
      <c r="A2579" s="157" t="s">
        <v>2923</v>
      </c>
      <c r="B2579" s="158" t="s">
        <v>16</v>
      </c>
      <c r="C2579" s="158" t="s">
        <v>2924</v>
      </c>
      <c r="D2579" s="159">
        <v>44351.0</v>
      </c>
      <c r="E2579" s="157" t="s">
        <v>731</v>
      </c>
      <c r="F2579" s="160">
        <v>342589.88</v>
      </c>
      <c r="G2579" s="160">
        <v>54814.38</v>
      </c>
      <c r="H2579" s="160">
        <f t="shared" si="59"/>
        <v>397404.26</v>
      </c>
      <c r="I2579" s="160"/>
      <c r="J2579" s="161"/>
      <c r="K2579" s="160"/>
      <c r="L2579" s="160">
        <f>+'FACP$'!$H2579-'FACP$'!$I2579-'FACP$'!$K2579</f>
        <v>397404.26</v>
      </c>
      <c r="M2579" s="162" t="s">
        <v>985</v>
      </c>
      <c r="N2579" s="162" t="s">
        <v>554</v>
      </c>
      <c r="O2579" s="164">
        <v>44379.0</v>
      </c>
      <c r="P2579" s="164">
        <f t="shared" si="13"/>
        <v>44361</v>
      </c>
      <c r="Q2579" s="165">
        <f t="shared" si="2"/>
        <v>0</v>
      </c>
      <c r="R2579" s="167"/>
      <c r="S2579" s="167"/>
      <c r="T2579" s="168">
        <f t="shared" si="3"/>
        <v>397404.26</v>
      </c>
      <c r="U2579" s="168">
        <f t="shared" si="4"/>
        <v>0</v>
      </c>
      <c r="V2579" s="168">
        <f t="shared" si="5"/>
        <v>0</v>
      </c>
      <c r="W2579" s="168">
        <f t="shared" si="6"/>
        <v>0</v>
      </c>
      <c r="X2579" s="168">
        <f t="shared" si="7"/>
        <v>0</v>
      </c>
      <c r="Y2579" s="168">
        <f t="shared" si="8"/>
        <v>0</v>
      </c>
      <c r="Z2579" s="168">
        <f t="shared" si="9"/>
        <v>0</v>
      </c>
    </row>
    <row r="2580" ht="15.0" customHeight="1">
      <c r="A2580" s="157" t="s">
        <v>2925</v>
      </c>
      <c r="B2580" s="158" t="s">
        <v>16</v>
      </c>
      <c r="C2580" s="158" t="s">
        <v>2926</v>
      </c>
      <c r="D2580" s="159">
        <v>44351.0</v>
      </c>
      <c r="E2580" s="157" t="s">
        <v>731</v>
      </c>
      <c r="F2580" s="160">
        <v>411214.64</v>
      </c>
      <c r="G2580" s="160">
        <v>65794.34</v>
      </c>
      <c r="H2580" s="160">
        <f t="shared" si="59"/>
        <v>477008.98</v>
      </c>
      <c r="I2580" s="160"/>
      <c r="J2580" s="161"/>
      <c r="K2580" s="160"/>
      <c r="L2580" s="160">
        <f>+'FACP$'!$H2580-'FACP$'!$I2580-'FACP$'!$K2580</f>
        <v>477008.98</v>
      </c>
      <c r="M2580" s="162" t="s">
        <v>985</v>
      </c>
      <c r="N2580" s="162" t="s">
        <v>554</v>
      </c>
      <c r="O2580" s="164">
        <v>44379.0</v>
      </c>
      <c r="P2580" s="164">
        <f t="shared" si="13"/>
        <v>44361</v>
      </c>
      <c r="Q2580" s="165">
        <f t="shared" si="2"/>
        <v>0</v>
      </c>
      <c r="R2580" s="167"/>
      <c r="S2580" s="167"/>
      <c r="T2580" s="168">
        <f t="shared" si="3"/>
        <v>477008.98</v>
      </c>
      <c r="U2580" s="168">
        <f t="shared" si="4"/>
        <v>0</v>
      </c>
      <c r="V2580" s="168">
        <f t="shared" si="5"/>
        <v>0</v>
      </c>
      <c r="W2580" s="168">
        <f t="shared" si="6"/>
        <v>0</v>
      </c>
      <c r="X2580" s="168">
        <f t="shared" si="7"/>
        <v>0</v>
      </c>
      <c r="Y2580" s="168">
        <f t="shared" si="8"/>
        <v>0</v>
      </c>
      <c r="Z2580" s="168">
        <f t="shared" si="9"/>
        <v>0</v>
      </c>
    </row>
    <row r="2581" ht="15.0" customHeight="1">
      <c r="A2581" s="157" t="s">
        <v>2927</v>
      </c>
      <c r="B2581" s="158" t="s">
        <v>18</v>
      </c>
      <c r="C2581" s="158" t="s">
        <v>2924</v>
      </c>
      <c r="D2581" s="159">
        <v>44351.0</v>
      </c>
      <c r="E2581" s="157" t="s">
        <v>731</v>
      </c>
      <c r="F2581" s="160">
        <v>135028.58</v>
      </c>
      <c r="G2581" s="160">
        <v>21604.57</v>
      </c>
      <c r="H2581" s="160">
        <f t="shared" si="59"/>
        <v>156633.15</v>
      </c>
      <c r="I2581" s="160"/>
      <c r="J2581" s="161"/>
      <c r="K2581" s="160"/>
      <c r="L2581" s="160">
        <f>+'FACP$'!$H2581-'FACP$'!$I2581-'FACP$'!$K2581</f>
        <v>156633.15</v>
      </c>
      <c r="M2581" s="162" t="s">
        <v>586</v>
      </c>
      <c r="N2581" s="162" t="s">
        <v>127</v>
      </c>
      <c r="O2581" s="164"/>
      <c r="P2581" s="164">
        <f t="shared" si="13"/>
        <v>44361</v>
      </c>
      <c r="Q2581" s="165">
        <f t="shared" si="2"/>
        <v>0</v>
      </c>
      <c r="R2581" s="167"/>
      <c r="S2581" s="167"/>
      <c r="T2581" s="168">
        <f t="shared" si="3"/>
        <v>156633.15</v>
      </c>
      <c r="U2581" s="168">
        <f t="shared" si="4"/>
        <v>0</v>
      </c>
      <c r="V2581" s="168">
        <f t="shared" si="5"/>
        <v>0</v>
      </c>
      <c r="W2581" s="168">
        <f t="shared" si="6"/>
        <v>0</v>
      </c>
      <c r="X2581" s="168">
        <f t="shared" si="7"/>
        <v>0</v>
      </c>
      <c r="Y2581" s="168">
        <f t="shared" si="8"/>
        <v>0</v>
      </c>
      <c r="Z2581" s="168">
        <f t="shared" si="9"/>
        <v>0</v>
      </c>
    </row>
    <row r="2582" ht="15.0" customHeight="1">
      <c r="A2582" s="157" t="s">
        <v>2928</v>
      </c>
      <c r="B2582" s="158" t="s">
        <v>19</v>
      </c>
      <c r="C2582" s="158" t="s">
        <v>2924</v>
      </c>
      <c r="D2582" s="159">
        <v>44351.0</v>
      </c>
      <c r="E2582" s="157" t="s">
        <v>731</v>
      </c>
      <c r="F2582" s="160">
        <v>156012.52</v>
      </c>
      <c r="G2582" s="160">
        <v>24962.0</v>
      </c>
      <c r="H2582" s="160">
        <f t="shared" si="59"/>
        <v>180974.52</v>
      </c>
      <c r="I2582" s="160"/>
      <c r="J2582" s="161"/>
      <c r="K2582" s="160"/>
      <c r="L2582" s="160">
        <f>+'FACP$'!$H2582-'FACP$'!$I2582-'FACP$'!$K2582</f>
        <v>180974.52</v>
      </c>
      <c r="M2582" s="162" t="s">
        <v>732</v>
      </c>
      <c r="N2582" s="162" t="s">
        <v>554</v>
      </c>
      <c r="O2582" s="164">
        <v>44368.0</v>
      </c>
      <c r="P2582" s="164">
        <f t="shared" si="13"/>
        <v>44361</v>
      </c>
      <c r="Q2582" s="165">
        <f t="shared" si="2"/>
        <v>0</v>
      </c>
      <c r="R2582" s="167"/>
      <c r="S2582" s="167"/>
      <c r="T2582" s="168">
        <f t="shared" si="3"/>
        <v>180974.52</v>
      </c>
      <c r="U2582" s="168">
        <f t="shared" si="4"/>
        <v>0</v>
      </c>
      <c r="V2582" s="168">
        <f t="shared" si="5"/>
        <v>0</v>
      </c>
      <c r="W2582" s="168">
        <f t="shared" si="6"/>
        <v>0</v>
      </c>
      <c r="X2582" s="168">
        <f t="shared" si="7"/>
        <v>0</v>
      </c>
      <c r="Y2582" s="168">
        <f t="shared" si="8"/>
        <v>0</v>
      </c>
      <c r="Z2582" s="168">
        <f t="shared" si="9"/>
        <v>0</v>
      </c>
    </row>
    <row r="2583" ht="15.0" customHeight="1">
      <c r="A2583" s="157" t="s">
        <v>2929</v>
      </c>
      <c r="B2583" s="158" t="s">
        <v>26</v>
      </c>
      <c r="C2583" s="158" t="s">
        <v>2924</v>
      </c>
      <c r="D2583" s="159">
        <v>44351.0</v>
      </c>
      <c r="E2583" s="157" t="s">
        <v>731</v>
      </c>
      <c r="F2583" s="160">
        <v>92084.72</v>
      </c>
      <c r="G2583" s="160">
        <v>14733.56</v>
      </c>
      <c r="H2583" s="160">
        <f t="shared" si="59"/>
        <v>106818.28</v>
      </c>
      <c r="I2583" s="160"/>
      <c r="J2583" s="161"/>
      <c r="K2583" s="160"/>
      <c r="L2583" s="160">
        <f>+'FACP$'!$H2583-'FACP$'!$I2583-'FACP$'!$K2583</f>
        <v>106818.28</v>
      </c>
      <c r="M2583" s="162" t="s">
        <v>2386</v>
      </c>
      <c r="N2583" s="162" t="s">
        <v>554</v>
      </c>
      <c r="O2583" s="164">
        <v>44385.0</v>
      </c>
      <c r="P2583" s="164">
        <f t="shared" si="13"/>
        <v>44361</v>
      </c>
      <c r="Q2583" s="165">
        <f t="shared" si="2"/>
        <v>0</v>
      </c>
      <c r="R2583" s="167"/>
      <c r="S2583" s="167"/>
      <c r="T2583" s="168">
        <f t="shared" si="3"/>
        <v>106818.28</v>
      </c>
      <c r="U2583" s="168">
        <f t="shared" si="4"/>
        <v>0</v>
      </c>
      <c r="V2583" s="168">
        <f t="shared" si="5"/>
        <v>0</v>
      </c>
      <c r="W2583" s="168">
        <f t="shared" si="6"/>
        <v>0</v>
      </c>
      <c r="X2583" s="168">
        <f t="shared" si="7"/>
        <v>0</v>
      </c>
      <c r="Y2583" s="168">
        <f t="shared" si="8"/>
        <v>0</v>
      </c>
      <c r="Z2583" s="168">
        <f t="shared" si="9"/>
        <v>0</v>
      </c>
    </row>
    <row r="2584" ht="15.0" customHeight="1">
      <c r="A2584" s="157" t="s">
        <v>2930</v>
      </c>
      <c r="B2584" s="158" t="s">
        <v>37</v>
      </c>
      <c r="C2584" s="158" t="s">
        <v>2924</v>
      </c>
      <c r="D2584" s="159">
        <v>44351.0</v>
      </c>
      <c r="E2584" s="157" t="s">
        <v>731</v>
      </c>
      <c r="F2584" s="160">
        <v>1948520.05</v>
      </c>
      <c r="G2584" s="160">
        <v>311763.21</v>
      </c>
      <c r="H2584" s="160">
        <f t="shared" si="59"/>
        <v>2260283.26</v>
      </c>
      <c r="I2584" s="160"/>
      <c r="J2584" s="161"/>
      <c r="K2584" s="160"/>
      <c r="L2584" s="160">
        <f>+'FACP$'!$H2584-'FACP$'!$I2584-'FACP$'!$K2584</f>
        <v>2260283.26</v>
      </c>
      <c r="M2584" s="162" t="s">
        <v>116</v>
      </c>
      <c r="N2584" s="162" t="s">
        <v>554</v>
      </c>
      <c r="O2584" s="164">
        <v>44368.0</v>
      </c>
      <c r="P2584" s="164">
        <f t="shared" si="13"/>
        <v>44361</v>
      </c>
      <c r="Q2584" s="165">
        <f t="shared" si="2"/>
        <v>0</v>
      </c>
      <c r="R2584" s="167"/>
      <c r="S2584" s="167"/>
      <c r="T2584" s="168">
        <f t="shared" si="3"/>
        <v>2260283.26</v>
      </c>
      <c r="U2584" s="168">
        <f t="shared" si="4"/>
        <v>0</v>
      </c>
      <c r="V2584" s="168">
        <f t="shared" si="5"/>
        <v>0</v>
      </c>
      <c r="W2584" s="168">
        <f t="shared" si="6"/>
        <v>0</v>
      </c>
      <c r="X2584" s="168">
        <f t="shared" si="7"/>
        <v>0</v>
      </c>
      <c r="Y2584" s="168">
        <f t="shared" si="8"/>
        <v>0</v>
      </c>
      <c r="Z2584" s="168">
        <f t="shared" si="9"/>
        <v>0</v>
      </c>
    </row>
    <row r="2585" ht="15.0" customHeight="1">
      <c r="A2585" s="157" t="s">
        <v>2931</v>
      </c>
      <c r="B2585" s="158" t="s">
        <v>33</v>
      </c>
      <c r="C2585" s="158" t="s">
        <v>2924</v>
      </c>
      <c r="D2585" s="159">
        <v>44351.0</v>
      </c>
      <c r="E2585" s="157" t="s">
        <v>731</v>
      </c>
      <c r="F2585" s="160">
        <v>563640.14</v>
      </c>
      <c r="G2585" s="160">
        <v>90182.42</v>
      </c>
      <c r="H2585" s="160">
        <f t="shared" si="59"/>
        <v>653822.56</v>
      </c>
      <c r="I2585" s="160"/>
      <c r="J2585" s="161"/>
      <c r="K2585" s="160"/>
      <c r="L2585" s="160">
        <f>+'FACP$'!$H2585-'FACP$'!$I2585-'FACP$'!$K2585</f>
        <v>653822.56</v>
      </c>
      <c r="M2585" s="162" t="s">
        <v>958</v>
      </c>
      <c r="N2585" s="162" t="s">
        <v>554</v>
      </c>
      <c r="O2585" s="164">
        <v>44358.0</v>
      </c>
      <c r="P2585" s="164">
        <f t="shared" si="13"/>
        <v>44361</v>
      </c>
      <c r="Q2585" s="165">
        <f t="shared" si="2"/>
        <v>0</v>
      </c>
      <c r="R2585" s="167"/>
      <c r="S2585" s="167"/>
      <c r="T2585" s="168">
        <f t="shared" si="3"/>
        <v>653822.56</v>
      </c>
      <c r="U2585" s="168">
        <f t="shared" si="4"/>
        <v>0</v>
      </c>
      <c r="V2585" s="168">
        <f t="shared" si="5"/>
        <v>0</v>
      </c>
      <c r="W2585" s="168">
        <f t="shared" si="6"/>
        <v>0</v>
      </c>
      <c r="X2585" s="168">
        <f t="shared" si="7"/>
        <v>0</v>
      </c>
      <c r="Y2585" s="168">
        <f t="shared" si="8"/>
        <v>0</v>
      </c>
      <c r="Z2585" s="168">
        <f t="shared" si="9"/>
        <v>0</v>
      </c>
    </row>
    <row r="2586" ht="15.0" customHeight="1">
      <c r="A2586" s="157" t="s">
        <v>2932</v>
      </c>
      <c r="B2586" s="158" t="s">
        <v>35</v>
      </c>
      <c r="C2586" s="158" t="s">
        <v>2924</v>
      </c>
      <c r="D2586" s="159">
        <v>44351.0</v>
      </c>
      <c r="E2586" s="157" t="s">
        <v>731</v>
      </c>
      <c r="F2586" s="160">
        <v>199820.79</v>
      </c>
      <c r="G2586" s="160">
        <v>31971.33</v>
      </c>
      <c r="H2586" s="160">
        <f t="shared" si="59"/>
        <v>231792.12</v>
      </c>
      <c r="I2586" s="160"/>
      <c r="J2586" s="161"/>
      <c r="K2586" s="160"/>
      <c r="L2586" s="160">
        <f>+'FACP$'!$H2586-'FACP$'!$I2586-'FACP$'!$K2586</f>
        <v>231792.12</v>
      </c>
      <c r="M2586" s="162" t="s">
        <v>276</v>
      </c>
      <c r="N2586" s="162" t="s">
        <v>554</v>
      </c>
      <c r="O2586" s="164">
        <v>44413.0</v>
      </c>
      <c r="P2586" s="164">
        <f t="shared" si="13"/>
        <v>44361</v>
      </c>
      <c r="Q2586" s="165">
        <f t="shared" si="2"/>
        <v>0</v>
      </c>
      <c r="R2586" s="167"/>
      <c r="S2586" s="167"/>
      <c r="T2586" s="168">
        <f t="shared" si="3"/>
        <v>231792.12</v>
      </c>
      <c r="U2586" s="168">
        <f t="shared" si="4"/>
        <v>0</v>
      </c>
      <c r="V2586" s="168">
        <f t="shared" si="5"/>
        <v>0</v>
      </c>
      <c r="W2586" s="168">
        <f t="shared" si="6"/>
        <v>0</v>
      </c>
      <c r="X2586" s="168">
        <f t="shared" si="7"/>
        <v>0</v>
      </c>
      <c r="Y2586" s="168">
        <f t="shared" si="8"/>
        <v>0</v>
      </c>
      <c r="Z2586" s="168">
        <f t="shared" si="9"/>
        <v>0</v>
      </c>
    </row>
    <row r="2587" ht="15.0" customHeight="1">
      <c r="A2587" s="157" t="s">
        <v>2933</v>
      </c>
      <c r="B2587" s="158" t="s">
        <v>36</v>
      </c>
      <c r="C2587" s="158" t="s">
        <v>2924</v>
      </c>
      <c r="D2587" s="159">
        <v>44351.0</v>
      </c>
      <c r="E2587" s="157" t="s">
        <v>731</v>
      </c>
      <c r="F2587" s="160">
        <v>67814.25</v>
      </c>
      <c r="G2587" s="160">
        <v>10850.28</v>
      </c>
      <c r="H2587" s="160">
        <f t="shared" si="59"/>
        <v>78664.53</v>
      </c>
      <c r="I2587" s="160"/>
      <c r="J2587" s="161"/>
      <c r="K2587" s="160"/>
      <c r="L2587" s="160">
        <f>+'FACP$'!$H2587-'FACP$'!$I2587-'FACP$'!$K2587</f>
        <v>78664.53</v>
      </c>
      <c r="M2587" s="162" t="s">
        <v>278</v>
      </c>
      <c r="N2587" s="162" t="s">
        <v>554</v>
      </c>
      <c r="O2587" s="164">
        <v>44414.0</v>
      </c>
      <c r="P2587" s="164">
        <f t="shared" si="13"/>
        <v>44361</v>
      </c>
      <c r="Q2587" s="165">
        <f t="shared" si="2"/>
        <v>0</v>
      </c>
      <c r="R2587" s="167"/>
      <c r="S2587" s="167"/>
      <c r="T2587" s="168">
        <f t="shared" si="3"/>
        <v>78664.53</v>
      </c>
      <c r="U2587" s="168">
        <f t="shared" si="4"/>
        <v>0</v>
      </c>
      <c r="V2587" s="168">
        <f t="shared" si="5"/>
        <v>0</v>
      </c>
      <c r="W2587" s="168">
        <f t="shared" si="6"/>
        <v>0</v>
      </c>
      <c r="X2587" s="168">
        <f t="shared" si="7"/>
        <v>0</v>
      </c>
      <c r="Y2587" s="168">
        <f t="shared" si="8"/>
        <v>0</v>
      </c>
      <c r="Z2587" s="168">
        <f t="shared" si="9"/>
        <v>0</v>
      </c>
    </row>
    <row r="2588" ht="15.0" customHeight="1">
      <c r="A2588" s="157" t="s">
        <v>2934</v>
      </c>
      <c r="B2588" s="158" t="s">
        <v>38</v>
      </c>
      <c r="C2588" s="158" t="s">
        <v>2924</v>
      </c>
      <c r="D2588" s="159">
        <v>44351.0</v>
      </c>
      <c r="E2588" s="157" t="s">
        <v>731</v>
      </c>
      <c r="F2588" s="160">
        <v>697942.86</v>
      </c>
      <c r="G2588" s="160">
        <v>111670.86</v>
      </c>
      <c r="H2588" s="160">
        <f t="shared" si="59"/>
        <v>809613.72</v>
      </c>
      <c r="I2588" s="160"/>
      <c r="J2588" s="161"/>
      <c r="K2588" s="160"/>
      <c r="L2588" s="160">
        <f>+'FACP$'!$H2588-'FACP$'!$I2588-'FACP$'!$K2588</f>
        <v>809613.72</v>
      </c>
      <c r="M2588" s="162" t="s">
        <v>145</v>
      </c>
      <c r="N2588" s="162" t="s">
        <v>554</v>
      </c>
      <c r="O2588" s="164">
        <v>44368.0</v>
      </c>
      <c r="P2588" s="164">
        <f t="shared" si="13"/>
        <v>44361</v>
      </c>
      <c r="Q2588" s="165">
        <f t="shared" si="2"/>
        <v>0</v>
      </c>
      <c r="R2588" s="167"/>
      <c r="S2588" s="167"/>
      <c r="T2588" s="168">
        <f t="shared" si="3"/>
        <v>809613.72</v>
      </c>
      <c r="U2588" s="168">
        <f t="shared" si="4"/>
        <v>0</v>
      </c>
      <c r="V2588" s="168">
        <f t="shared" si="5"/>
        <v>0</v>
      </c>
      <c r="W2588" s="168">
        <f t="shared" si="6"/>
        <v>0</v>
      </c>
      <c r="X2588" s="168">
        <f t="shared" si="7"/>
        <v>0</v>
      </c>
      <c r="Y2588" s="168">
        <f t="shared" si="8"/>
        <v>0</v>
      </c>
      <c r="Z2588" s="168">
        <f t="shared" si="9"/>
        <v>0</v>
      </c>
    </row>
    <row r="2589" ht="15.0" customHeight="1">
      <c r="A2589" s="157" t="s">
        <v>2935</v>
      </c>
      <c r="B2589" s="158" t="s">
        <v>1127</v>
      </c>
      <c r="C2589" s="158" t="s">
        <v>2924</v>
      </c>
      <c r="D2589" s="159">
        <v>44351.0</v>
      </c>
      <c r="E2589" s="157" t="s">
        <v>731</v>
      </c>
      <c r="F2589" s="160">
        <v>416737.53</v>
      </c>
      <c r="G2589" s="160">
        <v>66678.0</v>
      </c>
      <c r="H2589" s="160">
        <f t="shared" si="59"/>
        <v>483415.53</v>
      </c>
      <c r="I2589" s="160"/>
      <c r="J2589" s="161"/>
      <c r="K2589" s="160"/>
      <c r="L2589" s="160">
        <f>+'FACP$'!$H2589-'FACP$'!$I2589-'FACP$'!$K2589</f>
        <v>483415.53</v>
      </c>
      <c r="M2589" s="162" t="s">
        <v>580</v>
      </c>
      <c r="N2589" s="162" t="s">
        <v>554</v>
      </c>
      <c r="O2589" s="164">
        <v>44364.0</v>
      </c>
      <c r="P2589" s="164">
        <f t="shared" si="13"/>
        <v>44361</v>
      </c>
      <c r="Q2589" s="165">
        <f t="shared" si="2"/>
        <v>0</v>
      </c>
      <c r="R2589" s="167"/>
      <c r="S2589" s="167"/>
      <c r="T2589" s="168">
        <f t="shared" si="3"/>
        <v>483415.53</v>
      </c>
      <c r="U2589" s="168">
        <f t="shared" si="4"/>
        <v>0</v>
      </c>
      <c r="V2589" s="168">
        <f t="shared" si="5"/>
        <v>0</v>
      </c>
      <c r="W2589" s="168">
        <f t="shared" si="6"/>
        <v>0</v>
      </c>
      <c r="X2589" s="168">
        <f t="shared" si="7"/>
        <v>0</v>
      </c>
      <c r="Y2589" s="168">
        <f t="shared" si="8"/>
        <v>0</v>
      </c>
      <c r="Z2589" s="168">
        <f t="shared" si="9"/>
        <v>0</v>
      </c>
    </row>
    <row r="2590" ht="15.0" customHeight="1">
      <c r="A2590" s="157" t="s">
        <v>2936</v>
      </c>
      <c r="B2590" s="158" t="s">
        <v>26</v>
      </c>
      <c r="C2590" s="158" t="s">
        <v>2924</v>
      </c>
      <c r="D2590" s="159">
        <v>44351.0</v>
      </c>
      <c r="E2590" s="157" t="s">
        <v>731</v>
      </c>
      <c r="F2590" s="160">
        <v>21791.0</v>
      </c>
      <c r="G2590" s="160">
        <v>3486.56</v>
      </c>
      <c r="H2590" s="160">
        <f t="shared" si="59"/>
        <v>25277.56</v>
      </c>
      <c r="I2590" s="160"/>
      <c r="J2590" s="161"/>
      <c r="K2590" s="160"/>
      <c r="L2590" s="160">
        <f>+'FACP$'!$H2590-'FACP$'!$I2590-'FACP$'!$K2590</f>
        <v>25277.56</v>
      </c>
      <c r="M2590" s="162" t="s">
        <v>188</v>
      </c>
      <c r="N2590" s="162" t="s">
        <v>554</v>
      </c>
      <c r="O2590" s="164">
        <v>44379.0</v>
      </c>
      <c r="P2590" s="164">
        <f t="shared" si="13"/>
        <v>44361</v>
      </c>
      <c r="Q2590" s="165">
        <f t="shared" si="2"/>
        <v>0</v>
      </c>
      <c r="R2590" s="167"/>
      <c r="S2590" s="167"/>
      <c r="T2590" s="168">
        <f t="shared" si="3"/>
        <v>25277.56</v>
      </c>
      <c r="U2590" s="168">
        <f t="shared" si="4"/>
        <v>0</v>
      </c>
      <c r="V2590" s="168">
        <f t="shared" si="5"/>
        <v>0</v>
      </c>
      <c r="W2590" s="168">
        <f t="shared" si="6"/>
        <v>0</v>
      </c>
      <c r="X2590" s="168">
        <f t="shared" si="7"/>
        <v>0</v>
      </c>
      <c r="Y2590" s="168">
        <f t="shared" si="8"/>
        <v>0</v>
      </c>
      <c r="Z2590" s="168">
        <f t="shared" si="9"/>
        <v>0</v>
      </c>
    </row>
    <row r="2591" ht="15.0" customHeight="1">
      <c r="A2591" s="157" t="s">
        <v>2937</v>
      </c>
      <c r="B2591" s="158" t="s">
        <v>29</v>
      </c>
      <c r="C2591" s="158" t="s">
        <v>2924</v>
      </c>
      <c r="D2591" s="159">
        <v>44351.0</v>
      </c>
      <c r="E2591" s="157" t="s">
        <v>731</v>
      </c>
      <c r="F2591" s="160">
        <v>318869.7</v>
      </c>
      <c r="G2591" s="160">
        <v>51019.15</v>
      </c>
      <c r="H2591" s="160">
        <f t="shared" si="59"/>
        <v>369888.85</v>
      </c>
      <c r="I2591" s="160"/>
      <c r="J2591" s="161"/>
      <c r="K2591" s="160"/>
      <c r="L2591" s="160">
        <f>+'FACP$'!$H2591-'FACP$'!$I2591-'FACP$'!$K2591</f>
        <v>369888.85</v>
      </c>
      <c r="M2591" s="162" t="s">
        <v>130</v>
      </c>
      <c r="N2591" s="162" t="s">
        <v>554</v>
      </c>
      <c r="O2591" s="164">
        <v>44361.0</v>
      </c>
      <c r="P2591" s="164">
        <f t="shared" si="13"/>
        <v>44361</v>
      </c>
      <c r="Q2591" s="165">
        <f t="shared" si="2"/>
        <v>0</v>
      </c>
      <c r="R2591" s="167"/>
      <c r="S2591" s="167"/>
      <c r="T2591" s="168">
        <f t="shared" si="3"/>
        <v>369888.85</v>
      </c>
      <c r="U2591" s="168">
        <f t="shared" si="4"/>
        <v>0</v>
      </c>
      <c r="V2591" s="168">
        <f t="shared" si="5"/>
        <v>0</v>
      </c>
      <c r="W2591" s="168">
        <f t="shared" si="6"/>
        <v>0</v>
      </c>
      <c r="X2591" s="168">
        <f t="shared" si="7"/>
        <v>0</v>
      </c>
      <c r="Y2591" s="168">
        <f t="shared" si="8"/>
        <v>0</v>
      </c>
      <c r="Z2591" s="168">
        <f t="shared" si="9"/>
        <v>0</v>
      </c>
    </row>
    <row r="2592" ht="15.0" customHeight="1">
      <c r="A2592" s="157" t="s">
        <v>2938</v>
      </c>
      <c r="B2592" s="158" t="s">
        <v>29</v>
      </c>
      <c r="C2592" s="158" t="s">
        <v>2926</v>
      </c>
      <c r="D2592" s="159">
        <v>44351.0</v>
      </c>
      <c r="E2592" s="157" t="s">
        <v>731</v>
      </c>
      <c r="F2592" s="160">
        <v>392757.95</v>
      </c>
      <c r="G2592" s="160">
        <v>62841.27</v>
      </c>
      <c r="H2592" s="160">
        <f t="shared" si="59"/>
        <v>455599.22</v>
      </c>
      <c r="I2592" s="160"/>
      <c r="J2592" s="161"/>
      <c r="K2592" s="160"/>
      <c r="L2592" s="160">
        <f>+'FACP$'!$H2592-'FACP$'!$I2592-'FACP$'!$K2592</f>
        <v>455599.22</v>
      </c>
      <c r="M2592" s="162" t="s">
        <v>130</v>
      </c>
      <c r="N2592" s="162" t="s">
        <v>554</v>
      </c>
      <c r="O2592" s="164">
        <v>44462.0</v>
      </c>
      <c r="P2592" s="164">
        <f t="shared" si="13"/>
        <v>44361</v>
      </c>
      <c r="Q2592" s="165">
        <f t="shared" si="2"/>
        <v>0</v>
      </c>
      <c r="R2592" s="167"/>
      <c r="S2592" s="167"/>
      <c r="T2592" s="168">
        <f t="shared" si="3"/>
        <v>455599.22</v>
      </c>
      <c r="U2592" s="168">
        <f t="shared" si="4"/>
        <v>0</v>
      </c>
      <c r="V2592" s="168">
        <f t="shared" si="5"/>
        <v>0</v>
      </c>
      <c r="W2592" s="168">
        <f t="shared" si="6"/>
        <v>0</v>
      </c>
      <c r="X2592" s="168">
        <f t="shared" si="7"/>
        <v>0</v>
      </c>
      <c r="Y2592" s="168">
        <f t="shared" si="8"/>
        <v>0</v>
      </c>
      <c r="Z2592" s="168">
        <f t="shared" si="9"/>
        <v>0</v>
      </c>
    </row>
    <row r="2593" ht="15.0" customHeight="1">
      <c r="A2593" s="157" t="s">
        <v>2939</v>
      </c>
      <c r="B2593" s="158" t="s">
        <v>41</v>
      </c>
      <c r="C2593" s="158" t="s">
        <v>2924</v>
      </c>
      <c r="D2593" s="159">
        <v>44351.0</v>
      </c>
      <c r="E2593" s="157" t="s">
        <v>731</v>
      </c>
      <c r="F2593" s="160">
        <v>377012.91</v>
      </c>
      <c r="G2593" s="160">
        <v>60322.07</v>
      </c>
      <c r="H2593" s="160">
        <f>F2593+G2593-217408.7</f>
        <v>219926.28</v>
      </c>
      <c r="I2593" s="160"/>
      <c r="J2593" s="161"/>
      <c r="K2593" s="160"/>
      <c r="L2593" s="160">
        <f>+'FACP$'!$H2593-'FACP$'!$I2593-'FACP$'!$K2593</f>
        <v>219926.28</v>
      </c>
      <c r="M2593" s="162" t="s">
        <v>121</v>
      </c>
      <c r="N2593" s="162" t="s">
        <v>554</v>
      </c>
      <c r="O2593" s="164">
        <v>44488.0</v>
      </c>
      <c r="P2593" s="164">
        <f t="shared" si="13"/>
        <v>44361</v>
      </c>
      <c r="Q2593" s="165">
        <f t="shared" si="2"/>
        <v>0</v>
      </c>
      <c r="R2593" s="167" t="s">
        <v>2940</v>
      </c>
      <c r="S2593" s="167"/>
      <c r="T2593" s="168">
        <f t="shared" si="3"/>
        <v>219926.28</v>
      </c>
      <c r="U2593" s="168">
        <f t="shared" si="4"/>
        <v>0</v>
      </c>
      <c r="V2593" s="168">
        <f t="shared" si="5"/>
        <v>0</v>
      </c>
      <c r="W2593" s="168">
        <f t="shared" si="6"/>
        <v>0</v>
      </c>
      <c r="X2593" s="168">
        <f t="shared" si="7"/>
        <v>0</v>
      </c>
      <c r="Y2593" s="168">
        <f t="shared" si="8"/>
        <v>0</v>
      </c>
      <c r="Z2593" s="168">
        <f t="shared" si="9"/>
        <v>0</v>
      </c>
    </row>
    <row r="2594" ht="15.0" customHeight="1">
      <c r="A2594" s="157" t="s">
        <v>2941</v>
      </c>
      <c r="B2594" s="158" t="s">
        <v>41</v>
      </c>
      <c r="C2594" s="221" t="s">
        <v>2942</v>
      </c>
      <c r="D2594" s="159">
        <v>44354.0</v>
      </c>
      <c r="E2594" s="157" t="s">
        <v>731</v>
      </c>
      <c r="F2594" s="160">
        <v>44195.0</v>
      </c>
      <c r="G2594" s="160">
        <v>7071.2</v>
      </c>
      <c r="H2594" s="160">
        <f t="shared" ref="H2594:H2630" si="60">F2594+G2594</f>
        <v>51266.2</v>
      </c>
      <c r="I2594" s="160"/>
      <c r="J2594" s="161"/>
      <c r="K2594" s="160"/>
      <c r="L2594" s="160">
        <f>+'FACP$'!$H2594-'FACP$'!$I2594-'FACP$'!$K2594</f>
        <v>51266.2</v>
      </c>
      <c r="M2594" s="162" t="s">
        <v>121</v>
      </c>
      <c r="N2594" s="162" t="s">
        <v>554</v>
      </c>
      <c r="O2594" s="164">
        <v>44488.0</v>
      </c>
      <c r="P2594" s="164">
        <f t="shared" si="13"/>
        <v>44364</v>
      </c>
      <c r="Q2594" s="165">
        <f t="shared" si="2"/>
        <v>0</v>
      </c>
      <c r="R2594" s="167" t="s">
        <v>2943</v>
      </c>
      <c r="S2594" s="167"/>
      <c r="T2594" s="168">
        <f t="shared" si="3"/>
        <v>51266.2</v>
      </c>
      <c r="U2594" s="168">
        <f t="shared" si="4"/>
        <v>0</v>
      </c>
      <c r="V2594" s="168">
        <f t="shared" si="5"/>
        <v>0</v>
      </c>
      <c r="W2594" s="168">
        <f t="shared" si="6"/>
        <v>0</v>
      </c>
      <c r="X2594" s="168">
        <f t="shared" si="7"/>
        <v>0</v>
      </c>
      <c r="Y2594" s="168">
        <f t="shared" si="8"/>
        <v>0</v>
      </c>
      <c r="Z2594" s="168">
        <f t="shared" si="9"/>
        <v>0</v>
      </c>
    </row>
    <row r="2595" ht="15.0" customHeight="1">
      <c r="A2595" s="157" t="s">
        <v>2944</v>
      </c>
      <c r="B2595" s="158" t="s">
        <v>1127</v>
      </c>
      <c r="C2595" s="158" t="s">
        <v>2945</v>
      </c>
      <c r="D2595" s="159">
        <v>44362.0</v>
      </c>
      <c r="E2595" s="157" t="s">
        <v>731</v>
      </c>
      <c r="F2595" s="160">
        <v>14994.78</v>
      </c>
      <c r="G2595" s="160">
        <v>2399.17</v>
      </c>
      <c r="H2595" s="160">
        <f t="shared" si="60"/>
        <v>17393.95</v>
      </c>
      <c r="I2595" s="160"/>
      <c r="J2595" s="161"/>
      <c r="K2595" s="160"/>
      <c r="L2595" s="160">
        <f>+'FACP$'!$H2595-'FACP$'!$I2595-'FACP$'!$K2595</f>
        <v>17393.95</v>
      </c>
      <c r="M2595" s="162" t="s">
        <v>580</v>
      </c>
      <c r="N2595" s="162" t="s">
        <v>554</v>
      </c>
      <c r="O2595" s="164">
        <v>44385.0</v>
      </c>
      <c r="P2595" s="164">
        <f t="shared" si="13"/>
        <v>44372</v>
      </c>
      <c r="Q2595" s="165">
        <f t="shared" si="2"/>
        <v>0</v>
      </c>
      <c r="R2595" s="167"/>
      <c r="S2595" s="167"/>
      <c r="T2595" s="168">
        <f t="shared" si="3"/>
        <v>17393.95</v>
      </c>
      <c r="U2595" s="168">
        <f t="shared" si="4"/>
        <v>0</v>
      </c>
      <c r="V2595" s="168">
        <f t="shared" si="5"/>
        <v>0</v>
      </c>
      <c r="W2595" s="168">
        <f t="shared" si="6"/>
        <v>0</v>
      </c>
      <c r="X2595" s="168">
        <f t="shared" si="7"/>
        <v>0</v>
      </c>
      <c r="Y2595" s="168">
        <f t="shared" si="8"/>
        <v>0</v>
      </c>
      <c r="Z2595" s="168">
        <f t="shared" si="9"/>
        <v>0</v>
      </c>
    </row>
    <row r="2596" ht="15.0" customHeight="1">
      <c r="A2596" s="157" t="s">
        <v>2946</v>
      </c>
      <c r="B2596" s="158" t="s">
        <v>1127</v>
      </c>
      <c r="C2596" s="158" t="s">
        <v>2947</v>
      </c>
      <c r="D2596" s="159">
        <v>44362.0</v>
      </c>
      <c r="E2596" s="157" t="s">
        <v>731</v>
      </c>
      <c r="F2596" s="160">
        <v>51360.99</v>
      </c>
      <c r="G2596" s="160">
        <v>8217.76</v>
      </c>
      <c r="H2596" s="160">
        <f t="shared" si="60"/>
        <v>59578.75</v>
      </c>
      <c r="I2596" s="160"/>
      <c r="J2596" s="161"/>
      <c r="K2596" s="160"/>
      <c r="L2596" s="160">
        <f>+'FACP$'!$H2596-'FACP$'!$I2596-'FACP$'!$K2596</f>
        <v>59578.75</v>
      </c>
      <c r="M2596" s="162" t="s">
        <v>580</v>
      </c>
      <c r="N2596" s="162" t="s">
        <v>554</v>
      </c>
      <c r="O2596" s="164">
        <v>44385.0</v>
      </c>
      <c r="P2596" s="164">
        <f t="shared" si="13"/>
        <v>44372</v>
      </c>
      <c r="Q2596" s="165">
        <f t="shared" si="2"/>
        <v>0</v>
      </c>
      <c r="R2596" s="167"/>
      <c r="S2596" s="167"/>
      <c r="T2596" s="168">
        <f t="shared" si="3"/>
        <v>59578.75</v>
      </c>
      <c r="U2596" s="168">
        <f t="shared" si="4"/>
        <v>0</v>
      </c>
      <c r="V2596" s="168">
        <f t="shared" si="5"/>
        <v>0</v>
      </c>
      <c r="W2596" s="168">
        <f t="shared" si="6"/>
        <v>0</v>
      </c>
      <c r="X2596" s="168">
        <f t="shared" si="7"/>
        <v>0</v>
      </c>
      <c r="Y2596" s="168">
        <f t="shared" si="8"/>
        <v>0</v>
      </c>
      <c r="Z2596" s="168">
        <f t="shared" si="9"/>
        <v>0</v>
      </c>
    </row>
    <row r="2597" ht="15.0" customHeight="1">
      <c r="A2597" s="157" t="s">
        <v>2948</v>
      </c>
      <c r="B2597" s="158" t="s">
        <v>41</v>
      </c>
      <c r="C2597" s="158" t="s">
        <v>2949</v>
      </c>
      <c r="D2597" s="159">
        <v>44369.0</v>
      </c>
      <c r="E2597" s="157" t="s">
        <v>731</v>
      </c>
      <c r="F2597" s="160">
        <v>100299.21</v>
      </c>
      <c r="G2597" s="160">
        <v>16047.87</v>
      </c>
      <c r="H2597" s="160">
        <f t="shared" si="60"/>
        <v>116347.08</v>
      </c>
      <c r="I2597" s="160"/>
      <c r="J2597" s="161"/>
      <c r="K2597" s="160"/>
      <c r="L2597" s="160">
        <f>+'FACP$'!$H2597-'FACP$'!$I2597-'FACP$'!$K2597</f>
        <v>116347.08</v>
      </c>
      <c r="M2597" s="162" t="s">
        <v>121</v>
      </c>
      <c r="N2597" s="162" t="s">
        <v>554</v>
      </c>
      <c r="O2597" s="164">
        <v>44517.0</v>
      </c>
      <c r="P2597" s="164">
        <f t="shared" si="13"/>
        <v>44379</v>
      </c>
      <c r="Q2597" s="165">
        <f t="shared" si="2"/>
        <v>0</v>
      </c>
      <c r="R2597" s="167"/>
      <c r="S2597" s="167"/>
      <c r="T2597" s="168">
        <f t="shared" si="3"/>
        <v>116347.08</v>
      </c>
      <c r="U2597" s="168">
        <f t="shared" si="4"/>
        <v>0</v>
      </c>
      <c r="V2597" s="168">
        <f t="shared" si="5"/>
        <v>0</v>
      </c>
      <c r="W2597" s="168">
        <f t="shared" si="6"/>
        <v>0</v>
      </c>
      <c r="X2597" s="168">
        <f t="shared" si="7"/>
        <v>0</v>
      </c>
      <c r="Y2597" s="168">
        <f t="shared" si="8"/>
        <v>0</v>
      </c>
      <c r="Z2597" s="168">
        <f t="shared" si="9"/>
        <v>0</v>
      </c>
      <c r="AA2597" s="240"/>
      <c r="AB2597" s="240"/>
      <c r="AC2597" s="240"/>
    </row>
    <row r="2598" ht="15.0" customHeight="1">
      <c r="A2598" s="157" t="s">
        <v>2950</v>
      </c>
      <c r="B2598" s="158" t="s">
        <v>33</v>
      </c>
      <c r="C2598" s="158" t="s">
        <v>2949</v>
      </c>
      <c r="D2598" s="159">
        <v>44369.0</v>
      </c>
      <c r="E2598" s="157" t="s">
        <v>731</v>
      </c>
      <c r="F2598" s="160">
        <v>483001.07</v>
      </c>
      <c r="G2598" s="160">
        <v>77280.17</v>
      </c>
      <c r="H2598" s="160">
        <f t="shared" si="60"/>
        <v>560281.24</v>
      </c>
      <c r="I2598" s="160"/>
      <c r="J2598" s="161"/>
      <c r="K2598" s="160"/>
      <c r="L2598" s="160">
        <f>+'FACP$'!$H2598-'FACP$'!$I2598-'FACP$'!$K2598</f>
        <v>560281.24</v>
      </c>
      <c r="M2598" s="162" t="s">
        <v>958</v>
      </c>
      <c r="N2598" s="162" t="s">
        <v>127</v>
      </c>
      <c r="O2598" s="164"/>
      <c r="P2598" s="164">
        <f t="shared" si="13"/>
        <v>44379</v>
      </c>
      <c r="Q2598" s="165">
        <f t="shared" si="2"/>
        <v>0</v>
      </c>
      <c r="R2598" s="167" t="s">
        <v>2951</v>
      </c>
      <c r="S2598" s="167"/>
      <c r="T2598" s="168">
        <f t="shared" si="3"/>
        <v>560281.24</v>
      </c>
      <c r="U2598" s="168">
        <f t="shared" si="4"/>
        <v>0</v>
      </c>
      <c r="V2598" s="168">
        <f t="shared" si="5"/>
        <v>0</v>
      </c>
      <c r="W2598" s="168">
        <f t="shared" si="6"/>
        <v>0</v>
      </c>
      <c r="X2598" s="168">
        <f t="shared" si="7"/>
        <v>0</v>
      </c>
      <c r="Y2598" s="168">
        <f t="shared" si="8"/>
        <v>0</v>
      </c>
      <c r="Z2598" s="168">
        <f t="shared" si="9"/>
        <v>0</v>
      </c>
    </row>
    <row r="2599" ht="15.0" customHeight="1">
      <c r="A2599" s="157" t="s">
        <v>2952</v>
      </c>
      <c r="B2599" s="158" t="s">
        <v>36</v>
      </c>
      <c r="C2599" s="158" t="s">
        <v>2949</v>
      </c>
      <c r="D2599" s="159">
        <v>44369.0</v>
      </c>
      <c r="E2599" s="157" t="s">
        <v>731</v>
      </c>
      <c r="F2599" s="160">
        <v>60991.19</v>
      </c>
      <c r="G2599" s="160">
        <v>9758.59</v>
      </c>
      <c r="H2599" s="160">
        <f t="shared" si="60"/>
        <v>70749.78</v>
      </c>
      <c r="I2599" s="160"/>
      <c r="J2599" s="161"/>
      <c r="K2599" s="160"/>
      <c r="L2599" s="160">
        <f>+'FACP$'!$H2599-'FACP$'!$I2599-'FACP$'!$K2599</f>
        <v>70749.78</v>
      </c>
      <c r="M2599" s="162" t="s">
        <v>278</v>
      </c>
      <c r="N2599" s="162" t="s">
        <v>554</v>
      </c>
      <c r="O2599" s="164">
        <v>44440.0</v>
      </c>
      <c r="P2599" s="164">
        <f t="shared" si="13"/>
        <v>44379</v>
      </c>
      <c r="Q2599" s="165">
        <f t="shared" si="2"/>
        <v>0</v>
      </c>
      <c r="R2599" s="167"/>
      <c r="S2599" s="167"/>
      <c r="T2599" s="168">
        <f t="shared" si="3"/>
        <v>70749.78</v>
      </c>
      <c r="U2599" s="168">
        <f t="shared" si="4"/>
        <v>0</v>
      </c>
      <c r="V2599" s="168">
        <f t="shared" si="5"/>
        <v>0</v>
      </c>
      <c r="W2599" s="168">
        <f t="shared" si="6"/>
        <v>0</v>
      </c>
      <c r="X2599" s="168">
        <f t="shared" si="7"/>
        <v>0</v>
      </c>
      <c r="Y2599" s="168">
        <f t="shared" si="8"/>
        <v>0</v>
      </c>
      <c r="Z2599" s="168">
        <f t="shared" si="9"/>
        <v>0</v>
      </c>
    </row>
    <row r="2600" ht="15.0" customHeight="1">
      <c r="A2600" s="157" t="s">
        <v>2953</v>
      </c>
      <c r="B2600" s="158" t="s">
        <v>1127</v>
      </c>
      <c r="C2600" s="158" t="s">
        <v>2949</v>
      </c>
      <c r="D2600" s="159">
        <v>44369.0</v>
      </c>
      <c r="E2600" s="157" t="s">
        <v>731</v>
      </c>
      <c r="F2600" s="160">
        <v>103805.44</v>
      </c>
      <c r="G2600" s="160">
        <v>16608.87</v>
      </c>
      <c r="H2600" s="160">
        <f t="shared" si="60"/>
        <v>120414.31</v>
      </c>
      <c r="I2600" s="160"/>
      <c r="J2600" s="161"/>
      <c r="K2600" s="160"/>
      <c r="L2600" s="160">
        <f>+'FACP$'!$H2600-'FACP$'!$I2600-'FACP$'!$K2600</f>
        <v>120414.31</v>
      </c>
      <c r="M2600" s="162" t="s">
        <v>580</v>
      </c>
      <c r="N2600" s="162" t="s">
        <v>554</v>
      </c>
      <c r="O2600" s="164">
        <v>44385.0</v>
      </c>
      <c r="P2600" s="164">
        <f t="shared" si="13"/>
        <v>44379</v>
      </c>
      <c r="Q2600" s="165">
        <f t="shared" si="2"/>
        <v>0</v>
      </c>
      <c r="R2600" s="167"/>
      <c r="S2600" s="167"/>
      <c r="T2600" s="168">
        <f t="shared" si="3"/>
        <v>120414.31</v>
      </c>
      <c r="U2600" s="168">
        <f t="shared" si="4"/>
        <v>0</v>
      </c>
      <c r="V2600" s="168">
        <f t="shared" si="5"/>
        <v>0</v>
      </c>
      <c r="W2600" s="168">
        <f t="shared" si="6"/>
        <v>0</v>
      </c>
      <c r="X2600" s="168">
        <f t="shared" si="7"/>
        <v>0</v>
      </c>
      <c r="Y2600" s="168">
        <f t="shared" si="8"/>
        <v>0</v>
      </c>
      <c r="Z2600" s="168">
        <f t="shared" si="9"/>
        <v>0</v>
      </c>
    </row>
    <row r="2601" ht="15.0" customHeight="1">
      <c r="A2601" s="157" t="s">
        <v>2954</v>
      </c>
      <c r="B2601" s="158" t="s">
        <v>16</v>
      </c>
      <c r="C2601" s="158" t="s">
        <v>2949</v>
      </c>
      <c r="D2601" s="159">
        <v>44369.0</v>
      </c>
      <c r="E2601" s="157" t="s">
        <v>731</v>
      </c>
      <c r="F2601" s="160">
        <v>298982.15</v>
      </c>
      <c r="G2601" s="160">
        <v>47837.14</v>
      </c>
      <c r="H2601" s="160">
        <f t="shared" si="60"/>
        <v>346819.29</v>
      </c>
      <c r="I2601" s="160"/>
      <c r="J2601" s="161"/>
      <c r="K2601" s="160"/>
      <c r="L2601" s="160">
        <f>+'FACP$'!$H2601-'FACP$'!$I2601-'FACP$'!$K2601</f>
        <v>346819.29</v>
      </c>
      <c r="M2601" s="162" t="s">
        <v>985</v>
      </c>
      <c r="N2601" s="162" t="s">
        <v>554</v>
      </c>
      <c r="O2601" s="164">
        <v>44391.0</v>
      </c>
      <c r="P2601" s="164">
        <f t="shared" si="13"/>
        <v>44379</v>
      </c>
      <c r="Q2601" s="165">
        <f t="shared" si="2"/>
        <v>0</v>
      </c>
      <c r="R2601" s="167"/>
      <c r="S2601" s="167"/>
      <c r="T2601" s="168">
        <f t="shared" si="3"/>
        <v>346819.29</v>
      </c>
      <c r="U2601" s="168">
        <f t="shared" si="4"/>
        <v>0</v>
      </c>
      <c r="V2601" s="168">
        <f t="shared" si="5"/>
        <v>0</v>
      </c>
      <c r="W2601" s="168">
        <f t="shared" si="6"/>
        <v>0</v>
      </c>
      <c r="X2601" s="168">
        <f t="shared" si="7"/>
        <v>0</v>
      </c>
      <c r="Y2601" s="168">
        <f t="shared" si="8"/>
        <v>0</v>
      </c>
      <c r="Z2601" s="168">
        <f t="shared" si="9"/>
        <v>0</v>
      </c>
    </row>
    <row r="2602" ht="15.0" customHeight="1">
      <c r="A2602" s="157" t="s">
        <v>2955</v>
      </c>
      <c r="B2602" s="158" t="s">
        <v>16</v>
      </c>
      <c r="C2602" s="158" t="s">
        <v>2956</v>
      </c>
      <c r="D2602" s="159">
        <v>44369.0</v>
      </c>
      <c r="E2602" s="157" t="s">
        <v>731</v>
      </c>
      <c r="F2602" s="160">
        <v>348107.94</v>
      </c>
      <c r="G2602" s="160">
        <v>55697.27</v>
      </c>
      <c r="H2602" s="160">
        <f t="shared" si="60"/>
        <v>403805.21</v>
      </c>
      <c r="I2602" s="160"/>
      <c r="J2602" s="161"/>
      <c r="K2602" s="160"/>
      <c r="L2602" s="160">
        <f>+'FACP$'!$H2602-'FACP$'!$I2602-'FACP$'!$K2602</f>
        <v>403805.21</v>
      </c>
      <c r="M2602" s="162" t="s">
        <v>985</v>
      </c>
      <c r="N2602" s="162" t="s">
        <v>554</v>
      </c>
      <c r="O2602" s="164">
        <v>44391.0</v>
      </c>
      <c r="P2602" s="164">
        <f t="shared" si="13"/>
        <v>44379</v>
      </c>
      <c r="Q2602" s="165">
        <f t="shared" si="2"/>
        <v>0</v>
      </c>
      <c r="R2602" s="167"/>
      <c r="S2602" s="167"/>
      <c r="T2602" s="168">
        <f t="shared" si="3"/>
        <v>403805.21</v>
      </c>
      <c r="U2602" s="168">
        <f t="shared" si="4"/>
        <v>0</v>
      </c>
      <c r="V2602" s="168">
        <f t="shared" si="5"/>
        <v>0</v>
      </c>
      <c r="W2602" s="168">
        <f t="shared" si="6"/>
        <v>0</v>
      </c>
      <c r="X2602" s="168">
        <f t="shared" si="7"/>
        <v>0</v>
      </c>
      <c r="Y2602" s="168">
        <f t="shared" si="8"/>
        <v>0</v>
      </c>
      <c r="Z2602" s="168">
        <f t="shared" si="9"/>
        <v>0</v>
      </c>
    </row>
    <row r="2603" ht="15.0" customHeight="1">
      <c r="A2603" s="157" t="s">
        <v>2957</v>
      </c>
      <c r="B2603" s="158" t="s">
        <v>18</v>
      </c>
      <c r="C2603" s="158" t="s">
        <v>2949</v>
      </c>
      <c r="D2603" s="159">
        <v>44369.0</v>
      </c>
      <c r="E2603" s="157" t="s">
        <v>731</v>
      </c>
      <c r="F2603" s="160">
        <v>139447.13</v>
      </c>
      <c r="G2603" s="160">
        <v>22311.54</v>
      </c>
      <c r="H2603" s="160">
        <f t="shared" si="60"/>
        <v>161758.67</v>
      </c>
      <c r="I2603" s="160"/>
      <c r="J2603" s="161"/>
      <c r="K2603" s="160"/>
      <c r="L2603" s="160">
        <f>+'FACP$'!$H2603-'FACP$'!$I2603-'FACP$'!$K2603</f>
        <v>161758.67</v>
      </c>
      <c r="M2603" s="162" t="s">
        <v>586</v>
      </c>
      <c r="N2603" s="162" t="s">
        <v>554</v>
      </c>
      <c r="O2603" s="164">
        <v>44376.0</v>
      </c>
      <c r="P2603" s="164">
        <f t="shared" si="13"/>
        <v>44379</v>
      </c>
      <c r="Q2603" s="165">
        <f t="shared" si="2"/>
        <v>0</v>
      </c>
      <c r="R2603" s="167"/>
      <c r="S2603" s="167"/>
      <c r="T2603" s="168">
        <f t="shared" si="3"/>
        <v>161758.67</v>
      </c>
      <c r="U2603" s="168">
        <f t="shared" si="4"/>
        <v>0</v>
      </c>
      <c r="V2603" s="168">
        <f t="shared" si="5"/>
        <v>0</v>
      </c>
      <c r="W2603" s="168">
        <f t="shared" si="6"/>
        <v>0</v>
      </c>
      <c r="X2603" s="168">
        <f t="shared" si="7"/>
        <v>0</v>
      </c>
      <c r="Y2603" s="168">
        <f t="shared" si="8"/>
        <v>0</v>
      </c>
      <c r="Z2603" s="168">
        <f t="shared" si="9"/>
        <v>0</v>
      </c>
    </row>
    <row r="2604" ht="15.0" customHeight="1">
      <c r="A2604" s="157" t="s">
        <v>2958</v>
      </c>
      <c r="B2604" s="158" t="s">
        <v>19</v>
      </c>
      <c r="C2604" s="158" t="s">
        <v>2949</v>
      </c>
      <c r="D2604" s="159">
        <v>44369.0</v>
      </c>
      <c r="E2604" s="157" t="s">
        <v>731</v>
      </c>
      <c r="F2604" s="160">
        <v>136970.75</v>
      </c>
      <c r="G2604" s="160">
        <v>21915.32</v>
      </c>
      <c r="H2604" s="160">
        <f t="shared" si="60"/>
        <v>158886.07</v>
      </c>
      <c r="I2604" s="160"/>
      <c r="J2604" s="161"/>
      <c r="K2604" s="160"/>
      <c r="L2604" s="160">
        <f>+'FACP$'!$H2604-'FACP$'!$I2604-'FACP$'!$K2604</f>
        <v>158886.07</v>
      </c>
      <c r="M2604" s="162" t="s">
        <v>732</v>
      </c>
      <c r="N2604" s="162" t="s">
        <v>554</v>
      </c>
      <c r="O2604" s="164">
        <v>44392.0</v>
      </c>
      <c r="P2604" s="164">
        <f t="shared" si="13"/>
        <v>44379</v>
      </c>
      <c r="Q2604" s="165">
        <f t="shared" si="2"/>
        <v>0</v>
      </c>
      <c r="R2604" s="167"/>
      <c r="S2604" s="167"/>
      <c r="T2604" s="168">
        <f t="shared" si="3"/>
        <v>158886.07</v>
      </c>
      <c r="U2604" s="168">
        <f t="shared" si="4"/>
        <v>0</v>
      </c>
      <c r="V2604" s="168">
        <f t="shared" si="5"/>
        <v>0</v>
      </c>
      <c r="W2604" s="168">
        <f t="shared" si="6"/>
        <v>0</v>
      </c>
      <c r="X2604" s="168">
        <f t="shared" si="7"/>
        <v>0</v>
      </c>
      <c r="Y2604" s="168">
        <f t="shared" si="8"/>
        <v>0</v>
      </c>
      <c r="Z2604" s="168">
        <f t="shared" si="9"/>
        <v>0</v>
      </c>
    </row>
    <row r="2605" ht="15.0" customHeight="1">
      <c r="A2605" s="157" t="s">
        <v>2959</v>
      </c>
      <c r="B2605" s="158" t="s">
        <v>29</v>
      </c>
      <c r="C2605" s="158" t="s">
        <v>2949</v>
      </c>
      <c r="D2605" s="159">
        <v>44369.0</v>
      </c>
      <c r="E2605" s="157" t="s">
        <v>731</v>
      </c>
      <c r="F2605" s="160">
        <v>281001.0</v>
      </c>
      <c r="G2605" s="160">
        <v>44960.16</v>
      </c>
      <c r="H2605" s="160">
        <f t="shared" si="60"/>
        <v>325961.16</v>
      </c>
      <c r="I2605" s="160"/>
      <c r="J2605" s="161"/>
      <c r="K2605" s="160"/>
      <c r="L2605" s="160">
        <f>+'FACP$'!$H2605-'FACP$'!$I2605-'FACP$'!$K2605</f>
        <v>325961.16</v>
      </c>
      <c r="M2605" s="162" t="s">
        <v>130</v>
      </c>
      <c r="N2605" s="162" t="s">
        <v>554</v>
      </c>
      <c r="O2605" s="164">
        <v>44379.0</v>
      </c>
      <c r="P2605" s="164">
        <f t="shared" si="13"/>
        <v>44379</v>
      </c>
      <c r="Q2605" s="165">
        <f t="shared" si="2"/>
        <v>0</v>
      </c>
      <c r="R2605" s="167"/>
      <c r="S2605" s="167"/>
      <c r="T2605" s="168">
        <f t="shared" si="3"/>
        <v>325961.16</v>
      </c>
      <c r="U2605" s="168">
        <f t="shared" si="4"/>
        <v>0</v>
      </c>
      <c r="V2605" s="168">
        <f t="shared" si="5"/>
        <v>0</v>
      </c>
      <c r="W2605" s="168">
        <f t="shared" si="6"/>
        <v>0</v>
      </c>
      <c r="X2605" s="168">
        <f t="shared" si="7"/>
        <v>0</v>
      </c>
      <c r="Y2605" s="168">
        <f t="shared" si="8"/>
        <v>0</v>
      </c>
      <c r="Z2605" s="168">
        <f t="shared" si="9"/>
        <v>0</v>
      </c>
    </row>
    <row r="2606" ht="15.0" customHeight="1">
      <c r="A2606" s="157" t="s">
        <v>2960</v>
      </c>
      <c r="B2606" s="158" t="s">
        <v>29</v>
      </c>
      <c r="C2606" s="158" t="s">
        <v>2956</v>
      </c>
      <c r="D2606" s="159">
        <v>44369.0</v>
      </c>
      <c r="E2606" s="157" t="s">
        <v>731</v>
      </c>
      <c r="F2606" s="160">
        <v>340617.9</v>
      </c>
      <c r="G2606" s="160">
        <v>54498.86</v>
      </c>
      <c r="H2606" s="160">
        <f t="shared" si="60"/>
        <v>395116.76</v>
      </c>
      <c r="I2606" s="160"/>
      <c r="J2606" s="161"/>
      <c r="K2606" s="160"/>
      <c r="L2606" s="160">
        <f>+'FACP$'!$H2606-'FACP$'!$I2606-'FACP$'!$K2606</f>
        <v>395116.76</v>
      </c>
      <c r="M2606" s="162" t="s">
        <v>130</v>
      </c>
      <c r="N2606" s="162" t="s">
        <v>554</v>
      </c>
      <c r="O2606" s="164">
        <v>44384.0</v>
      </c>
      <c r="P2606" s="164">
        <f t="shared" si="13"/>
        <v>44379</v>
      </c>
      <c r="Q2606" s="165">
        <f t="shared" si="2"/>
        <v>0</v>
      </c>
      <c r="R2606" s="167"/>
      <c r="S2606" s="167"/>
      <c r="T2606" s="168">
        <f t="shared" si="3"/>
        <v>395116.76</v>
      </c>
      <c r="U2606" s="168">
        <f t="shared" si="4"/>
        <v>0</v>
      </c>
      <c r="V2606" s="168">
        <f t="shared" si="5"/>
        <v>0</v>
      </c>
      <c r="W2606" s="168">
        <f t="shared" si="6"/>
        <v>0</v>
      </c>
      <c r="X2606" s="168">
        <f t="shared" si="7"/>
        <v>0</v>
      </c>
      <c r="Y2606" s="168">
        <f t="shared" si="8"/>
        <v>0</v>
      </c>
      <c r="Z2606" s="168">
        <f t="shared" si="9"/>
        <v>0</v>
      </c>
    </row>
    <row r="2607" ht="15.0" customHeight="1">
      <c r="A2607" s="157" t="s">
        <v>2961</v>
      </c>
      <c r="B2607" s="158" t="s">
        <v>37</v>
      </c>
      <c r="C2607" s="158" t="s">
        <v>2949</v>
      </c>
      <c r="D2607" s="159">
        <v>44369.0</v>
      </c>
      <c r="E2607" s="157" t="s">
        <v>731</v>
      </c>
      <c r="F2607" s="160">
        <v>1682654.88</v>
      </c>
      <c r="G2607" s="160">
        <v>269224.78</v>
      </c>
      <c r="H2607" s="160">
        <f t="shared" si="60"/>
        <v>1951879.66</v>
      </c>
      <c r="I2607" s="160"/>
      <c r="J2607" s="161"/>
      <c r="K2607" s="160"/>
      <c r="L2607" s="160">
        <f>+'FACP$'!$H2607-'FACP$'!$I2607-'FACP$'!$K2607</f>
        <v>1951879.66</v>
      </c>
      <c r="M2607" s="162" t="s">
        <v>116</v>
      </c>
      <c r="N2607" s="162" t="s">
        <v>554</v>
      </c>
      <c r="O2607" s="164">
        <v>44391.0</v>
      </c>
      <c r="P2607" s="164">
        <f t="shared" si="13"/>
        <v>44379</v>
      </c>
      <c r="Q2607" s="165">
        <f t="shared" si="2"/>
        <v>0</v>
      </c>
      <c r="R2607" s="167"/>
      <c r="S2607" s="167"/>
      <c r="T2607" s="168">
        <f t="shared" si="3"/>
        <v>1951879.66</v>
      </c>
      <c r="U2607" s="168">
        <f t="shared" si="4"/>
        <v>0</v>
      </c>
      <c r="V2607" s="168">
        <f t="shared" si="5"/>
        <v>0</v>
      </c>
      <c r="W2607" s="168">
        <f t="shared" si="6"/>
        <v>0</v>
      </c>
      <c r="X2607" s="168">
        <f t="shared" si="7"/>
        <v>0</v>
      </c>
      <c r="Y2607" s="168">
        <f t="shared" si="8"/>
        <v>0</v>
      </c>
      <c r="Z2607" s="168">
        <f t="shared" si="9"/>
        <v>0</v>
      </c>
    </row>
    <row r="2608" ht="15.0" customHeight="1">
      <c r="A2608" s="157" t="s">
        <v>2962</v>
      </c>
      <c r="B2608" s="158" t="s">
        <v>38</v>
      </c>
      <c r="C2608" s="158" t="s">
        <v>2949</v>
      </c>
      <c r="D2608" s="159">
        <v>44369.0</v>
      </c>
      <c r="E2608" s="157" t="s">
        <v>731</v>
      </c>
      <c r="F2608" s="160">
        <v>612835.47</v>
      </c>
      <c r="G2608" s="160">
        <v>98053.68</v>
      </c>
      <c r="H2608" s="160">
        <f t="shared" si="60"/>
        <v>710889.15</v>
      </c>
      <c r="I2608" s="160"/>
      <c r="J2608" s="161"/>
      <c r="K2608" s="160"/>
      <c r="L2608" s="160">
        <f>+'FACP$'!$H2608-'FACP$'!$I2608-'FACP$'!$K2608</f>
        <v>710889.15</v>
      </c>
      <c r="M2608" s="162" t="s">
        <v>145</v>
      </c>
      <c r="N2608" s="162" t="s">
        <v>554</v>
      </c>
      <c r="O2608" s="164">
        <v>44428.0</v>
      </c>
      <c r="P2608" s="164">
        <f t="shared" si="13"/>
        <v>44379</v>
      </c>
      <c r="Q2608" s="165">
        <f t="shared" si="2"/>
        <v>0</v>
      </c>
      <c r="R2608" s="167"/>
      <c r="S2608" s="167"/>
      <c r="T2608" s="168">
        <f t="shared" si="3"/>
        <v>710889.15</v>
      </c>
      <c r="U2608" s="168">
        <f t="shared" si="4"/>
        <v>0</v>
      </c>
      <c r="V2608" s="168">
        <f t="shared" si="5"/>
        <v>0</v>
      </c>
      <c r="W2608" s="168">
        <f t="shared" si="6"/>
        <v>0</v>
      </c>
      <c r="X2608" s="168">
        <f t="shared" si="7"/>
        <v>0</v>
      </c>
      <c r="Y2608" s="168">
        <f t="shared" si="8"/>
        <v>0</v>
      </c>
      <c r="Z2608" s="168">
        <f t="shared" si="9"/>
        <v>0</v>
      </c>
    </row>
    <row r="2609" ht="15.0" customHeight="1">
      <c r="A2609" s="157" t="s">
        <v>2963</v>
      </c>
      <c r="B2609" s="158" t="s">
        <v>27</v>
      </c>
      <c r="C2609" s="158" t="s">
        <v>2964</v>
      </c>
      <c r="D2609" s="159">
        <v>44369.0</v>
      </c>
      <c r="E2609" s="157" t="s">
        <v>731</v>
      </c>
      <c r="F2609" s="160">
        <v>769049.25</v>
      </c>
      <c r="G2609" s="160">
        <v>123047.88</v>
      </c>
      <c r="H2609" s="160">
        <f t="shared" si="60"/>
        <v>892097.13</v>
      </c>
      <c r="I2609" s="160"/>
      <c r="J2609" s="161"/>
      <c r="K2609" s="160"/>
      <c r="L2609" s="160">
        <f>+'FACP$'!$H2609-'FACP$'!$I2609-'FACP$'!$K2609</f>
        <v>892097.13</v>
      </c>
      <c r="M2609" s="162" t="s">
        <v>151</v>
      </c>
      <c r="N2609" s="162" t="s">
        <v>554</v>
      </c>
      <c r="O2609" s="164">
        <v>44392.0</v>
      </c>
      <c r="P2609" s="164">
        <f t="shared" si="13"/>
        <v>44379</v>
      </c>
      <c r="Q2609" s="165">
        <f t="shared" si="2"/>
        <v>0</v>
      </c>
      <c r="R2609" s="167"/>
      <c r="S2609" s="167"/>
      <c r="T2609" s="168">
        <f t="shared" si="3"/>
        <v>892097.13</v>
      </c>
      <c r="U2609" s="168">
        <f t="shared" si="4"/>
        <v>0</v>
      </c>
      <c r="V2609" s="168">
        <f t="shared" si="5"/>
        <v>0</v>
      </c>
      <c r="W2609" s="168">
        <f t="shared" si="6"/>
        <v>0</v>
      </c>
      <c r="X2609" s="168">
        <f t="shared" si="7"/>
        <v>0</v>
      </c>
      <c r="Y2609" s="168">
        <f t="shared" si="8"/>
        <v>0</v>
      </c>
      <c r="Z2609" s="168">
        <f t="shared" si="9"/>
        <v>0</v>
      </c>
    </row>
    <row r="2610" ht="15.0" customHeight="1">
      <c r="A2610" s="157" t="s">
        <v>2965</v>
      </c>
      <c r="B2610" s="158" t="s">
        <v>27</v>
      </c>
      <c r="C2610" s="158" t="s">
        <v>2956</v>
      </c>
      <c r="D2610" s="159">
        <v>44369.0</v>
      </c>
      <c r="E2610" s="157" t="s">
        <v>731</v>
      </c>
      <c r="F2610" s="160">
        <v>563100.47</v>
      </c>
      <c r="G2610" s="160">
        <v>90096.08</v>
      </c>
      <c r="H2610" s="160">
        <f t="shared" si="60"/>
        <v>653196.55</v>
      </c>
      <c r="I2610" s="160"/>
      <c r="J2610" s="161"/>
      <c r="K2610" s="160"/>
      <c r="L2610" s="160">
        <f>+'FACP$'!$H2610-'FACP$'!$I2610-'FACP$'!$K2610</f>
        <v>653196.55</v>
      </c>
      <c r="M2610" s="162" t="s">
        <v>151</v>
      </c>
      <c r="N2610" s="162" t="s">
        <v>554</v>
      </c>
      <c r="O2610" s="164">
        <v>44404.0</v>
      </c>
      <c r="P2610" s="164">
        <f t="shared" si="13"/>
        <v>44379</v>
      </c>
      <c r="Q2610" s="165">
        <f t="shared" si="2"/>
        <v>0</v>
      </c>
      <c r="R2610" s="167"/>
      <c r="S2610" s="167"/>
      <c r="T2610" s="168">
        <f t="shared" si="3"/>
        <v>653196.55</v>
      </c>
      <c r="U2610" s="168">
        <f t="shared" si="4"/>
        <v>0</v>
      </c>
      <c r="V2610" s="168">
        <f t="shared" si="5"/>
        <v>0</v>
      </c>
      <c r="W2610" s="168">
        <f t="shared" si="6"/>
        <v>0</v>
      </c>
      <c r="X2610" s="168">
        <f t="shared" si="7"/>
        <v>0</v>
      </c>
      <c r="Y2610" s="168">
        <f t="shared" si="8"/>
        <v>0</v>
      </c>
      <c r="Z2610" s="168">
        <f t="shared" si="9"/>
        <v>0</v>
      </c>
    </row>
    <row r="2611" ht="15.0" customHeight="1">
      <c r="A2611" s="157" t="s">
        <v>2966</v>
      </c>
      <c r="B2611" s="158" t="s">
        <v>27</v>
      </c>
      <c r="C2611" s="158" t="s">
        <v>2967</v>
      </c>
      <c r="D2611" s="159">
        <v>44369.0</v>
      </c>
      <c r="E2611" s="157" t="s">
        <v>731</v>
      </c>
      <c r="F2611" s="160">
        <v>35915.78</v>
      </c>
      <c r="G2611" s="160">
        <v>5746.52</v>
      </c>
      <c r="H2611" s="160">
        <f t="shared" si="60"/>
        <v>41662.3</v>
      </c>
      <c r="I2611" s="160"/>
      <c r="J2611" s="161"/>
      <c r="K2611" s="160"/>
      <c r="L2611" s="160">
        <f>+'FACP$'!$H2611-'FACP$'!$I2611-'FACP$'!$K2611</f>
        <v>41662.3</v>
      </c>
      <c r="M2611" s="162" t="s">
        <v>151</v>
      </c>
      <c r="N2611" s="162" t="s">
        <v>554</v>
      </c>
      <c r="O2611" s="164">
        <v>44412.0</v>
      </c>
      <c r="P2611" s="164">
        <f t="shared" si="13"/>
        <v>44379</v>
      </c>
      <c r="Q2611" s="165">
        <f t="shared" si="2"/>
        <v>0</v>
      </c>
      <c r="R2611" s="167"/>
      <c r="S2611" s="167"/>
      <c r="T2611" s="168">
        <f t="shared" si="3"/>
        <v>41662.3</v>
      </c>
      <c r="U2611" s="168">
        <f t="shared" si="4"/>
        <v>0</v>
      </c>
      <c r="V2611" s="168">
        <f t="shared" si="5"/>
        <v>0</v>
      </c>
      <c r="W2611" s="168">
        <f t="shared" si="6"/>
        <v>0</v>
      </c>
      <c r="X2611" s="168">
        <f t="shared" si="7"/>
        <v>0</v>
      </c>
      <c r="Y2611" s="168">
        <f t="shared" si="8"/>
        <v>0</v>
      </c>
      <c r="Z2611" s="168">
        <f t="shared" si="9"/>
        <v>0</v>
      </c>
    </row>
    <row r="2612" ht="15.0" customHeight="1">
      <c r="A2612" s="157" t="s">
        <v>2968</v>
      </c>
      <c r="B2612" s="158" t="s">
        <v>27</v>
      </c>
      <c r="C2612" s="158" t="s">
        <v>2969</v>
      </c>
      <c r="D2612" s="159">
        <v>44369.0</v>
      </c>
      <c r="E2612" s="157" t="s">
        <v>731</v>
      </c>
      <c r="F2612" s="160">
        <v>26297.65</v>
      </c>
      <c r="G2612" s="160">
        <v>4207.62</v>
      </c>
      <c r="H2612" s="160">
        <f t="shared" si="60"/>
        <v>30505.27</v>
      </c>
      <c r="I2612" s="160"/>
      <c r="J2612" s="161"/>
      <c r="K2612" s="160"/>
      <c r="L2612" s="160">
        <f>+'FACP$'!$H2612-'FACP$'!$I2612-'FACP$'!$K2612</f>
        <v>30505.27</v>
      </c>
      <c r="M2612" s="162" t="s">
        <v>151</v>
      </c>
      <c r="N2612" s="162" t="s">
        <v>554</v>
      </c>
      <c r="O2612" s="164">
        <v>44412.0</v>
      </c>
      <c r="P2612" s="164">
        <f t="shared" si="13"/>
        <v>44379</v>
      </c>
      <c r="Q2612" s="165">
        <f t="shared" si="2"/>
        <v>0</v>
      </c>
      <c r="R2612" s="167"/>
      <c r="S2612" s="167"/>
      <c r="T2612" s="168">
        <f t="shared" si="3"/>
        <v>30505.27</v>
      </c>
      <c r="U2612" s="168">
        <f t="shared" si="4"/>
        <v>0</v>
      </c>
      <c r="V2612" s="168">
        <f t="shared" si="5"/>
        <v>0</v>
      </c>
      <c r="W2612" s="168">
        <f t="shared" si="6"/>
        <v>0</v>
      </c>
      <c r="X2612" s="168">
        <f t="shared" si="7"/>
        <v>0</v>
      </c>
      <c r="Y2612" s="168">
        <f t="shared" si="8"/>
        <v>0</v>
      </c>
      <c r="Z2612" s="168">
        <f t="shared" si="9"/>
        <v>0</v>
      </c>
    </row>
    <row r="2613" ht="15.0" customHeight="1">
      <c r="A2613" s="157" t="s">
        <v>2970</v>
      </c>
      <c r="B2613" s="158" t="s">
        <v>27</v>
      </c>
      <c r="C2613" s="158" t="s">
        <v>2964</v>
      </c>
      <c r="D2613" s="159">
        <v>44369.0</v>
      </c>
      <c r="E2613" s="157" t="s">
        <v>731</v>
      </c>
      <c r="F2613" s="160">
        <v>213636.13</v>
      </c>
      <c r="G2613" s="160">
        <v>34181.78</v>
      </c>
      <c r="H2613" s="160">
        <f t="shared" si="60"/>
        <v>247817.91</v>
      </c>
      <c r="I2613" s="160"/>
      <c r="J2613" s="161"/>
      <c r="K2613" s="160"/>
      <c r="L2613" s="160">
        <f>+'FACP$'!$H2613-'FACP$'!$I2613-'FACP$'!$K2613</f>
        <v>247817.91</v>
      </c>
      <c r="M2613" s="162" t="s">
        <v>158</v>
      </c>
      <c r="N2613" s="162" t="s">
        <v>554</v>
      </c>
      <c r="O2613" s="164">
        <v>44392.0</v>
      </c>
      <c r="P2613" s="164">
        <f t="shared" si="13"/>
        <v>44379</v>
      </c>
      <c r="Q2613" s="165">
        <f t="shared" si="2"/>
        <v>0</v>
      </c>
      <c r="R2613" s="167"/>
      <c r="S2613" s="167"/>
      <c r="T2613" s="168">
        <f t="shared" si="3"/>
        <v>247817.91</v>
      </c>
      <c r="U2613" s="168">
        <f t="shared" si="4"/>
        <v>0</v>
      </c>
      <c r="V2613" s="168">
        <f t="shared" si="5"/>
        <v>0</v>
      </c>
      <c r="W2613" s="168">
        <f t="shared" si="6"/>
        <v>0</v>
      </c>
      <c r="X2613" s="168">
        <f t="shared" si="7"/>
        <v>0</v>
      </c>
      <c r="Y2613" s="168">
        <f t="shared" si="8"/>
        <v>0</v>
      </c>
      <c r="Z2613" s="168">
        <f t="shared" si="9"/>
        <v>0</v>
      </c>
    </row>
    <row r="2614" ht="15.0" customHeight="1">
      <c r="A2614" s="157" t="s">
        <v>2971</v>
      </c>
      <c r="B2614" s="158" t="s">
        <v>27</v>
      </c>
      <c r="C2614" s="158" t="s">
        <v>2956</v>
      </c>
      <c r="D2614" s="159">
        <v>44369.0</v>
      </c>
      <c r="E2614" s="157" t="s">
        <v>731</v>
      </c>
      <c r="F2614" s="160">
        <v>125574.59</v>
      </c>
      <c r="G2614" s="160">
        <v>20091.93</v>
      </c>
      <c r="H2614" s="160">
        <f t="shared" si="60"/>
        <v>145666.52</v>
      </c>
      <c r="I2614" s="160"/>
      <c r="J2614" s="161"/>
      <c r="K2614" s="160"/>
      <c r="L2614" s="160">
        <f>+'FACP$'!$H2614-'FACP$'!$I2614-'FACP$'!$K2614</f>
        <v>145666.52</v>
      </c>
      <c r="M2614" s="162" t="s">
        <v>158</v>
      </c>
      <c r="N2614" s="162" t="s">
        <v>554</v>
      </c>
      <c r="O2614" s="164">
        <v>44404.0</v>
      </c>
      <c r="P2614" s="164">
        <f t="shared" si="13"/>
        <v>44379</v>
      </c>
      <c r="Q2614" s="165">
        <f t="shared" si="2"/>
        <v>0</v>
      </c>
      <c r="R2614" s="167"/>
      <c r="S2614" s="167"/>
      <c r="T2614" s="168">
        <f t="shared" si="3"/>
        <v>145666.52</v>
      </c>
      <c r="U2614" s="168">
        <f t="shared" si="4"/>
        <v>0</v>
      </c>
      <c r="V2614" s="168">
        <f t="shared" si="5"/>
        <v>0</v>
      </c>
      <c r="W2614" s="168">
        <f t="shared" si="6"/>
        <v>0</v>
      </c>
      <c r="X2614" s="168">
        <f t="shared" si="7"/>
        <v>0</v>
      </c>
      <c r="Y2614" s="168">
        <f t="shared" si="8"/>
        <v>0</v>
      </c>
      <c r="Z2614" s="168">
        <f t="shared" si="9"/>
        <v>0</v>
      </c>
    </row>
    <row r="2615" ht="15.0" customHeight="1">
      <c r="A2615" s="157" t="s">
        <v>2972</v>
      </c>
      <c r="B2615" s="158" t="s">
        <v>26</v>
      </c>
      <c r="C2615" s="158" t="s">
        <v>2949</v>
      </c>
      <c r="D2615" s="159">
        <v>44370.0</v>
      </c>
      <c r="E2615" s="157" t="s">
        <v>731</v>
      </c>
      <c r="F2615" s="160">
        <v>46051.74</v>
      </c>
      <c r="G2615" s="160">
        <v>7368.28</v>
      </c>
      <c r="H2615" s="160">
        <f t="shared" si="60"/>
        <v>53420.02</v>
      </c>
      <c r="I2615" s="160"/>
      <c r="J2615" s="161"/>
      <c r="K2615" s="160"/>
      <c r="L2615" s="160">
        <f>+'FACP$'!$H2615-'FACP$'!$I2615-'FACP$'!$K2615</f>
        <v>53420.02</v>
      </c>
      <c r="M2615" s="162" t="s">
        <v>188</v>
      </c>
      <c r="N2615" s="162" t="s">
        <v>554</v>
      </c>
      <c r="O2615" s="164">
        <v>44449.0</v>
      </c>
      <c r="P2615" s="164">
        <f t="shared" si="13"/>
        <v>44380</v>
      </c>
      <c r="Q2615" s="165">
        <f t="shared" si="2"/>
        <v>0</v>
      </c>
      <c r="R2615" s="167"/>
      <c r="S2615" s="167"/>
      <c r="T2615" s="168">
        <f t="shared" si="3"/>
        <v>53420.02</v>
      </c>
      <c r="U2615" s="168">
        <f t="shared" si="4"/>
        <v>0</v>
      </c>
      <c r="V2615" s="168">
        <f t="shared" si="5"/>
        <v>0</v>
      </c>
      <c r="W2615" s="168">
        <f t="shared" si="6"/>
        <v>0</v>
      </c>
      <c r="X2615" s="168">
        <f t="shared" si="7"/>
        <v>0</v>
      </c>
      <c r="Y2615" s="168">
        <f t="shared" si="8"/>
        <v>0</v>
      </c>
      <c r="Z2615" s="168">
        <f t="shared" si="9"/>
        <v>0</v>
      </c>
    </row>
    <row r="2616" ht="15.0" customHeight="1">
      <c r="A2616" s="157" t="s">
        <v>2973</v>
      </c>
      <c r="B2616" s="158" t="s">
        <v>26</v>
      </c>
      <c r="C2616" s="158" t="s">
        <v>2949</v>
      </c>
      <c r="D2616" s="159">
        <v>44371.0</v>
      </c>
      <c r="E2616" s="157" t="s">
        <v>731</v>
      </c>
      <c r="F2616" s="160">
        <v>38477.62</v>
      </c>
      <c r="G2616" s="160">
        <v>6156.42</v>
      </c>
      <c r="H2616" s="160">
        <f t="shared" si="60"/>
        <v>44634.04</v>
      </c>
      <c r="I2616" s="160"/>
      <c r="J2616" s="161"/>
      <c r="K2616" s="160"/>
      <c r="L2616" s="160">
        <f>+'FACP$'!$H2616-'FACP$'!$I2616-'FACP$'!$K2616</f>
        <v>44634.04</v>
      </c>
      <c r="M2616" s="162" t="s">
        <v>2386</v>
      </c>
      <c r="N2616" s="162" t="s">
        <v>554</v>
      </c>
      <c r="O2616" s="164">
        <v>44414.0</v>
      </c>
      <c r="P2616" s="164">
        <f t="shared" si="13"/>
        <v>44381</v>
      </c>
      <c r="Q2616" s="165">
        <f t="shared" si="2"/>
        <v>0</v>
      </c>
      <c r="R2616" s="167"/>
      <c r="S2616" s="167"/>
      <c r="T2616" s="168">
        <f t="shared" si="3"/>
        <v>44634.04</v>
      </c>
      <c r="U2616" s="168">
        <f t="shared" si="4"/>
        <v>0</v>
      </c>
      <c r="V2616" s="168">
        <f t="shared" si="5"/>
        <v>0</v>
      </c>
      <c r="W2616" s="168">
        <f t="shared" si="6"/>
        <v>0</v>
      </c>
      <c r="X2616" s="168">
        <f t="shared" si="7"/>
        <v>0</v>
      </c>
      <c r="Y2616" s="168">
        <f t="shared" si="8"/>
        <v>0</v>
      </c>
      <c r="Z2616" s="168">
        <f t="shared" si="9"/>
        <v>0</v>
      </c>
    </row>
    <row r="2617" ht="15.0" customHeight="1">
      <c r="A2617" s="157" t="s">
        <v>2974</v>
      </c>
      <c r="B2617" s="158" t="s">
        <v>27</v>
      </c>
      <c r="C2617" s="158" t="s">
        <v>2975</v>
      </c>
      <c r="D2617" s="159">
        <v>44377.0</v>
      </c>
      <c r="E2617" s="157" t="s">
        <v>731</v>
      </c>
      <c r="F2617" s="160">
        <v>744951.44</v>
      </c>
      <c r="G2617" s="160">
        <v>119192.23</v>
      </c>
      <c r="H2617" s="160">
        <f t="shared" si="60"/>
        <v>864143.67</v>
      </c>
      <c r="I2617" s="160"/>
      <c r="J2617" s="161"/>
      <c r="K2617" s="160"/>
      <c r="L2617" s="160">
        <f>+'FACP$'!$H2617-'FACP$'!$I2617-'FACP$'!$K2617</f>
        <v>864143.67</v>
      </c>
      <c r="M2617" s="162" t="s">
        <v>151</v>
      </c>
      <c r="N2617" s="162" t="s">
        <v>554</v>
      </c>
      <c r="O2617" s="164">
        <v>44412.0</v>
      </c>
      <c r="P2617" s="164">
        <f t="shared" si="13"/>
        <v>44387</v>
      </c>
      <c r="Q2617" s="165">
        <f t="shared" si="2"/>
        <v>0</v>
      </c>
      <c r="R2617" s="167"/>
      <c r="S2617" s="167"/>
      <c r="T2617" s="168">
        <f t="shared" si="3"/>
        <v>864143.67</v>
      </c>
      <c r="U2617" s="168">
        <f t="shared" si="4"/>
        <v>0</v>
      </c>
      <c r="V2617" s="168">
        <f t="shared" si="5"/>
        <v>0</v>
      </c>
      <c r="W2617" s="168">
        <f t="shared" si="6"/>
        <v>0</v>
      </c>
      <c r="X2617" s="168">
        <f t="shared" si="7"/>
        <v>0</v>
      </c>
      <c r="Y2617" s="168">
        <f t="shared" si="8"/>
        <v>0</v>
      </c>
      <c r="Z2617" s="168">
        <f t="shared" si="9"/>
        <v>0</v>
      </c>
    </row>
    <row r="2618" ht="15.0" customHeight="1">
      <c r="A2618" s="157" t="s">
        <v>2976</v>
      </c>
      <c r="B2618" s="158" t="s">
        <v>27</v>
      </c>
      <c r="C2618" s="158" t="s">
        <v>2977</v>
      </c>
      <c r="D2618" s="159">
        <v>44377.0</v>
      </c>
      <c r="E2618" s="157" t="s">
        <v>731</v>
      </c>
      <c r="F2618" s="160">
        <v>545455.97</v>
      </c>
      <c r="G2618" s="160">
        <v>87272.96</v>
      </c>
      <c r="H2618" s="160">
        <f t="shared" si="60"/>
        <v>632728.93</v>
      </c>
      <c r="I2618" s="160"/>
      <c r="J2618" s="161"/>
      <c r="K2618" s="160"/>
      <c r="L2618" s="160">
        <f>+'FACP$'!$H2618-'FACP$'!$I2618-'FACP$'!$K2618</f>
        <v>632728.93</v>
      </c>
      <c r="M2618" s="162" t="s">
        <v>151</v>
      </c>
      <c r="N2618" s="162" t="s">
        <v>554</v>
      </c>
      <c r="O2618" s="164">
        <v>44412.0</v>
      </c>
      <c r="P2618" s="164">
        <f t="shared" si="13"/>
        <v>44387</v>
      </c>
      <c r="Q2618" s="165">
        <f t="shared" si="2"/>
        <v>0</v>
      </c>
      <c r="R2618" s="167"/>
      <c r="S2618" s="167"/>
      <c r="T2618" s="168">
        <f t="shared" si="3"/>
        <v>632728.93</v>
      </c>
      <c r="U2618" s="168">
        <f t="shared" si="4"/>
        <v>0</v>
      </c>
      <c r="V2618" s="168">
        <f t="shared" si="5"/>
        <v>0</v>
      </c>
      <c r="W2618" s="168">
        <f t="shared" si="6"/>
        <v>0</v>
      </c>
      <c r="X2618" s="168">
        <f t="shared" si="7"/>
        <v>0</v>
      </c>
      <c r="Y2618" s="168">
        <f t="shared" si="8"/>
        <v>0</v>
      </c>
      <c r="Z2618" s="168">
        <f t="shared" si="9"/>
        <v>0</v>
      </c>
    </row>
    <row r="2619" ht="15.0" customHeight="1">
      <c r="A2619" s="157" t="s">
        <v>2978</v>
      </c>
      <c r="B2619" s="158" t="s">
        <v>27</v>
      </c>
      <c r="C2619" s="158" t="s">
        <v>2979</v>
      </c>
      <c r="D2619" s="159">
        <v>44377.0</v>
      </c>
      <c r="E2619" s="157" t="s">
        <v>731</v>
      </c>
      <c r="F2619" s="160">
        <v>36205.49</v>
      </c>
      <c r="G2619" s="160">
        <v>5792.88</v>
      </c>
      <c r="H2619" s="160">
        <f t="shared" si="60"/>
        <v>41998.37</v>
      </c>
      <c r="I2619" s="160"/>
      <c r="J2619" s="161"/>
      <c r="K2619" s="160"/>
      <c r="L2619" s="160">
        <f>+'FACP$'!$H2619-'FACP$'!$I2619-'FACP$'!$K2619</f>
        <v>41998.37</v>
      </c>
      <c r="M2619" s="162" t="s">
        <v>151</v>
      </c>
      <c r="N2619" s="162" t="s">
        <v>554</v>
      </c>
      <c r="O2619" s="164">
        <v>44419.0</v>
      </c>
      <c r="P2619" s="164">
        <f t="shared" si="13"/>
        <v>44387</v>
      </c>
      <c r="Q2619" s="165">
        <f t="shared" si="2"/>
        <v>0</v>
      </c>
      <c r="R2619" s="167"/>
      <c r="S2619" s="167"/>
      <c r="T2619" s="168">
        <f t="shared" si="3"/>
        <v>41998.37</v>
      </c>
      <c r="U2619" s="168">
        <f t="shared" si="4"/>
        <v>0</v>
      </c>
      <c r="V2619" s="168">
        <f t="shared" si="5"/>
        <v>0</v>
      </c>
      <c r="W2619" s="168">
        <f t="shared" si="6"/>
        <v>0</v>
      </c>
      <c r="X2619" s="168">
        <f t="shared" si="7"/>
        <v>0</v>
      </c>
      <c r="Y2619" s="168">
        <f t="shared" si="8"/>
        <v>0</v>
      </c>
      <c r="Z2619" s="168">
        <f t="shared" si="9"/>
        <v>0</v>
      </c>
    </row>
    <row r="2620" ht="15.0" customHeight="1">
      <c r="A2620" s="157" t="s">
        <v>2980</v>
      </c>
      <c r="B2620" s="158" t="s">
        <v>27</v>
      </c>
      <c r="C2620" s="158" t="s">
        <v>2981</v>
      </c>
      <c r="D2620" s="159">
        <v>44377.0</v>
      </c>
      <c r="E2620" s="157" t="s">
        <v>731</v>
      </c>
      <c r="F2620" s="160">
        <v>26509.78</v>
      </c>
      <c r="G2620" s="160">
        <v>4241.56</v>
      </c>
      <c r="H2620" s="160">
        <f t="shared" si="60"/>
        <v>30751.34</v>
      </c>
      <c r="I2620" s="160"/>
      <c r="J2620" s="161"/>
      <c r="K2620" s="160"/>
      <c r="L2620" s="160">
        <f>+'FACP$'!$H2620-'FACP$'!$I2620-'FACP$'!$K2620</f>
        <v>30751.34</v>
      </c>
      <c r="M2620" s="162" t="s">
        <v>151</v>
      </c>
      <c r="N2620" s="162" t="s">
        <v>554</v>
      </c>
      <c r="O2620" s="164">
        <v>44419.0</v>
      </c>
      <c r="P2620" s="164">
        <f t="shared" si="13"/>
        <v>44387</v>
      </c>
      <c r="Q2620" s="165">
        <f t="shared" si="2"/>
        <v>0</v>
      </c>
      <c r="R2620" s="167"/>
      <c r="S2620" s="167"/>
      <c r="T2620" s="168">
        <f t="shared" si="3"/>
        <v>30751.34</v>
      </c>
      <c r="U2620" s="168">
        <f t="shared" si="4"/>
        <v>0</v>
      </c>
      <c r="V2620" s="168">
        <f t="shared" si="5"/>
        <v>0</v>
      </c>
      <c r="W2620" s="168">
        <f t="shared" si="6"/>
        <v>0</v>
      </c>
      <c r="X2620" s="168">
        <f t="shared" si="7"/>
        <v>0</v>
      </c>
      <c r="Y2620" s="168">
        <f t="shared" si="8"/>
        <v>0</v>
      </c>
      <c r="Z2620" s="168">
        <f t="shared" si="9"/>
        <v>0</v>
      </c>
    </row>
    <row r="2621" ht="15.0" customHeight="1">
      <c r="A2621" s="157" t="s">
        <v>2982</v>
      </c>
      <c r="B2621" s="158" t="s">
        <v>127</v>
      </c>
      <c r="C2621" s="158"/>
      <c r="D2621" s="159">
        <v>44377.0</v>
      </c>
      <c r="E2621" s="157" t="s">
        <v>731</v>
      </c>
      <c r="F2621" s="160"/>
      <c r="G2621" s="160"/>
      <c r="H2621" s="160">
        <f t="shared" si="60"/>
        <v>0</v>
      </c>
      <c r="I2621" s="160"/>
      <c r="J2621" s="161"/>
      <c r="K2621" s="160"/>
      <c r="L2621" s="160">
        <f>+'FACP$'!$H2621-'FACP$'!$I2621-'FACP$'!$K2621</f>
        <v>0</v>
      </c>
      <c r="M2621" s="162"/>
      <c r="N2621" s="162" t="s">
        <v>127</v>
      </c>
      <c r="O2621" s="164"/>
      <c r="P2621" s="164">
        <f t="shared" si="13"/>
        <v>44387</v>
      </c>
      <c r="Q2621" s="165">
        <f t="shared" si="2"/>
        <v>0</v>
      </c>
      <c r="R2621" s="167"/>
      <c r="S2621" s="167"/>
      <c r="T2621" s="168">
        <f t="shared" si="3"/>
        <v>0</v>
      </c>
      <c r="U2621" s="168">
        <f t="shared" si="4"/>
        <v>0</v>
      </c>
      <c r="V2621" s="168">
        <f t="shared" si="5"/>
        <v>0</v>
      </c>
      <c r="W2621" s="168">
        <f t="shared" si="6"/>
        <v>0</v>
      </c>
      <c r="X2621" s="168">
        <f t="shared" si="7"/>
        <v>0</v>
      </c>
      <c r="Y2621" s="168">
        <f t="shared" si="8"/>
        <v>0</v>
      </c>
      <c r="Z2621" s="168">
        <f t="shared" si="9"/>
        <v>0</v>
      </c>
    </row>
    <row r="2622" ht="15.0" customHeight="1">
      <c r="A2622" s="157" t="s">
        <v>2983</v>
      </c>
      <c r="B2622" s="158" t="s">
        <v>27</v>
      </c>
      <c r="C2622" s="158" t="s">
        <v>2977</v>
      </c>
      <c r="D2622" s="159">
        <v>44377.0</v>
      </c>
      <c r="E2622" s="157" t="s">
        <v>731</v>
      </c>
      <c r="F2622" s="160">
        <v>137031.6</v>
      </c>
      <c r="G2622" s="160">
        <v>21925.06</v>
      </c>
      <c r="H2622" s="160">
        <f t="shared" si="60"/>
        <v>158956.66</v>
      </c>
      <c r="I2622" s="160"/>
      <c r="J2622" s="161"/>
      <c r="K2622" s="160"/>
      <c r="L2622" s="160">
        <f>+'FACP$'!$H2622-'FACP$'!$I2622-'FACP$'!$K2622</f>
        <v>158956.66</v>
      </c>
      <c r="M2622" s="162" t="s">
        <v>158</v>
      </c>
      <c r="N2622" s="162" t="s">
        <v>554</v>
      </c>
      <c r="O2622" s="164">
        <v>44419.0</v>
      </c>
      <c r="P2622" s="164">
        <f t="shared" si="13"/>
        <v>44387</v>
      </c>
      <c r="Q2622" s="165">
        <f t="shared" si="2"/>
        <v>0</v>
      </c>
      <c r="R2622" s="167" t="s">
        <v>2984</v>
      </c>
      <c r="S2622" s="167"/>
      <c r="T2622" s="168">
        <f t="shared" si="3"/>
        <v>158956.66</v>
      </c>
      <c r="U2622" s="168">
        <f t="shared" si="4"/>
        <v>0</v>
      </c>
      <c r="V2622" s="168">
        <f t="shared" si="5"/>
        <v>0</v>
      </c>
      <c r="W2622" s="168">
        <f t="shared" si="6"/>
        <v>0</v>
      </c>
      <c r="X2622" s="168">
        <f t="shared" si="7"/>
        <v>0</v>
      </c>
      <c r="Y2622" s="168">
        <f t="shared" si="8"/>
        <v>0</v>
      </c>
      <c r="Z2622" s="168">
        <f t="shared" si="9"/>
        <v>0</v>
      </c>
    </row>
    <row r="2623" ht="15.0" customHeight="1">
      <c r="A2623" s="157" t="s">
        <v>2985</v>
      </c>
      <c r="B2623" s="158" t="s">
        <v>127</v>
      </c>
      <c r="C2623" s="158"/>
      <c r="D2623" s="159">
        <v>44377.0</v>
      </c>
      <c r="E2623" s="157" t="s">
        <v>731</v>
      </c>
      <c r="F2623" s="160"/>
      <c r="G2623" s="160"/>
      <c r="H2623" s="160">
        <f t="shared" si="60"/>
        <v>0</v>
      </c>
      <c r="I2623" s="160"/>
      <c r="J2623" s="161"/>
      <c r="K2623" s="160"/>
      <c r="L2623" s="160">
        <f>+'FACP$'!$H2623-'FACP$'!$I2623-'FACP$'!$K2623</f>
        <v>0</v>
      </c>
      <c r="M2623" s="162" t="s">
        <v>127</v>
      </c>
      <c r="N2623" s="162" t="s">
        <v>127</v>
      </c>
      <c r="O2623" s="164"/>
      <c r="P2623" s="164">
        <f t="shared" si="13"/>
        <v>44387</v>
      </c>
      <c r="Q2623" s="165">
        <f t="shared" si="2"/>
        <v>0</v>
      </c>
      <c r="R2623" s="167"/>
      <c r="S2623" s="167"/>
      <c r="T2623" s="168">
        <f t="shared" si="3"/>
        <v>0</v>
      </c>
      <c r="U2623" s="168">
        <f t="shared" si="4"/>
        <v>0</v>
      </c>
      <c r="V2623" s="168">
        <f t="shared" si="5"/>
        <v>0</v>
      </c>
      <c r="W2623" s="168">
        <f t="shared" si="6"/>
        <v>0</v>
      </c>
      <c r="X2623" s="168">
        <f t="shared" si="7"/>
        <v>0</v>
      </c>
      <c r="Y2623" s="168">
        <f t="shared" si="8"/>
        <v>0</v>
      </c>
      <c r="Z2623" s="168">
        <f t="shared" si="9"/>
        <v>0</v>
      </c>
    </row>
    <row r="2624" ht="15.0" customHeight="1">
      <c r="A2624" s="157" t="s">
        <v>2986</v>
      </c>
      <c r="B2624" s="158" t="s">
        <v>27</v>
      </c>
      <c r="C2624" s="158" t="s">
        <v>2975</v>
      </c>
      <c r="D2624" s="159">
        <v>44377.0</v>
      </c>
      <c r="E2624" s="157" t="s">
        <v>731</v>
      </c>
      <c r="F2624" s="160">
        <v>233127.59</v>
      </c>
      <c r="G2624" s="160">
        <v>37300.41</v>
      </c>
      <c r="H2624" s="160">
        <f t="shared" si="60"/>
        <v>270428</v>
      </c>
      <c r="I2624" s="160"/>
      <c r="J2624" s="161"/>
      <c r="K2624" s="160"/>
      <c r="L2624" s="160">
        <f>+'FACP$'!$H2624-'FACP$'!$I2624-'FACP$'!$K2624</f>
        <v>270428</v>
      </c>
      <c r="M2624" s="162" t="s">
        <v>158</v>
      </c>
      <c r="N2624" s="162" t="s">
        <v>554</v>
      </c>
      <c r="O2624" s="164">
        <v>44419.0</v>
      </c>
      <c r="P2624" s="164">
        <f t="shared" si="13"/>
        <v>44387</v>
      </c>
      <c r="Q2624" s="165">
        <f t="shared" si="2"/>
        <v>0</v>
      </c>
      <c r="R2624" s="167" t="s">
        <v>2984</v>
      </c>
      <c r="S2624" s="167"/>
      <c r="T2624" s="168">
        <f t="shared" si="3"/>
        <v>270428</v>
      </c>
      <c r="U2624" s="168">
        <f t="shared" si="4"/>
        <v>0</v>
      </c>
      <c r="V2624" s="168">
        <f t="shared" si="5"/>
        <v>0</v>
      </c>
      <c r="W2624" s="168">
        <f t="shared" si="6"/>
        <v>0</v>
      </c>
      <c r="X2624" s="168">
        <f t="shared" si="7"/>
        <v>0</v>
      </c>
      <c r="Y2624" s="168">
        <f t="shared" si="8"/>
        <v>0</v>
      </c>
      <c r="Z2624" s="168">
        <f t="shared" si="9"/>
        <v>0</v>
      </c>
      <c r="AA2624" s="81"/>
      <c r="AB2624" s="81"/>
      <c r="AC2624" s="81"/>
    </row>
    <row r="2625" ht="15.0" customHeight="1">
      <c r="A2625" s="157" t="s">
        <v>2987</v>
      </c>
      <c r="B2625" s="158" t="s">
        <v>19</v>
      </c>
      <c r="C2625" s="158" t="s">
        <v>2988</v>
      </c>
      <c r="D2625" s="159">
        <v>40730.0</v>
      </c>
      <c r="E2625" s="157" t="s">
        <v>731</v>
      </c>
      <c r="F2625" s="160">
        <v>200220.43</v>
      </c>
      <c r="G2625" s="160">
        <v>32035.27</v>
      </c>
      <c r="H2625" s="160">
        <f t="shared" si="60"/>
        <v>232255.7</v>
      </c>
      <c r="I2625" s="160"/>
      <c r="J2625" s="161"/>
      <c r="K2625" s="160"/>
      <c r="L2625" s="160">
        <f>+'FACP$'!$H2625-'FACP$'!$I2625-'FACP$'!$K2625</f>
        <v>232255.7</v>
      </c>
      <c r="M2625" s="162" t="s">
        <v>732</v>
      </c>
      <c r="N2625" s="162" t="s">
        <v>554</v>
      </c>
      <c r="O2625" s="164">
        <v>44399.0</v>
      </c>
      <c r="P2625" s="164">
        <f t="shared" si="13"/>
        <v>40740</v>
      </c>
      <c r="Q2625" s="165">
        <f t="shared" si="2"/>
        <v>0</v>
      </c>
      <c r="R2625" s="167"/>
      <c r="S2625" s="167"/>
      <c r="T2625" s="168">
        <f t="shared" si="3"/>
        <v>232255.7</v>
      </c>
      <c r="U2625" s="168">
        <f t="shared" si="4"/>
        <v>0</v>
      </c>
      <c r="V2625" s="168">
        <f t="shared" si="5"/>
        <v>0</v>
      </c>
      <c r="W2625" s="168">
        <f t="shared" si="6"/>
        <v>0</v>
      </c>
      <c r="X2625" s="168">
        <f t="shared" si="7"/>
        <v>0</v>
      </c>
      <c r="Y2625" s="168">
        <f t="shared" si="8"/>
        <v>0</v>
      </c>
      <c r="Z2625" s="168">
        <f t="shared" si="9"/>
        <v>0</v>
      </c>
      <c r="AA2625" s="81"/>
      <c r="AB2625" s="81"/>
      <c r="AC2625" s="81"/>
    </row>
    <row r="2626" ht="15.0" customHeight="1">
      <c r="A2626" s="157" t="s">
        <v>2989</v>
      </c>
      <c r="B2626" s="158" t="s">
        <v>16</v>
      </c>
      <c r="C2626" s="158" t="s">
        <v>2988</v>
      </c>
      <c r="D2626" s="159">
        <v>44383.0</v>
      </c>
      <c r="E2626" s="157" t="s">
        <v>731</v>
      </c>
      <c r="F2626" s="160">
        <v>299851.08</v>
      </c>
      <c r="G2626" s="160">
        <v>47976.17</v>
      </c>
      <c r="H2626" s="160">
        <f t="shared" si="60"/>
        <v>347827.25</v>
      </c>
      <c r="I2626" s="160"/>
      <c r="J2626" s="161"/>
      <c r="K2626" s="160"/>
      <c r="L2626" s="160">
        <f>+'FACP$'!$H2626-'FACP$'!$I2626-'FACP$'!$K2626</f>
        <v>347827.25</v>
      </c>
      <c r="M2626" s="162" t="s">
        <v>985</v>
      </c>
      <c r="N2626" s="162" t="s">
        <v>554</v>
      </c>
      <c r="O2626" s="164">
        <v>44399.0</v>
      </c>
      <c r="P2626" s="164">
        <f t="shared" si="13"/>
        <v>44393</v>
      </c>
      <c r="Q2626" s="165">
        <f t="shared" si="2"/>
        <v>0</v>
      </c>
      <c r="R2626" s="167"/>
      <c r="S2626" s="167"/>
      <c r="T2626" s="168">
        <f t="shared" si="3"/>
        <v>347827.25</v>
      </c>
      <c r="U2626" s="168">
        <f t="shared" si="4"/>
        <v>0</v>
      </c>
      <c r="V2626" s="168">
        <f t="shared" si="5"/>
        <v>0</v>
      </c>
      <c r="W2626" s="168">
        <f t="shared" si="6"/>
        <v>0</v>
      </c>
      <c r="X2626" s="168">
        <f t="shared" si="7"/>
        <v>0</v>
      </c>
      <c r="Y2626" s="168">
        <f t="shared" si="8"/>
        <v>0</v>
      </c>
      <c r="Z2626" s="168">
        <f t="shared" si="9"/>
        <v>0</v>
      </c>
    </row>
    <row r="2627" ht="15.0" customHeight="1">
      <c r="A2627" s="157" t="s">
        <v>2990</v>
      </c>
      <c r="B2627" s="158" t="s">
        <v>16</v>
      </c>
      <c r="C2627" s="158" t="s">
        <v>2991</v>
      </c>
      <c r="D2627" s="159">
        <v>44383.0</v>
      </c>
      <c r="E2627" s="157" t="s">
        <v>731</v>
      </c>
      <c r="F2627" s="160">
        <v>318762.98</v>
      </c>
      <c r="G2627" s="160">
        <v>51002.08</v>
      </c>
      <c r="H2627" s="160">
        <f t="shared" si="60"/>
        <v>369765.06</v>
      </c>
      <c r="I2627" s="160"/>
      <c r="J2627" s="161"/>
      <c r="K2627" s="160"/>
      <c r="L2627" s="160">
        <f>+'FACP$'!$H2627-'FACP$'!$I2627-'FACP$'!$K2627</f>
        <v>369765.06</v>
      </c>
      <c r="M2627" s="162" t="s">
        <v>985</v>
      </c>
      <c r="N2627" s="162" t="s">
        <v>554</v>
      </c>
      <c r="O2627" s="164">
        <v>44399.0</v>
      </c>
      <c r="P2627" s="164">
        <f t="shared" si="13"/>
        <v>44393</v>
      </c>
      <c r="Q2627" s="165">
        <f t="shared" si="2"/>
        <v>0</v>
      </c>
      <c r="R2627" s="167"/>
      <c r="S2627" s="167"/>
      <c r="T2627" s="168">
        <f t="shared" si="3"/>
        <v>369765.06</v>
      </c>
      <c r="U2627" s="168">
        <f t="shared" si="4"/>
        <v>0</v>
      </c>
      <c r="V2627" s="168">
        <f t="shared" si="5"/>
        <v>0</v>
      </c>
      <c r="W2627" s="168">
        <f t="shared" si="6"/>
        <v>0</v>
      </c>
      <c r="X2627" s="168">
        <f t="shared" si="7"/>
        <v>0</v>
      </c>
      <c r="Y2627" s="168">
        <f t="shared" si="8"/>
        <v>0</v>
      </c>
      <c r="Z2627" s="168">
        <f t="shared" si="9"/>
        <v>0</v>
      </c>
    </row>
    <row r="2628" ht="15.0" customHeight="1">
      <c r="A2628" s="157" t="s">
        <v>2992</v>
      </c>
      <c r="B2628" s="158" t="s">
        <v>127</v>
      </c>
      <c r="C2628" s="158"/>
      <c r="D2628" s="159">
        <v>44383.0</v>
      </c>
      <c r="E2628" s="157" t="s">
        <v>731</v>
      </c>
      <c r="F2628" s="160"/>
      <c r="G2628" s="160"/>
      <c r="H2628" s="160">
        <f t="shared" si="60"/>
        <v>0</v>
      </c>
      <c r="I2628" s="160"/>
      <c r="J2628" s="161"/>
      <c r="K2628" s="160"/>
      <c r="L2628" s="160">
        <f>+'FACP$'!$H2628-'FACP$'!$I2628-'FACP$'!$K2628</f>
        <v>0</v>
      </c>
      <c r="M2628" s="162"/>
      <c r="N2628" s="162" t="s">
        <v>127</v>
      </c>
      <c r="O2628" s="164"/>
      <c r="P2628" s="164">
        <f t="shared" si="13"/>
        <v>44393</v>
      </c>
      <c r="Q2628" s="165">
        <f t="shared" si="2"/>
        <v>0</v>
      </c>
      <c r="R2628" s="167"/>
      <c r="S2628" s="167"/>
      <c r="T2628" s="168">
        <f t="shared" si="3"/>
        <v>0</v>
      </c>
      <c r="U2628" s="168">
        <f t="shared" si="4"/>
        <v>0</v>
      </c>
      <c r="V2628" s="168">
        <f t="shared" si="5"/>
        <v>0</v>
      </c>
      <c r="W2628" s="168">
        <f t="shared" si="6"/>
        <v>0</v>
      </c>
      <c r="X2628" s="168">
        <f t="shared" si="7"/>
        <v>0</v>
      </c>
      <c r="Y2628" s="168">
        <f t="shared" si="8"/>
        <v>0</v>
      </c>
      <c r="Z2628" s="168">
        <f t="shared" si="9"/>
        <v>0</v>
      </c>
    </row>
    <row r="2629" ht="15.0" customHeight="1">
      <c r="A2629" s="157" t="s">
        <v>2993</v>
      </c>
      <c r="B2629" s="158" t="s">
        <v>26</v>
      </c>
      <c r="C2629" s="158" t="s">
        <v>2988</v>
      </c>
      <c r="D2629" s="159">
        <v>44383.0</v>
      </c>
      <c r="E2629" s="157" t="s">
        <v>731</v>
      </c>
      <c r="F2629" s="160">
        <v>62459.49</v>
      </c>
      <c r="G2629" s="160">
        <v>9993.52</v>
      </c>
      <c r="H2629" s="160">
        <f t="shared" si="60"/>
        <v>72453.01</v>
      </c>
      <c r="I2629" s="160"/>
      <c r="J2629" s="161"/>
      <c r="K2629" s="160"/>
      <c r="L2629" s="160">
        <f>+'FACP$'!$H2629-'FACP$'!$I2629-'FACP$'!$K2629</f>
        <v>72453.01</v>
      </c>
      <c r="M2629" s="162" t="s">
        <v>2386</v>
      </c>
      <c r="N2629" s="162" t="s">
        <v>554</v>
      </c>
      <c r="O2629" s="164">
        <v>44414.0</v>
      </c>
      <c r="P2629" s="164">
        <f t="shared" si="13"/>
        <v>44393</v>
      </c>
      <c r="Q2629" s="165">
        <f t="shared" si="2"/>
        <v>0</v>
      </c>
      <c r="R2629" s="167"/>
      <c r="S2629" s="167"/>
      <c r="T2629" s="168">
        <f t="shared" si="3"/>
        <v>72453.01</v>
      </c>
      <c r="U2629" s="168">
        <f t="shared" si="4"/>
        <v>0</v>
      </c>
      <c r="V2629" s="168">
        <f t="shared" si="5"/>
        <v>0</v>
      </c>
      <c r="W2629" s="168">
        <f t="shared" si="6"/>
        <v>0</v>
      </c>
      <c r="X2629" s="168">
        <f t="shared" si="7"/>
        <v>0</v>
      </c>
      <c r="Y2629" s="168">
        <f t="shared" si="8"/>
        <v>0</v>
      </c>
      <c r="Z2629" s="168">
        <f t="shared" si="9"/>
        <v>0</v>
      </c>
    </row>
    <row r="2630" ht="15.0" customHeight="1">
      <c r="A2630" s="157" t="s">
        <v>2994</v>
      </c>
      <c r="B2630" s="158" t="s">
        <v>26</v>
      </c>
      <c r="C2630" s="158" t="s">
        <v>2988</v>
      </c>
      <c r="D2630" s="159">
        <v>44383.0</v>
      </c>
      <c r="E2630" s="157" t="s">
        <v>731</v>
      </c>
      <c r="F2630" s="160">
        <v>29902.5</v>
      </c>
      <c r="G2630" s="160">
        <v>4784.4</v>
      </c>
      <c r="H2630" s="160">
        <f t="shared" si="60"/>
        <v>34686.9</v>
      </c>
      <c r="I2630" s="248"/>
      <c r="J2630" s="249"/>
      <c r="K2630" s="248"/>
      <c r="L2630" s="248">
        <f>+'FACP$'!$H2630-'FACP$'!$I2630-'FACP$'!$K2630</f>
        <v>34686.9</v>
      </c>
      <c r="M2630" s="162" t="s">
        <v>188</v>
      </c>
      <c r="N2630" s="162" t="s">
        <v>554</v>
      </c>
      <c r="O2630" s="164">
        <v>44449.0</v>
      </c>
      <c r="P2630" s="164">
        <f t="shared" si="13"/>
        <v>44393</v>
      </c>
      <c r="Q2630" s="165">
        <f t="shared" si="2"/>
        <v>0</v>
      </c>
      <c r="R2630" s="167"/>
      <c r="S2630" s="167"/>
      <c r="T2630" s="168">
        <f t="shared" si="3"/>
        <v>34686.9</v>
      </c>
      <c r="U2630" s="168">
        <f t="shared" si="4"/>
        <v>0</v>
      </c>
      <c r="V2630" s="168">
        <f t="shared" si="5"/>
        <v>0</v>
      </c>
      <c r="W2630" s="168">
        <f t="shared" si="6"/>
        <v>0</v>
      </c>
      <c r="X2630" s="168">
        <f t="shared" si="7"/>
        <v>0</v>
      </c>
      <c r="Y2630" s="168">
        <f t="shared" si="8"/>
        <v>0</v>
      </c>
      <c r="Z2630" s="168">
        <f t="shared" si="9"/>
        <v>0</v>
      </c>
    </row>
    <row r="2631" ht="15.0" customHeight="1">
      <c r="A2631" s="157" t="s">
        <v>2995</v>
      </c>
      <c r="B2631" s="228" t="s">
        <v>18</v>
      </c>
      <c r="C2631" s="228" t="s">
        <v>2988</v>
      </c>
      <c r="D2631" s="229">
        <v>44383.0</v>
      </c>
      <c r="E2631" s="230" t="s">
        <v>731</v>
      </c>
      <c r="F2631" s="231">
        <v>170788.87</v>
      </c>
      <c r="G2631" s="231">
        <v>27326.22</v>
      </c>
      <c r="H2631" s="160">
        <f>F2631+G2631-'NCP$'!H88-'NCP$'!H89</f>
        <v>136252.69</v>
      </c>
      <c r="I2631" s="231"/>
      <c r="J2631" s="232"/>
      <c r="K2631" s="231"/>
      <c r="L2631" s="231">
        <f>+'FACP$'!$H2631-'FACP$'!$I2631-'FACP$'!$K2631</f>
        <v>136252.69</v>
      </c>
      <c r="M2631" s="233" t="s">
        <v>586</v>
      </c>
      <c r="N2631" s="233" t="s">
        <v>554</v>
      </c>
      <c r="O2631" s="235">
        <v>44399.0</v>
      </c>
      <c r="P2631" s="235">
        <f t="shared" si="13"/>
        <v>44393</v>
      </c>
      <c r="Q2631" s="236">
        <f t="shared" si="2"/>
        <v>0</v>
      </c>
      <c r="R2631" s="237" t="s">
        <v>2996</v>
      </c>
      <c r="S2631" s="237"/>
      <c r="T2631" s="168">
        <f t="shared" si="3"/>
        <v>136252.69</v>
      </c>
      <c r="U2631" s="168">
        <f t="shared" si="4"/>
        <v>0</v>
      </c>
      <c r="V2631" s="168">
        <f t="shared" si="5"/>
        <v>0</v>
      </c>
      <c r="W2631" s="168">
        <f t="shared" si="6"/>
        <v>0</v>
      </c>
      <c r="X2631" s="168">
        <f t="shared" si="7"/>
        <v>0</v>
      </c>
      <c r="Y2631" s="168">
        <f t="shared" si="8"/>
        <v>0</v>
      </c>
      <c r="Z2631" s="168">
        <f t="shared" si="9"/>
        <v>0</v>
      </c>
    </row>
    <row r="2632" ht="15.0" customHeight="1">
      <c r="A2632" s="157" t="s">
        <v>2997</v>
      </c>
      <c r="B2632" s="158" t="s">
        <v>41</v>
      </c>
      <c r="C2632" s="158" t="s">
        <v>2988</v>
      </c>
      <c r="D2632" s="159">
        <v>44383.0</v>
      </c>
      <c r="E2632" s="157" t="s">
        <v>731</v>
      </c>
      <c r="F2632" s="160">
        <v>193804.7</v>
      </c>
      <c r="G2632" s="160">
        <v>31008.75</v>
      </c>
      <c r="H2632" s="160">
        <f t="shared" ref="H2632:H2721" si="61">F2632+G2632</f>
        <v>224813.45</v>
      </c>
      <c r="I2632" s="160"/>
      <c r="J2632" s="161"/>
      <c r="K2632" s="160"/>
      <c r="L2632" s="160">
        <f>+'FACP$'!$H2632-'FACP$'!$I2632-'FACP$'!$K2632</f>
        <v>224813.45</v>
      </c>
      <c r="M2632" s="162" t="s">
        <v>121</v>
      </c>
      <c r="N2632" s="162" t="s">
        <v>554</v>
      </c>
      <c r="O2632" s="164">
        <v>44517.0</v>
      </c>
      <c r="P2632" s="164">
        <f t="shared" si="13"/>
        <v>44393</v>
      </c>
      <c r="Q2632" s="165">
        <f t="shared" si="2"/>
        <v>0</v>
      </c>
      <c r="R2632" s="167"/>
      <c r="S2632" s="167"/>
      <c r="T2632" s="168">
        <f t="shared" si="3"/>
        <v>224813.45</v>
      </c>
      <c r="U2632" s="168">
        <f t="shared" si="4"/>
        <v>0</v>
      </c>
      <c r="V2632" s="168">
        <f t="shared" si="5"/>
        <v>0</v>
      </c>
      <c r="W2632" s="168">
        <f t="shared" si="6"/>
        <v>0</v>
      </c>
      <c r="X2632" s="168">
        <f t="shared" si="7"/>
        <v>0</v>
      </c>
      <c r="Y2632" s="168">
        <f t="shared" si="8"/>
        <v>0</v>
      </c>
      <c r="Z2632" s="168">
        <f t="shared" si="9"/>
        <v>0</v>
      </c>
    </row>
    <row r="2633" ht="15.0" customHeight="1">
      <c r="A2633" s="157" t="s">
        <v>2998</v>
      </c>
      <c r="B2633" s="158" t="s">
        <v>37</v>
      </c>
      <c r="C2633" s="158" t="s">
        <v>2988</v>
      </c>
      <c r="D2633" s="159">
        <v>44383.0</v>
      </c>
      <c r="E2633" s="157" t="s">
        <v>731</v>
      </c>
      <c r="F2633" s="160">
        <v>2194579.41</v>
      </c>
      <c r="G2633" s="160">
        <v>351132.71</v>
      </c>
      <c r="H2633" s="160">
        <f t="shared" si="61"/>
        <v>2545712.12</v>
      </c>
      <c r="I2633" s="160"/>
      <c r="J2633" s="161"/>
      <c r="K2633" s="160"/>
      <c r="L2633" s="160">
        <f>+'FACP$'!$H2633-'FACP$'!$I2633-'FACP$'!$K2633</f>
        <v>2545712.12</v>
      </c>
      <c r="M2633" s="162" t="s">
        <v>116</v>
      </c>
      <c r="N2633" s="162" t="s">
        <v>554</v>
      </c>
      <c r="O2633" s="164">
        <v>44417.0</v>
      </c>
      <c r="P2633" s="164">
        <f t="shared" si="13"/>
        <v>44393</v>
      </c>
      <c r="Q2633" s="165">
        <f t="shared" si="2"/>
        <v>0</v>
      </c>
      <c r="R2633" s="167"/>
      <c r="S2633" s="167"/>
      <c r="T2633" s="168">
        <f t="shared" si="3"/>
        <v>2545712.12</v>
      </c>
      <c r="U2633" s="168">
        <f t="shared" si="4"/>
        <v>0</v>
      </c>
      <c r="V2633" s="168">
        <f t="shared" si="5"/>
        <v>0</v>
      </c>
      <c r="W2633" s="168">
        <f t="shared" si="6"/>
        <v>0</v>
      </c>
      <c r="X2633" s="168">
        <f t="shared" si="7"/>
        <v>0</v>
      </c>
      <c r="Y2633" s="168">
        <f t="shared" si="8"/>
        <v>0</v>
      </c>
      <c r="Z2633" s="168">
        <f t="shared" si="9"/>
        <v>0</v>
      </c>
    </row>
    <row r="2634" ht="15.0" customHeight="1">
      <c r="A2634" s="157" t="s">
        <v>2999</v>
      </c>
      <c r="B2634" s="158" t="s">
        <v>38</v>
      </c>
      <c r="C2634" s="158" t="s">
        <v>2988</v>
      </c>
      <c r="D2634" s="159">
        <v>44383.0</v>
      </c>
      <c r="E2634" s="157" t="s">
        <v>731</v>
      </c>
      <c r="F2634" s="160">
        <v>648935.82</v>
      </c>
      <c r="G2634" s="160">
        <v>103829.73</v>
      </c>
      <c r="H2634" s="160">
        <f t="shared" si="61"/>
        <v>752765.55</v>
      </c>
      <c r="I2634" s="160"/>
      <c r="J2634" s="161"/>
      <c r="K2634" s="160"/>
      <c r="L2634" s="160">
        <f>+'FACP$'!$H2634-'FACP$'!$I2634-'FACP$'!$K2634</f>
        <v>752765.55</v>
      </c>
      <c r="M2634" s="162" t="s">
        <v>145</v>
      </c>
      <c r="N2634" s="162" t="s">
        <v>554</v>
      </c>
      <c r="O2634" s="164">
        <v>44428.0</v>
      </c>
      <c r="P2634" s="164">
        <f t="shared" si="13"/>
        <v>44393</v>
      </c>
      <c r="Q2634" s="165">
        <f t="shared" si="2"/>
        <v>0</v>
      </c>
      <c r="R2634" s="167"/>
      <c r="S2634" s="167"/>
      <c r="T2634" s="168">
        <f t="shared" si="3"/>
        <v>752765.55</v>
      </c>
      <c r="U2634" s="168">
        <f t="shared" si="4"/>
        <v>0</v>
      </c>
      <c r="V2634" s="168">
        <f t="shared" si="5"/>
        <v>0</v>
      </c>
      <c r="W2634" s="168">
        <f t="shared" si="6"/>
        <v>0</v>
      </c>
      <c r="X2634" s="168">
        <f t="shared" si="7"/>
        <v>0</v>
      </c>
      <c r="Y2634" s="168">
        <f t="shared" si="8"/>
        <v>0</v>
      </c>
      <c r="Z2634" s="168">
        <f t="shared" si="9"/>
        <v>0</v>
      </c>
    </row>
    <row r="2635" ht="15.0" customHeight="1">
      <c r="A2635" s="157" t="s">
        <v>3000</v>
      </c>
      <c r="B2635" s="158" t="s">
        <v>29</v>
      </c>
      <c r="C2635" s="158" t="s">
        <v>2988</v>
      </c>
      <c r="D2635" s="159">
        <v>44383.0</v>
      </c>
      <c r="E2635" s="157" t="s">
        <v>731</v>
      </c>
      <c r="F2635" s="160">
        <v>377776.74</v>
      </c>
      <c r="G2635" s="160">
        <v>60444.28</v>
      </c>
      <c r="H2635" s="160">
        <f t="shared" si="61"/>
        <v>438221.02</v>
      </c>
      <c r="I2635" s="160"/>
      <c r="J2635" s="161"/>
      <c r="K2635" s="160"/>
      <c r="L2635" s="160">
        <f>+'FACP$'!$H2635-'FACP$'!$I2635-'FACP$'!$K2635</f>
        <v>438221.02</v>
      </c>
      <c r="M2635" s="162" t="s">
        <v>130</v>
      </c>
      <c r="N2635" s="162" t="s">
        <v>554</v>
      </c>
      <c r="O2635" s="164">
        <v>44403.0</v>
      </c>
      <c r="P2635" s="164">
        <f t="shared" si="13"/>
        <v>44393</v>
      </c>
      <c r="Q2635" s="165">
        <f t="shared" si="2"/>
        <v>0</v>
      </c>
      <c r="R2635" s="167"/>
      <c r="S2635" s="167"/>
      <c r="T2635" s="168">
        <f t="shared" si="3"/>
        <v>438221.02</v>
      </c>
      <c r="U2635" s="168">
        <f t="shared" si="4"/>
        <v>0</v>
      </c>
      <c r="V2635" s="168">
        <f t="shared" si="5"/>
        <v>0</v>
      </c>
      <c r="W2635" s="168">
        <f t="shared" si="6"/>
        <v>0</v>
      </c>
      <c r="X2635" s="168">
        <f t="shared" si="7"/>
        <v>0</v>
      </c>
      <c r="Y2635" s="168">
        <f t="shared" si="8"/>
        <v>0</v>
      </c>
      <c r="Z2635" s="168">
        <f t="shared" si="9"/>
        <v>0</v>
      </c>
    </row>
    <row r="2636" ht="15.0" customHeight="1">
      <c r="A2636" s="157" t="s">
        <v>3001</v>
      </c>
      <c r="B2636" s="158" t="s">
        <v>29</v>
      </c>
      <c r="C2636" s="158" t="s">
        <v>2991</v>
      </c>
      <c r="D2636" s="159">
        <v>44383.0</v>
      </c>
      <c r="E2636" s="157" t="s">
        <v>731</v>
      </c>
      <c r="F2636" s="160">
        <v>420770.21</v>
      </c>
      <c r="G2636" s="160">
        <v>67323.23</v>
      </c>
      <c r="H2636" s="160">
        <f t="shared" si="61"/>
        <v>488093.44</v>
      </c>
      <c r="I2636" s="160"/>
      <c r="J2636" s="161"/>
      <c r="K2636" s="160"/>
      <c r="L2636" s="160">
        <f>+'FACP$'!$H2636-'FACP$'!$I2636-'FACP$'!$K2636</f>
        <v>488093.44</v>
      </c>
      <c r="M2636" s="162" t="s">
        <v>130</v>
      </c>
      <c r="N2636" s="162" t="s">
        <v>554</v>
      </c>
      <c r="O2636" s="164">
        <v>44420.0</v>
      </c>
      <c r="P2636" s="164">
        <f t="shared" si="13"/>
        <v>44393</v>
      </c>
      <c r="Q2636" s="165">
        <f t="shared" si="2"/>
        <v>0</v>
      </c>
      <c r="R2636" s="167"/>
      <c r="S2636" s="167"/>
      <c r="T2636" s="168">
        <f t="shared" si="3"/>
        <v>488093.44</v>
      </c>
      <c r="U2636" s="168">
        <f t="shared" si="4"/>
        <v>0</v>
      </c>
      <c r="V2636" s="168">
        <f t="shared" si="5"/>
        <v>0</v>
      </c>
      <c r="W2636" s="168">
        <f t="shared" si="6"/>
        <v>0</v>
      </c>
      <c r="X2636" s="168">
        <f t="shared" si="7"/>
        <v>0</v>
      </c>
      <c r="Y2636" s="168">
        <f t="shared" si="8"/>
        <v>0</v>
      </c>
      <c r="Z2636" s="168">
        <f t="shared" si="9"/>
        <v>0</v>
      </c>
    </row>
    <row r="2637" ht="15.0" customHeight="1">
      <c r="A2637" s="157" t="s">
        <v>3002</v>
      </c>
      <c r="B2637" s="158" t="s">
        <v>33</v>
      </c>
      <c r="C2637" s="158" t="s">
        <v>2988</v>
      </c>
      <c r="D2637" s="159">
        <v>44383.0</v>
      </c>
      <c r="E2637" s="157" t="s">
        <v>731</v>
      </c>
      <c r="F2637" s="160">
        <v>196759.75</v>
      </c>
      <c r="G2637" s="160">
        <v>31481.56</v>
      </c>
      <c r="H2637" s="160">
        <f t="shared" si="61"/>
        <v>228241.31</v>
      </c>
      <c r="I2637" s="160"/>
      <c r="J2637" s="161"/>
      <c r="K2637" s="160"/>
      <c r="L2637" s="160">
        <f>+'FACP$'!$H2637-'FACP$'!$I2637-'FACP$'!$K2637</f>
        <v>228241.31</v>
      </c>
      <c r="M2637" s="162" t="s">
        <v>958</v>
      </c>
      <c r="N2637" s="162" t="s">
        <v>127</v>
      </c>
      <c r="O2637" s="164"/>
      <c r="P2637" s="164">
        <f t="shared" si="13"/>
        <v>44393</v>
      </c>
      <c r="Q2637" s="165">
        <f t="shared" si="2"/>
        <v>0</v>
      </c>
      <c r="R2637" s="167" t="s">
        <v>3003</v>
      </c>
      <c r="S2637" s="167"/>
      <c r="T2637" s="168">
        <f t="shared" si="3"/>
        <v>228241.31</v>
      </c>
      <c r="U2637" s="168">
        <f t="shared" si="4"/>
        <v>0</v>
      </c>
      <c r="V2637" s="168">
        <f t="shared" si="5"/>
        <v>0</v>
      </c>
      <c r="W2637" s="168">
        <f t="shared" si="6"/>
        <v>0</v>
      </c>
      <c r="X2637" s="168">
        <f t="shared" si="7"/>
        <v>0</v>
      </c>
      <c r="Y2637" s="168">
        <f t="shared" si="8"/>
        <v>0</v>
      </c>
      <c r="Z2637" s="168">
        <f t="shared" si="9"/>
        <v>0</v>
      </c>
    </row>
    <row r="2638" ht="15.0" customHeight="1">
      <c r="A2638" s="157" t="s">
        <v>3004</v>
      </c>
      <c r="B2638" s="158" t="s">
        <v>36</v>
      </c>
      <c r="C2638" s="158" t="s">
        <v>2988</v>
      </c>
      <c r="D2638" s="159">
        <v>44383.0</v>
      </c>
      <c r="E2638" s="157" t="s">
        <v>731</v>
      </c>
      <c r="F2638" s="160">
        <v>56106.42</v>
      </c>
      <c r="G2638" s="160">
        <v>8977.03</v>
      </c>
      <c r="H2638" s="160">
        <f t="shared" si="61"/>
        <v>65083.45</v>
      </c>
      <c r="I2638" s="160"/>
      <c r="J2638" s="161"/>
      <c r="K2638" s="160"/>
      <c r="L2638" s="160">
        <f>+'FACP$'!$H2638-'FACP$'!$I2638-'FACP$'!$K2638</f>
        <v>65083.45</v>
      </c>
      <c r="M2638" s="162" t="s">
        <v>278</v>
      </c>
      <c r="N2638" s="162" t="s">
        <v>554</v>
      </c>
      <c r="O2638" s="164">
        <v>44440.0</v>
      </c>
      <c r="P2638" s="164">
        <f t="shared" si="13"/>
        <v>44393</v>
      </c>
      <c r="Q2638" s="165">
        <f t="shared" si="2"/>
        <v>0</v>
      </c>
      <c r="R2638" s="167"/>
      <c r="S2638" s="167"/>
      <c r="T2638" s="168">
        <f t="shared" si="3"/>
        <v>65083.45</v>
      </c>
      <c r="U2638" s="168">
        <f t="shared" si="4"/>
        <v>0</v>
      </c>
      <c r="V2638" s="168">
        <f t="shared" si="5"/>
        <v>0</v>
      </c>
      <c r="W2638" s="168">
        <f t="shared" si="6"/>
        <v>0</v>
      </c>
      <c r="X2638" s="168">
        <f t="shared" si="7"/>
        <v>0</v>
      </c>
      <c r="Y2638" s="168">
        <f t="shared" si="8"/>
        <v>0</v>
      </c>
      <c r="Z2638" s="168">
        <f t="shared" si="9"/>
        <v>0</v>
      </c>
    </row>
    <row r="2639" ht="15.0" customHeight="1">
      <c r="A2639" s="157" t="s">
        <v>3005</v>
      </c>
      <c r="B2639" s="158" t="s">
        <v>18</v>
      </c>
      <c r="C2639" s="158" t="s">
        <v>2924</v>
      </c>
      <c r="D2639" s="159">
        <v>44396.0</v>
      </c>
      <c r="E2639" s="157" t="s">
        <v>731</v>
      </c>
      <c r="F2639" s="160">
        <v>135028.58</v>
      </c>
      <c r="G2639" s="160">
        <v>21604.57</v>
      </c>
      <c r="H2639" s="160">
        <f t="shared" si="61"/>
        <v>156633.15</v>
      </c>
      <c r="I2639" s="160"/>
      <c r="J2639" s="161"/>
      <c r="K2639" s="160"/>
      <c r="L2639" s="160">
        <f>+'FACP$'!$H2639-'FACP$'!$I2639-'FACP$'!$K2639</f>
        <v>156633.15</v>
      </c>
      <c r="M2639" s="162" t="s">
        <v>586</v>
      </c>
      <c r="N2639" s="162" t="s">
        <v>554</v>
      </c>
      <c r="O2639" s="164">
        <v>44405.0</v>
      </c>
      <c r="P2639" s="164">
        <f t="shared" si="13"/>
        <v>44406</v>
      </c>
      <c r="Q2639" s="165">
        <f t="shared" si="2"/>
        <v>0</v>
      </c>
      <c r="R2639" s="167" t="s">
        <v>3006</v>
      </c>
      <c r="S2639" s="167"/>
      <c r="T2639" s="168">
        <f t="shared" si="3"/>
        <v>156633.15</v>
      </c>
      <c r="U2639" s="168">
        <f t="shared" si="4"/>
        <v>0</v>
      </c>
      <c r="V2639" s="168">
        <f t="shared" si="5"/>
        <v>0</v>
      </c>
      <c r="W2639" s="168">
        <f t="shared" si="6"/>
        <v>0</v>
      </c>
      <c r="X2639" s="168">
        <f t="shared" si="7"/>
        <v>0</v>
      </c>
      <c r="Y2639" s="168">
        <f t="shared" si="8"/>
        <v>0</v>
      </c>
      <c r="Z2639" s="168">
        <f t="shared" si="9"/>
        <v>0</v>
      </c>
    </row>
    <row r="2640" ht="15.0" customHeight="1">
      <c r="A2640" s="157" t="s">
        <v>3007</v>
      </c>
      <c r="B2640" s="158" t="s">
        <v>16</v>
      </c>
      <c r="C2640" s="158" t="s">
        <v>3008</v>
      </c>
      <c r="D2640" s="159">
        <v>44399.0</v>
      </c>
      <c r="E2640" s="157" t="s">
        <v>731</v>
      </c>
      <c r="F2640" s="160">
        <v>336197.03</v>
      </c>
      <c r="G2640" s="160">
        <v>53791.53</v>
      </c>
      <c r="H2640" s="160">
        <f t="shared" si="61"/>
        <v>389988.56</v>
      </c>
      <c r="I2640" s="160"/>
      <c r="J2640" s="161"/>
      <c r="K2640" s="160"/>
      <c r="L2640" s="160">
        <f>+'FACP$'!$H2640-'FACP$'!$I2640-'FACP$'!$K2640</f>
        <v>389988.56</v>
      </c>
      <c r="M2640" s="162" t="s">
        <v>985</v>
      </c>
      <c r="N2640" s="162" t="s">
        <v>554</v>
      </c>
      <c r="O2640" s="164">
        <v>44417.0</v>
      </c>
      <c r="P2640" s="164">
        <f t="shared" si="13"/>
        <v>44409</v>
      </c>
      <c r="Q2640" s="165">
        <f t="shared" si="2"/>
        <v>0</v>
      </c>
      <c r="R2640" s="167"/>
      <c r="S2640" s="167"/>
      <c r="T2640" s="168">
        <f t="shared" si="3"/>
        <v>389988.56</v>
      </c>
      <c r="U2640" s="168">
        <f t="shared" si="4"/>
        <v>0</v>
      </c>
      <c r="V2640" s="168">
        <f t="shared" si="5"/>
        <v>0</v>
      </c>
      <c r="W2640" s="168">
        <f t="shared" si="6"/>
        <v>0</v>
      </c>
      <c r="X2640" s="168">
        <f t="shared" si="7"/>
        <v>0</v>
      </c>
      <c r="Y2640" s="168">
        <f t="shared" si="8"/>
        <v>0</v>
      </c>
      <c r="Z2640" s="168">
        <f t="shared" si="9"/>
        <v>0</v>
      </c>
    </row>
    <row r="2641" ht="15.0" customHeight="1">
      <c r="A2641" s="157" t="s">
        <v>3009</v>
      </c>
      <c r="B2641" s="158" t="s">
        <v>16</v>
      </c>
      <c r="C2641" s="158" t="s">
        <v>3010</v>
      </c>
      <c r="D2641" s="159">
        <v>44399.0</v>
      </c>
      <c r="E2641" s="157" t="s">
        <v>731</v>
      </c>
      <c r="F2641" s="160">
        <v>354218.01</v>
      </c>
      <c r="G2641" s="160">
        <v>56674.88</v>
      </c>
      <c r="H2641" s="160">
        <f t="shared" si="61"/>
        <v>410892.89</v>
      </c>
      <c r="I2641" s="160"/>
      <c r="J2641" s="161"/>
      <c r="K2641" s="160"/>
      <c r="L2641" s="160">
        <f>+'FACP$'!$H2641-'FACP$'!$I2641-'FACP$'!$K2641</f>
        <v>410892.89</v>
      </c>
      <c r="M2641" s="162" t="s">
        <v>985</v>
      </c>
      <c r="N2641" s="162" t="s">
        <v>554</v>
      </c>
      <c r="O2641" s="164">
        <v>44417.0</v>
      </c>
      <c r="P2641" s="164">
        <f t="shared" si="13"/>
        <v>44409</v>
      </c>
      <c r="Q2641" s="165">
        <f t="shared" si="2"/>
        <v>0</v>
      </c>
      <c r="R2641" s="167"/>
      <c r="S2641" s="167"/>
      <c r="T2641" s="168">
        <f t="shared" si="3"/>
        <v>410892.89</v>
      </c>
      <c r="U2641" s="168">
        <f t="shared" si="4"/>
        <v>0</v>
      </c>
      <c r="V2641" s="168">
        <f t="shared" si="5"/>
        <v>0</v>
      </c>
      <c r="W2641" s="168">
        <f t="shared" si="6"/>
        <v>0</v>
      </c>
      <c r="X2641" s="168">
        <f t="shared" si="7"/>
        <v>0</v>
      </c>
      <c r="Y2641" s="168">
        <f t="shared" si="8"/>
        <v>0</v>
      </c>
      <c r="Z2641" s="168">
        <f t="shared" si="9"/>
        <v>0</v>
      </c>
    </row>
    <row r="2642" ht="15.0" customHeight="1">
      <c r="A2642" s="157" t="s">
        <v>3011</v>
      </c>
      <c r="B2642" s="158" t="s">
        <v>18</v>
      </c>
      <c r="C2642" s="158" t="s">
        <v>3008</v>
      </c>
      <c r="D2642" s="159">
        <v>44399.0</v>
      </c>
      <c r="E2642" s="157" t="s">
        <v>731</v>
      </c>
      <c r="F2642" s="160">
        <v>154151.92</v>
      </c>
      <c r="G2642" s="160">
        <v>24664.31</v>
      </c>
      <c r="H2642" s="160">
        <f t="shared" si="61"/>
        <v>178816.23</v>
      </c>
      <c r="I2642" s="160"/>
      <c r="J2642" s="161"/>
      <c r="K2642" s="160"/>
      <c r="L2642" s="160">
        <f>+'FACP$'!$H2642-'FACP$'!$I2642-'FACP$'!$K2642</f>
        <v>178816.23</v>
      </c>
      <c r="M2642" s="162" t="s">
        <v>586</v>
      </c>
      <c r="N2642" s="162" t="s">
        <v>554</v>
      </c>
      <c r="O2642" s="164">
        <v>44405.0</v>
      </c>
      <c r="P2642" s="164">
        <f t="shared" si="13"/>
        <v>44409</v>
      </c>
      <c r="Q2642" s="165">
        <f t="shared" si="2"/>
        <v>0</v>
      </c>
      <c r="R2642" s="167"/>
      <c r="S2642" s="167"/>
      <c r="T2642" s="168">
        <f t="shared" si="3"/>
        <v>178816.23</v>
      </c>
      <c r="U2642" s="168">
        <f t="shared" si="4"/>
        <v>0</v>
      </c>
      <c r="V2642" s="168">
        <f t="shared" si="5"/>
        <v>0</v>
      </c>
      <c r="W2642" s="168">
        <f t="shared" si="6"/>
        <v>0</v>
      </c>
      <c r="X2642" s="168">
        <f t="shared" si="7"/>
        <v>0</v>
      </c>
      <c r="Y2642" s="168">
        <f t="shared" si="8"/>
        <v>0</v>
      </c>
      <c r="Z2642" s="168">
        <f t="shared" si="9"/>
        <v>0</v>
      </c>
    </row>
    <row r="2643" ht="15.0" customHeight="1">
      <c r="A2643" s="157" t="s">
        <v>3012</v>
      </c>
      <c r="B2643" s="158" t="s">
        <v>19</v>
      </c>
      <c r="C2643" s="158" t="s">
        <v>3008</v>
      </c>
      <c r="D2643" s="159">
        <v>44399.0</v>
      </c>
      <c r="E2643" s="157" t="s">
        <v>731</v>
      </c>
      <c r="F2643" s="160">
        <v>196109.9</v>
      </c>
      <c r="G2643" s="160">
        <v>31377.58</v>
      </c>
      <c r="H2643" s="160">
        <f t="shared" si="61"/>
        <v>227487.48</v>
      </c>
      <c r="I2643" s="160"/>
      <c r="J2643" s="161"/>
      <c r="K2643" s="160"/>
      <c r="L2643" s="160">
        <f>+'FACP$'!$H2643-'FACP$'!$I2643-'FACP$'!$K2643</f>
        <v>227487.48</v>
      </c>
      <c r="M2643" s="162" t="s">
        <v>732</v>
      </c>
      <c r="N2643" s="162" t="s">
        <v>554</v>
      </c>
      <c r="O2643" s="164">
        <v>44405.0</v>
      </c>
      <c r="P2643" s="164">
        <f t="shared" si="13"/>
        <v>44409</v>
      </c>
      <c r="Q2643" s="165">
        <f t="shared" si="2"/>
        <v>0</v>
      </c>
      <c r="R2643" s="167"/>
      <c r="S2643" s="167"/>
      <c r="T2643" s="168">
        <f t="shared" si="3"/>
        <v>227487.48</v>
      </c>
      <c r="U2643" s="168">
        <f t="shared" si="4"/>
        <v>0</v>
      </c>
      <c r="V2643" s="168">
        <f t="shared" si="5"/>
        <v>0</v>
      </c>
      <c r="W2643" s="168">
        <f t="shared" si="6"/>
        <v>0</v>
      </c>
      <c r="X2643" s="168">
        <f t="shared" si="7"/>
        <v>0</v>
      </c>
      <c r="Y2643" s="168">
        <f t="shared" si="8"/>
        <v>0</v>
      </c>
      <c r="Z2643" s="168">
        <f t="shared" si="9"/>
        <v>0</v>
      </c>
    </row>
    <row r="2644" ht="15.0" customHeight="1">
      <c r="A2644" s="157" t="s">
        <v>3013</v>
      </c>
      <c r="B2644" s="158" t="s">
        <v>26</v>
      </c>
      <c r="C2644" s="158" t="s">
        <v>3008</v>
      </c>
      <c r="D2644" s="159">
        <v>44399.0</v>
      </c>
      <c r="E2644" s="157" t="s">
        <v>731</v>
      </c>
      <c r="F2644" s="160">
        <v>89589.2</v>
      </c>
      <c r="G2644" s="160">
        <v>14334.27</v>
      </c>
      <c r="H2644" s="160">
        <f t="shared" si="61"/>
        <v>103923.47</v>
      </c>
      <c r="I2644" s="248"/>
      <c r="J2644" s="249"/>
      <c r="K2644" s="248"/>
      <c r="L2644" s="248">
        <f>+'FACP$'!$H2644-'FACP$'!$I2644-'FACP$'!$K2644</f>
        <v>103923.47</v>
      </c>
      <c r="M2644" s="162" t="s">
        <v>2386</v>
      </c>
      <c r="N2644" s="162" t="s">
        <v>554</v>
      </c>
      <c r="O2644" s="164">
        <v>44449.0</v>
      </c>
      <c r="P2644" s="164">
        <f t="shared" si="13"/>
        <v>44409</v>
      </c>
      <c r="Q2644" s="165">
        <f t="shared" si="2"/>
        <v>0</v>
      </c>
      <c r="R2644" s="167"/>
      <c r="S2644" s="167"/>
      <c r="T2644" s="168">
        <f t="shared" si="3"/>
        <v>103923.47</v>
      </c>
      <c r="U2644" s="168">
        <f t="shared" si="4"/>
        <v>0</v>
      </c>
      <c r="V2644" s="168">
        <f t="shared" si="5"/>
        <v>0</v>
      </c>
      <c r="W2644" s="168">
        <f t="shared" si="6"/>
        <v>0</v>
      </c>
      <c r="X2644" s="168">
        <f t="shared" si="7"/>
        <v>0</v>
      </c>
      <c r="Y2644" s="168">
        <f t="shared" si="8"/>
        <v>0</v>
      </c>
      <c r="Z2644" s="168">
        <f t="shared" si="9"/>
        <v>0</v>
      </c>
    </row>
    <row r="2645" ht="15.0" customHeight="1">
      <c r="A2645" s="157" t="s">
        <v>3014</v>
      </c>
      <c r="B2645" s="158" t="s">
        <v>29</v>
      </c>
      <c r="C2645" s="158" t="s">
        <v>3008</v>
      </c>
      <c r="D2645" s="159">
        <v>44399.0</v>
      </c>
      <c r="E2645" s="157" t="s">
        <v>731</v>
      </c>
      <c r="F2645" s="160">
        <v>311538.29</v>
      </c>
      <c r="G2645" s="160">
        <v>49846.13</v>
      </c>
      <c r="H2645" s="160">
        <f t="shared" si="61"/>
        <v>361384.42</v>
      </c>
      <c r="I2645" s="160"/>
      <c r="J2645" s="161"/>
      <c r="K2645" s="160"/>
      <c r="L2645" s="160">
        <f>+'FACP$'!$H2645-'FACP$'!$I2645-'FACP$'!$K2645</f>
        <v>361384.42</v>
      </c>
      <c r="M2645" s="162" t="s">
        <v>130</v>
      </c>
      <c r="N2645" s="162" t="s">
        <v>554</v>
      </c>
      <c r="O2645" s="164">
        <v>44448.0</v>
      </c>
      <c r="P2645" s="164">
        <f t="shared" si="13"/>
        <v>44409</v>
      </c>
      <c r="Q2645" s="165">
        <f t="shared" si="2"/>
        <v>0</v>
      </c>
      <c r="R2645" s="167"/>
      <c r="S2645" s="167"/>
      <c r="T2645" s="168">
        <f t="shared" si="3"/>
        <v>361384.42</v>
      </c>
      <c r="U2645" s="168">
        <f t="shared" si="4"/>
        <v>0</v>
      </c>
      <c r="V2645" s="168">
        <f t="shared" si="5"/>
        <v>0</v>
      </c>
      <c r="W2645" s="168">
        <f t="shared" si="6"/>
        <v>0</v>
      </c>
      <c r="X2645" s="168">
        <f t="shared" si="7"/>
        <v>0</v>
      </c>
      <c r="Y2645" s="168">
        <f t="shared" si="8"/>
        <v>0</v>
      </c>
      <c r="Z2645" s="168">
        <f t="shared" si="9"/>
        <v>0</v>
      </c>
    </row>
    <row r="2646" ht="15.0" customHeight="1">
      <c r="A2646" s="157" t="s">
        <v>3015</v>
      </c>
      <c r="B2646" s="158" t="s">
        <v>29</v>
      </c>
      <c r="C2646" s="158" t="s">
        <v>3010</v>
      </c>
      <c r="D2646" s="159">
        <v>44399.0</v>
      </c>
      <c r="E2646" s="157" t="s">
        <v>731</v>
      </c>
      <c r="F2646" s="160">
        <v>323153.82</v>
      </c>
      <c r="G2646" s="160">
        <v>51704.61</v>
      </c>
      <c r="H2646" s="160">
        <f t="shared" si="61"/>
        <v>374858.43</v>
      </c>
      <c r="I2646" s="160"/>
      <c r="J2646" s="161"/>
      <c r="K2646" s="160"/>
      <c r="L2646" s="160">
        <f>+'FACP$'!$H2646-'FACP$'!$I2646-'FACP$'!$K2646</f>
        <v>374858.43</v>
      </c>
      <c r="M2646" s="162" t="s">
        <v>130</v>
      </c>
      <c r="N2646" s="162" t="s">
        <v>554</v>
      </c>
      <c r="O2646" s="164">
        <v>44420.0</v>
      </c>
      <c r="P2646" s="164">
        <f t="shared" si="13"/>
        <v>44409</v>
      </c>
      <c r="Q2646" s="165">
        <f t="shared" si="2"/>
        <v>0</v>
      </c>
      <c r="R2646" s="167"/>
      <c r="S2646" s="167"/>
      <c r="T2646" s="168">
        <f t="shared" si="3"/>
        <v>374858.43</v>
      </c>
      <c r="U2646" s="168">
        <f t="shared" si="4"/>
        <v>0</v>
      </c>
      <c r="V2646" s="168">
        <f t="shared" si="5"/>
        <v>0</v>
      </c>
      <c r="W2646" s="168">
        <f t="shared" si="6"/>
        <v>0</v>
      </c>
      <c r="X2646" s="168">
        <f t="shared" si="7"/>
        <v>0</v>
      </c>
      <c r="Y2646" s="168">
        <f t="shared" si="8"/>
        <v>0</v>
      </c>
      <c r="Z2646" s="168">
        <f t="shared" si="9"/>
        <v>0</v>
      </c>
    </row>
    <row r="2647" ht="15.0" customHeight="1">
      <c r="A2647" s="157" t="s">
        <v>3016</v>
      </c>
      <c r="B2647" s="158" t="s">
        <v>41</v>
      </c>
      <c r="C2647" s="158" t="s">
        <v>3008</v>
      </c>
      <c r="D2647" s="159">
        <v>44399.0</v>
      </c>
      <c r="E2647" s="157" t="s">
        <v>731</v>
      </c>
      <c r="F2647" s="160">
        <v>284713.93</v>
      </c>
      <c r="G2647" s="160">
        <v>45554.23</v>
      </c>
      <c r="H2647" s="160">
        <f t="shared" si="61"/>
        <v>330268.16</v>
      </c>
      <c r="I2647" s="160"/>
      <c r="J2647" s="161"/>
      <c r="K2647" s="160"/>
      <c r="L2647" s="160">
        <f>+'FACP$'!$H2647-'FACP$'!$I2647-'FACP$'!$K2647</f>
        <v>330268.16</v>
      </c>
      <c r="M2647" s="162" t="s">
        <v>121</v>
      </c>
      <c r="N2647" s="162" t="s">
        <v>554</v>
      </c>
      <c r="O2647" s="164">
        <v>44517.0</v>
      </c>
      <c r="P2647" s="164">
        <f t="shared" si="13"/>
        <v>44409</v>
      </c>
      <c r="Q2647" s="165">
        <f t="shared" si="2"/>
        <v>0</v>
      </c>
      <c r="R2647" s="167"/>
      <c r="S2647" s="167"/>
      <c r="T2647" s="168">
        <f t="shared" si="3"/>
        <v>330268.16</v>
      </c>
      <c r="U2647" s="168">
        <f t="shared" si="4"/>
        <v>0</v>
      </c>
      <c r="V2647" s="168">
        <f t="shared" si="5"/>
        <v>0</v>
      </c>
      <c r="W2647" s="168">
        <f t="shared" si="6"/>
        <v>0</v>
      </c>
      <c r="X2647" s="168">
        <f t="shared" si="7"/>
        <v>0</v>
      </c>
      <c r="Y2647" s="168">
        <f t="shared" si="8"/>
        <v>0</v>
      </c>
      <c r="Z2647" s="168">
        <f t="shared" si="9"/>
        <v>0</v>
      </c>
    </row>
    <row r="2648" ht="15.0" customHeight="1">
      <c r="A2648" s="157" t="s">
        <v>3017</v>
      </c>
      <c r="B2648" s="158" t="s">
        <v>37</v>
      </c>
      <c r="C2648" s="158" t="s">
        <v>3008</v>
      </c>
      <c r="D2648" s="159">
        <v>44399.0</v>
      </c>
      <c r="E2648" s="157" t="s">
        <v>731</v>
      </c>
      <c r="F2648" s="160">
        <v>2056675.01</v>
      </c>
      <c r="G2648" s="160">
        <v>329068.0</v>
      </c>
      <c r="H2648" s="160">
        <f t="shared" si="61"/>
        <v>2385743.01</v>
      </c>
      <c r="I2648" s="160"/>
      <c r="J2648" s="161"/>
      <c r="K2648" s="160"/>
      <c r="L2648" s="160">
        <f>+'FACP$'!$H2648-'FACP$'!$I2648-'FACP$'!$K2648</f>
        <v>2385743.01</v>
      </c>
      <c r="M2648" s="162" t="s">
        <v>116</v>
      </c>
      <c r="N2648" s="162" t="s">
        <v>554</v>
      </c>
      <c r="O2648" s="164">
        <v>44417.0</v>
      </c>
      <c r="P2648" s="164">
        <f t="shared" si="13"/>
        <v>44409</v>
      </c>
      <c r="Q2648" s="165">
        <f t="shared" si="2"/>
        <v>0</v>
      </c>
      <c r="R2648" s="167"/>
      <c r="S2648" s="167"/>
      <c r="T2648" s="168">
        <f t="shared" si="3"/>
        <v>2385743.01</v>
      </c>
      <c r="U2648" s="168">
        <f t="shared" si="4"/>
        <v>0</v>
      </c>
      <c r="V2648" s="168">
        <f t="shared" si="5"/>
        <v>0</v>
      </c>
      <c r="W2648" s="168">
        <f t="shared" si="6"/>
        <v>0</v>
      </c>
      <c r="X2648" s="168">
        <f t="shared" si="7"/>
        <v>0</v>
      </c>
      <c r="Y2648" s="168">
        <f t="shared" si="8"/>
        <v>0</v>
      </c>
      <c r="Z2648" s="168">
        <f t="shared" si="9"/>
        <v>0</v>
      </c>
    </row>
    <row r="2649" ht="15.0" customHeight="1">
      <c r="A2649" s="157" t="s">
        <v>3018</v>
      </c>
      <c r="B2649" s="158" t="s">
        <v>36</v>
      </c>
      <c r="C2649" s="158" t="s">
        <v>3008</v>
      </c>
      <c r="D2649" s="159">
        <v>44399.0</v>
      </c>
      <c r="E2649" s="157" t="s">
        <v>731</v>
      </c>
      <c r="F2649" s="160">
        <v>51308.2</v>
      </c>
      <c r="G2649" s="160">
        <v>8209.31</v>
      </c>
      <c r="H2649" s="160">
        <f t="shared" si="61"/>
        <v>59517.51</v>
      </c>
      <c r="I2649" s="160"/>
      <c r="J2649" s="161"/>
      <c r="K2649" s="160"/>
      <c r="L2649" s="160">
        <f>+'FACP$'!$H2649-'FACP$'!$I2649-'FACP$'!$K2649</f>
        <v>59517.51</v>
      </c>
      <c r="M2649" s="162" t="s">
        <v>278</v>
      </c>
      <c r="N2649" s="162" t="s">
        <v>554</v>
      </c>
      <c r="O2649" s="164">
        <v>44449.0</v>
      </c>
      <c r="P2649" s="164">
        <f t="shared" si="13"/>
        <v>44409</v>
      </c>
      <c r="Q2649" s="165">
        <f t="shared" si="2"/>
        <v>0</v>
      </c>
      <c r="R2649" s="167"/>
      <c r="S2649" s="167"/>
      <c r="T2649" s="168">
        <f t="shared" si="3"/>
        <v>59517.51</v>
      </c>
      <c r="U2649" s="168">
        <f t="shared" si="4"/>
        <v>0</v>
      </c>
      <c r="V2649" s="168">
        <f t="shared" si="5"/>
        <v>0</v>
      </c>
      <c r="W2649" s="168">
        <f t="shared" si="6"/>
        <v>0</v>
      </c>
      <c r="X2649" s="168">
        <f t="shared" si="7"/>
        <v>0</v>
      </c>
      <c r="Y2649" s="168">
        <f t="shared" si="8"/>
        <v>0</v>
      </c>
      <c r="Z2649" s="168">
        <f t="shared" si="9"/>
        <v>0</v>
      </c>
    </row>
    <row r="2650" ht="15.0" customHeight="1">
      <c r="A2650" s="157" t="s">
        <v>3019</v>
      </c>
      <c r="B2650" s="158" t="s">
        <v>38</v>
      </c>
      <c r="C2650" s="158" t="s">
        <v>3008</v>
      </c>
      <c r="D2650" s="159">
        <v>44399.0</v>
      </c>
      <c r="E2650" s="157" t="s">
        <v>731</v>
      </c>
      <c r="F2650" s="160">
        <v>617988.75</v>
      </c>
      <c r="G2650" s="160">
        <v>98878.2</v>
      </c>
      <c r="H2650" s="160">
        <f t="shared" si="61"/>
        <v>716866.95</v>
      </c>
      <c r="I2650" s="160"/>
      <c r="J2650" s="161"/>
      <c r="K2650" s="160"/>
      <c r="L2650" s="160">
        <f>+'FACP$'!$H2650-'FACP$'!$I2650-'FACP$'!$K2650</f>
        <v>716866.95</v>
      </c>
      <c r="M2650" s="162" t="s">
        <v>145</v>
      </c>
      <c r="N2650" s="162" t="s">
        <v>554</v>
      </c>
      <c r="O2650" s="164">
        <v>44435.0</v>
      </c>
      <c r="P2650" s="164">
        <f t="shared" si="13"/>
        <v>44409</v>
      </c>
      <c r="Q2650" s="165">
        <f t="shared" si="2"/>
        <v>0</v>
      </c>
      <c r="R2650" s="167" t="s">
        <v>3020</v>
      </c>
      <c r="S2650" s="167"/>
      <c r="T2650" s="168">
        <f t="shared" si="3"/>
        <v>716866.95</v>
      </c>
      <c r="U2650" s="168">
        <f t="shared" si="4"/>
        <v>0</v>
      </c>
      <c r="V2650" s="168">
        <f t="shared" si="5"/>
        <v>0</v>
      </c>
      <c r="W2650" s="168">
        <f t="shared" si="6"/>
        <v>0</v>
      </c>
      <c r="X2650" s="168">
        <f t="shared" si="7"/>
        <v>0</v>
      </c>
      <c r="Y2650" s="168">
        <f t="shared" si="8"/>
        <v>0</v>
      </c>
      <c r="Z2650" s="168">
        <f t="shared" si="9"/>
        <v>0</v>
      </c>
    </row>
    <row r="2651" ht="15.0" customHeight="1">
      <c r="A2651" s="157" t="s">
        <v>3021</v>
      </c>
      <c r="B2651" s="158" t="s">
        <v>127</v>
      </c>
      <c r="C2651" s="158"/>
      <c r="D2651" s="159"/>
      <c r="E2651" s="157"/>
      <c r="F2651" s="160"/>
      <c r="G2651" s="160"/>
      <c r="H2651" s="160">
        <f t="shared" si="61"/>
        <v>0</v>
      </c>
      <c r="I2651" s="160"/>
      <c r="J2651" s="161"/>
      <c r="K2651" s="160"/>
      <c r="L2651" s="160">
        <f>+'FACP$'!$H2651-'FACP$'!$I2651-'FACP$'!$K2651</f>
        <v>0</v>
      </c>
      <c r="M2651" s="162" t="s">
        <v>127</v>
      </c>
      <c r="N2651" s="162" t="s">
        <v>127</v>
      </c>
      <c r="O2651" s="164"/>
      <c r="P2651" s="164">
        <f t="shared" si="13"/>
        <v>10</v>
      </c>
      <c r="Q2651" s="165">
        <f t="shared" si="2"/>
        <v>0</v>
      </c>
      <c r="R2651" s="167"/>
      <c r="S2651" s="167"/>
      <c r="T2651" s="168">
        <f t="shared" si="3"/>
        <v>0</v>
      </c>
      <c r="U2651" s="168">
        <f t="shared" si="4"/>
        <v>0</v>
      </c>
      <c r="V2651" s="168">
        <f t="shared" si="5"/>
        <v>0</v>
      </c>
      <c r="W2651" s="168">
        <f t="shared" si="6"/>
        <v>0</v>
      </c>
      <c r="X2651" s="168">
        <f t="shared" si="7"/>
        <v>0</v>
      </c>
      <c r="Y2651" s="168">
        <f t="shared" si="8"/>
        <v>0</v>
      </c>
      <c r="Z2651" s="168">
        <f t="shared" si="9"/>
        <v>0</v>
      </c>
    </row>
    <row r="2652" ht="15.0" customHeight="1">
      <c r="A2652" s="157" t="s">
        <v>3022</v>
      </c>
      <c r="B2652" s="158" t="s">
        <v>27</v>
      </c>
      <c r="C2652" s="158" t="s">
        <v>3023</v>
      </c>
      <c r="D2652" s="159">
        <v>44399.0</v>
      </c>
      <c r="E2652" s="157" t="s">
        <v>731</v>
      </c>
      <c r="F2652" s="160">
        <v>550678.62</v>
      </c>
      <c r="G2652" s="160">
        <v>88108.58</v>
      </c>
      <c r="H2652" s="160">
        <f t="shared" si="61"/>
        <v>638787.2</v>
      </c>
      <c r="I2652" s="160"/>
      <c r="J2652" s="161"/>
      <c r="K2652" s="160"/>
      <c r="L2652" s="160">
        <f>+'FACP$'!$H2652-'FACP$'!$I2652-'FACP$'!$K2652</f>
        <v>638787.2</v>
      </c>
      <c r="M2652" s="162" t="s">
        <v>151</v>
      </c>
      <c r="N2652" s="162" t="s">
        <v>554</v>
      </c>
      <c r="O2652" s="164">
        <v>44431.0</v>
      </c>
      <c r="P2652" s="164">
        <f t="shared" si="13"/>
        <v>44409</v>
      </c>
      <c r="Q2652" s="165">
        <f t="shared" si="2"/>
        <v>0</v>
      </c>
      <c r="R2652" s="167"/>
      <c r="S2652" s="167"/>
      <c r="T2652" s="168">
        <f t="shared" si="3"/>
        <v>638787.2</v>
      </c>
      <c r="U2652" s="168">
        <f t="shared" si="4"/>
        <v>0</v>
      </c>
      <c r="V2652" s="168">
        <f t="shared" si="5"/>
        <v>0</v>
      </c>
      <c r="W2652" s="168">
        <f t="shared" si="6"/>
        <v>0</v>
      </c>
      <c r="X2652" s="168">
        <f t="shared" si="7"/>
        <v>0</v>
      </c>
      <c r="Y2652" s="168">
        <f t="shared" si="8"/>
        <v>0</v>
      </c>
      <c r="Z2652" s="168">
        <f t="shared" si="9"/>
        <v>0</v>
      </c>
    </row>
    <row r="2653" ht="15.0" customHeight="1">
      <c r="A2653" s="157" t="s">
        <v>3024</v>
      </c>
      <c r="B2653" s="158" t="s">
        <v>27</v>
      </c>
      <c r="C2653" s="158" t="s">
        <v>3025</v>
      </c>
      <c r="D2653" s="159">
        <v>44399.0</v>
      </c>
      <c r="E2653" s="157" t="s">
        <v>731</v>
      </c>
      <c r="F2653" s="160">
        <v>36872.64</v>
      </c>
      <c r="G2653" s="160">
        <v>5899.62</v>
      </c>
      <c r="H2653" s="160">
        <f t="shared" si="61"/>
        <v>42772.26</v>
      </c>
      <c r="I2653" s="160"/>
      <c r="J2653" s="161"/>
      <c r="K2653" s="160"/>
      <c r="L2653" s="160">
        <f>+'FACP$'!$H2653-'FACP$'!$I2653-'FACP$'!$K2653</f>
        <v>42772.26</v>
      </c>
      <c r="M2653" s="162" t="s">
        <v>151</v>
      </c>
      <c r="N2653" s="162" t="s">
        <v>554</v>
      </c>
      <c r="O2653" s="164">
        <v>44419.0</v>
      </c>
      <c r="P2653" s="164">
        <f t="shared" si="13"/>
        <v>44409</v>
      </c>
      <c r="Q2653" s="165">
        <f t="shared" si="2"/>
        <v>0</v>
      </c>
      <c r="R2653" s="167"/>
      <c r="S2653" s="167"/>
      <c r="T2653" s="168">
        <f t="shared" si="3"/>
        <v>42772.26</v>
      </c>
      <c r="U2653" s="168">
        <f t="shared" si="4"/>
        <v>0</v>
      </c>
      <c r="V2653" s="168">
        <f t="shared" si="5"/>
        <v>0</v>
      </c>
      <c r="W2653" s="168">
        <f t="shared" si="6"/>
        <v>0</v>
      </c>
      <c r="X2653" s="168">
        <f t="shared" si="7"/>
        <v>0</v>
      </c>
      <c r="Y2653" s="168">
        <f t="shared" si="8"/>
        <v>0</v>
      </c>
      <c r="Z2653" s="168">
        <f t="shared" si="9"/>
        <v>0</v>
      </c>
    </row>
    <row r="2654" ht="15.0" customHeight="1">
      <c r="A2654" s="157" t="s">
        <v>3026</v>
      </c>
      <c r="B2654" s="158" t="s">
        <v>27</v>
      </c>
      <c r="C2654" s="158" t="s">
        <v>3027</v>
      </c>
      <c r="D2654" s="159">
        <v>44399.0</v>
      </c>
      <c r="E2654" s="157" t="s">
        <v>731</v>
      </c>
      <c r="F2654" s="160">
        <v>26999.05</v>
      </c>
      <c r="G2654" s="160">
        <v>4319.85</v>
      </c>
      <c r="H2654" s="160">
        <f t="shared" si="61"/>
        <v>31318.9</v>
      </c>
      <c r="I2654" s="160"/>
      <c r="J2654" s="161"/>
      <c r="K2654" s="160"/>
      <c r="L2654" s="160">
        <f>+'FACP$'!$H2654-'FACP$'!$I2654-'FACP$'!$K2654</f>
        <v>31318.9</v>
      </c>
      <c r="M2654" s="162" t="s">
        <v>151</v>
      </c>
      <c r="N2654" s="162" t="s">
        <v>554</v>
      </c>
      <c r="O2654" s="164">
        <v>44419.0</v>
      </c>
      <c r="P2654" s="164">
        <f t="shared" si="13"/>
        <v>44409</v>
      </c>
      <c r="Q2654" s="165">
        <f t="shared" si="2"/>
        <v>0</v>
      </c>
      <c r="R2654" s="167"/>
      <c r="S2654" s="167"/>
      <c r="T2654" s="168">
        <f t="shared" si="3"/>
        <v>31318.9</v>
      </c>
      <c r="U2654" s="168">
        <f t="shared" si="4"/>
        <v>0</v>
      </c>
      <c r="V2654" s="168">
        <f t="shared" si="5"/>
        <v>0</v>
      </c>
      <c r="W2654" s="168">
        <f t="shared" si="6"/>
        <v>0</v>
      </c>
      <c r="X2654" s="168">
        <f t="shared" si="7"/>
        <v>0</v>
      </c>
      <c r="Y2654" s="168">
        <f t="shared" si="8"/>
        <v>0</v>
      </c>
      <c r="Z2654" s="168">
        <f t="shared" si="9"/>
        <v>0</v>
      </c>
    </row>
    <row r="2655" ht="15.0" customHeight="1">
      <c r="A2655" s="157" t="s">
        <v>3028</v>
      </c>
      <c r="B2655" s="158" t="s">
        <v>27</v>
      </c>
      <c r="C2655" s="158" t="s">
        <v>3029</v>
      </c>
      <c r="D2655" s="159">
        <v>44399.0</v>
      </c>
      <c r="E2655" s="157" t="s">
        <v>731</v>
      </c>
      <c r="F2655" s="160">
        <v>238873.05</v>
      </c>
      <c r="G2655" s="160">
        <v>38219.69</v>
      </c>
      <c r="H2655" s="160">
        <f t="shared" si="61"/>
        <v>277092.74</v>
      </c>
      <c r="I2655" s="160"/>
      <c r="J2655" s="161"/>
      <c r="K2655" s="160"/>
      <c r="L2655" s="160">
        <f>+'FACP$'!$H2655-'FACP$'!$I2655-'FACP$'!$K2655</f>
        <v>277092.74</v>
      </c>
      <c r="M2655" s="162" t="s">
        <v>158</v>
      </c>
      <c r="N2655" s="162" t="s">
        <v>554</v>
      </c>
      <c r="O2655" s="164">
        <v>44434.0</v>
      </c>
      <c r="P2655" s="164">
        <f t="shared" si="13"/>
        <v>44409</v>
      </c>
      <c r="Q2655" s="165">
        <f t="shared" si="2"/>
        <v>0</v>
      </c>
      <c r="R2655" s="167"/>
      <c r="S2655" s="167"/>
      <c r="T2655" s="168">
        <f t="shared" si="3"/>
        <v>277092.74</v>
      </c>
      <c r="U2655" s="168">
        <f t="shared" si="4"/>
        <v>0</v>
      </c>
      <c r="V2655" s="168">
        <f t="shared" si="5"/>
        <v>0</v>
      </c>
      <c r="W2655" s="168">
        <f t="shared" si="6"/>
        <v>0</v>
      </c>
      <c r="X2655" s="168">
        <f t="shared" si="7"/>
        <v>0</v>
      </c>
      <c r="Y2655" s="168">
        <f t="shared" si="8"/>
        <v>0</v>
      </c>
      <c r="Z2655" s="168">
        <f t="shared" si="9"/>
        <v>0</v>
      </c>
    </row>
    <row r="2656" ht="15.0" customHeight="1">
      <c r="A2656" s="157" t="s">
        <v>3030</v>
      </c>
      <c r="B2656" s="158" t="s">
        <v>27</v>
      </c>
      <c r="C2656" s="158" t="s">
        <v>3023</v>
      </c>
      <c r="D2656" s="159">
        <v>44399.0</v>
      </c>
      <c r="E2656" s="157" t="s">
        <v>731</v>
      </c>
      <c r="F2656" s="160">
        <v>141609.05</v>
      </c>
      <c r="G2656" s="160">
        <v>22657.45</v>
      </c>
      <c r="H2656" s="160">
        <f t="shared" si="61"/>
        <v>164266.5</v>
      </c>
      <c r="I2656" s="160"/>
      <c r="J2656" s="161"/>
      <c r="K2656" s="160"/>
      <c r="L2656" s="160">
        <f>+'FACP$'!$H2656-'FACP$'!$I2656-'FACP$'!$K2656</f>
        <v>164266.5</v>
      </c>
      <c r="M2656" s="162" t="s">
        <v>158</v>
      </c>
      <c r="N2656" s="162" t="s">
        <v>554</v>
      </c>
      <c r="O2656" s="164">
        <v>44434.0</v>
      </c>
      <c r="P2656" s="164">
        <f t="shared" si="13"/>
        <v>44409</v>
      </c>
      <c r="Q2656" s="165">
        <f t="shared" si="2"/>
        <v>0</v>
      </c>
      <c r="R2656" s="167"/>
      <c r="S2656" s="167"/>
      <c r="T2656" s="168">
        <f t="shared" si="3"/>
        <v>164266.5</v>
      </c>
      <c r="U2656" s="168">
        <f t="shared" si="4"/>
        <v>0</v>
      </c>
      <c r="V2656" s="168">
        <f t="shared" si="5"/>
        <v>0</v>
      </c>
      <c r="W2656" s="168">
        <f t="shared" si="6"/>
        <v>0</v>
      </c>
      <c r="X2656" s="168">
        <f t="shared" si="7"/>
        <v>0</v>
      </c>
      <c r="Y2656" s="168">
        <f t="shared" si="8"/>
        <v>0</v>
      </c>
      <c r="Z2656" s="168">
        <f t="shared" si="9"/>
        <v>0</v>
      </c>
    </row>
    <row r="2657" ht="15.0" customHeight="1">
      <c r="A2657" s="157" t="s">
        <v>3031</v>
      </c>
      <c r="B2657" s="158" t="s">
        <v>27</v>
      </c>
      <c r="C2657" s="158" t="s">
        <v>3029</v>
      </c>
      <c r="D2657" s="159">
        <v>44399.0</v>
      </c>
      <c r="E2657" s="157" t="s">
        <v>731</v>
      </c>
      <c r="F2657" s="160">
        <v>752084.22</v>
      </c>
      <c r="G2657" s="160">
        <v>120333.48</v>
      </c>
      <c r="H2657" s="160">
        <f t="shared" si="61"/>
        <v>872417.7</v>
      </c>
      <c r="I2657" s="160"/>
      <c r="J2657" s="161"/>
      <c r="K2657" s="160"/>
      <c r="L2657" s="160">
        <f>+'FACP$'!$H2657-'FACP$'!$I2657-'FACP$'!$K2657</f>
        <v>872417.7</v>
      </c>
      <c r="M2657" s="162" t="s">
        <v>151</v>
      </c>
      <c r="N2657" s="162" t="s">
        <v>554</v>
      </c>
      <c r="O2657" s="164">
        <v>44431.0</v>
      </c>
      <c r="P2657" s="164">
        <f t="shared" si="13"/>
        <v>44409</v>
      </c>
      <c r="Q2657" s="165">
        <f t="shared" si="2"/>
        <v>0</v>
      </c>
      <c r="R2657" s="167"/>
      <c r="S2657" s="167"/>
      <c r="T2657" s="168">
        <f t="shared" si="3"/>
        <v>872417.7</v>
      </c>
      <c r="U2657" s="168">
        <f t="shared" si="4"/>
        <v>0</v>
      </c>
      <c r="V2657" s="168">
        <f t="shared" si="5"/>
        <v>0</v>
      </c>
      <c r="W2657" s="168">
        <f t="shared" si="6"/>
        <v>0</v>
      </c>
      <c r="X2657" s="168">
        <f t="shared" si="7"/>
        <v>0</v>
      </c>
      <c r="Y2657" s="168">
        <f t="shared" si="8"/>
        <v>0</v>
      </c>
      <c r="Z2657" s="168">
        <f t="shared" si="9"/>
        <v>0</v>
      </c>
    </row>
    <row r="2658" ht="15.0" customHeight="1">
      <c r="A2658" s="157" t="s">
        <v>3032</v>
      </c>
      <c r="B2658" s="158" t="s">
        <v>27</v>
      </c>
      <c r="C2658" s="158" t="s">
        <v>3033</v>
      </c>
      <c r="D2658" s="159">
        <v>44407.0</v>
      </c>
      <c r="E2658" s="157" t="s">
        <v>731</v>
      </c>
      <c r="F2658" s="160">
        <v>286529.57</v>
      </c>
      <c r="G2658" s="160">
        <v>45844.73</v>
      </c>
      <c r="H2658" s="160">
        <f t="shared" si="61"/>
        <v>332374.3</v>
      </c>
      <c r="I2658" s="160"/>
      <c r="J2658" s="161"/>
      <c r="K2658" s="160"/>
      <c r="L2658" s="160">
        <f>+'FACP$'!$H2658-'FACP$'!$I2658-'FACP$'!$K2658</f>
        <v>332374.3</v>
      </c>
      <c r="M2658" s="162" t="s">
        <v>158</v>
      </c>
      <c r="N2658" s="162" t="s">
        <v>554</v>
      </c>
      <c r="O2658" s="164">
        <v>44449.0</v>
      </c>
      <c r="P2658" s="164">
        <f t="shared" si="13"/>
        <v>44417</v>
      </c>
      <c r="Q2658" s="165">
        <f t="shared" si="2"/>
        <v>0</v>
      </c>
      <c r="R2658" s="167"/>
      <c r="S2658" s="167"/>
      <c r="T2658" s="168">
        <f t="shared" si="3"/>
        <v>332374.3</v>
      </c>
      <c r="U2658" s="168">
        <f t="shared" si="4"/>
        <v>0</v>
      </c>
      <c r="V2658" s="168">
        <f t="shared" si="5"/>
        <v>0</v>
      </c>
      <c r="W2658" s="168">
        <f t="shared" si="6"/>
        <v>0</v>
      </c>
      <c r="X2658" s="168">
        <f t="shared" si="7"/>
        <v>0</v>
      </c>
      <c r="Y2658" s="168">
        <f t="shared" si="8"/>
        <v>0</v>
      </c>
      <c r="Z2658" s="168">
        <f t="shared" si="9"/>
        <v>0</v>
      </c>
    </row>
    <row r="2659" ht="15.0" customHeight="1">
      <c r="A2659" s="157" t="s">
        <v>3034</v>
      </c>
      <c r="B2659" s="158" t="s">
        <v>27</v>
      </c>
      <c r="C2659" s="158" t="s">
        <v>3035</v>
      </c>
      <c r="D2659" s="159">
        <v>44407.0</v>
      </c>
      <c r="E2659" s="157" t="s">
        <v>731</v>
      </c>
      <c r="F2659" s="160">
        <v>159842.02</v>
      </c>
      <c r="G2659" s="160">
        <v>25574.72</v>
      </c>
      <c r="H2659" s="160">
        <f t="shared" si="61"/>
        <v>185416.74</v>
      </c>
      <c r="I2659" s="160"/>
      <c r="J2659" s="161"/>
      <c r="K2659" s="160"/>
      <c r="L2659" s="160">
        <f>+'FACP$'!$H2659-'FACP$'!$I2659-'FACP$'!$K2659</f>
        <v>185416.74</v>
      </c>
      <c r="M2659" s="162" t="s">
        <v>158</v>
      </c>
      <c r="N2659" s="162" t="s">
        <v>554</v>
      </c>
      <c r="O2659" s="164">
        <v>44449.0</v>
      </c>
      <c r="P2659" s="164">
        <f t="shared" si="13"/>
        <v>44417</v>
      </c>
      <c r="Q2659" s="165">
        <f t="shared" si="2"/>
        <v>0</v>
      </c>
      <c r="R2659" s="167"/>
      <c r="S2659" s="167"/>
      <c r="T2659" s="168">
        <f t="shared" si="3"/>
        <v>185416.74</v>
      </c>
      <c r="U2659" s="168">
        <f t="shared" si="4"/>
        <v>0</v>
      </c>
      <c r="V2659" s="168">
        <f t="shared" si="5"/>
        <v>0</v>
      </c>
      <c r="W2659" s="168">
        <f t="shared" si="6"/>
        <v>0</v>
      </c>
      <c r="X2659" s="168">
        <f t="shared" si="7"/>
        <v>0</v>
      </c>
      <c r="Y2659" s="168">
        <f t="shared" si="8"/>
        <v>0</v>
      </c>
      <c r="Z2659" s="168">
        <f t="shared" si="9"/>
        <v>0</v>
      </c>
    </row>
    <row r="2660" ht="15.0" customHeight="1">
      <c r="A2660" s="157" t="s">
        <v>3036</v>
      </c>
      <c r="B2660" s="158" t="s">
        <v>27</v>
      </c>
      <c r="C2660" s="158" t="s">
        <v>3033</v>
      </c>
      <c r="D2660" s="159">
        <v>44407.0</v>
      </c>
      <c r="E2660" s="157" t="s">
        <v>731</v>
      </c>
      <c r="F2660" s="160">
        <v>623583.64</v>
      </c>
      <c r="G2660" s="160">
        <v>99773.38</v>
      </c>
      <c r="H2660" s="160">
        <f t="shared" si="61"/>
        <v>723357.02</v>
      </c>
      <c r="I2660" s="160"/>
      <c r="J2660" s="161"/>
      <c r="K2660" s="160"/>
      <c r="L2660" s="160">
        <f>+'FACP$'!$H2660-'FACP$'!$I2660-'FACP$'!$K2660</f>
        <v>723357.02</v>
      </c>
      <c r="M2660" s="162" t="s">
        <v>151</v>
      </c>
      <c r="N2660" s="162" t="s">
        <v>554</v>
      </c>
      <c r="O2660" s="164">
        <v>44441.0</v>
      </c>
      <c r="P2660" s="164">
        <f t="shared" si="13"/>
        <v>44417</v>
      </c>
      <c r="Q2660" s="165">
        <f t="shared" si="2"/>
        <v>0</v>
      </c>
      <c r="R2660" s="220" t="s">
        <v>2735</v>
      </c>
      <c r="S2660" s="167"/>
      <c r="T2660" s="168">
        <f t="shared" si="3"/>
        <v>723357.02</v>
      </c>
      <c r="U2660" s="168">
        <f t="shared" si="4"/>
        <v>0</v>
      </c>
      <c r="V2660" s="168">
        <f t="shared" si="5"/>
        <v>0</v>
      </c>
      <c r="W2660" s="168">
        <f t="shared" si="6"/>
        <v>0</v>
      </c>
      <c r="X2660" s="168">
        <f t="shared" si="7"/>
        <v>0</v>
      </c>
      <c r="Y2660" s="168">
        <f t="shared" si="8"/>
        <v>0</v>
      </c>
      <c r="Z2660" s="168">
        <f t="shared" si="9"/>
        <v>0</v>
      </c>
    </row>
    <row r="2661" ht="15.0" customHeight="1">
      <c r="A2661" s="157" t="s">
        <v>3037</v>
      </c>
      <c r="B2661" s="158" t="s">
        <v>27</v>
      </c>
      <c r="C2661" s="158" t="s">
        <v>3035</v>
      </c>
      <c r="D2661" s="159">
        <v>44407.0</v>
      </c>
      <c r="E2661" s="157" t="s">
        <v>731</v>
      </c>
      <c r="F2661" s="160">
        <v>378664.92</v>
      </c>
      <c r="G2661" s="160">
        <v>60586.39</v>
      </c>
      <c r="H2661" s="160">
        <f t="shared" si="61"/>
        <v>439251.31</v>
      </c>
      <c r="I2661" s="160"/>
      <c r="J2661" s="161"/>
      <c r="K2661" s="160"/>
      <c r="L2661" s="160">
        <f>+'FACP$'!$H2661-'FACP$'!$I2661-'FACP$'!$K2661</f>
        <v>439251.31</v>
      </c>
      <c r="M2661" s="162" t="s">
        <v>151</v>
      </c>
      <c r="N2661" s="162" t="s">
        <v>554</v>
      </c>
      <c r="O2661" s="164">
        <v>44441.0</v>
      </c>
      <c r="P2661" s="164">
        <f t="shared" si="13"/>
        <v>44417</v>
      </c>
      <c r="Q2661" s="165">
        <f t="shared" si="2"/>
        <v>0</v>
      </c>
      <c r="R2661" s="220" t="s">
        <v>2735</v>
      </c>
      <c r="S2661" s="167"/>
      <c r="T2661" s="168">
        <f t="shared" si="3"/>
        <v>439251.31</v>
      </c>
      <c r="U2661" s="168">
        <f t="shared" si="4"/>
        <v>0</v>
      </c>
      <c r="V2661" s="168">
        <f t="shared" si="5"/>
        <v>0</v>
      </c>
      <c r="W2661" s="168">
        <f t="shared" si="6"/>
        <v>0</v>
      </c>
      <c r="X2661" s="168">
        <f t="shared" si="7"/>
        <v>0</v>
      </c>
      <c r="Y2661" s="168">
        <f t="shared" si="8"/>
        <v>0</v>
      </c>
      <c r="Z2661" s="168">
        <f t="shared" si="9"/>
        <v>0</v>
      </c>
    </row>
    <row r="2662" ht="15.0" customHeight="1">
      <c r="A2662" s="157" t="s">
        <v>3038</v>
      </c>
      <c r="B2662" s="158" t="s">
        <v>27</v>
      </c>
      <c r="C2662" s="158" t="s">
        <v>3039</v>
      </c>
      <c r="D2662" s="159">
        <v>44407.0</v>
      </c>
      <c r="E2662" s="157" t="s">
        <v>731</v>
      </c>
      <c r="F2662" s="160">
        <v>33640.9</v>
      </c>
      <c r="G2662" s="160">
        <v>5382.54</v>
      </c>
      <c r="H2662" s="160">
        <f t="shared" si="61"/>
        <v>39023.44</v>
      </c>
      <c r="I2662" s="160"/>
      <c r="J2662" s="161"/>
      <c r="K2662" s="160"/>
      <c r="L2662" s="160">
        <f>+'FACP$'!$H2662-'FACP$'!$I2662-'FACP$'!$K2662</f>
        <v>39023.44</v>
      </c>
      <c r="M2662" s="162" t="s">
        <v>151</v>
      </c>
      <c r="N2662" s="162" t="s">
        <v>554</v>
      </c>
      <c r="O2662" s="164">
        <v>44441.0</v>
      </c>
      <c r="P2662" s="164">
        <f t="shared" si="13"/>
        <v>44417</v>
      </c>
      <c r="Q2662" s="165">
        <f t="shared" si="2"/>
        <v>0</v>
      </c>
      <c r="R2662" s="220" t="s">
        <v>2735</v>
      </c>
      <c r="S2662" s="167"/>
      <c r="T2662" s="168">
        <f t="shared" si="3"/>
        <v>39023.44</v>
      </c>
      <c r="U2662" s="168">
        <f t="shared" si="4"/>
        <v>0</v>
      </c>
      <c r="V2662" s="168">
        <f t="shared" si="5"/>
        <v>0</v>
      </c>
      <c r="W2662" s="168">
        <f t="shared" si="6"/>
        <v>0</v>
      </c>
      <c r="X2662" s="168">
        <f t="shared" si="7"/>
        <v>0</v>
      </c>
      <c r="Y2662" s="168">
        <f t="shared" si="8"/>
        <v>0</v>
      </c>
      <c r="Z2662" s="168">
        <f t="shared" si="9"/>
        <v>0</v>
      </c>
    </row>
    <row r="2663" ht="15.0" customHeight="1">
      <c r="A2663" s="157" t="s">
        <v>3040</v>
      </c>
      <c r="B2663" s="158" t="s">
        <v>27</v>
      </c>
      <c r="C2663" s="158" t="s">
        <v>3041</v>
      </c>
      <c r="D2663" s="159">
        <v>44407.0</v>
      </c>
      <c r="E2663" s="157" t="s">
        <v>731</v>
      </c>
      <c r="F2663" s="160">
        <v>20428.1</v>
      </c>
      <c r="G2663" s="160">
        <v>3268.5</v>
      </c>
      <c r="H2663" s="160">
        <f t="shared" si="61"/>
        <v>23696.6</v>
      </c>
      <c r="I2663" s="160"/>
      <c r="J2663" s="161"/>
      <c r="K2663" s="160"/>
      <c r="L2663" s="160">
        <f>+'FACP$'!$H2663-'FACP$'!$I2663-'FACP$'!$K2663</f>
        <v>23696.6</v>
      </c>
      <c r="M2663" s="162" t="s">
        <v>151</v>
      </c>
      <c r="N2663" s="162" t="s">
        <v>554</v>
      </c>
      <c r="O2663" s="164">
        <v>40788.0</v>
      </c>
      <c r="P2663" s="164">
        <f t="shared" si="13"/>
        <v>44417</v>
      </c>
      <c r="Q2663" s="165">
        <f t="shared" si="2"/>
        <v>0</v>
      </c>
      <c r="R2663" s="220" t="s">
        <v>2735</v>
      </c>
      <c r="S2663" s="167"/>
      <c r="T2663" s="168">
        <f t="shared" si="3"/>
        <v>23696.6</v>
      </c>
      <c r="U2663" s="168">
        <f t="shared" si="4"/>
        <v>0</v>
      </c>
      <c r="V2663" s="168">
        <f t="shared" si="5"/>
        <v>0</v>
      </c>
      <c r="W2663" s="168">
        <f t="shared" si="6"/>
        <v>0</v>
      </c>
      <c r="X2663" s="168">
        <f t="shared" si="7"/>
        <v>0</v>
      </c>
      <c r="Y2663" s="168">
        <f t="shared" si="8"/>
        <v>0</v>
      </c>
      <c r="Z2663" s="168">
        <f t="shared" si="9"/>
        <v>0</v>
      </c>
    </row>
    <row r="2664" ht="15.0" customHeight="1">
      <c r="A2664" s="157" t="s">
        <v>3042</v>
      </c>
      <c r="B2664" s="158" t="s">
        <v>16</v>
      </c>
      <c r="C2664" s="158" t="s">
        <v>3043</v>
      </c>
      <c r="D2664" s="159">
        <v>44414.0</v>
      </c>
      <c r="E2664" s="157" t="s">
        <v>731</v>
      </c>
      <c r="F2664" s="160">
        <v>403291.14</v>
      </c>
      <c r="G2664" s="160">
        <v>64526.58</v>
      </c>
      <c r="H2664" s="160">
        <f t="shared" si="61"/>
        <v>467817.72</v>
      </c>
      <c r="I2664" s="160"/>
      <c r="J2664" s="161"/>
      <c r="K2664" s="160"/>
      <c r="L2664" s="160">
        <f>+'FACP$'!$H2664-'FACP$'!$I2664-'FACP$'!$K2664</f>
        <v>467817.72</v>
      </c>
      <c r="M2664" s="162" t="s">
        <v>985</v>
      </c>
      <c r="N2664" s="162" t="s">
        <v>554</v>
      </c>
      <c r="O2664" s="164">
        <v>44419.0</v>
      </c>
      <c r="P2664" s="164">
        <f t="shared" si="13"/>
        <v>44424</v>
      </c>
      <c r="Q2664" s="165">
        <f t="shared" si="2"/>
        <v>0</v>
      </c>
      <c r="R2664" s="167"/>
      <c r="S2664" s="167"/>
      <c r="T2664" s="168">
        <f t="shared" si="3"/>
        <v>467817.72</v>
      </c>
      <c r="U2664" s="168">
        <f t="shared" si="4"/>
        <v>0</v>
      </c>
      <c r="V2664" s="168">
        <f t="shared" si="5"/>
        <v>0</v>
      </c>
      <c r="W2664" s="168">
        <f t="shared" si="6"/>
        <v>0</v>
      </c>
      <c r="X2664" s="168">
        <f t="shared" si="7"/>
        <v>0</v>
      </c>
      <c r="Y2664" s="168">
        <f t="shared" si="8"/>
        <v>0</v>
      </c>
      <c r="Z2664" s="168">
        <f t="shared" si="9"/>
        <v>0</v>
      </c>
    </row>
    <row r="2665" ht="15.0" customHeight="1">
      <c r="A2665" s="157" t="s">
        <v>3044</v>
      </c>
      <c r="B2665" s="158" t="s">
        <v>16</v>
      </c>
      <c r="C2665" s="158" t="s">
        <v>3045</v>
      </c>
      <c r="D2665" s="159">
        <v>44414.0</v>
      </c>
      <c r="E2665" s="157" t="s">
        <v>731</v>
      </c>
      <c r="F2665" s="160">
        <v>399348.97</v>
      </c>
      <c r="G2665" s="160">
        <v>63895.84</v>
      </c>
      <c r="H2665" s="160">
        <f t="shared" si="61"/>
        <v>463244.81</v>
      </c>
      <c r="I2665" s="160"/>
      <c r="J2665" s="161"/>
      <c r="K2665" s="160"/>
      <c r="L2665" s="160">
        <f>+'FACP$'!$H2665-'FACP$'!$I2665-'FACP$'!$K2665</f>
        <v>463244.81</v>
      </c>
      <c r="M2665" s="162" t="s">
        <v>985</v>
      </c>
      <c r="N2665" s="162" t="s">
        <v>554</v>
      </c>
      <c r="O2665" s="164">
        <v>44419.0</v>
      </c>
      <c r="P2665" s="164">
        <f t="shared" si="13"/>
        <v>44424</v>
      </c>
      <c r="Q2665" s="165">
        <f t="shared" si="2"/>
        <v>0</v>
      </c>
      <c r="R2665" s="167"/>
      <c r="S2665" s="167"/>
      <c r="T2665" s="168">
        <f t="shared" si="3"/>
        <v>463244.81</v>
      </c>
      <c r="U2665" s="168">
        <f t="shared" si="4"/>
        <v>0</v>
      </c>
      <c r="V2665" s="168">
        <f t="shared" si="5"/>
        <v>0</v>
      </c>
      <c r="W2665" s="168">
        <f t="shared" si="6"/>
        <v>0</v>
      </c>
      <c r="X2665" s="168">
        <f t="shared" si="7"/>
        <v>0</v>
      </c>
      <c r="Y2665" s="168">
        <f t="shared" si="8"/>
        <v>0</v>
      </c>
      <c r="Z2665" s="168">
        <f t="shared" si="9"/>
        <v>0</v>
      </c>
    </row>
    <row r="2666" ht="15.0" customHeight="1">
      <c r="A2666" s="157" t="s">
        <v>3046</v>
      </c>
      <c r="B2666" s="158" t="s">
        <v>18</v>
      </c>
      <c r="C2666" s="158" t="s">
        <v>3043</v>
      </c>
      <c r="D2666" s="159">
        <v>44414.0</v>
      </c>
      <c r="E2666" s="157" t="s">
        <v>731</v>
      </c>
      <c r="F2666" s="160">
        <v>181750.57</v>
      </c>
      <c r="G2666" s="160">
        <v>29080.09</v>
      </c>
      <c r="H2666" s="160">
        <f t="shared" si="61"/>
        <v>210830.66</v>
      </c>
      <c r="I2666" s="160"/>
      <c r="J2666" s="161"/>
      <c r="K2666" s="160"/>
      <c r="L2666" s="160">
        <f>+'FACP$'!$H2666-'FACP$'!$I2666-'FACP$'!$K2666</f>
        <v>210830.66</v>
      </c>
      <c r="M2666" s="162" t="s">
        <v>586</v>
      </c>
      <c r="N2666" s="162" t="s">
        <v>554</v>
      </c>
      <c r="O2666" s="164">
        <v>44431.0</v>
      </c>
      <c r="P2666" s="164">
        <f t="shared" si="13"/>
        <v>44424</v>
      </c>
      <c r="Q2666" s="165">
        <f t="shared" si="2"/>
        <v>0</v>
      </c>
      <c r="R2666" s="167"/>
      <c r="S2666" s="167"/>
      <c r="T2666" s="168">
        <f t="shared" si="3"/>
        <v>210830.66</v>
      </c>
      <c r="U2666" s="168">
        <f t="shared" si="4"/>
        <v>0</v>
      </c>
      <c r="V2666" s="168">
        <f t="shared" si="5"/>
        <v>0</v>
      </c>
      <c r="W2666" s="168">
        <f t="shared" si="6"/>
        <v>0</v>
      </c>
      <c r="X2666" s="168">
        <f t="shared" si="7"/>
        <v>0</v>
      </c>
      <c r="Y2666" s="168">
        <f t="shared" si="8"/>
        <v>0</v>
      </c>
      <c r="Z2666" s="168">
        <f t="shared" si="9"/>
        <v>0</v>
      </c>
    </row>
    <row r="2667" ht="15.0" customHeight="1">
      <c r="A2667" s="157" t="s">
        <v>3047</v>
      </c>
      <c r="B2667" s="158" t="s">
        <v>19</v>
      </c>
      <c r="C2667" s="158" t="s">
        <v>3043</v>
      </c>
      <c r="D2667" s="159">
        <v>44414.0</v>
      </c>
      <c r="E2667" s="157" t="s">
        <v>731</v>
      </c>
      <c r="F2667" s="160">
        <v>223969.13</v>
      </c>
      <c r="G2667" s="160">
        <v>35835.06</v>
      </c>
      <c r="H2667" s="160">
        <f t="shared" si="61"/>
        <v>259804.19</v>
      </c>
      <c r="I2667" s="160"/>
      <c r="J2667" s="161"/>
      <c r="K2667" s="160"/>
      <c r="L2667" s="160">
        <f>+'FACP$'!$H2667-'FACP$'!$I2667-'FACP$'!$K2667</f>
        <v>259804.19</v>
      </c>
      <c r="M2667" s="162" t="s">
        <v>732</v>
      </c>
      <c r="N2667" s="162" t="s">
        <v>554</v>
      </c>
      <c r="O2667" s="164">
        <v>44424.0</v>
      </c>
      <c r="P2667" s="164">
        <f t="shared" si="13"/>
        <v>44424</v>
      </c>
      <c r="Q2667" s="165">
        <f t="shared" si="2"/>
        <v>0</v>
      </c>
      <c r="R2667" s="167"/>
      <c r="S2667" s="167"/>
      <c r="T2667" s="168">
        <f t="shared" si="3"/>
        <v>259804.19</v>
      </c>
      <c r="U2667" s="168">
        <f t="shared" si="4"/>
        <v>0</v>
      </c>
      <c r="V2667" s="168">
        <f t="shared" si="5"/>
        <v>0</v>
      </c>
      <c r="W2667" s="168">
        <f t="shared" si="6"/>
        <v>0</v>
      </c>
      <c r="X2667" s="168">
        <f t="shared" si="7"/>
        <v>0</v>
      </c>
      <c r="Y2667" s="168">
        <f t="shared" si="8"/>
        <v>0</v>
      </c>
      <c r="Z2667" s="168">
        <f t="shared" si="9"/>
        <v>0</v>
      </c>
    </row>
    <row r="2668" ht="15.0" customHeight="1">
      <c r="A2668" s="157" t="s">
        <v>3048</v>
      </c>
      <c r="B2668" s="158" t="s">
        <v>26</v>
      </c>
      <c r="C2668" s="158" t="s">
        <v>3043</v>
      </c>
      <c r="D2668" s="159">
        <v>44414.0</v>
      </c>
      <c r="E2668" s="157" t="s">
        <v>731</v>
      </c>
      <c r="F2668" s="160">
        <v>88111.1</v>
      </c>
      <c r="G2668" s="160">
        <v>14097.78</v>
      </c>
      <c r="H2668" s="160">
        <f t="shared" si="61"/>
        <v>102208.88</v>
      </c>
      <c r="I2668" s="248"/>
      <c r="J2668" s="249"/>
      <c r="K2668" s="248"/>
      <c r="L2668" s="248">
        <f>+'FACP$'!$H2668-'FACP$'!$I2668-'FACP$'!$K2668</f>
        <v>102208.88</v>
      </c>
      <c r="M2668" s="162" t="s">
        <v>2386</v>
      </c>
      <c r="N2668" s="162" t="s">
        <v>554</v>
      </c>
      <c r="O2668" s="164">
        <v>44449.0</v>
      </c>
      <c r="P2668" s="164">
        <f t="shared" si="13"/>
        <v>44424</v>
      </c>
      <c r="Q2668" s="165">
        <f t="shared" si="2"/>
        <v>0</v>
      </c>
      <c r="R2668" s="167"/>
      <c r="S2668" s="167"/>
      <c r="T2668" s="168">
        <f t="shared" si="3"/>
        <v>102208.88</v>
      </c>
      <c r="U2668" s="168">
        <f t="shared" si="4"/>
        <v>0</v>
      </c>
      <c r="V2668" s="168">
        <f t="shared" si="5"/>
        <v>0</v>
      </c>
      <c r="W2668" s="168">
        <f t="shared" si="6"/>
        <v>0</v>
      </c>
      <c r="X2668" s="168">
        <f t="shared" si="7"/>
        <v>0</v>
      </c>
      <c r="Y2668" s="168">
        <f t="shared" si="8"/>
        <v>0</v>
      </c>
      <c r="Z2668" s="168">
        <f t="shared" si="9"/>
        <v>0</v>
      </c>
    </row>
    <row r="2669" ht="15.0" customHeight="1">
      <c r="A2669" s="157" t="s">
        <v>3049</v>
      </c>
      <c r="B2669" s="158" t="s">
        <v>26</v>
      </c>
      <c r="C2669" s="158" t="s">
        <v>3043</v>
      </c>
      <c r="D2669" s="159">
        <v>44414.0</v>
      </c>
      <c r="E2669" s="157" t="s">
        <v>731</v>
      </c>
      <c r="F2669" s="160">
        <v>26224.64</v>
      </c>
      <c r="G2669" s="160">
        <v>4195.94</v>
      </c>
      <c r="H2669" s="160">
        <f t="shared" si="61"/>
        <v>30420.58</v>
      </c>
      <c r="I2669" s="248"/>
      <c r="J2669" s="249"/>
      <c r="K2669" s="248"/>
      <c r="L2669" s="248">
        <f>+'FACP$'!$H2669-'FACP$'!$I2669-'FACP$'!$K2669</f>
        <v>30420.58</v>
      </c>
      <c r="M2669" s="162" t="s">
        <v>188</v>
      </c>
      <c r="N2669" s="162" t="s">
        <v>554</v>
      </c>
      <c r="O2669" s="164">
        <v>44425.0</v>
      </c>
      <c r="P2669" s="164">
        <f t="shared" si="13"/>
        <v>44424</v>
      </c>
      <c r="Q2669" s="165">
        <f t="shared" si="2"/>
        <v>0</v>
      </c>
      <c r="R2669" s="167"/>
      <c r="S2669" s="167"/>
      <c r="T2669" s="168">
        <f t="shared" si="3"/>
        <v>30420.58</v>
      </c>
      <c r="U2669" s="168">
        <f t="shared" si="4"/>
        <v>0</v>
      </c>
      <c r="V2669" s="168">
        <f t="shared" si="5"/>
        <v>0</v>
      </c>
      <c r="W2669" s="168">
        <f t="shared" si="6"/>
        <v>0</v>
      </c>
      <c r="X2669" s="168">
        <f t="shared" si="7"/>
        <v>0</v>
      </c>
      <c r="Y2669" s="168">
        <f t="shared" si="8"/>
        <v>0</v>
      </c>
      <c r="Z2669" s="168">
        <f t="shared" si="9"/>
        <v>0</v>
      </c>
    </row>
    <row r="2670" ht="15.0" customHeight="1">
      <c r="A2670" s="157" t="s">
        <v>3050</v>
      </c>
      <c r="B2670" s="158" t="s">
        <v>29</v>
      </c>
      <c r="C2670" s="158" t="s">
        <v>3043</v>
      </c>
      <c r="D2670" s="159">
        <v>44414.0</v>
      </c>
      <c r="E2670" s="157" t="s">
        <v>731</v>
      </c>
      <c r="F2670" s="160">
        <v>321401.5</v>
      </c>
      <c r="G2670" s="160">
        <v>51424.24</v>
      </c>
      <c r="H2670" s="160">
        <f t="shared" si="61"/>
        <v>372825.74</v>
      </c>
      <c r="I2670" s="160"/>
      <c r="J2670" s="161"/>
      <c r="K2670" s="160"/>
      <c r="L2670" s="160">
        <f>+'FACP$'!$H2670-'FACP$'!$I2670-'FACP$'!$K2670</f>
        <v>372825.74</v>
      </c>
      <c r="M2670" s="162" t="s">
        <v>130</v>
      </c>
      <c r="N2670" s="162" t="s">
        <v>554</v>
      </c>
      <c r="O2670" s="164">
        <v>44448.0</v>
      </c>
      <c r="P2670" s="164">
        <f t="shared" si="13"/>
        <v>44424</v>
      </c>
      <c r="Q2670" s="165">
        <f t="shared" si="2"/>
        <v>0</v>
      </c>
      <c r="R2670" s="167"/>
      <c r="S2670" s="167"/>
      <c r="T2670" s="168">
        <f t="shared" si="3"/>
        <v>372825.74</v>
      </c>
      <c r="U2670" s="168">
        <f t="shared" si="4"/>
        <v>0</v>
      </c>
      <c r="V2670" s="168">
        <f t="shared" si="5"/>
        <v>0</v>
      </c>
      <c r="W2670" s="168">
        <f t="shared" si="6"/>
        <v>0</v>
      </c>
      <c r="X2670" s="168">
        <f t="shared" si="7"/>
        <v>0</v>
      </c>
      <c r="Y2670" s="168">
        <f t="shared" si="8"/>
        <v>0</v>
      </c>
      <c r="Z2670" s="168">
        <f t="shared" si="9"/>
        <v>0</v>
      </c>
    </row>
    <row r="2671" ht="15.0" customHeight="1">
      <c r="A2671" s="157" t="s">
        <v>3051</v>
      </c>
      <c r="B2671" s="158" t="s">
        <v>29</v>
      </c>
      <c r="C2671" s="158" t="s">
        <v>3045</v>
      </c>
      <c r="D2671" s="159">
        <v>44414.0</v>
      </c>
      <c r="E2671" s="157" t="s">
        <v>731</v>
      </c>
      <c r="F2671" s="160">
        <v>323153.82</v>
      </c>
      <c r="G2671" s="160">
        <v>51704.61</v>
      </c>
      <c r="H2671" s="160">
        <f t="shared" si="61"/>
        <v>374858.43</v>
      </c>
      <c r="I2671" s="160"/>
      <c r="J2671" s="161"/>
      <c r="K2671" s="160"/>
      <c r="L2671" s="160">
        <f>+'FACP$'!$H2671-'FACP$'!$I2671-'FACP$'!$K2671</f>
        <v>374858.43</v>
      </c>
      <c r="M2671" s="162" t="s">
        <v>130</v>
      </c>
      <c r="N2671" s="162" t="s">
        <v>554</v>
      </c>
      <c r="O2671" s="164">
        <v>44420.0</v>
      </c>
      <c r="P2671" s="164">
        <f t="shared" si="13"/>
        <v>44424</v>
      </c>
      <c r="Q2671" s="165">
        <f t="shared" si="2"/>
        <v>0</v>
      </c>
      <c r="R2671" s="167"/>
      <c r="S2671" s="167"/>
      <c r="T2671" s="168">
        <f t="shared" si="3"/>
        <v>374858.43</v>
      </c>
      <c r="U2671" s="168">
        <f t="shared" si="4"/>
        <v>0</v>
      </c>
      <c r="V2671" s="168">
        <f t="shared" si="5"/>
        <v>0</v>
      </c>
      <c r="W2671" s="168">
        <f t="shared" si="6"/>
        <v>0</v>
      </c>
      <c r="X2671" s="168">
        <f t="shared" si="7"/>
        <v>0</v>
      </c>
      <c r="Y2671" s="168">
        <f t="shared" si="8"/>
        <v>0</v>
      </c>
      <c r="Z2671" s="168">
        <f t="shared" si="9"/>
        <v>0</v>
      </c>
    </row>
    <row r="2672" ht="15.0" customHeight="1">
      <c r="A2672" s="157" t="s">
        <v>3052</v>
      </c>
      <c r="B2672" s="158" t="s">
        <v>41</v>
      </c>
      <c r="C2672" s="158" t="s">
        <v>3043</v>
      </c>
      <c r="D2672" s="159">
        <v>44414.0</v>
      </c>
      <c r="E2672" s="157" t="s">
        <v>731</v>
      </c>
      <c r="F2672" s="160">
        <v>281334.17</v>
      </c>
      <c r="G2672" s="160">
        <v>45013.47</v>
      </c>
      <c r="H2672" s="160">
        <f t="shared" si="61"/>
        <v>326347.64</v>
      </c>
      <c r="I2672" s="160"/>
      <c r="J2672" s="161"/>
      <c r="K2672" s="160"/>
      <c r="L2672" s="160">
        <f>+'FACP$'!$H2672-'FACP$'!$I2672-'FACP$'!$K2672</f>
        <v>326347.64</v>
      </c>
      <c r="M2672" s="162" t="s">
        <v>121</v>
      </c>
      <c r="N2672" s="162" t="s">
        <v>554</v>
      </c>
      <c r="O2672" s="164">
        <v>44517.0</v>
      </c>
      <c r="P2672" s="164">
        <f t="shared" si="13"/>
        <v>44424</v>
      </c>
      <c r="Q2672" s="165">
        <f t="shared" si="2"/>
        <v>0</v>
      </c>
      <c r="R2672" s="167"/>
      <c r="S2672" s="167"/>
      <c r="T2672" s="168">
        <f t="shared" si="3"/>
        <v>326347.64</v>
      </c>
      <c r="U2672" s="168">
        <f t="shared" si="4"/>
        <v>0</v>
      </c>
      <c r="V2672" s="168">
        <f t="shared" si="5"/>
        <v>0</v>
      </c>
      <c r="W2672" s="168">
        <f t="shared" si="6"/>
        <v>0</v>
      </c>
      <c r="X2672" s="168">
        <f t="shared" si="7"/>
        <v>0</v>
      </c>
      <c r="Y2672" s="168">
        <f t="shared" si="8"/>
        <v>0</v>
      </c>
      <c r="Z2672" s="168">
        <f t="shared" si="9"/>
        <v>0</v>
      </c>
    </row>
    <row r="2673" ht="15.0" customHeight="1">
      <c r="A2673" s="157" t="s">
        <v>3053</v>
      </c>
      <c r="B2673" s="158" t="s">
        <v>37</v>
      </c>
      <c r="C2673" s="158" t="s">
        <v>3043</v>
      </c>
      <c r="D2673" s="159">
        <v>44414.0</v>
      </c>
      <c r="E2673" s="157" t="s">
        <v>731</v>
      </c>
      <c r="F2673" s="160">
        <v>2412641.92</v>
      </c>
      <c r="G2673" s="160">
        <v>386022.71</v>
      </c>
      <c r="H2673" s="160">
        <f t="shared" si="61"/>
        <v>2798664.63</v>
      </c>
      <c r="I2673" s="160"/>
      <c r="J2673" s="161"/>
      <c r="K2673" s="160"/>
      <c r="L2673" s="160">
        <f>+'FACP$'!$H2673-'FACP$'!$I2673-'FACP$'!$K2673</f>
        <v>2798664.63</v>
      </c>
      <c r="M2673" s="162" t="s">
        <v>116</v>
      </c>
      <c r="N2673" s="162" t="s">
        <v>554</v>
      </c>
      <c r="O2673" s="164">
        <v>44438.0</v>
      </c>
      <c r="P2673" s="164">
        <f t="shared" si="13"/>
        <v>44424</v>
      </c>
      <c r="Q2673" s="165">
        <f t="shared" si="2"/>
        <v>0</v>
      </c>
      <c r="R2673" s="167"/>
      <c r="S2673" s="167"/>
      <c r="T2673" s="168">
        <f t="shared" si="3"/>
        <v>2798664.63</v>
      </c>
      <c r="U2673" s="168">
        <f t="shared" si="4"/>
        <v>0</v>
      </c>
      <c r="V2673" s="168">
        <f t="shared" si="5"/>
        <v>0</v>
      </c>
      <c r="W2673" s="168">
        <f t="shared" si="6"/>
        <v>0</v>
      </c>
      <c r="X2673" s="168">
        <f t="shared" si="7"/>
        <v>0</v>
      </c>
      <c r="Y2673" s="168">
        <f t="shared" si="8"/>
        <v>0</v>
      </c>
      <c r="Z2673" s="168">
        <f t="shared" si="9"/>
        <v>0</v>
      </c>
    </row>
    <row r="2674" ht="15.0" customHeight="1">
      <c r="A2674" s="157" t="s">
        <v>3054</v>
      </c>
      <c r="B2674" s="158" t="s">
        <v>36</v>
      </c>
      <c r="C2674" s="158" t="s">
        <v>3043</v>
      </c>
      <c r="D2674" s="159">
        <v>44414.0</v>
      </c>
      <c r="E2674" s="157" t="s">
        <v>731</v>
      </c>
      <c r="F2674" s="160">
        <v>71703.0</v>
      </c>
      <c r="G2674" s="160">
        <v>11472.48</v>
      </c>
      <c r="H2674" s="160">
        <f t="shared" si="61"/>
        <v>83175.48</v>
      </c>
      <c r="I2674" s="160"/>
      <c r="J2674" s="161"/>
      <c r="K2674" s="160"/>
      <c r="L2674" s="160">
        <f>+'FACP$'!$H2674-'FACP$'!$I2674-'FACP$'!$K2674</f>
        <v>83175.48</v>
      </c>
      <c r="M2674" s="162" t="s">
        <v>278</v>
      </c>
      <c r="N2674" s="162" t="s">
        <v>554</v>
      </c>
      <c r="O2674" s="164">
        <v>44508.0</v>
      </c>
      <c r="P2674" s="164">
        <f t="shared" si="13"/>
        <v>44424</v>
      </c>
      <c r="Q2674" s="165">
        <f t="shared" si="2"/>
        <v>0</v>
      </c>
      <c r="R2674" s="167"/>
      <c r="S2674" s="167"/>
      <c r="T2674" s="168">
        <f t="shared" si="3"/>
        <v>83175.48</v>
      </c>
      <c r="U2674" s="168">
        <f t="shared" si="4"/>
        <v>0</v>
      </c>
      <c r="V2674" s="168">
        <f t="shared" si="5"/>
        <v>0</v>
      </c>
      <c r="W2674" s="168">
        <f t="shared" si="6"/>
        <v>0</v>
      </c>
      <c r="X2674" s="168">
        <f t="shared" si="7"/>
        <v>0</v>
      </c>
      <c r="Y2674" s="168">
        <f t="shared" si="8"/>
        <v>0</v>
      </c>
      <c r="Z2674" s="168">
        <f t="shared" si="9"/>
        <v>0</v>
      </c>
    </row>
    <row r="2675" ht="15.0" customHeight="1">
      <c r="A2675" s="157" t="s">
        <v>3055</v>
      </c>
      <c r="B2675" s="158" t="s">
        <v>38</v>
      </c>
      <c r="C2675" s="158" t="s">
        <v>3043</v>
      </c>
      <c r="D2675" s="159">
        <v>44414.0</v>
      </c>
      <c r="E2675" s="157" t="s">
        <v>731</v>
      </c>
      <c r="F2675" s="160">
        <v>792386.4</v>
      </c>
      <c r="G2675" s="160">
        <v>126781.82</v>
      </c>
      <c r="H2675" s="160">
        <f t="shared" si="61"/>
        <v>919168.22</v>
      </c>
      <c r="I2675" s="160"/>
      <c r="J2675" s="161"/>
      <c r="K2675" s="160"/>
      <c r="L2675" s="160">
        <f>+'FACP$'!$H2675-'FACP$'!$I2675-'FACP$'!$K2675</f>
        <v>919168.22</v>
      </c>
      <c r="M2675" s="162" t="s">
        <v>145</v>
      </c>
      <c r="N2675" s="162" t="s">
        <v>554</v>
      </c>
      <c r="O2675" s="164">
        <v>44469.0</v>
      </c>
      <c r="P2675" s="164">
        <f t="shared" si="13"/>
        <v>44424</v>
      </c>
      <c r="Q2675" s="165">
        <f t="shared" si="2"/>
        <v>0</v>
      </c>
      <c r="R2675" s="167"/>
      <c r="S2675" s="167"/>
      <c r="T2675" s="168">
        <f t="shared" si="3"/>
        <v>919168.22</v>
      </c>
      <c r="U2675" s="168">
        <f t="shared" si="4"/>
        <v>0</v>
      </c>
      <c r="V2675" s="168">
        <f t="shared" si="5"/>
        <v>0</v>
      </c>
      <c r="W2675" s="168">
        <f t="shared" si="6"/>
        <v>0</v>
      </c>
      <c r="X2675" s="168">
        <f t="shared" si="7"/>
        <v>0</v>
      </c>
      <c r="Y2675" s="168">
        <f t="shared" si="8"/>
        <v>0</v>
      </c>
      <c r="Z2675" s="168">
        <f t="shared" si="9"/>
        <v>0</v>
      </c>
    </row>
    <row r="2676" ht="15.0" customHeight="1">
      <c r="A2676" s="157" t="s">
        <v>3056</v>
      </c>
      <c r="B2676" s="158" t="s">
        <v>16</v>
      </c>
      <c r="C2676" s="158" t="s">
        <v>3057</v>
      </c>
      <c r="D2676" s="159">
        <v>44427.0</v>
      </c>
      <c r="E2676" s="157" t="s">
        <v>731</v>
      </c>
      <c r="F2676" s="160">
        <v>352718.47</v>
      </c>
      <c r="G2676" s="160">
        <v>56434.96</v>
      </c>
      <c r="H2676" s="160">
        <f t="shared" si="61"/>
        <v>409153.43</v>
      </c>
      <c r="I2676" s="160"/>
      <c r="J2676" s="161"/>
      <c r="K2676" s="160"/>
      <c r="L2676" s="160">
        <f>+'FACP$'!$H2676-'FACP$'!$I2676-'FACP$'!$K2676</f>
        <v>409153.43</v>
      </c>
      <c r="M2676" s="162" t="s">
        <v>985</v>
      </c>
      <c r="N2676" s="162" t="s">
        <v>554</v>
      </c>
      <c r="O2676" s="164">
        <v>44445.0</v>
      </c>
      <c r="P2676" s="164">
        <f t="shared" si="13"/>
        <v>44437</v>
      </c>
      <c r="Q2676" s="165">
        <f t="shared" si="2"/>
        <v>0</v>
      </c>
      <c r="R2676" s="167"/>
      <c r="S2676" s="167"/>
      <c r="T2676" s="168">
        <f t="shared" si="3"/>
        <v>409153.43</v>
      </c>
      <c r="U2676" s="168">
        <f t="shared" si="4"/>
        <v>0</v>
      </c>
      <c r="V2676" s="168">
        <f t="shared" si="5"/>
        <v>0</v>
      </c>
      <c r="W2676" s="168">
        <f t="shared" si="6"/>
        <v>0</v>
      </c>
      <c r="X2676" s="168">
        <f t="shared" si="7"/>
        <v>0</v>
      </c>
      <c r="Y2676" s="168">
        <f t="shared" si="8"/>
        <v>0</v>
      </c>
      <c r="Z2676" s="168">
        <f t="shared" si="9"/>
        <v>0</v>
      </c>
    </row>
    <row r="2677" ht="15.0" customHeight="1">
      <c r="A2677" s="157" t="s">
        <v>3058</v>
      </c>
      <c r="B2677" s="158" t="s">
        <v>16</v>
      </c>
      <c r="C2677" s="158" t="s">
        <v>3059</v>
      </c>
      <c r="D2677" s="159">
        <v>44427.0</v>
      </c>
      <c r="E2677" s="157" t="s">
        <v>731</v>
      </c>
      <c r="F2677" s="160">
        <v>343125.78</v>
      </c>
      <c r="G2677" s="160">
        <v>54900.12</v>
      </c>
      <c r="H2677" s="160">
        <f t="shared" si="61"/>
        <v>398025.9</v>
      </c>
      <c r="I2677" s="160"/>
      <c r="J2677" s="161"/>
      <c r="K2677" s="160"/>
      <c r="L2677" s="160">
        <f>+'FACP$'!$H2677-'FACP$'!$I2677-'FACP$'!$K2677</f>
        <v>398025.9</v>
      </c>
      <c r="M2677" s="162" t="s">
        <v>985</v>
      </c>
      <c r="N2677" s="162" t="s">
        <v>554</v>
      </c>
      <c r="O2677" s="164">
        <v>44445.0</v>
      </c>
      <c r="P2677" s="164">
        <f t="shared" si="13"/>
        <v>44437</v>
      </c>
      <c r="Q2677" s="165">
        <f t="shared" si="2"/>
        <v>0</v>
      </c>
      <c r="R2677" s="167"/>
      <c r="S2677" s="167"/>
      <c r="T2677" s="168">
        <f t="shared" si="3"/>
        <v>398025.9</v>
      </c>
      <c r="U2677" s="168">
        <f t="shared" si="4"/>
        <v>0</v>
      </c>
      <c r="V2677" s="168">
        <f t="shared" si="5"/>
        <v>0</v>
      </c>
      <c r="W2677" s="168">
        <f t="shared" si="6"/>
        <v>0</v>
      </c>
      <c r="X2677" s="168">
        <f t="shared" si="7"/>
        <v>0</v>
      </c>
      <c r="Y2677" s="168">
        <f t="shared" si="8"/>
        <v>0</v>
      </c>
      <c r="Z2677" s="168">
        <f t="shared" si="9"/>
        <v>0</v>
      </c>
    </row>
    <row r="2678" ht="15.0" customHeight="1">
      <c r="A2678" s="157" t="s">
        <v>3060</v>
      </c>
      <c r="B2678" s="158" t="s">
        <v>18</v>
      </c>
      <c r="C2678" s="158" t="s">
        <v>3057</v>
      </c>
      <c r="D2678" s="159">
        <v>44427.0</v>
      </c>
      <c r="E2678" s="157" t="s">
        <v>731</v>
      </c>
      <c r="F2678" s="160">
        <v>161100.41</v>
      </c>
      <c r="G2678" s="160">
        <v>25776.07</v>
      </c>
      <c r="H2678" s="160">
        <f t="shared" si="61"/>
        <v>186876.48</v>
      </c>
      <c r="I2678" s="160"/>
      <c r="J2678" s="161"/>
      <c r="K2678" s="160"/>
      <c r="L2678" s="160">
        <f>+'FACP$'!$H2678-'FACP$'!$I2678-'FACP$'!$K2678</f>
        <v>186876.48</v>
      </c>
      <c r="M2678" s="162" t="s">
        <v>586</v>
      </c>
      <c r="N2678" s="162" t="s">
        <v>554</v>
      </c>
      <c r="O2678" s="164">
        <v>44438.0</v>
      </c>
      <c r="P2678" s="164">
        <f t="shared" si="13"/>
        <v>44437</v>
      </c>
      <c r="Q2678" s="165">
        <f t="shared" si="2"/>
        <v>0</v>
      </c>
      <c r="R2678" s="167"/>
      <c r="S2678" s="167"/>
      <c r="T2678" s="168">
        <f t="shared" si="3"/>
        <v>186876.48</v>
      </c>
      <c r="U2678" s="168">
        <f t="shared" si="4"/>
        <v>0</v>
      </c>
      <c r="V2678" s="168">
        <f t="shared" si="5"/>
        <v>0</v>
      </c>
      <c r="W2678" s="168">
        <f t="shared" si="6"/>
        <v>0</v>
      </c>
      <c r="X2678" s="168">
        <f t="shared" si="7"/>
        <v>0</v>
      </c>
      <c r="Y2678" s="168">
        <f t="shared" si="8"/>
        <v>0</v>
      </c>
      <c r="Z2678" s="168">
        <f t="shared" si="9"/>
        <v>0</v>
      </c>
    </row>
    <row r="2679" ht="15.0" customHeight="1">
      <c r="A2679" s="157" t="s">
        <v>3061</v>
      </c>
      <c r="B2679" s="158" t="s">
        <v>19</v>
      </c>
      <c r="C2679" s="158" t="s">
        <v>3057</v>
      </c>
      <c r="D2679" s="159">
        <v>44427.0</v>
      </c>
      <c r="E2679" s="157" t="s">
        <v>731</v>
      </c>
      <c r="F2679" s="160">
        <v>153471.68</v>
      </c>
      <c r="G2679" s="160">
        <v>24555.47</v>
      </c>
      <c r="H2679" s="160">
        <f t="shared" si="61"/>
        <v>178027.15</v>
      </c>
      <c r="I2679" s="160"/>
      <c r="J2679" s="161"/>
      <c r="K2679" s="160"/>
      <c r="L2679" s="160">
        <f>+'FACP$'!$H2679-'FACP$'!$I2679-'FACP$'!$K2679</f>
        <v>178027.15</v>
      </c>
      <c r="M2679" s="162" t="s">
        <v>732</v>
      </c>
      <c r="N2679" s="162" t="s">
        <v>554</v>
      </c>
      <c r="O2679" s="164">
        <v>44438.0</v>
      </c>
      <c r="P2679" s="164">
        <f t="shared" si="13"/>
        <v>44437</v>
      </c>
      <c r="Q2679" s="165">
        <f t="shared" si="2"/>
        <v>0</v>
      </c>
      <c r="R2679" s="167"/>
      <c r="S2679" s="167"/>
      <c r="T2679" s="168">
        <f t="shared" si="3"/>
        <v>178027.15</v>
      </c>
      <c r="U2679" s="168">
        <f t="shared" si="4"/>
        <v>0</v>
      </c>
      <c r="V2679" s="168">
        <f t="shared" si="5"/>
        <v>0</v>
      </c>
      <c r="W2679" s="168">
        <f t="shared" si="6"/>
        <v>0</v>
      </c>
      <c r="X2679" s="168">
        <f t="shared" si="7"/>
        <v>0</v>
      </c>
      <c r="Y2679" s="168">
        <f t="shared" si="8"/>
        <v>0</v>
      </c>
      <c r="Z2679" s="168">
        <f t="shared" si="9"/>
        <v>0</v>
      </c>
    </row>
    <row r="2680" ht="15.0" customHeight="1">
      <c r="A2680" s="157" t="s">
        <v>3062</v>
      </c>
      <c r="B2680" s="158" t="s">
        <v>26</v>
      </c>
      <c r="C2680" s="158" t="s">
        <v>3057</v>
      </c>
      <c r="D2680" s="159">
        <v>44427.0</v>
      </c>
      <c r="E2680" s="157" t="s">
        <v>731</v>
      </c>
      <c r="F2680" s="160">
        <v>29971.13</v>
      </c>
      <c r="G2680" s="160">
        <v>4795.38</v>
      </c>
      <c r="H2680" s="160">
        <f t="shared" si="61"/>
        <v>34766.51</v>
      </c>
      <c r="I2680" s="248"/>
      <c r="J2680" s="249"/>
      <c r="K2680" s="248"/>
      <c r="L2680" s="248">
        <f>+'FACP$'!$H2680-'FACP$'!$I2680-'FACP$'!$K2680</f>
        <v>34766.51</v>
      </c>
      <c r="M2680" s="162" t="s">
        <v>188</v>
      </c>
      <c r="N2680" s="162" t="s">
        <v>554</v>
      </c>
      <c r="O2680" s="164">
        <v>44466.0</v>
      </c>
      <c r="P2680" s="164">
        <f t="shared" si="13"/>
        <v>44437</v>
      </c>
      <c r="Q2680" s="165">
        <f t="shared" si="2"/>
        <v>0</v>
      </c>
      <c r="R2680" s="167"/>
      <c r="S2680" s="167"/>
      <c r="T2680" s="168">
        <f t="shared" si="3"/>
        <v>34766.51</v>
      </c>
      <c r="U2680" s="168">
        <f t="shared" si="4"/>
        <v>0</v>
      </c>
      <c r="V2680" s="168">
        <f t="shared" si="5"/>
        <v>0</v>
      </c>
      <c r="W2680" s="168">
        <f t="shared" si="6"/>
        <v>0</v>
      </c>
      <c r="X2680" s="168">
        <f t="shared" si="7"/>
        <v>0</v>
      </c>
      <c r="Y2680" s="168">
        <f t="shared" si="8"/>
        <v>0</v>
      </c>
      <c r="Z2680" s="168">
        <f t="shared" si="9"/>
        <v>0</v>
      </c>
    </row>
    <row r="2681" ht="15.0" customHeight="1">
      <c r="A2681" s="157" t="s">
        <v>3063</v>
      </c>
      <c r="B2681" s="158" t="s">
        <v>26</v>
      </c>
      <c r="C2681" s="158" t="s">
        <v>3057</v>
      </c>
      <c r="D2681" s="159">
        <v>44427.0</v>
      </c>
      <c r="E2681" s="157" t="s">
        <v>731</v>
      </c>
      <c r="F2681" s="160">
        <v>77355.78</v>
      </c>
      <c r="G2681" s="160">
        <v>12376.92</v>
      </c>
      <c r="H2681" s="160">
        <f t="shared" si="61"/>
        <v>89732.7</v>
      </c>
      <c r="I2681" s="160"/>
      <c r="J2681" s="161"/>
      <c r="K2681" s="160"/>
      <c r="L2681" s="160">
        <f>+'FACP$'!$H2681-'FACP$'!$I2681-'FACP$'!$K2681</f>
        <v>89732.7</v>
      </c>
      <c r="M2681" s="162" t="s">
        <v>2386</v>
      </c>
      <c r="N2681" s="162" t="s">
        <v>554</v>
      </c>
      <c r="O2681" s="164">
        <v>44512.0</v>
      </c>
      <c r="P2681" s="164">
        <f t="shared" si="13"/>
        <v>44437</v>
      </c>
      <c r="Q2681" s="165">
        <f t="shared" si="2"/>
        <v>0</v>
      </c>
      <c r="R2681" s="167"/>
      <c r="S2681" s="167"/>
      <c r="T2681" s="168">
        <f t="shared" si="3"/>
        <v>89732.7</v>
      </c>
      <c r="U2681" s="168">
        <f t="shared" si="4"/>
        <v>0</v>
      </c>
      <c r="V2681" s="168">
        <f t="shared" si="5"/>
        <v>0</v>
      </c>
      <c r="W2681" s="168">
        <f t="shared" si="6"/>
        <v>0</v>
      </c>
      <c r="X2681" s="168">
        <f t="shared" si="7"/>
        <v>0</v>
      </c>
      <c r="Y2681" s="168">
        <f t="shared" si="8"/>
        <v>0</v>
      </c>
      <c r="Z2681" s="168">
        <f t="shared" si="9"/>
        <v>0</v>
      </c>
    </row>
    <row r="2682" ht="15.0" customHeight="1">
      <c r="A2682" s="157" t="s">
        <v>3064</v>
      </c>
      <c r="B2682" s="158" t="s">
        <v>127</v>
      </c>
      <c r="C2682" s="158"/>
      <c r="D2682" s="159"/>
      <c r="E2682" s="157"/>
      <c r="F2682" s="160"/>
      <c r="G2682" s="160"/>
      <c r="H2682" s="160">
        <f t="shared" si="61"/>
        <v>0</v>
      </c>
      <c r="I2682" s="160"/>
      <c r="J2682" s="161"/>
      <c r="K2682" s="160"/>
      <c r="L2682" s="160">
        <f>+'FACP$'!$H2682-'FACP$'!$I2682-'FACP$'!$K2682</f>
        <v>0</v>
      </c>
      <c r="M2682" s="162" t="s">
        <v>127</v>
      </c>
      <c r="N2682" s="162" t="s">
        <v>127</v>
      </c>
      <c r="O2682" s="164"/>
      <c r="P2682" s="164">
        <f t="shared" si="13"/>
        <v>10</v>
      </c>
      <c r="Q2682" s="165">
        <f t="shared" si="2"/>
        <v>0</v>
      </c>
      <c r="R2682" s="167"/>
      <c r="S2682" s="167"/>
      <c r="T2682" s="168">
        <f t="shared" si="3"/>
        <v>0</v>
      </c>
      <c r="U2682" s="168">
        <f t="shared" si="4"/>
        <v>0</v>
      </c>
      <c r="V2682" s="168">
        <f t="shared" si="5"/>
        <v>0</v>
      </c>
      <c r="W2682" s="168">
        <f t="shared" si="6"/>
        <v>0</v>
      </c>
      <c r="X2682" s="168">
        <f t="shared" si="7"/>
        <v>0</v>
      </c>
      <c r="Y2682" s="168">
        <f t="shared" si="8"/>
        <v>0</v>
      </c>
      <c r="Z2682" s="168">
        <f t="shared" si="9"/>
        <v>0</v>
      </c>
    </row>
    <row r="2683" ht="15.0" customHeight="1">
      <c r="A2683" s="157" t="s">
        <v>3065</v>
      </c>
      <c r="B2683" s="158" t="s">
        <v>29</v>
      </c>
      <c r="C2683" s="158" t="s">
        <v>3057</v>
      </c>
      <c r="D2683" s="159">
        <v>44427.0</v>
      </c>
      <c r="E2683" s="157" t="s">
        <v>731</v>
      </c>
      <c r="F2683" s="160">
        <v>281372.8</v>
      </c>
      <c r="G2683" s="160">
        <v>45019.65</v>
      </c>
      <c r="H2683" s="160">
        <f t="shared" si="61"/>
        <v>326392.45</v>
      </c>
      <c r="I2683" s="160"/>
      <c r="J2683" s="161"/>
      <c r="K2683" s="160"/>
      <c r="L2683" s="160">
        <f>+'FACP$'!$H2683-'FACP$'!$I2683-'FACP$'!$K2683</f>
        <v>326392.45</v>
      </c>
      <c r="M2683" s="162" t="s">
        <v>130</v>
      </c>
      <c r="N2683" s="162" t="s">
        <v>554</v>
      </c>
      <c r="O2683" s="164">
        <v>44448.0</v>
      </c>
      <c r="P2683" s="164">
        <f t="shared" si="13"/>
        <v>44437</v>
      </c>
      <c r="Q2683" s="165">
        <f t="shared" si="2"/>
        <v>0</v>
      </c>
      <c r="R2683" s="167"/>
      <c r="S2683" s="167"/>
      <c r="T2683" s="168">
        <f t="shared" si="3"/>
        <v>326392.45</v>
      </c>
      <c r="U2683" s="168">
        <f t="shared" si="4"/>
        <v>0</v>
      </c>
      <c r="V2683" s="168">
        <f t="shared" si="5"/>
        <v>0</v>
      </c>
      <c r="W2683" s="168">
        <f t="shared" si="6"/>
        <v>0</v>
      </c>
      <c r="X2683" s="168">
        <f t="shared" si="7"/>
        <v>0</v>
      </c>
      <c r="Y2683" s="168">
        <f t="shared" si="8"/>
        <v>0</v>
      </c>
      <c r="Z2683" s="168">
        <f t="shared" si="9"/>
        <v>0</v>
      </c>
    </row>
    <row r="2684" ht="15.0" customHeight="1">
      <c r="A2684" s="157" t="s">
        <v>3066</v>
      </c>
      <c r="B2684" s="158" t="s">
        <v>29</v>
      </c>
      <c r="C2684" s="158" t="s">
        <v>3059</v>
      </c>
      <c r="D2684" s="159">
        <v>44427.0</v>
      </c>
      <c r="E2684" s="157" t="s">
        <v>731</v>
      </c>
      <c r="F2684" s="160">
        <v>260547.73</v>
      </c>
      <c r="G2684" s="160">
        <v>41687.64</v>
      </c>
      <c r="H2684" s="160">
        <f t="shared" si="61"/>
        <v>302235.37</v>
      </c>
      <c r="I2684" s="160"/>
      <c r="J2684" s="161"/>
      <c r="K2684" s="160"/>
      <c r="L2684" s="160">
        <f>+'FACP$'!$H2684-'FACP$'!$I2684-'FACP$'!$K2684</f>
        <v>302235.37</v>
      </c>
      <c r="M2684" s="162" t="s">
        <v>130</v>
      </c>
      <c r="N2684" s="162" t="s">
        <v>554</v>
      </c>
      <c r="O2684" s="164">
        <v>44445.0</v>
      </c>
      <c r="P2684" s="164">
        <f t="shared" si="13"/>
        <v>44437</v>
      </c>
      <c r="Q2684" s="165">
        <f t="shared" si="2"/>
        <v>0</v>
      </c>
      <c r="R2684" s="167"/>
      <c r="S2684" s="167"/>
      <c r="T2684" s="168">
        <f t="shared" si="3"/>
        <v>302235.37</v>
      </c>
      <c r="U2684" s="168">
        <f t="shared" si="4"/>
        <v>0</v>
      </c>
      <c r="V2684" s="168">
        <f t="shared" si="5"/>
        <v>0</v>
      </c>
      <c r="W2684" s="168">
        <f t="shared" si="6"/>
        <v>0</v>
      </c>
      <c r="X2684" s="168">
        <f t="shared" si="7"/>
        <v>0</v>
      </c>
      <c r="Y2684" s="168">
        <f t="shared" si="8"/>
        <v>0</v>
      </c>
      <c r="Z2684" s="168">
        <f t="shared" si="9"/>
        <v>0</v>
      </c>
    </row>
    <row r="2685" ht="15.0" customHeight="1">
      <c r="A2685" s="157" t="s">
        <v>3067</v>
      </c>
      <c r="B2685" s="158" t="s">
        <v>41</v>
      </c>
      <c r="C2685" s="158" t="s">
        <v>3057</v>
      </c>
      <c r="D2685" s="159">
        <v>44427.0</v>
      </c>
      <c r="E2685" s="157" t="s">
        <v>731</v>
      </c>
      <c r="F2685" s="160">
        <v>205310.75</v>
      </c>
      <c r="G2685" s="160">
        <v>32849.72</v>
      </c>
      <c r="H2685" s="160">
        <f t="shared" si="61"/>
        <v>238160.47</v>
      </c>
      <c r="I2685" s="160"/>
      <c r="J2685" s="161"/>
      <c r="K2685" s="160"/>
      <c r="L2685" s="160">
        <f>+'FACP$'!$H2685-'FACP$'!$I2685-'FACP$'!$K2685</f>
        <v>238160.47</v>
      </c>
      <c r="M2685" s="162" t="s">
        <v>121</v>
      </c>
      <c r="N2685" s="162" t="s">
        <v>554</v>
      </c>
      <c r="O2685" s="164">
        <v>44531.0</v>
      </c>
      <c r="P2685" s="164">
        <f t="shared" si="13"/>
        <v>44437</v>
      </c>
      <c r="Q2685" s="165">
        <f t="shared" si="2"/>
        <v>0</v>
      </c>
      <c r="R2685" s="167"/>
      <c r="S2685" s="167"/>
      <c r="T2685" s="168">
        <f t="shared" si="3"/>
        <v>238160.47</v>
      </c>
      <c r="U2685" s="168">
        <f t="shared" si="4"/>
        <v>0</v>
      </c>
      <c r="V2685" s="168">
        <f t="shared" si="5"/>
        <v>0</v>
      </c>
      <c r="W2685" s="168">
        <f t="shared" si="6"/>
        <v>0</v>
      </c>
      <c r="X2685" s="168">
        <f t="shared" si="7"/>
        <v>0</v>
      </c>
      <c r="Y2685" s="168">
        <f t="shared" si="8"/>
        <v>0</v>
      </c>
      <c r="Z2685" s="168">
        <f t="shared" si="9"/>
        <v>0</v>
      </c>
    </row>
    <row r="2686" ht="15.0" customHeight="1">
      <c r="A2686" s="157" t="s">
        <v>3068</v>
      </c>
      <c r="B2686" s="158" t="s">
        <v>37</v>
      </c>
      <c r="C2686" s="158" t="s">
        <v>3057</v>
      </c>
      <c r="D2686" s="159">
        <v>44427.0</v>
      </c>
      <c r="E2686" s="157" t="s">
        <v>731</v>
      </c>
      <c r="F2686" s="160">
        <v>1978109.53</v>
      </c>
      <c r="G2686" s="160">
        <v>316497.52</v>
      </c>
      <c r="H2686" s="160">
        <f t="shared" si="61"/>
        <v>2294607.05</v>
      </c>
      <c r="I2686" s="160"/>
      <c r="J2686" s="161"/>
      <c r="K2686" s="160"/>
      <c r="L2686" s="160">
        <f>+'FACP$'!$H2686-'FACP$'!$I2686-'FACP$'!$K2686</f>
        <v>2294607.05</v>
      </c>
      <c r="M2686" s="162" t="s">
        <v>116</v>
      </c>
      <c r="N2686" s="162" t="s">
        <v>554</v>
      </c>
      <c r="O2686" s="164">
        <v>44459.0</v>
      </c>
      <c r="P2686" s="164">
        <f t="shared" si="13"/>
        <v>44437</v>
      </c>
      <c r="Q2686" s="165">
        <f t="shared" si="2"/>
        <v>0</v>
      </c>
      <c r="R2686" s="167"/>
      <c r="S2686" s="167"/>
      <c r="T2686" s="168">
        <f t="shared" si="3"/>
        <v>2294607.05</v>
      </c>
      <c r="U2686" s="168">
        <f t="shared" si="4"/>
        <v>0</v>
      </c>
      <c r="V2686" s="168">
        <f t="shared" si="5"/>
        <v>0</v>
      </c>
      <c r="W2686" s="168">
        <f t="shared" si="6"/>
        <v>0</v>
      </c>
      <c r="X2686" s="168">
        <f t="shared" si="7"/>
        <v>0</v>
      </c>
      <c r="Y2686" s="168">
        <f t="shared" si="8"/>
        <v>0</v>
      </c>
      <c r="Z2686" s="168">
        <f t="shared" si="9"/>
        <v>0</v>
      </c>
    </row>
    <row r="2687" ht="15.0" customHeight="1">
      <c r="A2687" s="157" t="s">
        <v>3069</v>
      </c>
      <c r="B2687" s="158" t="s">
        <v>36</v>
      </c>
      <c r="C2687" s="158" t="s">
        <v>3057</v>
      </c>
      <c r="D2687" s="159">
        <v>44427.0</v>
      </c>
      <c r="E2687" s="157" t="s">
        <v>731</v>
      </c>
      <c r="F2687" s="160">
        <v>59384.74</v>
      </c>
      <c r="G2687" s="160">
        <v>9501.56</v>
      </c>
      <c r="H2687" s="160">
        <f t="shared" si="61"/>
        <v>68886.3</v>
      </c>
      <c r="I2687" s="160"/>
      <c r="J2687" s="161"/>
      <c r="K2687" s="160"/>
      <c r="L2687" s="160">
        <f>+'FACP$'!$H2687-'FACP$'!$I2687-'FACP$'!$K2687</f>
        <v>68886.3</v>
      </c>
      <c r="M2687" s="162" t="s">
        <v>278</v>
      </c>
      <c r="N2687" s="162" t="s">
        <v>554</v>
      </c>
      <c r="O2687" s="164">
        <v>44510.0</v>
      </c>
      <c r="P2687" s="164">
        <f t="shared" si="13"/>
        <v>44437</v>
      </c>
      <c r="Q2687" s="165">
        <f t="shared" si="2"/>
        <v>0</v>
      </c>
      <c r="R2687" s="167"/>
      <c r="S2687" s="167"/>
      <c r="T2687" s="168">
        <f t="shared" si="3"/>
        <v>68886.3</v>
      </c>
      <c r="U2687" s="168">
        <f t="shared" si="4"/>
        <v>0</v>
      </c>
      <c r="V2687" s="168">
        <f t="shared" si="5"/>
        <v>0</v>
      </c>
      <c r="W2687" s="168">
        <f t="shared" si="6"/>
        <v>0</v>
      </c>
      <c r="X2687" s="168">
        <f t="shared" si="7"/>
        <v>0</v>
      </c>
      <c r="Y2687" s="168">
        <f t="shared" si="8"/>
        <v>0</v>
      </c>
      <c r="Z2687" s="168">
        <f t="shared" si="9"/>
        <v>0</v>
      </c>
    </row>
    <row r="2688" ht="15.0" customHeight="1">
      <c r="A2688" s="157" t="s">
        <v>3070</v>
      </c>
      <c r="B2688" s="158" t="s">
        <v>38</v>
      </c>
      <c r="C2688" s="158" t="s">
        <v>3057</v>
      </c>
      <c r="D2688" s="159">
        <v>44427.0</v>
      </c>
      <c r="E2688" s="157" t="s">
        <v>731</v>
      </c>
      <c r="F2688" s="160">
        <v>718506.66</v>
      </c>
      <c r="G2688" s="160">
        <v>114961.07</v>
      </c>
      <c r="H2688" s="160">
        <f t="shared" si="61"/>
        <v>833467.73</v>
      </c>
      <c r="I2688" s="160"/>
      <c r="J2688" s="161"/>
      <c r="K2688" s="160"/>
      <c r="L2688" s="160">
        <f>+'FACP$'!$H2688-'FACP$'!$I2688-'FACP$'!$K2688</f>
        <v>833467.73</v>
      </c>
      <c r="M2688" s="162" t="s">
        <v>145</v>
      </c>
      <c r="N2688" s="162" t="s">
        <v>554</v>
      </c>
      <c r="O2688" s="164">
        <v>44529.0</v>
      </c>
      <c r="P2688" s="164">
        <f t="shared" si="13"/>
        <v>44437</v>
      </c>
      <c r="Q2688" s="165">
        <f t="shared" si="2"/>
        <v>0</v>
      </c>
      <c r="R2688" s="167"/>
      <c r="S2688" s="167"/>
      <c r="T2688" s="168">
        <f t="shared" si="3"/>
        <v>833467.73</v>
      </c>
      <c r="U2688" s="168">
        <f t="shared" si="4"/>
        <v>0</v>
      </c>
      <c r="V2688" s="168">
        <f t="shared" si="5"/>
        <v>0</v>
      </c>
      <c r="W2688" s="168">
        <f t="shared" si="6"/>
        <v>0</v>
      </c>
      <c r="X2688" s="168">
        <f t="shared" si="7"/>
        <v>0</v>
      </c>
      <c r="Y2688" s="168">
        <f t="shared" si="8"/>
        <v>0</v>
      </c>
      <c r="Z2688" s="168">
        <f t="shared" si="9"/>
        <v>0</v>
      </c>
    </row>
    <row r="2689" ht="15.0" customHeight="1">
      <c r="A2689" s="157" t="s">
        <v>3071</v>
      </c>
      <c r="B2689" s="158" t="s">
        <v>127</v>
      </c>
      <c r="C2689" s="158"/>
      <c r="D2689" s="159"/>
      <c r="E2689" s="157"/>
      <c r="F2689" s="160"/>
      <c r="G2689" s="160"/>
      <c r="H2689" s="160">
        <f t="shared" si="61"/>
        <v>0</v>
      </c>
      <c r="I2689" s="160"/>
      <c r="J2689" s="161"/>
      <c r="K2689" s="160"/>
      <c r="L2689" s="160">
        <f>+'FACP$'!$H2689-'FACP$'!$I2689-'FACP$'!$K2689</f>
        <v>0</v>
      </c>
      <c r="M2689" s="162" t="s">
        <v>127</v>
      </c>
      <c r="N2689" s="162" t="s">
        <v>127</v>
      </c>
      <c r="O2689" s="164"/>
      <c r="P2689" s="164">
        <f t="shared" si="13"/>
        <v>10</v>
      </c>
      <c r="Q2689" s="165">
        <f t="shared" si="2"/>
        <v>0</v>
      </c>
      <c r="R2689" s="167"/>
      <c r="S2689" s="167"/>
      <c r="T2689" s="168">
        <f t="shared" si="3"/>
        <v>0</v>
      </c>
      <c r="U2689" s="168">
        <f t="shared" si="4"/>
        <v>0</v>
      </c>
      <c r="V2689" s="168">
        <f t="shared" si="5"/>
        <v>0</v>
      </c>
      <c r="W2689" s="168">
        <f t="shared" si="6"/>
        <v>0</v>
      </c>
      <c r="X2689" s="168">
        <f t="shared" si="7"/>
        <v>0</v>
      </c>
      <c r="Y2689" s="168">
        <f t="shared" si="8"/>
        <v>0</v>
      </c>
      <c r="Z2689" s="168">
        <f t="shared" si="9"/>
        <v>0</v>
      </c>
    </row>
    <row r="2690" ht="15.0" customHeight="1">
      <c r="A2690" s="157" t="s">
        <v>3072</v>
      </c>
      <c r="B2690" s="158" t="s">
        <v>27</v>
      </c>
      <c r="C2690" s="158" t="s">
        <v>3073</v>
      </c>
      <c r="D2690" s="159">
        <v>44427.0</v>
      </c>
      <c r="E2690" s="157" t="s">
        <v>731</v>
      </c>
      <c r="F2690" s="160">
        <v>456442.41</v>
      </c>
      <c r="G2690" s="160">
        <v>73030.79</v>
      </c>
      <c r="H2690" s="160">
        <f t="shared" si="61"/>
        <v>529473.2</v>
      </c>
      <c r="I2690" s="160"/>
      <c r="J2690" s="161"/>
      <c r="K2690" s="160"/>
      <c r="L2690" s="160">
        <f>+'FACP$'!$H2690-'FACP$'!$I2690-'FACP$'!$K2690</f>
        <v>529473.2</v>
      </c>
      <c r="M2690" s="162" t="s">
        <v>151</v>
      </c>
      <c r="N2690" s="162" t="s">
        <v>554</v>
      </c>
      <c r="O2690" s="164">
        <v>44456.0</v>
      </c>
      <c r="P2690" s="164">
        <f t="shared" si="13"/>
        <v>44437</v>
      </c>
      <c r="Q2690" s="165">
        <f t="shared" si="2"/>
        <v>0</v>
      </c>
      <c r="R2690" s="167"/>
      <c r="S2690" s="167"/>
      <c r="T2690" s="168">
        <f t="shared" si="3"/>
        <v>529473.2</v>
      </c>
      <c r="U2690" s="168">
        <f t="shared" si="4"/>
        <v>0</v>
      </c>
      <c r="V2690" s="168">
        <f t="shared" si="5"/>
        <v>0</v>
      </c>
      <c r="W2690" s="168">
        <f t="shared" si="6"/>
        <v>0</v>
      </c>
      <c r="X2690" s="168">
        <f t="shared" si="7"/>
        <v>0</v>
      </c>
      <c r="Y2690" s="168">
        <f t="shared" si="8"/>
        <v>0</v>
      </c>
      <c r="Z2690" s="168">
        <f t="shared" si="9"/>
        <v>0</v>
      </c>
    </row>
    <row r="2691" ht="15.0" customHeight="1">
      <c r="A2691" s="157" t="s">
        <v>3074</v>
      </c>
      <c r="B2691" s="158" t="s">
        <v>27</v>
      </c>
      <c r="C2691" s="158" t="s">
        <v>3075</v>
      </c>
      <c r="D2691" s="159">
        <v>44427.0</v>
      </c>
      <c r="E2691" s="157" t="s">
        <v>731</v>
      </c>
      <c r="F2691" s="160">
        <v>34142.96</v>
      </c>
      <c r="G2691" s="160">
        <v>5462.87</v>
      </c>
      <c r="H2691" s="160">
        <f t="shared" si="61"/>
        <v>39605.83</v>
      </c>
      <c r="I2691" s="160"/>
      <c r="J2691" s="161"/>
      <c r="K2691" s="160"/>
      <c r="L2691" s="160">
        <f>+'FACP$'!$H2691-'FACP$'!$I2691-'FACP$'!$K2691</f>
        <v>39605.83</v>
      </c>
      <c r="M2691" s="162" t="s">
        <v>151</v>
      </c>
      <c r="N2691" s="162" t="s">
        <v>554</v>
      </c>
      <c r="O2691" s="164">
        <v>44461.0</v>
      </c>
      <c r="P2691" s="164">
        <f t="shared" si="13"/>
        <v>44437</v>
      </c>
      <c r="Q2691" s="165">
        <f t="shared" si="2"/>
        <v>0</v>
      </c>
      <c r="R2691" s="167"/>
      <c r="S2691" s="167"/>
      <c r="T2691" s="168">
        <f t="shared" si="3"/>
        <v>39605.83</v>
      </c>
      <c r="U2691" s="168">
        <f t="shared" si="4"/>
        <v>0</v>
      </c>
      <c r="V2691" s="168">
        <f t="shared" si="5"/>
        <v>0</v>
      </c>
      <c r="W2691" s="168">
        <f t="shared" si="6"/>
        <v>0</v>
      </c>
      <c r="X2691" s="168">
        <f t="shared" si="7"/>
        <v>0</v>
      </c>
      <c r="Y2691" s="168">
        <f t="shared" si="8"/>
        <v>0</v>
      </c>
      <c r="Z2691" s="168">
        <f t="shared" si="9"/>
        <v>0</v>
      </c>
    </row>
    <row r="2692" ht="15.0" customHeight="1">
      <c r="A2692" s="157" t="s">
        <v>3076</v>
      </c>
      <c r="B2692" s="158" t="s">
        <v>27</v>
      </c>
      <c r="C2692" s="158" t="s">
        <v>3077</v>
      </c>
      <c r="D2692" s="159">
        <v>44427.0</v>
      </c>
      <c r="E2692" s="157" t="s">
        <v>731</v>
      </c>
      <c r="F2692" s="160">
        <v>21071.08</v>
      </c>
      <c r="G2692" s="160">
        <v>3371.37</v>
      </c>
      <c r="H2692" s="160">
        <f t="shared" si="61"/>
        <v>24442.45</v>
      </c>
      <c r="I2692" s="160"/>
      <c r="J2692" s="161"/>
      <c r="K2692" s="160"/>
      <c r="L2692" s="160">
        <f>+'FACP$'!$H2692-'FACP$'!$I2692-'FACP$'!$K2692</f>
        <v>24442.45</v>
      </c>
      <c r="M2692" s="162" t="s">
        <v>151</v>
      </c>
      <c r="N2692" s="162" t="s">
        <v>554</v>
      </c>
      <c r="O2692" s="164">
        <v>44461.0</v>
      </c>
      <c r="P2692" s="164">
        <f t="shared" si="13"/>
        <v>44437</v>
      </c>
      <c r="Q2692" s="165">
        <f t="shared" si="2"/>
        <v>0</v>
      </c>
      <c r="R2692" s="167"/>
      <c r="S2692" s="167"/>
      <c r="T2692" s="168">
        <f t="shared" si="3"/>
        <v>24442.45</v>
      </c>
      <c r="U2692" s="168">
        <f t="shared" si="4"/>
        <v>0</v>
      </c>
      <c r="V2692" s="168">
        <f t="shared" si="5"/>
        <v>0</v>
      </c>
      <c r="W2692" s="168">
        <f t="shared" si="6"/>
        <v>0</v>
      </c>
      <c r="X2692" s="168">
        <f t="shared" si="7"/>
        <v>0</v>
      </c>
      <c r="Y2692" s="168">
        <f t="shared" si="8"/>
        <v>0</v>
      </c>
      <c r="Z2692" s="168">
        <f t="shared" si="9"/>
        <v>0</v>
      </c>
    </row>
    <row r="2693" ht="15.0" customHeight="1">
      <c r="A2693" s="157" t="s">
        <v>3078</v>
      </c>
      <c r="B2693" s="158" t="s">
        <v>27</v>
      </c>
      <c r="C2693" s="158" t="s">
        <v>3079</v>
      </c>
      <c r="D2693" s="159">
        <v>44427.0</v>
      </c>
      <c r="E2693" s="157" t="s">
        <v>731</v>
      </c>
      <c r="F2693" s="160">
        <v>280781.51</v>
      </c>
      <c r="G2693" s="160">
        <v>44925.04</v>
      </c>
      <c r="H2693" s="160">
        <f t="shared" si="61"/>
        <v>325706.55</v>
      </c>
      <c r="I2693" s="160"/>
      <c r="J2693" s="161"/>
      <c r="K2693" s="160"/>
      <c r="L2693" s="160">
        <f>+'FACP$'!$H2693-'FACP$'!$I2693-'FACP$'!$K2693</f>
        <v>325706.55</v>
      </c>
      <c r="M2693" s="162" t="s">
        <v>158</v>
      </c>
      <c r="N2693" s="162" t="s">
        <v>554</v>
      </c>
      <c r="O2693" s="164">
        <v>44461.0</v>
      </c>
      <c r="P2693" s="164">
        <f t="shared" si="13"/>
        <v>44437</v>
      </c>
      <c r="Q2693" s="165">
        <f t="shared" si="2"/>
        <v>0</v>
      </c>
      <c r="R2693" s="167" t="s">
        <v>2735</v>
      </c>
      <c r="S2693" s="167"/>
      <c r="T2693" s="168">
        <f t="shared" si="3"/>
        <v>325706.55</v>
      </c>
      <c r="U2693" s="168">
        <f t="shared" si="4"/>
        <v>0</v>
      </c>
      <c r="V2693" s="168">
        <f t="shared" si="5"/>
        <v>0</v>
      </c>
      <c r="W2693" s="168">
        <f t="shared" si="6"/>
        <v>0</v>
      </c>
      <c r="X2693" s="168">
        <f t="shared" si="7"/>
        <v>0</v>
      </c>
      <c r="Y2693" s="168">
        <f t="shared" si="8"/>
        <v>0</v>
      </c>
      <c r="Z2693" s="168">
        <f t="shared" si="9"/>
        <v>0</v>
      </c>
    </row>
    <row r="2694" ht="15.0" customHeight="1">
      <c r="A2694" s="157" t="s">
        <v>3080</v>
      </c>
      <c r="B2694" s="158" t="s">
        <v>27</v>
      </c>
      <c r="C2694" s="158" t="s">
        <v>3081</v>
      </c>
      <c r="D2694" s="159">
        <v>44427.0</v>
      </c>
      <c r="E2694" s="157" t="s">
        <v>731</v>
      </c>
      <c r="F2694" s="160">
        <v>152545.74</v>
      </c>
      <c r="G2694" s="160">
        <v>24407.32</v>
      </c>
      <c r="H2694" s="160">
        <f t="shared" si="61"/>
        <v>176953.06</v>
      </c>
      <c r="I2694" s="160"/>
      <c r="J2694" s="161"/>
      <c r="K2694" s="160"/>
      <c r="L2694" s="160">
        <f>+'FACP$'!$H2694-'FACP$'!$I2694-'FACP$'!$K2694</f>
        <v>176953.06</v>
      </c>
      <c r="M2694" s="162" t="s">
        <v>158</v>
      </c>
      <c r="N2694" s="162" t="s">
        <v>554</v>
      </c>
      <c r="O2694" s="164">
        <v>44461.0</v>
      </c>
      <c r="P2694" s="164">
        <f t="shared" si="13"/>
        <v>44437</v>
      </c>
      <c r="Q2694" s="165">
        <f t="shared" si="2"/>
        <v>0</v>
      </c>
      <c r="R2694" s="167" t="s">
        <v>2735</v>
      </c>
      <c r="S2694" s="167"/>
      <c r="T2694" s="168">
        <f t="shared" si="3"/>
        <v>176953.06</v>
      </c>
      <c r="U2694" s="168">
        <f t="shared" si="4"/>
        <v>0</v>
      </c>
      <c r="V2694" s="168">
        <f t="shared" si="5"/>
        <v>0</v>
      </c>
      <c r="W2694" s="168">
        <f t="shared" si="6"/>
        <v>0</v>
      </c>
      <c r="X2694" s="168">
        <f t="shared" si="7"/>
        <v>0</v>
      </c>
      <c r="Y2694" s="168">
        <f t="shared" si="8"/>
        <v>0</v>
      </c>
      <c r="Z2694" s="168">
        <f t="shared" si="9"/>
        <v>0</v>
      </c>
    </row>
    <row r="2695" ht="15.0" customHeight="1">
      <c r="A2695" s="157" t="s">
        <v>3082</v>
      </c>
      <c r="B2695" s="158" t="s">
        <v>27</v>
      </c>
      <c r="C2695" s="158" t="s">
        <v>3079</v>
      </c>
      <c r="D2695" s="159">
        <v>44427.0</v>
      </c>
      <c r="E2695" s="157" t="s">
        <v>731</v>
      </c>
      <c r="F2695" s="160">
        <v>739605.75</v>
      </c>
      <c r="G2695" s="160">
        <v>118336.92</v>
      </c>
      <c r="H2695" s="160">
        <f t="shared" si="61"/>
        <v>857942.67</v>
      </c>
      <c r="I2695" s="160"/>
      <c r="J2695" s="161"/>
      <c r="K2695" s="160"/>
      <c r="L2695" s="160">
        <f>+'FACP$'!$H2695-'FACP$'!$I2695-'FACP$'!$K2695</f>
        <v>857942.67</v>
      </c>
      <c r="M2695" s="162" t="s">
        <v>151</v>
      </c>
      <c r="N2695" s="162" t="s">
        <v>554</v>
      </c>
      <c r="O2695" s="164">
        <v>44456.0</v>
      </c>
      <c r="P2695" s="164">
        <f t="shared" si="13"/>
        <v>44437</v>
      </c>
      <c r="Q2695" s="165">
        <f t="shared" si="2"/>
        <v>0</v>
      </c>
      <c r="R2695" s="167"/>
      <c r="S2695" s="167"/>
      <c r="T2695" s="168">
        <f t="shared" si="3"/>
        <v>857942.67</v>
      </c>
      <c r="U2695" s="168">
        <f t="shared" si="4"/>
        <v>0</v>
      </c>
      <c r="V2695" s="168">
        <f t="shared" si="5"/>
        <v>0</v>
      </c>
      <c r="W2695" s="168">
        <f t="shared" si="6"/>
        <v>0</v>
      </c>
      <c r="X2695" s="168">
        <f t="shared" si="7"/>
        <v>0</v>
      </c>
      <c r="Y2695" s="168">
        <f t="shared" si="8"/>
        <v>0</v>
      </c>
      <c r="Z2695" s="168">
        <f t="shared" si="9"/>
        <v>0</v>
      </c>
    </row>
    <row r="2696" ht="15.0" customHeight="1">
      <c r="A2696" s="157" t="s">
        <v>3083</v>
      </c>
      <c r="B2696" s="158" t="s">
        <v>27</v>
      </c>
      <c r="C2696" s="158" t="s">
        <v>3084</v>
      </c>
      <c r="D2696" s="159">
        <v>44439.0</v>
      </c>
      <c r="E2696" s="157" t="s">
        <v>731</v>
      </c>
      <c r="F2696" s="160">
        <v>799996.36</v>
      </c>
      <c r="G2696" s="160">
        <v>127999.42</v>
      </c>
      <c r="H2696" s="160">
        <f t="shared" si="61"/>
        <v>927995.78</v>
      </c>
      <c r="I2696" s="160"/>
      <c r="J2696" s="161"/>
      <c r="K2696" s="160"/>
      <c r="L2696" s="160">
        <f>+'FACP$'!$H2696-'FACP$'!$I2696-'FACP$'!$K2696</f>
        <v>927995.78</v>
      </c>
      <c r="M2696" s="162" t="s">
        <v>151</v>
      </c>
      <c r="N2696" s="162" t="s">
        <v>554</v>
      </c>
      <c r="O2696" s="164">
        <v>44468.0</v>
      </c>
      <c r="P2696" s="164">
        <f t="shared" si="13"/>
        <v>44449</v>
      </c>
      <c r="Q2696" s="165">
        <f t="shared" si="2"/>
        <v>0</v>
      </c>
      <c r="R2696" s="220" t="s">
        <v>3085</v>
      </c>
      <c r="S2696" s="167"/>
      <c r="T2696" s="168">
        <f t="shared" si="3"/>
        <v>927995.78</v>
      </c>
      <c r="U2696" s="168">
        <f t="shared" si="4"/>
        <v>0</v>
      </c>
      <c r="V2696" s="168">
        <f t="shared" si="5"/>
        <v>0</v>
      </c>
      <c r="W2696" s="168">
        <f t="shared" si="6"/>
        <v>0</v>
      </c>
      <c r="X2696" s="168">
        <f t="shared" si="7"/>
        <v>0</v>
      </c>
      <c r="Y2696" s="168">
        <f t="shared" si="8"/>
        <v>0</v>
      </c>
      <c r="Z2696" s="168">
        <f t="shared" si="9"/>
        <v>0</v>
      </c>
    </row>
    <row r="2697" ht="15.0" customHeight="1">
      <c r="A2697" s="157" t="s">
        <v>3086</v>
      </c>
      <c r="B2697" s="158" t="s">
        <v>27</v>
      </c>
      <c r="C2697" s="158" t="s">
        <v>3087</v>
      </c>
      <c r="D2697" s="159">
        <v>44439.0</v>
      </c>
      <c r="E2697" s="157" t="s">
        <v>731</v>
      </c>
      <c r="F2697" s="160">
        <v>511813.99</v>
      </c>
      <c r="G2697" s="160">
        <v>81890.24</v>
      </c>
      <c r="H2697" s="160">
        <f t="shared" si="61"/>
        <v>593704.23</v>
      </c>
      <c r="I2697" s="160"/>
      <c r="J2697" s="161"/>
      <c r="K2697" s="160"/>
      <c r="L2697" s="160">
        <f>+'FACP$'!$H2697-'FACP$'!$I2697-'FACP$'!$K2697</f>
        <v>593704.23</v>
      </c>
      <c r="M2697" s="162" t="s">
        <v>151</v>
      </c>
      <c r="N2697" s="162" t="s">
        <v>554</v>
      </c>
      <c r="O2697" s="164">
        <v>44475.0</v>
      </c>
      <c r="P2697" s="164">
        <f t="shared" si="13"/>
        <v>44449</v>
      </c>
      <c r="Q2697" s="165">
        <f t="shared" si="2"/>
        <v>0</v>
      </c>
      <c r="R2697" s="167" t="s">
        <v>3088</v>
      </c>
      <c r="S2697" s="167"/>
      <c r="T2697" s="168">
        <f t="shared" si="3"/>
        <v>593704.23</v>
      </c>
      <c r="U2697" s="168">
        <f t="shared" si="4"/>
        <v>0</v>
      </c>
      <c r="V2697" s="168">
        <f t="shared" si="5"/>
        <v>0</v>
      </c>
      <c r="W2697" s="168">
        <f t="shared" si="6"/>
        <v>0</v>
      </c>
      <c r="X2697" s="168">
        <f t="shared" si="7"/>
        <v>0</v>
      </c>
      <c r="Y2697" s="168">
        <f t="shared" si="8"/>
        <v>0</v>
      </c>
      <c r="Z2697" s="168">
        <f t="shared" si="9"/>
        <v>0</v>
      </c>
    </row>
    <row r="2698" ht="15.0" customHeight="1">
      <c r="A2698" s="157" t="s">
        <v>3089</v>
      </c>
      <c r="B2698" s="158" t="s">
        <v>27</v>
      </c>
      <c r="C2698" s="158" t="s">
        <v>3090</v>
      </c>
      <c r="D2698" s="159">
        <v>44439.0</v>
      </c>
      <c r="E2698" s="157" t="s">
        <v>731</v>
      </c>
      <c r="F2698" s="160">
        <v>35794.16</v>
      </c>
      <c r="G2698" s="160">
        <v>5727.07</v>
      </c>
      <c r="H2698" s="160">
        <f t="shared" si="61"/>
        <v>41521.23</v>
      </c>
      <c r="I2698" s="160"/>
      <c r="J2698" s="161"/>
      <c r="K2698" s="160"/>
      <c r="L2698" s="160">
        <f>+'FACP$'!$H2698-'FACP$'!$I2698-'FACP$'!$K2698</f>
        <v>41521.23</v>
      </c>
      <c r="M2698" s="162" t="s">
        <v>151</v>
      </c>
      <c r="N2698" s="162" t="s">
        <v>554</v>
      </c>
      <c r="O2698" s="164">
        <v>44475.0</v>
      </c>
      <c r="P2698" s="164">
        <f t="shared" si="13"/>
        <v>44449</v>
      </c>
      <c r="Q2698" s="165">
        <f t="shared" si="2"/>
        <v>0</v>
      </c>
      <c r="R2698" s="167"/>
      <c r="S2698" s="167"/>
      <c r="T2698" s="168">
        <f t="shared" si="3"/>
        <v>41521.23</v>
      </c>
      <c r="U2698" s="168">
        <f t="shared" si="4"/>
        <v>0</v>
      </c>
      <c r="V2698" s="168">
        <f t="shared" si="5"/>
        <v>0</v>
      </c>
      <c r="W2698" s="168">
        <f t="shared" si="6"/>
        <v>0</v>
      </c>
      <c r="X2698" s="168">
        <f t="shared" si="7"/>
        <v>0</v>
      </c>
      <c r="Y2698" s="168">
        <f t="shared" si="8"/>
        <v>0</v>
      </c>
      <c r="Z2698" s="168">
        <f t="shared" si="9"/>
        <v>0</v>
      </c>
    </row>
    <row r="2699" ht="15.0" customHeight="1">
      <c r="A2699" s="157" t="s">
        <v>3091</v>
      </c>
      <c r="B2699" s="158" t="s">
        <v>27</v>
      </c>
      <c r="C2699" s="158" t="s">
        <v>3092</v>
      </c>
      <c r="D2699" s="159">
        <v>44439.0</v>
      </c>
      <c r="E2699" s="157" t="s">
        <v>731</v>
      </c>
      <c r="F2699" s="160">
        <v>22900.05</v>
      </c>
      <c r="G2699" s="160">
        <v>3664.01</v>
      </c>
      <c r="H2699" s="160">
        <f t="shared" si="61"/>
        <v>26564.06</v>
      </c>
      <c r="I2699" s="160"/>
      <c r="J2699" s="161"/>
      <c r="K2699" s="160"/>
      <c r="L2699" s="160">
        <f>+'FACP$'!$H2699-'FACP$'!$I2699-'FACP$'!$K2699</f>
        <v>26564.06</v>
      </c>
      <c r="M2699" s="162" t="s">
        <v>151</v>
      </c>
      <c r="N2699" s="162" t="s">
        <v>554</v>
      </c>
      <c r="O2699" s="164">
        <v>44475.0</v>
      </c>
      <c r="P2699" s="164">
        <f t="shared" si="13"/>
        <v>44449</v>
      </c>
      <c r="Q2699" s="165">
        <f t="shared" si="2"/>
        <v>0</v>
      </c>
      <c r="R2699" s="167" t="s">
        <v>2735</v>
      </c>
      <c r="S2699" s="167"/>
      <c r="T2699" s="168">
        <f t="shared" si="3"/>
        <v>26564.06</v>
      </c>
      <c r="U2699" s="168">
        <f t="shared" si="4"/>
        <v>0</v>
      </c>
      <c r="V2699" s="168">
        <f t="shared" si="5"/>
        <v>0</v>
      </c>
      <c r="W2699" s="168">
        <f t="shared" si="6"/>
        <v>0</v>
      </c>
      <c r="X2699" s="168">
        <f t="shared" si="7"/>
        <v>0</v>
      </c>
      <c r="Y2699" s="168">
        <f t="shared" si="8"/>
        <v>0</v>
      </c>
      <c r="Z2699" s="168">
        <f t="shared" si="9"/>
        <v>0</v>
      </c>
    </row>
    <row r="2700" ht="15.0" customHeight="1">
      <c r="A2700" s="157" t="s">
        <v>3093</v>
      </c>
      <c r="B2700" s="158" t="s">
        <v>27</v>
      </c>
      <c r="C2700" s="158" t="s">
        <v>3084</v>
      </c>
      <c r="D2700" s="159">
        <v>44439.0</v>
      </c>
      <c r="E2700" s="157" t="s">
        <v>731</v>
      </c>
      <c r="F2700" s="160">
        <v>305440.93</v>
      </c>
      <c r="G2700" s="160">
        <v>48870.55</v>
      </c>
      <c r="H2700" s="160">
        <f t="shared" si="61"/>
        <v>354311.48</v>
      </c>
      <c r="I2700" s="160"/>
      <c r="J2700" s="161"/>
      <c r="K2700" s="160"/>
      <c r="L2700" s="160">
        <f>+'FACP$'!$H2700-'FACP$'!$I2700-'FACP$'!$K2700</f>
        <v>354311.48</v>
      </c>
      <c r="M2700" s="162" t="s">
        <v>158</v>
      </c>
      <c r="N2700" s="162" t="s">
        <v>554</v>
      </c>
      <c r="O2700" s="164">
        <v>44468.0</v>
      </c>
      <c r="P2700" s="164">
        <f t="shared" si="13"/>
        <v>44449</v>
      </c>
      <c r="Q2700" s="165">
        <f t="shared" si="2"/>
        <v>0</v>
      </c>
      <c r="R2700" s="167"/>
      <c r="S2700" s="167"/>
      <c r="T2700" s="168">
        <f t="shared" si="3"/>
        <v>354311.48</v>
      </c>
      <c r="U2700" s="168">
        <f t="shared" si="4"/>
        <v>0</v>
      </c>
      <c r="V2700" s="168">
        <f t="shared" si="5"/>
        <v>0</v>
      </c>
      <c r="W2700" s="168">
        <f t="shared" si="6"/>
        <v>0</v>
      </c>
      <c r="X2700" s="168">
        <f t="shared" si="7"/>
        <v>0</v>
      </c>
      <c r="Y2700" s="168">
        <f t="shared" si="8"/>
        <v>0</v>
      </c>
      <c r="Z2700" s="168">
        <f t="shared" si="9"/>
        <v>0</v>
      </c>
    </row>
    <row r="2701" ht="15.0" customHeight="1">
      <c r="A2701" s="157" t="s">
        <v>3094</v>
      </c>
      <c r="B2701" s="158" t="s">
        <v>27</v>
      </c>
      <c r="C2701" s="158" t="s">
        <v>3087</v>
      </c>
      <c r="D2701" s="159">
        <v>44439.0</v>
      </c>
      <c r="E2701" s="157" t="s">
        <v>731</v>
      </c>
      <c r="F2701" s="222">
        <v>152001.52</v>
      </c>
      <c r="G2701" s="160">
        <v>24320.24</v>
      </c>
      <c r="H2701" s="160">
        <f t="shared" si="61"/>
        <v>176321.76</v>
      </c>
      <c r="I2701" s="160"/>
      <c r="J2701" s="161"/>
      <c r="K2701" s="160"/>
      <c r="L2701" s="160">
        <f>+'FACP$'!$H2701-'FACP$'!$I2701-'FACP$'!$K2701</f>
        <v>176321.76</v>
      </c>
      <c r="M2701" s="162" t="s">
        <v>158</v>
      </c>
      <c r="N2701" s="162" t="s">
        <v>554</v>
      </c>
      <c r="O2701" s="164">
        <v>44475.0</v>
      </c>
      <c r="P2701" s="164">
        <f t="shared" si="13"/>
        <v>44449</v>
      </c>
      <c r="Q2701" s="165">
        <f t="shared" si="2"/>
        <v>0</v>
      </c>
      <c r="R2701" s="167"/>
      <c r="S2701" s="167"/>
      <c r="T2701" s="168">
        <f t="shared" si="3"/>
        <v>176321.76</v>
      </c>
      <c r="U2701" s="168">
        <f t="shared" si="4"/>
        <v>0</v>
      </c>
      <c r="V2701" s="168">
        <f t="shared" si="5"/>
        <v>0</v>
      </c>
      <c r="W2701" s="168">
        <f t="shared" si="6"/>
        <v>0</v>
      </c>
      <c r="X2701" s="168">
        <f t="shared" si="7"/>
        <v>0</v>
      </c>
      <c r="Y2701" s="168">
        <f t="shared" si="8"/>
        <v>0</v>
      </c>
      <c r="Z2701" s="168">
        <f t="shared" si="9"/>
        <v>0</v>
      </c>
    </row>
    <row r="2702" ht="15.0" customHeight="1">
      <c r="A2702" s="157" t="s">
        <v>3095</v>
      </c>
      <c r="B2702" s="158" t="s">
        <v>127</v>
      </c>
      <c r="C2702" s="158"/>
      <c r="D2702" s="159"/>
      <c r="E2702" s="157"/>
      <c r="F2702" s="222"/>
      <c r="G2702" s="160"/>
      <c r="H2702" s="160">
        <f t="shared" si="61"/>
        <v>0</v>
      </c>
      <c r="I2702" s="160"/>
      <c r="J2702" s="161"/>
      <c r="K2702" s="160"/>
      <c r="L2702" s="160">
        <f>+'FACP$'!$H2702-'FACP$'!$I2702-'FACP$'!$K2702</f>
        <v>0</v>
      </c>
      <c r="M2702" s="162" t="s">
        <v>158</v>
      </c>
      <c r="N2702" s="162" t="s">
        <v>127</v>
      </c>
      <c r="O2702" s="164"/>
      <c r="P2702" s="164">
        <f t="shared" si="13"/>
        <v>10</v>
      </c>
      <c r="Q2702" s="165">
        <f t="shared" si="2"/>
        <v>0</v>
      </c>
      <c r="R2702" s="167"/>
      <c r="S2702" s="167"/>
      <c r="T2702" s="168">
        <f t="shared" si="3"/>
        <v>0</v>
      </c>
      <c r="U2702" s="168">
        <f t="shared" si="4"/>
        <v>0</v>
      </c>
      <c r="V2702" s="168">
        <f t="shared" si="5"/>
        <v>0</v>
      </c>
      <c r="W2702" s="168">
        <f t="shared" si="6"/>
        <v>0</v>
      </c>
      <c r="X2702" s="168">
        <f t="shared" si="7"/>
        <v>0</v>
      </c>
      <c r="Y2702" s="168">
        <f t="shared" si="8"/>
        <v>0</v>
      </c>
      <c r="Z2702" s="168">
        <f t="shared" si="9"/>
        <v>0</v>
      </c>
    </row>
    <row r="2703" ht="15.0" customHeight="1">
      <c r="A2703" s="157" t="s">
        <v>3096</v>
      </c>
      <c r="B2703" s="158" t="s">
        <v>38</v>
      </c>
      <c r="C2703" s="158" t="s">
        <v>3097</v>
      </c>
      <c r="D2703" s="159">
        <v>44446.0</v>
      </c>
      <c r="E2703" s="157" t="s">
        <v>731</v>
      </c>
      <c r="F2703" s="160">
        <v>970444.36</v>
      </c>
      <c r="G2703" s="160">
        <v>155271.1</v>
      </c>
      <c r="H2703" s="160">
        <f t="shared" si="61"/>
        <v>1125715.46</v>
      </c>
      <c r="I2703" s="160"/>
      <c r="J2703" s="161"/>
      <c r="K2703" s="160"/>
      <c r="L2703" s="160">
        <f>+'FACP$'!$H2703-'FACP$'!$I2703-'FACP$'!$K2703</f>
        <v>1125715.46</v>
      </c>
      <c r="M2703" s="162" t="s">
        <v>145</v>
      </c>
      <c r="N2703" s="162" t="s">
        <v>554</v>
      </c>
      <c r="O2703" s="164">
        <v>44530.0</v>
      </c>
      <c r="P2703" s="164">
        <f t="shared" si="13"/>
        <v>44456</v>
      </c>
      <c r="Q2703" s="165">
        <f t="shared" si="2"/>
        <v>0</v>
      </c>
      <c r="R2703" s="167" t="s">
        <v>3098</v>
      </c>
      <c r="S2703" s="167"/>
      <c r="T2703" s="168">
        <f t="shared" si="3"/>
        <v>1125715.46</v>
      </c>
      <c r="U2703" s="168">
        <f t="shared" si="4"/>
        <v>0</v>
      </c>
      <c r="V2703" s="168">
        <f t="shared" si="5"/>
        <v>0</v>
      </c>
      <c r="W2703" s="168">
        <f t="shared" si="6"/>
        <v>0</v>
      </c>
      <c r="X2703" s="168">
        <f t="shared" si="7"/>
        <v>0</v>
      </c>
      <c r="Y2703" s="168">
        <f t="shared" si="8"/>
        <v>0</v>
      </c>
      <c r="Z2703" s="168">
        <f t="shared" si="9"/>
        <v>0</v>
      </c>
    </row>
    <row r="2704" ht="15.0" customHeight="1">
      <c r="A2704" s="157" t="s">
        <v>3099</v>
      </c>
      <c r="B2704" s="158" t="s">
        <v>16</v>
      </c>
      <c r="C2704" s="158" t="s">
        <v>3097</v>
      </c>
      <c r="D2704" s="159">
        <v>44447.0</v>
      </c>
      <c r="E2704" s="157" t="s">
        <v>731</v>
      </c>
      <c r="F2704" s="160">
        <v>448461.83</v>
      </c>
      <c r="G2704" s="160">
        <v>71753.89</v>
      </c>
      <c r="H2704" s="160">
        <f t="shared" si="61"/>
        <v>520215.72</v>
      </c>
      <c r="I2704" s="160"/>
      <c r="J2704" s="161"/>
      <c r="K2704" s="160"/>
      <c r="L2704" s="160">
        <f>+'FACP$'!$H2704-'FACP$'!$I2704-'FACP$'!$K2704</f>
        <v>520215.72</v>
      </c>
      <c r="M2704" s="162" t="s">
        <v>985</v>
      </c>
      <c r="N2704" s="162" t="s">
        <v>554</v>
      </c>
      <c r="O2704" s="164">
        <v>44463.0</v>
      </c>
      <c r="P2704" s="164">
        <f t="shared" si="13"/>
        <v>44457</v>
      </c>
      <c r="Q2704" s="165">
        <f t="shared" si="2"/>
        <v>0</v>
      </c>
      <c r="R2704" s="167"/>
      <c r="S2704" s="167"/>
      <c r="T2704" s="168">
        <f t="shared" si="3"/>
        <v>520215.72</v>
      </c>
      <c r="U2704" s="168">
        <f t="shared" si="4"/>
        <v>0</v>
      </c>
      <c r="V2704" s="168">
        <f t="shared" si="5"/>
        <v>0</v>
      </c>
      <c r="W2704" s="168">
        <f t="shared" si="6"/>
        <v>0</v>
      </c>
      <c r="X2704" s="168">
        <f t="shared" si="7"/>
        <v>0</v>
      </c>
      <c r="Y2704" s="168">
        <f t="shared" si="8"/>
        <v>0</v>
      </c>
      <c r="Z2704" s="168">
        <f t="shared" si="9"/>
        <v>0</v>
      </c>
    </row>
    <row r="2705" ht="15.0" customHeight="1">
      <c r="A2705" s="157" t="s">
        <v>3100</v>
      </c>
      <c r="B2705" s="158" t="s">
        <v>16</v>
      </c>
      <c r="C2705" s="158" t="s">
        <v>3101</v>
      </c>
      <c r="D2705" s="159">
        <v>44447.0</v>
      </c>
      <c r="E2705" s="157" t="s">
        <v>731</v>
      </c>
      <c r="F2705" s="160">
        <v>429046.84</v>
      </c>
      <c r="G2705" s="160">
        <v>68647.49</v>
      </c>
      <c r="H2705" s="160">
        <f t="shared" si="61"/>
        <v>497694.33</v>
      </c>
      <c r="I2705" s="160"/>
      <c r="J2705" s="161"/>
      <c r="K2705" s="160"/>
      <c r="L2705" s="160">
        <f>+'FACP$'!$H2705-'FACP$'!$I2705-'FACP$'!$K2705</f>
        <v>497694.33</v>
      </c>
      <c r="M2705" s="162" t="s">
        <v>985</v>
      </c>
      <c r="N2705" s="162" t="s">
        <v>554</v>
      </c>
      <c r="O2705" s="164">
        <v>44463.0</v>
      </c>
      <c r="P2705" s="164">
        <f t="shared" si="13"/>
        <v>44457</v>
      </c>
      <c r="Q2705" s="165">
        <f t="shared" si="2"/>
        <v>0</v>
      </c>
      <c r="R2705" s="167"/>
      <c r="S2705" s="167"/>
      <c r="T2705" s="168">
        <f t="shared" si="3"/>
        <v>497694.33</v>
      </c>
      <c r="U2705" s="168">
        <f t="shared" si="4"/>
        <v>0</v>
      </c>
      <c r="V2705" s="168">
        <f t="shared" si="5"/>
        <v>0</v>
      </c>
      <c r="W2705" s="168">
        <f t="shared" si="6"/>
        <v>0</v>
      </c>
      <c r="X2705" s="168">
        <f t="shared" si="7"/>
        <v>0</v>
      </c>
      <c r="Y2705" s="168">
        <f t="shared" si="8"/>
        <v>0</v>
      </c>
      <c r="Z2705" s="168">
        <f t="shared" si="9"/>
        <v>0</v>
      </c>
    </row>
    <row r="2706" ht="15.0" customHeight="1">
      <c r="A2706" s="157" t="s">
        <v>3102</v>
      </c>
      <c r="B2706" s="158" t="s">
        <v>18</v>
      </c>
      <c r="C2706" s="158" t="s">
        <v>3097</v>
      </c>
      <c r="D2706" s="159">
        <v>44447.0</v>
      </c>
      <c r="E2706" s="157" t="s">
        <v>731</v>
      </c>
      <c r="F2706" s="160">
        <v>208254.49</v>
      </c>
      <c r="G2706" s="160">
        <v>33320.72</v>
      </c>
      <c r="H2706" s="160">
        <f t="shared" si="61"/>
        <v>241575.21</v>
      </c>
      <c r="I2706" s="160"/>
      <c r="J2706" s="161"/>
      <c r="K2706" s="160"/>
      <c r="L2706" s="160">
        <f>+'FACP$'!$H2706-'FACP$'!$I2706-'FACP$'!$K2706</f>
        <v>241575.21</v>
      </c>
      <c r="M2706" s="162" t="s">
        <v>586</v>
      </c>
      <c r="N2706" s="162" t="s">
        <v>554</v>
      </c>
      <c r="O2706" s="164">
        <v>44467.0</v>
      </c>
      <c r="P2706" s="164">
        <f t="shared" si="13"/>
        <v>44457</v>
      </c>
      <c r="Q2706" s="165">
        <f t="shared" si="2"/>
        <v>0</v>
      </c>
      <c r="R2706" s="167"/>
      <c r="S2706" s="167"/>
      <c r="T2706" s="168">
        <f t="shared" si="3"/>
        <v>241575.21</v>
      </c>
      <c r="U2706" s="168">
        <f t="shared" si="4"/>
        <v>0</v>
      </c>
      <c r="V2706" s="168">
        <f t="shared" si="5"/>
        <v>0</v>
      </c>
      <c r="W2706" s="168">
        <f t="shared" si="6"/>
        <v>0</v>
      </c>
      <c r="X2706" s="168">
        <f t="shared" si="7"/>
        <v>0</v>
      </c>
      <c r="Y2706" s="168">
        <f t="shared" si="8"/>
        <v>0</v>
      </c>
      <c r="Z2706" s="168">
        <f t="shared" si="9"/>
        <v>0</v>
      </c>
    </row>
    <row r="2707" ht="15.0" customHeight="1">
      <c r="A2707" s="157" t="s">
        <v>3103</v>
      </c>
      <c r="B2707" s="158" t="s">
        <v>19</v>
      </c>
      <c r="C2707" s="158" t="s">
        <v>3097</v>
      </c>
      <c r="D2707" s="159">
        <v>44447.0</v>
      </c>
      <c r="E2707" s="157" t="s">
        <v>731</v>
      </c>
      <c r="F2707" s="160">
        <v>195248.06</v>
      </c>
      <c r="G2707" s="160">
        <v>31239.69</v>
      </c>
      <c r="H2707" s="160">
        <f t="shared" si="61"/>
        <v>226487.75</v>
      </c>
      <c r="I2707" s="160"/>
      <c r="J2707" s="161"/>
      <c r="K2707" s="160"/>
      <c r="L2707" s="160">
        <f>+'FACP$'!$H2707-'FACP$'!$I2707-'FACP$'!$K2707</f>
        <v>226487.75</v>
      </c>
      <c r="M2707" s="162" t="s">
        <v>732</v>
      </c>
      <c r="N2707" s="162" t="s">
        <v>554</v>
      </c>
      <c r="O2707" s="164">
        <v>44467.0</v>
      </c>
      <c r="P2707" s="164">
        <f t="shared" si="13"/>
        <v>44457</v>
      </c>
      <c r="Q2707" s="165">
        <f t="shared" si="2"/>
        <v>0</v>
      </c>
      <c r="R2707" s="167"/>
      <c r="S2707" s="167"/>
      <c r="T2707" s="168">
        <f t="shared" si="3"/>
        <v>226487.75</v>
      </c>
      <c r="U2707" s="168">
        <f t="shared" si="4"/>
        <v>0</v>
      </c>
      <c r="V2707" s="168">
        <f t="shared" si="5"/>
        <v>0</v>
      </c>
      <c r="W2707" s="168">
        <f t="shared" si="6"/>
        <v>0</v>
      </c>
      <c r="X2707" s="168">
        <f t="shared" si="7"/>
        <v>0</v>
      </c>
      <c r="Y2707" s="168">
        <f t="shared" si="8"/>
        <v>0</v>
      </c>
      <c r="Z2707" s="168">
        <f t="shared" si="9"/>
        <v>0</v>
      </c>
    </row>
    <row r="2708" ht="15.0" customHeight="1">
      <c r="A2708" s="157" t="s">
        <v>3104</v>
      </c>
      <c r="B2708" s="158" t="s">
        <v>26</v>
      </c>
      <c r="C2708" s="158" t="s">
        <v>3097</v>
      </c>
      <c r="D2708" s="159">
        <v>44447.0</v>
      </c>
      <c r="E2708" s="157" t="s">
        <v>731</v>
      </c>
      <c r="F2708" s="160">
        <v>95508.06</v>
      </c>
      <c r="G2708" s="160">
        <v>15281.29</v>
      </c>
      <c r="H2708" s="160">
        <f t="shared" si="61"/>
        <v>110789.35</v>
      </c>
      <c r="I2708" s="160"/>
      <c r="J2708" s="161"/>
      <c r="K2708" s="160"/>
      <c r="L2708" s="160">
        <f>+'FACP$'!$H2708-'FACP$'!$I2708-'FACP$'!$K2708</f>
        <v>110789.35</v>
      </c>
      <c r="M2708" s="162" t="s">
        <v>2386</v>
      </c>
      <c r="N2708" s="162" t="s">
        <v>554</v>
      </c>
      <c r="O2708" s="164">
        <v>44533.0</v>
      </c>
      <c r="P2708" s="164">
        <f t="shared" si="13"/>
        <v>44457</v>
      </c>
      <c r="Q2708" s="165">
        <f t="shared" si="2"/>
        <v>0</v>
      </c>
      <c r="R2708" s="167" t="s">
        <v>3105</v>
      </c>
      <c r="S2708" s="167"/>
      <c r="T2708" s="168">
        <f t="shared" si="3"/>
        <v>110789.35</v>
      </c>
      <c r="U2708" s="168">
        <f t="shared" si="4"/>
        <v>0</v>
      </c>
      <c r="V2708" s="168">
        <f t="shared" si="5"/>
        <v>0</v>
      </c>
      <c r="W2708" s="168">
        <f t="shared" si="6"/>
        <v>0</v>
      </c>
      <c r="X2708" s="168">
        <f t="shared" si="7"/>
        <v>0</v>
      </c>
      <c r="Y2708" s="168">
        <f t="shared" si="8"/>
        <v>0</v>
      </c>
      <c r="Z2708" s="168">
        <f t="shared" si="9"/>
        <v>0</v>
      </c>
    </row>
    <row r="2709" ht="15.0" customHeight="1">
      <c r="A2709" s="157" t="s">
        <v>3106</v>
      </c>
      <c r="B2709" s="158" t="s">
        <v>26</v>
      </c>
      <c r="C2709" s="158" t="s">
        <v>3097</v>
      </c>
      <c r="D2709" s="159">
        <v>44447.0</v>
      </c>
      <c r="E2709" s="157" t="s">
        <v>731</v>
      </c>
      <c r="F2709" s="160">
        <v>32575.2</v>
      </c>
      <c r="G2709" s="160">
        <v>5212.03</v>
      </c>
      <c r="H2709" s="160">
        <f t="shared" si="61"/>
        <v>37787.23</v>
      </c>
      <c r="I2709" s="248"/>
      <c r="J2709" s="249"/>
      <c r="K2709" s="248"/>
      <c r="L2709" s="248">
        <f>+'FACP$'!$H2709-'FACP$'!$I2709-'FACP$'!$K2709</f>
        <v>37787.23</v>
      </c>
      <c r="M2709" s="162" t="s">
        <v>188</v>
      </c>
      <c r="N2709" s="162" t="s">
        <v>554</v>
      </c>
      <c r="O2709" s="164">
        <v>44495.0</v>
      </c>
      <c r="P2709" s="164">
        <f t="shared" si="13"/>
        <v>44457</v>
      </c>
      <c r="Q2709" s="165">
        <f t="shared" si="2"/>
        <v>0</v>
      </c>
      <c r="R2709" s="167" t="s">
        <v>3107</v>
      </c>
      <c r="S2709" s="167"/>
      <c r="T2709" s="168">
        <f t="shared" si="3"/>
        <v>37787.23</v>
      </c>
      <c r="U2709" s="168">
        <f t="shared" si="4"/>
        <v>0</v>
      </c>
      <c r="V2709" s="168">
        <f t="shared" si="5"/>
        <v>0</v>
      </c>
      <c r="W2709" s="168">
        <f t="shared" si="6"/>
        <v>0</v>
      </c>
      <c r="X2709" s="168">
        <f t="shared" si="7"/>
        <v>0</v>
      </c>
      <c r="Y2709" s="168">
        <f t="shared" si="8"/>
        <v>0</v>
      </c>
      <c r="Z2709" s="168">
        <f t="shared" si="9"/>
        <v>0</v>
      </c>
    </row>
    <row r="2710" ht="15.0" customHeight="1">
      <c r="A2710" s="157" t="s">
        <v>3108</v>
      </c>
      <c r="B2710" s="158" t="s">
        <v>29</v>
      </c>
      <c r="C2710" s="158" t="s">
        <v>3097</v>
      </c>
      <c r="D2710" s="159">
        <v>44447.0</v>
      </c>
      <c r="E2710" s="157" t="s">
        <v>731</v>
      </c>
      <c r="F2710" s="160">
        <v>323678.63</v>
      </c>
      <c r="G2710" s="160">
        <v>51788.58</v>
      </c>
      <c r="H2710" s="160">
        <f t="shared" si="61"/>
        <v>375467.21</v>
      </c>
      <c r="I2710" s="160"/>
      <c r="J2710" s="161"/>
      <c r="K2710" s="160"/>
      <c r="L2710" s="160">
        <f>+'FACP$'!$H2710-'FACP$'!$I2710-'FACP$'!$K2710</f>
        <v>375467.21</v>
      </c>
      <c r="M2710" s="162" t="s">
        <v>130</v>
      </c>
      <c r="N2710" s="162" t="s">
        <v>554</v>
      </c>
      <c r="O2710" s="164">
        <v>44459.0</v>
      </c>
      <c r="P2710" s="164">
        <f t="shared" si="13"/>
        <v>44457</v>
      </c>
      <c r="Q2710" s="165">
        <f t="shared" si="2"/>
        <v>0</v>
      </c>
      <c r="R2710" s="167"/>
      <c r="S2710" s="167"/>
      <c r="T2710" s="168">
        <f t="shared" si="3"/>
        <v>375467.21</v>
      </c>
      <c r="U2710" s="168">
        <f t="shared" si="4"/>
        <v>0</v>
      </c>
      <c r="V2710" s="168">
        <f t="shared" si="5"/>
        <v>0</v>
      </c>
      <c r="W2710" s="168">
        <f t="shared" si="6"/>
        <v>0</v>
      </c>
      <c r="X2710" s="168">
        <f t="shared" si="7"/>
        <v>0</v>
      </c>
      <c r="Y2710" s="168">
        <f t="shared" si="8"/>
        <v>0</v>
      </c>
      <c r="Z2710" s="168">
        <f t="shared" si="9"/>
        <v>0</v>
      </c>
    </row>
    <row r="2711" ht="15.0" customHeight="1">
      <c r="A2711" s="157" t="s">
        <v>3109</v>
      </c>
      <c r="B2711" s="158" t="s">
        <v>29</v>
      </c>
      <c r="C2711" s="158" t="s">
        <v>3101</v>
      </c>
      <c r="D2711" s="159">
        <v>44447.0</v>
      </c>
      <c r="E2711" s="157" t="s">
        <v>731</v>
      </c>
      <c r="F2711" s="160">
        <v>293039.46</v>
      </c>
      <c r="G2711" s="160">
        <v>46886.31</v>
      </c>
      <c r="H2711" s="160">
        <f t="shared" si="61"/>
        <v>339925.77</v>
      </c>
      <c r="I2711" s="160"/>
      <c r="J2711" s="161"/>
      <c r="K2711" s="160"/>
      <c r="L2711" s="160">
        <f>+'FACP$'!$H2711-'FACP$'!$I2711-'FACP$'!$K2711</f>
        <v>339925.77</v>
      </c>
      <c r="M2711" s="162" t="s">
        <v>130</v>
      </c>
      <c r="N2711" s="162" t="s">
        <v>554</v>
      </c>
      <c r="O2711" s="164">
        <v>44459.0</v>
      </c>
      <c r="P2711" s="164">
        <f t="shared" si="13"/>
        <v>44457</v>
      </c>
      <c r="Q2711" s="165">
        <f t="shared" si="2"/>
        <v>0</v>
      </c>
      <c r="R2711" s="167"/>
      <c r="S2711" s="167"/>
      <c r="T2711" s="168">
        <f t="shared" si="3"/>
        <v>339925.77</v>
      </c>
      <c r="U2711" s="168">
        <f t="shared" si="4"/>
        <v>0</v>
      </c>
      <c r="V2711" s="168">
        <f t="shared" si="5"/>
        <v>0</v>
      </c>
      <c r="W2711" s="168">
        <f t="shared" si="6"/>
        <v>0</v>
      </c>
      <c r="X2711" s="168">
        <f t="shared" si="7"/>
        <v>0</v>
      </c>
      <c r="Y2711" s="168">
        <f t="shared" si="8"/>
        <v>0</v>
      </c>
      <c r="Z2711" s="168">
        <f t="shared" si="9"/>
        <v>0</v>
      </c>
    </row>
    <row r="2712" ht="15.0" customHeight="1">
      <c r="A2712" s="157" t="s">
        <v>3110</v>
      </c>
      <c r="B2712" s="158" t="s">
        <v>41</v>
      </c>
      <c r="C2712" s="158" t="s">
        <v>3097</v>
      </c>
      <c r="D2712" s="159">
        <v>44447.0</v>
      </c>
      <c r="E2712" s="157" t="s">
        <v>731</v>
      </c>
      <c r="F2712" s="160">
        <v>322302.92</v>
      </c>
      <c r="G2712" s="160">
        <v>51568.47</v>
      </c>
      <c r="H2712" s="160">
        <f t="shared" si="61"/>
        <v>373871.39</v>
      </c>
      <c r="I2712" s="160"/>
      <c r="J2712" s="161"/>
      <c r="K2712" s="160"/>
      <c r="L2712" s="160">
        <f>+'FACP$'!$H2712-'FACP$'!$I2712-'FACP$'!$K2712</f>
        <v>373871.39</v>
      </c>
      <c r="M2712" s="162" t="s">
        <v>121</v>
      </c>
      <c r="N2712" s="162" t="s">
        <v>554</v>
      </c>
      <c r="O2712" s="164">
        <v>44531.0</v>
      </c>
      <c r="P2712" s="164">
        <f t="shared" si="13"/>
        <v>44457</v>
      </c>
      <c r="Q2712" s="165">
        <f t="shared" si="2"/>
        <v>0</v>
      </c>
      <c r="R2712" s="167"/>
      <c r="S2712" s="167"/>
      <c r="T2712" s="168">
        <f t="shared" si="3"/>
        <v>373871.39</v>
      </c>
      <c r="U2712" s="168">
        <f t="shared" si="4"/>
        <v>0</v>
      </c>
      <c r="V2712" s="168">
        <f t="shared" si="5"/>
        <v>0</v>
      </c>
      <c r="W2712" s="168">
        <f t="shared" si="6"/>
        <v>0</v>
      </c>
      <c r="X2712" s="168">
        <f t="shared" si="7"/>
        <v>0</v>
      </c>
      <c r="Y2712" s="168">
        <f t="shared" si="8"/>
        <v>0</v>
      </c>
      <c r="Z2712" s="168">
        <f t="shared" si="9"/>
        <v>0</v>
      </c>
    </row>
    <row r="2713" ht="15.0" customHeight="1">
      <c r="A2713" s="157" t="s">
        <v>3111</v>
      </c>
      <c r="B2713" s="158" t="s">
        <v>37</v>
      </c>
      <c r="C2713" s="158" t="s">
        <v>3097</v>
      </c>
      <c r="D2713" s="159">
        <v>44447.0</v>
      </c>
      <c r="E2713" s="157" t="s">
        <v>731</v>
      </c>
      <c r="F2713" s="160">
        <v>2469084.94</v>
      </c>
      <c r="G2713" s="160">
        <v>395053.59</v>
      </c>
      <c r="H2713" s="160">
        <f t="shared" si="61"/>
        <v>2864138.53</v>
      </c>
      <c r="I2713" s="160"/>
      <c r="J2713" s="161"/>
      <c r="K2713" s="160"/>
      <c r="L2713" s="160">
        <f>+'FACP$'!$H2713-'FACP$'!$I2713-'FACP$'!$K2713</f>
        <v>2864138.53</v>
      </c>
      <c r="M2713" s="162" t="s">
        <v>116</v>
      </c>
      <c r="N2713" s="162" t="s">
        <v>554</v>
      </c>
      <c r="O2713" s="164">
        <v>44459.0</v>
      </c>
      <c r="P2713" s="164">
        <f t="shared" si="13"/>
        <v>44457</v>
      </c>
      <c r="Q2713" s="165">
        <f t="shared" si="2"/>
        <v>0</v>
      </c>
      <c r="R2713" s="167"/>
      <c r="S2713" s="167"/>
      <c r="T2713" s="168">
        <f t="shared" si="3"/>
        <v>2864138.53</v>
      </c>
      <c r="U2713" s="168">
        <f t="shared" si="4"/>
        <v>0</v>
      </c>
      <c r="V2713" s="168">
        <f t="shared" si="5"/>
        <v>0</v>
      </c>
      <c r="W2713" s="168">
        <f t="shared" si="6"/>
        <v>0</v>
      </c>
      <c r="X2713" s="168">
        <f t="shared" si="7"/>
        <v>0</v>
      </c>
      <c r="Y2713" s="168">
        <f t="shared" si="8"/>
        <v>0</v>
      </c>
      <c r="Z2713" s="168">
        <f t="shared" si="9"/>
        <v>0</v>
      </c>
    </row>
    <row r="2714" ht="15.0" customHeight="1">
      <c r="A2714" s="157" t="s">
        <v>3112</v>
      </c>
      <c r="B2714" s="158" t="s">
        <v>36</v>
      </c>
      <c r="C2714" s="158" t="s">
        <v>3097</v>
      </c>
      <c r="D2714" s="159">
        <v>44447.0</v>
      </c>
      <c r="E2714" s="157" t="s">
        <v>731</v>
      </c>
      <c r="F2714" s="160">
        <v>68556.18</v>
      </c>
      <c r="G2714" s="160">
        <v>10968.99</v>
      </c>
      <c r="H2714" s="160">
        <f t="shared" si="61"/>
        <v>79525.17</v>
      </c>
      <c r="I2714" s="160"/>
      <c r="J2714" s="161"/>
      <c r="K2714" s="160"/>
      <c r="L2714" s="160">
        <f>+'FACP$'!$H2714-'FACP$'!$I2714-'FACP$'!$K2714</f>
        <v>79525.17</v>
      </c>
      <c r="M2714" s="162" t="s">
        <v>278</v>
      </c>
      <c r="N2714" s="162" t="s">
        <v>554</v>
      </c>
      <c r="O2714" s="164">
        <v>44526.0</v>
      </c>
      <c r="P2714" s="164">
        <f t="shared" si="13"/>
        <v>44457</v>
      </c>
      <c r="Q2714" s="165">
        <f t="shared" si="2"/>
        <v>0</v>
      </c>
      <c r="R2714" s="167"/>
      <c r="S2714" s="167"/>
      <c r="T2714" s="168">
        <f t="shared" si="3"/>
        <v>79525.17</v>
      </c>
      <c r="U2714" s="168">
        <f t="shared" si="4"/>
        <v>0</v>
      </c>
      <c r="V2714" s="168">
        <f t="shared" si="5"/>
        <v>0</v>
      </c>
      <c r="W2714" s="168">
        <f t="shared" si="6"/>
        <v>0</v>
      </c>
      <c r="X2714" s="168">
        <f t="shared" si="7"/>
        <v>0</v>
      </c>
      <c r="Y2714" s="168">
        <f t="shared" si="8"/>
        <v>0</v>
      </c>
      <c r="Z2714" s="168">
        <f t="shared" si="9"/>
        <v>0</v>
      </c>
    </row>
    <row r="2715" ht="15.0" customHeight="1">
      <c r="A2715" s="157" t="s">
        <v>3113</v>
      </c>
      <c r="B2715" s="158" t="s">
        <v>35</v>
      </c>
      <c r="C2715" s="158" t="s">
        <v>3057</v>
      </c>
      <c r="D2715" s="159">
        <v>44448.0</v>
      </c>
      <c r="E2715" s="157" t="s">
        <v>731</v>
      </c>
      <c r="F2715" s="160">
        <v>42401.52</v>
      </c>
      <c r="G2715" s="160">
        <v>6784.24</v>
      </c>
      <c r="H2715" s="160">
        <f t="shared" si="61"/>
        <v>49185.76</v>
      </c>
      <c r="I2715" s="160"/>
      <c r="J2715" s="161"/>
      <c r="K2715" s="160"/>
      <c r="L2715" s="160">
        <f>+'FACP$'!$H2715-'FACP$'!$I2715-'FACP$'!$K2715</f>
        <v>49185.76</v>
      </c>
      <c r="M2715" s="162" t="s">
        <v>276</v>
      </c>
      <c r="N2715" s="162" t="s">
        <v>554</v>
      </c>
      <c r="O2715" s="164">
        <v>44454.0</v>
      </c>
      <c r="P2715" s="164">
        <f t="shared" si="13"/>
        <v>44458</v>
      </c>
      <c r="Q2715" s="165">
        <f t="shared" si="2"/>
        <v>0</v>
      </c>
      <c r="R2715" s="167"/>
      <c r="S2715" s="167"/>
      <c r="T2715" s="168">
        <f t="shared" si="3"/>
        <v>49185.76</v>
      </c>
      <c r="U2715" s="168">
        <f t="shared" si="4"/>
        <v>0</v>
      </c>
      <c r="V2715" s="168">
        <f t="shared" si="5"/>
        <v>0</v>
      </c>
      <c r="W2715" s="168">
        <f t="shared" si="6"/>
        <v>0</v>
      </c>
      <c r="X2715" s="168">
        <f t="shared" si="7"/>
        <v>0</v>
      </c>
      <c r="Y2715" s="168">
        <f t="shared" si="8"/>
        <v>0</v>
      </c>
      <c r="Z2715" s="168">
        <f t="shared" si="9"/>
        <v>0</v>
      </c>
    </row>
    <row r="2716" ht="15.0" customHeight="1">
      <c r="A2716" s="157" t="s">
        <v>3114</v>
      </c>
      <c r="B2716" s="158" t="s">
        <v>35</v>
      </c>
      <c r="C2716" s="158" t="s">
        <v>3097</v>
      </c>
      <c r="D2716" s="159">
        <v>44448.0</v>
      </c>
      <c r="E2716" s="157" t="s">
        <v>731</v>
      </c>
      <c r="F2716" s="160">
        <v>107646.55</v>
      </c>
      <c r="G2716" s="160">
        <v>17223.45</v>
      </c>
      <c r="H2716" s="160">
        <f t="shared" si="61"/>
        <v>124870</v>
      </c>
      <c r="I2716" s="160"/>
      <c r="J2716" s="161"/>
      <c r="K2716" s="160"/>
      <c r="L2716" s="160">
        <f>+'FACP$'!$H2716-'FACP$'!$I2716-'FACP$'!$K2716</f>
        <v>124870</v>
      </c>
      <c r="M2716" s="162" t="s">
        <v>276</v>
      </c>
      <c r="N2716" s="162" t="s">
        <v>554</v>
      </c>
      <c r="O2716" s="164">
        <v>44454.0</v>
      </c>
      <c r="P2716" s="164">
        <f t="shared" si="13"/>
        <v>44458</v>
      </c>
      <c r="Q2716" s="165">
        <f t="shared" si="2"/>
        <v>0</v>
      </c>
      <c r="R2716" s="167"/>
      <c r="S2716" s="167"/>
      <c r="T2716" s="168">
        <f t="shared" si="3"/>
        <v>124870</v>
      </c>
      <c r="U2716" s="168">
        <f t="shared" si="4"/>
        <v>0</v>
      </c>
      <c r="V2716" s="168">
        <f t="shared" si="5"/>
        <v>0</v>
      </c>
      <c r="W2716" s="168">
        <f t="shared" si="6"/>
        <v>0</v>
      </c>
      <c r="X2716" s="168">
        <f t="shared" si="7"/>
        <v>0</v>
      </c>
      <c r="Y2716" s="168">
        <f t="shared" si="8"/>
        <v>0</v>
      </c>
      <c r="Z2716" s="168">
        <f t="shared" si="9"/>
        <v>0</v>
      </c>
    </row>
    <row r="2717" ht="15.0" customHeight="1">
      <c r="A2717" s="157" t="s">
        <v>3115</v>
      </c>
      <c r="B2717" s="158" t="s">
        <v>16</v>
      </c>
      <c r="C2717" s="158" t="s">
        <v>3116</v>
      </c>
      <c r="D2717" s="159">
        <v>44452.0</v>
      </c>
      <c r="E2717" s="157" t="s">
        <v>731</v>
      </c>
      <c r="F2717" s="160">
        <v>23327.4</v>
      </c>
      <c r="G2717" s="160">
        <v>3732.38</v>
      </c>
      <c r="H2717" s="160">
        <f t="shared" si="61"/>
        <v>27059.78</v>
      </c>
      <c r="I2717" s="160"/>
      <c r="J2717" s="161"/>
      <c r="K2717" s="160"/>
      <c r="L2717" s="160">
        <f>+'FACP$'!$H2717-'FACP$'!$I2717-'FACP$'!$K2717</f>
        <v>27059.78</v>
      </c>
      <c r="M2717" s="162" t="s">
        <v>985</v>
      </c>
      <c r="N2717" s="162" t="s">
        <v>554</v>
      </c>
      <c r="O2717" s="164">
        <v>44494.0</v>
      </c>
      <c r="P2717" s="164">
        <f t="shared" si="13"/>
        <v>44462</v>
      </c>
      <c r="Q2717" s="165">
        <f t="shared" si="2"/>
        <v>0</v>
      </c>
      <c r="R2717" s="167"/>
      <c r="S2717" s="167"/>
      <c r="T2717" s="168">
        <f t="shared" si="3"/>
        <v>27059.78</v>
      </c>
      <c r="U2717" s="168">
        <f t="shared" si="4"/>
        <v>0</v>
      </c>
      <c r="V2717" s="168">
        <f t="shared" si="5"/>
        <v>0</v>
      </c>
      <c r="W2717" s="168">
        <f t="shared" si="6"/>
        <v>0</v>
      </c>
      <c r="X2717" s="168">
        <f t="shared" si="7"/>
        <v>0</v>
      </c>
      <c r="Y2717" s="168">
        <f t="shared" si="8"/>
        <v>0</v>
      </c>
      <c r="Z2717" s="168">
        <f t="shared" si="9"/>
        <v>0</v>
      </c>
    </row>
    <row r="2718" ht="15.0" customHeight="1">
      <c r="A2718" s="157" t="s">
        <v>3117</v>
      </c>
      <c r="B2718" s="158" t="s">
        <v>16</v>
      </c>
      <c r="C2718" s="158" t="s">
        <v>3118</v>
      </c>
      <c r="D2718" s="159">
        <v>44452.0</v>
      </c>
      <c r="E2718" s="157" t="s">
        <v>731</v>
      </c>
      <c r="F2718" s="160">
        <v>25215.31</v>
      </c>
      <c r="G2718" s="160">
        <v>4034.45</v>
      </c>
      <c r="H2718" s="160">
        <f t="shared" si="61"/>
        <v>29249.76</v>
      </c>
      <c r="I2718" s="160"/>
      <c r="J2718" s="161"/>
      <c r="K2718" s="160"/>
      <c r="L2718" s="160">
        <f>+'FACP$'!$H2718-'FACP$'!$I2718-'FACP$'!$K2718</f>
        <v>29249.76</v>
      </c>
      <c r="M2718" s="162" t="s">
        <v>985</v>
      </c>
      <c r="N2718" s="162" t="s">
        <v>554</v>
      </c>
      <c r="O2718" s="164">
        <v>44494.0</v>
      </c>
      <c r="P2718" s="164">
        <f t="shared" si="13"/>
        <v>44462</v>
      </c>
      <c r="Q2718" s="165">
        <f t="shared" si="2"/>
        <v>0</v>
      </c>
      <c r="R2718" s="167"/>
      <c r="S2718" s="167"/>
      <c r="T2718" s="168">
        <f t="shared" si="3"/>
        <v>29249.76</v>
      </c>
      <c r="U2718" s="168">
        <f t="shared" si="4"/>
        <v>0</v>
      </c>
      <c r="V2718" s="168">
        <f t="shared" si="5"/>
        <v>0</v>
      </c>
      <c r="W2718" s="168">
        <f t="shared" si="6"/>
        <v>0</v>
      </c>
      <c r="X2718" s="168">
        <f t="shared" si="7"/>
        <v>0</v>
      </c>
      <c r="Y2718" s="168">
        <f t="shared" si="8"/>
        <v>0</v>
      </c>
      <c r="Z2718" s="168">
        <f t="shared" si="9"/>
        <v>0</v>
      </c>
    </row>
    <row r="2719" ht="15.0" customHeight="1">
      <c r="A2719" s="157" t="s">
        <v>3119</v>
      </c>
      <c r="B2719" s="158" t="s">
        <v>33</v>
      </c>
      <c r="C2719" s="158" t="s">
        <v>2949</v>
      </c>
      <c r="D2719" s="159">
        <v>44459.0</v>
      </c>
      <c r="E2719" s="157" t="s">
        <v>731</v>
      </c>
      <c r="F2719" s="160">
        <v>482997.6</v>
      </c>
      <c r="G2719" s="160">
        <v>77279.62</v>
      </c>
      <c r="H2719" s="160">
        <f t="shared" si="61"/>
        <v>560277.22</v>
      </c>
      <c r="I2719" s="160"/>
      <c r="J2719" s="161"/>
      <c r="K2719" s="160"/>
      <c r="L2719" s="160">
        <f>+'FACP$'!$H2719-'FACP$'!$I2719-'FACP$'!$K2719</f>
        <v>560277.22</v>
      </c>
      <c r="M2719" s="162" t="s">
        <v>958</v>
      </c>
      <c r="N2719" s="162" t="s">
        <v>554</v>
      </c>
      <c r="O2719" s="164">
        <v>44484.0</v>
      </c>
      <c r="P2719" s="164">
        <f t="shared" si="13"/>
        <v>44469</v>
      </c>
      <c r="Q2719" s="165">
        <f t="shared" si="2"/>
        <v>0</v>
      </c>
      <c r="R2719" s="167"/>
      <c r="S2719" s="167"/>
      <c r="T2719" s="168">
        <f t="shared" si="3"/>
        <v>560277.22</v>
      </c>
      <c r="U2719" s="168">
        <f t="shared" si="4"/>
        <v>0</v>
      </c>
      <c r="V2719" s="168">
        <f t="shared" si="5"/>
        <v>0</v>
      </c>
      <c r="W2719" s="168">
        <f t="shared" si="6"/>
        <v>0</v>
      </c>
      <c r="X2719" s="168">
        <f t="shared" si="7"/>
        <v>0</v>
      </c>
      <c r="Y2719" s="168">
        <f t="shared" si="8"/>
        <v>0</v>
      </c>
      <c r="Z2719" s="168">
        <f t="shared" si="9"/>
        <v>0</v>
      </c>
    </row>
    <row r="2720" ht="15.0" customHeight="1">
      <c r="A2720" s="157" t="s">
        <v>3120</v>
      </c>
      <c r="B2720" s="158" t="s">
        <v>33</v>
      </c>
      <c r="C2720" s="158" t="s">
        <v>2988</v>
      </c>
      <c r="D2720" s="159">
        <v>44459.0</v>
      </c>
      <c r="E2720" s="157" t="s">
        <v>731</v>
      </c>
      <c r="F2720" s="160">
        <v>196759.57</v>
      </c>
      <c r="G2720" s="160">
        <v>31481.53</v>
      </c>
      <c r="H2720" s="160">
        <f t="shared" si="61"/>
        <v>228241.1</v>
      </c>
      <c r="I2720" s="160"/>
      <c r="J2720" s="161"/>
      <c r="K2720" s="160"/>
      <c r="L2720" s="160">
        <f>+'FACP$'!$H2720-'FACP$'!$I2720-'FACP$'!$K2720</f>
        <v>228241.1</v>
      </c>
      <c r="M2720" s="162" t="s">
        <v>958</v>
      </c>
      <c r="N2720" s="162" t="s">
        <v>554</v>
      </c>
      <c r="O2720" s="164">
        <v>44491.0</v>
      </c>
      <c r="P2720" s="164">
        <f t="shared" si="13"/>
        <v>44469</v>
      </c>
      <c r="Q2720" s="165">
        <f t="shared" si="2"/>
        <v>0</v>
      </c>
      <c r="R2720" s="167"/>
      <c r="S2720" s="167"/>
      <c r="T2720" s="168">
        <f t="shared" si="3"/>
        <v>228241.1</v>
      </c>
      <c r="U2720" s="168">
        <f t="shared" si="4"/>
        <v>0</v>
      </c>
      <c r="V2720" s="168">
        <f t="shared" si="5"/>
        <v>0</v>
      </c>
      <c r="W2720" s="168">
        <f t="shared" si="6"/>
        <v>0</v>
      </c>
      <c r="X2720" s="168">
        <f t="shared" si="7"/>
        <v>0</v>
      </c>
      <c r="Y2720" s="168">
        <f t="shared" si="8"/>
        <v>0</v>
      </c>
      <c r="Z2720" s="168">
        <f t="shared" si="9"/>
        <v>0</v>
      </c>
    </row>
    <row r="2721" ht="15.0" customHeight="1">
      <c r="A2721" s="157" t="s">
        <v>3121</v>
      </c>
      <c r="B2721" s="158" t="s">
        <v>16</v>
      </c>
      <c r="C2721" s="158" t="s">
        <v>3122</v>
      </c>
      <c r="D2721" s="159">
        <v>44461.0</v>
      </c>
      <c r="E2721" s="157" t="s">
        <v>731</v>
      </c>
      <c r="F2721" s="160">
        <v>278785.1</v>
      </c>
      <c r="G2721" s="160">
        <v>44605.62</v>
      </c>
      <c r="H2721" s="160">
        <f t="shared" si="61"/>
        <v>323390.72</v>
      </c>
      <c r="I2721" s="160"/>
      <c r="J2721" s="161"/>
      <c r="K2721" s="160"/>
      <c r="L2721" s="160">
        <f>+'FACP$'!$H2721-'FACP$'!$I2721-'FACP$'!$K2721</f>
        <v>323390.72</v>
      </c>
      <c r="M2721" s="162" t="s">
        <v>985</v>
      </c>
      <c r="N2721" s="162" t="s">
        <v>554</v>
      </c>
      <c r="O2721" s="164">
        <v>44494.0</v>
      </c>
      <c r="P2721" s="164">
        <f t="shared" si="13"/>
        <v>44471</v>
      </c>
      <c r="Q2721" s="165">
        <f t="shared" si="2"/>
        <v>0</v>
      </c>
      <c r="R2721" s="167" t="s">
        <v>2735</v>
      </c>
      <c r="S2721" s="167"/>
      <c r="T2721" s="168">
        <f t="shared" si="3"/>
        <v>323390.72</v>
      </c>
      <c r="U2721" s="168">
        <f t="shared" si="4"/>
        <v>0</v>
      </c>
      <c r="V2721" s="168">
        <f t="shared" si="5"/>
        <v>0</v>
      </c>
      <c r="W2721" s="168">
        <f t="shared" si="6"/>
        <v>0</v>
      </c>
      <c r="X2721" s="168">
        <f t="shared" si="7"/>
        <v>0</v>
      </c>
      <c r="Y2721" s="168">
        <f t="shared" si="8"/>
        <v>0</v>
      </c>
      <c r="Z2721" s="168">
        <f t="shared" si="9"/>
        <v>0</v>
      </c>
    </row>
    <row r="2722" ht="15.0" customHeight="1">
      <c r="A2722" s="157" t="s">
        <v>3123</v>
      </c>
      <c r="B2722" s="158" t="s">
        <v>29</v>
      </c>
      <c r="C2722" s="158" t="s">
        <v>3124</v>
      </c>
      <c r="D2722" s="159">
        <v>44461.0</v>
      </c>
      <c r="E2722" s="157" t="s">
        <v>731</v>
      </c>
      <c r="F2722" s="160">
        <v>319025.51</v>
      </c>
      <c r="G2722" s="160">
        <v>51044.08</v>
      </c>
      <c r="H2722" s="160" t="str">
        <f>F2722+G2722-'NCP$'!#REF!</f>
        <v>#ERROR!</v>
      </c>
      <c r="I2722" s="160"/>
      <c r="J2722" s="161"/>
      <c r="K2722" s="160"/>
      <c r="L2722" s="160" t="str">
        <f>+'FACP$'!$H2722-'FACP$'!$I2722-'FACP$'!$K2722</f>
        <v>#ERROR!</v>
      </c>
      <c r="M2722" s="162" t="s">
        <v>130</v>
      </c>
      <c r="N2722" s="162" t="s">
        <v>554</v>
      </c>
      <c r="O2722" s="164">
        <v>44491.0</v>
      </c>
      <c r="P2722" s="164">
        <f t="shared" si="13"/>
        <v>44471</v>
      </c>
      <c r="Q2722" s="165">
        <f t="shared" si="2"/>
        <v>0</v>
      </c>
      <c r="R2722" s="167" t="s">
        <v>3125</v>
      </c>
      <c r="S2722" s="167"/>
      <c r="T2722" s="168" t="str">
        <f t="shared" si="3"/>
        <v>#ERROR!</v>
      </c>
      <c r="U2722" s="168">
        <f t="shared" si="4"/>
        <v>0</v>
      </c>
      <c r="V2722" s="168">
        <f t="shared" si="5"/>
        <v>0</v>
      </c>
      <c r="W2722" s="168">
        <f t="shared" si="6"/>
        <v>0</v>
      </c>
      <c r="X2722" s="168">
        <f t="shared" si="7"/>
        <v>0</v>
      </c>
      <c r="Y2722" s="168">
        <f t="shared" si="8"/>
        <v>0</v>
      </c>
      <c r="Z2722" s="168">
        <f t="shared" si="9"/>
        <v>0</v>
      </c>
    </row>
    <row r="2723" ht="15.0" customHeight="1">
      <c r="A2723" s="157" t="s">
        <v>3126</v>
      </c>
      <c r="B2723" s="158" t="s">
        <v>16</v>
      </c>
      <c r="C2723" s="158" t="s">
        <v>3127</v>
      </c>
      <c r="D2723" s="159">
        <v>44463.0</v>
      </c>
      <c r="E2723" s="157" t="s">
        <v>731</v>
      </c>
      <c r="F2723" s="160">
        <v>150397.44</v>
      </c>
      <c r="G2723" s="160">
        <v>24063.59</v>
      </c>
      <c r="H2723" s="160">
        <f t="shared" ref="H2723:H2756" si="62">F2723+G2723</f>
        <v>174461.03</v>
      </c>
      <c r="I2723" s="160"/>
      <c r="J2723" s="161"/>
      <c r="K2723" s="160"/>
      <c r="L2723" s="160">
        <f>+'FACP$'!$H2723-'FACP$'!$I2723-'FACP$'!$K2723</f>
        <v>174461.03</v>
      </c>
      <c r="M2723" s="162" t="s">
        <v>985</v>
      </c>
      <c r="N2723" s="162" t="s">
        <v>554</v>
      </c>
      <c r="O2723" s="164">
        <v>44494.0</v>
      </c>
      <c r="P2723" s="164">
        <f t="shared" si="13"/>
        <v>44473</v>
      </c>
      <c r="Q2723" s="165">
        <f t="shared" si="2"/>
        <v>0</v>
      </c>
      <c r="R2723" s="167"/>
      <c r="S2723" s="167"/>
      <c r="T2723" s="168">
        <f t="shared" si="3"/>
        <v>174461.03</v>
      </c>
      <c r="U2723" s="168">
        <f t="shared" si="4"/>
        <v>0</v>
      </c>
      <c r="V2723" s="168">
        <f t="shared" si="5"/>
        <v>0</v>
      </c>
      <c r="W2723" s="168">
        <f t="shared" si="6"/>
        <v>0</v>
      </c>
      <c r="X2723" s="168">
        <f t="shared" si="7"/>
        <v>0</v>
      </c>
      <c r="Y2723" s="168">
        <f t="shared" si="8"/>
        <v>0</v>
      </c>
      <c r="Z2723" s="168">
        <f t="shared" si="9"/>
        <v>0</v>
      </c>
    </row>
    <row r="2724" ht="15.0" customHeight="1">
      <c r="A2724" s="157" t="s">
        <v>3128</v>
      </c>
      <c r="B2724" s="158" t="s">
        <v>16</v>
      </c>
      <c r="C2724" s="158" t="s">
        <v>3129</v>
      </c>
      <c r="D2724" s="159">
        <v>44463.0</v>
      </c>
      <c r="E2724" s="157" t="s">
        <v>731</v>
      </c>
      <c r="F2724" s="160">
        <v>127273.33</v>
      </c>
      <c r="G2724" s="160">
        <v>20363.73</v>
      </c>
      <c r="H2724" s="160">
        <f t="shared" si="62"/>
        <v>147637.06</v>
      </c>
      <c r="I2724" s="160"/>
      <c r="J2724" s="161"/>
      <c r="K2724" s="160"/>
      <c r="L2724" s="160">
        <f>+'FACP$'!$H2724-'FACP$'!$I2724-'FACP$'!$K2724</f>
        <v>147637.06</v>
      </c>
      <c r="M2724" s="162" t="s">
        <v>985</v>
      </c>
      <c r="N2724" s="162" t="s">
        <v>554</v>
      </c>
      <c r="O2724" s="164">
        <v>44494.0</v>
      </c>
      <c r="P2724" s="164">
        <f t="shared" si="13"/>
        <v>44473</v>
      </c>
      <c r="Q2724" s="165">
        <f t="shared" si="2"/>
        <v>0</v>
      </c>
      <c r="R2724" s="167"/>
      <c r="S2724" s="167"/>
      <c r="T2724" s="168">
        <f t="shared" si="3"/>
        <v>147637.06</v>
      </c>
      <c r="U2724" s="168">
        <f t="shared" si="4"/>
        <v>0</v>
      </c>
      <c r="V2724" s="168">
        <f t="shared" si="5"/>
        <v>0</v>
      </c>
      <c r="W2724" s="168">
        <f t="shared" si="6"/>
        <v>0</v>
      </c>
      <c r="X2724" s="168">
        <f t="shared" si="7"/>
        <v>0</v>
      </c>
      <c r="Y2724" s="168">
        <f t="shared" si="8"/>
        <v>0</v>
      </c>
      <c r="Z2724" s="168">
        <f t="shared" si="9"/>
        <v>0</v>
      </c>
    </row>
    <row r="2725" ht="15.0" customHeight="1">
      <c r="A2725" s="157" t="s">
        <v>3130</v>
      </c>
      <c r="B2725" s="158" t="s">
        <v>18</v>
      </c>
      <c r="C2725" s="158" t="s">
        <v>3127</v>
      </c>
      <c r="D2725" s="159">
        <v>44463.0</v>
      </c>
      <c r="E2725" s="157" t="s">
        <v>731</v>
      </c>
      <c r="F2725" s="160">
        <v>175797.38</v>
      </c>
      <c r="G2725" s="160">
        <v>28127.58</v>
      </c>
      <c r="H2725" s="160">
        <f t="shared" si="62"/>
        <v>203924.96</v>
      </c>
      <c r="I2725" s="160"/>
      <c r="J2725" s="161"/>
      <c r="K2725" s="160"/>
      <c r="L2725" s="160">
        <f>+'FACP$'!$H2725-'FACP$'!$I2725-'FACP$'!$K2725</f>
        <v>203924.96</v>
      </c>
      <c r="M2725" s="162" t="s">
        <v>586</v>
      </c>
      <c r="N2725" s="162" t="s">
        <v>554</v>
      </c>
      <c r="O2725" s="164">
        <v>44468.0</v>
      </c>
      <c r="P2725" s="164">
        <f t="shared" si="13"/>
        <v>44473</v>
      </c>
      <c r="Q2725" s="165">
        <f t="shared" si="2"/>
        <v>0</v>
      </c>
      <c r="R2725" s="167"/>
      <c r="S2725" s="167"/>
      <c r="T2725" s="168">
        <f t="shared" si="3"/>
        <v>203924.96</v>
      </c>
      <c r="U2725" s="168">
        <f t="shared" si="4"/>
        <v>0</v>
      </c>
      <c r="V2725" s="168">
        <f t="shared" si="5"/>
        <v>0</v>
      </c>
      <c r="W2725" s="168">
        <f t="shared" si="6"/>
        <v>0</v>
      </c>
      <c r="X2725" s="168">
        <f t="shared" si="7"/>
        <v>0</v>
      </c>
      <c r="Y2725" s="168">
        <f t="shared" si="8"/>
        <v>0</v>
      </c>
      <c r="Z2725" s="168">
        <f t="shared" si="9"/>
        <v>0</v>
      </c>
    </row>
    <row r="2726" ht="15.0" customHeight="1">
      <c r="A2726" s="157" t="s">
        <v>3131</v>
      </c>
      <c r="B2726" s="158" t="s">
        <v>19</v>
      </c>
      <c r="C2726" s="158" t="s">
        <v>3127</v>
      </c>
      <c r="D2726" s="159">
        <v>44463.0</v>
      </c>
      <c r="E2726" s="157" t="s">
        <v>731</v>
      </c>
      <c r="F2726" s="160">
        <v>244391.04</v>
      </c>
      <c r="G2726" s="160">
        <v>39102.57</v>
      </c>
      <c r="H2726" s="160">
        <f t="shared" si="62"/>
        <v>283493.61</v>
      </c>
      <c r="I2726" s="160"/>
      <c r="J2726" s="161"/>
      <c r="K2726" s="160"/>
      <c r="L2726" s="160">
        <f>+'FACP$'!$H2726-'FACP$'!$I2726-'FACP$'!$K2726</f>
        <v>283493.61</v>
      </c>
      <c r="M2726" s="162" t="s">
        <v>732</v>
      </c>
      <c r="N2726" s="162" t="s">
        <v>554</v>
      </c>
      <c r="O2726" s="164">
        <v>44468.0</v>
      </c>
      <c r="P2726" s="164">
        <f t="shared" si="13"/>
        <v>44473</v>
      </c>
      <c r="Q2726" s="165">
        <f t="shared" si="2"/>
        <v>0</v>
      </c>
      <c r="R2726" s="167"/>
      <c r="S2726" s="167"/>
      <c r="T2726" s="168">
        <f t="shared" si="3"/>
        <v>283493.61</v>
      </c>
      <c r="U2726" s="168">
        <f t="shared" si="4"/>
        <v>0</v>
      </c>
      <c r="V2726" s="168">
        <f t="shared" si="5"/>
        <v>0</v>
      </c>
      <c r="W2726" s="168">
        <f t="shared" si="6"/>
        <v>0</v>
      </c>
      <c r="X2726" s="168">
        <f t="shared" si="7"/>
        <v>0</v>
      </c>
      <c r="Y2726" s="168">
        <f t="shared" si="8"/>
        <v>0</v>
      </c>
      <c r="Z2726" s="168">
        <f t="shared" si="9"/>
        <v>0</v>
      </c>
    </row>
    <row r="2727" ht="15.0" customHeight="1">
      <c r="A2727" s="157" t="s">
        <v>3132</v>
      </c>
      <c r="B2727" s="158" t="s">
        <v>26</v>
      </c>
      <c r="C2727" s="158" t="s">
        <v>3127</v>
      </c>
      <c r="D2727" s="159">
        <v>44463.0</v>
      </c>
      <c r="E2727" s="157" t="s">
        <v>731</v>
      </c>
      <c r="F2727" s="160">
        <v>78420.96</v>
      </c>
      <c r="G2727" s="160">
        <v>12547.35</v>
      </c>
      <c r="H2727" s="160">
        <f t="shared" si="62"/>
        <v>90968.31</v>
      </c>
      <c r="I2727" s="160"/>
      <c r="J2727" s="161"/>
      <c r="K2727" s="160"/>
      <c r="L2727" s="160">
        <f>+'FACP$'!$H2727-'FACP$'!$I2727-'FACP$'!$K2727</f>
        <v>90968.31</v>
      </c>
      <c r="M2727" s="162" t="s">
        <v>2386</v>
      </c>
      <c r="N2727" s="162" t="s">
        <v>554</v>
      </c>
      <c r="O2727" s="164">
        <v>44546.0</v>
      </c>
      <c r="P2727" s="164">
        <f t="shared" si="13"/>
        <v>44473</v>
      </c>
      <c r="Q2727" s="165">
        <f t="shared" si="2"/>
        <v>0</v>
      </c>
      <c r="R2727" s="167"/>
      <c r="S2727" s="167"/>
      <c r="T2727" s="168">
        <f t="shared" si="3"/>
        <v>90968.31</v>
      </c>
      <c r="U2727" s="168">
        <f t="shared" si="4"/>
        <v>0</v>
      </c>
      <c r="V2727" s="168">
        <f t="shared" si="5"/>
        <v>0</v>
      </c>
      <c r="W2727" s="168">
        <f t="shared" si="6"/>
        <v>0</v>
      </c>
      <c r="X2727" s="168">
        <f t="shared" si="7"/>
        <v>0</v>
      </c>
      <c r="Y2727" s="168">
        <f t="shared" si="8"/>
        <v>0</v>
      </c>
      <c r="Z2727" s="168">
        <f t="shared" si="9"/>
        <v>0</v>
      </c>
    </row>
    <row r="2728" ht="15.0" customHeight="1">
      <c r="A2728" s="157" t="s">
        <v>3133</v>
      </c>
      <c r="B2728" s="158" t="s">
        <v>26</v>
      </c>
      <c r="C2728" s="158" t="s">
        <v>3127</v>
      </c>
      <c r="D2728" s="159">
        <v>44463.0</v>
      </c>
      <c r="E2728" s="157" t="s">
        <v>731</v>
      </c>
      <c r="F2728" s="160">
        <v>27562.85</v>
      </c>
      <c r="G2728" s="160">
        <v>4410.06</v>
      </c>
      <c r="H2728" s="160">
        <f t="shared" si="62"/>
        <v>31972.91</v>
      </c>
      <c r="I2728" s="160"/>
      <c r="J2728" s="161"/>
      <c r="K2728" s="160"/>
      <c r="L2728" s="160">
        <f>+'FACP$'!$H2728-'FACP$'!$I2728-'FACP$'!$K2728</f>
        <v>31972.91</v>
      </c>
      <c r="M2728" s="162" t="s">
        <v>188</v>
      </c>
      <c r="N2728" s="162" t="s">
        <v>127</v>
      </c>
      <c r="O2728" s="164"/>
      <c r="P2728" s="164">
        <f t="shared" si="13"/>
        <v>44473</v>
      </c>
      <c r="Q2728" s="165">
        <f t="shared" si="2"/>
        <v>0</v>
      </c>
      <c r="R2728" s="167" t="s">
        <v>3134</v>
      </c>
      <c r="S2728" s="167"/>
      <c r="T2728" s="168">
        <f t="shared" si="3"/>
        <v>31972.91</v>
      </c>
      <c r="U2728" s="168">
        <f t="shared" si="4"/>
        <v>0</v>
      </c>
      <c r="V2728" s="168">
        <f t="shared" si="5"/>
        <v>0</v>
      </c>
      <c r="W2728" s="168">
        <f t="shared" si="6"/>
        <v>0</v>
      </c>
      <c r="X2728" s="168">
        <f t="shared" si="7"/>
        <v>0</v>
      </c>
      <c r="Y2728" s="168">
        <f t="shared" si="8"/>
        <v>0</v>
      </c>
      <c r="Z2728" s="168">
        <f t="shared" si="9"/>
        <v>0</v>
      </c>
    </row>
    <row r="2729" ht="15.0" customHeight="1">
      <c r="A2729" s="157" t="s">
        <v>3135</v>
      </c>
      <c r="B2729" s="158" t="s">
        <v>29</v>
      </c>
      <c r="C2729" s="158" t="s">
        <v>3127</v>
      </c>
      <c r="D2729" s="159">
        <v>44463.0</v>
      </c>
      <c r="E2729" s="157" t="s">
        <v>731</v>
      </c>
      <c r="F2729" s="160">
        <v>294528.1</v>
      </c>
      <c r="G2729" s="160">
        <v>47124.5</v>
      </c>
      <c r="H2729" s="160">
        <f t="shared" si="62"/>
        <v>341652.6</v>
      </c>
      <c r="I2729" s="160"/>
      <c r="J2729" s="161"/>
      <c r="K2729" s="160"/>
      <c r="L2729" s="160">
        <f>+'FACP$'!$H2729-'FACP$'!$I2729-'FACP$'!$K2729</f>
        <v>341652.6</v>
      </c>
      <c r="M2729" s="162" t="s">
        <v>130</v>
      </c>
      <c r="N2729" s="162" t="s">
        <v>554</v>
      </c>
      <c r="O2729" s="164">
        <v>44476.0</v>
      </c>
      <c r="P2729" s="164">
        <f t="shared" si="13"/>
        <v>44473</v>
      </c>
      <c r="Q2729" s="165">
        <f t="shared" si="2"/>
        <v>0</v>
      </c>
      <c r="R2729" s="167"/>
      <c r="S2729" s="167"/>
      <c r="T2729" s="168">
        <f t="shared" si="3"/>
        <v>341652.6</v>
      </c>
      <c r="U2729" s="168">
        <f t="shared" si="4"/>
        <v>0</v>
      </c>
      <c r="V2729" s="168">
        <f t="shared" si="5"/>
        <v>0</v>
      </c>
      <c r="W2729" s="168">
        <f t="shared" si="6"/>
        <v>0</v>
      </c>
      <c r="X2729" s="168">
        <f t="shared" si="7"/>
        <v>0</v>
      </c>
      <c r="Y2729" s="168">
        <f t="shared" si="8"/>
        <v>0</v>
      </c>
      <c r="Z2729" s="168">
        <f t="shared" si="9"/>
        <v>0</v>
      </c>
    </row>
    <row r="2730" ht="15.0" customHeight="1">
      <c r="A2730" s="157" t="s">
        <v>3136</v>
      </c>
      <c r="B2730" s="158" t="s">
        <v>29</v>
      </c>
      <c r="C2730" s="158" t="s">
        <v>3129</v>
      </c>
      <c r="D2730" s="159">
        <v>44463.0</v>
      </c>
      <c r="E2730" s="157" t="s">
        <v>731</v>
      </c>
      <c r="F2730" s="160">
        <v>248663.82</v>
      </c>
      <c r="G2730" s="160">
        <v>39786.21</v>
      </c>
      <c r="H2730" s="160">
        <f t="shared" si="62"/>
        <v>288450.03</v>
      </c>
      <c r="I2730" s="160"/>
      <c r="J2730" s="161"/>
      <c r="K2730" s="160"/>
      <c r="L2730" s="160">
        <f>+'FACP$'!$H2730-'FACP$'!$I2730-'FACP$'!$K2730</f>
        <v>288450.03</v>
      </c>
      <c r="M2730" s="162" t="s">
        <v>130</v>
      </c>
      <c r="N2730" s="162" t="s">
        <v>554</v>
      </c>
      <c r="O2730" s="164">
        <v>44490.0</v>
      </c>
      <c r="P2730" s="164">
        <f t="shared" si="13"/>
        <v>44473</v>
      </c>
      <c r="Q2730" s="165">
        <f t="shared" si="2"/>
        <v>0</v>
      </c>
      <c r="R2730" s="167"/>
      <c r="S2730" s="167"/>
      <c r="T2730" s="168">
        <f t="shared" si="3"/>
        <v>288450.03</v>
      </c>
      <c r="U2730" s="168">
        <f t="shared" si="4"/>
        <v>0</v>
      </c>
      <c r="V2730" s="168">
        <f t="shared" si="5"/>
        <v>0</v>
      </c>
      <c r="W2730" s="168">
        <f t="shared" si="6"/>
        <v>0</v>
      </c>
      <c r="X2730" s="168">
        <f t="shared" si="7"/>
        <v>0</v>
      </c>
      <c r="Y2730" s="168">
        <f t="shared" si="8"/>
        <v>0</v>
      </c>
      <c r="Z2730" s="168">
        <f t="shared" si="9"/>
        <v>0</v>
      </c>
    </row>
    <row r="2731" ht="15.0" customHeight="1">
      <c r="A2731" s="157" t="s">
        <v>3137</v>
      </c>
      <c r="B2731" s="158" t="s">
        <v>41</v>
      </c>
      <c r="C2731" s="158" t="s">
        <v>3127</v>
      </c>
      <c r="D2731" s="159">
        <v>44463.0</v>
      </c>
      <c r="E2731" s="157" t="s">
        <v>731</v>
      </c>
      <c r="F2731" s="160">
        <v>476064.87</v>
      </c>
      <c r="G2731" s="160">
        <v>76170.38</v>
      </c>
      <c r="H2731" s="160">
        <f t="shared" si="62"/>
        <v>552235.25</v>
      </c>
      <c r="I2731" s="160"/>
      <c r="J2731" s="161"/>
      <c r="K2731" s="160"/>
      <c r="L2731" s="160">
        <f>+'FACP$'!$H2731-'FACP$'!$I2731-'FACP$'!$K2731</f>
        <v>552235.25</v>
      </c>
      <c r="M2731" s="162" t="s">
        <v>121</v>
      </c>
      <c r="N2731" s="162" t="s">
        <v>554</v>
      </c>
      <c r="O2731" s="164">
        <v>44531.0</v>
      </c>
      <c r="P2731" s="164">
        <f t="shared" si="13"/>
        <v>44473</v>
      </c>
      <c r="Q2731" s="165">
        <f t="shared" si="2"/>
        <v>0</v>
      </c>
      <c r="R2731" s="167"/>
      <c r="S2731" s="167"/>
      <c r="T2731" s="168">
        <f t="shared" si="3"/>
        <v>552235.25</v>
      </c>
      <c r="U2731" s="168">
        <f t="shared" si="4"/>
        <v>0</v>
      </c>
      <c r="V2731" s="168">
        <f t="shared" si="5"/>
        <v>0</v>
      </c>
      <c r="W2731" s="168">
        <f t="shared" si="6"/>
        <v>0</v>
      </c>
      <c r="X2731" s="168">
        <f t="shared" si="7"/>
        <v>0</v>
      </c>
      <c r="Y2731" s="168">
        <f t="shared" si="8"/>
        <v>0</v>
      </c>
      <c r="Z2731" s="168">
        <f t="shared" si="9"/>
        <v>0</v>
      </c>
    </row>
    <row r="2732" ht="15.0" customHeight="1">
      <c r="A2732" s="157" t="s">
        <v>3138</v>
      </c>
      <c r="B2732" s="158" t="s">
        <v>37</v>
      </c>
      <c r="C2732" s="158" t="s">
        <v>3127</v>
      </c>
      <c r="D2732" s="159">
        <v>44463.0</v>
      </c>
      <c r="E2732" s="157" t="s">
        <v>731</v>
      </c>
      <c r="F2732" s="160">
        <v>2488328.44</v>
      </c>
      <c r="G2732" s="160">
        <v>398132.55</v>
      </c>
      <c r="H2732" s="160">
        <f t="shared" si="62"/>
        <v>2886460.99</v>
      </c>
      <c r="I2732" s="160"/>
      <c r="J2732" s="161"/>
      <c r="K2732" s="160"/>
      <c r="L2732" s="160">
        <f>+'FACP$'!$H2732-'FACP$'!$I2732-'FACP$'!$K2732</f>
        <v>2886460.99</v>
      </c>
      <c r="M2732" s="162" t="s">
        <v>116</v>
      </c>
      <c r="N2732" s="162" t="s">
        <v>554</v>
      </c>
      <c r="O2732" s="164">
        <v>44487.0</v>
      </c>
      <c r="P2732" s="164">
        <f t="shared" si="13"/>
        <v>44473</v>
      </c>
      <c r="Q2732" s="165">
        <f t="shared" si="2"/>
        <v>0</v>
      </c>
      <c r="R2732" s="167"/>
      <c r="S2732" s="167"/>
      <c r="T2732" s="168">
        <f t="shared" si="3"/>
        <v>2886460.99</v>
      </c>
      <c r="U2732" s="168">
        <f t="shared" si="4"/>
        <v>0</v>
      </c>
      <c r="V2732" s="168">
        <f t="shared" si="5"/>
        <v>0</v>
      </c>
      <c r="W2732" s="168">
        <f t="shared" si="6"/>
        <v>0</v>
      </c>
      <c r="X2732" s="168">
        <f t="shared" si="7"/>
        <v>0</v>
      </c>
      <c r="Y2732" s="168">
        <f t="shared" si="8"/>
        <v>0</v>
      </c>
      <c r="Z2732" s="168">
        <f t="shared" si="9"/>
        <v>0</v>
      </c>
    </row>
    <row r="2733" ht="15.0" customHeight="1">
      <c r="A2733" s="157" t="s">
        <v>3139</v>
      </c>
      <c r="B2733" s="158" t="s">
        <v>35</v>
      </c>
      <c r="C2733" s="158" t="s">
        <v>3127</v>
      </c>
      <c r="D2733" s="159">
        <v>44463.0</v>
      </c>
      <c r="E2733" s="157" t="s">
        <v>731</v>
      </c>
      <c r="F2733" s="160">
        <v>162405.69</v>
      </c>
      <c r="G2733" s="160">
        <v>25984.91</v>
      </c>
      <c r="H2733" s="160">
        <f t="shared" si="62"/>
        <v>188390.6</v>
      </c>
      <c r="I2733" s="160"/>
      <c r="J2733" s="161"/>
      <c r="K2733" s="160"/>
      <c r="L2733" s="160">
        <f>+'FACP$'!$H2733-'FACP$'!$I2733-'FACP$'!$K2733</f>
        <v>188390.6</v>
      </c>
      <c r="M2733" s="162" t="s">
        <v>276</v>
      </c>
      <c r="N2733" s="162" t="s">
        <v>554</v>
      </c>
      <c r="O2733" s="164">
        <v>44489.0</v>
      </c>
      <c r="P2733" s="164">
        <f t="shared" si="13"/>
        <v>44473</v>
      </c>
      <c r="Q2733" s="165">
        <f t="shared" si="2"/>
        <v>0</v>
      </c>
      <c r="R2733" s="167"/>
      <c r="S2733" s="167"/>
      <c r="T2733" s="168">
        <f t="shared" si="3"/>
        <v>188390.6</v>
      </c>
      <c r="U2733" s="168">
        <f t="shared" si="4"/>
        <v>0</v>
      </c>
      <c r="V2733" s="168">
        <f t="shared" si="5"/>
        <v>0</v>
      </c>
      <c r="W2733" s="168">
        <f t="shared" si="6"/>
        <v>0</v>
      </c>
      <c r="X2733" s="168">
        <f t="shared" si="7"/>
        <v>0</v>
      </c>
      <c r="Y2733" s="168">
        <f t="shared" si="8"/>
        <v>0</v>
      </c>
      <c r="Z2733" s="168">
        <f t="shared" si="9"/>
        <v>0</v>
      </c>
    </row>
    <row r="2734" ht="15.0" customHeight="1">
      <c r="A2734" s="157" t="s">
        <v>3140</v>
      </c>
      <c r="B2734" s="158" t="s">
        <v>36</v>
      </c>
      <c r="C2734" s="158" t="s">
        <v>3127</v>
      </c>
      <c r="D2734" s="159">
        <v>44463.0</v>
      </c>
      <c r="E2734" s="157" t="s">
        <v>731</v>
      </c>
      <c r="F2734" s="160">
        <v>81243.67</v>
      </c>
      <c r="G2734" s="160">
        <v>12998.99</v>
      </c>
      <c r="H2734" s="160">
        <f t="shared" si="62"/>
        <v>94242.66</v>
      </c>
      <c r="I2734" s="160"/>
      <c r="J2734" s="161"/>
      <c r="K2734" s="160"/>
      <c r="L2734" s="160">
        <f>+'FACP$'!$H2734-'FACP$'!$I2734-'FACP$'!$K2734</f>
        <v>94242.66</v>
      </c>
      <c r="M2734" s="162" t="s">
        <v>278</v>
      </c>
      <c r="N2734" s="162" t="s">
        <v>554</v>
      </c>
      <c r="O2734" s="164">
        <v>44550.0</v>
      </c>
      <c r="P2734" s="164">
        <f t="shared" si="13"/>
        <v>44473</v>
      </c>
      <c r="Q2734" s="165">
        <f t="shared" si="2"/>
        <v>0</v>
      </c>
      <c r="R2734" s="167"/>
      <c r="S2734" s="167"/>
      <c r="T2734" s="168">
        <f t="shared" si="3"/>
        <v>94242.66</v>
      </c>
      <c r="U2734" s="168">
        <f t="shared" si="4"/>
        <v>0</v>
      </c>
      <c r="V2734" s="168">
        <f t="shared" si="5"/>
        <v>0</v>
      </c>
      <c r="W2734" s="168">
        <f t="shared" si="6"/>
        <v>0</v>
      </c>
      <c r="X2734" s="168">
        <f t="shared" si="7"/>
        <v>0</v>
      </c>
      <c r="Y2734" s="168">
        <f t="shared" si="8"/>
        <v>0</v>
      </c>
      <c r="Z2734" s="168">
        <f t="shared" si="9"/>
        <v>0</v>
      </c>
    </row>
    <row r="2735" ht="15.0" customHeight="1">
      <c r="A2735" s="157" t="s">
        <v>3141</v>
      </c>
      <c r="B2735" s="158" t="s">
        <v>38</v>
      </c>
      <c r="C2735" s="158" t="s">
        <v>3127</v>
      </c>
      <c r="D2735" s="159">
        <v>44463.0</v>
      </c>
      <c r="E2735" s="157" t="s">
        <v>731</v>
      </c>
      <c r="F2735" s="160">
        <v>857825.2</v>
      </c>
      <c r="G2735" s="160">
        <v>137252.03</v>
      </c>
      <c r="H2735" s="160">
        <f t="shared" si="62"/>
        <v>995077.23</v>
      </c>
      <c r="I2735" s="160"/>
      <c r="J2735" s="161"/>
      <c r="K2735" s="160"/>
      <c r="L2735" s="160">
        <f>+'FACP$'!$H2735-'FACP$'!$I2735-'FACP$'!$K2735</f>
        <v>995077.23</v>
      </c>
      <c r="M2735" s="162" t="s">
        <v>145</v>
      </c>
      <c r="N2735" s="162" t="s">
        <v>127</v>
      </c>
      <c r="O2735" s="164"/>
      <c r="P2735" s="164">
        <f t="shared" si="13"/>
        <v>44473</v>
      </c>
      <c r="Q2735" s="165">
        <f t="shared" si="2"/>
        <v>0</v>
      </c>
      <c r="R2735" s="167" t="s">
        <v>3142</v>
      </c>
      <c r="S2735" s="167"/>
      <c r="T2735" s="168">
        <f t="shared" si="3"/>
        <v>995077.23</v>
      </c>
      <c r="U2735" s="168">
        <f t="shared" si="4"/>
        <v>0</v>
      </c>
      <c r="V2735" s="168">
        <f t="shared" si="5"/>
        <v>0</v>
      </c>
      <c r="W2735" s="168">
        <f t="shared" si="6"/>
        <v>0</v>
      </c>
      <c r="X2735" s="168">
        <f t="shared" si="7"/>
        <v>0</v>
      </c>
      <c r="Y2735" s="168">
        <f t="shared" si="8"/>
        <v>0</v>
      </c>
      <c r="Z2735" s="168">
        <f t="shared" si="9"/>
        <v>0</v>
      </c>
    </row>
    <row r="2736" ht="15.0" customHeight="1">
      <c r="A2736" s="157" t="s">
        <v>3143</v>
      </c>
      <c r="B2736" s="158" t="s">
        <v>43</v>
      </c>
      <c r="C2736" s="158" t="s">
        <v>3127</v>
      </c>
      <c r="D2736" s="159">
        <v>44463.0</v>
      </c>
      <c r="E2736" s="157" t="s">
        <v>731</v>
      </c>
      <c r="F2736" s="160">
        <v>482169.29</v>
      </c>
      <c r="G2736" s="160">
        <v>77147.09</v>
      </c>
      <c r="H2736" s="160">
        <f t="shared" si="62"/>
        <v>559316.38</v>
      </c>
      <c r="I2736" s="160"/>
      <c r="J2736" s="161"/>
      <c r="K2736" s="160"/>
      <c r="L2736" s="160">
        <f>+'FACP$'!$H2736-'FACP$'!$I2736-'FACP$'!$K2736</f>
        <v>559316.38</v>
      </c>
      <c r="M2736" s="162" t="s">
        <v>43</v>
      </c>
      <c r="N2736" s="162" t="s">
        <v>554</v>
      </c>
      <c r="O2736" s="164">
        <v>44498.0</v>
      </c>
      <c r="P2736" s="164">
        <f t="shared" si="13"/>
        <v>44473</v>
      </c>
      <c r="Q2736" s="165">
        <f t="shared" si="2"/>
        <v>0</v>
      </c>
      <c r="R2736" s="167"/>
      <c r="S2736" s="167"/>
      <c r="T2736" s="168">
        <f t="shared" si="3"/>
        <v>559316.38</v>
      </c>
      <c r="U2736" s="168">
        <f t="shared" si="4"/>
        <v>0</v>
      </c>
      <c r="V2736" s="168">
        <f t="shared" si="5"/>
        <v>0</v>
      </c>
      <c r="W2736" s="168">
        <f t="shared" si="6"/>
        <v>0</v>
      </c>
      <c r="X2736" s="168">
        <f t="shared" si="7"/>
        <v>0</v>
      </c>
      <c r="Y2736" s="168">
        <f t="shared" si="8"/>
        <v>0</v>
      </c>
      <c r="Z2736" s="168">
        <f t="shared" si="9"/>
        <v>0</v>
      </c>
    </row>
    <row r="2737" ht="15.0" customHeight="1">
      <c r="A2737" s="157" t="s">
        <v>3144</v>
      </c>
      <c r="B2737" s="158" t="s">
        <v>27</v>
      </c>
      <c r="C2737" s="158" t="s">
        <v>3145</v>
      </c>
      <c r="D2737" s="159">
        <v>44463.0</v>
      </c>
      <c r="E2737" s="157" t="s">
        <v>731</v>
      </c>
      <c r="F2737" s="160">
        <v>658421.7</v>
      </c>
      <c r="G2737" s="160">
        <v>105347.47</v>
      </c>
      <c r="H2737" s="160">
        <f t="shared" si="62"/>
        <v>763769.17</v>
      </c>
      <c r="I2737" s="160"/>
      <c r="J2737" s="161"/>
      <c r="K2737" s="160"/>
      <c r="L2737" s="160">
        <f>+'FACP$'!$H2737-'FACP$'!$I2737-'FACP$'!$K2737</f>
        <v>763769.17</v>
      </c>
      <c r="M2737" s="162" t="s">
        <v>151</v>
      </c>
      <c r="N2737" s="162" t="s">
        <v>554</v>
      </c>
      <c r="O2737" s="164">
        <v>44490.0</v>
      </c>
      <c r="P2737" s="164">
        <f t="shared" si="13"/>
        <v>44473</v>
      </c>
      <c r="Q2737" s="165">
        <f t="shared" si="2"/>
        <v>0</v>
      </c>
      <c r="R2737" s="167"/>
      <c r="S2737" s="167"/>
      <c r="T2737" s="168">
        <f t="shared" si="3"/>
        <v>763769.17</v>
      </c>
      <c r="U2737" s="168">
        <f t="shared" si="4"/>
        <v>0</v>
      </c>
      <c r="V2737" s="168">
        <f t="shared" si="5"/>
        <v>0</v>
      </c>
      <c r="W2737" s="168">
        <f t="shared" si="6"/>
        <v>0</v>
      </c>
      <c r="X2737" s="168">
        <f t="shared" si="7"/>
        <v>0</v>
      </c>
      <c r="Y2737" s="168">
        <f t="shared" si="8"/>
        <v>0</v>
      </c>
      <c r="Z2737" s="168">
        <f t="shared" si="9"/>
        <v>0</v>
      </c>
    </row>
    <row r="2738" ht="15.0" customHeight="1">
      <c r="A2738" s="157" t="s">
        <v>3146</v>
      </c>
      <c r="B2738" s="158" t="s">
        <v>27</v>
      </c>
      <c r="C2738" s="158" t="s">
        <v>3147</v>
      </c>
      <c r="D2738" s="159">
        <v>44463.0</v>
      </c>
      <c r="E2738" s="157" t="s">
        <v>731</v>
      </c>
      <c r="F2738" s="160">
        <v>351295.67</v>
      </c>
      <c r="G2738" s="160">
        <v>56207.31</v>
      </c>
      <c r="H2738" s="160">
        <f t="shared" si="62"/>
        <v>407502.98</v>
      </c>
      <c r="I2738" s="160"/>
      <c r="J2738" s="161"/>
      <c r="K2738" s="160"/>
      <c r="L2738" s="160">
        <f>+'FACP$'!$H2738-'FACP$'!$I2738-'FACP$'!$K2738</f>
        <v>407502.98</v>
      </c>
      <c r="M2738" s="162" t="s">
        <v>151</v>
      </c>
      <c r="N2738" s="162" t="s">
        <v>554</v>
      </c>
      <c r="O2738" s="164">
        <v>44490.0</v>
      </c>
      <c r="P2738" s="164">
        <f t="shared" si="13"/>
        <v>44473</v>
      </c>
      <c r="Q2738" s="165">
        <f t="shared" si="2"/>
        <v>0</v>
      </c>
      <c r="R2738" s="167"/>
      <c r="S2738" s="167"/>
      <c r="T2738" s="168">
        <f t="shared" si="3"/>
        <v>407502.98</v>
      </c>
      <c r="U2738" s="168">
        <f t="shared" si="4"/>
        <v>0</v>
      </c>
      <c r="V2738" s="168">
        <f t="shared" si="5"/>
        <v>0</v>
      </c>
      <c r="W2738" s="168">
        <f t="shared" si="6"/>
        <v>0</v>
      </c>
      <c r="X2738" s="168">
        <f t="shared" si="7"/>
        <v>0</v>
      </c>
      <c r="Y2738" s="168">
        <f t="shared" si="8"/>
        <v>0</v>
      </c>
      <c r="Z2738" s="168">
        <f t="shared" si="9"/>
        <v>0</v>
      </c>
    </row>
    <row r="2739" ht="15.0" customHeight="1">
      <c r="A2739" s="157" t="s">
        <v>3148</v>
      </c>
      <c r="B2739" s="158" t="s">
        <v>27</v>
      </c>
      <c r="C2739" s="158" t="s">
        <v>3149</v>
      </c>
      <c r="D2739" s="159">
        <v>44463.0</v>
      </c>
      <c r="E2739" s="157" t="s">
        <v>731</v>
      </c>
      <c r="F2739" s="160">
        <v>34029.22</v>
      </c>
      <c r="G2739" s="160">
        <v>5444.67</v>
      </c>
      <c r="H2739" s="160">
        <f t="shared" si="62"/>
        <v>39473.89</v>
      </c>
      <c r="I2739" s="160"/>
      <c r="J2739" s="161"/>
      <c r="K2739" s="160"/>
      <c r="L2739" s="160">
        <f>+'FACP$'!$H2739-'FACP$'!$I2739-'FACP$'!$K2739</f>
        <v>39473.89</v>
      </c>
      <c r="M2739" s="162" t="s">
        <v>151</v>
      </c>
      <c r="N2739" s="162" t="s">
        <v>554</v>
      </c>
      <c r="O2739" s="164">
        <v>44490.0</v>
      </c>
      <c r="P2739" s="164">
        <f t="shared" si="13"/>
        <v>44473</v>
      </c>
      <c r="Q2739" s="165">
        <f t="shared" si="2"/>
        <v>0</v>
      </c>
      <c r="R2739" s="167"/>
      <c r="S2739" s="167"/>
      <c r="T2739" s="168">
        <f t="shared" si="3"/>
        <v>39473.89</v>
      </c>
      <c r="U2739" s="168">
        <f t="shared" si="4"/>
        <v>0</v>
      </c>
      <c r="V2739" s="168">
        <f t="shared" si="5"/>
        <v>0</v>
      </c>
      <c r="W2739" s="168">
        <f t="shared" si="6"/>
        <v>0</v>
      </c>
      <c r="X2739" s="168">
        <f t="shared" si="7"/>
        <v>0</v>
      </c>
      <c r="Y2739" s="168">
        <f t="shared" si="8"/>
        <v>0</v>
      </c>
      <c r="Z2739" s="168">
        <f t="shared" si="9"/>
        <v>0</v>
      </c>
    </row>
    <row r="2740" ht="15.0" customHeight="1">
      <c r="A2740" s="157" t="s">
        <v>3150</v>
      </c>
      <c r="B2740" s="158" t="s">
        <v>27</v>
      </c>
      <c r="C2740" s="158" t="s">
        <v>3151</v>
      </c>
      <c r="D2740" s="159">
        <v>44463.0</v>
      </c>
      <c r="E2740" s="157" t="s">
        <v>731</v>
      </c>
      <c r="F2740" s="160">
        <v>18156.02</v>
      </c>
      <c r="G2740" s="160">
        <v>2904.96</v>
      </c>
      <c r="H2740" s="160">
        <f t="shared" si="62"/>
        <v>21060.98</v>
      </c>
      <c r="I2740" s="160"/>
      <c r="J2740" s="161"/>
      <c r="K2740" s="160"/>
      <c r="L2740" s="160">
        <f>+'FACP$'!$H2740-'FACP$'!$I2740-'FACP$'!$K2740</f>
        <v>21060.98</v>
      </c>
      <c r="M2740" s="162" t="s">
        <v>151</v>
      </c>
      <c r="N2740" s="162" t="s">
        <v>554</v>
      </c>
      <c r="O2740" s="164">
        <v>44490.0</v>
      </c>
      <c r="P2740" s="164">
        <f t="shared" si="13"/>
        <v>44473</v>
      </c>
      <c r="Q2740" s="165">
        <f t="shared" si="2"/>
        <v>0</v>
      </c>
      <c r="R2740" s="167"/>
      <c r="S2740" s="167"/>
      <c r="T2740" s="168">
        <f t="shared" si="3"/>
        <v>21060.98</v>
      </c>
      <c r="U2740" s="168">
        <f t="shared" si="4"/>
        <v>0</v>
      </c>
      <c r="V2740" s="168">
        <f t="shared" si="5"/>
        <v>0</v>
      </c>
      <c r="W2740" s="168">
        <f t="shared" si="6"/>
        <v>0</v>
      </c>
      <c r="X2740" s="168">
        <f t="shared" si="7"/>
        <v>0</v>
      </c>
      <c r="Y2740" s="168">
        <f t="shared" si="8"/>
        <v>0</v>
      </c>
      <c r="Z2740" s="168">
        <f t="shared" si="9"/>
        <v>0</v>
      </c>
    </row>
    <row r="2741" ht="15.0" customHeight="1">
      <c r="A2741" s="157" t="s">
        <v>3152</v>
      </c>
      <c r="B2741" s="158" t="s">
        <v>27</v>
      </c>
      <c r="C2741" s="158" t="s">
        <v>3145</v>
      </c>
      <c r="D2741" s="159">
        <v>44463.0</v>
      </c>
      <c r="E2741" s="157" t="s">
        <v>731</v>
      </c>
      <c r="F2741" s="160">
        <v>354874.35</v>
      </c>
      <c r="G2741" s="160">
        <v>56779.9</v>
      </c>
      <c r="H2741" s="160">
        <f t="shared" si="62"/>
        <v>411654.25</v>
      </c>
      <c r="I2741" s="160"/>
      <c r="J2741" s="161"/>
      <c r="K2741" s="160"/>
      <c r="L2741" s="160">
        <f>+'FACP$'!$H2741-'FACP$'!$I2741-'FACP$'!$K2741</f>
        <v>411654.25</v>
      </c>
      <c r="M2741" s="162" t="s">
        <v>158</v>
      </c>
      <c r="N2741" s="162" t="s">
        <v>554</v>
      </c>
      <c r="O2741" s="164">
        <v>44482.0</v>
      </c>
      <c r="P2741" s="164">
        <f t="shared" si="13"/>
        <v>44473</v>
      </c>
      <c r="Q2741" s="165">
        <f t="shared" si="2"/>
        <v>0</v>
      </c>
      <c r="R2741" s="167"/>
      <c r="S2741" s="167"/>
      <c r="T2741" s="168">
        <f t="shared" si="3"/>
        <v>411654.25</v>
      </c>
      <c r="U2741" s="168">
        <f t="shared" si="4"/>
        <v>0</v>
      </c>
      <c r="V2741" s="168">
        <f t="shared" si="5"/>
        <v>0</v>
      </c>
      <c r="W2741" s="168">
        <f t="shared" si="6"/>
        <v>0</v>
      </c>
      <c r="X2741" s="168">
        <f t="shared" si="7"/>
        <v>0</v>
      </c>
      <c r="Y2741" s="168">
        <f t="shared" si="8"/>
        <v>0</v>
      </c>
      <c r="Z2741" s="168">
        <f t="shared" si="9"/>
        <v>0</v>
      </c>
    </row>
    <row r="2742" ht="15.0" customHeight="1">
      <c r="A2742" s="157" t="s">
        <v>3153</v>
      </c>
      <c r="B2742" s="158" t="s">
        <v>27</v>
      </c>
      <c r="C2742" s="158" t="s">
        <v>3147</v>
      </c>
      <c r="D2742" s="159">
        <v>44463.0</v>
      </c>
      <c r="E2742" s="157" t="s">
        <v>731</v>
      </c>
      <c r="F2742" s="160">
        <v>166211.06</v>
      </c>
      <c r="G2742" s="160">
        <v>26593.77</v>
      </c>
      <c r="H2742" s="160">
        <f t="shared" si="62"/>
        <v>192804.83</v>
      </c>
      <c r="I2742" s="160"/>
      <c r="J2742" s="161"/>
      <c r="K2742" s="160"/>
      <c r="L2742" s="160">
        <f>+'FACP$'!$H2742-'FACP$'!$I2742-'FACP$'!$K2742</f>
        <v>192804.83</v>
      </c>
      <c r="M2742" s="162" t="s">
        <v>158</v>
      </c>
      <c r="N2742" s="162" t="s">
        <v>554</v>
      </c>
      <c r="O2742" s="164">
        <v>44482.0</v>
      </c>
      <c r="P2742" s="164">
        <f t="shared" si="13"/>
        <v>44473</v>
      </c>
      <c r="Q2742" s="165">
        <f t="shared" si="2"/>
        <v>0</v>
      </c>
      <c r="R2742" s="167"/>
      <c r="S2742" s="167"/>
      <c r="T2742" s="168">
        <f t="shared" si="3"/>
        <v>192804.83</v>
      </c>
      <c r="U2742" s="168">
        <f t="shared" si="4"/>
        <v>0</v>
      </c>
      <c r="V2742" s="168">
        <f t="shared" si="5"/>
        <v>0</v>
      </c>
      <c r="W2742" s="168">
        <f t="shared" si="6"/>
        <v>0</v>
      </c>
      <c r="X2742" s="168">
        <f t="shared" si="7"/>
        <v>0</v>
      </c>
      <c r="Y2742" s="168">
        <f t="shared" si="8"/>
        <v>0</v>
      </c>
      <c r="Z2742" s="168">
        <f t="shared" si="9"/>
        <v>0</v>
      </c>
    </row>
    <row r="2743" ht="15.0" customHeight="1">
      <c r="A2743" s="157" t="s">
        <v>3154</v>
      </c>
      <c r="B2743" s="158" t="s">
        <v>26</v>
      </c>
      <c r="C2743" s="158" t="s">
        <v>3145</v>
      </c>
      <c r="D2743" s="159">
        <v>44466.0</v>
      </c>
      <c r="E2743" s="157" t="s">
        <v>731</v>
      </c>
      <c r="F2743" s="160">
        <v>31564.95</v>
      </c>
      <c r="G2743" s="160">
        <v>5050.39</v>
      </c>
      <c r="H2743" s="160">
        <f t="shared" si="62"/>
        <v>36615.34</v>
      </c>
      <c r="I2743" s="250"/>
      <c r="J2743" s="251"/>
      <c r="K2743" s="250"/>
      <c r="L2743" s="250">
        <f>+'FACP$'!$H2743-'FACP$'!$I2743-'FACP$'!$K2743</f>
        <v>36615.34</v>
      </c>
      <c r="M2743" s="162" t="s">
        <v>188</v>
      </c>
      <c r="N2743" s="162" t="s">
        <v>554</v>
      </c>
      <c r="O2743" s="164">
        <v>44586.0</v>
      </c>
      <c r="P2743" s="164">
        <f t="shared" si="13"/>
        <v>44476</v>
      </c>
      <c r="Q2743" s="165">
        <f t="shared" si="2"/>
        <v>0</v>
      </c>
      <c r="R2743" s="220"/>
      <c r="S2743" s="167"/>
      <c r="T2743" s="168">
        <f t="shared" si="3"/>
        <v>36615.34</v>
      </c>
      <c r="U2743" s="168">
        <f t="shared" si="4"/>
        <v>0</v>
      </c>
      <c r="V2743" s="168">
        <f t="shared" si="5"/>
        <v>0</v>
      </c>
      <c r="W2743" s="168">
        <f t="shared" si="6"/>
        <v>0</v>
      </c>
      <c r="X2743" s="168">
        <f t="shared" si="7"/>
        <v>0</v>
      </c>
      <c r="Y2743" s="168">
        <f t="shared" si="8"/>
        <v>0</v>
      </c>
      <c r="Z2743" s="168">
        <f t="shared" si="9"/>
        <v>0</v>
      </c>
    </row>
    <row r="2744" ht="15.0" customHeight="1">
      <c r="A2744" s="157" t="s">
        <v>3155</v>
      </c>
      <c r="B2744" s="158" t="s">
        <v>27</v>
      </c>
      <c r="C2744" s="158" t="s">
        <v>3156</v>
      </c>
      <c r="D2744" s="159">
        <v>44469.0</v>
      </c>
      <c r="E2744" s="157" t="s">
        <v>731</v>
      </c>
      <c r="F2744" s="160">
        <v>689654.75</v>
      </c>
      <c r="G2744" s="160">
        <v>110344.76</v>
      </c>
      <c r="H2744" s="160">
        <f t="shared" si="62"/>
        <v>799999.51</v>
      </c>
      <c r="I2744" s="160"/>
      <c r="J2744" s="161"/>
      <c r="K2744" s="160"/>
      <c r="L2744" s="160">
        <f>+'FACP$'!$H2744-'FACP$'!$I2744-'FACP$'!$K2744</f>
        <v>799999.51</v>
      </c>
      <c r="M2744" s="162" t="s">
        <v>151</v>
      </c>
      <c r="N2744" s="162" t="s">
        <v>554</v>
      </c>
      <c r="O2744" s="164">
        <v>44510.0</v>
      </c>
      <c r="P2744" s="164">
        <f t="shared" si="13"/>
        <v>44479</v>
      </c>
      <c r="Q2744" s="165">
        <f t="shared" si="2"/>
        <v>0</v>
      </c>
      <c r="R2744" s="167"/>
      <c r="S2744" s="167"/>
      <c r="T2744" s="168">
        <f t="shared" si="3"/>
        <v>799999.51</v>
      </c>
      <c r="U2744" s="168">
        <f t="shared" si="4"/>
        <v>0</v>
      </c>
      <c r="V2744" s="168">
        <f t="shared" si="5"/>
        <v>0</v>
      </c>
      <c r="W2744" s="168">
        <f t="shared" si="6"/>
        <v>0</v>
      </c>
      <c r="X2744" s="168">
        <f t="shared" si="7"/>
        <v>0</v>
      </c>
      <c r="Y2744" s="168">
        <f t="shared" si="8"/>
        <v>0</v>
      </c>
      <c r="Z2744" s="168">
        <f t="shared" si="9"/>
        <v>0</v>
      </c>
    </row>
    <row r="2745" ht="15.0" customHeight="1">
      <c r="A2745" s="157" t="s">
        <v>3157</v>
      </c>
      <c r="B2745" s="158" t="s">
        <v>27</v>
      </c>
      <c r="C2745" s="158" t="s">
        <v>3158</v>
      </c>
      <c r="D2745" s="159">
        <v>44469.0</v>
      </c>
      <c r="E2745" s="157" t="s">
        <v>731</v>
      </c>
      <c r="F2745" s="160">
        <v>355821.41</v>
      </c>
      <c r="G2745" s="160">
        <v>56931.43</v>
      </c>
      <c r="H2745" s="160">
        <f t="shared" si="62"/>
        <v>412752.84</v>
      </c>
      <c r="I2745" s="160"/>
      <c r="J2745" s="161"/>
      <c r="K2745" s="160"/>
      <c r="L2745" s="160">
        <f>+'FACP$'!$H2745-'FACP$'!$I2745-'FACP$'!$K2745</f>
        <v>412752.84</v>
      </c>
      <c r="M2745" s="162" t="s">
        <v>151</v>
      </c>
      <c r="N2745" s="162" t="s">
        <v>554</v>
      </c>
      <c r="O2745" s="164">
        <v>44505.0</v>
      </c>
      <c r="P2745" s="164">
        <f t="shared" si="13"/>
        <v>44479</v>
      </c>
      <c r="Q2745" s="165">
        <f t="shared" si="2"/>
        <v>0</v>
      </c>
      <c r="R2745" s="167"/>
      <c r="S2745" s="167"/>
      <c r="T2745" s="168">
        <f t="shared" si="3"/>
        <v>412752.84</v>
      </c>
      <c r="U2745" s="168">
        <f t="shared" si="4"/>
        <v>0</v>
      </c>
      <c r="V2745" s="168">
        <f t="shared" si="5"/>
        <v>0</v>
      </c>
      <c r="W2745" s="168">
        <f t="shared" si="6"/>
        <v>0</v>
      </c>
      <c r="X2745" s="168">
        <f t="shared" si="7"/>
        <v>0</v>
      </c>
      <c r="Y2745" s="168">
        <f t="shared" si="8"/>
        <v>0</v>
      </c>
      <c r="Z2745" s="168">
        <f t="shared" si="9"/>
        <v>0</v>
      </c>
    </row>
    <row r="2746" ht="15.0" customHeight="1">
      <c r="A2746" s="157" t="s">
        <v>3159</v>
      </c>
      <c r="B2746" s="158" t="s">
        <v>27</v>
      </c>
      <c r="C2746" s="158" t="s">
        <v>3160</v>
      </c>
      <c r="D2746" s="159">
        <v>44469.0</v>
      </c>
      <c r="E2746" s="157" t="s">
        <v>731</v>
      </c>
      <c r="F2746" s="160">
        <v>35920.51</v>
      </c>
      <c r="G2746" s="160">
        <v>5747.28</v>
      </c>
      <c r="H2746" s="160">
        <f t="shared" si="62"/>
        <v>41667.79</v>
      </c>
      <c r="I2746" s="160"/>
      <c r="J2746" s="161"/>
      <c r="K2746" s="160"/>
      <c r="L2746" s="160">
        <f>+'FACP$'!$H2746-'FACP$'!$I2746-'FACP$'!$K2746</f>
        <v>41667.79</v>
      </c>
      <c r="M2746" s="162" t="s">
        <v>151</v>
      </c>
      <c r="N2746" s="162" t="s">
        <v>554</v>
      </c>
      <c r="O2746" s="164">
        <v>44497.0</v>
      </c>
      <c r="P2746" s="164">
        <f t="shared" si="13"/>
        <v>44479</v>
      </c>
      <c r="Q2746" s="165">
        <f t="shared" si="2"/>
        <v>0</v>
      </c>
      <c r="R2746" s="167"/>
      <c r="S2746" s="167"/>
      <c r="T2746" s="168">
        <f t="shared" si="3"/>
        <v>41667.79</v>
      </c>
      <c r="U2746" s="168">
        <f t="shared" si="4"/>
        <v>0</v>
      </c>
      <c r="V2746" s="168">
        <f t="shared" si="5"/>
        <v>0</v>
      </c>
      <c r="W2746" s="168">
        <f t="shared" si="6"/>
        <v>0</v>
      </c>
      <c r="X2746" s="168">
        <f t="shared" si="7"/>
        <v>0</v>
      </c>
      <c r="Y2746" s="168">
        <f t="shared" si="8"/>
        <v>0</v>
      </c>
      <c r="Z2746" s="168">
        <f t="shared" si="9"/>
        <v>0</v>
      </c>
    </row>
    <row r="2747" ht="15.0" customHeight="1">
      <c r="A2747" s="157" t="s">
        <v>3161</v>
      </c>
      <c r="B2747" s="158" t="s">
        <v>27</v>
      </c>
      <c r="C2747" s="158" t="s">
        <v>3162</v>
      </c>
      <c r="D2747" s="159">
        <v>44469.0</v>
      </c>
      <c r="E2747" s="157" t="s">
        <v>731</v>
      </c>
      <c r="F2747" s="160">
        <v>18532.88</v>
      </c>
      <c r="G2747" s="160">
        <v>2965.26</v>
      </c>
      <c r="H2747" s="160">
        <f t="shared" si="62"/>
        <v>21498.14</v>
      </c>
      <c r="I2747" s="160"/>
      <c r="J2747" s="161"/>
      <c r="K2747" s="160"/>
      <c r="L2747" s="160">
        <f>+'FACP$'!$H2747-'FACP$'!$I2747-'FACP$'!$K2747</f>
        <v>21498.14</v>
      </c>
      <c r="M2747" s="162" t="s">
        <v>151</v>
      </c>
      <c r="N2747" s="162" t="s">
        <v>554</v>
      </c>
      <c r="O2747" s="164">
        <v>44497.0</v>
      </c>
      <c r="P2747" s="164">
        <f t="shared" si="13"/>
        <v>44479</v>
      </c>
      <c r="Q2747" s="165">
        <f t="shared" si="2"/>
        <v>0</v>
      </c>
      <c r="R2747" s="167"/>
      <c r="S2747" s="167"/>
      <c r="T2747" s="168">
        <f t="shared" si="3"/>
        <v>21498.14</v>
      </c>
      <c r="U2747" s="168">
        <f t="shared" si="4"/>
        <v>0</v>
      </c>
      <c r="V2747" s="168">
        <f t="shared" si="5"/>
        <v>0</v>
      </c>
      <c r="W2747" s="168">
        <f t="shared" si="6"/>
        <v>0</v>
      </c>
      <c r="X2747" s="168">
        <f t="shared" si="7"/>
        <v>0</v>
      </c>
      <c r="Y2747" s="168">
        <f t="shared" si="8"/>
        <v>0</v>
      </c>
      <c r="Z2747" s="168">
        <f t="shared" si="9"/>
        <v>0</v>
      </c>
    </row>
    <row r="2748" ht="15.0" customHeight="1">
      <c r="A2748" s="157" t="s">
        <v>3163</v>
      </c>
      <c r="B2748" s="158" t="s">
        <v>27</v>
      </c>
      <c r="C2748" s="158" t="s">
        <v>3156</v>
      </c>
      <c r="D2748" s="159">
        <v>44469.0</v>
      </c>
      <c r="E2748" s="157" t="s">
        <v>731</v>
      </c>
      <c r="F2748" s="160">
        <v>347610.21</v>
      </c>
      <c r="G2748" s="160">
        <v>55617.63</v>
      </c>
      <c r="H2748" s="160">
        <f t="shared" si="62"/>
        <v>403227.84</v>
      </c>
      <c r="I2748" s="160"/>
      <c r="J2748" s="161"/>
      <c r="K2748" s="160"/>
      <c r="L2748" s="160">
        <f>+'FACP$'!$H2748-'FACP$'!$I2748-'FACP$'!$K2748</f>
        <v>403227.84</v>
      </c>
      <c r="M2748" s="162" t="s">
        <v>158</v>
      </c>
      <c r="N2748" s="162" t="s">
        <v>554</v>
      </c>
      <c r="O2748" s="164">
        <v>44497.0</v>
      </c>
      <c r="P2748" s="164">
        <f t="shared" si="13"/>
        <v>44479</v>
      </c>
      <c r="Q2748" s="165">
        <f t="shared" si="2"/>
        <v>0</v>
      </c>
      <c r="R2748" s="167"/>
      <c r="S2748" s="167"/>
      <c r="T2748" s="168">
        <f t="shared" si="3"/>
        <v>403227.84</v>
      </c>
      <c r="U2748" s="168">
        <f t="shared" si="4"/>
        <v>0</v>
      </c>
      <c r="V2748" s="168">
        <f t="shared" si="5"/>
        <v>0</v>
      </c>
      <c r="W2748" s="168">
        <f t="shared" si="6"/>
        <v>0</v>
      </c>
      <c r="X2748" s="168">
        <f t="shared" si="7"/>
        <v>0</v>
      </c>
      <c r="Y2748" s="168">
        <f t="shared" si="8"/>
        <v>0</v>
      </c>
      <c r="Z2748" s="168">
        <f t="shared" si="9"/>
        <v>0</v>
      </c>
    </row>
    <row r="2749" ht="15.0" customHeight="1">
      <c r="A2749" s="157" t="s">
        <v>3164</v>
      </c>
      <c r="B2749" s="158" t="s">
        <v>27</v>
      </c>
      <c r="C2749" s="158" t="s">
        <v>3158</v>
      </c>
      <c r="D2749" s="159">
        <v>44469.0</v>
      </c>
      <c r="E2749" s="157" t="s">
        <v>731</v>
      </c>
      <c r="F2749" s="160">
        <v>157128.8</v>
      </c>
      <c r="G2749" s="160">
        <v>25140.61</v>
      </c>
      <c r="H2749" s="160">
        <f t="shared" si="62"/>
        <v>182269.41</v>
      </c>
      <c r="I2749" s="160"/>
      <c r="J2749" s="161"/>
      <c r="K2749" s="160"/>
      <c r="L2749" s="160">
        <f>+'FACP$'!$H2749-'FACP$'!$I2749-'FACP$'!$K2749</f>
        <v>182269.41</v>
      </c>
      <c r="M2749" s="162" t="s">
        <v>158</v>
      </c>
      <c r="N2749" s="162" t="s">
        <v>554</v>
      </c>
      <c r="O2749" s="164">
        <v>44497.0</v>
      </c>
      <c r="P2749" s="164">
        <f t="shared" si="13"/>
        <v>44479</v>
      </c>
      <c r="Q2749" s="165">
        <f t="shared" si="2"/>
        <v>0</v>
      </c>
      <c r="R2749" s="167"/>
      <c r="S2749" s="167"/>
      <c r="T2749" s="168">
        <f t="shared" si="3"/>
        <v>182269.41</v>
      </c>
      <c r="U2749" s="168">
        <f t="shared" si="4"/>
        <v>0</v>
      </c>
      <c r="V2749" s="168">
        <f t="shared" si="5"/>
        <v>0</v>
      </c>
      <c r="W2749" s="168">
        <f t="shared" si="6"/>
        <v>0</v>
      </c>
      <c r="X2749" s="168">
        <f t="shared" si="7"/>
        <v>0</v>
      </c>
      <c r="Y2749" s="168">
        <f t="shared" si="8"/>
        <v>0</v>
      </c>
      <c r="Z2749" s="168">
        <f t="shared" si="9"/>
        <v>0</v>
      </c>
    </row>
    <row r="2750" ht="15.0" customHeight="1">
      <c r="A2750" s="157" t="s">
        <v>3165</v>
      </c>
      <c r="B2750" s="158" t="s">
        <v>16</v>
      </c>
      <c r="C2750" s="158" t="s">
        <v>3166</v>
      </c>
      <c r="D2750" s="159">
        <v>44474.0</v>
      </c>
      <c r="E2750" s="157" t="s">
        <v>731</v>
      </c>
      <c r="F2750" s="160">
        <v>120382.92</v>
      </c>
      <c r="G2750" s="160">
        <v>19261.27</v>
      </c>
      <c r="H2750" s="160">
        <f t="shared" si="62"/>
        <v>139644.19</v>
      </c>
      <c r="I2750" s="160"/>
      <c r="J2750" s="161"/>
      <c r="K2750" s="160"/>
      <c r="L2750" s="160">
        <f>+'FACP$'!$H2750-'FACP$'!$I2750-'FACP$'!$K2750</f>
        <v>139644.19</v>
      </c>
      <c r="M2750" s="162" t="s">
        <v>985</v>
      </c>
      <c r="N2750" s="162" t="s">
        <v>554</v>
      </c>
      <c r="O2750" s="164">
        <v>44494.0</v>
      </c>
      <c r="P2750" s="164">
        <f t="shared" si="13"/>
        <v>44484</v>
      </c>
      <c r="Q2750" s="165">
        <f t="shared" si="2"/>
        <v>0</v>
      </c>
      <c r="R2750" s="167"/>
      <c r="S2750" s="167"/>
      <c r="T2750" s="168">
        <f t="shared" si="3"/>
        <v>139644.19</v>
      </c>
      <c r="U2750" s="168">
        <f t="shared" si="4"/>
        <v>0</v>
      </c>
      <c r="V2750" s="168">
        <f t="shared" si="5"/>
        <v>0</v>
      </c>
      <c r="W2750" s="168">
        <f t="shared" si="6"/>
        <v>0</v>
      </c>
      <c r="X2750" s="168">
        <f t="shared" si="7"/>
        <v>0</v>
      </c>
      <c r="Y2750" s="168">
        <f t="shared" si="8"/>
        <v>0</v>
      </c>
      <c r="Z2750" s="168">
        <f t="shared" si="9"/>
        <v>0</v>
      </c>
    </row>
    <row r="2751" ht="15.0" customHeight="1">
      <c r="A2751" s="157" t="s">
        <v>3167</v>
      </c>
      <c r="B2751" s="158" t="s">
        <v>16</v>
      </c>
      <c r="C2751" s="158" t="s">
        <v>3168</v>
      </c>
      <c r="D2751" s="159">
        <v>44474.0</v>
      </c>
      <c r="E2751" s="157" t="s">
        <v>731</v>
      </c>
      <c r="F2751" s="160">
        <v>86643.52</v>
      </c>
      <c r="G2751" s="160">
        <v>13862.96</v>
      </c>
      <c r="H2751" s="160">
        <f t="shared" si="62"/>
        <v>100506.48</v>
      </c>
      <c r="I2751" s="160"/>
      <c r="J2751" s="161"/>
      <c r="K2751" s="160"/>
      <c r="L2751" s="160">
        <f>+'FACP$'!$H2751-'FACP$'!$I2751-'FACP$'!$K2751</f>
        <v>100506.48</v>
      </c>
      <c r="M2751" s="162" t="s">
        <v>985</v>
      </c>
      <c r="N2751" s="162" t="s">
        <v>554</v>
      </c>
      <c r="O2751" s="164">
        <v>44494.0</v>
      </c>
      <c r="P2751" s="164">
        <f t="shared" si="13"/>
        <v>44484</v>
      </c>
      <c r="Q2751" s="165">
        <f t="shared" si="2"/>
        <v>0</v>
      </c>
      <c r="R2751" s="167"/>
      <c r="S2751" s="167"/>
      <c r="T2751" s="168">
        <f t="shared" si="3"/>
        <v>100506.48</v>
      </c>
      <c r="U2751" s="168">
        <f t="shared" si="4"/>
        <v>0</v>
      </c>
      <c r="V2751" s="168">
        <f t="shared" si="5"/>
        <v>0</v>
      </c>
      <c r="W2751" s="168">
        <f t="shared" si="6"/>
        <v>0</v>
      </c>
      <c r="X2751" s="168">
        <f t="shared" si="7"/>
        <v>0</v>
      </c>
      <c r="Y2751" s="168">
        <f t="shared" si="8"/>
        <v>0</v>
      </c>
      <c r="Z2751" s="168">
        <f t="shared" si="9"/>
        <v>0</v>
      </c>
    </row>
    <row r="2752" ht="15.0" customHeight="1">
      <c r="A2752" s="157" t="s">
        <v>3169</v>
      </c>
      <c r="B2752" s="158" t="s">
        <v>18</v>
      </c>
      <c r="C2752" s="158" t="s">
        <v>3166</v>
      </c>
      <c r="D2752" s="159">
        <v>44474.0</v>
      </c>
      <c r="E2752" s="157" t="s">
        <v>731</v>
      </c>
      <c r="F2752" s="160">
        <v>200103.36</v>
      </c>
      <c r="G2752" s="160">
        <v>32016.54</v>
      </c>
      <c r="H2752" s="160">
        <f t="shared" si="62"/>
        <v>232119.9</v>
      </c>
      <c r="I2752" s="160"/>
      <c r="J2752" s="161"/>
      <c r="K2752" s="160"/>
      <c r="L2752" s="160">
        <f>+'FACP$'!$H2752-'FACP$'!$I2752-'FACP$'!$K2752</f>
        <v>232119.9</v>
      </c>
      <c r="M2752" s="162" t="s">
        <v>586</v>
      </c>
      <c r="N2752" s="162" t="s">
        <v>554</v>
      </c>
      <c r="O2752" s="164">
        <v>44494.0</v>
      </c>
      <c r="P2752" s="164">
        <f t="shared" si="13"/>
        <v>44484</v>
      </c>
      <c r="Q2752" s="165">
        <f t="shared" si="2"/>
        <v>0</v>
      </c>
      <c r="R2752" s="167"/>
      <c r="S2752" s="167"/>
      <c r="T2752" s="168">
        <f t="shared" si="3"/>
        <v>232119.9</v>
      </c>
      <c r="U2752" s="168">
        <f t="shared" si="4"/>
        <v>0</v>
      </c>
      <c r="V2752" s="168">
        <f t="shared" si="5"/>
        <v>0</v>
      </c>
      <c r="W2752" s="168">
        <f t="shared" si="6"/>
        <v>0</v>
      </c>
      <c r="X2752" s="168">
        <f t="shared" si="7"/>
        <v>0</v>
      </c>
      <c r="Y2752" s="168">
        <f t="shared" si="8"/>
        <v>0</v>
      </c>
      <c r="Z2752" s="168">
        <f t="shared" si="9"/>
        <v>0</v>
      </c>
    </row>
    <row r="2753" ht="15.0" customHeight="1">
      <c r="A2753" s="157" t="s">
        <v>3170</v>
      </c>
      <c r="B2753" s="158" t="s">
        <v>19</v>
      </c>
      <c r="C2753" s="158" t="s">
        <v>3166</v>
      </c>
      <c r="D2753" s="159">
        <v>44474.0</v>
      </c>
      <c r="E2753" s="157" t="s">
        <v>731</v>
      </c>
      <c r="F2753" s="160">
        <v>274089.59</v>
      </c>
      <c r="G2753" s="160">
        <v>43854.33</v>
      </c>
      <c r="H2753" s="160">
        <f t="shared" si="62"/>
        <v>317943.92</v>
      </c>
      <c r="I2753" s="160"/>
      <c r="J2753" s="161"/>
      <c r="K2753" s="160"/>
      <c r="L2753" s="160">
        <f>+'FACP$'!$H2753-'FACP$'!$I2753-'FACP$'!$K2753</f>
        <v>317943.92</v>
      </c>
      <c r="M2753" s="162" t="s">
        <v>732</v>
      </c>
      <c r="N2753" s="162" t="s">
        <v>554</v>
      </c>
      <c r="O2753" s="164">
        <v>44494.0</v>
      </c>
      <c r="P2753" s="164">
        <f t="shared" si="13"/>
        <v>44484</v>
      </c>
      <c r="Q2753" s="165">
        <f t="shared" si="2"/>
        <v>0</v>
      </c>
      <c r="R2753" s="167"/>
      <c r="S2753" s="167"/>
      <c r="T2753" s="168">
        <f t="shared" si="3"/>
        <v>317943.92</v>
      </c>
      <c r="U2753" s="168">
        <f t="shared" si="4"/>
        <v>0</v>
      </c>
      <c r="V2753" s="168">
        <f t="shared" si="5"/>
        <v>0</v>
      </c>
      <c r="W2753" s="168">
        <f t="shared" si="6"/>
        <v>0</v>
      </c>
      <c r="X2753" s="168">
        <f t="shared" si="7"/>
        <v>0</v>
      </c>
      <c r="Y2753" s="168">
        <f t="shared" si="8"/>
        <v>0</v>
      </c>
      <c r="Z2753" s="168">
        <f t="shared" si="9"/>
        <v>0</v>
      </c>
    </row>
    <row r="2754" ht="15.0" customHeight="1">
      <c r="A2754" s="157" t="s">
        <v>3171</v>
      </c>
      <c r="B2754" s="158" t="s">
        <v>26</v>
      </c>
      <c r="C2754" s="158" t="s">
        <v>3166</v>
      </c>
      <c r="D2754" s="159">
        <v>44474.0</v>
      </c>
      <c r="E2754" s="157" t="s">
        <v>731</v>
      </c>
      <c r="F2754" s="160">
        <v>88547.29</v>
      </c>
      <c r="G2754" s="160">
        <v>14167.57</v>
      </c>
      <c r="H2754" s="160">
        <f t="shared" si="62"/>
        <v>102714.86</v>
      </c>
      <c r="I2754" s="160"/>
      <c r="J2754" s="161"/>
      <c r="K2754" s="160"/>
      <c r="L2754" s="160">
        <f>+'FACP$'!$H2754-'FACP$'!$I2754-'FACP$'!$K2754</f>
        <v>102714.86</v>
      </c>
      <c r="M2754" s="162" t="s">
        <v>2386</v>
      </c>
      <c r="N2754" s="162" t="s">
        <v>554</v>
      </c>
      <c r="O2754" s="164">
        <v>44546.0</v>
      </c>
      <c r="P2754" s="164">
        <f t="shared" si="13"/>
        <v>44484</v>
      </c>
      <c r="Q2754" s="165">
        <f t="shared" si="2"/>
        <v>0</v>
      </c>
      <c r="R2754" s="167"/>
      <c r="S2754" s="167"/>
      <c r="T2754" s="168">
        <f t="shared" si="3"/>
        <v>102714.86</v>
      </c>
      <c r="U2754" s="168">
        <f t="shared" si="4"/>
        <v>0</v>
      </c>
      <c r="V2754" s="168">
        <f t="shared" si="5"/>
        <v>0</v>
      </c>
      <c r="W2754" s="168">
        <f t="shared" si="6"/>
        <v>0</v>
      </c>
      <c r="X2754" s="168">
        <f t="shared" si="7"/>
        <v>0</v>
      </c>
      <c r="Y2754" s="168">
        <f t="shared" si="8"/>
        <v>0</v>
      </c>
      <c r="Z2754" s="168">
        <f t="shared" si="9"/>
        <v>0</v>
      </c>
    </row>
    <row r="2755" ht="15.0" customHeight="1">
      <c r="A2755" s="157" t="s">
        <v>3172</v>
      </c>
      <c r="B2755" s="158" t="s">
        <v>29</v>
      </c>
      <c r="C2755" s="158" t="s">
        <v>3166</v>
      </c>
      <c r="D2755" s="159">
        <v>44474.0</v>
      </c>
      <c r="E2755" s="157" t="s">
        <v>731</v>
      </c>
      <c r="F2755" s="160">
        <v>491833.44</v>
      </c>
      <c r="G2755" s="160">
        <v>78693.35</v>
      </c>
      <c r="H2755" s="160">
        <f t="shared" si="62"/>
        <v>570526.79</v>
      </c>
      <c r="I2755" s="160"/>
      <c r="J2755" s="161"/>
      <c r="K2755" s="160"/>
      <c r="L2755" s="160">
        <f>+'FACP$'!$H2755-'FACP$'!$I2755-'FACP$'!$K2755</f>
        <v>570526.79</v>
      </c>
      <c r="M2755" s="162" t="s">
        <v>130</v>
      </c>
      <c r="N2755" s="162" t="s">
        <v>554</v>
      </c>
      <c r="O2755" s="164">
        <v>44508.0</v>
      </c>
      <c r="P2755" s="164">
        <f t="shared" si="13"/>
        <v>44484</v>
      </c>
      <c r="Q2755" s="165">
        <f t="shared" si="2"/>
        <v>0</v>
      </c>
      <c r="R2755" s="167"/>
      <c r="S2755" s="167"/>
      <c r="T2755" s="168">
        <f t="shared" si="3"/>
        <v>570526.79</v>
      </c>
      <c r="U2755" s="168">
        <f t="shared" si="4"/>
        <v>0</v>
      </c>
      <c r="V2755" s="168">
        <f t="shared" si="5"/>
        <v>0</v>
      </c>
      <c r="W2755" s="168">
        <f t="shared" si="6"/>
        <v>0</v>
      </c>
      <c r="X2755" s="168">
        <f t="shared" si="7"/>
        <v>0</v>
      </c>
      <c r="Y2755" s="168">
        <f t="shared" si="8"/>
        <v>0</v>
      </c>
      <c r="Z2755" s="168">
        <f t="shared" si="9"/>
        <v>0</v>
      </c>
    </row>
    <row r="2756" ht="15.0" customHeight="1">
      <c r="A2756" s="157" t="s">
        <v>3173</v>
      </c>
      <c r="B2756" s="158" t="s">
        <v>29</v>
      </c>
      <c r="C2756" s="158" t="s">
        <v>3168</v>
      </c>
      <c r="D2756" s="159">
        <v>44474.0</v>
      </c>
      <c r="E2756" s="157" t="s">
        <v>731</v>
      </c>
      <c r="F2756" s="160">
        <v>421017.35</v>
      </c>
      <c r="G2756" s="160">
        <v>67362.78</v>
      </c>
      <c r="H2756" s="160">
        <f t="shared" si="62"/>
        <v>488380.13</v>
      </c>
      <c r="I2756" s="160"/>
      <c r="J2756" s="161"/>
      <c r="K2756" s="160"/>
      <c r="L2756" s="160">
        <f>+'FACP$'!$H2756-'FACP$'!$I2756-'FACP$'!$K2756</f>
        <v>488380.13</v>
      </c>
      <c r="M2756" s="162" t="s">
        <v>130</v>
      </c>
      <c r="N2756" s="162" t="s">
        <v>554</v>
      </c>
      <c r="O2756" s="164">
        <v>44490.0</v>
      </c>
      <c r="P2756" s="164">
        <f t="shared" si="13"/>
        <v>44484</v>
      </c>
      <c r="Q2756" s="165">
        <f t="shared" si="2"/>
        <v>0</v>
      </c>
      <c r="R2756" s="167"/>
      <c r="S2756" s="167"/>
      <c r="T2756" s="168">
        <f t="shared" si="3"/>
        <v>488380.13</v>
      </c>
      <c r="U2756" s="168">
        <f t="shared" si="4"/>
        <v>0</v>
      </c>
      <c r="V2756" s="168">
        <f t="shared" si="5"/>
        <v>0</v>
      </c>
      <c r="W2756" s="168">
        <f t="shared" si="6"/>
        <v>0</v>
      </c>
      <c r="X2756" s="168">
        <f t="shared" si="7"/>
        <v>0</v>
      </c>
      <c r="Y2756" s="168">
        <f t="shared" si="8"/>
        <v>0</v>
      </c>
      <c r="Z2756" s="168">
        <f t="shared" si="9"/>
        <v>0</v>
      </c>
    </row>
    <row r="2757" ht="15.0" customHeight="1">
      <c r="A2757" s="157" t="s">
        <v>3174</v>
      </c>
      <c r="B2757" s="158" t="s">
        <v>41</v>
      </c>
      <c r="C2757" s="158" t="s">
        <v>3166</v>
      </c>
      <c r="D2757" s="159">
        <v>44474.0</v>
      </c>
      <c r="E2757" s="157" t="s">
        <v>731</v>
      </c>
      <c r="F2757" s="160">
        <v>770660.93</v>
      </c>
      <c r="G2757" s="160">
        <v>123305.75</v>
      </c>
      <c r="H2757" s="160">
        <f>F2757+G2757-71927.83</f>
        <v>822038.85</v>
      </c>
      <c r="I2757" s="160"/>
      <c r="J2757" s="161"/>
      <c r="K2757" s="160"/>
      <c r="L2757" s="160">
        <f>+'FACP$'!$H2757-'FACP$'!$I2757-'FACP$'!$K2757</f>
        <v>822038.85</v>
      </c>
      <c r="M2757" s="162" t="s">
        <v>121</v>
      </c>
      <c r="N2757" s="162" t="s">
        <v>554</v>
      </c>
      <c r="O2757" s="164">
        <v>44579.0</v>
      </c>
      <c r="P2757" s="164">
        <f t="shared" si="13"/>
        <v>44484</v>
      </c>
      <c r="Q2757" s="165">
        <f t="shared" si="2"/>
        <v>0</v>
      </c>
      <c r="R2757" s="167" t="s">
        <v>3175</v>
      </c>
      <c r="S2757" s="167"/>
      <c r="T2757" s="168">
        <f t="shared" si="3"/>
        <v>822038.85</v>
      </c>
      <c r="U2757" s="168">
        <f t="shared" si="4"/>
        <v>0</v>
      </c>
      <c r="V2757" s="168">
        <f t="shared" si="5"/>
        <v>0</v>
      </c>
      <c r="W2757" s="168">
        <f t="shared" si="6"/>
        <v>0</v>
      </c>
      <c r="X2757" s="168">
        <f t="shared" si="7"/>
        <v>0</v>
      </c>
      <c r="Y2757" s="168">
        <f t="shared" si="8"/>
        <v>0</v>
      </c>
      <c r="Z2757" s="168">
        <f t="shared" si="9"/>
        <v>0</v>
      </c>
    </row>
    <row r="2758" ht="15.0" customHeight="1">
      <c r="A2758" s="157" t="s">
        <v>3176</v>
      </c>
      <c r="B2758" s="158" t="s">
        <v>37</v>
      </c>
      <c r="C2758" s="158" t="s">
        <v>3166</v>
      </c>
      <c r="D2758" s="159">
        <v>44474.0</v>
      </c>
      <c r="E2758" s="157" t="s">
        <v>731</v>
      </c>
      <c r="F2758" s="160">
        <v>2683295.66</v>
      </c>
      <c r="G2758" s="160">
        <v>429327.31</v>
      </c>
      <c r="H2758" s="160">
        <f t="shared" ref="H2758:H2769" si="63">F2758+G2758</f>
        <v>3112622.97</v>
      </c>
      <c r="I2758" s="160"/>
      <c r="J2758" s="161"/>
      <c r="K2758" s="160"/>
      <c r="L2758" s="160">
        <f>+'FACP$'!$H2758-'FACP$'!$I2758-'FACP$'!$K2758</f>
        <v>3112622.97</v>
      </c>
      <c r="M2758" s="162" t="s">
        <v>116</v>
      </c>
      <c r="N2758" s="162" t="s">
        <v>554</v>
      </c>
      <c r="O2758" s="164">
        <v>44503.0</v>
      </c>
      <c r="P2758" s="164">
        <f t="shared" si="13"/>
        <v>44484</v>
      </c>
      <c r="Q2758" s="165">
        <f t="shared" si="2"/>
        <v>0</v>
      </c>
      <c r="R2758" s="167"/>
      <c r="S2758" s="167"/>
      <c r="T2758" s="168">
        <f t="shared" si="3"/>
        <v>3112622.97</v>
      </c>
      <c r="U2758" s="168">
        <f t="shared" si="4"/>
        <v>0</v>
      </c>
      <c r="V2758" s="168">
        <f t="shared" si="5"/>
        <v>0</v>
      </c>
      <c r="W2758" s="168">
        <f t="shared" si="6"/>
        <v>0</v>
      </c>
      <c r="X2758" s="168">
        <f t="shared" si="7"/>
        <v>0</v>
      </c>
      <c r="Y2758" s="168">
        <f t="shared" si="8"/>
        <v>0</v>
      </c>
      <c r="Z2758" s="168">
        <f t="shared" si="9"/>
        <v>0</v>
      </c>
    </row>
    <row r="2759" ht="15.0" customHeight="1">
      <c r="A2759" s="157" t="s">
        <v>3177</v>
      </c>
      <c r="B2759" s="158" t="s">
        <v>35</v>
      </c>
      <c r="C2759" s="158" t="s">
        <v>3166</v>
      </c>
      <c r="D2759" s="159">
        <v>44474.0</v>
      </c>
      <c r="E2759" s="157" t="s">
        <v>731</v>
      </c>
      <c r="F2759" s="160">
        <v>178044.16</v>
      </c>
      <c r="G2759" s="160">
        <v>28487.07</v>
      </c>
      <c r="H2759" s="160">
        <f t="shared" si="63"/>
        <v>206531.23</v>
      </c>
      <c r="I2759" s="160"/>
      <c r="J2759" s="161"/>
      <c r="K2759" s="160"/>
      <c r="L2759" s="160">
        <f>+'FACP$'!$H2759-'FACP$'!$I2759-'FACP$'!$K2759</f>
        <v>206531.23</v>
      </c>
      <c r="M2759" s="162" t="s">
        <v>276</v>
      </c>
      <c r="N2759" s="162" t="s">
        <v>554</v>
      </c>
      <c r="O2759" s="164">
        <v>44505.0</v>
      </c>
      <c r="P2759" s="164">
        <f t="shared" si="13"/>
        <v>44484</v>
      </c>
      <c r="Q2759" s="165">
        <f t="shared" si="2"/>
        <v>0</v>
      </c>
      <c r="R2759" s="167"/>
      <c r="S2759" s="167"/>
      <c r="T2759" s="168">
        <f t="shared" si="3"/>
        <v>206531.23</v>
      </c>
      <c r="U2759" s="168">
        <f t="shared" si="4"/>
        <v>0</v>
      </c>
      <c r="V2759" s="168">
        <f t="shared" si="5"/>
        <v>0</v>
      </c>
      <c r="W2759" s="168">
        <f t="shared" si="6"/>
        <v>0</v>
      </c>
      <c r="X2759" s="168">
        <f t="shared" si="7"/>
        <v>0</v>
      </c>
      <c r="Y2759" s="168">
        <f t="shared" si="8"/>
        <v>0</v>
      </c>
      <c r="Z2759" s="168">
        <f t="shared" si="9"/>
        <v>0</v>
      </c>
    </row>
    <row r="2760" ht="15.0" customHeight="1">
      <c r="A2760" s="157" t="s">
        <v>3178</v>
      </c>
      <c r="B2760" s="158" t="s">
        <v>36</v>
      </c>
      <c r="C2760" s="158" t="s">
        <v>3166</v>
      </c>
      <c r="D2760" s="159">
        <v>44474.0</v>
      </c>
      <c r="E2760" s="157" t="s">
        <v>731</v>
      </c>
      <c r="F2760" s="160">
        <v>99666.43</v>
      </c>
      <c r="G2760" s="160">
        <v>15946.63</v>
      </c>
      <c r="H2760" s="160">
        <f t="shared" si="63"/>
        <v>115613.06</v>
      </c>
      <c r="I2760" s="160"/>
      <c r="J2760" s="161"/>
      <c r="K2760" s="160"/>
      <c r="L2760" s="160">
        <f>+'FACP$'!$H2760-'FACP$'!$I2760-'FACP$'!$K2760</f>
        <v>115613.06</v>
      </c>
      <c r="M2760" s="162" t="s">
        <v>278</v>
      </c>
      <c r="N2760" s="162" t="s">
        <v>554</v>
      </c>
      <c r="O2760" s="164">
        <v>44550.0</v>
      </c>
      <c r="P2760" s="164">
        <f t="shared" si="13"/>
        <v>44484</v>
      </c>
      <c r="Q2760" s="165">
        <f t="shared" si="2"/>
        <v>0</v>
      </c>
      <c r="R2760" s="167"/>
      <c r="S2760" s="167"/>
      <c r="T2760" s="168">
        <f t="shared" si="3"/>
        <v>115613.06</v>
      </c>
      <c r="U2760" s="168">
        <f t="shared" si="4"/>
        <v>0</v>
      </c>
      <c r="V2760" s="168">
        <f t="shared" si="5"/>
        <v>0</v>
      </c>
      <c r="W2760" s="168">
        <f t="shared" si="6"/>
        <v>0</v>
      </c>
      <c r="X2760" s="168">
        <f t="shared" si="7"/>
        <v>0</v>
      </c>
      <c r="Y2760" s="168">
        <f t="shared" si="8"/>
        <v>0</v>
      </c>
      <c r="Z2760" s="168">
        <f t="shared" si="9"/>
        <v>0</v>
      </c>
    </row>
    <row r="2761" ht="15.0" customHeight="1">
      <c r="A2761" s="157" t="s">
        <v>3179</v>
      </c>
      <c r="B2761" s="158" t="s">
        <v>38</v>
      </c>
      <c r="C2761" s="158" t="s">
        <v>3166</v>
      </c>
      <c r="D2761" s="159">
        <v>44474.0</v>
      </c>
      <c r="E2761" s="157" t="s">
        <v>731</v>
      </c>
      <c r="F2761" s="160">
        <v>1083905.16</v>
      </c>
      <c r="G2761" s="160">
        <v>173424.83</v>
      </c>
      <c r="H2761" s="160">
        <f t="shared" si="63"/>
        <v>1257329.99</v>
      </c>
      <c r="I2761" s="160"/>
      <c r="J2761" s="161"/>
      <c r="K2761" s="160"/>
      <c r="L2761" s="160">
        <f>+'FACP$'!$H2761-'FACP$'!$I2761-'FACP$'!$K2761</f>
        <v>1257329.99</v>
      </c>
      <c r="M2761" s="162" t="s">
        <v>145</v>
      </c>
      <c r="N2761" s="162" t="s">
        <v>554</v>
      </c>
      <c r="O2761" s="164">
        <v>44530.0</v>
      </c>
      <c r="P2761" s="164">
        <f t="shared" si="13"/>
        <v>44484</v>
      </c>
      <c r="Q2761" s="165">
        <f t="shared" si="2"/>
        <v>0</v>
      </c>
      <c r="R2761" s="167" t="s">
        <v>3098</v>
      </c>
      <c r="S2761" s="167"/>
      <c r="T2761" s="168">
        <f t="shared" si="3"/>
        <v>1257329.99</v>
      </c>
      <c r="U2761" s="168">
        <f t="shared" si="4"/>
        <v>0</v>
      </c>
      <c r="V2761" s="168">
        <f t="shared" si="5"/>
        <v>0</v>
      </c>
      <c r="W2761" s="168">
        <f t="shared" si="6"/>
        <v>0</v>
      </c>
      <c r="X2761" s="168">
        <f t="shared" si="7"/>
        <v>0</v>
      </c>
      <c r="Y2761" s="168">
        <f t="shared" si="8"/>
        <v>0</v>
      </c>
      <c r="Z2761" s="168">
        <f t="shared" si="9"/>
        <v>0</v>
      </c>
    </row>
    <row r="2762" ht="15.0" customHeight="1">
      <c r="A2762" s="157" t="s">
        <v>3180</v>
      </c>
      <c r="B2762" s="158" t="s">
        <v>43</v>
      </c>
      <c r="C2762" s="158" t="s">
        <v>3166</v>
      </c>
      <c r="D2762" s="159">
        <v>44474.0</v>
      </c>
      <c r="E2762" s="157" t="s">
        <v>731</v>
      </c>
      <c r="F2762" s="160">
        <v>520467.87</v>
      </c>
      <c r="G2762" s="160">
        <v>83274.86</v>
      </c>
      <c r="H2762" s="160">
        <f t="shared" si="63"/>
        <v>603742.73</v>
      </c>
      <c r="I2762" s="160"/>
      <c r="J2762" s="161"/>
      <c r="K2762" s="160"/>
      <c r="L2762" s="160">
        <f>+'FACP$'!$H2762-'FACP$'!$I2762-'FACP$'!$K2762</f>
        <v>603742.73</v>
      </c>
      <c r="M2762" s="162" t="s">
        <v>43</v>
      </c>
      <c r="N2762" s="162" t="s">
        <v>554</v>
      </c>
      <c r="O2762" s="164">
        <v>44505.0</v>
      </c>
      <c r="P2762" s="164">
        <f t="shared" si="13"/>
        <v>44484</v>
      </c>
      <c r="Q2762" s="165">
        <f t="shared" si="2"/>
        <v>0</v>
      </c>
      <c r="R2762" s="167"/>
      <c r="S2762" s="167"/>
      <c r="T2762" s="168">
        <f t="shared" si="3"/>
        <v>603742.73</v>
      </c>
      <c r="U2762" s="168">
        <f t="shared" si="4"/>
        <v>0</v>
      </c>
      <c r="V2762" s="168">
        <f t="shared" si="5"/>
        <v>0</v>
      </c>
      <c r="W2762" s="168">
        <f t="shared" si="6"/>
        <v>0</v>
      </c>
      <c r="X2762" s="168">
        <f t="shared" si="7"/>
        <v>0</v>
      </c>
      <c r="Y2762" s="168">
        <f t="shared" si="8"/>
        <v>0</v>
      </c>
      <c r="Z2762" s="168">
        <f t="shared" si="9"/>
        <v>0</v>
      </c>
    </row>
    <row r="2763" ht="15.0" customHeight="1">
      <c r="A2763" s="157" t="s">
        <v>3181</v>
      </c>
      <c r="B2763" s="158" t="s">
        <v>38</v>
      </c>
      <c r="C2763" s="158" t="s">
        <v>3127</v>
      </c>
      <c r="D2763" s="159">
        <v>44474.0</v>
      </c>
      <c r="E2763" s="157" t="s">
        <v>731</v>
      </c>
      <c r="F2763" s="160">
        <v>857825.2</v>
      </c>
      <c r="G2763" s="160">
        <v>137252.03</v>
      </c>
      <c r="H2763" s="160">
        <f t="shared" si="63"/>
        <v>995077.23</v>
      </c>
      <c r="I2763" s="160"/>
      <c r="J2763" s="161"/>
      <c r="K2763" s="160"/>
      <c r="L2763" s="160">
        <f>+'FACP$'!$H2763-'FACP$'!$I2763-'FACP$'!$K2763</f>
        <v>995077.23</v>
      </c>
      <c r="M2763" s="162" t="s">
        <v>145</v>
      </c>
      <c r="N2763" s="162" t="s">
        <v>554</v>
      </c>
      <c r="O2763" s="164">
        <v>44530.0</v>
      </c>
      <c r="P2763" s="164">
        <f t="shared" si="13"/>
        <v>44484</v>
      </c>
      <c r="Q2763" s="165">
        <f t="shared" si="2"/>
        <v>0</v>
      </c>
      <c r="R2763" s="167" t="s">
        <v>3098</v>
      </c>
      <c r="S2763" s="167"/>
      <c r="T2763" s="168">
        <f t="shared" si="3"/>
        <v>995077.23</v>
      </c>
      <c r="U2763" s="168">
        <f t="shared" si="4"/>
        <v>0</v>
      </c>
      <c r="V2763" s="168">
        <f t="shared" si="5"/>
        <v>0</v>
      </c>
      <c r="W2763" s="168">
        <f t="shared" si="6"/>
        <v>0</v>
      </c>
      <c r="X2763" s="168">
        <f t="shared" si="7"/>
        <v>0</v>
      </c>
      <c r="Y2763" s="168">
        <f t="shared" si="8"/>
        <v>0</v>
      </c>
      <c r="Z2763" s="168">
        <f t="shared" si="9"/>
        <v>0</v>
      </c>
    </row>
    <row r="2764" ht="15.0" customHeight="1">
      <c r="A2764" s="157" t="s">
        <v>3182</v>
      </c>
      <c r="B2764" s="158" t="s">
        <v>31</v>
      </c>
      <c r="C2764" s="158" t="s">
        <v>3166</v>
      </c>
      <c r="D2764" s="159">
        <v>44474.0</v>
      </c>
      <c r="E2764" s="157" t="s">
        <v>731</v>
      </c>
      <c r="F2764" s="160">
        <v>33622.02</v>
      </c>
      <c r="G2764" s="160">
        <v>5379.52</v>
      </c>
      <c r="H2764" s="160">
        <f t="shared" si="63"/>
        <v>39001.54</v>
      </c>
      <c r="I2764" s="252"/>
      <c r="J2764" s="253"/>
      <c r="K2764" s="252"/>
      <c r="L2764" s="160">
        <f>+'FACP$'!$H2764-'FACP$'!$I2764-'FACP$'!$K2764</f>
        <v>39001.54</v>
      </c>
      <c r="M2764" s="162" t="s">
        <v>3183</v>
      </c>
      <c r="N2764" s="162" t="s">
        <v>554</v>
      </c>
      <c r="O2764" s="164">
        <v>44484.0</v>
      </c>
      <c r="P2764" s="164">
        <f t="shared" si="13"/>
        <v>44484</v>
      </c>
      <c r="Q2764" s="165">
        <f t="shared" si="2"/>
        <v>0</v>
      </c>
      <c r="R2764" s="167"/>
      <c r="S2764" s="167"/>
      <c r="T2764" s="168">
        <f t="shared" si="3"/>
        <v>39001.54</v>
      </c>
      <c r="U2764" s="168">
        <f t="shared" si="4"/>
        <v>0</v>
      </c>
      <c r="V2764" s="168">
        <f t="shared" si="5"/>
        <v>0</v>
      </c>
      <c r="W2764" s="168">
        <f t="shared" si="6"/>
        <v>0</v>
      </c>
      <c r="X2764" s="168">
        <f t="shared" si="7"/>
        <v>0</v>
      </c>
      <c r="Y2764" s="168">
        <f t="shared" si="8"/>
        <v>0</v>
      </c>
      <c r="Z2764" s="168">
        <f t="shared" si="9"/>
        <v>0</v>
      </c>
    </row>
    <row r="2765" ht="15.0" customHeight="1">
      <c r="A2765" s="157" t="s">
        <v>3184</v>
      </c>
      <c r="B2765" s="158" t="s">
        <v>17</v>
      </c>
      <c r="C2765" s="158" t="s">
        <v>3166</v>
      </c>
      <c r="D2765" s="159">
        <v>44480.0</v>
      </c>
      <c r="E2765" s="157" t="s">
        <v>731</v>
      </c>
      <c r="F2765" s="160">
        <v>6994.06</v>
      </c>
      <c r="G2765" s="160">
        <v>1119.05</v>
      </c>
      <c r="H2765" s="160">
        <f t="shared" si="63"/>
        <v>8113.11</v>
      </c>
      <c r="I2765" s="160"/>
      <c r="J2765" s="161"/>
      <c r="K2765" s="160"/>
      <c r="L2765" s="160">
        <f>+'FACP$'!$H2765-'FACP$'!$I2765-'FACP$'!$K2765</f>
        <v>8113.11</v>
      </c>
      <c r="M2765" s="162" t="s">
        <v>127</v>
      </c>
      <c r="N2765" s="162" t="s">
        <v>127</v>
      </c>
      <c r="O2765" s="164"/>
      <c r="P2765" s="164">
        <f t="shared" si="13"/>
        <v>44490</v>
      </c>
      <c r="Q2765" s="165">
        <f t="shared" si="2"/>
        <v>0</v>
      </c>
      <c r="R2765" s="167" t="s">
        <v>3185</v>
      </c>
      <c r="S2765" s="167"/>
      <c r="T2765" s="168">
        <f t="shared" si="3"/>
        <v>8113.11</v>
      </c>
      <c r="U2765" s="168">
        <f t="shared" si="4"/>
        <v>0</v>
      </c>
      <c r="V2765" s="168">
        <f t="shared" si="5"/>
        <v>0</v>
      </c>
      <c r="W2765" s="168">
        <f t="shared" si="6"/>
        <v>0</v>
      </c>
      <c r="X2765" s="168">
        <f t="shared" si="7"/>
        <v>0</v>
      </c>
      <c r="Y2765" s="168">
        <f t="shared" si="8"/>
        <v>0</v>
      </c>
      <c r="Z2765" s="168">
        <f t="shared" si="9"/>
        <v>0</v>
      </c>
      <c r="AA2765" s="240"/>
      <c r="AB2765" s="240"/>
      <c r="AC2765" s="240"/>
    </row>
    <row r="2766" ht="15.0" customHeight="1">
      <c r="A2766" s="157" t="s">
        <v>3186</v>
      </c>
      <c r="B2766" s="158" t="s">
        <v>16</v>
      </c>
      <c r="C2766" s="158" t="s">
        <v>3187</v>
      </c>
      <c r="D2766" s="159">
        <v>44491.0</v>
      </c>
      <c r="E2766" s="157" t="s">
        <v>731</v>
      </c>
      <c r="F2766" s="160">
        <v>440411.34</v>
      </c>
      <c r="G2766" s="160">
        <v>70465.81</v>
      </c>
      <c r="H2766" s="160">
        <f t="shared" si="63"/>
        <v>510877.15</v>
      </c>
      <c r="I2766" s="160"/>
      <c r="J2766" s="161"/>
      <c r="K2766" s="160"/>
      <c r="L2766" s="160">
        <f>+'FACP$'!$H2766-'FACP$'!$I2766-'FACP$'!$K2766</f>
        <v>510877.15</v>
      </c>
      <c r="M2766" s="162" t="s">
        <v>985</v>
      </c>
      <c r="N2766" s="162" t="s">
        <v>554</v>
      </c>
      <c r="O2766" s="164">
        <v>44512.0</v>
      </c>
      <c r="P2766" s="164">
        <f t="shared" si="13"/>
        <v>44501</v>
      </c>
      <c r="Q2766" s="165">
        <f t="shared" si="2"/>
        <v>0</v>
      </c>
      <c r="R2766" s="167"/>
      <c r="S2766" s="167"/>
      <c r="T2766" s="168">
        <f t="shared" si="3"/>
        <v>510877.15</v>
      </c>
      <c r="U2766" s="168">
        <f t="shared" si="4"/>
        <v>0</v>
      </c>
      <c r="V2766" s="168">
        <f t="shared" si="5"/>
        <v>0</v>
      </c>
      <c r="W2766" s="168">
        <f t="shared" si="6"/>
        <v>0</v>
      </c>
      <c r="X2766" s="168">
        <f t="shared" si="7"/>
        <v>0</v>
      </c>
      <c r="Y2766" s="168">
        <f t="shared" si="8"/>
        <v>0</v>
      </c>
      <c r="Z2766" s="168">
        <f t="shared" si="9"/>
        <v>0</v>
      </c>
    </row>
    <row r="2767" ht="15.0" customHeight="1">
      <c r="A2767" s="157" t="s">
        <v>3188</v>
      </c>
      <c r="B2767" s="158" t="s">
        <v>16</v>
      </c>
      <c r="C2767" s="158" t="s">
        <v>3189</v>
      </c>
      <c r="D2767" s="159">
        <v>44491.0</v>
      </c>
      <c r="E2767" s="157" t="s">
        <v>731</v>
      </c>
      <c r="F2767" s="160">
        <v>323709.35</v>
      </c>
      <c r="G2767" s="160">
        <v>51793.5</v>
      </c>
      <c r="H2767" s="160">
        <f t="shared" si="63"/>
        <v>375502.85</v>
      </c>
      <c r="I2767" s="160"/>
      <c r="J2767" s="161"/>
      <c r="K2767" s="160"/>
      <c r="L2767" s="160">
        <f>+'FACP$'!$H2767-'FACP$'!$I2767-'FACP$'!$K2767</f>
        <v>375502.85</v>
      </c>
      <c r="M2767" s="162" t="s">
        <v>985</v>
      </c>
      <c r="N2767" s="162" t="s">
        <v>554</v>
      </c>
      <c r="O2767" s="164">
        <v>44512.0</v>
      </c>
      <c r="P2767" s="164">
        <f t="shared" si="13"/>
        <v>44501</v>
      </c>
      <c r="Q2767" s="165">
        <f t="shared" si="2"/>
        <v>0</v>
      </c>
      <c r="R2767" s="167"/>
      <c r="S2767" s="167"/>
      <c r="T2767" s="168">
        <f t="shared" si="3"/>
        <v>375502.85</v>
      </c>
      <c r="U2767" s="168">
        <f t="shared" si="4"/>
        <v>0</v>
      </c>
      <c r="V2767" s="168">
        <f t="shared" si="5"/>
        <v>0</v>
      </c>
      <c r="W2767" s="168">
        <f t="shared" si="6"/>
        <v>0</v>
      </c>
      <c r="X2767" s="168">
        <f t="shared" si="7"/>
        <v>0</v>
      </c>
      <c r="Y2767" s="168">
        <f t="shared" si="8"/>
        <v>0</v>
      </c>
      <c r="Z2767" s="168">
        <f t="shared" si="9"/>
        <v>0</v>
      </c>
    </row>
    <row r="2768" ht="15.0" customHeight="1">
      <c r="A2768" s="157" t="s">
        <v>3190</v>
      </c>
      <c r="B2768" s="158" t="s">
        <v>18</v>
      </c>
      <c r="C2768" s="158" t="s">
        <v>3187</v>
      </c>
      <c r="D2768" s="159">
        <v>44491.0</v>
      </c>
      <c r="E2768" s="157" t="s">
        <v>731</v>
      </c>
      <c r="F2768" s="160">
        <v>168846.62</v>
      </c>
      <c r="G2768" s="160">
        <v>27015.46</v>
      </c>
      <c r="H2768" s="160">
        <f t="shared" si="63"/>
        <v>195862.08</v>
      </c>
      <c r="I2768" s="160"/>
      <c r="J2768" s="161"/>
      <c r="K2768" s="160"/>
      <c r="L2768" s="160">
        <f>+'FACP$'!$H2768-'FACP$'!$I2768-'FACP$'!$K2768</f>
        <v>195862.08</v>
      </c>
      <c r="M2768" s="162" t="s">
        <v>586</v>
      </c>
      <c r="N2768" s="162" t="s">
        <v>554</v>
      </c>
      <c r="O2768" s="164">
        <v>44528.0</v>
      </c>
      <c r="P2768" s="164">
        <f t="shared" si="13"/>
        <v>44501</v>
      </c>
      <c r="Q2768" s="165">
        <f t="shared" si="2"/>
        <v>0</v>
      </c>
      <c r="R2768" s="167"/>
      <c r="S2768" s="167"/>
      <c r="T2768" s="168">
        <f t="shared" si="3"/>
        <v>195862.08</v>
      </c>
      <c r="U2768" s="168">
        <f t="shared" si="4"/>
        <v>0</v>
      </c>
      <c r="V2768" s="168">
        <f t="shared" si="5"/>
        <v>0</v>
      </c>
      <c r="W2768" s="168">
        <f t="shared" si="6"/>
        <v>0</v>
      </c>
      <c r="X2768" s="168">
        <f t="shared" si="7"/>
        <v>0</v>
      </c>
      <c r="Y2768" s="168">
        <f t="shared" si="8"/>
        <v>0</v>
      </c>
      <c r="Z2768" s="168">
        <f t="shared" si="9"/>
        <v>0</v>
      </c>
    </row>
    <row r="2769" ht="15.0" customHeight="1">
      <c r="A2769" s="157" t="s">
        <v>3191</v>
      </c>
      <c r="B2769" s="158" t="s">
        <v>19</v>
      </c>
      <c r="C2769" s="158" t="s">
        <v>3187</v>
      </c>
      <c r="D2769" s="159">
        <v>44491.0</v>
      </c>
      <c r="E2769" s="157" t="s">
        <v>731</v>
      </c>
      <c r="F2769" s="160">
        <v>272388.99</v>
      </c>
      <c r="G2769" s="160">
        <v>43582.24</v>
      </c>
      <c r="H2769" s="160">
        <f t="shared" si="63"/>
        <v>315971.23</v>
      </c>
      <c r="I2769" s="160"/>
      <c r="J2769" s="161"/>
      <c r="K2769" s="160"/>
      <c r="L2769" s="160">
        <f>+'FACP$'!$H2769-'FACP$'!$I2769-'FACP$'!$K2769</f>
        <v>315971.23</v>
      </c>
      <c r="M2769" s="162" t="s">
        <v>732</v>
      </c>
      <c r="N2769" s="162" t="s">
        <v>554</v>
      </c>
      <c r="O2769" s="164">
        <v>44528.0</v>
      </c>
      <c r="P2769" s="164">
        <f t="shared" si="13"/>
        <v>44501</v>
      </c>
      <c r="Q2769" s="165">
        <f t="shared" si="2"/>
        <v>0</v>
      </c>
      <c r="R2769" s="167"/>
      <c r="S2769" s="167"/>
      <c r="T2769" s="168">
        <f t="shared" si="3"/>
        <v>315971.23</v>
      </c>
      <c r="U2769" s="168">
        <f t="shared" si="4"/>
        <v>0</v>
      </c>
      <c r="V2769" s="168">
        <f t="shared" si="5"/>
        <v>0</v>
      </c>
      <c r="W2769" s="168">
        <f t="shared" si="6"/>
        <v>0</v>
      </c>
      <c r="X2769" s="168">
        <f t="shared" si="7"/>
        <v>0</v>
      </c>
      <c r="Y2769" s="168">
        <f t="shared" si="8"/>
        <v>0</v>
      </c>
      <c r="Z2769" s="168">
        <f t="shared" si="9"/>
        <v>0</v>
      </c>
    </row>
    <row r="2770" ht="15.0" customHeight="1">
      <c r="A2770" s="157" t="s">
        <v>3192</v>
      </c>
      <c r="B2770" s="158" t="s">
        <v>26</v>
      </c>
      <c r="C2770" s="158" t="s">
        <v>3187</v>
      </c>
      <c r="D2770" s="159">
        <v>44491.0</v>
      </c>
      <c r="E2770" s="157" t="s">
        <v>731</v>
      </c>
      <c r="F2770" s="160">
        <v>113136.75</v>
      </c>
      <c r="G2770" s="160">
        <v>18101.88</v>
      </c>
      <c r="H2770" s="160">
        <f>F2770+G2770-113384.66-17853.97</f>
        <v>0</v>
      </c>
      <c r="I2770" s="250"/>
      <c r="J2770" s="251"/>
      <c r="K2770" s="250"/>
      <c r="L2770" s="250">
        <f>+'FACP$'!$H2770-'FACP$'!$I2770-'FACP$'!$K2770</f>
        <v>0</v>
      </c>
      <c r="M2770" s="162" t="s">
        <v>2386</v>
      </c>
      <c r="N2770" s="162" t="s">
        <v>554</v>
      </c>
      <c r="O2770" s="164">
        <v>44603.0</v>
      </c>
      <c r="P2770" s="164">
        <f t="shared" si="13"/>
        <v>44501</v>
      </c>
      <c r="Q2770" s="165">
        <f t="shared" si="2"/>
        <v>0</v>
      </c>
      <c r="R2770" s="220" t="s">
        <v>3193</v>
      </c>
      <c r="S2770" s="167"/>
      <c r="T2770" s="168">
        <f t="shared" si="3"/>
        <v>0</v>
      </c>
      <c r="U2770" s="168">
        <f t="shared" si="4"/>
        <v>0</v>
      </c>
      <c r="V2770" s="168">
        <f t="shared" si="5"/>
        <v>0</v>
      </c>
      <c r="W2770" s="168">
        <f t="shared" si="6"/>
        <v>0</v>
      </c>
      <c r="X2770" s="168">
        <f t="shared" si="7"/>
        <v>0</v>
      </c>
      <c r="Y2770" s="168">
        <f t="shared" si="8"/>
        <v>0</v>
      </c>
      <c r="Z2770" s="168">
        <f t="shared" si="9"/>
        <v>0</v>
      </c>
    </row>
    <row r="2771" ht="15.0" customHeight="1">
      <c r="A2771" s="157" t="s">
        <v>3194</v>
      </c>
      <c r="B2771" s="158" t="s">
        <v>29</v>
      </c>
      <c r="C2771" s="158" t="s">
        <v>3187</v>
      </c>
      <c r="D2771" s="159">
        <v>44491.0</v>
      </c>
      <c r="E2771" s="157" t="s">
        <v>731</v>
      </c>
      <c r="F2771" s="160">
        <v>334952.0</v>
      </c>
      <c r="G2771" s="160">
        <v>53592.32</v>
      </c>
      <c r="H2771" s="160">
        <f t="shared" ref="H2771:H2803" si="64">F2771+G2771</f>
        <v>388544.32</v>
      </c>
      <c r="I2771" s="160"/>
      <c r="J2771" s="161"/>
      <c r="K2771" s="160"/>
      <c r="L2771" s="160">
        <f>+'FACP$'!$H2771-'FACP$'!$I2771-'FACP$'!$K2771</f>
        <v>388544.32</v>
      </c>
      <c r="M2771" s="162" t="s">
        <v>130</v>
      </c>
      <c r="N2771" s="162" t="s">
        <v>554</v>
      </c>
      <c r="O2771" s="164">
        <v>44503.0</v>
      </c>
      <c r="P2771" s="164">
        <f t="shared" si="13"/>
        <v>44501</v>
      </c>
      <c r="Q2771" s="165">
        <f t="shared" si="2"/>
        <v>0</v>
      </c>
      <c r="R2771" s="167"/>
      <c r="S2771" s="167"/>
      <c r="T2771" s="168">
        <f t="shared" si="3"/>
        <v>388544.32</v>
      </c>
      <c r="U2771" s="168">
        <f t="shared" si="4"/>
        <v>0</v>
      </c>
      <c r="V2771" s="168">
        <f t="shared" si="5"/>
        <v>0</v>
      </c>
      <c r="W2771" s="168">
        <f t="shared" si="6"/>
        <v>0</v>
      </c>
      <c r="X2771" s="168">
        <f t="shared" si="7"/>
        <v>0</v>
      </c>
      <c r="Y2771" s="168">
        <f t="shared" si="8"/>
        <v>0</v>
      </c>
      <c r="Z2771" s="168">
        <f t="shared" si="9"/>
        <v>0</v>
      </c>
    </row>
    <row r="2772" ht="15.0" customHeight="1">
      <c r="A2772" s="157" t="s">
        <v>3195</v>
      </c>
      <c r="B2772" s="158" t="s">
        <v>29</v>
      </c>
      <c r="C2772" s="158" t="s">
        <v>3189</v>
      </c>
      <c r="D2772" s="159">
        <v>44491.0</v>
      </c>
      <c r="E2772" s="157" t="s">
        <v>731</v>
      </c>
      <c r="F2772" s="160">
        <v>268223.73</v>
      </c>
      <c r="G2772" s="160">
        <v>42915.8</v>
      </c>
      <c r="H2772" s="160">
        <f t="shared" si="64"/>
        <v>311139.53</v>
      </c>
      <c r="I2772" s="160"/>
      <c r="J2772" s="161"/>
      <c r="K2772" s="160"/>
      <c r="L2772" s="160">
        <f>+'FACP$'!$H2772-'FACP$'!$I2772-'FACP$'!$K2772</f>
        <v>311139.53</v>
      </c>
      <c r="M2772" s="162" t="s">
        <v>130</v>
      </c>
      <c r="N2772" s="162" t="s">
        <v>554</v>
      </c>
      <c r="O2772" s="164">
        <v>44503.0</v>
      </c>
      <c r="P2772" s="164">
        <f t="shared" si="13"/>
        <v>44501</v>
      </c>
      <c r="Q2772" s="165">
        <f t="shared" si="2"/>
        <v>0</v>
      </c>
      <c r="R2772" s="167"/>
      <c r="S2772" s="167"/>
      <c r="T2772" s="168">
        <f t="shared" si="3"/>
        <v>311139.53</v>
      </c>
      <c r="U2772" s="168">
        <f t="shared" si="4"/>
        <v>0</v>
      </c>
      <c r="V2772" s="168">
        <f t="shared" si="5"/>
        <v>0</v>
      </c>
      <c r="W2772" s="168">
        <f t="shared" si="6"/>
        <v>0</v>
      </c>
      <c r="X2772" s="168">
        <f t="shared" si="7"/>
        <v>0</v>
      </c>
      <c r="Y2772" s="168">
        <f t="shared" si="8"/>
        <v>0</v>
      </c>
      <c r="Z2772" s="168">
        <f t="shared" si="9"/>
        <v>0</v>
      </c>
    </row>
    <row r="2773" ht="15.0" customHeight="1">
      <c r="A2773" s="157" t="s">
        <v>3196</v>
      </c>
      <c r="B2773" s="158" t="s">
        <v>41</v>
      </c>
      <c r="C2773" s="158" t="s">
        <v>3187</v>
      </c>
      <c r="D2773" s="159">
        <v>44491.0</v>
      </c>
      <c r="E2773" s="157" t="s">
        <v>731</v>
      </c>
      <c r="F2773" s="160">
        <v>884533.94</v>
      </c>
      <c r="G2773" s="160">
        <v>141525.43</v>
      </c>
      <c r="H2773" s="160">
        <f t="shared" si="64"/>
        <v>1026059.37</v>
      </c>
      <c r="I2773" s="160"/>
      <c r="J2773" s="161"/>
      <c r="K2773" s="160"/>
      <c r="L2773" s="160">
        <f>+'FACP$'!$H2773-'FACP$'!$I2773-'FACP$'!$K2773</f>
        <v>1026059.37</v>
      </c>
      <c r="M2773" s="162" t="s">
        <v>121</v>
      </c>
      <c r="N2773" s="162" t="s">
        <v>554</v>
      </c>
      <c r="O2773" s="164">
        <v>44554.0</v>
      </c>
      <c r="P2773" s="164">
        <f t="shared" si="13"/>
        <v>44501</v>
      </c>
      <c r="Q2773" s="165">
        <f t="shared" si="2"/>
        <v>0</v>
      </c>
      <c r="R2773" s="167"/>
      <c r="S2773" s="167"/>
      <c r="T2773" s="168">
        <f t="shared" si="3"/>
        <v>1026059.37</v>
      </c>
      <c r="U2773" s="168">
        <f t="shared" si="4"/>
        <v>0</v>
      </c>
      <c r="V2773" s="168">
        <f t="shared" si="5"/>
        <v>0</v>
      </c>
      <c r="W2773" s="168">
        <f t="shared" si="6"/>
        <v>0</v>
      </c>
      <c r="X2773" s="168">
        <f t="shared" si="7"/>
        <v>0</v>
      </c>
      <c r="Y2773" s="168">
        <f t="shared" si="8"/>
        <v>0</v>
      </c>
      <c r="Z2773" s="168">
        <f t="shared" si="9"/>
        <v>0</v>
      </c>
    </row>
    <row r="2774" ht="15.0" customHeight="1">
      <c r="A2774" s="157" t="s">
        <v>3197</v>
      </c>
      <c r="B2774" s="158" t="s">
        <v>37</v>
      </c>
      <c r="C2774" s="158" t="s">
        <v>3187</v>
      </c>
      <c r="D2774" s="159">
        <v>44491.0</v>
      </c>
      <c r="E2774" s="157" t="s">
        <v>731</v>
      </c>
      <c r="F2774" s="160">
        <v>2636985.6</v>
      </c>
      <c r="G2774" s="160">
        <v>421917.7</v>
      </c>
      <c r="H2774" s="160">
        <f t="shared" si="64"/>
        <v>3058903.3</v>
      </c>
      <c r="I2774" s="160"/>
      <c r="J2774" s="161"/>
      <c r="K2774" s="160"/>
      <c r="L2774" s="160">
        <f>+'FACP$'!$H2774-'FACP$'!$I2774-'FACP$'!$K2774</f>
        <v>3058903.3</v>
      </c>
      <c r="M2774" s="162" t="s">
        <v>116</v>
      </c>
      <c r="N2774" s="162" t="s">
        <v>554</v>
      </c>
      <c r="O2774" s="164">
        <v>44508.0</v>
      </c>
      <c r="P2774" s="164">
        <f t="shared" si="13"/>
        <v>44501</v>
      </c>
      <c r="Q2774" s="165">
        <f t="shared" si="2"/>
        <v>0</v>
      </c>
      <c r="R2774" s="167"/>
      <c r="S2774" s="167"/>
      <c r="T2774" s="168">
        <f t="shared" si="3"/>
        <v>3058903.3</v>
      </c>
      <c r="U2774" s="168">
        <f t="shared" si="4"/>
        <v>0</v>
      </c>
      <c r="V2774" s="168">
        <f t="shared" si="5"/>
        <v>0</v>
      </c>
      <c r="W2774" s="168">
        <f t="shared" si="6"/>
        <v>0</v>
      </c>
      <c r="X2774" s="168">
        <f t="shared" si="7"/>
        <v>0</v>
      </c>
      <c r="Y2774" s="168">
        <f t="shared" si="8"/>
        <v>0</v>
      </c>
      <c r="Z2774" s="168">
        <f t="shared" si="9"/>
        <v>0</v>
      </c>
    </row>
    <row r="2775" ht="15.0" customHeight="1">
      <c r="A2775" s="157" t="s">
        <v>3198</v>
      </c>
      <c r="B2775" s="158" t="s">
        <v>33</v>
      </c>
      <c r="C2775" s="158" t="s">
        <v>3187</v>
      </c>
      <c r="D2775" s="159">
        <v>44491.0</v>
      </c>
      <c r="E2775" s="157" t="s">
        <v>731</v>
      </c>
      <c r="F2775" s="160">
        <v>532050.57</v>
      </c>
      <c r="G2775" s="160">
        <v>85128.09</v>
      </c>
      <c r="H2775" s="160">
        <f t="shared" si="64"/>
        <v>617178.66</v>
      </c>
      <c r="I2775" s="160"/>
      <c r="J2775" s="161"/>
      <c r="K2775" s="160"/>
      <c r="L2775" s="160">
        <f>+'FACP$'!$H2775-'FACP$'!$I2775-'FACP$'!$K2775</f>
        <v>617178.66</v>
      </c>
      <c r="M2775" s="162" t="s">
        <v>958</v>
      </c>
      <c r="N2775" s="162" t="s">
        <v>554</v>
      </c>
      <c r="O2775" s="164">
        <v>44512.0</v>
      </c>
      <c r="P2775" s="164">
        <f t="shared" si="13"/>
        <v>44501</v>
      </c>
      <c r="Q2775" s="165">
        <f t="shared" si="2"/>
        <v>0</v>
      </c>
      <c r="R2775" s="167"/>
      <c r="S2775" s="167"/>
      <c r="T2775" s="168">
        <f t="shared" si="3"/>
        <v>617178.66</v>
      </c>
      <c r="U2775" s="168">
        <f t="shared" si="4"/>
        <v>0</v>
      </c>
      <c r="V2775" s="168">
        <f t="shared" si="5"/>
        <v>0</v>
      </c>
      <c r="W2775" s="168">
        <f t="shared" si="6"/>
        <v>0</v>
      </c>
      <c r="X2775" s="168">
        <f t="shared" si="7"/>
        <v>0</v>
      </c>
      <c r="Y2775" s="168">
        <f t="shared" si="8"/>
        <v>0</v>
      </c>
      <c r="Z2775" s="168">
        <f t="shared" si="9"/>
        <v>0</v>
      </c>
    </row>
    <row r="2776" ht="15.0" customHeight="1">
      <c r="A2776" s="157" t="s">
        <v>3199</v>
      </c>
      <c r="B2776" s="158" t="s">
        <v>35</v>
      </c>
      <c r="C2776" s="158" t="s">
        <v>3187</v>
      </c>
      <c r="D2776" s="159">
        <v>44491.0</v>
      </c>
      <c r="E2776" s="157" t="s">
        <v>731</v>
      </c>
      <c r="F2776" s="160">
        <v>237520.56</v>
      </c>
      <c r="G2776" s="160">
        <v>38003.29</v>
      </c>
      <c r="H2776" s="160">
        <f t="shared" si="64"/>
        <v>275523.85</v>
      </c>
      <c r="I2776" s="160"/>
      <c r="J2776" s="161"/>
      <c r="K2776" s="160"/>
      <c r="L2776" s="160">
        <f>+'FACP$'!$H2776-'FACP$'!$I2776-'FACP$'!$K2776</f>
        <v>275523.85</v>
      </c>
      <c r="M2776" s="162" t="s">
        <v>276</v>
      </c>
      <c r="N2776" s="162" t="s">
        <v>554</v>
      </c>
      <c r="O2776" s="164" t="s">
        <v>3200</v>
      </c>
      <c r="P2776" s="164">
        <f t="shared" si="13"/>
        <v>44501</v>
      </c>
      <c r="Q2776" s="165">
        <f t="shared" si="2"/>
        <v>0</v>
      </c>
      <c r="R2776" s="167"/>
      <c r="S2776" s="167"/>
      <c r="T2776" s="168">
        <f t="shared" si="3"/>
        <v>275523.85</v>
      </c>
      <c r="U2776" s="168">
        <f t="shared" si="4"/>
        <v>0</v>
      </c>
      <c r="V2776" s="168">
        <f t="shared" si="5"/>
        <v>0</v>
      </c>
      <c r="W2776" s="168">
        <f t="shared" si="6"/>
        <v>0</v>
      </c>
      <c r="X2776" s="168">
        <f t="shared" si="7"/>
        <v>0</v>
      </c>
      <c r="Y2776" s="168">
        <f t="shared" si="8"/>
        <v>0</v>
      </c>
      <c r="Z2776" s="168">
        <f t="shared" si="9"/>
        <v>0</v>
      </c>
    </row>
    <row r="2777" ht="15.0" customHeight="1">
      <c r="A2777" s="157" t="s">
        <v>3201</v>
      </c>
      <c r="B2777" s="158" t="s">
        <v>36</v>
      </c>
      <c r="C2777" s="158" t="s">
        <v>3187</v>
      </c>
      <c r="D2777" s="159">
        <v>44491.0</v>
      </c>
      <c r="E2777" s="157" t="s">
        <v>731</v>
      </c>
      <c r="F2777" s="160">
        <v>99016.8</v>
      </c>
      <c r="G2777" s="160">
        <v>15842.69</v>
      </c>
      <c r="H2777" s="160">
        <f t="shared" si="64"/>
        <v>114859.49</v>
      </c>
      <c r="I2777" s="160"/>
      <c r="J2777" s="161"/>
      <c r="K2777" s="160"/>
      <c r="L2777" s="160">
        <f>+'FACP$'!$H2777-'FACP$'!$I2777-'FACP$'!$K2777</f>
        <v>114859.49</v>
      </c>
      <c r="M2777" s="162" t="s">
        <v>278</v>
      </c>
      <c r="N2777" s="162" t="s">
        <v>554</v>
      </c>
      <c r="O2777" s="164">
        <v>44550.0</v>
      </c>
      <c r="P2777" s="164">
        <f t="shared" si="13"/>
        <v>44501</v>
      </c>
      <c r="Q2777" s="165">
        <f t="shared" si="2"/>
        <v>0</v>
      </c>
      <c r="R2777" s="167"/>
      <c r="S2777" s="167"/>
      <c r="T2777" s="168">
        <f t="shared" si="3"/>
        <v>114859.49</v>
      </c>
      <c r="U2777" s="168">
        <f t="shared" si="4"/>
        <v>0</v>
      </c>
      <c r="V2777" s="168">
        <f t="shared" si="5"/>
        <v>0</v>
      </c>
      <c r="W2777" s="168">
        <f t="shared" si="6"/>
        <v>0</v>
      </c>
      <c r="X2777" s="168">
        <f t="shared" si="7"/>
        <v>0</v>
      </c>
      <c r="Y2777" s="168">
        <f t="shared" si="8"/>
        <v>0</v>
      </c>
      <c r="Z2777" s="168">
        <f t="shared" si="9"/>
        <v>0</v>
      </c>
    </row>
    <row r="2778" ht="15.0" customHeight="1">
      <c r="A2778" s="157" t="s">
        <v>3202</v>
      </c>
      <c r="B2778" s="158" t="s">
        <v>38</v>
      </c>
      <c r="C2778" s="158" t="s">
        <v>3187</v>
      </c>
      <c r="D2778" s="159">
        <v>44491.0</v>
      </c>
      <c r="E2778" s="157" t="s">
        <v>731</v>
      </c>
      <c r="F2778" s="160">
        <v>1079177.46</v>
      </c>
      <c r="G2778" s="160">
        <v>172668.39</v>
      </c>
      <c r="H2778" s="160">
        <f t="shared" si="64"/>
        <v>1251845.85</v>
      </c>
      <c r="I2778" s="160"/>
      <c r="J2778" s="161"/>
      <c r="K2778" s="160"/>
      <c r="L2778" s="160">
        <f>+'FACP$'!$H2778-'FACP$'!$I2778-'FACP$'!$K2778</f>
        <v>1251845.85</v>
      </c>
      <c r="M2778" s="162" t="s">
        <v>145</v>
      </c>
      <c r="N2778" s="162" t="s">
        <v>554</v>
      </c>
      <c r="O2778" s="164">
        <v>44554.0</v>
      </c>
      <c r="P2778" s="164">
        <f t="shared" si="13"/>
        <v>44501</v>
      </c>
      <c r="Q2778" s="165">
        <f t="shared" si="2"/>
        <v>0</v>
      </c>
      <c r="R2778" s="167"/>
      <c r="S2778" s="167"/>
      <c r="T2778" s="168">
        <f t="shared" si="3"/>
        <v>1251845.85</v>
      </c>
      <c r="U2778" s="168">
        <f t="shared" si="4"/>
        <v>0</v>
      </c>
      <c r="V2778" s="168">
        <f t="shared" si="5"/>
        <v>0</v>
      </c>
      <c r="W2778" s="168">
        <f t="shared" si="6"/>
        <v>0</v>
      </c>
      <c r="X2778" s="168">
        <f t="shared" si="7"/>
        <v>0</v>
      </c>
      <c r="Y2778" s="168">
        <f t="shared" si="8"/>
        <v>0</v>
      </c>
      <c r="Z2778" s="168">
        <f t="shared" si="9"/>
        <v>0</v>
      </c>
    </row>
    <row r="2779" ht="15.0" customHeight="1">
      <c r="A2779" s="157" t="s">
        <v>3203</v>
      </c>
      <c r="B2779" s="158" t="s">
        <v>43</v>
      </c>
      <c r="C2779" s="158" t="s">
        <v>3187</v>
      </c>
      <c r="D2779" s="159">
        <v>44491.0</v>
      </c>
      <c r="E2779" s="157" t="s">
        <v>731</v>
      </c>
      <c r="F2779" s="160">
        <v>903911.58</v>
      </c>
      <c r="G2779" s="160">
        <v>144625.85</v>
      </c>
      <c r="H2779" s="160">
        <f t="shared" si="64"/>
        <v>1048537.43</v>
      </c>
      <c r="I2779" s="160"/>
      <c r="J2779" s="161"/>
      <c r="K2779" s="160"/>
      <c r="L2779" s="160">
        <f>+'FACP$'!$H2779-'FACP$'!$I2779-'FACP$'!$K2779</f>
        <v>1048537.43</v>
      </c>
      <c r="M2779" s="162" t="s">
        <v>43</v>
      </c>
      <c r="N2779" s="162" t="s">
        <v>554</v>
      </c>
      <c r="O2779" s="164">
        <v>44526.0</v>
      </c>
      <c r="P2779" s="164">
        <f t="shared" si="13"/>
        <v>44501</v>
      </c>
      <c r="Q2779" s="165">
        <f t="shared" si="2"/>
        <v>0</v>
      </c>
      <c r="R2779" s="167"/>
      <c r="S2779" s="167"/>
      <c r="T2779" s="168">
        <f t="shared" si="3"/>
        <v>1048537.43</v>
      </c>
      <c r="U2779" s="168">
        <f t="shared" si="4"/>
        <v>0</v>
      </c>
      <c r="V2779" s="168">
        <f t="shared" si="5"/>
        <v>0</v>
      </c>
      <c r="W2779" s="168">
        <f t="shared" si="6"/>
        <v>0</v>
      </c>
      <c r="X2779" s="168">
        <f t="shared" si="7"/>
        <v>0</v>
      </c>
      <c r="Y2779" s="168">
        <f t="shared" si="8"/>
        <v>0</v>
      </c>
      <c r="Z2779" s="168">
        <f t="shared" si="9"/>
        <v>0</v>
      </c>
    </row>
    <row r="2780" ht="15.0" customHeight="1">
      <c r="A2780" s="157" t="s">
        <v>3204</v>
      </c>
      <c r="B2780" s="158" t="s">
        <v>27</v>
      </c>
      <c r="C2780" s="158" t="s">
        <v>3205</v>
      </c>
      <c r="D2780" s="159">
        <v>44491.0</v>
      </c>
      <c r="E2780" s="157" t="s">
        <v>731</v>
      </c>
      <c r="F2780" s="160">
        <v>677890.99</v>
      </c>
      <c r="G2780" s="160">
        <v>108462.56</v>
      </c>
      <c r="H2780" s="160">
        <f t="shared" si="64"/>
        <v>786353.55</v>
      </c>
      <c r="I2780" s="160"/>
      <c r="J2780" s="161"/>
      <c r="K2780" s="160"/>
      <c r="L2780" s="160">
        <f>+'FACP$'!$H2780-'FACP$'!$I2780-'FACP$'!$K2780</f>
        <v>786353.55</v>
      </c>
      <c r="M2780" s="162" t="s">
        <v>151</v>
      </c>
      <c r="N2780" s="162" t="s">
        <v>554</v>
      </c>
      <c r="O2780" s="164">
        <v>44532.0</v>
      </c>
      <c r="P2780" s="164">
        <f t="shared" si="13"/>
        <v>44501</v>
      </c>
      <c r="Q2780" s="165">
        <f t="shared" si="2"/>
        <v>0</v>
      </c>
      <c r="R2780" s="167"/>
      <c r="S2780" s="167"/>
      <c r="T2780" s="168">
        <f t="shared" si="3"/>
        <v>786353.55</v>
      </c>
      <c r="U2780" s="168">
        <f t="shared" si="4"/>
        <v>0</v>
      </c>
      <c r="V2780" s="168">
        <f t="shared" si="5"/>
        <v>0</v>
      </c>
      <c r="W2780" s="168">
        <f t="shared" si="6"/>
        <v>0</v>
      </c>
      <c r="X2780" s="168">
        <f t="shared" si="7"/>
        <v>0</v>
      </c>
      <c r="Y2780" s="168">
        <f t="shared" si="8"/>
        <v>0</v>
      </c>
      <c r="Z2780" s="168">
        <f t="shared" si="9"/>
        <v>0</v>
      </c>
    </row>
    <row r="2781" ht="15.0" customHeight="1">
      <c r="A2781" s="157" t="s">
        <v>3206</v>
      </c>
      <c r="B2781" s="158" t="s">
        <v>27</v>
      </c>
      <c r="C2781" s="158" t="s">
        <v>3207</v>
      </c>
      <c r="D2781" s="159">
        <v>44491.0</v>
      </c>
      <c r="E2781" s="157" t="s">
        <v>731</v>
      </c>
      <c r="F2781" s="160">
        <v>304255.18</v>
      </c>
      <c r="G2781" s="160">
        <v>48680.83</v>
      </c>
      <c r="H2781" s="160">
        <f t="shared" si="64"/>
        <v>352936.01</v>
      </c>
      <c r="I2781" s="160"/>
      <c r="J2781" s="161"/>
      <c r="K2781" s="160"/>
      <c r="L2781" s="160">
        <f>+'FACP$'!$H2781-'FACP$'!$I2781-'FACP$'!$K2781</f>
        <v>352936.01</v>
      </c>
      <c r="M2781" s="162" t="s">
        <v>151</v>
      </c>
      <c r="N2781" s="162" t="s">
        <v>554</v>
      </c>
      <c r="O2781" s="164">
        <v>44525.0</v>
      </c>
      <c r="P2781" s="164">
        <f t="shared" si="13"/>
        <v>44501</v>
      </c>
      <c r="Q2781" s="165">
        <f t="shared" si="2"/>
        <v>0</v>
      </c>
      <c r="R2781" s="167"/>
      <c r="S2781" s="167"/>
      <c r="T2781" s="168">
        <f t="shared" si="3"/>
        <v>352936.01</v>
      </c>
      <c r="U2781" s="168">
        <f t="shared" si="4"/>
        <v>0</v>
      </c>
      <c r="V2781" s="168">
        <f t="shared" si="5"/>
        <v>0</v>
      </c>
      <c r="W2781" s="168">
        <f t="shared" si="6"/>
        <v>0</v>
      </c>
      <c r="X2781" s="168">
        <f t="shared" si="7"/>
        <v>0</v>
      </c>
      <c r="Y2781" s="168">
        <f t="shared" si="8"/>
        <v>0</v>
      </c>
      <c r="Z2781" s="168">
        <f t="shared" si="9"/>
        <v>0</v>
      </c>
    </row>
    <row r="2782" ht="15.0" customHeight="1">
      <c r="A2782" s="157" t="s">
        <v>3208</v>
      </c>
      <c r="B2782" s="158" t="s">
        <v>27</v>
      </c>
      <c r="C2782" s="158" t="s">
        <v>3209</v>
      </c>
      <c r="D2782" s="159">
        <v>44491.0</v>
      </c>
      <c r="E2782" s="157" t="s">
        <v>731</v>
      </c>
      <c r="F2782" s="160">
        <v>43023.01</v>
      </c>
      <c r="G2782" s="160">
        <v>6883.68</v>
      </c>
      <c r="H2782" s="160">
        <f t="shared" si="64"/>
        <v>49906.69</v>
      </c>
      <c r="I2782" s="160"/>
      <c r="J2782" s="161"/>
      <c r="K2782" s="160"/>
      <c r="L2782" s="160">
        <f>+'FACP$'!$H2782-'FACP$'!$I2782-'FACP$'!$K2782</f>
        <v>49906.69</v>
      </c>
      <c r="M2782" s="162" t="s">
        <v>151</v>
      </c>
      <c r="N2782" s="162" t="s">
        <v>554</v>
      </c>
      <c r="O2782" s="164">
        <v>44517.0</v>
      </c>
      <c r="P2782" s="164">
        <f t="shared" si="13"/>
        <v>44501</v>
      </c>
      <c r="Q2782" s="165">
        <f t="shared" si="2"/>
        <v>0</v>
      </c>
      <c r="R2782" s="167"/>
      <c r="S2782" s="167"/>
      <c r="T2782" s="168">
        <f t="shared" si="3"/>
        <v>49906.69</v>
      </c>
      <c r="U2782" s="168">
        <f t="shared" si="4"/>
        <v>0</v>
      </c>
      <c r="V2782" s="168">
        <f t="shared" si="5"/>
        <v>0</v>
      </c>
      <c r="W2782" s="168">
        <f t="shared" si="6"/>
        <v>0</v>
      </c>
      <c r="X2782" s="168">
        <f t="shared" si="7"/>
        <v>0</v>
      </c>
      <c r="Y2782" s="168">
        <f t="shared" si="8"/>
        <v>0</v>
      </c>
      <c r="Z2782" s="168">
        <f t="shared" si="9"/>
        <v>0</v>
      </c>
    </row>
    <row r="2783" ht="15.0" customHeight="1">
      <c r="A2783" s="157" t="s">
        <v>3210</v>
      </c>
      <c r="B2783" s="158" t="s">
        <v>27</v>
      </c>
      <c r="C2783" s="158" t="s">
        <v>3211</v>
      </c>
      <c r="D2783" s="159">
        <v>44491.0</v>
      </c>
      <c r="E2783" s="157" t="s">
        <v>731</v>
      </c>
      <c r="F2783" s="160">
        <v>19309.85</v>
      </c>
      <c r="G2783" s="160">
        <v>3089.58</v>
      </c>
      <c r="H2783" s="160">
        <f t="shared" si="64"/>
        <v>22399.43</v>
      </c>
      <c r="I2783" s="160"/>
      <c r="J2783" s="161"/>
      <c r="K2783" s="160"/>
      <c r="L2783" s="160">
        <f>+'FACP$'!$H2783-'FACP$'!$I2783-'FACP$'!$K2783</f>
        <v>22399.43</v>
      </c>
      <c r="M2783" s="162" t="s">
        <v>151</v>
      </c>
      <c r="N2783" s="162" t="s">
        <v>554</v>
      </c>
      <c r="O2783" s="164">
        <v>44517.0</v>
      </c>
      <c r="P2783" s="164">
        <f t="shared" si="13"/>
        <v>44501</v>
      </c>
      <c r="Q2783" s="165">
        <f t="shared" si="2"/>
        <v>0</v>
      </c>
      <c r="R2783" s="167"/>
      <c r="S2783" s="167"/>
      <c r="T2783" s="168">
        <f t="shared" si="3"/>
        <v>22399.43</v>
      </c>
      <c r="U2783" s="168">
        <f t="shared" si="4"/>
        <v>0</v>
      </c>
      <c r="V2783" s="168">
        <f t="shared" si="5"/>
        <v>0</v>
      </c>
      <c r="W2783" s="168">
        <f t="shared" si="6"/>
        <v>0</v>
      </c>
      <c r="X2783" s="168">
        <f t="shared" si="7"/>
        <v>0</v>
      </c>
      <c r="Y2783" s="168">
        <f t="shared" si="8"/>
        <v>0</v>
      </c>
      <c r="Z2783" s="168">
        <f t="shared" si="9"/>
        <v>0</v>
      </c>
    </row>
    <row r="2784" ht="15.0" customHeight="1">
      <c r="A2784" s="157" t="s">
        <v>3212</v>
      </c>
      <c r="B2784" s="158" t="s">
        <v>27</v>
      </c>
      <c r="C2784" s="158" t="s">
        <v>3205</v>
      </c>
      <c r="D2784" s="159">
        <v>44491.0</v>
      </c>
      <c r="E2784" s="157" t="s">
        <v>731</v>
      </c>
      <c r="F2784" s="160">
        <v>352894.31</v>
      </c>
      <c r="G2784" s="160">
        <v>56463.09</v>
      </c>
      <c r="H2784" s="160">
        <f t="shared" si="64"/>
        <v>409357.4</v>
      </c>
      <c r="I2784" s="160"/>
      <c r="J2784" s="161"/>
      <c r="K2784" s="160"/>
      <c r="L2784" s="160">
        <f>+'FACP$'!$H2784-'FACP$'!$I2784-'FACP$'!$K2784</f>
        <v>409357.4</v>
      </c>
      <c r="M2784" s="162" t="s">
        <v>158</v>
      </c>
      <c r="N2784" s="162" t="s">
        <v>554</v>
      </c>
      <c r="O2784" s="164">
        <v>44517.0</v>
      </c>
      <c r="P2784" s="164">
        <f t="shared" si="13"/>
        <v>44501</v>
      </c>
      <c r="Q2784" s="165">
        <f t="shared" si="2"/>
        <v>0</v>
      </c>
      <c r="R2784" s="167"/>
      <c r="S2784" s="167"/>
      <c r="T2784" s="168">
        <f t="shared" si="3"/>
        <v>409357.4</v>
      </c>
      <c r="U2784" s="168">
        <f t="shared" si="4"/>
        <v>0</v>
      </c>
      <c r="V2784" s="168">
        <f t="shared" si="5"/>
        <v>0</v>
      </c>
      <c r="W2784" s="168">
        <f t="shared" si="6"/>
        <v>0</v>
      </c>
      <c r="X2784" s="168">
        <f t="shared" si="7"/>
        <v>0</v>
      </c>
      <c r="Y2784" s="168">
        <f t="shared" si="8"/>
        <v>0</v>
      </c>
      <c r="Z2784" s="168">
        <f t="shared" si="9"/>
        <v>0</v>
      </c>
    </row>
    <row r="2785" ht="15.0" customHeight="1">
      <c r="A2785" s="157" t="s">
        <v>3213</v>
      </c>
      <c r="B2785" s="158" t="s">
        <v>27</v>
      </c>
      <c r="C2785" s="158" t="s">
        <v>3207</v>
      </c>
      <c r="D2785" s="159">
        <v>44491.0</v>
      </c>
      <c r="E2785" s="157" t="s">
        <v>731</v>
      </c>
      <c r="F2785" s="160">
        <v>145309.23</v>
      </c>
      <c r="G2785" s="160">
        <v>23249.48</v>
      </c>
      <c r="H2785" s="160">
        <f t="shared" si="64"/>
        <v>168558.71</v>
      </c>
      <c r="I2785" s="160"/>
      <c r="J2785" s="161"/>
      <c r="K2785" s="160"/>
      <c r="L2785" s="160">
        <f>+'FACP$'!$H2785-'FACP$'!$I2785-'FACP$'!$K2785</f>
        <v>168558.71</v>
      </c>
      <c r="M2785" s="162" t="s">
        <v>158</v>
      </c>
      <c r="N2785" s="162" t="s">
        <v>554</v>
      </c>
      <c r="O2785" s="164">
        <v>44517.0</v>
      </c>
      <c r="P2785" s="164">
        <f t="shared" si="13"/>
        <v>44501</v>
      </c>
      <c r="Q2785" s="165">
        <f t="shared" si="2"/>
        <v>0</v>
      </c>
      <c r="R2785" s="167"/>
      <c r="S2785" s="167"/>
      <c r="T2785" s="168">
        <f t="shared" si="3"/>
        <v>168558.71</v>
      </c>
      <c r="U2785" s="168">
        <f t="shared" si="4"/>
        <v>0</v>
      </c>
      <c r="V2785" s="168">
        <f t="shared" si="5"/>
        <v>0</v>
      </c>
      <c r="W2785" s="168">
        <f t="shared" si="6"/>
        <v>0</v>
      </c>
      <c r="X2785" s="168">
        <f t="shared" si="7"/>
        <v>0</v>
      </c>
      <c r="Y2785" s="168">
        <f t="shared" si="8"/>
        <v>0</v>
      </c>
      <c r="Z2785" s="168">
        <f t="shared" si="9"/>
        <v>0</v>
      </c>
    </row>
    <row r="2786" ht="15.0" customHeight="1">
      <c r="A2786" s="157" t="s">
        <v>3214</v>
      </c>
      <c r="B2786" s="158" t="s">
        <v>27</v>
      </c>
      <c r="C2786" s="158" t="s">
        <v>3215</v>
      </c>
      <c r="D2786" s="159">
        <v>44498.0</v>
      </c>
      <c r="E2786" s="157" t="s">
        <v>731</v>
      </c>
      <c r="F2786" s="160">
        <v>551259.06</v>
      </c>
      <c r="G2786" s="160">
        <v>88201.45</v>
      </c>
      <c r="H2786" s="160">
        <f t="shared" si="64"/>
        <v>639460.51</v>
      </c>
      <c r="I2786" s="160"/>
      <c r="J2786" s="161"/>
      <c r="K2786" s="160"/>
      <c r="L2786" s="160">
        <f>+'FACP$'!$H2786-'FACP$'!$I2786-'FACP$'!$K2786</f>
        <v>639460.51</v>
      </c>
      <c r="M2786" s="162" t="s">
        <v>151</v>
      </c>
      <c r="N2786" s="162" t="s">
        <v>554</v>
      </c>
      <c r="O2786" s="164">
        <v>44545.0</v>
      </c>
      <c r="P2786" s="164">
        <f t="shared" si="13"/>
        <v>44508</v>
      </c>
      <c r="Q2786" s="165">
        <f t="shared" si="2"/>
        <v>0</v>
      </c>
      <c r="R2786" s="167"/>
      <c r="S2786" s="167"/>
      <c r="T2786" s="168">
        <f t="shared" si="3"/>
        <v>639460.51</v>
      </c>
      <c r="U2786" s="168">
        <f t="shared" si="4"/>
        <v>0</v>
      </c>
      <c r="V2786" s="168">
        <f t="shared" si="5"/>
        <v>0</v>
      </c>
      <c r="W2786" s="168">
        <f t="shared" si="6"/>
        <v>0</v>
      </c>
      <c r="X2786" s="168">
        <f t="shared" si="7"/>
        <v>0</v>
      </c>
      <c r="Y2786" s="168">
        <f t="shared" si="8"/>
        <v>0</v>
      </c>
      <c r="Z2786" s="168">
        <f t="shared" si="9"/>
        <v>0</v>
      </c>
    </row>
    <row r="2787" ht="15.0" customHeight="1">
      <c r="A2787" s="157" t="s">
        <v>3216</v>
      </c>
      <c r="B2787" s="158" t="s">
        <v>27</v>
      </c>
      <c r="C2787" s="158" t="s">
        <v>3217</v>
      </c>
      <c r="D2787" s="159">
        <v>44498.0</v>
      </c>
      <c r="E2787" s="157" t="s">
        <v>731</v>
      </c>
      <c r="F2787" s="160">
        <v>259501.73</v>
      </c>
      <c r="G2787" s="160">
        <v>41520.28</v>
      </c>
      <c r="H2787" s="160">
        <f t="shared" si="64"/>
        <v>301022.01</v>
      </c>
      <c r="I2787" s="160"/>
      <c r="J2787" s="161"/>
      <c r="K2787" s="160"/>
      <c r="L2787" s="160">
        <f>+'FACP$'!$H2787-'FACP$'!$I2787-'FACP$'!$K2787</f>
        <v>301022.01</v>
      </c>
      <c r="M2787" s="162" t="s">
        <v>151</v>
      </c>
      <c r="N2787" s="162" t="s">
        <v>554</v>
      </c>
      <c r="O2787" s="164">
        <v>44538.0</v>
      </c>
      <c r="P2787" s="164">
        <f t="shared" si="13"/>
        <v>44508</v>
      </c>
      <c r="Q2787" s="165">
        <f t="shared" si="2"/>
        <v>0</v>
      </c>
      <c r="R2787" s="167"/>
      <c r="S2787" s="167"/>
      <c r="T2787" s="168">
        <f t="shared" si="3"/>
        <v>301022.01</v>
      </c>
      <c r="U2787" s="168">
        <f t="shared" si="4"/>
        <v>0</v>
      </c>
      <c r="V2787" s="168">
        <f t="shared" si="5"/>
        <v>0</v>
      </c>
      <c r="W2787" s="168">
        <f t="shared" si="6"/>
        <v>0</v>
      </c>
      <c r="X2787" s="168">
        <f t="shared" si="7"/>
        <v>0</v>
      </c>
      <c r="Y2787" s="168">
        <f t="shared" si="8"/>
        <v>0</v>
      </c>
      <c r="Z2787" s="168">
        <f t="shared" si="9"/>
        <v>0</v>
      </c>
    </row>
    <row r="2788" ht="15.0" customHeight="1">
      <c r="A2788" s="157" t="s">
        <v>3218</v>
      </c>
      <c r="B2788" s="158" t="s">
        <v>27</v>
      </c>
      <c r="C2788" s="158" t="s">
        <v>3219</v>
      </c>
      <c r="D2788" s="159">
        <v>44498.0</v>
      </c>
      <c r="E2788" s="157" t="s">
        <v>731</v>
      </c>
      <c r="F2788" s="160">
        <v>45514.3</v>
      </c>
      <c r="G2788" s="160">
        <v>7282.29</v>
      </c>
      <c r="H2788" s="160">
        <f t="shared" si="64"/>
        <v>52796.59</v>
      </c>
      <c r="I2788" s="160"/>
      <c r="J2788" s="161"/>
      <c r="K2788" s="160"/>
      <c r="L2788" s="160">
        <f>+'FACP$'!$H2788-'FACP$'!$I2788-'FACP$'!$K2788</f>
        <v>52796.59</v>
      </c>
      <c r="M2788" s="162" t="s">
        <v>151</v>
      </c>
      <c r="N2788" s="162" t="s">
        <v>554</v>
      </c>
      <c r="O2788" s="164">
        <v>44538.0</v>
      </c>
      <c r="P2788" s="164">
        <f t="shared" si="13"/>
        <v>44508</v>
      </c>
      <c r="Q2788" s="165">
        <f t="shared" si="2"/>
        <v>0</v>
      </c>
      <c r="R2788" s="167"/>
      <c r="S2788" s="167"/>
      <c r="T2788" s="168">
        <f t="shared" si="3"/>
        <v>52796.59</v>
      </c>
      <c r="U2788" s="168">
        <f t="shared" si="4"/>
        <v>0</v>
      </c>
      <c r="V2788" s="168">
        <f t="shared" si="5"/>
        <v>0</v>
      </c>
      <c r="W2788" s="168">
        <f t="shared" si="6"/>
        <v>0</v>
      </c>
      <c r="X2788" s="168">
        <f t="shared" si="7"/>
        <v>0</v>
      </c>
      <c r="Y2788" s="168">
        <f t="shared" si="8"/>
        <v>0</v>
      </c>
      <c r="Z2788" s="168">
        <f t="shared" si="9"/>
        <v>0</v>
      </c>
    </row>
    <row r="2789" ht="15.0" customHeight="1">
      <c r="A2789" s="157" t="s">
        <v>3220</v>
      </c>
      <c r="B2789" s="158" t="s">
        <v>27</v>
      </c>
      <c r="C2789" s="158" t="s">
        <v>3221</v>
      </c>
      <c r="D2789" s="159">
        <v>44498.0</v>
      </c>
      <c r="E2789" s="157" t="s">
        <v>731</v>
      </c>
      <c r="F2789" s="160">
        <v>21425.57</v>
      </c>
      <c r="G2789" s="160">
        <v>3428.09</v>
      </c>
      <c r="H2789" s="160">
        <f t="shared" si="64"/>
        <v>24853.66</v>
      </c>
      <c r="I2789" s="160"/>
      <c r="J2789" s="161"/>
      <c r="K2789" s="160"/>
      <c r="L2789" s="160">
        <f>+'FACP$'!$H2789-'FACP$'!$I2789-'FACP$'!$K2789</f>
        <v>24853.66</v>
      </c>
      <c r="M2789" s="162" t="s">
        <v>151</v>
      </c>
      <c r="N2789" s="162" t="s">
        <v>554</v>
      </c>
      <c r="O2789" s="164">
        <v>44538.0</v>
      </c>
      <c r="P2789" s="164">
        <f t="shared" si="13"/>
        <v>44508</v>
      </c>
      <c r="Q2789" s="165">
        <f t="shared" si="2"/>
        <v>0</v>
      </c>
      <c r="R2789" s="167"/>
      <c r="S2789" s="167"/>
      <c r="T2789" s="168">
        <f t="shared" si="3"/>
        <v>24853.66</v>
      </c>
      <c r="U2789" s="168">
        <f t="shared" si="4"/>
        <v>0</v>
      </c>
      <c r="V2789" s="168">
        <f t="shared" si="5"/>
        <v>0</v>
      </c>
      <c r="W2789" s="168">
        <f t="shared" si="6"/>
        <v>0</v>
      </c>
      <c r="X2789" s="168">
        <f t="shared" si="7"/>
        <v>0</v>
      </c>
      <c r="Y2789" s="168">
        <f t="shared" si="8"/>
        <v>0</v>
      </c>
      <c r="Z2789" s="168">
        <f t="shared" si="9"/>
        <v>0</v>
      </c>
    </row>
    <row r="2790" ht="15.0" customHeight="1">
      <c r="A2790" s="157" t="s">
        <v>3222</v>
      </c>
      <c r="B2790" s="158" t="s">
        <v>127</v>
      </c>
      <c r="C2790" s="158"/>
      <c r="D2790" s="159"/>
      <c r="E2790" s="157"/>
      <c r="F2790" s="160"/>
      <c r="G2790" s="160"/>
      <c r="H2790" s="160">
        <f t="shared" si="64"/>
        <v>0</v>
      </c>
      <c r="I2790" s="160"/>
      <c r="J2790" s="161"/>
      <c r="K2790" s="160"/>
      <c r="L2790" s="160">
        <f>+'FACP$'!$H2790-'FACP$'!$I2790-'FACP$'!$K2790</f>
        <v>0</v>
      </c>
      <c r="M2790" s="162"/>
      <c r="N2790" s="162" t="s">
        <v>127</v>
      </c>
      <c r="O2790" s="164"/>
      <c r="P2790" s="164">
        <f t="shared" si="13"/>
        <v>10</v>
      </c>
      <c r="Q2790" s="165">
        <f t="shared" si="2"/>
        <v>0</v>
      </c>
      <c r="R2790" s="167"/>
      <c r="S2790" s="167"/>
      <c r="T2790" s="168">
        <f t="shared" si="3"/>
        <v>0</v>
      </c>
      <c r="U2790" s="168">
        <f t="shared" si="4"/>
        <v>0</v>
      </c>
      <c r="V2790" s="168">
        <f t="shared" si="5"/>
        <v>0</v>
      </c>
      <c r="W2790" s="168">
        <f t="shared" si="6"/>
        <v>0</v>
      </c>
      <c r="X2790" s="168">
        <f t="shared" si="7"/>
        <v>0</v>
      </c>
      <c r="Y2790" s="168">
        <f t="shared" si="8"/>
        <v>0</v>
      </c>
      <c r="Z2790" s="168">
        <f t="shared" si="9"/>
        <v>0</v>
      </c>
    </row>
    <row r="2791" ht="15.0" customHeight="1">
      <c r="A2791" s="157" t="s">
        <v>3223</v>
      </c>
      <c r="B2791" s="158" t="s">
        <v>27</v>
      </c>
      <c r="C2791" s="158" t="s">
        <v>3217</v>
      </c>
      <c r="D2791" s="159">
        <v>44498.0</v>
      </c>
      <c r="E2791" s="157" t="s">
        <v>731</v>
      </c>
      <c r="F2791" s="160">
        <v>162513.9</v>
      </c>
      <c r="G2791" s="160">
        <v>26002.22</v>
      </c>
      <c r="H2791" s="160">
        <f t="shared" si="64"/>
        <v>188516.12</v>
      </c>
      <c r="I2791" s="160"/>
      <c r="J2791" s="161"/>
      <c r="K2791" s="160"/>
      <c r="L2791" s="160">
        <f>+'FACP$'!$H2791-'FACP$'!$I2791-'FACP$'!$K2791</f>
        <v>188516.12</v>
      </c>
      <c r="M2791" s="162" t="s">
        <v>158</v>
      </c>
      <c r="N2791" s="162" t="s">
        <v>554</v>
      </c>
      <c r="O2791" s="164">
        <v>44538.0</v>
      </c>
      <c r="P2791" s="164">
        <f t="shared" si="13"/>
        <v>44508</v>
      </c>
      <c r="Q2791" s="165">
        <f t="shared" si="2"/>
        <v>0</v>
      </c>
      <c r="R2791" s="167"/>
      <c r="S2791" s="167"/>
      <c r="T2791" s="168">
        <f t="shared" si="3"/>
        <v>188516.12</v>
      </c>
      <c r="U2791" s="168">
        <f t="shared" si="4"/>
        <v>0</v>
      </c>
      <c r="V2791" s="168">
        <f t="shared" si="5"/>
        <v>0</v>
      </c>
      <c r="W2791" s="168">
        <f t="shared" si="6"/>
        <v>0</v>
      </c>
      <c r="X2791" s="168">
        <f t="shared" si="7"/>
        <v>0</v>
      </c>
      <c r="Y2791" s="168">
        <f t="shared" si="8"/>
        <v>0</v>
      </c>
      <c r="Z2791" s="168">
        <f t="shared" si="9"/>
        <v>0</v>
      </c>
    </row>
    <row r="2792" ht="15.0" customHeight="1">
      <c r="A2792" s="157" t="s">
        <v>3224</v>
      </c>
      <c r="B2792" s="158" t="s">
        <v>31</v>
      </c>
      <c r="C2792" s="158" t="s">
        <v>3225</v>
      </c>
      <c r="D2792" s="159">
        <v>44498.0</v>
      </c>
      <c r="E2792" s="157" t="s">
        <v>731</v>
      </c>
      <c r="F2792" s="160">
        <v>222954.16</v>
      </c>
      <c r="G2792" s="160">
        <v>35672.67</v>
      </c>
      <c r="H2792" s="160">
        <f t="shared" si="64"/>
        <v>258626.83</v>
      </c>
      <c r="I2792" s="252"/>
      <c r="J2792" s="253"/>
      <c r="K2792" s="252"/>
      <c r="L2792" s="160">
        <f>+'FACP$'!$H2792-'FACP$'!$I2792-'FACP$'!$K2792</f>
        <v>258626.83</v>
      </c>
      <c r="M2792" s="162" t="s">
        <v>3183</v>
      </c>
      <c r="N2792" s="162" t="s">
        <v>554</v>
      </c>
      <c r="O2792" s="164">
        <v>44505.0</v>
      </c>
      <c r="P2792" s="164">
        <f t="shared" si="13"/>
        <v>44508</v>
      </c>
      <c r="Q2792" s="165">
        <f t="shared" si="2"/>
        <v>0</v>
      </c>
      <c r="R2792" s="167"/>
      <c r="S2792" s="167"/>
      <c r="T2792" s="168">
        <f t="shared" si="3"/>
        <v>258626.83</v>
      </c>
      <c r="U2792" s="168">
        <f t="shared" si="4"/>
        <v>0</v>
      </c>
      <c r="V2792" s="168">
        <f t="shared" si="5"/>
        <v>0</v>
      </c>
      <c r="W2792" s="168">
        <f t="shared" si="6"/>
        <v>0</v>
      </c>
      <c r="X2792" s="168">
        <f t="shared" si="7"/>
        <v>0</v>
      </c>
      <c r="Y2792" s="168">
        <f t="shared" si="8"/>
        <v>0</v>
      </c>
      <c r="Z2792" s="168">
        <f t="shared" si="9"/>
        <v>0</v>
      </c>
    </row>
    <row r="2793" ht="15.0" customHeight="1">
      <c r="A2793" s="157" t="s">
        <v>3226</v>
      </c>
      <c r="B2793" s="158" t="s">
        <v>127</v>
      </c>
      <c r="C2793" s="158"/>
      <c r="D2793" s="159"/>
      <c r="E2793" s="157"/>
      <c r="F2793" s="160"/>
      <c r="G2793" s="160"/>
      <c r="H2793" s="160">
        <f t="shared" si="64"/>
        <v>0</v>
      </c>
      <c r="I2793" s="160"/>
      <c r="J2793" s="161"/>
      <c r="K2793" s="160"/>
      <c r="L2793" s="160">
        <f>+'FACP$'!$H2793-'FACP$'!$I2793-'FACP$'!$K2793</f>
        <v>0</v>
      </c>
      <c r="M2793" s="162"/>
      <c r="N2793" s="162" t="s">
        <v>127</v>
      </c>
      <c r="O2793" s="164"/>
      <c r="P2793" s="164">
        <f t="shared" si="13"/>
        <v>10</v>
      </c>
      <c r="Q2793" s="165">
        <f t="shared" si="2"/>
        <v>0</v>
      </c>
      <c r="R2793" s="167"/>
      <c r="S2793" s="167"/>
      <c r="T2793" s="168">
        <f t="shared" si="3"/>
        <v>0</v>
      </c>
      <c r="U2793" s="168">
        <f t="shared" si="4"/>
        <v>0</v>
      </c>
      <c r="V2793" s="168">
        <f t="shared" si="5"/>
        <v>0</v>
      </c>
      <c r="W2793" s="168">
        <f t="shared" si="6"/>
        <v>0</v>
      </c>
      <c r="X2793" s="168">
        <f t="shared" si="7"/>
        <v>0</v>
      </c>
      <c r="Y2793" s="168">
        <f t="shared" si="8"/>
        <v>0</v>
      </c>
      <c r="Z2793" s="168">
        <f t="shared" si="9"/>
        <v>0</v>
      </c>
    </row>
    <row r="2794" ht="15.0" customHeight="1">
      <c r="A2794" s="157" t="s">
        <v>3227</v>
      </c>
      <c r="B2794" s="158" t="s">
        <v>27</v>
      </c>
      <c r="C2794" s="158" t="s">
        <v>3215</v>
      </c>
      <c r="D2794" s="159">
        <v>44498.0</v>
      </c>
      <c r="E2794" s="157" t="s">
        <v>731</v>
      </c>
      <c r="F2794" s="160">
        <v>370036.63</v>
      </c>
      <c r="G2794" s="160">
        <v>59205.86</v>
      </c>
      <c r="H2794" s="160">
        <f t="shared" si="64"/>
        <v>429242.49</v>
      </c>
      <c r="I2794" s="160"/>
      <c r="J2794" s="161"/>
      <c r="K2794" s="160"/>
      <c r="L2794" s="160">
        <f>+'FACP$'!$H2794-'FACP$'!$I2794-'FACP$'!$K2794</f>
        <v>429242.49</v>
      </c>
      <c r="M2794" s="162" t="s">
        <v>158</v>
      </c>
      <c r="N2794" s="162" t="s">
        <v>554</v>
      </c>
      <c r="O2794" s="164">
        <v>44532.0</v>
      </c>
      <c r="P2794" s="164">
        <f t="shared" si="13"/>
        <v>44508</v>
      </c>
      <c r="Q2794" s="165">
        <f t="shared" si="2"/>
        <v>0</v>
      </c>
      <c r="R2794" s="167"/>
      <c r="S2794" s="167"/>
      <c r="T2794" s="168">
        <f t="shared" si="3"/>
        <v>429242.49</v>
      </c>
      <c r="U2794" s="168">
        <f t="shared" si="4"/>
        <v>0</v>
      </c>
      <c r="V2794" s="168">
        <f t="shared" si="5"/>
        <v>0</v>
      </c>
      <c r="W2794" s="168">
        <f t="shared" si="6"/>
        <v>0</v>
      </c>
      <c r="X2794" s="168">
        <f t="shared" si="7"/>
        <v>0</v>
      </c>
      <c r="Y2794" s="168">
        <f t="shared" si="8"/>
        <v>0</v>
      </c>
      <c r="Z2794" s="168">
        <f t="shared" si="9"/>
        <v>0</v>
      </c>
    </row>
    <row r="2795" ht="15.0" customHeight="1">
      <c r="A2795" s="157" t="s">
        <v>3228</v>
      </c>
      <c r="B2795" s="158" t="s">
        <v>127</v>
      </c>
      <c r="C2795" s="158"/>
      <c r="D2795" s="159"/>
      <c r="E2795" s="157" t="s">
        <v>731</v>
      </c>
      <c r="F2795" s="160"/>
      <c r="G2795" s="160"/>
      <c r="H2795" s="160">
        <f t="shared" si="64"/>
        <v>0</v>
      </c>
      <c r="I2795" s="160"/>
      <c r="J2795" s="161"/>
      <c r="K2795" s="160"/>
      <c r="L2795" s="160">
        <f>+'FACP$'!$H2795-'FACP$'!$I2795-'FACP$'!$K2795</f>
        <v>0</v>
      </c>
      <c r="M2795" s="162"/>
      <c r="N2795" s="162" t="s">
        <v>127</v>
      </c>
      <c r="O2795" s="164"/>
      <c r="P2795" s="164">
        <f t="shared" si="13"/>
        <v>10</v>
      </c>
      <c r="Q2795" s="165">
        <f t="shared" si="2"/>
        <v>0</v>
      </c>
      <c r="R2795" s="167"/>
      <c r="S2795" s="167"/>
      <c r="T2795" s="168">
        <f t="shared" si="3"/>
        <v>0</v>
      </c>
      <c r="U2795" s="168">
        <f t="shared" si="4"/>
        <v>0</v>
      </c>
      <c r="V2795" s="168">
        <f t="shared" si="5"/>
        <v>0</v>
      </c>
      <c r="W2795" s="168">
        <f t="shared" si="6"/>
        <v>0</v>
      </c>
      <c r="X2795" s="168">
        <f t="shared" si="7"/>
        <v>0</v>
      </c>
      <c r="Y2795" s="168">
        <f t="shared" si="8"/>
        <v>0</v>
      </c>
      <c r="Z2795" s="168">
        <f t="shared" si="9"/>
        <v>0</v>
      </c>
    </row>
    <row r="2796" ht="15.0" customHeight="1">
      <c r="A2796" s="157" t="s">
        <v>3229</v>
      </c>
      <c r="B2796" s="158" t="s">
        <v>127</v>
      </c>
      <c r="C2796" s="158"/>
      <c r="D2796" s="159"/>
      <c r="E2796" s="157" t="s">
        <v>731</v>
      </c>
      <c r="F2796" s="160"/>
      <c r="G2796" s="160"/>
      <c r="H2796" s="160">
        <f t="shared" si="64"/>
        <v>0</v>
      </c>
      <c r="I2796" s="160"/>
      <c r="J2796" s="161"/>
      <c r="K2796" s="160"/>
      <c r="L2796" s="160">
        <f>+'FACP$'!$H2796-'FACP$'!$I2796-'FACP$'!$K2796</f>
        <v>0</v>
      </c>
      <c r="M2796" s="162"/>
      <c r="N2796" s="162" t="s">
        <v>127</v>
      </c>
      <c r="O2796" s="164"/>
      <c r="P2796" s="164">
        <f t="shared" si="13"/>
        <v>10</v>
      </c>
      <c r="Q2796" s="165">
        <f t="shared" si="2"/>
        <v>0</v>
      </c>
      <c r="R2796" s="167"/>
      <c r="S2796" s="167"/>
      <c r="T2796" s="168">
        <f t="shared" si="3"/>
        <v>0</v>
      </c>
      <c r="U2796" s="168">
        <f t="shared" si="4"/>
        <v>0</v>
      </c>
      <c r="V2796" s="168">
        <f t="shared" si="5"/>
        <v>0</v>
      </c>
      <c r="W2796" s="168">
        <f t="shared" si="6"/>
        <v>0</v>
      </c>
      <c r="X2796" s="168">
        <f t="shared" si="7"/>
        <v>0</v>
      </c>
      <c r="Y2796" s="168">
        <f t="shared" si="8"/>
        <v>0</v>
      </c>
      <c r="Z2796" s="168">
        <f t="shared" si="9"/>
        <v>0</v>
      </c>
    </row>
    <row r="2797" ht="15.0" customHeight="1">
      <c r="A2797" s="157" t="s">
        <v>3230</v>
      </c>
      <c r="B2797" s="158" t="s">
        <v>127</v>
      </c>
      <c r="C2797" s="158"/>
      <c r="D2797" s="159"/>
      <c r="E2797" s="157" t="s">
        <v>731</v>
      </c>
      <c r="F2797" s="160"/>
      <c r="G2797" s="160"/>
      <c r="H2797" s="160">
        <f t="shared" si="64"/>
        <v>0</v>
      </c>
      <c r="I2797" s="160"/>
      <c r="J2797" s="161"/>
      <c r="K2797" s="160"/>
      <c r="L2797" s="160">
        <f>+'FACP$'!$H2797-'FACP$'!$I2797-'FACP$'!$K2797</f>
        <v>0</v>
      </c>
      <c r="M2797" s="162"/>
      <c r="N2797" s="162" t="s">
        <v>127</v>
      </c>
      <c r="O2797" s="164"/>
      <c r="P2797" s="164">
        <f t="shared" si="13"/>
        <v>10</v>
      </c>
      <c r="Q2797" s="165">
        <f t="shared" si="2"/>
        <v>0</v>
      </c>
      <c r="R2797" s="167"/>
      <c r="S2797" s="167"/>
      <c r="T2797" s="168">
        <f t="shared" si="3"/>
        <v>0</v>
      </c>
      <c r="U2797" s="168">
        <f t="shared" si="4"/>
        <v>0</v>
      </c>
      <c r="V2797" s="168">
        <f t="shared" si="5"/>
        <v>0</v>
      </c>
      <c r="W2797" s="168">
        <f t="shared" si="6"/>
        <v>0</v>
      </c>
      <c r="X2797" s="168">
        <f t="shared" si="7"/>
        <v>0</v>
      </c>
      <c r="Y2797" s="168">
        <f t="shared" si="8"/>
        <v>0</v>
      </c>
      <c r="Z2797" s="168">
        <f t="shared" si="9"/>
        <v>0</v>
      </c>
    </row>
    <row r="2798" ht="15.0" customHeight="1">
      <c r="A2798" s="157" t="s">
        <v>3231</v>
      </c>
      <c r="B2798" s="158" t="s">
        <v>37</v>
      </c>
      <c r="C2798" s="158" t="s">
        <v>127</v>
      </c>
      <c r="D2798" s="159">
        <v>44504.0</v>
      </c>
      <c r="E2798" s="157" t="s">
        <v>731</v>
      </c>
      <c r="F2798" s="160">
        <v>19966.0</v>
      </c>
      <c r="G2798" s="160">
        <f>+'FACP$'!$F2798*0.16</f>
        <v>3194.56</v>
      </c>
      <c r="H2798" s="160">
        <f t="shared" si="64"/>
        <v>23160.56</v>
      </c>
      <c r="I2798" s="160"/>
      <c r="J2798" s="161"/>
      <c r="K2798" s="160"/>
      <c r="L2798" s="160">
        <f>+'FACP$'!$H2798-'FACP$'!$I2798-'FACP$'!$K2798</f>
        <v>23160.56</v>
      </c>
      <c r="M2798" s="162"/>
      <c r="N2798" s="162" t="s">
        <v>127</v>
      </c>
      <c r="O2798" s="164"/>
      <c r="P2798" s="164">
        <f t="shared" si="13"/>
        <v>44514</v>
      </c>
      <c r="Q2798" s="165">
        <f t="shared" si="2"/>
        <v>0</v>
      </c>
      <c r="R2798" s="167"/>
      <c r="S2798" s="167"/>
      <c r="T2798" s="168">
        <f t="shared" si="3"/>
        <v>23160.56</v>
      </c>
      <c r="U2798" s="168">
        <f t="shared" si="4"/>
        <v>0</v>
      </c>
      <c r="V2798" s="168">
        <f t="shared" si="5"/>
        <v>0</v>
      </c>
      <c r="W2798" s="168">
        <f t="shared" si="6"/>
        <v>0</v>
      </c>
      <c r="X2798" s="168">
        <f t="shared" si="7"/>
        <v>0</v>
      </c>
      <c r="Y2798" s="168">
        <f t="shared" si="8"/>
        <v>0</v>
      </c>
      <c r="Z2798" s="168">
        <f t="shared" si="9"/>
        <v>0</v>
      </c>
    </row>
    <row r="2799" ht="15.0" customHeight="1">
      <c r="A2799" s="157" t="s">
        <v>3232</v>
      </c>
      <c r="B2799" s="158" t="s">
        <v>127</v>
      </c>
      <c r="C2799" s="158"/>
      <c r="D2799" s="159"/>
      <c r="E2799" s="157" t="s">
        <v>731</v>
      </c>
      <c r="F2799" s="160"/>
      <c r="G2799" s="160"/>
      <c r="H2799" s="160">
        <f t="shared" si="64"/>
        <v>0</v>
      </c>
      <c r="I2799" s="160"/>
      <c r="J2799" s="161"/>
      <c r="K2799" s="160"/>
      <c r="L2799" s="160">
        <f>+'FACP$'!$H2799-'FACP$'!$I2799-'FACP$'!$K2799</f>
        <v>0</v>
      </c>
      <c r="M2799" s="162"/>
      <c r="N2799" s="162" t="s">
        <v>127</v>
      </c>
      <c r="O2799" s="164"/>
      <c r="P2799" s="164">
        <f t="shared" si="13"/>
        <v>10</v>
      </c>
      <c r="Q2799" s="165">
        <f t="shared" si="2"/>
        <v>0</v>
      </c>
      <c r="R2799" s="167"/>
      <c r="S2799" s="167"/>
      <c r="T2799" s="168">
        <f t="shared" si="3"/>
        <v>0</v>
      </c>
      <c r="U2799" s="168">
        <f t="shared" si="4"/>
        <v>0</v>
      </c>
      <c r="V2799" s="168">
        <f t="shared" si="5"/>
        <v>0</v>
      </c>
      <c r="W2799" s="168">
        <f t="shared" si="6"/>
        <v>0</v>
      </c>
      <c r="X2799" s="168">
        <f t="shared" si="7"/>
        <v>0</v>
      </c>
      <c r="Y2799" s="168">
        <f t="shared" si="8"/>
        <v>0</v>
      </c>
      <c r="Z2799" s="168">
        <f t="shared" si="9"/>
        <v>0</v>
      </c>
    </row>
    <row r="2800" ht="15.0" customHeight="1">
      <c r="A2800" s="157" t="s">
        <v>3233</v>
      </c>
      <c r="B2800" s="158" t="s">
        <v>16</v>
      </c>
      <c r="C2800" s="158" t="s">
        <v>3234</v>
      </c>
      <c r="D2800" s="159">
        <v>44505.0</v>
      </c>
      <c r="E2800" s="157" t="s">
        <v>731</v>
      </c>
      <c r="F2800" s="160">
        <v>539459.05</v>
      </c>
      <c r="G2800" s="160">
        <v>86313.45</v>
      </c>
      <c r="H2800" s="160">
        <f t="shared" si="64"/>
        <v>625772.5</v>
      </c>
      <c r="I2800" s="160"/>
      <c r="J2800" s="161"/>
      <c r="K2800" s="160"/>
      <c r="L2800" s="160">
        <f>+'FACP$'!$H2800-'FACP$'!$I2800-'FACP$'!$K2800</f>
        <v>625772.5</v>
      </c>
      <c r="M2800" s="162" t="s">
        <v>985</v>
      </c>
      <c r="N2800" s="162" t="s">
        <v>554</v>
      </c>
      <c r="O2800" s="164">
        <v>44512.0</v>
      </c>
      <c r="P2800" s="164">
        <f t="shared" si="13"/>
        <v>44515</v>
      </c>
      <c r="Q2800" s="165">
        <f t="shared" si="2"/>
        <v>0</v>
      </c>
      <c r="R2800" s="167"/>
      <c r="S2800" s="167"/>
      <c r="T2800" s="168">
        <f t="shared" si="3"/>
        <v>625772.5</v>
      </c>
      <c r="U2800" s="168">
        <f t="shared" si="4"/>
        <v>0</v>
      </c>
      <c r="V2800" s="168">
        <f t="shared" si="5"/>
        <v>0</v>
      </c>
      <c r="W2800" s="168">
        <f t="shared" si="6"/>
        <v>0</v>
      </c>
      <c r="X2800" s="168">
        <f t="shared" si="7"/>
        <v>0</v>
      </c>
      <c r="Y2800" s="168">
        <f t="shared" si="8"/>
        <v>0</v>
      </c>
      <c r="Z2800" s="168">
        <f t="shared" si="9"/>
        <v>0</v>
      </c>
    </row>
    <row r="2801" ht="15.0" customHeight="1">
      <c r="A2801" s="157" t="s">
        <v>3235</v>
      </c>
      <c r="B2801" s="158" t="s">
        <v>16</v>
      </c>
      <c r="C2801" s="158" t="s">
        <v>3236</v>
      </c>
      <c r="D2801" s="159">
        <v>44505.0</v>
      </c>
      <c r="E2801" s="157" t="s">
        <v>731</v>
      </c>
      <c r="F2801" s="160">
        <v>413979.97</v>
      </c>
      <c r="G2801" s="160">
        <v>66236.8</v>
      </c>
      <c r="H2801" s="160">
        <f t="shared" si="64"/>
        <v>480216.77</v>
      </c>
      <c r="I2801" s="160"/>
      <c r="J2801" s="161"/>
      <c r="K2801" s="160"/>
      <c r="L2801" s="160">
        <f>+'FACP$'!$H2801-'FACP$'!$I2801-'FACP$'!$K2801</f>
        <v>480216.77</v>
      </c>
      <c r="M2801" s="162" t="s">
        <v>985</v>
      </c>
      <c r="N2801" s="162" t="s">
        <v>554</v>
      </c>
      <c r="O2801" s="164">
        <v>44512.0</v>
      </c>
      <c r="P2801" s="164">
        <f t="shared" si="13"/>
        <v>44515</v>
      </c>
      <c r="Q2801" s="165">
        <f t="shared" si="2"/>
        <v>0</v>
      </c>
      <c r="R2801" s="167"/>
      <c r="S2801" s="167"/>
      <c r="T2801" s="168">
        <f t="shared" si="3"/>
        <v>480216.77</v>
      </c>
      <c r="U2801" s="168">
        <f t="shared" si="4"/>
        <v>0</v>
      </c>
      <c r="V2801" s="168">
        <f t="shared" si="5"/>
        <v>0</v>
      </c>
      <c r="W2801" s="168">
        <f t="shared" si="6"/>
        <v>0</v>
      </c>
      <c r="X2801" s="168">
        <f t="shared" si="7"/>
        <v>0</v>
      </c>
      <c r="Y2801" s="168">
        <f t="shared" si="8"/>
        <v>0</v>
      </c>
      <c r="Z2801" s="168">
        <f t="shared" si="9"/>
        <v>0</v>
      </c>
    </row>
    <row r="2802" ht="15.0" customHeight="1">
      <c r="A2802" s="157" t="s">
        <v>3237</v>
      </c>
      <c r="B2802" s="158" t="s">
        <v>18</v>
      </c>
      <c r="C2802" s="158" t="s">
        <v>3238</v>
      </c>
      <c r="D2802" s="159">
        <v>44505.0</v>
      </c>
      <c r="E2802" s="157" t="s">
        <v>731</v>
      </c>
      <c r="F2802" s="160">
        <v>189842.59</v>
      </c>
      <c r="G2802" s="160">
        <v>30374.81</v>
      </c>
      <c r="H2802" s="160">
        <f t="shared" si="64"/>
        <v>220217.4</v>
      </c>
      <c r="I2802" s="160"/>
      <c r="J2802" s="161"/>
      <c r="K2802" s="160"/>
      <c r="L2802" s="160">
        <f>+'FACP$'!$H2802-'FACP$'!$I2802-'FACP$'!$K2802</f>
        <v>220217.4</v>
      </c>
      <c r="M2802" s="162" t="s">
        <v>586</v>
      </c>
      <c r="N2802" s="162" t="s">
        <v>554</v>
      </c>
      <c r="O2802" s="164">
        <v>44512.0</v>
      </c>
      <c r="P2802" s="164">
        <f t="shared" si="13"/>
        <v>44515</v>
      </c>
      <c r="Q2802" s="165">
        <f t="shared" si="2"/>
        <v>0</v>
      </c>
      <c r="R2802" s="167"/>
      <c r="S2802" s="167"/>
      <c r="T2802" s="168">
        <f t="shared" si="3"/>
        <v>220217.4</v>
      </c>
      <c r="U2802" s="168">
        <f t="shared" si="4"/>
        <v>0</v>
      </c>
      <c r="V2802" s="168">
        <f t="shared" si="5"/>
        <v>0</v>
      </c>
      <c r="W2802" s="168">
        <f t="shared" si="6"/>
        <v>0</v>
      </c>
      <c r="X2802" s="168">
        <f t="shared" si="7"/>
        <v>0</v>
      </c>
      <c r="Y2802" s="168">
        <f t="shared" si="8"/>
        <v>0</v>
      </c>
      <c r="Z2802" s="168">
        <f t="shared" si="9"/>
        <v>0</v>
      </c>
    </row>
    <row r="2803" ht="15.0" customHeight="1">
      <c r="A2803" s="157" t="s">
        <v>3239</v>
      </c>
      <c r="B2803" s="158" t="s">
        <v>19</v>
      </c>
      <c r="C2803" s="158" t="s">
        <v>3238</v>
      </c>
      <c r="D2803" s="159">
        <v>44505.0</v>
      </c>
      <c r="E2803" s="157" t="s">
        <v>731</v>
      </c>
      <c r="F2803" s="160">
        <v>254509.26</v>
      </c>
      <c r="G2803" s="160">
        <v>40721.48</v>
      </c>
      <c r="H2803" s="160">
        <f t="shared" si="64"/>
        <v>295230.74</v>
      </c>
      <c r="I2803" s="160"/>
      <c r="J2803" s="161"/>
      <c r="K2803" s="160"/>
      <c r="L2803" s="160">
        <f>+'FACP$'!$H2803-'FACP$'!$I2803-'FACP$'!$K2803</f>
        <v>295230.74</v>
      </c>
      <c r="M2803" s="162" t="s">
        <v>732</v>
      </c>
      <c r="N2803" s="162" t="s">
        <v>554</v>
      </c>
      <c r="O2803" s="164">
        <v>44512.0</v>
      </c>
      <c r="P2803" s="164">
        <f t="shared" si="13"/>
        <v>44515</v>
      </c>
      <c r="Q2803" s="165">
        <f t="shared" si="2"/>
        <v>0</v>
      </c>
      <c r="R2803" s="167"/>
      <c r="S2803" s="167"/>
      <c r="T2803" s="168">
        <f t="shared" si="3"/>
        <v>295230.74</v>
      </c>
      <c r="U2803" s="168">
        <f t="shared" si="4"/>
        <v>0</v>
      </c>
      <c r="V2803" s="168">
        <f t="shared" si="5"/>
        <v>0</v>
      </c>
      <c r="W2803" s="168">
        <f t="shared" si="6"/>
        <v>0</v>
      </c>
      <c r="X2803" s="168">
        <f t="shared" si="7"/>
        <v>0</v>
      </c>
      <c r="Y2803" s="168">
        <f t="shared" si="8"/>
        <v>0</v>
      </c>
      <c r="Z2803" s="168">
        <f t="shared" si="9"/>
        <v>0</v>
      </c>
    </row>
    <row r="2804" ht="15.0" customHeight="1">
      <c r="A2804" s="157" t="s">
        <v>3240</v>
      </c>
      <c r="B2804" s="158" t="s">
        <v>26</v>
      </c>
      <c r="C2804" s="158" t="s">
        <v>3238</v>
      </c>
      <c r="D2804" s="159">
        <v>44505.0</v>
      </c>
      <c r="E2804" s="157" t="s">
        <v>731</v>
      </c>
      <c r="F2804" s="160">
        <f>159778.64</f>
        <v>159778.64</v>
      </c>
      <c r="G2804" s="160">
        <v>25564.58</v>
      </c>
      <c r="H2804" s="160">
        <f>F2804+G2804-16467.78-50000-50000-50000-18875.44</f>
        <v>0</v>
      </c>
      <c r="I2804" s="160"/>
      <c r="J2804" s="161"/>
      <c r="K2804" s="160"/>
      <c r="L2804" s="160">
        <f>+'FACP$'!$H2804-'FACP$'!$I2804-'FACP$'!$K2804</f>
        <v>0</v>
      </c>
      <c r="M2804" s="162" t="s">
        <v>2386</v>
      </c>
      <c r="N2804" s="162" t="s">
        <v>554</v>
      </c>
      <c r="O2804" s="164">
        <v>44656.0</v>
      </c>
      <c r="P2804" s="164">
        <f t="shared" si="13"/>
        <v>44515</v>
      </c>
      <c r="Q2804" s="165">
        <f t="shared" si="2"/>
        <v>0</v>
      </c>
      <c r="R2804" s="220" t="s">
        <v>3241</v>
      </c>
      <c r="S2804" s="167" t="s">
        <v>3242</v>
      </c>
      <c r="T2804" s="168">
        <f t="shared" si="3"/>
        <v>0</v>
      </c>
      <c r="U2804" s="168">
        <f t="shared" si="4"/>
        <v>0</v>
      </c>
      <c r="V2804" s="168">
        <f t="shared" si="5"/>
        <v>0</v>
      </c>
      <c r="W2804" s="168">
        <f t="shared" si="6"/>
        <v>0</v>
      </c>
      <c r="X2804" s="168">
        <f t="shared" si="7"/>
        <v>0</v>
      </c>
      <c r="Y2804" s="168">
        <f t="shared" si="8"/>
        <v>0</v>
      </c>
      <c r="Z2804" s="168">
        <f t="shared" si="9"/>
        <v>0</v>
      </c>
    </row>
    <row r="2805" ht="15.0" customHeight="1">
      <c r="A2805" s="157" t="s">
        <v>3243</v>
      </c>
      <c r="B2805" s="158" t="s">
        <v>29</v>
      </c>
      <c r="C2805" s="158" t="s">
        <v>3238</v>
      </c>
      <c r="D2805" s="159">
        <v>44505.0</v>
      </c>
      <c r="E2805" s="157" t="s">
        <v>731</v>
      </c>
      <c r="F2805" s="160">
        <v>465380.31</v>
      </c>
      <c r="G2805" s="160">
        <v>74460.85</v>
      </c>
      <c r="H2805" s="160">
        <f t="shared" ref="H2805:H2820" si="65">F2805+G2805</f>
        <v>539841.16</v>
      </c>
      <c r="I2805" s="160"/>
      <c r="J2805" s="161"/>
      <c r="K2805" s="160"/>
      <c r="L2805" s="160">
        <f>+'FACP$'!$H2805-'FACP$'!$I2805-'FACP$'!$K2805</f>
        <v>539841.16</v>
      </c>
      <c r="M2805" s="162" t="s">
        <v>130</v>
      </c>
      <c r="N2805" s="162" t="s">
        <v>554</v>
      </c>
      <c r="O2805" s="164">
        <v>44518.0</v>
      </c>
      <c r="P2805" s="164">
        <f t="shared" si="13"/>
        <v>44515</v>
      </c>
      <c r="Q2805" s="165">
        <f t="shared" si="2"/>
        <v>0</v>
      </c>
      <c r="R2805" s="167"/>
      <c r="S2805" s="167"/>
      <c r="T2805" s="168">
        <f t="shared" si="3"/>
        <v>539841.16</v>
      </c>
      <c r="U2805" s="168">
        <f t="shared" si="4"/>
        <v>0</v>
      </c>
      <c r="V2805" s="168">
        <f t="shared" si="5"/>
        <v>0</v>
      </c>
      <c r="W2805" s="168">
        <f t="shared" si="6"/>
        <v>0</v>
      </c>
      <c r="X2805" s="168">
        <f t="shared" si="7"/>
        <v>0</v>
      </c>
      <c r="Y2805" s="168">
        <f t="shared" si="8"/>
        <v>0</v>
      </c>
      <c r="Z2805" s="168">
        <f t="shared" si="9"/>
        <v>0</v>
      </c>
    </row>
    <row r="2806" ht="15.0" customHeight="1">
      <c r="A2806" s="157" t="s">
        <v>3244</v>
      </c>
      <c r="B2806" s="158" t="s">
        <v>29</v>
      </c>
      <c r="C2806" s="158" t="s">
        <v>3236</v>
      </c>
      <c r="D2806" s="159">
        <v>44505.0</v>
      </c>
      <c r="E2806" s="157" t="s">
        <v>731</v>
      </c>
      <c r="F2806" s="160">
        <v>387908.5</v>
      </c>
      <c r="G2806" s="160">
        <v>62065.36</v>
      </c>
      <c r="H2806" s="160">
        <f t="shared" si="65"/>
        <v>449973.86</v>
      </c>
      <c r="I2806" s="160"/>
      <c r="J2806" s="161"/>
      <c r="K2806" s="160"/>
      <c r="L2806" s="160">
        <f>+'FACP$'!$H2806-'FACP$'!$I2806-'FACP$'!$K2806</f>
        <v>449973.86</v>
      </c>
      <c r="M2806" s="162" t="s">
        <v>130</v>
      </c>
      <c r="N2806" s="162" t="s">
        <v>554</v>
      </c>
      <c r="O2806" s="164">
        <v>44518.0</v>
      </c>
      <c r="P2806" s="164">
        <f t="shared" si="13"/>
        <v>44515</v>
      </c>
      <c r="Q2806" s="165">
        <f t="shared" si="2"/>
        <v>0</v>
      </c>
      <c r="R2806" s="167"/>
      <c r="S2806" s="167"/>
      <c r="T2806" s="168">
        <f t="shared" si="3"/>
        <v>449973.86</v>
      </c>
      <c r="U2806" s="168">
        <f t="shared" si="4"/>
        <v>0</v>
      </c>
      <c r="V2806" s="168">
        <f t="shared" si="5"/>
        <v>0</v>
      </c>
      <c r="W2806" s="168">
        <f t="shared" si="6"/>
        <v>0</v>
      </c>
      <c r="X2806" s="168">
        <f t="shared" si="7"/>
        <v>0</v>
      </c>
      <c r="Y2806" s="168">
        <f t="shared" si="8"/>
        <v>0</v>
      </c>
      <c r="Z2806" s="168">
        <f t="shared" si="9"/>
        <v>0</v>
      </c>
    </row>
    <row r="2807" ht="15.0" customHeight="1">
      <c r="A2807" s="157" t="s">
        <v>3245</v>
      </c>
      <c r="B2807" s="158" t="s">
        <v>41</v>
      </c>
      <c r="C2807" s="158" t="s">
        <v>3238</v>
      </c>
      <c r="D2807" s="159">
        <v>44505.0</v>
      </c>
      <c r="E2807" s="157" t="s">
        <v>731</v>
      </c>
      <c r="F2807" s="160">
        <v>154384.31</v>
      </c>
      <c r="G2807" s="160">
        <v>24701.49</v>
      </c>
      <c r="H2807" s="160">
        <f t="shared" si="65"/>
        <v>179085.8</v>
      </c>
      <c r="I2807" s="160"/>
      <c r="J2807" s="161"/>
      <c r="K2807" s="160"/>
      <c r="L2807" s="160">
        <f>+'FACP$'!$H2807-'FACP$'!$I2807-'FACP$'!$K2807</f>
        <v>179085.8</v>
      </c>
      <c r="M2807" s="162" t="s">
        <v>121</v>
      </c>
      <c r="N2807" s="162" t="s">
        <v>127</v>
      </c>
      <c r="O2807" s="164"/>
      <c r="P2807" s="164">
        <f t="shared" si="13"/>
        <v>44515</v>
      </c>
      <c r="Q2807" s="165">
        <f t="shared" si="2"/>
        <v>0</v>
      </c>
      <c r="R2807" s="167" t="s">
        <v>3246</v>
      </c>
      <c r="S2807" s="167"/>
      <c r="T2807" s="168">
        <f t="shared" si="3"/>
        <v>179085.8</v>
      </c>
      <c r="U2807" s="168">
        <f t="shared" si="4"/>
        <v>0</v>
      </c>
      <c r="V2807" s="168">
        <f t="shared" si="5"/>
        <v>0</v>
      </c>
      <c r="W2807" s="168">
        <f t="shared" si="6"/>
        <v>0</v>
      </c>
      <c r="X2807" s="168">
        <f t="shared" si="7"/>
        <v>0</v>
      </c>
      <c r="Y2807" s="168">
        <f t="shared" si="8"/>
        <v>0</v>
      </c>
      <c r="Z2807" s="168">
        <f t="shared" si="9"/>
        <v>0</v>
      </c>
    </row>
    <row r="2808" ht="15.0" customHeight="1">
      <c r="A2808" s="157" t="s">
        <v>3247</v>
      </c>
      <c r="B2808" s="158" t="s">
        <v>37</v>
      </c>
      <c r="C2808" s="158" t="s">
        <v>3238</v>
      </c>
      <c r="D2808" s="159">
        <v>44505.0</v>
      </c>
      <c r="E2808" s="157" t="s">
        <v>731</v>
      </c>
      <c r="F2808" s="160">
        <v>3041487.0</v>
      </c>
      <c r="G2808" s="160">
        <v>486637.92</v>
      </c>
      <c r="H2808" s="160">
        <f t="shared" si="65"/>
        <v>3528124.92</v>
      </c>
      <c r="I2808" s="160"/>
      <c r="J2808" s="161"/>
      <c r="K2808" s="160"/>
      <c r="L2808" s="160">
        <f>+'FACP$'!$H2808-'FACP$'!$I2808-'FACP$'!$K2808</f>
        <v>3528124.92</v>
      </c>
      <c r="M2808" s="162" t="s">
        <v>116</v>
      </c>
      <c r="N2808" s="162" t="s">
        <v>554</v>
      </c>
      <c r="O2808" s="164">
        <v>44522.0</v>
      </c>
      <c r="P2808" s="164">
        <f t="shared" si="13"/>
        <v>44515</v>
      </c>
      <c r="Q2808" s="165">
        <f t="shared" si="2"/>
        <v>0</v>
      </c>
      <c r="R2808" s="167"/>
      <c r="S2808" s="167"/>
      <c r="T2808" s="168">
        <f t="shared" si="3"/>
        <v>3528124.92</v>
      </c>
      <c r="U2808" s="168">
        <f t="shared" si="4"/>
        <v>0</v>
      </c>
      <c r="V2808" s="168">
        <f t="shared" si="5"/>
        <v>0</v>
      </c>
      <c r="W2808" s="168">
        <f t="shared" si="6"/>
        <v>0</v>
      </c>
      <c r="X2808" s="168">
        <f t="shared" si="7"/>
        <v>0</v>
      </c>
      <c r="Y2808" s="168">
        <f t="shared" si="8"/>
        <v>0</v>
      </c>
      <c r="Z2808" s="168">
        <f t="shared" si="9"/>
        <v>0</v>
      </c>
    </row>
    <row r="2809" ht="15.0" customHeight="1">
      <c r="A2809" s="157" t="s">
        <v>3248</v>
      </c>
      <c r="B2809" s="158" t="s">
        <v>33</v>
      </c>
      <c r="C2809" s="158" t="s">
        <v>3238</v>
      </c>
      <c r="D2809" s="159">
        <v>44505.0</v>
      </c>
      <c r="E2809" s="157" t="s">
        <v>731</v>
      </c>
      <c r="F2809" s="160">
        <v>1102126.18</v>
      </c>
      <c r="G2809" s="160">
        <v>176340.19</v>
      </c>
      <c r="H2809" s="160">
        <f t="shared" si="65"/>
        <v>1278466.37</v>
      </c>
      <c r="I2809" s="160"/>
      <c r="J2809" s="161"/>
      <c r="K2809" s="160"/>
      <c r="L2809" s="160">
        <f>+'FACP$'!$H2809-'FACP$'!$I2809-'FACP$'!$K2809</f>
        <v>1278466.37</v>
      </c>
      <c r="M2809" s="162" t="s">
        <v>958</v>
      </c>
      <c r="N2809" s="162" t="s">
        <v>554</v>
      </c>
      <c r="O2809" s="164">
        <v>44533.0</v>
      </c>
      <c r="P2809" s="164">
        <f t="shared" si="13"/>
        <v>44515</v>
      </c>
      <c r="Q2809" s="165">
        <f t="shared" si="2"/>
        <v>0</v>
      </c>
      <c r="R2809" s="167"/>
      <c r="S2809" s="167"/>
      <c r="T2809" s="168">
        <f t="shared" si="3"/>
        <v>1278466.37</v>
      </c>
      <c r="U2809" s="168">
        <f t="shared" si="4"/>
        <v>0</v>
      </c>
      <c r="V2809" s="168">
        <f t="shared" si="5"/>
        <v>0</v>
      </c>
      <c r="W2809" s="168">
        <f t="shared" si="6"/>
        <v>0</v>
      </c>
      <c r="X2809" s="168">
        <f t="shared" si="7"/>
        <v>0</v>
      </c>
      <c r="Y2809" s="168">
        <f t="shared" si="8"/>
        <v>0</v>
      </c>
      <c r="Z2809" s="168">
        <f t="shared" si="9"/>
        <v>0</v>
      </c>
    </row>
    <row r="2810" ht="15.0" customHeight="1">
      <c r="A2810" s="157" t="s">
        <v>3249</v>
      </c>
      <c r="B2810" s="158" t="s">
        <v>35</v>
      </c>
      <c r="C2810" s="158" t="s">
        <v>3238</v>
      </c>
      <c r="D2810" s="159">
        <v>44505.0</v>
      </c>
      <c r="E2810" s="157" t="s">
        <v>731</v>
      </c>
      <c r="F2810" s="160">
        <v>463530.94</v>
      </c>
      <c r="G2810" s="160">
        <v>74164.95</v>
      </c>
      <c r="H2810" s="160">
        <f t="shared" si="65"/>
        <v>537695.89</v>
      </c>
      <c r="I2810" s="160"/>
      <c r="J2810" s="161"/>
      <c r="K2810" s="160"/>
      <c r="L2810" s="160">
        <f>+'FACP$'!$H2810-'FACP$'!$I2810-'FACP$'!$K2810</f>
        <v>537695.89</v>
      </c>
      <c r="M2810" s="162" t="s">
        <v>276</v>
      </c>
      <c r="N2810" s="162" t="s">
        <v>554</v>
      </c>
      <c r="O2810" s="164">
        <v>44532.0</v>
      </c>
      <c r="P2810" s="164">
        <f t="shared" si="13"/>
        <v>44515</v>
      </c>
      <c r="Q2810" s="165">
        <f t="shared" si="2"/>
        <v>0</v>
      </c>
      <c r="R2810" s="167"/>
      <c r="S2810" s="167"/>
      <c r="T2810" s="168">
        <f t="shared" si="3"/>
        <v>537695.89</v>
      </c>
      <c r="U2810" s="168">
        <f t="shared" si="4"/>
        <v>0</v>
      </c>
      <c r="V2810" s="168">
        <f t="shared" si="5"/>
        <v>0</v>
      </c>
      <c r="W2810" s="168">
        <f t="shared" si="6"/>
        <v>0</v>
      </c>
      <c r="X2810" s="168">
        <f t="shared" si="7"/>
        <v>0</v>
      </c>
      <c r="Y2810" s="168">
        <f t="shared" si="8"/>
        <v>0</v>
      </c>
      <c r="Z2810" s="168">
        <f t="shared" si="9"/>
        <v>0</v>
      </c>
    </row>
    <row r="2811" ht="15.0" customHeight="1">
      <c r="A2811" s="157" t="s">
        <v>3250</v>
      </c>
      <c r="B2811" s="158" t="s">
        <v>36</v>
      </c>
      <c r="C2811" s="158" t="s">
        <v>3238</v>
      </c>
      <c r="D2811" s="159">
        <v>44505.0</v>
      </c>
      <c r="E2811" s="157" t="s">
        <v>731</v>
      </c>
      <c r="F2811" s="160">
        <v>95042.2</v>
      </c>
      <c r="G2811" s="160">
        <v>15206.75</v>
      </c>
      <c r="H2811" s="160">
        <f t="shared" si="65"/>
        <v>110248.95</v>
      </c>
      <c r="I2811" s="160"/>
      <c r="J2811" s="161"/>
      <c r="K2811" s="160"/>
      <c r="L2811" s="160">
        <f>+'FACP$'!$H2811-'FACP$'!$I2811-'FACP$'!$K2811</f>
        <v>110248.95</v>
      </c>
      <c r="M2811" s="162" t="s">
        <v>278</v>
      </c>
      <c r="N2811" s="162" t="s">
        <v>554</v>
      </c>
      <c r="O2811" s="164">
        <v>44550.0</v>
      </c>
      <c r="P2811" s="164">
        <f t="shared" si="13"/>
        <v>44515</v>
      </c>
      <c r="Q2811" s="165">
        <f t="shared" si="2"/>
        <v>0</v>
      </c>
      <c r="R2811" s="167"/>
      <c r="S2811" s="167"/>
      <c r="T2811" s="168">
        <f t="shared" si="3"/>
        <v>110248.95</v>
      </c>
      <c r="U2811" s="168">
        <f t="shared" si="4"/>
        <v>0</v>
      </c>
      <c r="V2811" s="168">
        <f t="shared" si="5"/>
        <v>0</v>
      </c>
      <c r="W2811" s="168">
        <f t="shared" si="6"/>
        <v>0</v>
      </c>
      <c r="X2811" s="168">
        <f t="shared" si="7"/>
        <v>0</v>
      </c>
      <c r="Y2811" s="168">
        <f t="shared" si="8"/>
        <v>0</v>
      </c>
      <c r="Z2811" s="168">
        <f t="shared" si="9"/>
        <v>0</v>
      </c>
    </row>
    <row r="2812" ht="15.0" customHeight="1">
      <c r="A2812" s="157" t="s">
        <v>3251</v>
      </c>
      <c r="B2812" s="158" t="s">
        <v>38</v>
      </c>
      <c r="C2812" s="158" t="s">
        <v>3238</v>
      </c>
      <c r="D2812" s="159">
        <v>44505.0</v>
      </c>
      <c r="E2812" s="157" t="s">
        <v>731</v>
      </c>
      <c r="F2812" s="160">
        <v>1197694.2</v>
      </c>
      <c r="G2812" s="160">
        <v>191631.07</v>
      </c>
      <c r="H2812" s="160">
        <f t="shared" si="65"/>
        <v>1389325.27</v>
      </c>
      <c r="I2812" s="160"/>
      <c r="J2812" s="161"/>
      <c r="K2812" s="160"/>
      <c r="L2812" s="160">
        <f>+'FACP$'!$H2812-'FACP$'!$I2812-'FACP$'!$K2812</f>
        <v>1389325.27</v>
      </c>
      <c r="M2812" s="162" t="s">
        <v>145</v>
      </c>
      <c r="N2812" s="162" t="s">
        <v>554</v>
      </c>
      <c r="O2812" s="164">
        <v>44554.0</v>
      </c>
      <c r="P2812" s="164">
        <f t="shared" si="13"/>
        <v>44515</v>
      </c>
      <c r="Q2812" s="165">
        <f t="shared" si="2"/>
        <v>0</v>
      </c>
      <c r="R2812" s="167"/>
      <c r="S2812" s="167"/>
      <c r="T2812" s="168">
        <f t="shared" si="3"/>
        <v>1389325.27</v>
      </c>
      <c r="U2812" s="168">
        <f t="shared" si="4"/>
        <v>0</v>
      </c>
      <c r="V2812" s="168">
        <f t="shared" si="5"/>
        <v>0</v>
      </c>
      <c r="W2812" s="168">
        <f t="shared" si="6"/>
        <v>0</v>
      </c>
      <c r="X2812" s="168">
        <f t="shared" si="7"/>
        <v>0</v>
      </c>
      <c r="Y2812" s="168">
        <f t="shared" si="8"/>
        <v>0</v>
      </c>
      <c r="Z2812" s="168">
        <f t="shared" si="9"/>
        <v>0</v>
      </c>
    </row>
    <row r="2813" ht="15.0" customHeight="1">
      <c r="A2813" s="157" t="s">
        <v>3252</v>
      </c>
      <c r="B2813" s="158" t="s">
        <v>43</v>
      </c>
      <c r="C2813" s="158" t="s">
        <v>3238</v>
      </c>
      <c r="D2813" s="159">
        <v>44505.0</v>
      </c>
      <c r="E2813" s="157" t="s">
        <v>731</v>
      </c>
      <c r="F2813" s="160">
        <v>1114511.68</v>
      </c>
      <c r="G2813" s="160">
        <v>178321.87</v>
      </c>
      <c r="H2813" s="160">
        <f t="shared" si="65"/>
        <v>1292833.55</v>
      </c>
      <c r="I2813" s="160"/>
      <c r="J2813" s="161"/>
      <c r="K2813" s="160"/>
      <c r="L2813" s="160">
        <f>+'FACP$'!$H2813-'FACP$'!$I2813-'FACP$'!$K2813</f>
        <v>1292833.55</v>
      </c>
      <c r="M2813" s="162" t="s">
        <v>43</v>
      </c>
      <c r="N2813" s="162" t="s">
        <v>554</v>
      </c>
      <c r="O2813" s="164">
        <v>44526.0</v>
      </c>
      <c r="P2813" s="164">
        <f t="shared" si="13"/>
        <v>44515</v>
      </c>
      <c r="Q2813" s="165">
        <f t="shared" si="2"/>
        <v>0</v>
      </c>
      <c r="R2813" s="167"/>
      <c r="S2813" s="167"/>
      <c r="T2813" s="168">
        <f t="shared" si="3"/>
        <v>1292833.55</v>
      </c>
      <c r="U2813" s="168">
        <f t="shared" si="4"/>
        <v>0</v>
      </c>
      <c r="V2813" s="168">
        <f t="shared" si="5"/>
        <v>0</v>
      </c>
      <c r="W2813" s="168">
        <f t="shared" si="6"/>
        <v>0</v>
      </c>
      <c r="X2813" s="168">
        <f t="shared" si="7"/>
        <v>0</v>
      </c>
      <c r="Y2813" s="168">
        <f t="shared" si="8"/>
        <v>0</v>
      </c>
      <c r="Z2813" s="168">
        <f t="shared" si="9"/>
        <v>0</v>
      </c>
    </row>
    <row r="2814" ht="15.0" customHeight="1">
      <c r="A2814" s="157" t="s">
        <v>3253</v>
      </c>
      <c r="B2814" s="158" t="s">
        <v>31</v>
      </c>
      <c r="C2814" s="158" t="s">
        <v>3238</v>
      </c>
      <c r="D2814" s="159">
        <v>44505.0</v>
      </c>
      <c r="E2814" s="157" t="s">
        <v>731</v>
      </c>
      <c r="F2814" s="160">
        <v>141047.37</v>
      </c>
      <c r="G2814" s="160">
        <v>22567.58</v>
      </c>
      <c r="H2814" s="160">
        <f t="shared" si="65"/>
        <v>163614.95</v>
      </c>
      <c r="I2814" s="252"/>
      <c r="J2814" s="253"/>
      <c r="K2814" s="252"/>
      <c r="L2814" s="160">
        <f>+'FACP$'!$H2814-'FACP$'!$I2814-'FACP$'!$K2814</f>
        <v>163614.95</v>
      </c>
      <c r="M2814" s="162" t="s">
        <v>3183</v>
      </c>
      <c r="N2814" s="162" t="s">
        <v>554</v>
      </c>
      <c r="O2814" s="164">
        <v>44512.0</v>
      </c>
      <c r="P2814" s="164">
        <f t="shared" si="13"/>
        <v>44515</v>
      </c>
      <c r="Q2814" s="165">
        <f t="shared" si="2"/>
        <v>0</v>
      </c>
      <c r="R2814" s="167"/>
      <c r="S2814" s="167"/>
      <c r="T2814" s="168">
        <f t="shared" si="3"/>
        <v>163614.95</v>
      </c>
      <c r="U2814" s="168">
        <f t="shared" si="4"/>
        <v>0</v>
      </c>
      <c r="V2814" s="168">
        <f t="shared" si="5"/>
        <v>0</v>
      </c>
      <c r="W2814" s="168">
        <f t="shared" si="6"/>
        <v>0</v>
      </c>
      <c r="X2814" s="168">
        <f t="shared" si="7"/>
        <v>0</v>
      </c>
      <c r="Y2814" s="168">
        <f t="shared" si="8"/>
        <v>0</v>
      </c>
      <c r="Z2814" s="168">
        <f t="shared" si="9"/>
        <v>0</v>
      </c>
    </row>
    <row r="2815" ht="15.0" customHeight="1">
      <c r="A2815" s="157" t="s">
        <v>3254</v>
      </c>
      <c r="B2815" s="158" t="s">
        <v>41</v>
      </c>
      <c r="C2815" s="158" t="s">
        <v>3238</v>
      </c>
      <c r="D2815" s="159">
        <v>44508.0</v>
      </c>
      <c r="E2815" s="157" t="s">
        <v>731</v>
      </c>
      <c r="F2815" s="160">
        <v>1374894.23</v>
      </c>
      <c r="G2815" s="160">
        <v>219983.08</v>
      </c>
      <c r="H2815" s="160">
        <f t="shared" si="65"/>
        <v>1594877.31</v>
      </c>
      <c r="I2815" s="160"/>
      <c r="J2815" s="161"/>
      <c r="K2815" s="160"/>
      <c r="L2815" s="160">
        <f>+'FACP$'!$H2815-'FACP$'!$I2815-'FACP$'!$K2815</f>
        <v>1594877.31</v>
      </c>
      <c r="M2815" s="162" t="s">
        <v>121</v>
      </c>
      <c r="N2815" s="162" t="s">
        <v>554</v>
      </c>
      <c r="O2815" s="164">
        <v>44554.0</v>
      </c>
      <c r="P2815" s="164">
        <f t="shared" si="13"/>
        <v>44518</v>
      </c>
      <c r="Q2815" s="165">
        <f t="shared" si="2"/>
        <v>0</v>
      </c>
      <c r="R2815" s="167" t="s">
        <v>3255</v>
      </c>
      <c r="S2815" s="167"/>
      <c r="T2815" s="168">
        <f t="shared" si="3"/>
        <v>1594877.31</v>
      </c>
      <c r="U2815" s="168">
        <f t="shared" si="4"/>
        <v>0</v>
      </c>
      <c r="V2815" s="168">
        <f t="shared" si="5"/>
        <v>0</v>
      </c>
      <c r="W2815" s="168">
        <f t="shared" si="6"/>
        <v>0</v>
      </c>
      <c r="X2815" s="168">
        <f t="shared" si="7"/>
        <v>0</v>
      </c>
      <c r="Y2815" s="168">
        <f t="shared" si="8"/>
        <v>0</v>
      </c>
      <c r="Z2815" s="168">
        <f t="shared" si="9"/>
        <v>0</v>
      </c>
    </row>
    <row r="2816" ht="15.0" customHeight="1">
      <c r="A2816" s="157" t="s">
        <v>3256</v>
      </c>
      <c r="B2816" s="158" t="s">
        <v>31</v>
      </c>
      <c r="C2816" s="158" t="s">
        <v>3257</v>
      </c>
      <c r="D2816" s="159">
        <v>44516.0</v>
      </c>
      <c r="E2816" s="157" t="s">
        <v>731</v>
      </c>
      <c r="F2816" s="160">
        <v>262435.46</v>
      </c>
      <c r="G2816" s="160">
        <v>41989.67</v>
      </c>
      <c r="H2816" s="160">
        <f t="shared" si="65"/>
        <v>304425.13</v>
      </c>
      <c r="I2816" s="252"/>
      <c r="J2816" s="253"/>
      <c r="K2816" s="252"/>
      <c r="L2816" s="160">
        <f>+'FACP$'!$H2816-'FACP$'!$I2816-'FACP$'!$K2816</f>
        <v>304425.13</v>
      </c>
      <c r="M2816" s="162" t="s">
        <v>3183</v>
      </c>
      <c r="N2816" s="162" t="s">
        <v>554</v>
      </c>
      <c r="O2816" s="164">
        <v>44519.0</v>
      </c>
      <c r="P2816" s="164">
        <f t="shared" si="13"/>
        <v>44526</v>
      </c>
      <c r="Q2816" s="165">
        <f t="shared" si="2"/>
        <v>0</v>
      </c>
      <c r="R2816" s="167"/>
      <c r="S2816" s="167"/>
      <c r="T2816" s="168">
        <f t="shared" si="3"/>
        <v>304425.13</v>
      </c>
      <c r="U2816" s="168">
        <f t="shared" si="4"/>
        <v>0</v>
      </c>
      <c r="V2816" s="168">
        <f t="shared" si="5"/>
        <v>0</v>
      </c>
      <c r="W2816" s="168">
        <f t="shared" si="6"/>
        <v>0</v>
      </c>
      <c r="X2816" s="168">
        <f t="shared" si="7"/>
        <v>0</v>
      </c>
      <c r="Y2816" s="168">
        <f t="shared" si="8"/>
        <v>0</v>
      </c>
      <c r="Z2816" s="168">
        <f t="shared" si="9"/>
        <v>0</v>
      </c>
    </row>
    <row r="2817" ht="15.0" customHeight="1">
      <c r="A2817" s="157" t="s">
        <v>3258</v>
      </c>
      <c r="B2817" s="158" t="s">
        <v>16</v>
      </c>
      <c r="C2817" s="158" t="s">
        <v>3259</v>
      </c>
      <c r="D2817" s="159">
        <v>44522.0</v>
      </c>
      <c r="E2817" s="157" t="s">
        <v>731</v>
      </c>
      <c r="F2817" s="160">
        <v>439408.48</v>
      </c>
      <c r="G2817" s="160">
        <v>70305.36</v>
      </c>
      <c r="H2817" s="160">
        <f t="shared" si="65"/>
        <v>509713.84</v>
      </c>
      <c r="I2817" s="160"/>
      <c r="J2817" s="161"/>
      <c r="K2817" s="160"/>
      <c r="L2817" s="160">
        <f>+'FACP$'!$H2817-'FACP$'!$I2817-'FACP$'!$K2817</f>
        <v>509713.84</v>
      </c>
      <c r="M2817" s="162" t="s">
        <v>985</v>
      </c>
      <c r="N2817" s="162" t="s">
        <v>554</v>
      </c>
      <c r="O2817" s="164">
        <v>44550.0</v>
      </c>
      <c r="P2817" s="164">
        <f t="shared" si="13"/>
        <v>44532</v>
      </c>
      <c r="Q2817" s="165">
        <f t="shared" si="2"/>
        <v>0</v>
      </c>
      <c r="R2817" s="167"/>
      <c r="S2817" s="167"/>
      <c r="T2817" s="168">
        <f t="shared" si="3"/>
        <v>509713.84</v>
      </c>
      <c r="U2817" s="168">
        <f t="shared" si="4"/>
        <v>0</v>
      </c>
      <c r="V2817" s="168">
        <f t="shared" si="5"/>
        <v>0</v>
      </c>
      <c r="W2817" s="168">
        <f t="shared" si="6"/>
        <v>0</v>
      </c>
      <c r="X2817" s="168">
        <f t="shared" si="7"/>
        <v>0</v>
      </c>
      <c r="Y2817" s="168">
        <f t="shared" si="8"/>
        <v>0</v>
      </c>
      <c r="Z2817" s="168">
        <f t="shared" si="9"/>
        <v>0</v>
      </c>
    </row>
    <row r="2818" ht="15.0" customHeight="1">
      <c r="A2818" s="157" t="s">
        <v>3260</v>
      </c>
      <c r="B2818" s="158" t="s">
        <v>16</v>
      </c>
      <c r="C2818" s="158" t="s">
        <v>3261</v>
      </c>
      <c r="D2818" s="159">
        <v>44522.0</v>
      </c>
      <c r="E2818" s="157" t="s">
        <v>731</v>
      </c>
      <c r="F2818" s="160">
        <v>348788.12</v>
      </c>
      <c r="G2818" s="160">
        <v>55806.1</v>
      </c>
      <c r="H2818" s="160">
        <f t="shared" si="65"/>
        <v>404594.22</v>
      </c>
      <c r="I2818" s="160"/>
      <c r="J2818" s="161"/>
      <c r="K2818" s="160"/>
      <c r="L2818" s="160">
        <f>+'FACP$'!$H2818-'FACP$'!$I2818-'FACP$'!$K2818</f>
        <v>404594.22</v>
      </c>
      <c r="M2818" s="162" t="s">
        <v>985</v>
      </c>
      <c r="N2818" s="162" t="s">
        <v>554</v>
      </c>
      <c r="O2818" s="164">
        <v>44550.0</v>
      </c>
      <c r="P2818" s="164">
        <f t="shared" si="13"/>
        <v>44532</v>
      </c>
      <c r="Q2818" s="165">
        <f t="shared" si="2"/>
        <v>0</v>
      </c>
      <c r="R2818" s="167"/>
      <c r="S2818" s="167"/>
      <c r="T2818" s="168">
        <f t="shared" si="3"/>
        <v>404594.22</v>
      </c>
      <c r="U2818" s="168">
        <f t="shared" si="4"/>
        <v>0</v>
      </c>
      <c r="V2818" s="168">
        <f t="shared" si="5"/>
        <v>0</v>
      </c>
      <c r="W2818" s="168">
        <f t="shared" si="6"/>
        <v>0</v>
      </c>
      <c r="X2818" s="168">
        <f t="shared" si="7"/>
        <v>0</v>
      </c>
      <c r="Y2818" s="168">
        <f t="shared" si="8"/>
        <v>0</v>
      </c>
      <c r="Z2818" s="168">
        <f t="shared" si="9"/>
        <v>0</v>
      </c>
    </row>
    <row r="2819" ht="15.0" customHeight="1">
      <c r="A2819" s="157" t="s">
        <v>3262</v>
      </c>
      <c r="B2819" s="158" t="s">
        <v>18</v>
      </c>
      <c r="C2819" s="158" t="s">
        <v>3259</v>
      </c>
      <c r="D2819" s="159">
        <v>44522.0</v>
      </c>
      <c r="E2819" s="157" t="s">
        <v>731</v>
      </c>
      <c r="F2819" s="160">
        <v>183476.18</v>
      </c>
      <c r="G2819" s="160">
        <v>29356.19</v>
      </c>
      <c r="H2819" s="160">
        <f t="shared" si="65"/>
        <v>212832.37</v>
      </c>
      <c r="I2819" s="160"/>
      <c r="J2819" s="161"/>
      <c r="K2819" s="160"/>
      <c r="L2819" s="160">
        <f>+'FACP$'!$H2819-'FACP$'!$I2819-'FACP$'!$K2819</f>
        <v>212832.37</v>
      </c>
      <c r="M2819" s="162" t="s">
        <v>586</v>
      </c>
      <c r="N2819" s="162" t="s">
        <v>554</v>
      </c>
      <c r="O2819" s="164">
        <v>44529.0</v>
      </c>
      <c r="P2819" s="164">
        <f t="shared" si="13"/>
        <v>44532</v>
      </c>
      <c r="Q2819" s="165">
        <f t="shared" si="2"/>
        <v>0</v>
      </c>
      <c r="R2819" s="167" t="s">
        <v>3263</v>
      </c>
      <c r="S2819" s="167"/>
      <c r="T2819" s="168">
        <f t="shared" si="3"/>
        <v>212832.37</v>
      </c>
      <c r="U2819" s="168">
        <f t="shared" si="4"/>
        <v>0</v>
      </c>
      <c r="V2819" s="168">
        <f t="shared" si="5"/>
        <v>0</v>
      </c>
      <c r="W2819" s="168">
        <f t="shared" si="6"/>
        <v>0</v>
      </c>
      <c r="X2819" s="168">
        <f t="shared" si="7"/>
        <v>0</v>
      </c>
      <c r="Y2819" s="168">
        <f t="shared" si="8"/>
        <v>0</v>
      </c>
      <c r="Z2819" s="168">
        <f t="shared" si="9"/>
        <v>0</v>
      </c>
    </row>
    <row r="2820" ht="15.0" customHeight="1">
      <c r="A2820" s="157" t="s">
        <v>3264</v>
      </c>
      <c r="B2820" s="158" t="s">
        <v>19</v>
      </c>
      <c r="C2820" s="158" t="s">
        <v>3259</v>
      </c>
      <c r="D2820" s="159">
        <v>44522.0</v>
      </c>
      <c r="E2820" s="157" t="s">
        <v>731</v>
      </c>
      <c r="F2820" s="160">
        <v>252795.68</v>
      </c>
      <c r="G2820" s="160">
        <v>40447.31</v>
      </c>
      <c r="H2820" s="160">
        <f t="shared" si="65"/>
        <v>293242.99</v>
      </c>
      <c r="I2820" s="160"/>
      <c r="J2820" s="161"/>
      <c r="K2820" s="160"/>
      <c r="L2820" s="160">
        <f>+'FACP$'!$H2820-'FACP$'!$I2820-'FACP$'!$K2820</f>
        <v>293242.99</v>
      </c>
      <c r="M2820" s="162" t="s">
        <v>732</v>
      </c>
      <c r="N2820" s="162" t="s">
        <v>554</v>
      </c>
      <c r="O2820" s="164">
        <v>44529.0</v>
      </c>
      <c r="P2820" s="164">
        <f t="shared" si="13"/>
        <v>44532</v>
      </c>
      <c r="Q2820" s="165">
        <f t="shared" si="2"/>
        <v>0</v>
      </c>
      <c r="R2820" s="167"/>
      <c r="S2820" s="167"/>
      <c r="T2820" s="168">
        <f t="shared" si="3"/>
        <v>293242.99</v>
      </c>
      <c r="U2820" s="168">
        <f t="shared" si="4"/>
        <v>0</v>
      </c>
      <c r="V2820" s="168">
        <f t="shared" si="5"/>
        <v>0</v>
      </c>
      <c r="W2820" s="168">
        <f t="shared" si="6"/>
        <v>0</v>
      </c>
      <c r="X2820" s="168">
        <f t="shared" si="7"/>
        <v>0</v>
      </c>
      <c r="Y2820" s="168">
        <f t="shared" si="8"/>
        <v>0</v>
      </c>
      <c r="Z2820" s="168">
        <f t="shared" si="9"/>
        <v>0</v>
      </c>
    </row>
    <row r="2821" ht="15.0" customHeight="1">
      <c r="A2821" s="157" t="s">
        <v>3265</v>
      </c>
      <c r="B2821" s="158" t="s">
        <v>26</v>
      </c>
      <c r="C2821" s="158" t="s">
        <v>3259</v>
      </c>
      <c r="D2821" s="159">
        <v>44522.0</v>
      </c>
      <c r="E2821" s="157" t="s">
        <v>731</v>
      </c>
      <c r="F2821" s="160">
        <v>100633.28</v>
      </c>
      <c r="G2821" s="160">
        <v>16101.32</v>
      </c>
      <c r="H2821" s="160">
        <f>F2821+G2821-100000-2132.86-14601.74</f>
        <v>0</v>
      </c>
      <c r="I2821" s="160"/>
      <c r="J2821" s="161"/>
      <c r="K2821" s="160"/>
      <c r="L2821" s="160">
        <f>+'FACP$'!$H2821-'FACP$'!$I2821-'FACP$'!$K2821</f>
        <v>0</v>
      </c>
      <c r="M2821" s="162" t="s">
        <v>2386</v>
      </c>
      <c r="N2821" s="162" t="s">
        <v>554</v>
      </c>
      <c r="O2821" s="164">
        <v>44656.0</v>
      </c>
      <c r="P2821" s="164">
        <f t="shared" si="13"/>
        <v>44532</v>
      </c>
      <c r="Q2821" s="165">
        <f t="shared" si="2"/>
        <v>0</v>
      </c>
      <c r="R2821" s="220" t="s">
        <v>3266</v>
      </c>
      <c r="S2821" s="167">
        <v>1465.0</v>
      </c>
      <c r="T2821" s="168">
        <f t="shared" si="3"/>
        <v>0</v>
      </c>
      <c r="U2821" s="168">
        <f t="shared" si="4"/>
        <v>0</v>
      </c>
      <c r="V2821" s="168">
        <f t="shared" si="5"/>
        <v>0</v>
      </c>
      <c r="W2821" s="168">
        <f t="shared" si="6"/>
        <v>0</v>
      </c>
      <c r="X2821" s="168">
        <f t="shared" si="7"/>
        <v>0</v>
      </c>
      <c r="Y2821" s="168">
        <f t="shared" si="8"/>
        <v>0</v>
      </c>
      <c r="Z2821" s="168">
        <f t="shared" si="9"/>
        <v>0</v>
      </c>
    </row>
    <row r="2822" ht="15.0" customHeight="1">
      <c r="A2822" s="157" t="s">
        <v>3267</v>
      </c>
      <c r="B2822" s="158" t="s">
        <v>29</v>
      </c>
      <c r="C2822" s="158" t="s">
        <v>3259</v>
      </c>
      <c r="D2822" s="159">
        <v>44522.0</v>
      </c>
      <c r="E2822" s="157" t="s">
        <v>731</v>
      </c>
      <c r="F2822" s="160">
        <v>403623.72</v>
      </c>
      <c r="G2822" s="160">
        <v>64579.8</v>
      </c>
      <c r="H2822" s="160">
        <f t="shared" ref="H2822:H2858" si="66">F2822+G2822</f>
        <v>468203.52</v>
      </c>
      <c r="I2822" s="160"/>
      <c r="J2822" s="161"/>
      <c r="K2822" s="160"/>
      <c r="L2822" s="160">
        <f>+'FACP$'!$H2822-'FACP$'!$I2822-'FACP$'!$K2822</f>
        <v>468203.52</v>
      </c>
      <c r="M2822" s="162" t="s">
        <v>130</v>
      </c>
      <c r="N2822" s="162" t="s">
        <v>554</v>
      </c>
      <c r="O2822" s="164">
        <v>44579.0</v>
      </c>
      <c r="P2822" s="164">
        <f t="shared" si="13"/>
        <v>44532</v>
      </c>
      <c r="Q2822" s="165">
        <f t="shared" si="2"/>
        <v>0</v>
      </c>
      <c r="R2822" s="167"/>
      <c r="S2822" s="167"/>
      <c r="T2822" s="168">
        <f t="shared" si="3"/>
        <v>468203.52</v>
      </c>
      <c r="U2822" s="168">
        <f t="shared" si="4"/>
        <v>0</v>
      </c>
      <c r="V2822" s="168">
        <f t="shared" si="5"/>
        <v>0</v>
      </c>
      <c r="W2822" s="168">
        <f t="shared" si="6"/>
        <v>0</v>
      </c>
      <c r="X2822" s="168">
        <f t="shared" si="7"/>
        <v>0</v>
      </c>
      <c r="Y2822" s="168">
        <f t="shared" si="8"/>
        <v>0</v>
      </c>
      <c r="Z2822" s="168">
        <f t="shared" si="9"/>
        <v>0</v>
      </c>
    </row>
    <row r="2823" ht="15.0" customHeight="1">
      <c r="A2823" s="157" t="s">
        <v>3268</v>
      </c>
      <c r="B2823" s="158" t="s">
        <v>127</v>
      </c>
      <c r="C2823" s="158"/>
      <c r="D2823" s="159"/>
      <c r="E2823" s="157"/>
      <c r="F2823" s="160"/>
      <c r="G2823" s="160"/>
      <c r="H2823" s="160">
        <f t="shared" si="66"/>
        <v>0</v>
      </c>
      <c r="I2823" s="160"/>
      <c r="J2823" s="161"/>
      <c r="K2823" s="160"/>
      <c r="L2823" s="160">
        <f>+'FACP$'!$H2823-'FACP$'!$I2823-'FACP$'!$K2823</f>
        <v>0</v>
      </c>
      <c r="M2823" s="162" t="s">
        <v>127</v>
      </c>
      <c r="N2823" s="162" t="s">
        <v>127</v>
      </c>
      <c r="O2823" s="164"/>
      <c r="P2823" s="164">
        <f t="shared" si="13"/>
        <v>10</v>
      </c>
      <c r="Q2823" s="165">
        <f t="shared" si="2"/>
        <v>0</v>
      </c>
      <c r="R2823" s="167"/>
      <c r="S2823" s="167"/>
      <c r="T2823" s="168">
        <f t="shared" si="3"/>
        <v>0</v>
      </c>
      <c r="U2823" s="168">
        <f t="shared" si="4"/>
        <v>0</v>
      </c>
      <c r="V2823" s="168">
        <f t="shared" si="5"/>
        <v>0</v>
      </c>
      <c r="W2823" s="168">
        <f t="shared" si="6"/>
        <v>0</v>
      </c>
      <c r="X2823" s="168">
        <f t="shared" si="7"/>
        <v>0</v>
      </c>
      <c r="Y2823" s="168">
        <f t="shared" si="8"/>
        <v>0</v>
      </c>
      <c r="Z2823" s="168">
        <f t="shared" si="9"/>
        <v>0</v>
      </c>
    </row>
    <row r="2824" ht="15.0" customHeight="1">
      <c r="A2824" s="157" t="s">
        <v>3269</v>
      </c>
      <c r="B2824" s="158" t="s">
        <v>41</v>
      </c>
      <c r="C2824" s="158" t="s">
        <v>3259</v>
      </c>
      <c r="D2824" s="159">
        <v>44522.0</v>
      </c>
      <c r="E2824" s="157" t="s">
        <v>731</v>
      </c>
      <c r="F2824" s="160">
        <v>1311316.83</v>
      </c>
      <c r="G2824" s="160">
        <v>209810.69</v>
      </c>
      <c r="H2824" s="160">
        <f t="shared" si="66"/>
        <v>1521127.52</v>
      </c>
      <c r="I2824" s="160"/>
      <c r="J2824" s="161"/>
      <c r="K2824" s="160"/>
      <c r="L2824" s="160">
        <f>+'FACP$'!$H2824-'FACP$'!$I2824-'FACP$'!$K2824</f>
        <v>1521127.52</v>
      </c>
      <c r="M2824" s="162" t="s">
        <v>121</v>
      </c>
      <c r="N2824" s="162" t="s">
        <v>554</v>
      </c>
      <c r="O2824" s="164">
        <v>44580.0</v>
      </c>
      <c r="P2824" s="164">
        <f t="shared" si="13"/>
        <v>44532</v>
      </c>
      <c r="Q2824" s="165">
        <f t="shared" si="2"/>
        <v>0</v>
      </c>
      <c r="R2824" s="167"/>
      <c r="S2824" s="167"/>
      <c r="T2824" s="168">
        <f t="shared" si="3"/>
        <v>1521127.52</v>
      </c>
      <c r="U2824" s="168">
        <f t="shared" si="4"/>
        <v>0</v>
      </c>
      <c r="V2824" s="168">
        <f t="shared" si="5"/>
        <v>0</v>
      </c>
      <c r="W2824" s="168">
        <f t="shared" si="6"/>
        <v>0</v>
      </c>
      <c r="X2824" s="168">
        <f t="shared" si="7"/>
        <v>0</v>
      </c>
      <c r="Y2824" s="168">
        <f t="shared" si="8"/>
        <v>0</v>
      </c>
      <c r="Z2824" s="168">
        <f t="shared" si="9"/>
        <v>0</v>
      </c>
    </row>
    <row r="2825" ht="15.0" customHeight="1">
      <c r="A2825" s="157" t="s">
        <v>3270</v>
      </c>
      <c r="B2825" s="158" t="s">
        <v>37</v>
      </c>
      <c r="C2825" s="158" t="s">
        <v>3259</v>
      </c>
      <c r="D2825" s="159">
        <v>44522.0</v>
      </c>
      <c r="E2825" s="157" t="s">
        <v>731</v>
      </c>
      <c r="F2825" s="160">
        <v>2191525.2</v>
      </c>
      <c r="G2825" s="160">
        <v>350644.03</v>
      </c>
      <c r="H2825" s="160">
        <f t="shared" si="66"/>
        <v>2542169.23</v>
      </c>
      <c r="I2825" s="160"/>
      <c r="J2825" s="161"/>
      <c r="K2825" s="160"/>
      <c r="L2825" s="160">
        <f>+'FACP$'!$H2825-'FACP$'!$I2825-'FACP$'!$K2825</f>
        <v>2542169.23</v>
      </c>
      <c r="M2825" s="162" t="s">
        <v>116</v>
      </c>
      <c r="N2825" s="162" t="s">
        <v>554</v>
      </c>
      <c r="O2825" s="164">
        <v>44536.0</v>
      </c>
      <c r="P2825" s="164">
        <f t="shared" si="13"/>
        <v>44532</v>
      </c>
      <c r="Q2825" s="165">
        <f t="shared" si="2"/>
        <v>0</v>
      </c>
      <c r="R2825" s="167"/>
      <c r="S2825" s="167"/>
      <c r="T2825" s="168">
        <f t="shared" si="3"/>
        <v>2542169.23</v>
      </c>
      <c r="U2825" s="168">
        <f t="shared" si="4"/>
        <v>0</v>
      </c>
      <c r="V2825" s="168">
        <f t="shared" si="5"/>
        <v>0</v>
      </c>
      <c r="W2825" s="168">
        <f t="shared" si="6"/>
        <v>0</v>
      </c>
      <c r="X2825" s="168">
        <f t="shared" si="7"/>
        <v>0</v>
      </c>
      <c r="Y2825" s="168">
        <f t="shared" si="8"/>
        <v>0</v>
      </c>
      <c r="Z2825" s="168">
        <f t="shared" si="9"/>
        <v>0</v>
      </c>
    </row>
    <row r="2826" ht="15.0" customHeight="1">
      <c r="A2826" s="157" t="s">
        <v>3271</v>
      </c>
      <c r="B2826" s="158" t="s">
        <v>33</v>
      </c>
      <c r="C2826" s="158" t="s">
        <v>3259</v>
      </c>
      <c r="D2826" s="159">
        <v>44522.0</v>
      </c>
      <c r="E2826" s="157" t="s">
        <v>731</v>
      </c>
      <c r="F2826" s="160">
        <v>1138976.43</v>
      </c>
      <c r="G2826" s="160">
        <v>182236.23</v>
      </c>
      <c r="H2826" s="160">
        <f t="shared" si="66"/>
        <v>1321212.66</v>
      </c>
      <c r="I2826" s="160"/>
      <c r="J2826" s="161"/>
      <c r="K2826" s="160"/>
      <c r="L2826" s="160">
        <f>+'FACP$'!$H2826-'FACP$'!$I2826-'FACP$'!$K2826</f>
        <v>1321212.66</v>
      </c>
      <c r="M2826" s="162" t="s">
        <v>958</v>
      </c>
      <c r="N2826" s="162" t="s">
        <v>554</v>
      </c>
      <c r="O2826" s="164">
        <v>44543.0</v>
      </c>
      <c r="P2826" s="164">
        <f t="shared" si="13"/>
        <v>44532</v>
      </c>
      <c r="Q2826" s="165">
        <f t="shared" si="2"/>
        <v>0</v>
      </c>
      <c r="R2826" s="167"/>
      <c r="S2826" s="167"/>
      <c r="T2826" s="168">
        <f t="shared" si="3"/>
        <v>1321212.66</v>
      </c>
      <c r="U2826" s="168">
        <f t="shared" si="4"/>
        <v>0</v>
      </c>
      <c r="V2826" s="168">
        <f t="shared" si="5"/>
        <v>0</v>
      </c>
      <c r="W2826" s="168">
        <f t="shared" si="6"/>
        <v>0</v>
      </c>
      <c r="X2826" s="168">
        <f t="shared" si="7"/>
        <v>0</v>
      </c>
      <c r="Y2826" s="168">
        <f t="shared" si="8"/>
        <v>0</v>
      </c>
      <c r="Z2826" s="168">
        <f t="shared" si="9"/>
        <v>0</v>
      </c>
    </row>
    <row r="2827" ht="15.0" customHeight="1">
      <c r="A2827" s="157" t="s">
        <v>3272</v>
      </c>
      <c r="B2827" s="158" t="s">
        <v>35</v>
      </c>
      <c r="C2827" s="158" t="s">
        <v>3259</v>
      </c>
      <c r="D2827" s="159">
        <v>44522.0</v>
      </c>
      <c r="E2827" s="157" t="s">
        <v>731</v>
      </c>
      <c r="F2827" s="160">
        <v>587090.4</v>
      </c>
      <c r="G2827" s="160">
        <v>93934.46</v>
      </c>
      <c r="H2827" s="160">
        <f t="shared" si="66"/>
        <v>681024.86</v>
      </c>
      <c r="I2827" s="160"/>
      <c r="J2827" s="161"/>
      <c r="K2827" s="160"/>
      <c r="L2827" s="160">
        <f>+'FACP$'!$H2827-'FACP$'!$I2827-'FACP$'!$K2827</f>
        <v>681024.86</v>
      </c>
      <c r="M2827" s="162" t="s">
        <v>276</v>
      </c>
      <c r="N2827" s="162" t="s">
        <v>554</v>
      </c>
      <c r="O2827" s="164">
        <v>44546.0</v>
      </c>
      <c r="P2827" s="164">
        <f t="shared" si="13"/>
        <v>44532</v>
      </c>
      <c r="Q2827" s="165">
        <f t="shared" si="2"/>
        <v>0</v>
      </c>
      <c r="R2827" s="167"/>
      <c r="S2827" s="167"/>
      <c r="T2827" s="168">
        <f t="shared" si="3"/>
        <v>681024.86</v>
      </c>
      <c r="U2827" s="168">
        <f t="shared" si="4"/>
        <v>0</v>
      </c>
      <c r="V2827" s="168">
        <f t="shared" si="5"/>
        <v>0</v>
      </c>
      <c r="W2827" s="168">
        <f t="shared" si="6"/>
        <v>0</v>
      </c>
      <c r="X2827" s="168">
        <f t="shared" si="7"/>
        <v>0</v>
      </c>
      <c r="Y2827" s="168">
        <f t="shared" si="8"/>
        <v>0</v>
      </c>
      <c r="Z2827" s="168">
        <f t="shared" si="9"/>
        <v>0</v>
      </c>
    </row>
    <row r="2828" ht="15.0" customHeight="1">
      <c r="A2828" s="157" t="s">
        <v>3273</v>
      </c>
      <c r="B2828" s="158" t="s">
        <v>36</v>
      </c>
      <c r="C2828" s="158" t="s">
        <v>3259</v>
      </c>
      <c r="D2828" s="159">
        <v>44522.0</v>
      </c>
      <c r="E2828" s="157" t="s">
        <v>731</v>
      </c>
      <c r="F2828" s="160">
        <v>91788.06</v>
      </c>
      <c r="G2828" s="160">
        <v>14686.09</v>
      </c>
      <c r="H2828" s="160">
        <f t="shared" si="66"/>
        <v>106474.15</v>
      </c>
      <c r="I2828" s="160"/>
      <c r="J2828" s="161"/>
      <c r="K2828" s="160"/>
      <c r="L2828" s="160">
        <f>+'FACP$'!$H2828-'FACP$'!$I2828-'FACP$'!$K2828</f>
        <v>106474.15</v>
      </c>
      <c r="M2828" s="162" t="s">
        <v>278</v>
      </c>
      <c r="N2828" s="162" t="s">
        <v>554</v>
      </c>
      <c r="O2828" s="164">
        <v>44586.0</v>
      </c>
      <c r="P2828" s="164">
        <f t="shared" si="13"/>
        <v>44532</v>
      </c>
      <c r="Q2828" s="165">
        <f t="shared" si="2"/>
        <v>0</v>
      </c>
      <c r="R2828" s="167"/>
      <c r="S2828" s="167">
        <v>1273.0</v>
      </c>
      <c r="T2828" s="168">
        <f t="shared" si="3"/>
        <v>106474.15</v>
      </c>
      <c r="U2828" s="168">
        <f t="shared" si="4"/>
        <v>0</v>
      </c>
      <c r="V2828" s="168">
        <f t="shared" si="5"/>
        <v>0</v>
      </c>
      <c r="W2828" s="168">
        <f t="shared" si="6"/>
        <v>0</v>
      </c>
      <c r="X2828" s="168">
        <f t="shared" si="7"/>
        <v>0</v>
      </c>
      <c r="Y2828" s="168">
        <f t="shared" si="8"/>
        <v>0</v>
      </c>
      <c r="Z2828" s="168">
        <f t="shared" si="9"/>
        <v>0</v>
      </c>
    </row>
    <row r="2829" ht="15.0" customHeight="1">
      <c r="A2829" s="157" t="s">
        <v>3274</v>
      </c>
      <c r="B2829" s="158" t="s">
        <v>38</v>
      </c>
      <c r="C2829" s="158" t="s">
        <v>3259</v>
      </c>
      <c r="D2829" s="159">
        <v>44522.0</v>
      </c>
      <c r="E2829" s="157" t="s">
        <v>731</v>
      </c>
      <c r="F2829" s="160">
        <v>1036675.96</v>
      </c>
      <c r="G2829" s="160">
        <v>165868.15</v>
      </c>
      <c r="H2829" s="160">
        <f t="shared" si="66"/>
        <v>1202544.11</v>
      </c>
      <c r="I2829" s="160"/>
      <c r="J2829" s="161"/>
      <c r="K2829" s="160"/>
      <c r="L2829" s="160">
        <f>+'FACP$'!$H2829-'FACP$'!$I2829-'FACP$'!$K2829</f>
        <v>1202544.11</v>
      </c>
      <c r="M2829" s="162" t="s">
        <v>145</v>
      </c>
      <c r="N2829" s="162" t="s">
        <v>554</v>
      </c>
      <c r="O2829" s="164">
        <v>44554.0</v>
      </c>
      <c r="P2829" s="164">
        <f t="shared" si="13"/>
        <v>44532</v>
      </c>
      <c r="Q2829" s="165">
        <f t="shared" si="2"/>
        <v>0</v>
      </c>
      <c r="R2829" s="167"/>
      <c r="S2829" s="167"/>
      <c r="T2829" s="168">
        <f t="shared" si="3"/>
        <v>1202544.11</v>
      </c>
      <c r="U2829" s="168">
        <f t="shared" si="4"/>
        <v>0</v>
      </c>
      <c r="V2829" s="168">
        <f t="shared" si="5"/>
        <v>0</v>
      </c>
      <c r="W2829" s="168">
        <f t="shared" si="6"/>
        <v>0</v>
      </c>
      <c r="X2829" s="168">
        <f t="shared" si="7"/>
        <v>0</v>
      </c>
      <c r="Y2829" s="168">
        <f t="shared" si="8"/>
        <v>0</v>
      </c>
      <c r="Z2829" s="168">
        <f t="shared" si="9"/>
        <v>0</v>
      </c>
    </row>
    <row r="2830" ht="15.0" customHeight="1">
      <c r="A2830" s="157" t="s">
        <v>3275</v>
      </c>
      <c r="B2830" s="158" t="s">
        <v>43</v>
      </c>
      <c r="C2830" s="158" t="s">
        <v>3259</v>
      </c>
      <c r="D2830" s="159">
        <v>44522.0</v>
      </c>
      <c r="E2830" s="157" t="s">
        <v>731</v>
      </c>
      <c r="F2830" s="160">
        <v>1255868.71</v>
      </c>
      <c r="G2830" s="160">
        <v>200938.99</v>
      </c>
      <c r="H2830" s="160">
        <f t="shared" si="66"/>
        <v>1456807.7</v>
      </c>
      <c r="I2830" s="160"/>
      <c r="J2830" s="161"/>
      <c r="K2830" s="160"/>
      <c r="L2830" s="160">
        <f>+'FACP$'!$H2830-'FACP$'!$I2830-'FACP$'!$K2830</f>
        <v>1456807.7</v>
      </c>
      <c r="M2830" s="162" t="s">
        <v>43</v>
      </c>
      <c r="N2830" s="162" t="s">
        <v>554</v>
      </c>
      <c r="O2830" s="164">
        <v>44526.0</v>
      </c>
      <c r="P2830" s="164">
        <f t="shared" si="13"/>
        <v>44532</v>
      </c>
      <c r="Q2830" s="165">
        <f t="shared" si="2"/>
        <v>0</v>
      </c>
      <c r="R2830" s="167"/>
      <c r="S2830" s="167">
        <v>2438.0</v>
      </c>
      <c r="T2830" s="168">
        <f t="shared" si="3"/>
        <v>1456807.7</v>
      </c>
      <c r="U2830" s="168">
        <f t="shared" si="4"/>
        <v>0</v>
      </c>
      <c r="V2830" s="168">
        <f t="shared" si="5"/>
        <v>0</v>
      </c>
      <c r="W2830" s="168">
        <f t="shared" si="6"/>
        <v>0</v>
      </c>
      <c r="X2830" s="168">
        <f t="shared" si="7"/>
        <v>0</v>
      </c>
      <c r="Y2830" s="168">
        <f t="shared" si="8"/>
        <v>0</v>
      </c>
      <c r="Z2830" s="168">
        <f t="shared" si="9"/>
        <v>0</v>
      </c>
    </row>
    <row r="2831" ht="15.0" customHeight="1">
      <c r="A2831" s="157" t="s">
        <v>3276</v>
      </c>
      <c r="B2831" s="158" t="s">
        <v>27</v>
      </c>
      <c r="C2831" s="158" t="s">
        <v>3277</v>
      </c>
      <c r="D2831" s="159">
        <v>44522.0</v>
      </c>
      <c r="E2831" s="157" t="s">
        <v>731</v>
      </c>
      <c r="F2831" s="160">
        <v>451994.79</v>
      </c>
      <c r="G2831" s="160">
        <v>72319.17</v>
      </c>
      <c r="H2831" s="160">
        <f t="shared" si="66"/>
        <v>524313.96</v>
      </c>
      <c r="I2831" s="160"/>
      <c r="J2831" s="161"/>
      <c r="K2831" s="160"/>
      <c r="L2831" s="160">
        <f>+'FACP$'!$H2831-'FACP$'!$I2831-'FACP$'!$K2831</f>
        <v>524313.96</v>
      </c>
      <c r="M2831" s="162" t="s">
        <v>151</v>
      </c>
      <c r="N2831" s="162" t="s">
        <v>554</v>
      </c>
      <c r="O2831" s="164">
        <v>44558.0</v>
      </c>
      <c r="P2831" s="164">
        <f t="shared" si="13"/>
        <v>44532</v>
      </c>
      <c r="Q2831" s="165">
        <f t="shared" si="2"/>
        <v>0</v>
      </c>
      <c r="R2831" s="167"/>
      <c r="S2831" s="167"/>
      <c r="T2831" s="168">
        <f t="shared" si="3"/>
        <v>524313.96</v>
      </c>
      <c r="U2831" s="168">
        <f t="shared" si="4"/>
        <v>0</v>
      </c>
      <c r="V2831" s="168">
        <f t="shared" si="5"/>
        <v>0</v>
      </c>
      <c r="W2831" s="168">
        <f t="shared" si="6"/>
        <v>0</v>
      </c>
      <c r="X2831" s="168">
        <f t="shared" si="7"/>
        <v>0</v>
      </c>
      <c r="Y2831" s="168">
        <f t="shared" si="8"/>
        <v>0</v>
      </c>
      <c r="Z2831" s="168">
        <f t="shared" si="9"/>
        <v>0</v>
      </c>
    </row>
    <row r="2832" ht="15.0" customHeight="1">
      <c r="A2832" s="157" t="s">
        <v>3278</v>
      </c>
      <c r="B2832" s="158" t="s">
        <v>27</v>
      </c>
      <c r="C2832" s="158" t="s">
        <v>3279</v>
      </c>
      <c r="D2832" s="159">
        <v>44522.0</v>
      </c>
      <c r="E2832" s="157" t="s">
        <v>731</v>
      </c>
      <c r="F2832" s="160">
        <v>207078.32</v>
      </c>
      <c r="G2832" s="160">
        <v>33132.53</v>
      </c>
      <c r="H2832" s="160">
        <f t="shared" si="66"/>
        <v>240210.85</v>
      </c>
      <c r="I2832" s="160"/>
      <c r="J2832" s="161"/>
      <c r="K2832" s="160"/>
      <c r="L2832" s="160">
        <f>+'FACP$'!$H2832-'FACP$'!$I2832-'FACP$'!$K2832</f>
        <v>240210.85</v>
      </c>
      <c r="M2832" s="162" t="s">
        <v>151</v>
      </c>
      <c r="N2832" s="162" t="s">
        <v>127</v>
      </c>
      <c r="O2832" s="164"/>
      <c r="P2832" s="164">
        <f t="shared" si="13"/>
        <v>44532</v>
      </c>
      <c r="Q2832" s="165">
        <f t="shared" si="2"/>
        <v>0</v>
      </c>
      <c r="R2832" s="167"/>
      <c r="S2832" s="167"/>
      <c r="T2832" s="168">
        <f t="shared" si="3"/>
        <v>240210.85</v>
      </c>
      <c r="U2832" s="168">
        <f t="shared" si="4"/>
        <v>0</v>
      </c>
      <c r="V2832" s="168">
        <f t="shared" si="5"/>
        <v>0</v>
      </c>
      <c r="W2832" s="168">
        <f t="shared" si="6"/>
        <v>0</v>
      </c>
      <c r="X2832" s="168">
        <f t="shared" si="7"/>
        <v>0</v>
      </c>
      <c r="Y2832" s="168">
        <f t="shared" si="8"/>
        <v>0</v>
      </c>
      <c r="Z2832" s="168">
        <f t="shared" si="9"/>
        <v>0</v>
      </c>
    </row>
    <row r="2833" ht="15.0" customHeight="1">
      <c r="A2833" s="157" t="s">
        <v>3280</v>
      </c>
      <c r="B2833" s="158" t="s">
        <v>27</v>
      </c>
      <c r="C2833" s="158" t="s">
        <v>3281</v>
      </c>
      <c r="D2833" s="159">
        <v>44522.0</v>
      </c>
      <c r="E2833" s="157" t="s">
        <v>731</v>
      </c>
      <c r="F2833" s="160">
        <v>35363.87</v>
      </c>
      <c r="G2833" s="160"/>
      <c r="H2833" s="160">
        <f t="shared" si="66"/>
        <v>35363.87</v>
      </c>
      <c r="I2833" s="160"/>
      <c r="J2833" s="161"/>
      <c r="K2833" s="160"/>
      <c r="L2833" s="160">
        <f>+'FACP$'!$H2833-'FACP$'!$I2833-'FACP$'!$K2833</f>
        <v>35363.87</v>
      </c>
      <c r="M2833" s="162" t="s">
        <v>151</v>
      </c>
      <c r="N2833" s="162" t="s">
        <v>554</v>
      </c>
      <c r="O2833" s="164">
        <v>44545.0</v>
      </c>
      <c r="P2833" s="164">
        <f t="shared" si="13"/>
        <v>44532</v>
      </c>
      <c r="Q2833" s="165">
        <f t="shared" si="2"/>
        <v>0</v>
      </c>
      <c r="R2833" s="167"/>
      <c r="S2833" s="167"/>
      <c r="T2833" s="168">
        <f t="shared" si="3"/>
        <v>35363.87</v>
      </c>
      <c r="U2833" s="168">
        <f t="shared" si="4"/>
        <v>0</v>
      </c>
      <c r="V2833" s="168">
        <f t="shared" si="5"/>
        <v>0</v>
      </c>
      <c r="W2833" s="168">
        <f t="shared" si="6"/>
        <v>0</v>
      </c>
      <c r="X2833" s="168">
        <f t="shared" si="7"/>
        <v>0</v>
      </c>
      <c r="Y2833" s="168">
        <f t="shared" si="8"/>
        <v>0</v>
      </c>
      <c r="Z2833" s="168">
        <f t="shared" si="9"/>
        <v>0</v>
      </c>
    </row>
    <row r="2834" ht="15.0" customHeight="1">
      <c r="A2834" s="157" t="s">
        <v>3282</v>
      </c>
      <c r="B2834" s="158" t="s">
        <v>127</v>
      </c>
      <c r="C2834" s="158"/>
      <c r="D2834" s="159">
        <v>44522.0</v>
      </c>
      <c r="E2834" s="157" t="s">
        <v>731</v>
      </c>
      <c r="F2834" s="160"/>
      <c r="G2834" s="160"/>
      <c r="H2834" s="160">
        <f t="shared" si="66"/>
        <v>0</v>
      </c>
      <c r="I2834" s="160"/>
      <c r="J2834" s="161"/>
      <c r="K2834" s="160"/>
      <c r="L2834" s="160">
        <f>+'FACP$'!$H2834-'FACP$'!$I2834-'FACP$'!$K2834</f>
        <v>0</v>
      </c>
      <c r="M2834" s="162"/>
      <c r="N2834" s="162" t="s">
        <v>127</v>
      </c>
      <c r="O2834" s="164"/>
      <c r="P2834" s="164">
        <f t="shared" si="13"/>
        <v>44532</v>
      </c>
      <c r="Q2834" s="165">
        <f t="shared" si="2"/>
        <v>0</v>
      </c>
      <c r="R2834" s="167"/>
      <c r="S2834" s="167"/>
      <c r="T2834" s="168">
        <f t="shared" si="3"/>
        <v>0</v>
      </c>
      <c r="U2834" s="168">
        <f t="shared" si="4"/>
        <v>0</v>
      </c>
      <c r="V2834" s="168">
        <f t="shared" si="5"/>
        <v>0</v>
      </c>
      <c r="W2834" s="168">
        <f t="shared" si="6"/>
        <v>0</v>
      </c>
      <c r="X2834" s="168">
        <f t="shared" si="7"/>
        <v>0</v>
      </c>
      <c r="Y2834" s="168">
        <f t="shared" si="8"/>
        <v>0</v>
      </c>
      <c r="Z2834" s="168">
        <f t="shared" si="9"/>
        <v>0</v>
      </c>
    </row>
    <row r="2835" ht="15.0" customHeight="1">
      <c r="A2835" s="157" t="s">
        <v>3283</v>
      </c>
      <c r="B2835" s="158" t="s">
        <v>127</v>
      </c>
      <c r="C2835" s="158"/>
      <c r="D2835" s="159">
        <v>44522.0</v>
      </c>
      <c r="E2835" s="157" t="s">
        <v>731</v>
      </c>
      <c r="F2835" s="160"/>
      <c r="G2835" s="160"/>
      <c r="H2835" s="160">
        <f t="shared" si="66"/>
        <v>0</v>
      </c>
      <c r="I2835" s="160"/>
      <c r="J2835" s="161"/>
      <c r="K2835" s="160"/>
      <c r="L2835" s="160">
        <f>+'FACP$'!$H2835-'FACP$'!$I2835-'FACP$'!$K2835</f>
        <v>0</v>
      </c>
      <c r="M2835" s="162"/>
      <c r="N2835" s="162" t="s">
        <v>127</v>
      </c>
      <c r="O2835" s="164"/>
      <c r="P2835" s="164">
        <f t="shared" si="13"/>
        <v>44532</v>
      </c>
      <c r="Q2835" s="165">
        <f t="shared" si="2"/>
        <v>0</v>
      </c>
      <c r="R2835" s="167"/>
      <c r="S2835" s="167"/>
      <c r="T2835" s="168">
        <f t="shared" si="3"/>
        <v>0</v>
      </c>
      <c r="U2835" s="168">
        <f t="shared" si="4"/>
        <v>0</v>
      </c>
      <c r="V2835" s="168">
        <f t="shared" si="5"/>
        <v>0</v>
      </c>
      <c r="W2835" s="168">
        <f t="shared" si="6"/>
        <v>0</v>
      </c>
      <c r="X2835" s="168">
        <f t="shared" si="7"/>
        <v>0</v>
      </c>
      <c r="Y2835" s="168">
        <f t="shared" si="8"/>
        <v>0</v>
      </c>
      <c r="Z2835" s="168">
        <f t="shared" si="9"/>
        <v>0</v>
      </c>
    </row>
    <row r="2836" ht="15.0" customHeight="1">
      <c r="A2836" s="157" t="s">
        <v>3284</v>
      </c>
      <c r="B2836" s="158" t="s">
        <v>27</v>
      </c>
      <c r="C2836" s="158" t="s">
        <v>3279</v>
      </c>
      <c r="D2836" s="159">
        <v>44522.0</v>
      </c>
      <c r="E2836" s="157" t="s">
        <v>731</v>
      </c>
      <c r="F2836" s="160">
        <v>155065.75</v>
      </c>
      <c r="G2836" s="160">
        <v>24810.52</v>
      </c>
      <c r="H2836" s="160">
        <f t="shared" si="66"/>
        <v>179876.27</v>
      </c>
      <c r="I2836" s="160"/>
      <c r="J2836" s="161"/>
      <c r="K2836" s="160"/>
      <c r="L2836" s="160">
        <f>+'FACP$'!$H2836-'FACP$'!$I2836-'FACP$'!$K2836</f>
        <v>179876.27</v>
      </c>
      <c r="M2836" s="162" t="s">
        <v>158</v>
      </c>
      <c r="N2836" s="162" t="s">
        <v>554</v>
      </c>
      <c r="O2836" s="164">
        <v>44579.0</v>
      </c>
      <c r="P2836" s="164">
        <f t="shared" si="13"/>
        <v>44532</v>
      </c>
      <c r="Q2836" s="165">
        <f t="shared" si="2"/>
        <v>0</v>
      </c>
      <c r="R2836" s="167"/>
      <c r="S2836" s="167"/>
      <c r="T2836" s="168">
        <f t="shared" si="3"/>
        <v>179876.27</v>
      </c>
      <c r="U2836" s="168">
        <f t="shared" si="4"/>
        <v>0</v>
      </c>
      <c r="V2836" s="168">
        <f t="shared" si="5"/>
        <v>0</v>
      </c>
      <c r="W2836" s="168">
        <f t="shared" si="6"/>
        <v>0</v>
      </c>
      <c r="X2836" s="168">
        <f t="shared" si="7"/>
        <v>0</v>
      </c>
      <c r="Y2836" s="168">
        <f t="shared" si="8"/>
        <v>0</v>
      </c>
      <c r="Z2836" s="168">
        <f t="shared" si="9"/>
        <v>0</v>
      </c>
    </row>
    <row r="2837" ht="15.0" customHeight="1">
      <c r="A2837" s="157" t="s">
        <v>3285</v>
      </c>
      <c r="B2837" s="158" t="s">
        <v>31</v>
      </c>
      <c r="C2837" s="158" t="s">
        <v>3286</v>
      </c>
      <c r="D2837" s="159">
        <v>44522.0</v>
      </c>
      <c r="E2837" s="157" t="s">
        <v>731</v>
      </c>
      <c r="F2837" s="160">
        <v>208582.19</v>
      </c>
      <c r="G2837" s="160">
        <v>33373.15</v>
      </c>
      <c r="H2837" s="160">
        <f t="shared" si="66"/>
        <v>241955.34</v>
      </c>
      <c r="I2837" s="252"/>
      <c r="J2837" s="253"/>
      <c r="K2837" s="252"/>
      <c r="L2837" s="160">
        <f>+'FACP$'!$H2837-'FACP$'!$I2837-'FACP$'!$K2837</f>
        <v>241955.34</v>
      </c>
      <c r="M2837" s="162" t="s">
        <v>3183</v>
      </c>
      <c r="N2837" s="162" t="s">
        <v>554</v>
      </c>
      <c r="O2837" s="164">
        <v>44526.0</v>
      </c>
      <c r="P2837" s="164">
        <f t="shared" si="13"/>
        <v>44532</v>
      </c>
      <c r="Q2837" s="165">
        <f t="shared" si="2"/>
        <v>0</v>
      </c>
      <c r="R2837" s="167" t="s">
        <v>3287</v>
      </c>
      <c r="S2837" s="167"/>
      <c r="T2837" s="168">
        <f t="shared" si="3"/>
        <v>241955.34</v>
      </c>
      <c r="U2837" s="168">
        <f t="shared" si="4"/>
        <v>0</v>
      </c>
      <c r="V2837" s="168">
        <f t="shared" si="5"/>
        <v>0</v>
      </c>
      <c r="W2837" s="168">
        <f t="shared" si="6"/>
        <v>0</v>
      </c>
      <c r="X2837" s="168">
        <f t="shared" si="7"/>
        <v>0</v>
      </c>
      <c r="Y2837" s="168">
        <f t="shared" si="8"/>
        <v>0</v>
      </c>
      <c r="Z2837" s="168">
        <f t="shared" si="9"/>
        <v>0</v>
      </c>
    </row>
    <row r="2838" ht="15.0" customHeight="1">
      <c r="A2838" s="157" t="s">
        <v>3288</v>
      </c>
      <c r="B2838" s="158" t="s">
        <v>29</v>
      </c>
      <c r="C2838" s="158" t="s">
        <v>3261</v>
      </c>
      <c r="D2838" s="159">
        <v>44522.0</v>
      </c>
      <c r="E2838" s="157" t="s">
        <v>731</v>
      </c>
      <c r="F2838" s="160">
        <v>344670.9</v>
      </c>
      <c r="G2838" s="160">
        <v>55147.34</v>
      </c>
      <c r="H2838" s="160">
        <f t="shared" si="66"/>
        <v>399818.24</v>
      </c>
      <c r="I2838" s="160"/>
      <c r="J2838" s="161"/>
      <c r="K2838" s="160"/>
      <c r="L2838" s="160">
        <f>+'FACP$'!$H2838-'FACP$'!$I2838-'FACP$'!$K2838</f>
        <v>399818.24</v>
      </c>
      <c r="M2838" s="162" t="s">
        <v>130</v>
      </c>
      <c r="N2838" s="162" t="s">
        <v>554</v>
      </c>
      <c r="O2838" s="164">
        <v>44546.0</v>
      </c>
      <c r="P2838" s="164">
        <f t="shared" si="13"/>
        <v>44532</v>
      </c>
      <c r="Q2838" s="165">
        <f t="shared" si="2"/>
        <v>0</v>
      </c>
      <c r="R2838" s="167"/>
      <c r="S2838" s="167"/>
      <c r="T2838" s="168">
        <f t="shared" si="3"/>
        <v>399818.24</v>
      </c>
      <c r="U2838" s="168">
        <f t="shared" si="4"/>
        <v>0</v>
      </c>
      <c r="V2838" s="168">
        <f t="shared" si="5"/>
        <v>0</v>
      </c>
      <c r="W2838" s="168">
        <f t="shared" si="6"/>
        <v>0</v>
      </c>
      <c r="X2838" s="168">
        <f t="shared" si="7"/>
        <v>0</v>
      </c>
      <c r="Y2838" s="168">
        <f t="shared" si="8"/>
        <v>0</v>
      </c>
      <c r="Z2838" s="168">
        <f t="shared" si="9"/>
        <v>0</v>
      </c>
    </row>
    <row r="2839" ht="15.0" customHeight="1">
      <c r="A2839" s="157" t="s">
        <v>3289</v>
      </c>
      <c r="B2839" s="158" t="s">
        <v>27</v>
      </c>
      <c r="C2839" s="158" t="s">
        <v>3290</v>
      </c>
      <c r="D2839" s="159">
        <v>44522.0</v>
      </c>
      <c r="E2839" s="157" t="s">
        <v>731</v>
      </c>
      <c r="F2839" s="160">
        <v>15967.0</v>
      </c>
      <c r="G2839" s="160">
        <v>2554.72</v>
      </c>
      <c r="H2839" s="160">
        <f t="shared" si="66"/>
        <v>18521.72</v>
      </c>
      <c r="I2839" s="160"/>
      <c r="J2839" s="161"/>
      <c r="K2839" s="160"/>
      <c r="L2839" s="160">
        <f>+'FACP$'!$H2839-'FACP$'!$I2839-'FACP$'!$K2839</f>
        <v>18521.72</v>
      </c>
      <c r="M2839" s="162" t="s">
        <v>151</v>
      </c>
      <c r="N2839" s="162" t="s">
        <v>554</v>
      </c>
      <c r="O2839" s="164">
        <v>44545.0</v>
      </c>
      <c r="P2839" s="164">
        <f t="shared" si="13"/>
        <v>44532</v>
      </c>
      <c r="Q2839" s="165">
        <f t="shared" si="2"/>
        <v>0</v>
      </c>
      <c r="R2839" s="167"/>
      <c r="S2839" s="167"/>
      <c r="T2839" s="168">
        <f t="shared" si="3"/>
        <v>18521.72</v>
      </c>
      <c r="U2839" s="168">
        <f t="shared" si="4"/>
        <v>0</v>
      </c>
      <c r="V2839" s="168">
        <f t="shared" si="5"/>
        <v>0</v>
      </c>
      <c r="W2839" s="168">
        <f t="shared" si="6"/>
        <v>0</v>
      </c>
      <c r="X2839" s="168">
        <f t="shared" si="7"/>
        <v>0</v>
      </c>
      <c r="Y2839" s="168">
        <f t="shared" si="8"/>
        <v>0</v>
      </c>
      <c r="Z2839" s="168">
        <f t="shared" si="9"/>
        <v>0</v>
      </c>
    </row>
    <row r="2840" ht="15.0" customHeight="1">
      <c r="A2840" s="157" t="s">
        <v>3291</v>
      </c>
      <c r="B2840" s="158" t="s">
        <v>27</v>
      </c>
      <c r="C2840" s="158" t="s">
        <v>3277</v>
      </c>
      <c r="D2840" s="159">
        <v>44522.0</v>
      </c>
      <c r="E2840" s="157" t="s">
        <v>731</v>
      </c>
      <c r="F2840" s="160">
        <v>328934.7</v>
      </c>
      <c r="G2840" s="160">
        <v>52629.55</v>
      </c>
      <c r="H2840" s="160">
        <f t="shared" si="66"/>
        <v>381564.25</v>
      </c>
      <c r="I2840" s="160"/>
      <c r="J2840" s="161"/>
      <c r="K2840" s="160"/>
      <c r="L2840" s="160">
        <f>+'FACP$'!$H2840-'FACP$'!$I2840-'FACP$'!$K2840</f>
        <v>381564.25</v>
      </c>
      <c r="M2840" s="162" t="s">
        <v>158</v>
      </c>
      <c r="N2840" s="162" t="s">
        <v>554</v>
      </c>
      <c r="O2840" s="164">
        <v>44558.0</v>
      </c>
      <c r="P2840" s="245">
        <f t="array" ref="P2840">XLOOKUP('FACP$'!$B2840,'perfil de pagos'!A:A,'perfil de pagos'!B:B)+'FACP$'!$D2840</f>
        <v>44552</v>
      </c>
      <c r="Q2840" s="165">
        <f t="shared" si="2"/>
        <v>0</v>
      </c>
      <c r="R2840" s="167"/>
      <c r="S2840" s="167"/>
      <c r="T2840" s="168">
        <f t="shared" si="3"/>
        <v>381564.25</v>
      </c>
      <c r="U2840" s="168">
        <f t="shared" si="4"/>
        <v>0</v>
      </c>
      <c r="V2840" s="168">
        <f t="shared" si="5"/>
        <v>0</v>
      </c>
      <c r="W2840" s="168">
        <f t="shared" si="6"/>
        <v>0</v>
      </c>
      <c r="X2840" s="168">
        <f t="shared" si="7"/>
        <v>0</v>
      </c>
      <c r="Y2840" s="168">
        <f t="shared" si="8"/>
        <v>0</v>
      </c>
      <c r="Z2840" s="168">
        <f t="shared" si="9"/>
        <v>0</v>
      </c>
    </row>
    <row r="2841" ht="15.0" customHeight="1">
      <c r="A2841" s="157" t="s">
        <v>3292</v>
      </c>
      <c r="B2841" s="158" t="s">
        <v>27</v>
      </c>
      <c r="C2841" s="158" t="s">
        <v>3279</v>
      </c>
      <c r="D2841" s="159">
        <v>44522.0</v>
      </c>
      <c r="E2841" s="157" t="s">
        <v>731</v>
      </c>
      <c r="F2841" s="160">
        <v>204078.32</v>
      </c>
      <c r="G2841" s="160">
        <v>32652.53</v>
      </c>
      <c r="H2841" s="160">
        <f t="shared" si="66"/>
        <v>236730.85</v>
      </c>
      <c r="I2841" s="160"/>
      <c r="J2841" s="161"/>
      <c r="K2841" s="160"/>
      <c r="L2841" s="160">
        <f>+'FACP$'!$H2841-'FACP$'!$I2841-'FACP$'!$K2841</f>
        <v>236730.85</v>
      </c>
      <c r="M2841" s="162" t="s">
        <v>151</v>
      </c>
      <c r="N2841" s="162" t="s">
        <v>554</v>
      </c>
      <c r="O2841" s="164">
        <v>44545.0</v>
      </c>
      <c r="P2841" s="164">
        <f t="array" ref="P2841">XLOOKUP('FACP$'!$B2841,'perfil de pagos'!A:A,'perfil de pagos'!B:B)+'FACP$'!$D2841</f>
        <v>44552</v>
      </c>
      <c r="Q2841" s="165">
        <f t="shared" si="2"/>
        <v>0</v>
      </c>
      <c r="R2841" s="167" t="s">
        <v>3293</v>
      </c>
      <c r="S2841" s="167"/>
      <c r="T2841" s="168">
        <f t="shared" si="3"/>
        <v>236730.85</v>
      </c>
      <c r="U2841" s="168">
        <f t="shared" si="4"/>
        <v>0</v>
      </c>
      <c r="V2841" s="168">
        <f t="shared" si="5"/>
        <v>0</v>
      </c>
      <c r="W2841" s="168">
        <f t="shared" si="6"/>
        <v>0</v>
      </c>
      <c r="X2841" s="168">
        <f t="shared" si="7"/>
        <v>0</v>
      </c>
      <c r="Y2841" s="168">
        <f t="shared" si="8"/>
        <v>0</v>
      </c>
      <c r="Z2841" s="168">
        <f t="shared" si="9"/>
        <v>0</v>
      </c>
    </row>
    <row r="2842" ht="15.0" customHeight="1">
      <c r="A2842" s="157" t="s">
        <v>3294</v>
      </c>
      <c r="B2842" s="158" t="s">
        <v>31</v>
      </c>
      <c r="C2842" s="158" t="s">
        <v>3295</v>
      </c>
      <c r="D2842" s="159">
        <v>44524.0</v>
      </c>
      <c r="E2842" s="157" t="s">
        <v>731</v>
      </c>
      <c r="F2842" s="160">
        <v>309885.36</v>
      </c>
      <c r="G2842" s="160">
        <v>49581.66</v>
      </c>
      <c r="H2842" s="160">
        <f t="shared" si="66"/>
        <v>359467.02</v>
      </c>
      <c r="I2842" s="252"/>
      <c r="J2842" s="253"/>
      <c r="K2842" s="252"/>
      <c r="L2842" s="160">
        <f>+'FACP$'!$H2842-'FACP$'!$I2842-'FACP$'!$K2842</f>
        <v>359467.02</v>
      </c>
      <c r="M2842" s="162" t="s">
        <v>3183</v>
      </c>
      <c r="N2842" s="162" t="s">
        <v>554</v>
      </c>
      <c r="O2842" s="164">
        <v>44553.0</v>
      </c>
      <c r="P2842" s="164">
        <f t="array" ref="P2842">XLOOKUP('FACP$'!$B2842,'perfil de pagos'!A:A,'perfil de pagos'!B:B)+'FACP$'!$D2842</f>
        <v>44527</v>
      </c>
      <c r="Q2842" s="165">
        <f t="shared" si="2"/>
        <v>0</v>
      </c>
      <c r="R2842" s="167"/>
      <c r="S2842" s="167"/>
      <c r="T2842" s="168">
        <f t="shared" si="3"/>
        <v>359467.02</v>
      </c>
      <c r="U2842" s="168">
        <f t="shared" si="4"/>
        <v>0</v>
      </c>
      <c r="V2842" s="168">
        <f t="shared" si="5"/>
        <v>0</v>
      </c>
      <c r="W2842" s="168">
        <f t="shared" si="6"/>
        <v>0</v>
      </c>
      <c r="X2842" s="168">
        <f t="shared" si="7"/>
        <v>0</v>
      </c>
      <c r="Y2842" s="168">
        <f t="shared" si="8"/>
        <v>0</v>
      </c>
      <c r="Z2842" s="168">
        <f t="shared" si="9"/>
        <v>0</v>
      </c>
    </row>
    <row r="2843" ht="15.0" customHeight="1">
      <c r="A2843" s="157" t="s">
        <v>3296</v>
      </c>
      <c r="B2843" s="158" t="s">
        <v>27</v>
      </c>
      <c r="C2843" s="254" t="s">
        <v>3297</v>
      </c>
      <c r="D2843" s="159">
        <v>44560.0</v>
      </c>
      <c r="E2843" s="157" t="s">
        <v>731</v>
      </c>
      <c r="F2843" s="160">
        <v>337816.5</v>
      </c>
      <c r="G2843" s="160">
        <v>54050.64</v>
      </c>
      <c r="H2843" s="160">
        <f t="shared" si="66"/>
        <v>391867.14</v>
      </c>
      <c r="I2843" s="160"/>
      <c r="J2843" s="161"/>
      <c r="K2843" s="160"/>
      <c r="L2843" s="160">
        <f>+'FACP$'!$H2843-'FACP$'!$I2843-'FACP$'!$K2843</f>
        <v>391867.14</v>
      </c>
      <c r="M2843" s="162" t="s">
        <v>151</v>
      </c>
      <c r="N2843" s="162" t="s">
        <v>554</v>
      </c>
      <c r="O2843" s="164">
        <v>44572.0</v>
      </c>
      <c r="P2843" s="164">
        <f t="array" ref="P2843">XLOOKUP('FACP$'!$B2843,'perfil de pagos'!A:A,'perfil de pagos'!B:B)+'FACP$'!$D2843</f>
        <v>44590</v>
      </c>
      <c r="Q2843" s="165">
        <f t="shared" si="2"/>
        <v>0</v>
      </c>
      <c r="R2843" s="167"/>
      <c r="S2843" s="167"/>
      <c r="T2843" s="168">
        <f t="shared" si="3"/>
        <v>391867.14</v>
      </c>
      <c r="U2843" s="168">
        <f t="shared" si="4"/>
        <v>0</v>
      </c>
      <c r="V2843" s="168">
        <f t="shared" si="5"/>
        <v>0</v>
      </c>
      <c r="W2843" s="168">
        <f t="shared" si="6"/>
        <v>0</v>
      </c>
      <c r="X2843" s="168">
        <f t="shared" si="7"/>
        <v>0</v>
      </c>
      <c r="Y2843" s="168">
        <f t="shared" si="8"/>
        <v>0</v>
      </c>
      <c r="Z2843" s="168">
        <f t="shared" si="9"/>
        <v>0</v>
      </c>
    </row>
    <row r="2844" ht="15.0" customHeight="1">
      <c r="A2844" s="157" t="s">
        <v>3298</v>
      </c>
      <c r="B2844" s="158" t="s">
        <v>27</v>
      </c>
      <c r="C2844" s="158" t="s">
        <v>3299</v>
      </c>
      <c r="D2844" s="159">
        <v>44560.0</v>
      </c>
      <c r="E2844" s="157" t="s">
        <v>731</v>
      </c>
      <c r="F2844" s="160">
        <v>159389.92</v>
      </c>
      <c r="G2844" s="160">
        <v>25502.39</v>
      </c>
      <c r="H2844" s="160">
        <f t="shared" si="66"/>
        <v>184892.31</v>
      </c>
      <c r="I2844" s="160"/>
      <c r="J2844" s="161"/>
      <c r="K2844" s="160"/>
      <c r="L2844" s="160">
        <f>+'FACP$'!$H2844-'FACP$'!$I2844-'FACP$'!$K2844</f>
        <v>184892.31</v>
      </c>
      <c r="M2844" s="162" t="s">
        <v>151</v>
      </c>
      <c r="N2844" s="162" t="s">
        <v>554</v>
      </c>
      <c r="O2844" s="164">
        <v>44574.0</v>
      </c>
      <c r="P2844" s="164">
        <f t="array" ref="P2844">XLOOKUP('FACP$'!$B2844,'perfil de pagos'!A:A,'perfil de pagos'!B:B)+'FACP$'!$D2844</f>
        <v>44590</v>
      </c>
      <c r="Q2844" s="165">
        <f t="shared" si="2"/>
        <v>0</v>
      </c>
      <c r="R2844" s="167"/>
      <c r="S2844" s="167">
        <v>1222.0</v>
      </c>
      <c r="T2844" s="168">
        <f t="shared" si="3"/>
        <v>184892.31</v>
      </c>
      <c r="U2844" s="168">
        <f t="shared" si="4"/>
        <v>0</v>
      </c>
      <c r="V2844" s="168">
        <f t="shared" si="5"/>
        <v>0</v>
      </c>
      <c r="W2844" s="168">
        <f t="shared" si="6"/>
        <v>0</v>
      </c>
      <c r="X2844" s="168">
        <f t="shared" si="7"/>
        <v>0</v>
      </c>
      <c r="Y2844" s="168">
        <f t="shared" si="8"/>
        <v>0</v>
      </c>
      <c r="Z2844" s="168">
        <f t="shared" si="9"/>
        <v>0</v>
      </c>
    </row>
    <row r="2845" ht="15.0" customHeight="1">
      <c r="A2845" s="157" t="s">
        <v>3300</v>
      </c>
      <c r="B2845" s="158" t="s">
        <v>27</v>
      </c>
      <c r="C2845" s="254" t="s">
        <v>3301</v>
      </c>
      <c r="D2845" s="159">
        <v>44560.0</v>
      </c>
      <c r="E2845" s="157" t="s">
        <v>731</v>
      </c>
      <c r="F2845" s="160">
        <v>26619.34</v>
      </c>
      <c r="G2845" s="160">
        <v>4259.09</v>
      </c>
      <c r="H2845" s="160">
        <f t="shared" si="66"/>
        <v>30878.43</v>
      </c>
      <c r="I2845" s="160"/>
      <c r="J2845" s="161"/>
      <c r="K2845" s="160"/>
      <c r="L2845" s="160">
        <f>+'FACP$'!$H2845-'FACP$'!$I2845-'FACP$'!$K2845</f>
        <v>30878.43</v>
      </c>
      <c r="M2845" s="162" t="s">
        <v>151</v>
      </c>
      <c r="N2845" s="162" t="s">
        <v>554</v>
      </c>
      <c r="O2845" s="164">
        <v>44587.0</v>
      </c>
      <c r="P2845" s="164">
        <f t="array" ref="P2845">XLOOKUP('FACP$'!$B2845,'perfil de pagos'!A:A,'perfil de pagos'!B:B)+'FACP$'!$D2845</f>
        <v>44590</v>
      </c>
      <c r="Q2845" s="165">
        <f t="shared" si="2"/>
        <v>0</v>
      </c>
      <c r="R2845" s="167"/>
      <c r="S2845" s="167"/>
      <c r="T2845" s="168">
        <f t="shared" si="3"/>
        <v>30878.43</v>
      </c>
      <c r="U2845" s="168">
        <f t="shared" si="4"/>
        <v>0</v>
      </c>
      <c r="V2845" s="168">
        <f t="shared" si="5"/>
        <v>0</v>
      </c>
      <c r="W2845" s="168">
        <f t="shared" si="6"/>
        <v>0</v>
      </c>
      <c r="X2845" s="168">
        <f t="shared" si="7"/>
        <v>0</v>
      </c>
      <c r="Y2845" s="168">
        <f t="shared" si="8"/>
        <v>0</v>
      </c>
      <c r="Z2845" s="168">
        <f t="shared" si="9"/>
        <v>0</v>
      </c>
    </row>
    <row r="2846" ht="15.0" customHeight="1">
      <c r="A2846" s="157" t="s">
        <v>3302</v>
      </c>
      <c r="B2846" s="158" t="s">
        <v>27</v>
      </c>
      <c r="C2846" s="158" t="s">
        <v>3303</v>
      </c>
      <c r="D2846" s="159">
        <v>44560.0</v>
      </c>
      <c r="E2846" s="157" t="s">
        <v>731</v>
      </c>
      <c r="F2846" s="160">
        <v>12559.64</v>
      </c>
      <c r="G2846" s="160">
        <v>2009.54</v>
      </c>
      <c r="H2846" s="160">
        <f t="shared" si="66"/>
        <v>14569.18</v>
      </c>
      <c r="I2846" s="160"/>
      <c r="J2846" s="161"/>
      <c r="K2846" s="160"/>
      <c r="L2846" s="160">
        <f>+'FACP$'!$H2846-'FACP$'!$I2846-'FACP$'!$K2846</f>
        <v>14569.18</v>
      </c>
      <c r="M2846" s="162" t="s">
        <v>151</v>
      </c>
      <c r="N2846" s="162" t="s">
        <v>554</v>
      </c>
      <c r="O2846" s="164">
        <v>44587.0</v>
      </c>
      <c r="P2846" s="164">
        <f t="array" ref="P2846">XLOOKUP('FACP$'!$B2846,'perfil de pagos'!A:A,'perfil de pagos'!B:B)+'FACP$'!$D2846</f>
        <v>44590</v>
      </c>
      <c r="Q2846" s="165">
        <f t="shared" si="2"/>
        <v>0</v>
      </c>
      <c r="R2846" s="167"/>
      <c r="S2846" s="167"/>
      <c r="T2846" s="168">
        <f t="shared" si="3"/>
        <v>14569.18</v>
      </c>
      <c r="U2846" s="168">
        <f t="shared" si="4"/>
        <v>0</v>
      </c>
      <c r="V2846" s="168">
        <f t="shared" si="5"/>
        <v>0</v>
      </c>
      <c r="W2846" s="168">
        <f t="shared" si="6"/>
        <v>0</v>
      </c>
      <c r="X2846" s="168">
        <f t="shared" si="7"/>
        <v>0</v>
      </c>
      <c r="Y2846" s="168">
        <f t="shared" si="8"/>
        <v>0</v>
      </c>
      <c r="Z2846" s="168">
        <f t="shared" si="9"/>
        <v>0</v>
      </c>
    </row>
    <row r="2847" ht="15.0" customHeight="1">
      <c r="A2847" s="157" t="s">
        <v>3304</v>
      </c>
      <c r="B2847" s="158" t="s">
        <v>27</v>
      </c>
      <c r="C2847" s="254" t="s">
        <v>3297</v>
      </c>
      <c r="D2847" s="159">
        <v>44560.0</v>
      </c>
      <c r="E2847" s="157" t="s">
        <v>731</v>
      </c>
      <c r="F2847" s="160">
        <v>344950.11</v>
      </c>
      <c r="G2847" s="160">
        <v>55192.02</v>
      </c>
      <c r="H2847" s="160">
        <f t="shared" si="66"/>
        <v>400142.13</v>
      </c>
      <c r="I2847" s="160"/>
      <c r="J2847" s="161"/>
      <c r="K2847" s="160"/>
      <c r="L2847" s="160">
        <f>+'FACP$'!$H2847-'FACP$'!$I2847-'FACP$'!$K2847</f>
        <v>400142.13</v>
      </c>
      <c r="M2847" s="162" t="s">
        <v>158</v>
      </c>
      <c r="N2847" s="162" t="s">
        <v>554</v>
      </c>
      <c r="O2847" s="164">
        <v>44594.0</v>
      </c>
      <c r="P2847" s="164">
        <f t="array" ref="P2847">XLOOKUP('FACP$'!$B2847,'perfil de pagos'!A:A,'perfil de pagos'!B:B)+'FACP$'!$D2847</f>
        <v>44590</v>
      </c>
      <c r="Q2847" s="165">
        <f t="shared" si="2"/>
        <v>0</v>
      </c>
      <c r="R2847" s="167"/>
      <c r="S2847" s="167">
        <v>1279.0</v>
      </c>
      <c r="T2847" s="168">
        <f t="shared" si="3"/>
        <v>400142.13</v>
      </c>
      <c r="U2847" s="168">
        <f t="shared" si="4"/>
        <v>0</v>
      </c>
      <c r="V2847" s="168">
        <f t="shared" si="5"/>
        <v>0</v>
      </c>
      <c r="W2847" s="168">
        <f t="shared" si="6"/>
        <v>0</v>
      </c>
      <c r="X2847" s="168">
        <f t="shared" si="7"/>
        <v>0</v>
      </c>
      <c r="Y2847" s="168">
        <f t="shared" si="8"/>
        <v>0</v>
      </c>
      <c r="Z2847" s="168">
        <f t="shared" si="9"/>
        <v>0</v>
      </c>
    </row>
    <row r="2848" ht="15.0" customHeight="1">
      <c r="A2848" s="157" t="s">
        <v>3305</v>
      </c>
      <c r="B2848" s="158" t="s">
        <v>27</v>
      </c>
      <c r="C2848" s="158" t="s">
        <v>3299</v>
      </c>
      <c r="D2848" s="159">
        <v>44560.0</v>
      </c>
      <c r="E2848" s="157" t="s">
        <v>731</v>
      </c>
      <c r="F2848" s="160">
        <v>166011.71</v>
      </c>
      <c r="G2848" s="160">
        <v>26561.87</v>
      </c>
      <c r="H2848" s="160">
        <f t="shared" si="66"/>
        <v>192573.58</v>
      </c>
      <c r="I2848" s="160"/>
      <c r="J2848" s="161"/>
      <c r="K2848" s="160"/>
      <c r="L2848" s="160">
        <f>+'FACP$'!$H2848-'FACP$'!$I2848-'FACP$'!$K2848</f>
        <v>192573.58</v>
      </c>
      <c r="M2848" s="162" t="s">
        <v>158</v>
      </c>
      <c r="N2848" s="162" t="s">
        <v>554</v>
      </c>
      <c r="O2848" s="164">
        <v>44594.0</v>
      </c>
      <c r="P2848" s="164">
        <f t="array" ref="P2848">XLOOKUP('FACP$'!$B2848,'perfil de pagos'!A:A,'perfil de pagos'!B:B)+'FACP$'!$D2848</f>
        <v>44590</v>
      </c>
      <c r="Q2848" s="165">
        <f t="shared" si="2"/>
        <v>0</v>
      </c>
      <c r="R2848" s="167"/>
      <c r="S2848" s="167">
        <v>1279.0</v>
      </c>
      <c r="T2848" s="168">
        <f t="shared" si="3"/>
        <v>192573.58</v>
      </c>
      <c r="U2848" s="168">
        <f t="shared" si="4"/>
        <v>0</v>
      </c>
      <c r="V2848" s="168">
        <f t="shared" si="5"/>
        <v>0</v>
      </c>
      <c r="W2848" s="168">
        <f t="shared" si="6"/>
        <v>0</v>
      </c>
      <c r="X2848" s="168">
        <f t="shared" si="7"/>
        <v>0</v>
      </c>
      <c r="Y2848" s="168">
        <f t="shared" si="8"/>
        <v>0</v>
      </c>
      <c r="Z2848" s="168">
        <f t="shared" si="9"/>
        <v>0</v>
      </c>
    </row>
    <row r="2849" ht="15.0" customHeight="1">
      <c r="A2849" s="157" t="s">
        <v>3306</v>
      </c>
      <c r="B2849" s="158" t="s">
        <v>31</v>
      </c>
      <c r="C2849" s="254" t="s">
        <v>3307</v>
      </c>
      <c r="D2849" s="159">
        <v>44532.0</v>
      </c>
      <c r="E2849" s="157" t="s">
        <v>731</v>
      </c>
      <c r="F2849" s="160">
        <v>236866.46</v>
      </c>
      <c r="G2849" s="160">
        <v>37898.63</v>
      </c>
      <c r="H2849" s="160">
        <f t="shared" si="66"/>
        <v>274765.09</v>
      </c>
      <c r="I2849" s="252"/>
      <c r="J2849" s="253"/>
      <c r="K2849" s="252"/>
      <c r="L2849" s="160">
        <f>+'FACP$'!$H2849-'FACP$'!$I2849-'FACP$'!$K2849</f>
        <v>274765.09</v>
      </c>
      <c r="M2849" s="162" t="s">
        <v>3183</v>
      </c>
      <c r="N2849" s="162" t="s">
        <v>554</v>
      </c>
      <c r="O2849" s="164">
        <v>44540.0</v>
      </c>
      <c r="P2849" s="164">
        <f t="array" ref="P2849">XLOOKUP('FACP$'!$B2849,'perfil de pagos'!A:A,'perfil de pagos'!B:B)+'FACP$'!$D2849</f>
        <v>44535</v>
      </c>
      <c r="Q2849" s="165">
        <f t="shared" si="2"/>
        <v>0</v>
      </c>
      <c r="R2849" s="167"/>
      <c r="S2849" s="167"/>
      <c r="T2849" s="168">
        <f t="shared" si="3"/>
        <v>274765.09</v>
      </c>
      <c r="U2849" s="168">
        <f t="shared" si="4"/>
        <v>0</v>
      </c>
      <c r="V2849" s="168">
        <f t="shared" si="5"/>
        <v>0</v>
      </c>
      <c r="W2849" s="168">
        <f t="shared" si="6"/>
        <v>0</v>
      </c>
      <c r="X2849" s="168">
        <f t="shared" si="7"/>
        <v>0</v>
      </c>
      <c r="Y2849" s="168">
        <f t="shared" si="8"/>
        <v>0</v>
      </c>
      <c r="Z2849" s="168">
        <f t="shared" si="9"/>
        <v>0</v>
      </c>
    </row>
    <row r="2850" ht="15.0" customHeight="1">
      <c r="A2850" s="157" t="s">
        <v>3308</v>
      </c>
      <c r="B2850" s="158" t="s">
        <v>33</v>
      </c>
      <c r="C2850" s="254" t="s">
        <v>3309</v>
      </c>
      <c r="D2850" s="159">
        <v>44533.0</v>
      </c>
      <c r="E2850" s="157" t="s">
        <v>731</v>
      </c>
      <c r="F2850" s="160">
        <v>1424878.34</v>
      </c>
      <c r="G2850" s="160">
        <v>227980.53</v>
      </c>
      <c r="H2850" s="160">
        <f t="shared" si="66"/>
        <v>1652858.87</v>
      </c>
      <c r="I2850" s="160"/>
      <c r="J2850" s="161"/>
      <c r="K2850" s="160"/>
      <c r="L2850" s="160">
        <f>+'FACP$'!$H2850-'FACP$'!$I2850-'FACP$'!$K2850</f>
        <v>1652858.87</v>
      </c>
      <c r="M2850" s="162" t="s">
        <v>33</v>
      </c>
      <c r="N2850" s="162" t="s">
        <v>554</v>
      </c>
      <c r="O2850" s="164">
        <v>44552.0</v>
      </c>
      <c r="P2850" s="164">
        <f t="array" ref="P2850">XLOOKUP('FACP$'!$B2850,'perfil de pagos'!A:A,'perfil de pagos'!B:B)+'FACP$'!$D2850</f>
        <v>44543</v>
      </c>
      <c r="Q2850" s="165">
        <f t="shared" si="2"/>
        <v>0</v>
      </c>
      <c r="R2850" s="167"/>
      <c r="S2850" s="167"/>
      <c r="T2850" s="168">
        <f t="shared" si="3"/>
        <v>1652858.87</v>
      </c>
      <c r="U2850" s="168">
        <f t="shared" si="4"/>
        <v>0</v>
      </c>
      <c r="V2850" s="168">
        <f t="shared" si="5"/>
        <v>0</v>
      </c>
      <c r="W2850" s="168">
        <f t="shared" si="6"/>
        <v>0</v>
      </c>
      <c r="X2850" s="168">
        <f t="shared" si="7"/>
        <v>0</v>
      </c>
      <c r="Y2850" s="168">
        <f t="shared" si="8"/>
        <v>0</v>
      </c>
      <c r="Z2850" s="168">
        <f t="shared" si="9"/>
        <v>0</v>
      </c>
    </row>
    <row r="2851" ht="15.0" customHeight="1">
      <c r="A2851" s="157" t="s">
        <v>3310</v>
      </c>
      <c r="B2851" s="158" t="s">
        <v>35</v>
      </c>
      <c r="C2851" s="254" t="s">
        <v>3309</v>
      </c>
      <c r="D2851" s="159">
        <v>44533.0</v>
      </c>
      <c r="E2851" s="157" t="s">
        <v>731</v>
      </c>
      <c r="F2851" s="160">
        <v>641564.28</v>
      </c>
      <c r="G2851" s="160">
        <v>102650.28</v>
      </c>
      <c r="H2851" s="160">
        <f t="shared" si="66"/>
        <v>744214.56</v>
      </c>
      <c r="I2851" s="160"/>
      <c r="J2851" s="161"/>
      <c r="K2851" s="160"/>
      <c r="L2851" s="160">
        <f>+'FACP$'!$H2851-'FACP$'!$I2851-'FACP$'!$K2851</f>
        <v>744214.56</v>
      </c>
      <c r="M2851" s="162" t="s">
        <v>276</v>
      </c>
      <c r="N2851" s="162" t="s">
        <v>554</v>
      </c>
      <c r="O2851" s="164">
        <v>44558.0</v>
      </c>
      <c r="P2851" s="164">
        <f t="array" ref="P2851">XLOOKUP('FACP$'!$B2851,'perfil de pagos'!A:A,'perfil de pagos'!B:B)+'FACP$'!$D2851</f>
        <v>44543</v>
      </c>
      <c r="Q2851" s="165">
        <f t="shared" si="2"/>
        <v>0</v>
      </c>
      <c r="R2851" s="167"/>
      <c r="S2851" s="167"/>
      <c r="T2851" s="168">
        <f t="shared" si="3"/>
        <v>744214.56</v>
      </c>
      <c r="U2851" s="168">
        <f t="shared" si="4"/>
        <v>0</v>
      </c>
      <c r="V2851" s="168">
        <f t="shared" si="5"/>
        <v>0</v>
      </c>
      <c r="W2851" s="168">
        <f t="shared" si="6"/>
        <v>0</v>
      </c>
      <c r="X2851" s="168">
        <f t="shared" si="7"/>
        <v>0</v>
      </c>
      <c r="Y2851" s="168">
        <f t="shared" si="8"/>
        <v>0</v>
      </c>
      <c r="Z2851" s="168">
        <f t="shared" si="9"/>
        <v>0</v>
      </c>
    </row>
    <row r="2852" ht="15.0" customHeight="1">
      <c r="A2852" s="157" t="s">
        <v>3311</v>
      </c>
      <c r="B2852" s="158" t="s">
        <v>36</v>
      </c>
      <c r="C2852" s="254" t="s">
        <v>3309</v>
      </c>
      <c r="D2852" s="159">
        <v>44533.0</v>
      </c>
      <c r="E2852" s="157" t="s">
        <v>731</v>
      </c>
      <c r="F2852" s="160">
        <v>86444.58</v>
      </c>
      <c r="G2852" s="160">
        <v>13831.13</v>
      </c>
      <c r="H2852" s="160">
        <f t="shared" si="66"/>
        <v>100275.71</v>
      </c>
      <c r="I2852" s="160"/>
      <c r="J2852" s="161"/>
      <c r="K2852" s="160"/>
      <c r="L2852" s="160">
        <f>+'FACP$'!$H2852-'FACP$'!$I2852-'FACP$'!$K2852</f>
        <v>100275.71</v>
      </c>
      <c r="M2852" s="162" t="s">
        <v>278</v>
      </c>
      <c r="N2852" s="162" t="s">
        <v>554</v>
      </c>
      <c r="O2852" s="164">
        <v>44586.0</v>
      </c>
      <c r="P2852" s="164">
        <f t="array" ref="P2852">XLOOKUP('FACP$'!$B2852,'perfil de pagos'!A:A,'perfil de pagos'!B:B)+'FACP$'!$D2852</f>
        <v>44543</v>
      </c>
      <c r="Q2852" s="165">
        <f t="shared" si="2"/>
        <v>0</v>
      </c>
      <c r="R2852" s="167"/>
      <c r="S2852" s="167">
        <v>1272.0</v>
      </c>
      <c r="T2852" s="168">
        <f t="shared" si="3"/>
        <v>100275.71</v>
      </c>
      <c r="U2852" s="168">
        <f t="shared" si="4"/>
        <v>0</v>
      </c>
      <c r="V2852" s="168">
        <f t="shared" si="5"/>
        <v>0</v>
      </c>
      <c r="W2852" s="168">
        <f t="shared" si="6"/>
        <v>0</v>
      </c>
      <c r="X2852" s="168">
        <f t="shared" si="7"/>
        <v>0</v>
      </c>
      <c r="Y2852" s="168">
        <f t="shared" si="8"/>
        <v>0</v>
      </c>
      <c r="Z2852" s="168">
        <f t="shared" si="9"/>
        <v>0</v>
      </c>
    </row>
    <row r="2853" ht="15.0" customHeight="1">
      <c r="A2853" s="157" t="s">
        <v>3312</v>
      </c>
      <c r="B2853" s="158" t="s">
        <v>43</v>
      </c>
      <c r="C2853" s="254" t="s">
        <v>3309</v>
      </c>
      <c r="D2853" s="159">
        <v>44533.0</v>
      </c>
      <c r="E2853" s="157" t="s">
        <v>731</v>
      </c>
      <c r="F2853" s="160">
        <v>1911689.1</v>
      </c>
      <c r="G2853" s="160">
        <v>305870.26</v>
      </c>
      <c r="H2853" s="160">
        <f t="shared" si="66"/>
        <v>2217559.36</v>
      </c>
      <c r="I2853" s="160"/>
      <c r="J2853" s="161"/>
      <c r="K2853" s="160"/>
      <c r="L2853" s="160">
        <f>+'FACP$'!$H2853-'FACP$'!$I2853-'FACP$'!$K2853</f>
        <v>2217559.36</v>
      </c>
      <c r="M2853" s="162" t="s">
        <v>43</v>
      </c>
      <c r="N2853" s="162" t="s">
        <v>554</v>
      </c>
      <c r="O2853" s="164">
        <v>44578.0</v>
      </c>
      <c r="P2853" s="164">
        <f t="array" ref="P2853">XLOOKUP('FACP$'!$B2853,'perfil de pagos'!A:A,'perfil de pagos'!B:B)+'FACP$'!$D2853</f>
        <v>44558</v>
      </c>
      <c r="Q2853" s="165">
        <f t="shared" si="2"/>
        <v>0</v>
      </c>
      <c r="R2853" s="167"/>
      <c r="S2853" s="167"/>
      <c r="T2853" s="168">
        <f t="shared" si="3"/>
        <v>2217559.36</v>
      </c>
      <c r="U2853" s="168">
        <f t="shared" si="4"/>
        <v>0</v>
      </c>
      <c r="V2853" s="168">
        <f t="shared" si="5"/>
        <v>0</v>
      </c>
      <c r="W2853" s="168">
        <f t="shared" si="6"/>
        <v>0</v>
      </c>
      <c r="X2853" s="168">
        <f t="shared" si="7"/>
        <v>0</v>
      </c>
      <c r="Y2853" s="168">
        <f t="shared" si="8"/>
        <v>0</v>
      </c>
      <c r="Z2853" s="168">
        <f t="shared" si="9"/>
        <v>0</v>
      </c>
    </row>
    <row r="2854" ht="15.0" customHeight="1">
      <c r="A2854" s="157" t="s">
        <v>3313</v>
      </c>
      <c r="B2854" s="158" t="s">
        <v>41</v>
      </c>
      <c r="C2854" s="254" t="s">
        <v>3309</v>
      </c>
      <c r="D2854" s="159">
        <v>44533.0</v>
      </c>
      <c r="E2854" s="157" t="s">
        <v>731</v>
      </c>
      <c r="F2854" s="160">
        <v>1479029.02</v>
      </c>
      <c r="G2854" s="160">
        <v>236644.64</v>
      </c>
      <c r="H2854" s="160">
        <f t="shared" si="66"/>
        <v>1715673.66</v>
      </c>
      <c r="I2854" s="160"/>
      <c r="J2854" s="161"/>
      <c r="K2854" s="160"/>
      <c r="L2854" s="160">
        <f>+'FACP$'!$H2854-'FACP$'!$I2854-'FACP$'!$K2854</f>
        <v>1715673.66</v>
      </c>
      <c r="M2854" s="162" t="s">
        <v>121</v>
      </c>
      <c r="N2854" s="162" t="s">
        <v>554</v>
      </c>
      <c r="O2854" s="164">
        <v>44596.0</v>
      </c>
      <c r="P2854" s="164">
        <f t="array" ref="P2854">XLOOKUP('FACP$'!$B2854,'perfil de pagos'!A:A,'perfil de pagos'!B:B)+'FACP$'!$D2854</f>
        <v>44543</v>
      </c>
      <c r="Q2854" s="165">
        <f t="shared" si="2"/>
        <v>0</v>
      </c>
      <c r="R2854" s="167"/>
      <c r="S2854" s="167"/>
      <c r="T2854" s="168">
        <f t="shared" si="3"/>
        <v>1715673.66</v>
      </c>
      <c r="U2854" s="168">
        <f t="shared" si="4"/>
        <v>0</v>
      </c>
      <c r="V2854" s="168">
        <f t="shared" si="5"/>
        <v>0</v>
      </c>
      <c r="W2854" s="168">
        <f t="shared" si="6"/>
        <v>0</v>
      </c>
      <c r="X2854" s="168">
        <f t="shared" si="7"/>
        <v>0</v>
      </c>
      <c r="Y2854" s="168">
        <f t="shared" si="8"/>
        <v>0</v>
      </c>
      <c r="Z2854" s="168">
        <f t="shared" si="9"/>
        <v>0</v>
      </c>
    </row>
    <row r="2855" ht="15.0" customHeight="1">
      <c r="A2855" s="157" t="s">
        <v>3314</v>
      </c>
      <c r="B2855" s="158" t="s">
        <v>16</v>
      </c>
      <c r="C2855" s="254" t="s">
        <v>3309</v>
      </c>
      <c r="D2855" s="159">
        <v>44533.0</v>
      </c>
      <c r="E2855" s="157" t="s">
        <v>731</v>
      </c>
      <c r="F2855" s="160">
        <v>498891.52</v>
      </c>
      <c r="G2855" s="160">
        <v>79822.64</v>
      </c>
      <c r="H2855" s="160">
        <f t="shared" si="66"/>
        <v>578714.16</v>
      </c>
      <c r="I2855" s="160"/>
      <c r="J2855" s="161"/>
      <c r="K2855" s="160"/>
      <c r="L2855" s="160">
        <f>+'FACP$'!$H2855-'FACP$'!$I2855-'FACP$'!$K2855</f>
        <v>578714.16</v>
      </c>
      <c r="M2855" s="162" t="s">
        <v>985</v>
      </c>
      <c r="N2855" s="162" t="s">
        <v>554</v>
      </c>
      <c r="O2855" s="164">
        <v>44550.0</v>
      </c>
      <c r="P2855" s="164">
        <f t="array" ref="P2855">XLOOKUP('FACP$'!$B2855,'perfil de pagos'!A:A,'perfil de pagos'!B:B)+'FACP$'!$D2855</f>
        <v>44543</v>
      </c>
      <c r="Q2855" s="165">
        <f t="shared" si="2"/>
        <v>0</v>
      </c>
      <c r="R2855" s="167"/>
      <c r="S2855" s="167"/>
      <c r="T2855" s="168">
        <f t="shared" si="3"/>
        <v>578714.16</v>
      </c>
      <c r="U2855" s="168">
        <f t="shared" si="4"/>
        <v>0</v>
      </c>
      <c r="V2855" s="168">
        <f t="shared" si="5"/>
        <v>0</v>
      </c>
      <c r="W2855" s="168">
        <f t="shared" si="6"/>
        <v>0</v>
      </c>
      <c r="X2855" s="168">
        <f t="shared" si="7"/>
        <v>0</v>
      </c>
      <c r="Y2855" s="168">
        <f t="shared" si="8"/>
        <v>0</v>
      </c>
      <c r="Z2855" s="168">
        <f t="shared" si="9"/>
        <v>0</v>
      </c>
    </row>
    <row r="2856" ht="15.0" customHeight="1">
      <c r="A2856" s="157" t="s">
        <v>3315</v>
      </c>
      <c r="B2856" s="158" t="s">
        <v>16</v>
      </c>
      <c r="C2856" s="158" t="s">
        <v>3316</v>
      </c>
      <c r="D2856" s="159">
        <v>44533.0</v>
      </c>
      <c r="E2856" s="157" t="s">
        <v>731</v>
      </c>
      <c r="F2856" s="160">
        <v>403750.25</v>
      </c>
      <c r="G2856" s="160">
        <v>64600.04</v>
      </c>
      <c r="H2856" s="160">
        <f t="shared" si="66"/>
        <v>468350.29</v>
      </c>
      <c r="I2856" s="160"/>
      <c r="J2856" s="161"/>
      <c r="K2856" s="160"/>
      <c r="L2856" s="160">
        <f>+'FACP$'!$H2856-'FACP$'!$I2856-'FACP$'!$K2856</f>
        <v>468350.29</v>
      </c>
      <c r="M2856" s="162" t="s">
        <v>985</v>
      </c>
      <c r="N2856" s="162" t="s">
        <v>554</v>
      </c>
      <c r="O2856" s="164">
        <v>44550.0</v>
      </c>
      <c r="P2856" s="164">
        <f t="array" ref="P2856">XLOOKUP('FACP$'!$B2856,'perfil de pagos'!A:A,'perfil de pagos'!B:B)+'FACP$'!$D2856</f>
        <v>44543</v>
      </c>
      <c r="Q2856" s="165">
        <f t="shared" si="2"/>
        <v>0</v>
      </c>
      <c r="R2856" s="167"/>
      <c r="S2856" s="167"/>
      <c r="T2856" s="168">
        <f t="shared" si="3"/>
        <v>468350.29</v>
      </c>
      <c r="U2856" s="168">
        <f t="shared" si="4"/>
        <v>0</v>
      </c>
      <c r="V2856" s="168">
        <f t="shared" si="5"/>
        <v>0</v>
      </c>
      <c r="W2856" s="168">
        <f t="shared" si="6"/>
        <v>0</v>
      </c>
      <c r="X2856" s="168">
        <f t="shared" si="7"/>
        <v>0</v>
      </c>
      <c r="Y2856" s="168">
        <f t="shared" si="8"/>
        <v>0</v>
      </c>
      <c r="Z2856" s="168">
        <f t="shared" si="9"/>
        <v>0</v>
      </c>
    </row>
    <row r="2857" ht="15.0" customHeight="1">
      <c r="A2857" s="157" t="s">
        <v>3317</v>
      </c>
      <c r="B2857" s="158" t="s">
        <v>18</v>
      </c>
      <c r="C2857" s="254" t="s">
        <v>3309</v>
      </c>
      <c r="D2857" s="159">
        <v>44533.0</v>
      </c>
      <c r="E2857" s="157" t="s">
        <v>731</v>
      </c>
      <c r="F2857" s="160">
        <v>242672.56</v>
      </c>
      <c r="G2857" s="160">
        <v>38827.61</v>
      </c>
      <c r="H2857" s="160">
        <f t="shared" si="66"/>
        <v>281500.17</v>
      </c>
      <c r="I2857" s="160"/>
      <c r="J2857" s="161"/>
      <c r="K2857" s="160"/>
      <c r="L2857" s="160">
        <f>+'FACP$'!$H2857-'FACP$'!$I2857-'FACP$'!$K2857</f>
        <v>281500.17</v>
      </c>
      <c r="M2857" s="162" t="s">
        <v>586</v>
      </c>
      <c r="N2857" s="162" t="s">
        <v>554</v>
      </c>
      <c r="O2857" s="164">
        <v>44539.0</v>
      </c>
      <c r="P2857" s="164">
        <f t="array" ref="P2857">XLOOKUP('FACP$'!$B2857,'perfil de pagos'!A:A,'perfil de pagos'!B:B)+'FACP$'!$D2857</f>
        <v>44543</v>
      </c>
      <c r="Q2857" s="165">
        <f t="shared" si="2"/>
        <v>0</v>
      </c>
      <c r="R2857" s="167"/>
      <c r="S2857" s="167"/>
      <c r="T2857" s="168">
        <f t="shared" si="3"/>
        <v>281500.17</v>
      </c>
      <c r="U2857" s="168">
        <f t="shared" si="4"/>
        <v>0</v>
      </c>
      <c r="V2857" s="168">
        <f t="shared" si="5"/>
        <v>0</v>
      </c>
      <c r="W2857" s="168">
        <f t="shared" si="6"/>
        <v>0</v>
      </c>
      <c r="X2857" s="168">
        <f t="shared" si="7"/>
        <v>0</v>
      </c>
      <c r="Y2857" s="168">
        <f t="shared" si="8"/>
        <v>0</v>
      </c>
      <c r="Z2857" s="168">
        <f t="shared" si="9"/>
        <v>0</v>
      </c>
    </row>
    <row r="2858" ht="15.0" customHeight="1">
      <c r="A2858" s="157" t="s">
        <v>3318</v>
      </c>
      <c r="B2858" s="158" t="s">
        <v>19</v>
      </c>
      <c r="C2858" s="254" t="s">
        <v>3309</v>
      </c>
      <c r="D2858" s="159">
        <v>44533.0</v>
      </c>
      <c r="E2858" s="157" t="s">
        <v>731</v>
      </c>
      <c r="F2858" s="160">
        <v>270989.4</v>
      </c>
      <c r="G2858" s="160">
        <v>43358.3</v>
      </c>
      <c r="H2858" s="160">
        <f t="shared" si="66"/>
        <v>314347.7</v>
      </c>
      <c r="I2858" s="160"/>
      <c r="J2858" s="161"/>
      <c r="K2858" s="160"/>
      <c r="L2858" s="160">
        <f>+'FACP$'!$H2858-'FACP$'!$I2858-'FACP$'!$K2858</f>
        <v>314347.7</v>
      </c>
      <c r="M2858" s="162" t="s">
        <v>732</v>
      </c>
      <c r="N2858" s="162" t="s">
        <v>554</v>
      </c>
      <c r="O2858" s="164">
        <v>44539.0</v>
      </c>
      <c r="P2858" s="164">
        <f t="array" ref="P2858">XLOOKUP('FACP$'!$B2858,'perfil de pagos'!A:A,'perfil de pagos'!B:B)+'FACP$'!$D2858</f>
        <v>44543</v>
      </c>
      <c r="Q2858" s="165">
        <f t="shared" si="2"/>
        <v>0</v>
      </c>
      <c r="R2858" s="167"/>
      <c r="S2858" s="167"/>
      <c r="T2858" s="168">
        <f t="shared" si="3"/>
        <v>314347.7</v>
      </c>
      <c r="U2858" s="168">
        <f t="shared" si="4"/>
        <v>0</v>
      </c>
      <c r="V2858" s="168">
        <f t="shared" si="5"/>
        <v>0</v>
      </c>
      <c r="W2858" s="168">
        <f t="shared" si="6"/>
        <v>0</v>
      </c>
      <c r="X2858" s="168">
        <f t="shared" si="7"/>
        <v>0</v>
      </c>
      <c r="Y2858" s="168">
        <f t="shared" si="8"/>
        <v>0</v>
      </c>
      <c r="Z2858" s="168">
        <f t="shared" si="9"/>
        <v>0</v>
      </c>
    </row>
    <row r="2859" ht="15.0" customHeight="1">
      <c r="A2859" s="157" t="s">
        <v>3319</v>
      </c>
      <c r="B2859" s="158" t="s">
        <v>29</v>
      </c>
      <c r="C2859" s="254" t="s">
        <v>3309</v>
      </c>
      <c r="D2859" s="159">
        <v>44533.0</v>
      </c>
      <c r="E2859" s="157" t="s">
        <v>731</v>
      </c>
      <c r="F2859" s="160">
        <v>423171.84</v>
      </c>
      <c r="G2859" s="160">
        <v>67707.49</v>
      </c>
      <c r="H2859" s="160">
        <f>F2859+G2859-52932.06</f>
        <v>437947.27</v>
      </c>
      <c r="I2859" s="160"/>
      <c r="J2859" s="161"/>
      <c r="K2859" s="160"/>
      <c r="L2859" s="160">
        <f>+'FACP$'!$H2859-'FACP$'!$I2859-'FACP$'!$K2859</f>
        <v>437947.27</v>
      </c>
      <c r="M2859" s="162" t="s">
        <v>130</v>
      </c>
      <c r="N2859" s="162" t="s">
        <v>554</v>
      </c>
      <c r="O2859" s="245">
        <v>44546.0</v>
      </c>
      <c r="P2859" s="164">
        <f t="array" ref="P2859">XLOOKUP('FACP$'!$B2859,'perfil de pagos'!A:A,'perfil de pagos'!B:B)+'FACP$'!$D2859</f>
        <v>44543</v>
      </c>
      <c r="Q2859" s="165">
        <f t="shared" si="2"/>
        <v>0</v>
      </c>
      <c r="R2859" s="167" t="s">
        <v>3320</v>
      </c>
      <c r="S2859" s="167"/>
      <c r="T2859" s="168">
        <f t="shared" si="3"/>
        <v>437947.27</v>
      </c>
      <c r="U2859" s="168">
        <f t="shared" si="4"/>
        <v>0</v>
      </c>
      <c r="V2859" s="168">
        <f t="shared" si="5"/>
        <v>0</v>
      </c>
      <c r="W2859" s="168">
        <f t="shared" si="6"/>
        <v>0</v>
      </c>
      <c r="X2859" s="168">
        <f t="shared" si="7"/>
        <v>0</v>
      </c>
      <c r="Y2859" s="168">
        <f t="shared" si="8"/>
        <v>0</v>
      </c>
      <c r="Z2859" s="168">
        <f t="shared" si="9"/>
        <v>0</v>
      </c>
    </row>
    <row r="2860" ht="15.0" customHeight="1">
      <c r="A2860" s="157" t="s">
        <v>3321</v>
      </c>
      <c r="B2860" s="158" t="s">
        <v>29</v>
      </c>
      <c r="C2860" s="158" t="s">
        <v>3322</v>
      </c>
      <c r="D2860" s="159">
        <v>44533.0</v>
      </c>
      <c r="E2860" s="157" t="s">
        <v>731</v>
      </c>
      <c r="F2860" s="160">
        <v>370753.87</v>
      </c>
      <c r="G2860" s="160">
        <v>67707.49</v>
      </c>
      <c r="H2860" s="160">
        <f>F2860+G2860-30256.25</f>
        <v>408205.11</v>
      </c>
      <c r="I2860" s="160"/>
      <c r="J2860" s="161"/>
      <c r="K2860" s="160"/>
      <c r="L2860" s="160">
        <f>+'FACP$'!$H2860-'FACP$'!$I2860-'FACP$'!$K2860</f>
        <v>408205.11</v>
      </c>
      <c r="M2860" s="162" t="s">
        <v>130</v>
      </c>
      <c r="N2860" s="162" t="s">
        <v>554</v>
      </c>
      <c r="O2860" s="164">
        <v>44546.0</v>
      </c>
      <c r="P2860" s="164">
        <f t="array" ref="P2860">XLOOKUP('FACP$'!$B2860,'perfil de pagos'!A:A,'perfil de pagos'!B:B)+'FACP$'!$D2860</f>
        <v>44543</v>
      </c>
      <c r="Q2860" s="165">
        <f t="shared" si="2"/>
        <v>0</v>
      </c>
      <c r="R2860" s="167" t="s">
        <v>3323</v>
      </c>
      <c r="S2860" s="167"/>
      <c r="T2860" s="168">
        <f t="shared" si="3"/>
        <v>408205.11</v>
      </c>
      <c r="U2860" s="168">
        <f t="shared" si="4"/>
        <v>0</v>
      </c>
      <c r="V2860" s="168">
        <f t="shared" si="5"/>
        <v>0</v>
      </c>
      <c r="W2860" s="168">
        <f t="shared" si="6"/>
        <v>0</v>
      </c>
      <c r="X2860" s="168">
        <f t="shared" si="7"/>
        <v>0</v>
      </c>
      <c r="Y2860" s="168">
        <f t="shared" si="8"/>
        <v>0</v>
      </c>
      <c r="Z2860" s="168">
        <f t="shared" si="9"/>
        <v>0</v>
      </c>
    </row>
    <row r="2861" ht="15.0" customHeight="1">
      <c r="A2861" s="157" t="s">
        <v>3324</v>
      </c>
      <c r="B2861" s="158" t="s">
        <v>37</v>
      </c>
      <c r="C2861" s="254" t="s">
        <v>3309</v>
      </c>
      <c r="D2861" s="159">
        <v>44533.0</v>
      </c>
      <c r="E2861" s="157" t="s">
        <v>731</v>
      </c>
      <c r="F2861" s="160">
        <v>2875272.32</v>
      </c>
      <c r="G2861" s="160">
        <v>460043.57</v>
      </c>
      <c r="H2861" s="160">
        <f t="shared" ref="H2861:H2881" si="67">F2861+G2861</f>
        <v>3335315.89</v>
      </c>
      <c r="I2861" s="160"/>
      <c r="J2861" s="161"/>
      <c r="K2861" s="160"/>
      <c r="L2861" s="160">
        <f>+'FACP$'!$H2861-'FACP$'!$I2861-'FACP$'!$K2861</f>
        <v>3335315.89</v>
      </c>
      <c r="M2861" s="162" t="s">
        <v>116</v>
      </c>
      <c r="N2861" s="162" t="s">
        <v>554</v>
      </c>
      <c r="O2861" s="164">
        <v>44565.0</v>
      </c>
      <c r="P2861" s="164">
        <f t="array" ref="P2861">XLOOKUP('FACP$'!$B2861,'perfil de pagos'!A:A,'perfil de pagos'!B:B)+'FACP$'!$D2861</f>
        <v>44543</v>
      </c>
      <c r="Q2861" s="165">
        <f t="shared" si="2"/>
        <v>0</v>
      </c>
      <c r="R2861" s="167"/>
      <c r="S2861" s="167"/>
      <c r="T2861" s="168">
        <f t="shared" si="3"/>
        <v>3335315.89</v>
      </c>
      <c r="U2861" s="168">
        <f t="shared" si="4"/>
        <v>0</v>
      </c>
      <c r="V2861" s="168">
        <f t="shared" si="5"/>
        <v>0</v>
      </c>
      <c r="W2861" s="168">
        <f t="shared" si="6"/>
        <v>0</v>
      </c>
      <c r="X2861" s="168">
        <f t="shared" si="7"/>
        <v>0</v>
      </c>
      <c r="Y2861" s="168">
        <f t="shared" si="8"/>
        <v>0</v>
      </c>
      <c r="Z2861" s="168">
        <f t="shared" si="9"/>
        <v>0</v>
      </c>
    </row>
    <row r="2862" ht="15.0" customHeight="1">
      <c r="A2862" s="157" t="s">
        <v>3325</v>
      </c>
      <c r="B2862" s="158" t="s">
        <v>38</v>
      </c>
      <c r="C2862" s="254" t="s">
        <v>3309</v>
      </c>
      <c r="D2862" s="159">
        <v>44533.0</v>
      </c>
      <c r="E2862" s="157" t="s">
        <v>731</v>
      </c>
      <c r="F2862" s="160">
        <v>1117087.12</v>
      </c>
      <c r="G2862" s="160">
        <v>178733.94</v>
      </c>
      <c r="H2862" s="160">
        <f t="shared" si="67"/>
        <v>1295821.06</v>
      </c>
      <c r="I2862" s="160"/>
      <c r="J2862" s="161"/>
      <c r="K2862" s="160"/>
      <c r="L2862" s="160">
        <f>+'FACP$'!$H2862-'FACP$'!$I2862-'FACP$'!$K2862</f>
        <v>1295821.06</v>
      </c>
      <c r="M2862" s="162" t="s">
        <v>145</v>
      </c>
      <c r="N2862" s="162" t="s">
        <v>554</v>
      </c>
      <c r="O2862" s="164">
        <v>44554.0</v>
      </c>
      <c r="P2862" s="164">
        <f t="array" ref="P2862">XLOOKUP('FACP$'!$B2862,'perfil de pagos'!A:A,'perfil de pagos'!B:B)+'FACP$'!$D2862</f>
        <v>44563</v>
      </c>
      <c r="Q2862" s="165">
        <f t="shared" si="2"/>
        <v>0</v>
      </c>
      <c r="R2862" s="167"/>
      <c r="S2862" s="167"/>
      <c r="T2862" s="168">
        <f t="shared" si="3"/>
        <v>1295821.06</v>
      </c>
      <c r="U2862" s="168">
        <f t="shared" si="4"/>
        <v>0</v>
      </c>
      <c r="V2862" s="168">
        <f t="shared" si="5"/>
        <v>0</v>
      </c>
      <c r="W2862" s="168">
        <f t="shared" si="6"/>
        <v>0</v>
      </c>
      <c r="X2862" s="168">
        <f t="shared" si="7"/>
        <v>0</v>
      </c>
      <c r="Y2862" s="168">
        <f t="shared" si="8"/>
        <v>0</v>
      </c>
      <c r="Z2862" s="168">
        <f t="shared" si="9"/>
        <v>0</v>
      </c>
    </row>
    <row r="2863" ht="15.0" customHeight="1">
      <c r="A2863" s="157" t="s">
        <v>3326</v>
      </c>
      <c r="B2863" s="158" t="s">
        <v>22</v>
      </c>
      <c r="C2863" s="254" t="s">
        <v>3309</v>
      </c>
      <c r="D2863" s="159">
        <v>44533.0</v>
      </c>
      <c r="E2863" s="157" t="s">
        <v>731</v>
      </c>
      <c r="F2863" s="160">
        <v>17388.8</v>
      </c>
      <c r="G2863" s="160">
        <v>2782.21</v>
      </c>
      <c r="H2863" s="160">
        <f t="shared" si="67"/>
        <v>20171.01</v>
      </c>
      <c r="I2863" s="160"/>
      <c r="J2863" s="161"/>
      <c r="K2863" s="160"/>
      <c r="L2863" s="160">
        <f>+'FACP$'!$H2863-'FACP$'!$I2863-'FACP$'!$K2863</f>
        <v>20171.01</v>
      </c>
      <c r="M2863" s="162" t="s">
        <v>220</v>
      </c>
      <c r="N2863" s="162" t="s">
        <v>554</v>
      </c>
      <c r="O2863" s="164">
        <v>44621.0</v>
      </c>
      <c r="P2863" s="164">
        <f t="array" ref="P2863">XLOOKUP('FACP$'!$B2863,'perfil de pagos'!A:A,'perfil de pagos'!B:B)+'FACP$'!$D2863</f>
        <v>44543</v>
      </c>
      <c r="Q2863" s="165">
        <f t="shared" si="2"/>
        <v>0</v>
      </c>
      <c r="R2863" s="167"/>
      <c r="S2863" s="167"/>
      <c r="T2863" s="168">
        <f t="shared" si="3"/>
        <v>20171.01</v>
      </c>
      <c r="U2863" s="168">
        <f t="shared" si="4"/>
        <v>0</v>
      </c>
      <c r="V2863" s="168">
        <f t="shared" si="5"/>
        <v>0</v>
      </c>
      <c r="W2863" s="168">
        <f t="shared" si="6"/>
        <v>0</v>
      </c>
      <c r="X2863" s="168">
        <f t="shared" si="7"/>
        <v>0</v>
      </c>
      <c r="Y2863" s="168">
        <f t="shared" si="8"/>
        <v>0</v>
      </c>
      <c r="Z2863" s="168">
        <f t="shared" si="9"/>
        <v>0</v>
      </c>
    </row>
    <row r="2864" ht="15.0" customHeight="1">
      <c r="A2864" s="157" t="s">
        <v>3327</v>
      </c>
      <c r="B2864" s="158" t="s">
        <v>26</v>
      </c>
      <c r="C2864" s="254" t="s">
        <v>3309</v>
      </c>
      <c r="D2864" s="159">
        <v>44533.0</v>
      </c>
      <c r="E2864" s="157" t="s">
        <v>731</v>
      </c>
      <c r="F2864" s="160">
        <v>64291.92</v>
      </c>
      <c r="G2864" s="160">
        <v>10286.71</v>
      </c>
      <c r="H2864" s="160">
        <f t="shared" si="67"/>
        <v>74578.63</v>
      </c>
      <c r="I2864" s="250"/>
      <c r="J2864" s="251"/>
      <c r="K2864" s="250"/>
      <c r="L2864" s="250">
        <f>+'FACP$'!$H2864-'FACP$'!$I2864-'FACP$'!$K2864</f>
        <v>74578.63</v>
      </c>
      <c r="M2864" s="162" t="s">
        <v>2386</v>
      </c>
      <c r="N2864" s="162" t="s">
        <v>554</v>
      </c>
      <c r="O2864" s="164">
        <v>44585.0</v>
      </c>
      <c r="P2864" s="164">
        <f t="array" ref="P2864">XLOOKUP('FACP$'!$B2864,'perfil de pagos'!A:A,'perfil de pagos'!B:B)+'FACP$'!$D2864</f>
        <v>44543</v>
      </c>
      <c r="Q2864" s="165">
        <f t="shared" si="2"/>
        <v>0</v>
      </c>
      <c r="R2864" s="220"/>
      <c r="S2864" s="167"/>
      <c r="T2864" s="168">
        <f t="shared" si="3"/>
        <v>74578.63</v>
      </c>
      <c r="U2864" s="168">
        <f t="shared" si="4"/>
        <v>0</v>
      </c>
      <c r="V2864" s="168">
        <f t="shared" si="5"/>
        <v>0</v>
      </c>
      <c r="W2864" s="168">
        <f t="shared" si="6"/>
        <v>0</v>
      </c>
      <c r="X2864" s="168">
        <f t="shared" si="7"/>
        <v>0</v>
      </c>
      <c r="Y2864" s="168">
        <f t="shared" si="8"/>
        <v>0</v>
      </c>
      <c r="Z2864" s="168">
        <f t="shared" si="9"/>
        <v>0</v>
      </c>
    </row>
    <row r="2865" ht="15.0" customHeight="1">
      <c r="A2865" s="157" t="s">
        <v>3328</v>
      </c>
      <c r="B2865" s="158" t="s">
        <v>31</v>
      </c>
      <c r="C2865" s="254" t="s">
        <v>3329</v>
      </c>
      <c r="D2865" s="159">
        <v>44539.0</v>
      </c>
      <c r="E2865" s="157" t="s">
        <v>731</v>
      </c>
      <c r="F2865" s="160">
        <v>85544.46</v>
      </c>
      <c r="G2865" s="160">
        <v>13687.11</v>
      </c>
      <c r="H2865" s="160">
        <f t="shared" si="67"/>
        <v>99231.57</v>
      </c>
      <c r="I2865" s="252"/>
      <c r="J2865" s="253"/>
      <c r="K2865" s="252"/>
      <c r="L2865" s="160">
        <f>+'FACP$'!$H2865-'FACP$'!$I2865-'FACP$'!$K2865</f>
        <v>99231.57</v>
      </c>
      <c r="M2865" s="162" t="s">
        <v>3183</v>
      </c>
      <c r="N2865" s="162" t="s">
        <v>554</v>
      </c>
      <c r="O2865" s="164">
        <v>44547.0</v>
      </c>
      <c r="P2865" s="164">
        <f t="array" ref="P2865">XLOOKUP('FACP$'!$B2865,'perfil de pagos'!A:A,'perfil de pagos'!B:B)+'FACP$'!$D2865</f>
        <v>44542</v>
      </c>
      <c r="Q2865" s="165">
        <f t="shared" si="2"/>
        <v>0</v>
      </c>
      <c r="R2865" s="167"/>
      <c r="S2865" s="167"/>
      <c r="T2865" s="168">
        <f t="shared" si="3"/>
        <v>99231.57</v>
      </c>
      <c r="U2865" s="168">
        <f t="shared" si="4"/>
        <v>0</v>
      </c>
      <c r="V2865" s="168">
        <f t="shared" si="5"/>
        <v>0</v>
      </c>
      <c r="W2865" s="168">
        <f t="shared" si="6"/>
        <v>0</v>
      </c>
      <c r="X2865" s="168">
        <f t="shared" si="7"/>
        <v>0</v>
      </c>
      <c r="Y2865" s="168">
        <f t="shared" si="8"/>
        <v>0</v>
      </c>
      <c r="Z2865" s="168">
        <f t="shared" si="9"/>
        <v>0</v>
      </c>
    </row>
    <row r="2866" ht="15.0" customHeight="1">
      <c r="A2866" s="157" t="s">
        <v>3330</v>
      </c>
      <c r="B2866" s="158" t="s">
        <v>31</v>
      </c>
      <c r="C2866" s="254" t="s">
        <v>3331</v>
      </c>
      <c r="D2866" s="159">
        <v>44539.0</v>
      </c>
      <c r="E2866" s="157" t="s">
        <v>731</v>
      </c>
      <c r="F2866" s="160">
        <v>143624.28</v>
      </c>
      <c r="G2866" s="160">
        <v>22979.88</v>
      </c>
      <c r="H2866" s="160">
        <f t="shared" si="67"/>
        <v>166604.16</v>
      </c>
      <c r="I2866" s="252"/>
      <c r="J2866" s="253"/>
      <c r="K2866" s="252"/>
      <c r="L2866" s="160">
        <f>+'FACP$'!$H2866-'FACP$'!$I2866-'FACP$'!$K2866</f>
        <v>166604.16</v>
      </c>
      <c r="M2866" s="162" t="s">
        <v>3183</v>
      </c>
      <c r="N2866" s="162" t="s">
        <v>554</v>
      </c>
      <c r="O2866" s="164">
        <v>44547.0</v>
      </c>
      <c r="P2866" s="164">
        <f t="array" ref="P2866">XLOOKUP('FACP$'!$B2866,'perfil de pagos'!A:A,'perfil de pagos'!B:B)+'FACP$'!$D2866</f>
        <v>44542</v>
      </c>
      <c r="Q2866" s="165">
        <f t="shared" si="2"/>
        <v>0</v>
      </c>
      <c r="R2866" s="167"/>
      <c r="S2866" s="167"/>
      <c r="T2866" s="168">
        <f t="shared" si="3"/>
        <v>166604.16</v>
      </c>
      <c r="U2866" s="168">
        <f t="shared" si="4"/>
        <v>0</v>
      </c>
      <c r="V2866" s="168">
        <f t="shared" si="5"/>
        <v>0</v>
      </c>
      <c r="W2866" s="168">
        <f t="shared" si="6"/>
        <v>0</v>
      </c>
      <c r="X2866" s="168">
        <f t="shared" si="7"/>
        <v>0</v>
      </c>
      <c r="Y2866" s="168">
        <f t="shared" si="8"/>
        <v>0</v>
      </c>
      <c r="Z2866" s="168">
        <f t="shared" si="9"/>
        <v>0</v>
      </c>
    </row>
    <row r="2867" ht="15.0" customHeight="1">
      <c r="A2867" s="157" t="s">
        <v>3332</v>
      </c>
      <c r="B2867" s="158" t="s">
        <v>29</v>
      </c>
      <c r="C2867" s="158" t="s">
        <v>3333</v>
      </c>
      <c r="D2867" s="159">
        <v>44546.0</v>
      </c>
      <c r="E2867" s="157" t="s">
        <v>731</v>
      </c>
      <c r="F2867" s="160">
        <v>314281.25</v>
      </c>
      <c r="G2867" s="160">
        <v>50285.0</v>
      </c>
      <c r="H2867" s="160">
        <f t="shared" si="67"/>
        <v>364566.25</v>
      </c>
      <c r="I2867" s="160"/>
      <c r="J2867" s="161"/>
      <c r="K2867" s="160"/>
      <c r="L2867" s="160">
        <f>+'FACP$'!$H2867-'FACP$'!$I2867-'FACP$'!$K2867</f>
        <v>364566.25</v>
      </c>
      <c r="M2867" s="162" t="s">
        <v>130</v>
      </c>
      <c r="N2867" s="162" t="s">
        <v>554</v>
      </c>
      <c r="O2867" s="164">
        <v>44550.0</v>
      </c>
      <c r="P2867" s="164">
        <f t="array" ref="P2867">XLOOKUP('FACP$'!$B2867,'perfil de pagos'!A:A,'perfil de pagos'!B:B)+'FACP$'!$D2867</f>
        <v>44556</v>
      </c>
      <c r="Q2867" s="165">
        <f t="shared" si="2"/>
        <v>0</v>
      </c>
      <c r="R2867" s="167"/>
      <c r="S2867" s="167"/>
      <c r="T2867" s="168">
        <f t="shared" si="3"/>
        <v>364566.25</v>
      </c>
      <c r="U2867" s="168">
        <f t="shared" si="4"/>
        <v>0</v>
      </c>
      <c r="V2867" s="168">
        <f t="shared" si="5"/>
        <v>0</v>
      </c>
      <c r="W2867" s="168">
        <f t="shared" si="6"/>
        <v>0</v>
      </c>
      <c r="X2867" s="168">
        <f t="shared" si="7"/>
        <v>0</v>
      </c>
      <c r="Y2867" s="168">
        <f t="shared" si="8"/>
        <v>0</v>
      </c>
      <c r="Z2867" s="168">
        <f t="shared" si="9"/>
        <v>0</v>
      </c>
    </row>
    <row r="2868" ht="15.0" customHeight="1">
      <c r="A2868" s="157" t="s">
        <v>3334</v>
      </c>
      <c r="B2868" s="158" t="s">
        <v>29</v>
      </c>
      <c r="C2868" s="158" t="s">
        <v>3335</v>
      </c>
      <c r="D2868" s="159">
        <v>44546.0</v>
      </c>
      <c r="E2868" s="157" t="s">
        <v>731</v>
      </c>
      <c r="F2868" s="160">
        <v>320148.3</v>
      </c>
      <c r="G2868" s="160">
        <v>51223.73</v>
      </c>
      <c r="H2868" s="160">
        <f t="shared" si="67"/>
        <v>371372.03</v>
      </c>
      <c r="I2868" s="160"/>
      <c r="J2868" s="161"/>
      <c r="K2868" s="160"/>
      <c r="L2868" s="160">
        <f>+'FACP$'!$H2868-'FACP$'!$I2868-'FACP$'!$K2868</f>
        <v>371372.03</v>
      </c>
      <c r="M2868" s="162" t="s">
        <v>130</v>
      </c>
      <c r="N2868" s="162" t="s">
        <v>554</v>
      </c>
      <c r="O2868" s="164">
        <v>44550.0</v>
      </c>
      <c r="P2868" s="164">
        <f t="array" ref="P2868">XLOOKUP('FACP$'!$B2868,'perfil de pagos'!A:A,'perfil de pagos'!B:B)+'FACP$'!$D2868</f>
        <v>44556</v>
      </c>
      <c r="Q2868" s="165">
        <f t="shared" si="2"/>
        <v>0</v>
      </c>
      <c r="R2868" s="167"/>
      <c r="S2868" s="167"/>
      <c r="T2868" s="168">
        <f t="shared" si="3"/>
        <v>371372.03</v>
      </c>
      <c r="U2868" s="168">
        <f t="shared" si="4"/>
        <v>0</v>
      </c>
      <c r="V2868" s="168">
        <f t="shared" si="5"/>
        <v>0</v>
      </c>
      <c r="W2868" s="168">
        <f t="shared" si="6"/>
        <v>0</v>
      </c>
      <c r="X2868" s="168">
        <f t="shared" si="7"/>
        <v>0</v>
      </c>
      <c r="Y2868" s="168">
        <f t="shared" si="8"/>
        <v>0</v>
      </c>
      <c r="Z2868" s="168">
        <f t="shared" si="9"/>
        <v>0</v>
      </c>
    </row>
    <row r="2869" ht="15.0" customHeight="1">
      <c r="A2869" s="157" t="s">
        <v>3336</v>
      </c>
      <c r="B2869" s="158" t="s">
        <v>16</v>
      </c>
      <c r="C2869" s="158" t="s">
        <v>3333</v>
      </c>
      <c r="D2869" s="159">
        <v>44547.0</v>
      </c>
      <c r="E2869" s="157" t="s">
        <v>731</v>
      </c>
      <c r="F2869" s="160">
        <v>371108.95</v>
      </c>
      <c r="G2869" s="160">
        <v>59377.43</v>
      </c>
      <c r="H2869" s="160">
        <f t="shared" si="67"/>
        <v>430486.38</v>
      </c>
      <c r="I2869" s="160"/>
      <c r="J2869" s="161"/>
      <c r="K2869" s="160"/>
      <c r="L2869" s="160">
        <f>+'FACP$'!$H2869-'FACP$'!$I2869-'FACP$'!$K2869</f>
        <v>430486.38</v>
      </c>
      <c r="M2869" s="162" t="s">
        <v>985</v>
      </c>
      <c r="N2869" s="162" t="s">
        <v>554</v>
      </c>
      <c r="O2869" s="164">
        <v>44595.0</v>
      </c>
      <c r="P2869" s="164">
        <f t="array" ref="P2869">XLOOKUP('FACP$'!$B2869,'perfil de pagos'!A:A,'perfil de pagos'!B:B)+'FACP$'!$D2869</f>
        <v>44557</v>
      </c>
      <c r="Q2869" s="165">
        <f t="shared" si="2"/>
        <v>0</v>
      </c>
      <c r="R2869" s="167"/>
      <c r="S2869" s="167"/>
      <c r="T2869" s="168">
        <f t="shared" si="3"/>
        <v>430486.38</v>
      </c>
      <c r="U2869" s="168">
        <f t="shared" si="4"/>
        <v>0</v>
      </c>
      <c r="V2869" s="168">
        <f t="shared" si="5"/>
        <v>0</v>
      </c>
      <c r="W2869" s="168">
        <f t="shared" si="6"/>
        <v>0</v>
      </c>
      <c r="X2869" s="168">
        <f t="shared" si="7"/>
        <v>0</v>
      </c>
      <c r="Y2869" s="168">
        <f t="shared" si="8"/>
        <v>0</v>
      </c>
      <c r="Z2869" s="168">
        <f t="shared" si="9"/>
        <v>0</v>
      </c>
    </row>
    <row r="2870" ht="15.0" customHeight="1">
      <c r="A2870" s="157" t="s">
        <v>3337</v>
      </c>
      <c r="B2870" s="158" t="s">
        <v>16</v>
      </c>
      <c r="C2870" s="158" t="s">
        <v>3335</v>
      </c>
      <c r="D2870" s="159">
        <v>44547.0</v>
      </c>
      <c r="E2870" s="157" t="s">
        <v>731</v>
      </c>
      <c r="F2870" s="160">
        <v>357203.85</v>
      </c>
      <c r="G2870" s="160">
        <v>57152.62</v>
      </c>
      <c r="H2870" s="160">
        <f t="shared" si="67"/>
        <v>414356.47</v>
      </c>
      <c r="I2870" s="160"/>
      <c r="J2870" s="161"/>
      <c r="K2870" s="160"/>
      <c r="L2870" s="160">
        <f>+'FACP$'!$H2870-'FACP$'!$I2870-'FACP$'!$K2870</f>
        <v>414356.47</v>
      </c>
      <c r="M2870" s="162" t="s">
        <v>985</v>
      </c>
      <c r="N2870" s="162" t="s">
        <v>554</v>
      </c>
      <c r="O2870" s="164">
        <v>44595.0</v>
      </c>
      <c r="P2870" s="164">
        <f t="array" ref="P2870">XLOOKUP('FACP$'!$B2870,'perfil de pagos'!A:A,'perfil de pagos'!B:B)+'FACP$'!$D2870</f>
        <v>44557</v>
      </c>
      <c r="Q2870" s="165">
        <f t="shared" si="2"/>
        <v>0</v>
      </c>
      <c r="R2870" s="167"/>
      <c r="S2870" s="167"/>
      <c r="T2870" s="168">
        <f t="shared" si="3"/>
        <v>414356.47</v>
      </c>
      <c r="U2870" s="168">
        <f t="shared" si="4"/>
        <v>0</v>
      </c>
      <c r="V2870" s="168">
        <f t="shared" si="5"/>
        <v>0</v>
      </c>
      <c r="W2870" s="168">
        <f t="shared" si="6"/>
        <v>0</v>
      </c>
      <c r="X2870" s="168">
        <f t="shared" si="7"/>
        <v>0</v>
      </c>
      <c r="Y2870" s="168">
        <f t="shared" si="8"/>
        <v>0</v>
      </c>
      <c r="Z2870" s="168">
        <f t="shared" si="9"/>
        <v>0</v>
      </c>
    </row>
    <row r="2871" ht="15.0" customHeight="1">
      <c r="A2871" s="157" t="s">
        <v>3338</v>
      </c>
      <c r="B2871" s="158" t="s">
        <v>18</v>
      </c>
      <c r="C2871" s="158" t="s">
        <v>3333</v>
      </c>
      <c r="D2871" s="159">
        <v>44547.0</v>
      </c>
      <c r="E2871" s="157" t="s">
        <v>731</v>
      </c>
      <c r="F2871" s="160">
        <v>154130.5</v>
      </c>
      <c r="G2871" s="160">
        <v>24660.88</v>
      </c>
      <c r="H2871" s="160">
        <f t="shared" si="67"/>
        <v>178791.38</v>
      </c>
      <c r="I2871" s="160"/>
      <c r="J2871" s="161"/>
      <c r="K2871" s="160"/>
      <c r="L2871" s="160">
        <f>+'FACP$'!$H2871-'FACP$'!$I2871-'FACP$'!$K2871</f>
        <v>178791.38</v>
      </c>
      <c r="M2871" s="162" t="s">
        <v>586</v>
      </c>
      <c r="N2871" s="162" t="s">
        <v>554</v>
      </c>
      <c r="O2871" s="164">
        <v>44553.0</v>
      </c>
      <c r="P2871" s="164">
        <f t="array" ref="P2871">XLOOKUP('FACP$'!$B2871,'perfil de pagos'!A:A,'perfil de pagos'!B:B)+'FACP$'!$D2871</f>
        <v>44557</v>
      </c>
      <c r="Q2871" s="165">
        <f t="shared" si="2"/>
        <v>0</v>
      </c>
      <c r="R2871" s="167"/>
      <c r="S2871" s="167"/>
      <c r="T2871" s="168">
        <f t="shared" si="3"/>
        <v>178791.38</v>
      </c>
      <c r="U2871" s="168">
        <f t="shared" si="4"/>
        <v>0</v>
      </c>
      <c r="V2871" s="168">
        <f t="shared" si="5"/>
        <v>0</v>
      </c>
      <c r="W2871" s="168">
        <f t="shared" si="6"/>
        <v>0</v>
      </c>
      <c r="X2871" s="168">
        <f t="shared" si="7"/>
        <v>0</v>
      </c>
      <c r="Y2871" s="168">
        <f t="shared" si="8"/>
        <v>0</v>
      </c>
      <c r="Z2871" s="168">
        <f t="shared" si="9"/>
        <v>0</v>
      </c>
    </row>
    <row r="2872" ht="15.0" customHeight="1">
      <c r="A2872" s="157" t="s">
        <v>3339</v>
      </c>
      <c r="B2872" s="158" t="s">
        <v>22</v>
      </c>
      <c r="C2872" s="158" t="s">
        <v>3333</v>
      </c>
      <c r="D2872" s="159">
        <v>44547.0</v>
      </c>
      <c r="E2872" s="157" t="s">
        <v>731</v>
      </c>
      <c r="F2872" s="160">
        <v>107958.5</v>
      </c>
      <c r="G2872" s="160">
        <v>17273.36</v>
      </c>
      <c r="H2872" s="160">
        <f t="shared" si="67"/>
        <v>125231.86</v>
      </c>
      <c r="I2872" s="160"/>
      <c r="J2872" s="161"/>
      <c r="K2872" s="160"/>
      <c r="L2872" s="160">
        <f>+'FACP$'!$H2872-'FACP$'!$I2872-'FACP$'!$K2872</f>
        <v>125231.86</v>
      </c>
      <c r="M2872" s="162" t="s">
        <v>220</v>
      </c>
      <c r="N2872" s="162" t="s">
        <v>554</v>
      </c>
      <c r="O2872" s="164">
        <v>44621.0</v>
      </c>
      <c r="P2872" s="164">
        <f t="array" ref="P2872">XLOOKUP('FACP$'!$B2872,'perfil de pagos'!A:A,'perfil de pagos'!B:B)+'FACP$'!$D2872</f>
        <v>44557</v>
      </c>
      <c r="Q2872" s="165">
        <f t="shared" si="2"/>
        <v>0</v>
      </c>
      <c r="R2872" s="167"/>
      <c r="S2872" s="167"/>
      <c r="T2872" s="168">
        <f t="shared" si="3"/>
        <v>125231.86</v>
      </c>
      <c r="U2872" s="168">
        <f t="shared" si="4"/>
        <v>0</v>
      </c>
      <c r="V2872" s="168">
        <f t="shared" si="5"/>
        <v>0</v>
      </c>
      <c r="W2872" s="168">
        <f t="shared" si="6"/>
        <v>0</v>
      </c>
      <c r="X2872" s="168">
        <f t="shared" si="7"/>
        <v>0</v>
      </c>
      <c r="Y2872" s="168">
        <f t="shared" si="8"/>
        <v>0</v>
      </c>
      <c r="Z2872" s="168">
        <f t="shared" si="9"/>
        <v>0</v>
      </c>
    </row>
    <row r="2873" ht="15.0" customHeight="1">
      <c r="A2873" s="157" t="s">
        <v>3340</v>
      </c>
      <c r="B2873" s="158" t="s">
        <v>27</v>
      </c>
      <c r="C2873" s="158" t="s">
        <v>3341</v>
      </c>
      <c r="D2873" s="159">
        <v>44547.0</v>
      </c>
      <c r="E2873" s="157" t="s">
        <v>731</v>
      </c>
      <c r="F2873" s="160">
        <v>313673.09</v>
      </c>
      <c r="G2873" s="160">
        <v>50187.69</v>
      </c>
      <c r="H2873" s="160">
        <f t="shared" si="67"/>
        <v>363860.78</v>
      </c>
      <c r="I2873" s="160"/>
      <c r="J2873" s="161"/>
      <c r="K2873" s="160"/>
      <c r="L2873" s="160">
        <f>+'FACP$'!$H2873-'FACP$'!$I2873-'FACP$'!$K2873</f>
        <v>363860.78</v>
      </c>
      <c r="M2873" s="162" t="s">
        <v>151</v>
      </c>
      <c r="N2873" s="162" t="s">
        <v>554</v>
      </c>
      <c r="O2873" s="164">
        <v>44587.0</v>
      </c>
      <c r="P2873" s="164">
        <f t="array" ref="P2873">XLOOKUP('FACP$'!$B2873,'perfil de pagos'!A:A,'perfil de pagos'!B:B)+'FACP$'!$D2873</f>
        <v>44577</v>
      </c>
      <c r="Q2873" s="165">
        <f t="shared" si="2"/>
        <v>0</v>
      </c>
      <c r="R2873" s="167"/>
      <c r="S2873" s="167">
        <v>1280.0</v>
      </c>
      <c r="T2873" s="168">
        <f t="shared" si="3"/>
        <v>363860.78</v>
      </c>
      <c r="U2873" s="168">
        <f t="shared" si="4"/>
        <v>0</v>
      </c>
      <c r="V2873" s="168">
        <f t="shared" si="5"/>
        <v>0</v>
      </c>
      <c r="W2873" s="168">
        <f t="shared" si="6"/>
        <v>0</v>
      </c>
      <c r="X2873" s="168">
        <f t="shared" si="7"/>
        <v>0</v>
      </c>
      <c r="Y2873" s="168">
        <f t="shared" si="8"/>
        <v>0</v>
      </c>
      <c r="Z2873" s="168">
        <f t="shared" si="9"/>
        <v>0</v>
      </c>
    </row>
    <row r="2874" ht="15.0" customHeight="1">
      <c r="A2874" s="157" t="s">
        <v>3342</v>
      </c>
      <c r="B2874" s="158" t="s">
        <v>27</v>
      </c>
      <c r="C2874" s="158" t="s">
        <v>3343</v>
      </c>
      <c r="D2874" s="159">
        <v>44547.0</v>
      </c>
      <c r="E2874" s="157" t="s">
        <v>731</v>
      </c>
      <c r="F2874" s="160">
        <v>178132.22</v>
      </c>
      <c r="G2874" s="160">
        <v>28501.16</v>
      </c>
      <c r="H2874" s="160">
        <f t="shared" si="67"/>
        <v>206633.38</v>
      </c>
      <c r="I2874" s="160"/>
      <c r="J2874" s="161"/>
      <c r="K2874" s="160"/>
      <c r="L2874" s="160">
        <f>+'FACP$'!$H2874-'FACP$'!$I2874-'FACP$'!$K2874</f>
        <v>206633.38</v>
      </c>
      <c r="M2874" s="162" t="s">
        <v>151</v>
      </c>
      <c r="N2874" s="162" t="s">
        <v>554</v>
      </c>
      <c r="O2874" s="164">
        <v>44594.0</v>
      </c>
      <c r="P2874" s="164">
        <f t="array" ref="P2874">XLOOKUP('FACP$'!$B2874,'perfil de pagos'!A:A,'perfil de pagos'!B:B)+'FACP$'!$D2874</f>
        <v>44577</v>
      </c>
      <c r="Q2874" s="165">
        <f t="shared" si="2"/>
        <v>0</v>
      </c>
      <c r="R2874" s="167"/>
      <c r="S2874" s="167">
        <v>1280.0</v>
      </c>
      <c r="T2874" s="168">
        <f t="shared" si="3"/>
        <v>206633.38</v>
      </c>
      <c r="U2874" s="168">
        <f t="shared" si="4"/>
        <v>0</v>
      </c>
      <c r="V2874" s="168">
        <f t="shared" si="5"/>
        <v>0</v>
      </c>
      <c r="W2874" s="168">
        <f t="shared" si="6"/>
        <v>0</v>
      </c>
      <c r="X2874" s="168">
        <f t="shared" si="7"/>
        <v>0</v>
      </c>
      <c r="Y2874" s="168">
        <f t="shared" si="8"/>
        <v>0</v>
      </c>
      <c r="Z2874" s="168">
        <f t="shared" si="9"/>
        <v>0</v>
      </c>
    </row>
    <row r="2875" ht="15.0" customHeight="1">
      <c r="A2875" s="157" t="s">
        <v>3344</v>
      </c>
      <c r="B2875" s="158" t="s">
        <v>27</v>
      </c>
      <c r="C2875" s="158" t="s">
        <v>3345</v>
      </c>
      <c r="D2875" s="159">
        <v>44547.0</v>
      </c>
      <c r="E2875" s="157" t="s">
        <v>731</v>
      </c>
      <c r="F2875" s="160">
        <v>22297.26</v>
      </c>
      <c r="G2875" s="160">
        <v>3567.56</v>
      </c>
      <c r="H2875" s="160">
        <f t="shared" si="67"/>
        <v>25864.82</v>
      </c>
      <c r="I2875" s="160"/>
      <c r="J2875" s="161"/>
      <c r="K2875" s="160"/>
      <c r="L2875" s="160">
        <f>+'FACP$'!$H2875-'FACP$'!$I2875-'FACP$'!$K2875</f>
        <v>25864.82</v>
      </c>
      <c r="M2875" s="162" t="s">
        <v>151</v>
      </c>
      <c r="N2875" s="162" t="s">
        <v>554</v>
      </c>
      <c r="O2875" s="164">
        <v>44594.0</v>
      </c>
      <c r="P2875" s="164">
        <f t="array" ref="P2875">XLOOKUP('FACP$'!$B2875,'perfil de pagos'!A:A,'perfil de pagos'!B:B)+'FACP$'!$D2875</f>
        <v>44577</v>
      </c>
      <c r="Q2875" s="165">
        <f t="shared" si="2"/>
        <v>0</v>
      </c>
      <c r="R2875" s="167"/>
      <c r="S2875" s="167">
        <v>1280.0</v>
      </c>
      <c r="T2875" s="168">
        <f t="shared" si="3"/>
        <v>25864.82</v>
      </c>
      <c r="U2875" s="168">
        <f t="shared" si="4"/>
        <v>0</v>
      </c>
      <c r="V2875" s="168">
        <f t="shared" si="5"/>
        <v>0</v>
      </c>
      <c r="W2875" s="168">
        <f t="shared" si="6"/>
        <v>0</v>
      </c>
      <c r="X2875" s="168">
        <f t="shared" si="7"/>
        <v>0</v>
      </c>
      <c r="Y2875" s="168">
        <f t="shared" si="8"/>
        <v>0</v>
      </c>
      <c r="Z2875" s="168">
        <f t="shared" si="9"/>
        <v>0</v>
      </c>
    </row>
    <row r="2876" ht="15.0" customHeight="1">
      <c r="A2876" s="157" t="s">
        <v>3346</v>
      </c>
      <c r="B2876" s="158" t="s">
        <v>27</v>
      </c>
      <c r="C2876" s="158" t="s">
        <v>3347</v>
      </c>
      <c r="D2876" s="159">
        <v>44547.0</v>
      </c>
      <c r="E2876" s="157" t="s">
        <v>731</v>
      </c>
      <c r="F2876" s="160">
        <v>12662.42</v>
      </c>
      <c r="G2876" s="160">
        <v>2025.99</v>
      </c>
      <c r="H2876" s="160">
        <f t="shared" si="67"/>
        <v>14688.41</v>
      </c>
      <c r="I2876" s="160"/>
      <c r="J2876" s="161"/>
      <c r="K2876" s="160"/>
      <c r="L2876" s="160">
        <f>+'FACP$'!$H2876-'FACP$'!$I2876-'FACP$'!$K2876</f>
        <v>14688.41</v>
      </c>
      <c r="M2876" s="162" t="s">
        <v>151</v>
      </c>
      <c r="N2876" s="162" t="s">
        <v>554</v>
      </c>
      <c r="O2876" s="164">
        <v>44594.0</v>
      </c>
      <c r="P2876" s="164">
        <f t="array" ref="P2876">XLOOKUP('FACP$'!$B2876,'perfil de pagos'!A:A,'perfil de pagos'!B:B)+'FACP$'!$D2876</f>
        <v>44577</v>
      </c>
      <c r="Q2876" s="165">
        <f t="shared" si="2"/>
        <v>0</v>
      </c>
      <c r="R2876" s="167"/>
      <c r="S2876" s="167">
        <v>1280.0</v>
      </c>
      <c r="T2876" s="168">
        <f t="shared" si="3"/>
        <v>14688.41</v>
      </c>
      <c r="U2876" s="168">
        <f t="shared" si="4"/>
        <v>0</v>
      </c>
      <c r="V2876" s="168">
        <f t="shared" si="5"/>
        <v>0</v>
      </c>
      <c r="W2876" s="168">
        <f t="shared" si="6"/>
        <v>0</v>
      </c>
      <c r="X2876" s="168">
        <f t="shared" si="7"/>
        <v>0</v>
      </c>
      <c r="Y2876" s="168">
        <f t="shared" si="8"/>
        <v>0</v>
      </c>
      <c r="Z2876" s="168">
        <f t="shared" si="9"/>
        <v>0</v>
      </c>
    </row>
    <row r="2877" ht="15.0" customHeight="1">
      <c r="A2877" s="157" t="s">
        <v>3348</v>
      </c>
      <c r="B2877" s="158" t="s">
        <v>27</v>
      </c>
      <c r="C2877" s="158" t="s">
        <v>3341</v>
      </c>
      <c r="D2877" s="159">
        <v>44547.0</v>
      </c>
      <c r="E2877" s="157" t="s">
        <v>731</v>
      </c>
      <c r="F2877" s="160">
        <v>313282.62</v>
      </c>
      <c r="G2877" s="160">
        <v>50125.22</v>
      </c>
      <c r="H2877" s="160">
        <f t="shared" si="67"/>
        <v>363407.84</v>
      </c>
      <c r="I2877" s="160"/>
      <c r="J2877" s="161"/>
      <c r="K2877" s="160"/>
      <c r="L2877" s="160">
        <f>+'FACP$'!$H2877-'FACP$'!$I2877-'FACP$'!$K2877</f>
        <v>363407.84</v>
      </c>
      <c r="M2877" s="162" t="s">
        <v>158</v>
      </c>
      <c r="N2877" s="162" t="s">
        <v>554</v>
      </c>
      <c r="O2877" s="164">
        <v>44602.0</v>
      </c>
      <c r="P2877" s="164">
        <f t="array" ref="P2877">XLOOKUP('FACP$'!$B2877,'perfil de pagos'!A:A,'perfil de pagos'!B:B)+'FACP$'!$D2877</f>
        <v>44577</v>
      </c>
      <c r="Q2877" s="165">
        <f t="shared" si="2"/>
        <v>0</v>
      </c>
      <c r="R2877" s="167"/>
      <c r="S2877" s="167"/>
      <c r="T2877" s="168">
        <f t="shared" si="3"/>
        <v>363407.84</v>
      </c>
      <c r="U2877" s="168">
        <f t="shared" si="4"/>
        <v>0</v>
      </c>
      <c r="V2877" s="168">
        <f t="shared" si="5"/>
        <v>0</v>
      </c>
      <c r="W2877" s="168">
        <f t="shared" si="6"/>
        <v>0</v>
      </c>
      <c r="X2877" s="168">
        <f t="shared" si="7"/>
        <v>0</v>
      </c>
      <c r="Y2877" s="168">
        <f t="shared" si="8"/>
        <v>0</v>
      </c>
      <c r="Z2877" s="168">
        <f t="shared" si="9"/>
        <v>0</v>
      </c>
    </row>
    <row r="2878" ht="15.0" customHeight="1">
      <c r="A2878" s="157" t="s">
        <v>3349</v>
      </c>
      <c r="B2878" s="158" t="s">
        <v>27</v>
      </c>
      <c r="C2878" s="158" t="s">
        <v>3343</v>
      </c>
      <c r="D2878" s="159">
        <v>44547.0</v>
      </c>
      <c r="E2878" s="157" t="s">
        <v>731</v>
      </c>
      <c r="F2878" s="160">
        <v>181248.71</v>
      </c>
      <c r="G2878" s="160">
        <v>28999.79</v>
      </c>
      <c r="H2878" s="160">
        <f t="shared" si="67"/>
        <v>210248.5</v>
      </c>
      <c r="I2878" s="160"/>
      <c r="J2878" s="161"/>
      <c r="K2878" s="160"/>
      <c r="L2878" s="160">
        <f>+'FACP$'!$H2878-'FACP$'!$I2878-'FACP$'!$K2878</f>
        <v>210248.5</v>
      </c>
      <c r="M2878" s="162" t="s">
        <v>158</v>
      </c>
      <c r="N2878" s="162" t="s">
        <v>554</v>
      </c>
      <c r="O2878" s="164">
        <v>44602.0</v>
      </c>
      <c r="P2878" s="164">
        <f t="array" ref="P2878">XLOOKUP('FACP$'!$B2878,'perfil de pagos'!A:A,'perfil de pagos'!B:B)+'FACP$'!$D2878</f>
        <v>44577</v>
      </c>
      <c r="Q2878" s="165">
        <f t="shared" si="2"/>
        <v>0</v>
      </c>
      <c r="R2878" s="167"/>
      <c r="S2878" s="167"/>
      <c r="T2878" s="168">
        <f t="shared" si="3"/>
        <v>210248.5</v>
      </c>
      <c r="U2878" s="168">
        <f t="shared" si="4"/>
        <v>0</v>
      </c>
      <c r="V2878" s="168">
        <f t="shared" si="5"/>
        <v>0</v>
      </c>
      <c r="W2878" s="168">
        <f t="shared" si="6"/>
        <v>0</v>
      </c>
      <c r="X2878" s="168">
        <f t="shared" si="7"/>
        <v>0</v>
      </c>
      <c r="Y2878" s="168">
        <f t="shared" si="8"/>
        <v>0</v>
      </c>
      <c r="Z2878" s="168">
        <f t="shared" si="9"/>
        <v>0</v>
      </c>
    </row>
    <row r="2879" ht="15.0" customHeight="1">
      <c r="A2879" s="157" t="s">
        <v>3350</v>
      </c>
      <c r="B2879" s="158" t="s">
        <v>41</v>
      </c>
      <c r="C2879" s="158" t="s">
        <v>3333</v>
      </c>
      <c r="D2879" s="159">
        <v>44547.0</v>
      </c>
      <c r="E2879" s="157" t="s">
        <v>731</v>
      </c>
      <c r="F2879" s="160">
        <v>933494.02</v>
      </c>
      <c r="G2879" s="160">
        <v>149359.04</v>
      </c>
      <c r="H2879" s="160">
        <f t="shared" si="67"/>
        <v>1082853.06</v>
      </c>
      <c r="I2879" s="160"/>
      <c r="J2879" s="161"/>
      <c r="K2879" s="160"/>
      <c r="L2879" s="160">
        <f>+'FACP$'!$H2879-'FACP$'!$I2879-'FACP$'!$K2879</f>
        <v>1082853.06</v>
      </c>
      <c r="M2879" s="162" t="s">
        <v>121</v>
      </c>
      <c r="N2879" s="162" t="s">
        <v>554</v>
      </c>
      <c r="O2879" s="164">
        <v>44596.0</v>
      </c>
      <c r="P2879" s="164">
        <f t="array" ref="P2879">XLOOKUP('FACP$'!$B2879,'perfil de pagos'!A:A,'perfil de pagos'!B:B)+'FACP$'!$D2879</f>
        <v>44557</v>
      </c>
      <c r="Q2879" s="165">
        <f t="shared" si="2"/>
        <v>0</v>
      </c>
      <c r="R2879" s="167"/>
      <c r="S2879" s="167"/>
      <c r="T2879" s="168">
        <f t="shared" si="3"/>
        <v>1082853.06</v>
      </c>
      <c r="U2879" s="168">
        <f t="shared" si="4"/>
        <v>0</v>
      </c>
      <c r="V2879" s="168">
        <f t="shared" si="5"/>
        <v>0</v>
      </c>
      <c r="W2879" s="168">
        <f t="shared" si="6"/>
        <v>0</v>
      </c>
      <c r="X2879" s="168">
        <f t="shared" si="7"/>
        <v>0</v>
      </c>
      <c r="Y2879" s="168">
        <f t="shared" si="8"/>
        <v>0</v>
      </c>
      <c r="Z2879" s="168">
        <f t="shared" si="9"/>
        <v>0</v>
      </c>
    </row>
    <row r="2880" ht="15.0" customHeight="1">
      <c r="A2880" s="157" t="s">
        <v>3351</v>
      </c>
      <c r="B2880" s="158" t="s">
        <v>37</v>
      </c>
      <c r="C2880" s="158" t="s">
        <v>3333</v>
      </c>
      <c r="D2880" s="159">
        <v>44547.0</v>
      </c>
      <c r="E2880" s="157" t="s">
        <v>731</v>
      </c>
      <c r="F2880" s="160">
        <v>2138683.35</v>
      </c>
      <c r="G2880" s="160">
        <v>342189.34</v>
      </c>
      <c r="H2880" s="160">
        <f t="shared" si="67"/>
        <v>2480872.69</v>
      </c>
      <c r="I2880" s="160"/>
      <c r="J2880" s="161"/>
      <c r="K2880" s="160"/>
      <c r="L2880" s="160">
        <f>+'FACP$'!$H2880-'FACP$'!$I2880-'FACP$'!$K2880</f>
        <v>2480872.69</v>
      </c>
      <c r="M2880" s="162" t="s">
        <v>116</v>
      </c>
      <c r="N2880" s="162" t="s">
        <v>554</v>
      </c>
      <c r="O2880" s="164">
        <v>44565.0</v>
      </c>
      <c r="P2880" s="164">
        <f t="array" ref="P2880">XLOOKUP('FACP$'!$B2880,'perfil de pagos'!A:A,'perfil de pagos'!B:B)+'FACP$'!$D2880</f>
        <v>44557</v>
      </c>
      <c r="Q2880" s="165">
        <f t="shared" si="2"/>
        <v>0</v>
      </c>
      <c r="R2880" s="167"/>
      <c r="S2880" s="167"/>
      <c r="T2880" s="168">
        <f t="shared" si="3"/>
        <v>2480872.69</v>
      </c>
      <c r="U2880" s="168">
        <f t="shared" si="4"/>
        <v>0</v>
      </c>
      <c r="V2880" s="168">
        <f t="shared" si="5"/>
        <v>0</v>
      </c>
      <c r="W2880" s="168">
        <f t="shared" si="6"/>
        <v>0</v>
      </c>
      <c r="X2880" s="168">
        <f t="shared" si="7"/>
        <v>0</v>
      </c>
      <c r="Y2880" s="168">
        <f t="shared" si="8"/>
        <v>0</v>
      </c>
      <c r="Z2880" s="168">
        <f t="shared" si="9"/>
        <v>0</v>
      </c>
    </row>
    <row r="2881" ht="15.0" customHeight="1">
      <c r="A2881" s="157" t="s">
        <v>3352</v>
      </c>
      <c r="B2881" s="158" t="s">
        <v>33</v>
      </c>
      <c r="C2881" s="158" t="s">
        <v>3333</v>
      </c>
      <c r="D2881" s="159">
        <v>44547.0</v>
      </c>
      <c r="E2881" s="157" t="s">
        <v>731</v>
      </c>
      <c r="F2881" s="160">
        <v>1210455.14</v>
      </c>
      <c r="G2881" s="160">
        <v>193672.82</v>
      </c>
      <c r="H2881" s="160">
        <f t="shared" si="67"/>
        <v>1404127.96</v>
      </c>
      <c r="I2881" s="160"/>
      <c r="J2881" s="161"/>
      <c r="K2881" s="160"/>
      <c r="L2881" s="160">
        <f>+'FACP$'!$H2881-'FACP$'!$I2881-'FACP$'!$K2881</f>
        <v>1404127.96</v>
      </c>
      <c r="M2881" s="162" t="s">
        <v>958</v>
      </c>
      <c r="N2881" s="162" t="s">
        <v>554</v>
      </c>
      <c r="O2881" s="164">
        <v>44561.0</v>
      </c>
      <c r="P2881" s="164">
        <f t="array" ref="P2881">XLOOKUP('FACP$'!$B2881,'perfil de pagos'!A:A,'perfil de pagos'!B:B)+'FACP$'!$D2881</f>
        <v>44557</v>
      </c>
      <c r="Q2881" s="165">
        <f t="shared" si="2"/>
        <v>0</v>
      </c>
      <c r="R2881" s="167"/>
      <c r="S2881" s="167"/>
      <c r="T2881" s="168">
        <f t="shared" si="3"/>
        <v>1404127.96</v>
      </c>
      <c r="U2881" s="168">
        <f t="shared" si="4"/>
        <v>0</v>
      </c>
      <c r="V2881" s="168">
        <f t="shared" si="5"/>
        <v>0</v>
      </c>
      <c r="W2881" s="168">
        <f t="shared" si="6"/>
        <v>0</v>
      </c>
      <c r="X2881" s="168">
        <f t="shared" si="7"/>
        <v>0</v>
      </c>
      <c r="Y2881" s="168">
        <f t="shared" si="8"/>
        <v>0</v>
      </c>
      <c r="Z2881" s="168">
        <f t="shared" si="9"/>
        <v>0</v>
      </c>
    </row>
    <row r="2882" ht="15.0" customHeight="1">
      <c r="A2882" s="157" t="s">
        <v>3353</v>
      </c>
      <c r="B2882" s="158" t="s">
        <v>26</v>
      </c>
      <c r="C2882" s="158" t="s">
        <v>3333</v>
      </c>
      <c r="D2882" s="159">
        <v>44547.0</v>
      </c>
      <c r="E2882" s="157" t="s">
        <v>731</v>
      </c>
      <c r="F2882" s="160">
        <v>90968.04</v>
      </c>
      <c r="G2882" s="160">
        <v>14554.89</v>
      </c>
      <c r="H2882" s="160">
        <f>F2882+G2882-7567.4-88.39-50000</f>
        <v>47867.14</v>
      </c>
      <c r="I2882" s="160"/>
      <c r="J2882" s="161"/>
      <c r="K2882" s="160"/>
      <c r="L2882" s="160">
        <f>+'FACP$'!$H2882-'FACP$'!$I2882-'FACP$'!$K2882</f>
        <v>47867.14</v>
      </c>
      <c r="M2882" s="162" t="s">
        <v>2386</v>
      </c>
      <c r="N2882" s="162" t="s">
        <v>554</v>
      </c>
      <c r="O2882" s="164">
        <v>44624.0</v>
      </c>
      <c r="P2882" s="164">
        <f t="array" ref="P2882">XLOOKUP('FACP$'!$B2882,'perfil de pagos'!A:A,'perfil de pagos'!B:B)+'FACP$'!$D2882</f>
        <v>44557</v>
      </c>
      <c r="Q2882" s="165">
        <f t="shared" si="2"/>
        <v>0</v>
      </c>
      <c r="R2882" s="220" t="s">
        <v>3354</v>
      </c>
      <c r="S2882" s="167" t="s">
        <v>3355</v>
      </c>
      <c r="T2882" s="168">
        <f t="shared" si="3"/>
        <v>47867.14</v>
      </c>
      <c r="U2882" s="168">
        <f t="shared" si="4"/>
        <v>0</v>
      </c>
      <c r="V2882" s="168">
        <f t="shared" si="5"/>
        <v>0</v>
      </c>
      <c r="W2882" s="168">
        <f t="shared" si="6"/>
        <v>0</v>
      </c>
      <c r="X2882" s="168">
        <f t="shared" si="7"/>
        <v>0</v>
      </c>
      <c r="Y2882" s="168">
        <f t="shared" si="8"/>
        <v>0</v>
      </c>
      <c r="Z2882" s="168">
        <f t="shared" si="9"/>
        <v>0</v>
      </c>
    </row>
    <row r="2883" ht="15.0" customHeight="1">
      <c r="A2883" s="157" t="s">
        <v>3356</v>
      </c>
      <c r="B2883" s="158" t="s">
        <v>35</v>
      </c>
      <c r="C2883" s="158" t="s">
        <v>3333</v>
      </c>
      <c r="D2883" s="159">
        <v>44547.0</v>
      </c>
      <c r="E2883" s="157" t="s">
        <v>731</v>
      </c>
      <c r="F2883" s="160">
        <v>567711.68</v>
      </c>
      <c r="G2883" s="160">
        <v>90833.87</v>
      </c>
      <c r="H2883" s="160">
        <f t="shared" ref="H2883:H2912" si="68">F2883+G2883</f>
        <v>658545.55</v>
      </c>
      <c r="I2883" s="160"/>
      <c r="J2883" s="161"/>
      <c r="K2883" s="160"/>
      <c r="L2883" s="160">
        <f>+'FACP$'!$H2883-'FACP$'!$I2883-'FACP$'!$K2883</f>
        <v>658545.55</v>
      </c>
      <c r="M2883" s="162" t="s">
        <v>276</v>
      </c>
      <c r="N2883" s="162" t="s">
        <v>554</v>
      </c>
      <c r="O2883" s="164">
        <v>44575.0</v>
      </c>
      <c r="P2883" s="164">
        <f t="array" ref="P2883">XLOOKUP('FACP$'!$B2883,'perfil de pagos'!A:A,'perfil de pagos'!B:B)+'FACP$'!$D2883</f>
        <v>44557</v>
      </c>
      <c r="Q2883" s="165">
        <f t="shared" si="2"/>
        <v>0</v>
      </c>
      <c r="R2883" s="167"/>
      <c r="S2883" s="167">
        <v>1237.0</v>
      </c>
      <c r="T2883" s="168">
        <f t="shared" si="3"/>
        <v>658545.55</v>
      </c>
      <c r="U2883" s="168">
        <f t="shared" si="4"/>
        <v>0</v>
      </c>
      <c r="V2883" s="168">
        <f t="shared" si="5"/>
        <v>0</v>
      </c>
      <c r="W2883" s="168">
        <f t="shared" si="6"/>
        <v>0</v>
      </c>
      <c r="X2883" s="168">
        <f t="shared" si="7"/>
        <v>0</v>
      </c>
      <c r="Y2883" s="168">
        <f t="shared" si="8"/>
        <v>0</v>
      </c>
      <c r="Z2883" s="168">
        <f t="shared" si="9"/>
        <v>0</v>
      </c>
    </row>
    <row r="2884" ht="15.0" customHeight="1">
      <c r="A2884" s="157" t="s">
        <v>3357</v>
      </c>
      <c r="B2884" s="158" t="s">
        <v>36</v>
      </c>
      <c r="C2884" s="158" t="s">
        <v>3333</v>
      </c>
      <c r="D2884" s="159">
        <v>44547.0</v>
      </c>
      <c r="E2884" s="157" t="s">
        <v>731</v>
      </c>
      <c r="F2884" s="160">
        <v>77747.62</v>
      </c>
      <c r="G2884" s="160">
        <v>12439.62</v>
      </c>
      <c r="H2884" s="160">
        <f t="shared" si="68"/>
        <v>90187.24</v>
      </c>
      <c r="I2884" s="160"/>
      <c r="J2884" s="161"/>
      <c r="K2884" s="160"/>
      <c r="L2884" s="160">
        <f>+'FACP$'!$H2884-'FACP$'!$I2884-'FACP$'!$K2884</f>
        <v>90187.24</v>
      </c>
      <c r="M2884" s="162" t="s">
        <v>278</v>
      </c>
      <c r="N2884" s="162" t="s">
        <v>554</v>
      </c>
      <c r="O2884" s="164">
        <v>44587.0</v>
      </c>
      <c r="P2884" s="164">
        <f t="array" ref="P2884">XLOOKUP('FACP$'!$B2884,'perfil de pagos'!A:A,'perfil de pagos'!B:B)+'FACP$'!$D2884</f>
        <v>44557</v>
      </c>
      <c r="Q2884" s="165">
        <f t="shared" si="2"/>
        <v>0</v>
      </c>
      <c r="R2884" s="167"/>
      <c r="S2884" s="167"/>
      <c r="T2884" s="168">
        <f t="shared" si="3"/>
        <v>90187.24</v>
      </c>
      <c r="U2884" s="168">
        <f t="shared" si="4"/>
        <v>0</v>
      </c>
      <c r="V2884" s="168">
        <f t="shared" si="5"/>
        <v>0</v>
      </c>
      <c r="W2884" s="168">
        <f t="shared" si="6"/>
        <v>0</v>
      </c>
      <c r="X2884" s="168">
        <f t="shared" si="7"/>
        <v>0</v>
      </c>
      <c r="Y2884" s="168">
        <f t="shared" si="8"/>
        <v>0</v>
      </c>
      <c r="Z2884" s="168">
        <f t="shared" si="9"/>
        <v>0</v>
      </c>
    </row>
    <row r="2885" ht="15.0" customHeight="1">
      <c r="A2885" s="157" t="s">
        <v>3358</v>
      </c>
      <c r="B2885" s="158" t="s">
        <v>38</v>
      </c>
      <c r="C2885" s="158" t="s">
        <v>3333</v>
      </c>
      <c r="D2885" s="159">
        <v>44547.0</v>
      </c>
      <c r="E2885" s="157" t="s">
        <v>731</v>
      </c>
      <c r="F2885" s="160">
        <v>846211.34</v>
      </c>
      <c r="G2885" s="160">
        <v>135393.81</v>
      </c>
      <c r="H2885" s="160">
        <f t="shared" si="68"/>
        <v>981605.15</v>
      </c>
      <c r="I2885" s="160"/>
      <c r="J2885" s="161"/>
      <c r="K2885" s="160"/>
      <c r="L2885" s="160">
        <f>+'FACP$'!$H2885-'FACP$'!$I2885-'FACP$'!$K2885</f>
        <v>981605.15</v>
      </c>
      <c r="M2885" s="162" t="s">
        <v>145</v>
      </c>
      <c r="N2885" s="162" t="s">
        <v>554</v>
      </c>
      <c r="O2885" s="164">
        <v>44606.0</v>
      </c>
      <c r="P2885" s="164">
        <f t="array" ref="P2885">XLOOKUP('FACP$'!$B2885,'perfil de pagos'!A:A,'perfil de pagos'!B:B)+'FACP$'!$D2885</f>
        <v>44577</v>
      </c>
      <c r="Q2885" s="165">
        <f t="shared" si="2"/>
        <v>0</v>
      </c>
      <c r="R2885" s="167"/>
      <c r="S2885" s="167"/>
      <c r="T2885" s="168">
        <f t="shared" si="3"/>
        <v>981605.15</v>
      </c>
      <c r="U2885" s="168">
        <f t="shared" si="4"/>
        <v>0</v>
      </c>
      <c r="V2885" s="168">
        <f t="shared" si="5"/>
        <v>0</v>
      </c>
      <c r="W2885" s="168">
        <f t="shared" si="6"/>
        <v>0</v>
      </c>
      <c r="X2885" s="168">
        <f t="shared" si="7"/>
        <v>0</v>
      </c>
      <c r="Y2885" s="168">
        <f t="shared" si="8"/>
        <v>0</v>
      </c>
      <c r="Z2885" s="168">
        <f t="shared" si="9"/>
        <v>0</v>
      </c>
    </row>
    <row r="2886" ht="15.0" customHeight="1">
      <c r="A2886" s="157" t="s">
        <v>3359</v>
      </c>
      <c r="B2886" s="158" t="s">
        <v>43</v>
      </c>
      <c r="C2886" s="158" t="s">
        <v>3333</v>
      </c>
      <c r="D2886" s="159">
        <v>44547.0</v>
      </c>
      <c r="E2886" s="157" t="s">
        <v>731</v>
      </c>
      <c r="F2886" s="160">
        <v>1853269.58</v>
      </c>
      <c r="G2886" s="160">
        <v>296523.13</v>
      </c>
      <c r="H2886" s="160">
        <f t="shared" si="68"/>
        <v>2149792.71</v>
      </c>
      <c r="I2886" s="160"/>
      <c r="J2886" s="161"/>
      <c r="K2886" s="160"/>
      <c r="L2886" s="160">
        <f>+'FACP$'!$H2886-'FACP$'!$I2886-'FACP$'!$K2886</f>
        <v>2149792.71</v>
      </c>
      <c r="M2886" s="162" t="s">
        <v>43</v>
      </c>
      <c r="N2886" s="162" t="s">
        <v>554</v>
      </c>
      <c r="O2886" s="164">
        <v>44589.0</v>
      </c>
      <c r="P2886" s="164">
        <f t="array" ref="P2886">XLOOKUP('FACP$'!$B2886,'perfil de pagos'!A:A,'perfil de pagos'!B:B)+'FACP$'!$D2886</f>
        <v>44572</v>
      </c>
      <c r="Q2886" s="165">
        <f t="shared" si="2"/>
        <v>0</v>
      </c>
      <c r="R2886" s="167"/>
      <c r="S2886" s="167">
        <v>1275.0</v>
      </c>
      <c r="T2886" s="168">
        <f t="shared" si="3"/>
        <v>2149792.71</v>
      </c>
      <c r="U2886" s="168">
        <f t="shared" si="4"/>
        <v>0</v>
      </c>
      <c r="V2886" s="168">
        <f t="shared" si="5"/>
        <v>0</v>
      </c>
      <c r="W2886" s="168">
        <f t="shared" si="6"/>
        <v>0</v>
      </c>
      <c r="X2886" s="168">
        <f t="shared" si="7"/>
        <v>0</v>
      </c>
      <c r="Y2886" s="168">
        <f t="shared" si="8"/>
        <v>0</v>
      </c>
      <c r="Z2886" s="168">
        <f t="shared" si="9"/>
        <v>0</v>
      </c>
    </row>
    <row r="2887" ht="15.0" customHeight="1">
      <c r="A2887" s="157" t="s">
        <v>3360</v>
      </c>
      <c r="B2887" s="158" t="s">
        <v>19</v>
      </c>
      <c r="C2887" s="255" t="s">
        <v>3361</v>
      </c>
      <c r="D2887" s="159">
        <v>44547.0</v>
      </c>
      <c r="E2887" s="157" t="s">
        <v>731</v>
      </c>
      <c r="F2887" s="160">
        <v>1997.84</v>
      </c>
      <c r="G2887" s="160">
        <v>319.65</v>
      </c>
      <c r="H2887" s="160">
        <f t="shared" si="68"/>
        <v>2317.49</v>
      </c>
      <c r="I2887" s="160"/>
      <c r="J2887" s="161"/>
      <c r="K2887" s="160"/>
      <c r="L2887" s="160">
        <f>+'FACP$'!$H2887-'FACP$'!$I2887-'FACP$'!$K2887</f>
        <v>2317.49</v>
      </c>
      <c r="M2887" s="162" t="s">
        <v>732</v>
      </c>
      <c r="N2887" s="162" t="s">
        <v>554</v>
      </c>
      <c r="O2887" s="164">
        <v>44553.0</v>
      </c>
      <c r="P2887" s="164">
        <f t="array" ref="P2887">XLOOKUP('FACP$'!$B2887,'perfil de pagos'!A:A,'perfil de pagos'!B:B)+'FACP$'!$D2887</f>
        <v>44557</v>
      </c>
      <c r="Q2887" s="165">
        <f t="shared" si="2"/>
        <v>0</v>
      </c>
      <c r="R2887" s="167"/>
      <c r="S2887" s="167"/>
      <c r="T2887" s="168">
        <f t="shared" si="3"/>
        <v>2317.49</v>
      </c>
      <c r="U2887" s="168">
        <f t="shared" si="4"/>
        <v>0</v>
      </c>
      <c r="V2887" s="168">
        <f t="shared" si="5"/>
        <v>0</v>
      </c>
      <c r="W2887" s="168">
        <f t="shared" si="6"/>
        <v>0</v>
      </c>
      <c r="X2887" s="168">
        <f t="shared" si="7"/>
        <v>0</v>
      </c>
      <c r="Y2887" s="168">
        <f t="shared" si="8"/>
        <v>0</v>
      </c>
      <c r="Z2887" s="168">
        <f t="shared" si="9"/>
        <v>0</v>
      </c>
    </row>
    <row r="2888" ht="15.0" customHeight="1">
      <c r="A2888" s="157" t="s">
        <v>3362</v>
      </c>
      <c r="B2888" s="158" t="s">
        <v>31</v>
      </c>
      <c r="C2888" s="158" t="s">
        <v>3363</v>
      </c>
      <c r="D2888" s="159">
        <v>44547.0</v>
      </c>
      <c r="E2888" s="157" t="s">
        <v>731</v>
      </c>
      <c r="F2888" s="160">
        <v>126299.97</v>
      </c>
      <c r="G2888" s="160">
        <v>20208.0</v>
      </c>
      <c r="H2888" s="160">
        <f t="shared" si="68"/>
        <v>146507.97</v>
      </c>
      <c r="I2888" s="252"/>
      <c r="J2888" s="253"/>
      <c r="K2888" s="252"/>
      <c r="L2888" s="160">
        <f>+'FACP$'!$H2888-'FACP$'!$I2888-'FACP$'!$K2888</f>
        <v>146507.97</v>
      </c>
      <c r="M2888" s="162" t="s">
        <v>3183</v>
      </c>
      <c r="N2888" s="162" t="s">
        <v>554</v>
      </c>
      <c r="O2888" s="164">
        <v>44553.0</v>
      </c>
      <c r="P2888" s="164">
        <f t="array" ref="P2888">XLOOKUP('FACP$'!$B2888,'perfil de pagos'!A:A,'perfil de pagos'!B:B)+'FACP$'!$D2888</f>
        <v>44550</v>
      </c>
      <c r="Q2888" s="165">
        <f t="shared" si="2"/>
        <v>0</v>
      </c>
      <c r="R2888" s="167"/>
      <c r="S2888" s="167"/>
      <c r="T2888" s="168">
        <f t="shared" si="3"/>
        <v>146507.97</v>
      </c>
      <c r="U2888" s="168">
        <f t="shared" si="4"/>
        <v>0</v>
      </c>
      <c r="V2888" s="168">
        <f t="shared" si="5"/>
        <v>0</v>
      </c>
      <c r="W2888" s="168">
        <f t="shared" si="6"/>
        <v>0</v>
      </c>
      <c r="X2888" s="168">
        <f t="shared" si="7"/>
        <v>0</v>
      </c>
      <c r="Y2888" s="168">
        <f t="shared" si="8"/>
        <v>0</v>
      </c>
      <c r="Z2888" s="168">
        <f t="shared" si="9"/>
        <v>0</v>
      </c>
    </row>
    <row r="2889" ht="15.0" customHeight="1">
      <c r="A2889" s="157" t="s">
        <v>3364</v>
      </c>
      <c r="B2889" s="158" t="s">
        <v>19</v>
      </c>
      <c r="C2889" s="158" t="s">
        <v>3333</v>
      </c>
      <c r="D2889" s="159">
        <v>44547.0</v>
      </c>
      <c r="E2889" s="157" t="s">
        <v>731</v>
      </c>
      <c r="F2889" s="160">
        <v>225396.66</v>
      </c>
      <c r="G2889" s="160">
        <v>36063.47</v>
      </c>
      <c r="H2889" s="160">
        <f t="shared" si="68"/>
        <v>261460.13</v>
      </c>
      <c r="I2889" s="160"/>
      <c r="J2889" s="161"/>
      <c r="K2889" s="160"/>
      <c r="L2889" s="160">
        <f>+'FACP$'!$H2889-'FACP$'!$I2889-'FACP$'!$K2889</f>
        <v>261460.13</v>
      </c>
      <c r="M2889" s="162" t="s">
        <v>732</v>
      </c>
      <c r="N2889" s="162" t="s">
        <v>554</v>
      </c>
      <c r="O2889" s="164">
        <v>44553.0</v>
      </c>
      <c r="P2889" s="164">
        <f t="array" ref="P2889">XLOOKUP('FACP$'!$B2889,'perfil de pagos'!A:A,'perfil de pagos'!B:B)+'FACP$'!$D2889</f>
        <v>44557</v>
      </c>
      <c r="Q2889" s="165">
        <f t="shared" si="2"/>
        <v>0</v>
      </c>
      <c r="R2889" s="167"/>
      <c r="S2889" s="167"/>
      <c r="T2889" s="168">
        <f t="shared" si="3"/>
        <v>261460.13</v>
      </c>
      <c r="U2889" s="168">
        <f t="shared" si="4"/>
        <v>0</v>
      </c>
      <c r="V2889" s="168">
        <f t="shared" si="5"/>
        <v>0</v>
      </c>
      <c r="W2889" s="168">
        <f t="shared" si="6"/>
        <v>0</v>
      </c>
      <c r="X2889" s="168">
        <f t="shared" si="7"/>
        <v>0</v>
      </c>
      <c r="Y2889" s="168">
        <f t="shared" si="8"/>
        <v>0</v>
      </c>
      <c r="Z2889" s="168">
        <f t="shared" si="9"/>
        <v>0</v>
      </c>
    </row>
    <row r="2890" ht="15.0" customHeight="1">
      <c r="A2890" s="157" t="s">
        <v>3365</v>
      </c>
      <c r="B2890" s="158" t="s">
        <v>27</v>
      </c>
      <c r="C2890" s="158" t="s">
        <v>3366</v>
      </c>
      <c r="D2890" s="159">
        <v>44561.0</v>
      </c>
      <c r="E2890" s="157" t="s">
        <v>731</v>
      </c>
      <c r="F2890" s="160">
        <v>216386.74</v>
      </c>
      <c r="G2890" s="160">
        <v>34621.88</v>
      </c>
      <c r="H2890" s="160">
        <f t="shared" si="68"/>
        <v>251008.62</v>
      </c>
      <c r="I2890" s="160"/>
      <c r="J2890" s="161"/>
      <c r="K2890" s="160"/>
      <c r="L2890" s="160">
        <f>+'FACP$'!$H2890-'FACP$'!$I2890-'FACP$'!$K2890</f>
        <v>251008.62</v>
      </c>
      <c r="M2890" s="162" t="s">
        <v>151</v>
      </c>
      <c r="N2890" s="162" t="s">
        <v>554</v>
      </c>
      <c r="O2890" s="164">
        <v>44608.0</v>
      </c>
      <c r="P2890" s="164">
        <f t="array" ref="P2890">XLOOKUP('FACP$'!$B2890,'perfil de pagos'!A:A,'perfil de pagos'!B:B)+'FACP$'!$D2890</f>
        <v>44591</v>
      </c>
      <c r="Q2890" s="165">
        <f t="shared" si="2"/>
        <v>0</v>
      </c>
      <c r="R2890" s="167"/>
      <c r="S2890" s="167">
        <v>1289.0</v>
      </c>
      <c r="T2890" s="168">
        <f t="shared" si="3"/>
        <v>251008.62</v>
      </c>
      <c r="U2890" s="168">
        <f t="shared" si="4"/>
        <v>0</v>
      </c>
      <c r="V2890" s="168">
        <f t="shared" si="5"/>
        <v>0</v>
      </c>
      <c r="W2890" s="168">
        <f t="shared" si="6"/>
        <v>0</v>
      </c>
      <c r="X2890" s="168">
        <f t="shared" si="7"/>
        <v>0</v>
      </c>
      <c r="Y2890" s="168">
        <f t="shared" si="8"/>
        <v>0</v>
      </c>
      <c r="Z2890" s="168">
        <f t="shared" si="9"/>
        <v>0</v>
      </c>
    </row>
    <row r="2891" ht="15.0" customHeight="1">
      <c r="A2891" s="157" t="s">
        <v>3367</v>
      </c>
      <c r="B2891" s="158" t="s">
        <v>27</v>
      </c>
      <c r="C2891" s="158" t="s">
        <v>3368</v>
      </c>
      <c r="D2891" s="159">
        <v>44561.0</v>
      </c>
      <c r="E2891" s="157" t="s">
        <v>731</v>
      </c>
      <c r="F2891" s="160">
        <v>131479.25</v>
      </c>
      <c r="G2891" s="160">
        <v>21036.68</v>
      </c>
      <c r="H2891" s="160">
        <f t="shared" si="68"/>
        <v>152515.93</v>
      </c>
      <c r="I2891" s="160"/>
      <c r="J2891" s="161"/>
      <c r="K2891" s="160"/>
      <c r="L2891" s="160">
        <f>+'FACP$'!$H2891-'FACP$'!$I2891-'FACP$'!$K2891</f>
        <v>152515.93</v>
      </c>
      <c r="M2891" s="162" t="s">
        <v>151</v>
      </c>
      <c r="N2891" s="162" t="s">
        <v>554</v>
      </c>
      <c r="O2891" s="164">
        <v>44608.0</v>
      </c>
      <c r="P2891" s="164">
        <f t="array" ref="P2891">XLOOKUP('FACP$'!$B2891,'perfil de pagos'!A:A,'perfil de pagos'!B:B)+'FACP$'!$D2891</f>
        <v>44591</v>
      </c>
      <c r="Q2891" s="165">
        <f t="shared" si="2"/>
        <v>0</v>
      </c>
      <c r="R2891" s="167"/>
      <c r="S2891" s="167">
        <v>1289.0</v>
      </c>
      <c r="T2891" s="168">
        <f t="shared" si="3"/>
        <v>152515.93</v>
      </c>
      <c r="U2891" s="168">
        <f t="shared" si="4"/>
        <v>0</v>
      </c>
      <c r="V2891" s="168">
        <f t="shared" si="5"/>
        <v>0</v>
      </c>
      <c r="W2891" s="168">
        <f t="shared" si="6"/>
        <v>0</v>
      </c>
      <c r="X2891" s="168">
        <f t="shared" si="7"/>
        <v>0</v>
      </c>
      <c r="Y2891" s="168">
        <f t="shared" si="8"/>
        <v>0</v>
      </c>
      <c r="Z2891" s="168">
        <f t="shared" si="9"/>
        <v>0</v>
      </c>
    </row>
    <row r="2892" ht="15.0" customHeight="1">
      <c r="A2892" s="157" t="s">
        <v>3369</v>
      </c>
      <c r="B2892" s="158" t="s">
        <v>27</v>
      </c>
      <c r="C2892" s="158" t="s">
        <v>3366</v>
      </c>
      <c r="D2892" s="159">
        <v>44561.0</v>
      </c>
      <c r="E2892" s="157" t="s">
        <v>731</v>
      </c>
      <c r="F2892" s="160">
        <v>15968.97</v>
      </c>
      <c r="G2892" s="160">
        <v>2555.03</v>
      </c>
      <c r="H2892" s="160">
        <f t="shared" si="68"/>
        <v>18524</v>
      </c>
      <c r="I2892" s="160"/>
      <c r="J2892" s="161"/>
      <c r="K2892" s="160"/>
      <c r="L2892" s="160">
        <f>+'FACP$'!$H2892-'FACP$'!$I2892-'FACP$'!$K2892</f>
        <v>18524</v>
      </c>
      <c r="M2892" s="162" t="s">
        <v>151</v>
      </c>
      <c r="N2892" s="162" t="s">
        <v>554</v>
      </c>
      <c r="O2892" s="164">
        <v>44608.0</v>
      </c>
      <c r="P2892" s="164">
        <f t="array" ref="P2892">XLOOKUP('FACP$'!$B2892,'perfil de pagos'!A:A,'perfil de pagos'!B:B)+'FACP$'!$D2892</f>
        <v>44591</v>
      </c>
      <c r="Q2892" s="165">
        <f t="shared" si="2"/>
        <v>0</v>
      </c>
      <c r="R2892" s="167"/>
      <c r="S2892" s="167">
        <v>1289.0</v>
      </c>
      <c r="T2892" s="168">
        <f t="shared" si="3"/>
        <v>18524</v>
      </c>
      <c r="U2892" s="168">
        <f t="shared" si="4"/>
        <v>0</v>
      </c>
      <c r="V2892" s="168">
        <f t="shared" si="5"/>
        <v>0</v>
      </c>
      <c r="W2892" s="168">
        <f t="shared" si="6"/>
        <v>0</v>
      </c>
      <c r="X2892" s="168">
        <f t="shared" si="7"/>
        <v>0</v>
      </c>
      <c r="Y2892" s="168">
        <f t="shared" si="8"/>
        <v>0</v>
      </c>
      <c r="Z2892" s="168">
        <f t="shared" si="9"/>
        <v>0</v>
      </c>
    </row>
    <row r="2893" ht="15.0" customHeight="1">
      <c r="A2893" s="157" t="s">
        <v>3370</v>
      </c>
      <c r="B2893" s="158" t="s">
        <v>27</v>
      </c>
      <c r="C2893" s="158" t="s">
        <v>3368</v>
      </c>
      <c r="D2893" s="159">
        <v>44561.0</v>
      </c>
      <c r="E2893" s="157" t="s">
        <v>731</v>
      </c>
      <c r="F2893" s="160">
        <v>9702.94</v>
      </c>
      <c r="G2893" s="160">
        <v>1552.47</v>
      </c>
      <c r="H2893" s="160">
        <f t="shared" si="68"/>
        <v>11255.41</v>
      </c>
      <c r="I2893" s="160"/>
      <c r="J2893" s="161"/>
      <c r="K2893" s="160"/>
      <c r="L2893" s="160">
        <f>+'FACP$'!$H2893-'FACP$'!$I2893-'FACP$'!$K2893</f>
        <v>11255.41</v>
      </c>
      <c r="M2893" s="162" t="s">
        <v>151</v>
      </c>
      <c r="N2893" s="162" t="s">
        <v>554</v>
      </c>
      <c r="O2893" s="164">
        <v>44608.0</v>
      </c>
      <c r="P2893" s="164">
        <f t="array" ref="P2893">XLOOKUP('FACP$'!$B2893,'perfil de pagos'!A:A,'perfil de pagos'!B:B)+'FACP$'!$D2893</f>
        <v>44591</v>
      </c>
      <c r="Q2893" s="165">
        <f t="shared" si="2"/>
        <v>0</v>
      </c>
      <c r="R2893" s="167"/>
      <c r="S2893" s="167">
        <v>1289.0</v>
      </c>
      <c r="T2893" s="168">
        <f t="shared" si="3"/>
        <v>11255.41</v>
      </c>
      <c r="U2893" s="168">
        <f t="shared" si="4"/>
        <v>0</v>
      </c>
      <c r="V2893" s="168">
        <f t="shared" si="5"/>
        <v>0</v>
      </c>
      <c r="W2893" s="168">
        <f t="shared" si="6"/>
        <v>0</v>
      </c>
      <c r="X2893" s="168">
        <f t="shared" si="7"/>
        <v>0</v>
      </c>
      <c r="Y2893" s="168">
        <f t="shared" si="8"/>
        <v>0</v>
      </c>
      <c r="Z2893" s="168">
        <f t="shared" si="9"/>
        <v>0</v>
      </c>
    </row>
    <row r="2894" ht="15.0" customHeight="1">
      <c r="A2894" s="157" t="s">
        <v>3371</v>
      </c>
      <c r="B2894" s="158" t="s">
        <v>27</v>
      </c>
      <c r="C2894" s="158" t="s">
        <v>3366</v>
      </c>
      <c r="D2894" s="159">
        <v>44561.0</v>
      </c>
      <c r="E2894" s="157" t="s">
        <v>731</v>
      </c>
      <c r="F2894" s="160">
        <v>292673.85</v>
      </c>
      <c r="G2894" s="160">
        <v>46827.82</v>
      </c>
      <c r="H2894" s="160">
        <f t="shared" si="68"/>
        <v>339501.67</v>
      </c>
      <c r="I2894" s="160"/>
      <c r="J2894" s="161"/>
      <c r="K2894" s="160"/>
      <c r="L2894" s="160">
        <f>+'FACP$'!$H2894-'FACP$'!$I2894-'FACP$'!$K2894</f>
        <v>339501.67</v>
      </c>
      <c r="M2894" s="162" t="s">
        <v>158</v>
      </c>
      <c r="N2894" s="162" t="s">
        <v>554</v>
      </c>
      <c r="O2894" s="164">
        <v>44616.0</v>
      </c>
      <c r="P2894" s="164">
        <f t="array" ref="P2894">XLOOKUP('FACP$'!$B2894,'perfil de pagos'!A:A,'perfil de pagos'!B:B)+'FACP$'!$D2894</f>
        <v>44591</v>
      </c>
      <c r="Q2894" s="165">
        <f t="shared" si="2"/>
        <v>0</v>
      </c>
      <c r="R2894" s="167"/>
      <c r="S2894" s="167">
        <v>1298.0</v>
      </c>
      <c r="T2894" s="168">
        <f t="shared" si="3"/>
        <v>339501.67</v>
      </c>
      <c r="U2894" s="168">
        <f t="shared" si="4"/>
        <v>0</v>
      </c>
      <c r="V2894" s="168">
        <f t="shared" si="5"/>
        <v>0</v>
      </c>
      <c r="W2894" s="168">
        <f t="shared" si="6"/>
        <v>0</v>
      </c>
      <c r="X2894" s="168">
        <f t="shared" si="7"/>
        <v>0</v>
      </c>
      <c r="Y2894" s="168">
        <f t="shared" si="8"/>
        <v>0</v>
      </c>
      <c r="Z2894" s="168">
        <f t="shared" si="9"/>
        <v>0</v>
      </c>
    </row>
    <row r="2895" ht="15.0" customHeight="1">
      <c r="A2895" s="157" t="s">
        <v>3372</v>
      </c>
      <c r="B2895" s="158" t="s">
        <v>27</v>
      </c>
      <c r="C2895" s="158" t="s">
        <v>3368</v>
      </c>
      <c r="D2895" s="159">
        <v>44561.0</v>
      </c>
      <c r="E2895" s="157" t="s">
        <v>731</v>
      </c>
      <c r="F2895" s="160">
        <v>182760.02</v>
      </c>
      <c r="G2895" s="160">
        <v>29241.6</v>
      </c>
      <c r="H2895" s="160">
        <f t="shared" si="68"/>
        <v>212001.62</v>
      </c>
      <c r="I2895" s="160"/>
      <c r="J2895" s="161"/>
      <c r="K2895" s="160"/>
      <c r="L2895" s="160">
        <f>+'FACP$'!$H2895-'FACP$'!$I2895-'FACP$'!$K2895</f>
        <v>212001.62</v>
      </c>
      <c r="M2895" s="162" t="s">
        <v>158</v>
      </c>
      <c r="N2895" s="162" t="s">
        <v>554</v>
      </c>
      <c r="O2895" s="164">
        <v>44616.0</v>
      </c>
      <c r="P2895" s="164">
        <f t="array" ref="P2895">XLOOKUP('FACP$'!$B2895,'perfil de pagos'!A:A,'perfil de pagos'!B:B)+'FACP$'!$D2895</f>
        <v>44591</v>
      </c>
      <c r="Q2895" s="165">
        <f t="shared" si="2"/>
        <v>0</v>
      </c>
      <c r="R2895" s="167"/>
      <c r="S2895" s="167">
        <v>1298.0</v>
      </c>
      <c r="T2895" s="168">
        <f t="shared" si="3"/>
        <v>212001.62</v>
      </c>
      <c r="U2895" s="168">
        <f t="shared" si="4"/>
        <v>0</v>
      </c>
      <c r="V2895" s="168">
        <f t="shared" si="5"/>
        <v>0</v>
      </c>
      <c r="W2895" s="168">
        <f t="shared" si="6"/>
        <v>0</v>
      </c>
      <c r="X2895" s="168">
        <f t="shared" si="7"/>
        <v>0</v>
      </c>
      <c r="Y2895" s="168">
        <f t="shared" si="8"/>
        <v>0</v>
      </c>
      <c r="Z2895" s="168">
        <f t="shared" si="9"/>
        <v>0</v>
      </c>
    </row>
    <row r="2896" ht="15.0" customHeight="1">
      <c r="A2896" s="157" t="s">
        <v>3373</v>
      </c>
      <c r="B2896" s="209" t="s">
        <v>16</v>
      </c>
      <c r="C2896" s="244" t="s">
        <v>3374</v>
      </c>
      <c r="D2896" s="186">
        <v>44564.0</v>
      </c>
      <c r="E2896" s="210" t="s">
        <v>731</v>
      </c>
      <c r="F2896" s="211">
        <v>8273.33</v>
      </c>
      <c r="G2896" s="211">
        <v>1323.73</v>
      </c>
      <c r="H2896" s="160">
        <f t="shared" si="68"/>
        <v>9597.06</v>
      </c>
      <c r="I2896" s="211"/>
      <c r="J2896" s="212"/>
      <c r="K2896" s="211"/>
      <c r="L2896" s="211">
        <f>+'FACP$'!$H2896-'FACP$'!$I2896-'FACP$'!$K2896</f>
        <v>9597.06</v>
      </c>
      <c r="M2896" s="227" t="s">
        <v>985</v>
      </c>
      <c r="N2896" s="227" t="s">
        <v>127</v>
      </c>
      <c r="O2896" s="245"/>
      <c r="P2896" s="164">
        <f t="array" ref="P2896">XLOOKUP('FACP$'!$B2896,'perfil de pagos'!A:A,'perfil de pagos'!B:B)+'FACP$'!$D2896</f>
        <v>44574</v>
      </c>
      <c r="Q2896" s="246">
        <f t="shared" si="2"/>
        <v>0</v>
      </c>
      <c r="R2896" s="223"/>
      <c r="S2896" s="223"/>
      <c r="T2896" s="168">
        <f t="shared" si="3"/>
        <v>9597.06</v>
      </c>
      <c r="U2896" s="168">
        <f t="shared" si="4"/>
        <v>0</v>
      </c>
      <c r="V2896" s="168">
        <f t="shared" si="5"/>
        <v>0</v>
      </c>
      <c r="W2896" s="168">
        <f t="shared" si="6"/>
        <v>0</v>
      </c>
      <c r="X2896" s="168">
        <f t="shared" si="7"/>
        <v>0</v>
      </c>
      <c r="Y2896" s="168">
        <f t="shared" si="8"/>
        <v>0</v>
      </c>
      <c r="Z2896" s="168">
        <f t="shared" si="9"/>
        <v>0</v>
      </c>
    </row>
    <row r="2897" ht="15.0" customHeight="1">
      <c r="A2897" s="157" t="s">
        <v>3375</v>
      </c>
      <c r="B2897" s="209" t="s">
        <v>27</v>
      </c>
      <c r="C2897" s="244" t="s">
        <v>3376</v>
      </c>
      <c r="D2897" s="186">
        <v>44564.0</v>
      </c>
      <c r="E2897" s="210" t="s">
        <v>731</v>
      </c>
      <c r="F2897" s="211">
        <v>48661.4</v>
      </c>
      <c r="G2897" s="211">
        <v>7785.82</v>
      </c>
      <c r="H2897" s="160">
        <f t="shared" si="68"/>
        <v>56447.22</v>
      </c>
      <c r="I2897" s="211"/>
      <c r="J2897" s="212"/>
      <c r="K2897" s="211"/>
      <c r="L2897" s="211">
        <f>+'FACP$'!$H2897-'FACP$'!$I2897-'FACP$'!$K2897</f>
        <v>56447.22</v>
      </c>
      <c r="M2897" s="227" t="s">
        <v>969</v>
      </c>
      <c r="N2897" s="227" t="s">
        <v>127</v>
      </c>
      <c r="O2897" s="245"/>
      <c r="P2897" s="164">
        <f t="array" ref="P2897">XLOOKUP('FACP$'!$B2897,'perfil de pagos'!A:A,'perfil de pagos'!B:B)+'FACP$'!$D2897</f>
        <v>44594</v>
      </c>
      <c r="Q2897" s="246">
        <f t="shared" si="2"/>
        <v>0</v>
      </c>
      <c r="R2897" s="223"/>
      <c r="S2897" s="223"/>
      <c r="T2897" s="168">
        <f t="shared" si="3"/>
        <v>56447.22</v>
      </c>
      <c r="U2897" s="168">
        <f t="shared" si="4"/>
        <v>0</v>
      </c>
      <c r="V2897" s="168">
        <f t="shared" si="5"/>
        <v>0</v>
      </c>
      <c r="W2897" s="168">
        <f t="shared" si="6"/>
        <v>0</v>
      </c>
      <c r="X2897" s="168">
        <f t="shared" si="7"/>
        <v>0</v>
      </c>
      <c r="Y2897" s="168">
        <f t="shared" si="8"/>
        <v>0</v>
      </c>
      <c r="Z2897" s="168">
        <f t="shared" si="9"/>
        <v>0</v>
      </c>
    </row>
    <row r="2898" ht="15.0" customHeight="1">
      <c r="A2898" s="157" t="s">
        <v>3377</v>
      </c>
      <c r="B2898" s="209" t="s">
        <v>26</v>
      </c>
      <c r="C2898" s="209" t="s">
        <v>3378</v>
      </c>
      <c r="D2898" s="186">
        <v>44564.0</v>
      </c>
      <c r="E2898" s="210" t="s">
        <v>731</v>
      </c>
      <c r="F2898" s="211">
        <v>7077.35</v>
      </c>
      <c r="G2898" s="211">
        <v>1132.38</v>
      </c>
      <c r="H2898" s="160">
        <f t="shared" si="68"/>
        <v>8209.73</v>
      </c>
      <c r="I2898" s="211"/>
      <c r="J2898" s="212"/>
      <c r="K2898" s="211"/>
      <c r="L2898" s="211">
        <f>+'FACP$'!$H2898-'FACP$'!$I2898-'FACP$'!$K2898</f>
        <v>8209.73</v>
      </c>
      <c r="M2898" s="227" t="s">
        <v>2386</v>
      </c>
      <c r="N2898" s="227" t="s">
        <v>127</v>
      </c>
      <c r="O2898" s="245"/>
      <c r="P2898" s="164">
        <f t="array" ref="P2898">XLOOKUP('FACP$'!$B2898,'perfil de pagos'!A:A,'perfil de pagos'!B:B)+'FACP$'!$D2898</f>
        <v>44574</v>
      </c>
      <c r="Q2898" s="246">
        <f t="shared" si="2"/>
        <v>0</v>
      </c>
      <c r="R2898" s="223"/>
      <c r="S2898" s="223"/>
      <c r="T2898" s="168">
        <f t="shared" si="3"/>
        <v>8209.73</v>
      </c>
      <c r="U2898" s="168">
        <f t="shared" si="4"/>
        <v>0</v>
      </c>
      <c r="V2898" s="168">
        <f t="shared" si="5"/>
        <v>0</v>
      </c>
      <c r="W2898" s="168">
        <f t="shared" si="6"/>
        <v>0</v>
      </c>
      <c r="X2898" s="168">
        <f t="shared" si="7"/>
        <v>0</v>
      </c>
      <c r="Y2898" s="168">
        <f t="shared" si="8"/>
        <v>0</v>
      </c>
      <c r="Z2898" s="168">
        <f t="shared" si="9"/>
        <v>0</v>
      </c>
    </row>
    <row r="2899" ht="15.0" customHeight="1">
      <c r="A2899" s="157" t="s">
        <v>3379</v>
      </c>
      <c r="B2899" s="209" t="s">
        <v>41</v>
      </c>
      <c r="C2899" s="209" t="s">
        <v>3380</v>
      </c>
      <c r="D2899" s="186">
        <v>44564.0</v>
      </c>
      <c r="E2899" s="210" t="s">
        <v>731</v>
      </c>
      <c r="F2899" s="211">
        <v>34545.97</v>
      </c>
      <c r="G2899" s="211">
        <v>5527.35</v>
      </c>
      <c r="H2899" s="160">
        <f t="shared" si="68"/>
        <v>40073.32</v>
      </c>
      <c r="I2899" s="211"/>
      <c r="J2899" s="212"/>
      <c r="K2899" s="211"/>
      <c r="L2899" s="211">
        <f>+'FACP$'!$H2899-'FACP$'!$I2899-'FACP$'!$K2899</f>
        <v>40073.32</v>
      </c>
      <c r="M2899" s="227" t="s">
        <v>121</v>
      </c>
      <c r="N2899" s="227" t="s">
        <v>127</v>
      </c>
      <c r="O2899" s="245"/>
      <c r="P2899" s="164">
        <f t="array" ref="P2899">XLOOKUP('FACP$'!$B2899,'perfil de pagos'!A:A,'perfil de pagos'!B:B)+'FACP$'!$D2899</f>
        <v>44574</v>
      </c>
      <c r="Q2899" s="246">
        <f t="shared" si="2"/>
        <v>0</v>
      </c>
      <c r="R2899" s="223"/>
      <c r="S2899" s="223"/>
      <c r="T2899" s="168">
        <f t="shared" si="3"/>
        <v>40073.32</v>
      </c>
      <c r="U2899" s="168">
        <f t="shared" si="4"/>
        <v>0</v>
      </c>
      <c r="V2899" s="168">
        <f t="shared" si="5"/>
        <v>0</v>
      </c>
      <c r="W2899" s="168">
        <f t="shared" si="6"/>
        <v>0</v>
      </c>
      <c r="X2899" s="168">
        <f t="shared" si="7"/>
        <v>0</v>
      </c>
      <c r="Y2899" s="168">
        <f t="shared" si="8"/>
        <v>0</v>
      </c>
      <c r="Z2899" s="168">
        <f t="shared" si="9"/>
        <v>0</v>
      </c>
    </row>
    <row r="2900" ht="15.0" customHeight="1">
      <c r="A2900" s="157" t="s">
        <v>3381</v>
      </c>
      <c r="B2900" s="209" t="s">
        <v>37</v>
      </c>
      <c r="C2900" s="209" t="s">
        <v>3382</v>
      </c>
      <c r="D2900" s="186">
        <v>44564.0</v>
      </c>
      <c r="E2900" s="210" t="s">
        <v>731</v>
      </c>
      <c r="F2900" s="211">
        <v>1408.71</v>
      </c>
      <c r="G2900" s="211">
        <v>225.39</v>
      </c>
      <c r="H2900" s="160">
        <f t="shared" si="68"/>
        <v>1634.1</v>
      </c>
      <c r="I2900" s="211"/>
      <c r="J2900" s="212"/>
      <c r="K2900" s="211"/>
      <c r="L2900" s="211">
        <f>+'FACP$'!$H2900-'FACP$'!$I2900-'FACP$'!$K2900</f>
        <v>1634.1</v>
      </c>
      <c r="M2900" s="227" t="s">
        <v>116</v>
      </c>
      <c r="N2900" s="227" t="s">
        <v>127</v>
      </c>
      <c r="O2900" s="245"/>
      <c r="P2900" s="164">
        <f t="array" ref="P2900">XLOOKUP('FACP$'!$B2900,'perfil de pagos'!A:A,'perfil de pagos'!B:B)+'FACP$'!$D2900</f>
        <v>44574</v>
      </c>
      <c r="Q2900" s="246">
        <f t="shared" si="2"/>
        <v>0</v>
      </c>
      <c r="R2900" s="223"/>
      <c r="S2900" s="223"/>
      <c r="T2900" s="168">
        <f t="shared" si="3"/>
        <v>1634.1</v>
      </c>
      <c r="U2900" s="168">
        <f t="shared" si="4"/>
        <v>0</v>
      </c>
      <c r="V2900" s="168">
        <f t="shared" si="5"/>
        <v>0</v>
      </c>
      <c r="W2900" s="168">
        <f t="shared" si="6"/>
        <v>0</v>
      </c>
      <c r="X2900" s="168">
        <f t="shared" si="7"/>
        <v>0</v>
      </c>
      <c r="Y2900" s="168">
        <f t="shared" si="8"/>
        <v>0</v>
      </c>
      <c r="Z2900" s="168">
        <f t="shared" si="9"/>
        <v>0</v>
      </c>
    </row>
    <row r="2901" ht="15.0" customHeight="1">
      <c r="A2901" s="157" t="s">
        <v>3383</v>
      </c>
      <c r="B2901" s="209" t="s">
        <v>38</v>
      </c>
      <c r="C2901" s="209" t="s">
        <v>3384</v>
      </c>
      <c r="D2901" s="186">
        <v>44564.0</v>
      </c>
      <c r="E2901" s="210" t="s">
        <v>731</v>
      </c>
      <c r="F2901" s="211">
        <v>19948.69</v>
      </c>
      <c r="G2901" s="211">
        <v>3191.79</v>
      </c>
      <c r="H2901" s="160">
        <f t="shared" si="68"/>
        <v>23140.48</v>
      </c>
      <c r="I2901" s="211"/>
      <c r="J2901" s="212"/>
      <c r="K2901" s="211"/>
      <c r="L2901" s="211">
        <f>+'FACP$'!$H2901-'FACP$'!$I2901-'FACP$'!$K2901</f>
        <v>23140.48</v>
      </c>
      <c r="M2901" s="227" t="s">
        <v>145</v>
      </c>
      <c r="N2901" s="227" t="s">
        <v>127</v>
      </c>
      <c r="O2901" s="245"/>
      <c r="P2901" s="164">
        <f t="array" ref="P2901">XLOOKUP('FACP$'!$B2901,'perfil de pagos'!A:A,'perfil de pagos'!B:B)+'FACP$'!$D2901</f>
        <v>44594</v>
      </c>
      <c r="Q2901" s="246">
        <f t="shared" si="2"/>
        <v>0</v>
      </c>
      <c r="R2901" s="223"/>
      <c r="S2901" s="223"/>
      <c r="T2901" s="168">
        <f t="shared" si="3"/>
        <v>23140.48</v>
      </c>
      <c r="U2901" s="168">
        <f t="shared" si="4"/>
        <v>0</v>
      </c>
      <c r="V2901" s="168">
        <f t="shared" si="5"/>
        <v>0</v>
      </c>
      <c r="W2901" s="168">
        <f t="shared" si="6"/>
        <v>0</v>
      </c>
      <c r="X2901" s="168">
        <f t="shared" si="7"/>
        <v>0</v>
      </c>
      <c r="Y2901" s="168">
        <f t="shared" si="8"/>
        <v>0</v>
      </c>
      <c r="Z2901" s="168">
        <f t="shared" si="9"/>
        <v>0</v>
      </c>
    </row>
    <row r="2902" ht="15.0" customHeight="1">
      <c r="A2902" s="157" t="s">
        <v>3385</v>
      </c>
      <c r="B2902" s="209" t="s">
        <v>29</v>
      </c>
      <c r="C2902" s="209" t="s">
        <v>3386</v>
      </c>
      <c r="D2902" s="186">
        <v>44564.0</v>
      </c>
      <c r="E2902" s="210" t="s">
        <v>731</v>
      </c>
      <c r="F2902" s="211">
        <v>27042.24</v>
      </c>
      <c r="G2902" s="211">
        <v>4326.76</v>
      </c>
      <c r="H2902" s="160">
        <f t="shared" si="68"/>
        <v>31369</v>
      </c>
      <c r="I2902" s="211"/>
      <c r="J2902" s="212"/>
      <c r="K2902" s="211"/>
      <c r="L2902" s="211">
        <f>+'FACP$'!$H2902-'FACP$'!$I2902-'FACP$'!$K2902</f>
        <v>31369</v>
      </c>
      <c r="M2902" s="227" t="s">
        <v>130</v>
      </c>
      <c r="N2902" s="227" t="s">
        <v>127</v>
      </c>
      <c r="O2902" s="245"/>
      <c r="P2902" s="164">
        <f t="array" ref="P2902">XLOOKUP('FACP$'!$B2902,'perfil de pagos'!A:A,'perfil de pagos'!B:B)+'FACP$'!$D2902</f>
        <v>44574</v>
      </c>
      <c r="Q2902" s="246">
        <f t="shared" si="2"/>
        <v>0</v>
      </c>
      <c r="R2902" s="223"/>
      <c r="S2902" s="223"/>
      <c r="T2902" s="168">
        <f t="shared" si="3"/>
        <v>31369</v>
      </c>
      <c r="U2902" s="168">
        <f t="shared" si="4"/>
        <v>0</v>
      </c>
      <c r="V2902" s="168">
        <f t="shared" si="5"/>
        <v>0</v>
      </c>
      <c r="W2902" s="168">
        <f t="shared" si="6"/>
        <v>0</v>
      </c>
      <c r="X2902" s="168">
        <f t="shared" si="7"/>
        <v>0</v>
      </c>
      <c r="Y2902" s="168">
        <f t="shared" si="8"/>
        <v>0</v>
      </c>
      <c r="Z2902" s="168">
        <f t="shared" si="9"/>
        <v>0</v>
      </c>
    </row>
    <row r="2903" ht="15.0" customHeight="1">
      <c r="A2903" s="157" t="s">
        <v>3387</v>
      </c>
      <c r="B2903" s="209" t="s">
        <v>27</v>
      </c>
      <c r="C2903" s="209" t="s">
        <v>3388</v>
      </c>
      <c r="D2903" s="186">
        <v>44564.0</v>
      </c>
      <c r="E2903" s="210" t="s">
        <v>731</v>
      </c>
      <c r="F2903" s="211">
        <v>7836.05</v>
      </c>
      <c r="G2903" s="211">
        <v>1253.77</v>
      </c>
      <c r="H2903" s="160">
        <f t="shared" si="68"/>
        <v>9089.82</v>
      </c>
      <c r="I2903" s="211"/>
      <c r="J2903" s="212"/>
      <c r="K2903" s="211"/>
      <c r="L2903" s="211">
        <f>+'FACP$'!$H2903-'FACP$'!$I2903-'FACP$'!$K2903</f>
        <v>9089.82</v>
      </c>
      <c r="M2903" s="227" t="s">
        <v>969</v>
      </c>
      <c r="N2903" s="227" t="s">
        <v>127</v>
      </c>
      <c r="O2903" s="245"/>
      <c r="P2903" s="164">
        <f t="array" ref="P2903">XLOOKUP('FACP$'!$B2903,'perfil de pagos'!A:A,'perfil de pagos'!B:B)+'FACP$'!$D2903</f>
        <v>44594</v>
      </c>
      <c r="Q2903" s="246">
        <f t="shared" si="2"/>
        <v>0</v>
      </c>
      <c r="R2903" s="223"/>
      <c r="S2903" s="223"/>
      <c r="T2903" s="168">
        <f t="shared" si="3"/>
        <v>9089.82</v>
      </c>
      <c r="U2903" s="168">
        <f t="shared" si="4"/>
        <v>0</v>
      </c>
      <c r="V2903" s="168">
        <f t="shared" si="5"/>
        <v>0</v>
      </c>
      <c r="W2903" s="168">
        <f t="shared" si="6"/>
        <v>0</v>
      </c>
      <c r="X2903" s="168">
        <f t="shared" si="7"/>
        <v>0</v>
      </c>
      <c r="Y2903" s="168">
        <f t="shared" si="8"/>
        <v>0</v>
      </c>
      <c r="Z2903" s="168">
        <f t="shared" si="9"/>
        <v>0</v>
      </c>
    </row>
    <row r="2904" ht="15.0" customHeight="1">
      <c r="A2904" s="157" t="s">
        <v>3389</v>
      </c>
      <c r="B2904" s="209" t="s">
        <v>33</v>
      </c>
      <c r="C2904" s="209" t="s">
        <v>3390</v>
      </c>
      <c r="D2904" s="186">
        <v>44564.0</v>
      </c>
      <c r="E2904" s="210" t="s">
        <v>731</v>
      </c>
      <c r="F2904" s="211">
        <v>17020.52</v>
      </c>
      <c r="G2904" s="211">
        <v>2723.28</v>
      </c>
      <c r="H2904" s="160">
        <f t="shared" si="68"/>
        <v>19743.8</v>
      </c>
      <c r="I2904" s="211"/>
      <c r="J2904" s="212"/>
      <c r="K2904" s="211"/>
      <c r="L2904" s="211">
        <f>+'FACP$'!$H2904-'FACP$'!$I2904-'FACP$'!$K2904</f>
        <v>19743.8</v>
      </c>
      <c r="M2904" s="227" t="s">
        <v>958</v>
      </c>
      <c r="N2904" s="227" t="s">
        <v>127</v>
      </c>
      <c r="O2904" s="245"/>
      <c r="P2904" s="164">
        <f t="array" ref="P2904">XLOOKUP('FACP$'!$B2904,'perfil de pagos'!A:A,'perfil de pagos'!B:B)+'FACP$'!$D2904</f>
        <v>44574</v>
      </c>
      <c r="Q2904" s="246">
        <f t="shared" si="2"/>
        <v>0</v>
      </c>
      <c r="R2904" s="223"/>
      <c r="S2904" s="223"/>
      <c r="T2904" s="168">
        <f t="shared" si="3"/>
        <v>19743.8</v>
      </c>
      <c r="U2904" s="168">
        <f t="shared" si="4"/>
        <v>0</v>
      </c>
      <c r="V2904" s="168">
        <f t="shared" si="5"/>
        <v>0</v>
      </c>
      <c r="W2904" s="168">
        <f t="shared" si="6"/>
        <v>0</v>
      </c>
      <c r="X2904" s="168">
        <f t="shared" si="7"/>
        <v>0</v>
      </c>
      <c r="Y2904" s="168">
        <f t="shared" si="8"/>
        <v>0</v>
      </c>
      <c r="Z2904" s="168">
        <f t="shared" si="9"/>
        <v>0</v>
      </c>
    </row>
    <row r="2905" ht="15.0" customHeight="1">
      <c r="A2905" s="157" t="s">
        <v>3391</v>
      </c>
      <c r="B2905" s="209" t="s">
        <v>35</v>
      </c>
      <c r="C2905" s="209" t="s">
        <v>3392</v>
      </c>
      <c r="D2905" s="186">
        <v>44564.0</v>
      </c>
      <c r="E2905" s="210" t="s">
        <v>731</v>
      </c>
      <c r="F2905" s="211">
        <v>32656.86</v>
      </c>
      <c r="G2905" s="211">
        <v>5225.1</v>
      </c>
      <c r="H2905" s="160">
        <f t="shared" si="68"/>
        <v>37881.96</v>
      </c>
      <c r="I2905" s="211"/>
      <c r="J2905" s="212"/>
      <c r="K2905" s="211"/>
      <c r="L2905" s="211">
        <f>+'FACP$'!$H2905-'FACP$'!$I2905-'FACP$'!$K2905</f>
        <v>37881.96</v>
      </c>
      <c r="M2905" s="227" t="s">
        <v>276</v>
      </c>
      <c r="N2905" s="227" t="s">
        <v>127</v>
      </c>
      <c r="O2905" s="245"/>
      <c r="P2905" s="164">
        <f t="array" ref="P2905">XLOOKUP('FACP$'!$B2905,'perfil de pagos'!A:A,'perfil de pagos'!B:B)+'FACP$'!$D2905</f>
        <v>44574</v>
      </c>
      <c r="Q2905" s="246">
        <f t="shared" si="2"/>
        <v>0</v>
      </c>
      <c r="R2905" s="223"/>
      <c r="S2905" s="223"/>
      <c r="T2905" s="168">
        <f t="shared" si="3"/>
        <v>37881.96</v>
      </c>
      <c r="U2905" s="168">
        <f t="shared" si="4"/>
        <v>0</v>
      </c>
      <c r="V2905" s="168">
        <f t="shared" si="5"/>
        <v>0</v>
      </c>
      <c r="W2905" s="168">
        <f t="shared" si="6"/>
        <v>0</v>
      </c>
      <c r="X2905" s="168">
        <f t="shared" si="7"/>
        <v>0</v>
      </c>
      <c r="Y2905" s="168">
        <f t="shared" si="8"/>
        <v>0</v>
      </c>
      <c r="Z2905" s="168">
        <f t="shared" si="9"/>
        <v>0</v>
      </c>
    </row>
    <row r="2906" ht="15.0" customHeight="1">
      <c r="A2906" s="157" t="s">
        <v>3393</v>
      </c>
      <c r="B2906" s="209" t="s">
        <v>36</v>
      </c>
      <c r="C2906" s="209" t="s">
        <v>3394</v>
      </c>
      <c r="D2906" s="186">
        <v>44564.0</v>
      </c>
      <c r="E2906" s="210" t="s">
        <v>731</v>
      </c>
      <c r="F2906" s="211">
        <v>23402.89</v>
      </c>
      <c r="G2906" s="211">
        <v>3744.46</v>
      </c>
      <c r="H2906" s="160">
        <f t="shared" si="68"/>
        <v>27147.35</v>
      </c>
      <c r="I2906" s="211"/>
      <c r="J2906" s="212"/>
      <c r="K2906" s="211"/>
      <c r="L2906" s="211">
        <f>+'FACP$'!$H2906-'FACP$'!$I2906-'FACP$'!$K2906</f>
        <v>27147.35</v>
      </c>
      <c r="M2906" s="227" t="s">
        <v>278</v>
      </c>
      <c r="N2906" s="227" t="s">
        <v>127</v>
      </c>
      <c r="O2906" s="245"/>
      <c r="P2906" s="164">
        <f t="array" ref="P2906">XLOOKUP('FACP$'!$B2906,'perfil de pagos'!A:A,'perfil de pagos'!B:B)+'FACP$'!$D2906</f>
        <v>44574</v>
      </c>
      <c r="Q2906" s="246">
        <f t="shared" si="2"/>
        <v>0</v>
      </c>
      <c r="R2906" s="223"/>
      <c r="S2906" s="223"/>
      <c r="T2906" s="168">
        <f t="shared" si="3"/>
        <v>27147.35</v>
      </c>
      <c r="U2906" s="168">
        <f t="shared" si="4"/>
        <v>0</v>
      </c>
      <c r="V2906" s="168">
        <f t="shared" si="5"/>
        <v>0</v>
      </c>
      <c r="W2906" s="168">
        <f t="shared" si="6"/>
        <v>0</v>
      </c>
      <c r="X2906" s="168">
        <f t="shared" si="7"/>
        <v>0</v>
      </c>
      <c r="Y2906" s="168">
        <f t="shared" si="8"/>
        <v>0</v>
      </c>
      <c r="Z2906" s="168">
        <f t="shared" si="9"/>
        <v>0</v>
      </c>
    </row>
    <row r="2907" ht="15.0" customHeight="1">
      <c r="A2907" s="157" t="s">
        <v>3395</v>
      </c>
      <c r="B2907" s="209" t="s">
        <v>43</v>
      </c>
      <c r="C2907" s="209" t="s">
        <v>3396</v>
      </c>
      <c r="D2907" s="186">
        <v>44564.0</v>
      </c>
      <c r="E2907" s="210" t="s">
        <v>731</v>
      </c>
      <c r="F2907" s="211">
        <v>83471.78</v>
      </c>
      <c r="G2907" s="211">
        <v>13355.48</v>
      </c>
      <c r="H2907" s="160">
        <f t="shared" si="68"/>
        <v>96827.26</v>
      </c>
      <c r="I2907" s="211"/>
      <c r="J2907" s="212"/>
      <c r="K2907" s="211"/>
      <c r="L2907" s="211">
        <f>+'FACP$'!$H2907-'FACP$'!$I2907-'FACP$'!$K2907</f>
        <v>96827.26</v>
      </c>
      <c r="M2907" s="227" t="s">
        <v>43</v>
      </c>
      <c r="N2907" s="227" t="s">
        <v>127</v>
      </c>
      <c r="O2907" s="245"/>
      <c r="P2907" s="164">
        <f t="array" ref="P2907">XLOOKUP('FACP$'!$B2907,'perfil de pagos'!A:A,'perfil de pagos'!B:B)+'FACP$'!$D2907</f>
        <v>44589</v>
      </c>
      <c r="Q2907" s="246">
        <f t="shared" si="2"/>
        <v>0</v>
      </c>
      <c r="R2907" s="223" t="s">
        <v>3397</v>
      </c>
      <c r="S2907" s="223"/>
      <c r="T2907" s="168">
        <f t="shared" si="3"/>
        <v>96827.26</v>
      </c>
      <c r="U2907" s="168">
        <f t="shared" si="4"/>
        <v>0</v>
      </c>
      <c r="V2907" s="168">
        <f t="shared" si="5"/>
        <v>0</v>
      </c>
      <c r="W2907" s="168">
        <f t="shared" si="6"/>
        <v>0</v>
      </c>
      <c r="X2907" s="168">
        <f t="shared" si="7"/>
        <v>0</v>
      </c>
      <c r="Y2907" s="168">
        <f t="shared" si="8"/>
        <v>0</v>
      </c>
      <c r="Z2907" s="168">
        <f t="shared" si="9"/>
        <v>0</v>
      </c>
    </row>
    <row r="2908" ht="15.0" customHeight="1">
      <c r="A2908" s="157" t="s">
        <v>3398</v>
      </c>
      <c r="B2908" s="209" t="s">
        <v>26</v>
      </c>
      <c r="C2908" s="209" t="s">
        <v>3399</v>
      </c>
      <c r="D2908" s="186">
        <v>44564.0</v>
      </c>
      <c r="E2908" s="210" t="s">
        <v>731</v>
      </c>
      <c r="F2908" s="211">
        <v>7077.35</v>
      </c>
      <c r="G2908" s="211">
        <v>1132.38</v>
      </c>
      <c r="H2908" s="160">
        <f t="shared" si="68"/>
        <v>8209.73</v>
      </c>
      <c r="I2908" s="211"/>
      <c r="J2908" s="212"/>
      <c r="K2908" s="211"/>
      <c r="L2908" s="211">
        <f>+'FACP$'!$H2908-'FACP$'!$I2908-'FACP$'!$K2908</f>
        <v>8209.73</v>
      </c>
      <c r="M2908" s="227" t="s">
        <v>2386</v>
      </c>
      <c r="N2908" s="227" t="s">
        <v>127</v>
      </c>
      <c r="O2908" s="245"/>
      <c r="P2908" s="164">
        <f t="array" ref="P2908">XLOOKUP('FACP$'!$B2908,'perfil de pagos'!A:A,'perfil de pagos'!B:B)+'FACP$'!$D2908</f>
        <v>44574</v>
      </c>
      <c r="Q2908" s="246">
        <f t="shared" si="2"/>
        <v>0</v>
      </c>
      <c r="R2908" s="223"/>
      <c r="S2908" s="223"/>
      <c r="T2908" s="168">
        <f t="shared" si="3"/>
        <v>8209.73</v>
      </c>
      <c r="U2908" s="168">
        <f t="shared" si="4"/>
        <v>0</v>
      </c>
      <c r="V2908" s="168">
        <f t="shared" si="5"/>
        <v>0</v>
      </c>
      <c r="W2908" s="168">
        <f t="shared" si="6"/>
        <v>0</v>
      </c>
      <c r="X2908" s="168">
        <f t="shared" si="7"/>
        <v>0</v>
      </c>
      <c r="Y2908" s="168">
        <f t="shared" si="8"/>
        <v>0</v>
      </c>
      <c r="Z2908" s="168">
        <f t="shared" si="9"/>
        <v>0</v>
      </c>
    </row>
    <row r="2909" ht="15.0" customHeight="1">
      <c r="A2909" s="157" t="s">
        <v>3400</v>
      </c>
      <c r="B2909" s="158" t="s">
        <v>16</v>
      </c>
      <c r="C2909" s="158" t="s">
        <v>3366</v>
      </c>
      <c r="D2909" s="159">
        <v>44567.0</v>
      </c>
      <c r="E2909" s="157" t="s">
        <v>731</v>
      </c>
      <c r="F2909" s="160">
        <v>300689.39</v>
      </c>
      <c r="G2909" s="160">
        <v>48110.3</v>
      </c>
      <c r="H2909" s="160">
        <f t="shared" si="68"/>
        <v>348799.69</v>
      </c>
      <c r="I2909" s="160"/>
      <c r="J2909" s="161"/>
      <c r="K2909" s="160"/>
      <c r="L2909" s="160">
        <f>+'FACP$'!$H2909-'FACP$'!$I2909-'FACP$'!$K2909</f>
        <v>348799.69</v>
      </c>
      <c r="M2909" s="162" t="s">
        <v>985</v>
      </c>
      <c r="N2909" s="162" t="s">
        <v>554</v>
      </c>
      <c r="O2909" s="164">
        <v>44596.0</v>
      </c>
      <c r="P2909" s="164">
        <f t="array" ref="P2909">XLOOKUP('FACP$'!$B2909,'perfil de pagos'!A:A,'perfil de pagos'!B:B)+'FACP$'!$D2909</f>
        <v>44577</v>
      </c>
      <c r="Q2909" s="165">
        <f t="shared" si="2"/>
        <v>0</v>
      </c>
      <c r="R2909" s="167"/>
      <c r="S2909" s="167"/>
      <c r="T2909" s="168">
        <f t="shared" si="3"/>
        <v>348799.69</v>
      </c>
      <c r="U2909" s="168">
        <f t="shared" si="4"/>
        <v>0</v>
      </c>
      <c r="V2909" s="168">
        <f t="shared" si="5"/>
        <v>0</v>
      </c>
      <c r="W2909" s="168">
        <f t="shared" si="6"/>
        <v>0</v>
      </c>
      <c r="X2909" s="168">
        <f t="shared" si="7"/>
        <v>0</v>
      </c>
      <c r="Y2909" s="168">
        <f t="shared" si="8"/>
        <v>0</v>
      </c>
      <c r="Z2909" s="168">
        <f t="shared" si="9"/>
        <v>0</v>
      </c>
    </row>
    <row r="2910" ht="15.0" customHeight="1">
      <c r="A2910" s="157" t="s">
        <v>3401</v>
      </c>
      <c r="B2910" s="158" t="s">
        <v>16</v>
      </c>
      <c r="C2910" s="158" t="s">
        <v>3402</v>
      </c>
      <c r="D2910" s="159">
        <v>44567.0</v>
      </c>
      <c r="E2910" s="157" t="s">
        <v>731</v>
      </c>
      <c r="F2910" s="160">
        <v>284809.47</v>
      </c>
      <c r="G2910" s="160">
        <v>45569.52</v>
      </c>
      <c r="H2910" s="160">
        <f t="shared" si="68"/>
        <v>330378.99</v>
      </c>
      <c r="I2910" s="160"/>
      <c r="J2910" s="161"/>
      <c r="K2910" s="160"/>
      <c r="L2910" s="160">
        <f>+'FACP$'!$H2910-'FACP$'!$I2910-'FACP$'!$K2910</f>
        <v>330378.99</v>
      </c>
      <c r="M2910" s="162" t="s">
        <v>985</v>
      </c>
      <c r="N2910" s="162" t="s">
        <v>554</v>
      </c>
      <c r="O2910" s="164">
        <v>44595.0</v>
      </c>
      <c r="P2910" s="164">
        <f t="array" ref="P2910">XLOOKUP('FACP$'!$B2910,'perfil de pagos'!A:A,'perfil de pagos'!B:B)+'FACP$'!$D2910</f>
        <v>44577</v>
      </c>
      <c r="Q2910" s="165">
        <f t="shared" si="2"/>
        <v>0</v>
      </c>
      <c r="R2910" s="167"/>
      <c r="S2910" s="167"/>
      <c r="T2910" s="168">
        <f t="shared" si="3"/>
        <v>330378.99</v>
      </c>
      <c r="U2910" s="168">
        <f t="shared" si="4"/>
        <v>0</v>
      </c>
      <c r="V2910" s="168">
        <f t="shared" si="5"/>
        <v>0</v>
      </c>
      <c r="W2910" s="168">
        <f t="shared" si="6"/>
        <v>0</v>
      </c>
      <c r="X2910" s="168">
        <f t="shared" si="7"/>
        <v>0</v>
      </c>
      <c r="Y2910" s="168">
        <f t="shared" si="8"/>
        <v>0</v>
      </c>
      <c r="Z2910" s="168">
        <f t="shared" si="9"/>
        <v>0</v>
      </c>
    </row>
    <row r="2911" ht="15.0" customHeight="1">
      <c r="A2911" s="157" t="s">
        <v>3403</v>
      </c>
      <c r="B2911" s="158" t="s">
        <v>18</v>
      </c>
      <c r="C2911" s="158" t="s">
        <v>3366</v>
      </c>
      <c r="D2911" s="159">
        <v>44567.0</v>
      </c>
      <c r="E2911" s="157" t="s">
        <v>731</v>
      </c>
      <c r="F2911" s="160">
        <v>178725.88</v>
      </c>
      <c r="G2911" s="160">
        <v>28596.14</v>
      </c>
      <c r="H2911" s="160">
        <f t="shared" si="68"/>
        <v>207322.02</v>
      </c>
      <c r="I2911" s="160"/>
      <c r="J2911" s="161"/>
      <c r="K2911" s="160"/>
      <c r="L2911" s="160">
        <f>+'FACP$'!$H2911-'FACP$'!$I2911-'FACP$'!$K2911</f>
        <v>207322.02</v>
      </c>
      <c r="M2911" s="162" t="s">
        <v>586</v>
      </c>
      <c r="N2911" s="162" t="s">
        <v>554</v>
      </c>
      <c r="O2911" s="164">
        <v>44616.0</v>
      </c>
      <c r="P2911" s="164">
        <f t="array" ref="P2911">XLOOKUP('FACP$'!$B2911,'perfil de pagos'!A:A,'perfil de pagos'!B:B)+'FACP$'!$D2911</f>
        <v>44577</v>
      </c>
      <c r="Q2911" s="165">
        <f t="shared" si="2"/>
        <v>0</v>
      </c>
      <c r="R2911" s="167"/>
      <c r="S2911" s="167">
        <v>1300.0</v>
      </c>
      <c r="T2911" s="168">
        <f t="shared" si="3"/>
        <v>207322.02</v>
      </c>
      <c r="U2911" s="168">
        <f t="shared" si="4"/>
        <v>0</v>
      </c>
      <c r="V2911" s="168">
        <f t="shared" si="5"/>
        <v>0</v>
      </c>
      <c r="W2911" s="168">
        <f t="shared" si="6"/>
        <v>0</v>
      </c>
      <c r="X2911" s="168">
        <f t="shared" si="7"/>
        <v>0</v>
      </c>
      <c r="Y2911" s="168">
        <f t="shared" si="8"/>
        <v>0</v>
      </c>
      <c r="Z2911" s="168">
        <f t="shared" si="9"/>
        <v>0</v>
      </c>
    </row>
    <row r="2912" ht="15.0" customHeight="1">
      <c r="A2912" s="157" t="s">
        <v>3404</v>
      </c>
      <c r="B2912" s="158" t="s">
        <v>19</v>
      </c>
      <c r="C2912" s="158" t="s">
        <v>3366</v>
      </c>
      <c r="D2912" s="159">
        <v>44567.0</v>
      </c>
      <c r="E2912" s="157" t="s">
        <v>731</v>
      </c>
      <c r="F2912" s="160">
        <v>257118.26</v>
      </c>
      <c r="G2912" s="160">
        <v>41138.92</v>
      </c>
      <c r="H2912" s="160">
        <f t="shared" si="68"/>
        <v>298257.18</v>
      </c>
      <c r="I2912" s="160"/>
      <c r="J2912" s="161"/>
      <c r="K2912" s="160"/>
      <c r="L2912" s="160">
        <f>+'FACP$'!$H2912-'FACP$'!$I2912-'FACP$'!$K2912</f>
        <v>298257.18</v>
      </c>
      <c r="M2912" s="162" t="s">
        <v>732</v>
      </c>
      <c r="N2912" s="162" t="s">
        <v>554</v>
      </c>
      <c r="O2912" s="164">
        <v>44616.0</v>
      </c>
      <c r="P2912" s="164">
        <f t="array" ref="P2912">XLOOKUP('FACP$'!$B2912,'perfil de pagos'!A:A,'perfil de pagos'!B:B)+'FACP$'!$D2912</f>
        <v>44577</v>
      </c>
      <c r="Q2912" s="165">
        <f t="shared" si="2"/>
        <v>0</v>
      </c>
      <c r="R2912" s="167"/>
      <c r="S2912" s="167">
        <v>1300.0</v>
      </c>
      <c r="T2912" s="168">
        <f t="shared" si="3"/>
        <v>298257.18</v>
      </c>
      <c r="U2912" s="168">
        <f t="shared" si="4"/>
        <v>0</v>
      </c>
      <c r="V2912" s="168">
        <f t="shared" si="5"/>
        <v>0</v>
      </c>
      <c r="W2912" s="168">
        <f t="shared" si="6"/>
        <v>0</v>
      </c>
      <c r="X2912" s="168">
        <f t="shared" si="7"/>
        <v>0</v>
      </c>
      <c r="Y2912" s="168">
        <f t="shared" si="8"/>
        <v>0</v>
      </c>
      <c r="Z2912" s="168">
        <f t="shared" si="9"/>
        <v>0</v>
      </c>
    </row>
    <row r="2913" ht="15.0" customHeight="1">
      <c r="A2913" s="157" t="s">
        <v>3405</v>
      </c>
      <c r="B2913" s="158" t="s">
        <v>26</v>
      </c>
      <c r="C2913" s="158" t="s">
        <v>3366</v>
      </c>
      <c r="D2913" s="159">
        <v>44567.0</v>
      </c>
      <c r="E2913" s="157" t="s">
        <v>731</v>
      </c>
      <c r="F2913" s="160">
        <v>55138.56</v>
      </c>
      <c r="G2913" s="160">
        <v>8822.17</v>
      </c>
      <c r="H2913" s="160">
        <f>F2913+G2913-16522.82</f>
        <v>47437.91</v>
      </c>
      <c r="I2913" s="160"/>
      <c r="J2913" s="161"/>
      <c r="K2913" s="160"/>
      <c r="L2913" s="160">
        <f>+'FACP$'!$H2913-'FACP$'!$I2913-'FACP$'!$K2913</f>
        <v>47437.91</v>
      </c>
      <c r="M2913" s="162" t="s">
        <v>2386</v>
      </c>
      <c r="N2913" s="162" t="s">
        <v>554</v>
      </c>
      <c r="O2913" s="164">
        <v>44663.0</v>
      </c>
      <c r="P2913" s="164">
        <f t="array" ref="P2913">XLOOKUP('FACP$'!$B2913,'perfil de pagos'!A:A,'perfil de pagos'!B:B)+'FACP$'!$D2913</f>
        <v>44577</v>
      </c>
      <c r="Q2913" s="165">
        <f t="shared" si="2"/>
        <v>0</v>
      </c>
      <c r="R2913" s="220" t="s">
        <v>3406</v>
      </c>
      <c r="S2913" s="167" t="s">
        <v>3407</v>
      </c>
      <c r="T2913" s="168">
        <f t="shared" si="3"/>
        <v>47437.91</v>
      </c>
      <c r="U2913" s="168">
        <f t="shared" si="4"/>
        <v>0</v>
      </c>
      <c r="V2913" s="168">
        <f t="shared" si="5"/>
        <v>0</v>
      </c>
      <c r="W2913" s="168">
        <f t="shared" si="6"/>
        <v>0</v>
      </c>
      <c r="X2913" s="168">
        <f t="shared" si="7"/>
        <v>0</v>
      </c>
      <c r="Y2913" s="168">
        <f t="shared" si="8"/>
        <v>0</v>
      </c>
      <c r="Z2913" s="168">
        <f t="shared" si="9"/>
        <v>0</v>
      </c>
    </row>
    <row r="2914" ht="15.0" customHeight="1">
      <c r="A2914" s="157" t="s">
        <v>3408</v>
      </c>
      <c r="B2914" s="158" t="s">
        <v>29</v>
      </c>
      <c r="C2914" s="158" t="s">
        <v>3366</v>
      </c>
      <c r="D2914" s="159">
        <v>44567.0</v>
      </c>
      <c r="E2914" s="157" t="s">
        <v>731</v>
      </c>
      <c r="F2914" s="160">
        <v>362151.12</v>
      </c>
      <c r="G2914" s="160">
        <v>57944.18</v>
      </c>
      <c r="H2914" s="160">
        <f t="shared" ref="H2914:H2922" si="69">F2914+G2914</f>
        <v>420095.3</v>
      </c>
      <c r="I2914" s="160"/>
      <c r="J2914" s="161"/>
      <c r="K2914" s="160"/>
      <c r="L2914" s="160">
        <f>+'FACP$'!$H2914-'FACP$'!$I2914-'FACP$'!$K2914</f>
        <v>420095.3</v>
      </c>
      <c r="M2914" s="162" t="s">
        <v>130</v>
      </c>
      <c r="N2914" s="162" t="s">
        <v>554</v>
      </c>
      <c r="O2914" s="164">
        <v>44575.0</v>
      </c>
      <c r="P2914" s="164">
        <f t="array" ref="P2914">XLOOKUP('FACP$'!$B2914,'perfil de pagos'!A:A,'perfil de pagos'!B:B)+'FACP$'!$D2914</f>
        <v>44577</v>
      </c>
      <c r="Q2914" s="165">
        <f t="shared" si="2"/>
        <v>0</v>
      </c>
      <c r="R2914" s="167"/>
      <c r="S2914" s="167"/>
      <c r="T2914" s="168">
        <f t="shared" si="3"/>
        <v>420095.3</v>
      </c>
      <c r="U2914" s="168">
        <f t="shared" si="4"/>
        <v>0</v>
      </c>
      <c r="V2914" s="168">
        <f t="shared" si="5"/>
        <v>0</v>
      </c>
      <c r="W2914" s="168">
        <f t="shared" si="6"/>
        <v>0</v>
      </c>
      <c r="X2914" s="168">
        <f t="shared" si="7"/>
        <v>0</v>
      </c>
      <c r="Y2914" s="168">
        <f t="shared" si="8"/>
        <v>0</v>
      </c>
      <c r="Z2914" s="168">
        <f t="shared" si="9"/>
        <v>0</v>
      </c>
    </row>
    <row r="2915" ht="15.0" customHeight="1">
      <c r="A2915" s="157" t="s">
        <v>3409</v>
      </c>
      <c r="B2915" s="158" t="s">
        <v>29</v>
      </c>
      <c r="C2915" s="158" t="s">
        <v>3368</v>
      </c>
      <c r="D2915" s="159">
        <v>44567.0</v>
      </c>
      <c r="E2915" s="157" t="s">
        <v>731</v>
      </c>
      <c r="F2915" s="160">
        <v>397388.57</v>
      </c>
      <c r="G2915" s="160">
        <v>63582.17</v>
      </c>
      <c r="H2915" s="160">
        <f t="shared" si="69"/>
        <v>460970.74</v>
      </c>
      <c r="I2915" s="160"/>
      <c r="J2915" s="161"/>
      <c r="K2915" s="160"/>
      <c r="L2915" s="160">
        <f>+'FACP$'!$H2915-'FACP$'!$I2915-'FACP$'!$K2915</f>
        <v>460970.74</v>
      </c>
      <c r="M2915" s="162" t="s">
        <v>130</v>
      </c>
      <c r="N2915" s="162" t="s">
        <v>554</v>
      </c>
      <c r="O2915" s="164">
        <v>44579.0</v>
      </c>
      <c r="P2915" s="164">
        <f t="array" ref="P2915">XLOOKUP('FACP$'!$B2915,'perfil de pagos'!A:A,'perfil de pagos'!B:B)+'FACP$'!$D2915</f>
        <v>44577</v>
      </c>
      <c r="Q2915" s="165">
        <f t="shared" si="2"/>
        <v>0</v>
      </c>
      <c r="R2915" s="167"/>
      <c r="S2915" s="167"/>
      <c r="T2915" s="168">
        <f t="shared" si="3"/>
        <v>460970.74</v>
      </c>
      <c r="U2915" s="168">
        <f t="shared" si="4"/>
        <v>0</v>
      </c>
      <c r="V2915" s="168">
        <f t="shared" si="5"/>
        <v>0</v>
      </c>
      <c r="W2915" s="168">
        <f t="shared" si="6"/>
        <v>0</v>
      </c>
      <c r="X2915" s="168">
        <f t="shared" si="7"/>
        <v>0</v>
      </c>
      <c r="Y2915" s="168">
        <f t="shared" si="8"/>
        <v>0</v>
      </c>
      <c r="Z2915" s="168">
        <f t="shared" si="9"/>
        <v>0</v>
      </c>
    </row>
    <row r="2916" ht="15.0" customHeight="1">
      <c r="A2916" s="157" t="s">
        <v>3410</v>
      </c>
      <c r="B2916" s="158" t="s">
        <v>41</v>
      </c>
      <c r="C2916" s="158" t="s">
        <v>3366</v>
      </c>
      <c r="D2916" s="159">
        <v>44567.0</v>
      </c>
      <c r="E2916" s="157" t="s">
        <v>731</v>
      </c>
      <c r="F2916" s="160">
        <v>997768.06</v>
      </c>
      <c r="G2916" s="160">
        <v>159642.89</v>
      </c>
      <c r="H2916" s="160">
        <f t="shared" si="69"/>
        <v>1157410.95</v>
      </c>
      <c r="I2916" s="160"/>
      <c r="J2916" s="161"/>
      <c r="K2916" s="160"/>
      <c r="L2916" s="160">
        <f>+'FACP$'!$H2916-'FACP$'!$I2916-'FACP$'!$K2916</f>
        <v>1157410.95</v>
      </c>
      <c r="M2916" s="162" t="s">
        <v>121</v>
      </c>
      <c r="N2916" s="162" t="s">
        <v>554</v>
      </c>
      <c r="O2916" s="164">
        <v>44610.0</v>
      </c>
      <c r="P2916" s="164">
        <f t="array" ref="P2916">XLOOKUP('FACP$'!$B2916,'perfil de pagos'!A:A,'perfil de pagos'!B:B)+'FACP$'!$D2916</f>
        <v>44577</v>
      </c>
      <c r="Q2916" s="165">
        <f t="shared" si="2"/>
        <v>0</v>
      </c>
      <c r="R2916" s="167"/>
      <c r="S2916" s="167"/>
      <c r="T2916" s="168">
        <f t="shared" si="3"/>
        <v>1157410.95</v>
      </c>
      <c r="U2916" s="168">
        <f t="shared" si="4"/>
        <v>0</v>
      </c>
      <c r="V2916" s="168">
        <f t="shared" si="5"/>
        <v>0</v>
      </c>
      <c r="W2916" s="168">
        <f t="shared" si="6"/>
        <v>0</v>
      </c>
      <c r="X2916" s="168">
        <f t="shared" si="7"/>
        <v>0</v>
      </c>
      <c r="Y2916" s="168">
        <f t="shared" si="8"/>
        <v>0</v>
      </c>
      <c r="Z2916" s="168">
        <f t="shared" si="9"/>
        <v>0</v>
      </c>
    </row>
    <row r="2917" ht="15.0" customHeight="1">
      <c r="A2917" s="157" t="s">
        <v>3411</v>
      </c>
      <c r="B2917" s="158" t="s">
        <v>37</v>
      </c>
      <c r="C2917" s="158" t="s">
        <v>3366</v>
      </c>
      <c r="D2917" s="159">
        <v>44567.0</v>
      </c>
      <c r="E2917" s="157" t="s">
        <v>731</v>
      </c>
      <c r="F2917" s="160">
        <v>2177263.24</v>
      </c>
      <c r="G2917" s="160">
        <v>348362.12</v>
      </c>
      <c r="H2917" s="160">
        <f t="shared" si="69"/>
        <v>2525625.36</v>
      </c>
      <c r="I2917" s="160"/>
      <c r="J2917" s="161"/>
      <c r="K2917" s="160"/>
      <c r="L2917" s="160">
        <f>+'FACP$'!$H2917-'FACP$'!$I2917-'FACP$'!$K2917</f>
        <v>2525625.36</v>
      </c>
      <c r="M2917" s="162" t="s">
        <v>116</v>
      </c>
      <c r="N2917" s="162" t="s">
        <v>554</v>
      </c>
      <c r="O2917" s="164">
        <v>44600.0</v>
      </c>
      <c r="P2917" s="164">
        <f t="array" ref="P2917">XLOOKUP('FACP$'!$B2917,'perfil de pagos'!A:A,'perfil de pagos'!B:B)+'FACP$'!$D2917</f>
        <v>44577</v>
      </c>
      <c r="Q2917" s="165">
        <f t="shared" si="2"/>
        <v>0</v>
      </c>
      <c r="R2917" s="167"/>
      <c r="S2917" s="167"/>
      <c r="T2917" s="168">
        <f t="shared" si="3"/>
        <v>2525625.36</v>
      </c>
      <c r="U2917" s="168">
        <f t="shared" si="4"/>
        <v>0</v>
      </c>
      <c r="V2917" s="168">
        <f t="shared" si="5"/>
        <v>0</v>
      </c>
      <c r="W2917" s="168">
        <f t="shared" si="6"/>
        <v>0</v>
      </c>
      <c r="X2917" s="168">
        <f t="shared" si="7"/>
        <v>0</v>
      </c>
      <c r="Y2917" s="168">
        <f t="shared" si="8"/>
        <v>0</v>
      </c>
      <c r="Z2917" s="168">
        <f t="shared" si="9"/>
        <v>0</v>
      </c>
    </row>
    <row r="2918" ht="15.0" customHeight="1">
      <c r="A2918" s="157" t="s">
        <v>3412</v>
      </c>
      <c r="B2918" s="158" t="s">
        <v>33</v>
      </c>
      <c r="C2918" s="158" t="s">
        <v>3366</v>
      </c>
      <c r="D2918" s="159">
        <v>44567.0</v>
      </c>
      <c r="E2918" s="157" t="s">
        <v>731</v>
      </c>
      <c r="F2918" s="160">
        <v>1383221.23</v>
      </c>
      <c r="G2918" s="160">
        <v>221315.4</v>
      </c>
      <c r="H2918" s="160">
        <f t="shared" si="69"/>
        <v>1604536.63</v>
      </c>
      <c r="I2918" s="160"/>
      <c r="J2918" s="161"/>
      <c r="K2918" s="160"/>
      <c r="L2918" s="160">
        <f>+'FACP$'!$H2918-'FACP$'!$I2918-'FACP$'!$K2918</f>
        <v>1604536.63</v>
      </c>
      <c r="M2918" s="162" t="s">
        <v>958</v>
      </c>
      <c r="N2918" s="162" t="s">
        <v>554</v>
      </c>
      <c r="O2918" s="164">
        <v>44575.0</v>
      </c>
      <c r="P2918" s="164">
        <f t="array" ref="P2918">XLOOKUP('FACP$'!$B2918,'perfil de pagos'!A:A,'perfil de pagos'!B:B)+'FACP$'!$D2918</f>
        <v>44577</v>
      </c>
      <c r="Q2918" s="165">
        <f t="shared" si="2"/>
        <v>0</v>
      </c>
      <c r="R2918" s="167"/>
      <c r="S2918" s="167">
        <v>1267.0</v>
      </c>
      <c r="T2918" s="168">
        <f t="shared" si="3"/>
        <v>1604536.63</v>
      </c>
      <c r="U2918" s="168">
        <f t="shared" si="4"/>
        <v>0</v>
      </c>
      <c r="V2918" s="168">
        <f t="shared" si="5"/>
        <v>0</v>
      </c>
      <c r="W2918" s="168">
        <f t="shared" si="6"/>
        <v>0</v>
      </c>
      <c r="X2918" s="168">
        <f t="shared" si="7"/>
        <v>0</v>
      </c>
      <c r="Y2918" s="168">
        <f t="shared" si="8"/>
        <v>0</v>
      </c>
      <c r="Z2918" s="168">
        <f t="shared" si="9"/>
        <v>0</v>
      </c>
    </row>
    <row r="2919" ht="15.0" customHeight="1">
      <c r="A2919" s="157" t="s">
        <v>3413</v>
      </c>
      <c r="B2919" s="158" t="s">
        <v>35</v>
      </c>
      <c r="C2919" s="158" t="s">
        <v>3366</v>
      </c>
      <c r="D2919" s="159">
        <v>44567.0</v>
      </c>
      <c r="E2919" s="157" t="s">
        <v>731</v>
      </c>
      <c r="F2919" s="160">
        <v>636579.0</v>
      </c>
      <c r="G2919" s="160">
        <v>101852.64</v>
      </c>
      <c r="H2919" s="160">
        <f t="shared" si="69"/>
        <v>738431.64</v>
      </c>
      <c r="I2919" s="160"/>
      <c r="J2919" s="161"/>
      <c r="K2919" s="160"/>
      <c r="L2919" s="160">
        <f>+'FACP$'!$H2919-'FACP$'!$I2919-'FACP$'!$K2919</f>
        <v>738431.64</v>
      </c>
      <c r="M2919" s="162" t="s">
        <v>276</v>
      </c>
      <c r="N2919" s="162" t="s">
        <v>554</v>
      </c>
      <c r="O2919" s="164">
        <v>44595.0</v>
      </c>
      <c r="P2919" s="164">
        <f t="array" ref="P2919">XLOOKUP('FACP$'!$B2919,'perfil de pagos'!A:A,'perfil de pagos'!B:B)+'FACP$'!$D2919</f>
        <v>44577</v>
      </c>
      <c r="Q2919" s="165">
        <f t="shared" si="2"/>
        <v>0</v>
      </c>
      <c r="R2919" s="167"/>
      <c r="S2919" s="167">
        <v>1282.0</v>
      </c>
      <c r="T2919" s="168">
        <f t="shared" si="3"/>
        <v>738431.64</v>
      </c>
      <c r="U2919" s="168">
        <f t="shared" si="4"/>
        <v>0</v>
      </c>
      <c r="V2919" s="168">
        <f t="shared" si="5"/>
        <v>0</v>
      </c>
      <c r="W2919" s="168">
        <f t="shared" si="6"/>
        <v>0</v>
      </c>
      <c r="X2919" s="168">
        <f t="shared" si="7"/>
        <v>0</v>
      </c>
      <c r="Y2919" s="168">
        <f t="shared" si="8"/>
        <v>0</v>
      </c>
      <c r="Z2919" s="168">
        <f t="shared" si="9"/>
        <v>0</v>
      </c>
    </row>
    <row r="2920" ht="15.0" customHeight="1">
      <c r="A2920" s="157" t="s">
        <v>3414</v>
      </c>
      <c r="B2920" s="158" t="s">
        <v>36</v>
      </c>
      <c r="C2920" s="158" t="s">
        <v>3366</v>
      </c>
      <c r="D2920" s="159">
        <v>44567.0</v>
      </c>
      <c r="E2920" s="157" t="s">
        <v>731</v>
      </c>
      <c r="F2920" s="160">
        <v>76522.79</v>
      </c>
      <c r="G2920" s="160">
        <v>12243.65</v>
      </c>
      <c r="H2920" s="160">
        <f t="shared" si="69"/>
        <v>88766.44</v>
      </c>
      <c r="I2920" s="160"/>
      <c r="J2920" s="161"/>
      <c r="K2920" s="160"/>
      <c r="L2920" s="160">
        <f>+'FACP$'!$H2920-'FACP$'!$I2920-'FACP$'!$K2920</f>
        <v>88766.44</v>
      </c>
      <c r="M2920" s="162" t="s">
        <v>278</v>
      </c>
      <c r="N2920" s="162" t="s">
        <v>554</v>
      </c>
      <c r="O2920" s="164">
        <v>44603.0</v>
      </c>
      <c r="P2920" s="164">
        <f t="array" ref="P2920">XLOOKUP('FACP$'!$B2920,'perfil de pagos'!A:A,'perfil de pagos'!B:B)+'FACP$'!$D2920</f>
        <v>44577</v>
      </c>
      <c r="Q2920" s="165">
        <f t="shared" si="2"/>
        <v>0</v>
      </c>
      <c r="R2920" s="167"/>
      <c r="S2920" s="167"/>
      <c r="T2920" s="168">
        <f t="shared" si="3"/>
        <v>88766.44</v>
      </c>
      <c r="U2920" s="168">
        <f t="shared" si="4"/>
        <v>0</v>
      </c>
      <c r="V2920" s="168">
        <f t="shared" si="5"/>
        <v>0</v>
      </c>
      <c r="W2920" s="168">
        <f t="shared" si="6"/>
        <v>0</v>
      </c>
      <c r="X2920" s="168">
        <f t="shared" si="7"/>
        <v>0</v>
      </c>
      <c r="Y2920" s="168">
        <f t="shared" si="8"/>
        <v>0</v>
      </c>
      <c r="Z2920" s="168">
        <f t="shared" si="9"/>
        <v>0</v>
      </c>
    </row>
    <row r="2921" ht="15.0" customHeight="1">
      <c r="A2921" s="157" t="s">
        <v>3415</v>
      </c>
      <c r="B2921" s="158" t="s">
        <v>38</v>
      </c>
      <c r="C2921" s="158" t="s">
        <v>3366</v>
      </c>
      <c r="D2921" s="159">
        <v>44567.0</v>
      </c>
      <c r="E2921" s="157" t="s">
        <v>731</v>
      </c>
      <c r="F2921" s="160">
        <v>777072.04</v>
      </c>
      <c r="G2921" s="160">
        <v>124331.53</v>
      </c>
      <c r="H2921" s="160">
        <f t="shared" si="69"/>
        <v>901403.57</v>
      </c>
      <c r="I2921" s="160"/>
      <c r="J2921" s="161"/>
      <c r="K2921" s="160"/>
      <c r="L2921" s="160">
        <f>+'FACP$'!$H2921-'FACP$'!$I2921-'FACP$'!$K2921</f>
        <v>901403.57</v>
      </c>
      <c r="M2921" s="162" t="s">
        <v>145</v>
      </c>
      <c r="N2921" s="162" t="s">
        <v>554</v>
      </c>
      <c r="O2921" s="164">
        <v>44672.0</v>
      </c>
      <c r="P2921" s="164">
        <f t="array" ref="P2921">XLOOKUP('FACP$'!$B2921,'perfil de pagos'!A:A,'perfil de pagos'!B:B)+'FACP$'!$D2921</f>
        <v>44597</v>
      </c>
      <c r="Q2921" s="165">
        <f t="shared" si="2"/>
        <v>0</v>
      </c>
      <c r="R2921" s="167"/>
      <c r="S2921" s="167"/>
      <c r="T2921" s="168">
        <f t="shared" si="3"/>
        <v>901403.57</v>
      </c>
      <c r="U2921" s="168">
        <f t="shared" si="4"/>
        <v>0</v>
      </c>
      <c r="V2921" s="168">
        <f t="shared" si="5"/>
        <v>0</v>
      </c>
      <c r="W2921" s="168">
        <f t="shared" si="6"/>
        <v>0</v>
      </c>
      <c r="X2921" s="168">
        <f t="shared" si="7"/>
        <v>0</v>
      </c>
      <c r="Y2921" s="168">
        <f t="shared" si="8"/>
        <v>0</v>
      </c>
      <c r="Z2921" s="168">
        <f t="shared" si="9"/>
        <v>0</v>
      </c>
    </row>
    <row r="2922" ht="15.0" customHeight="1">
      <c r="A2922" s="157" t="s">
        <v>3416</v>
      </c>
      <c r="B2922" s="158" t="s">
        <v>43</v>
      </c>
      <c r="C2922" s="158" t="s">
        <v>3366</v>
      </c>
      <c r="D2922" s="159">
        <v>44567.0</v>
      </c>
      <c r="E2922" s="157" t="s">
        <v>731</v>
      </c>
      <c r="F2922" s="160">
        <v>2320369.86</v>
      </c>
      <c r="G2922" s="160">
        <v>371259.18</v>
      </c>
      <c r="H2922" s="160">
        <f t="shared" si="69"/>
        <v>2691629.04</v>
      </c>
      <c r="I2922" s="160"/>
      <c r="J2922" s="161"/>
      <c r="K2922" s="160"/>
      <c r="L2922" s="160">
        <f>+'FACP$'!$H2922-'FACP$'!$I2922-'FACP$'!$K2922</f>
        <v>2691629.04</v>
      </c>
      <c r="M2922" s="162" t="s">
        <v>43</v>
      </c>
      <c r="N2922" s="162" t="s">
        <v>554</v>
      </c>
      <c r="O2922" s="164">
        <v>44589.0</v>
      </c>
      <c r="P2922" s="164">
        <f t="array" ref="P2922">XLOOKUP('FACP$'!$B2922,'perfil de pagos'!A:A,'perfil de pagos'!B:B)+'FACP$'!$D2922</f>
        <v>44592</v>
      </c>
      <c r="Q2922" s="165">
        <f t="shared" si="2"/>
        <v>0</v>
      </c>
      <c r="R2922" s="167"/>
      <c r="S2922" s="167">
        <v>1276.0</v>
      </c>
      <c r="T2922" s="168">
        <f t="shared" si="3"/>
        <v>2691629.04</v>
      </c>
      <c r="U2922" s="168">
        <f t="shared" si="4"/>
        <v>0</v>
      </c>
      <c r="V2922" s="168">
        <f t="shared" si="5"/>
        <v>0</v>
      </c>
      <c r="W2922" s="168">
        <f t="shared" si="6"/>
        <v>0</v>
      </c>
      <c r="X2922" s="168">
        <f t="shared" si="7"/>
        <v>0</v>
      </c>
      <c r="Y2922" s="168">
        <f t="shared" si="8"/>
        <v>0</v>
      </c>
      <c r="Z2922" s="168">
        <f t="shared" si="9"/>
        <v>0</v>
      </c>
    </row>
    <row r="2923" ht="15.0" customHeight="1">
      <c r="A2923" s="157" t="s">
        <v>3417</v>
      </c>
      <c r="B2923" s="158" t="s">
        <v>22</v>
      </c>
      <c r="C2923" s="158" t="s">
        <v>3366</v>
      </c>
      <c r="D2923" s="159">
        <v>44567.0</v>
      </c>
      <c r="E2923" s="157" t="s">
        <v>731</v>
      </c>
      <c r="F2923" s="160">
        <f>72044.49</f>
        <v>72044.49</v>
      </c>
      <c r="G2923" s="160">
        <f>11527.12</f>
        <v>11527.12</v>
      </c>
      <c r="H2923" s="160">
        <f>F2923+G2923-23738.09</f>
        <v>59833.52</v>
      </c>
      <c r="I2923" s="160"/>
      <c r="J2923" s="161"/>
      <c r="K2923" s="160"/>
      <c r="L2923" s="160">
        <f>+'FACP$'!$H2923-'FACP$'!$I2923-'FACP$'!$K2923</f>
        <v>59833.52</v>
      </c>
      <c r="M2923" s="162" t="s">
        <v>220</v>
      </c>
      <c r="N2923" s="162" t="s">
        <v>554</v>
      </c>
      <c r="O2923" s="164">
        <v>44621.0</v>
      </c>
      <c r="P2923" s="164">
        <f t="array" ref="P2923">XLOOKUP('FACP$'!$B2923,'perfil de pagos'!A:A,'perfil de pagos'!B:B)+'FACP$'!$D2923</f>
        <v>44577</v>
      </c>
      <c r="Q2923" s="165">
        <f t="shared" si="2"/>
        <v>0</v>
      </c>
      <c r="R2923" s="220" t="s">
        <v>3418</v>
      </c>
      <c r="S2923" s="167"/>
      <c r="T2923" s="168">
        <f t="shared" si="3"/>
        <v>59833.52</v>
      </c>
      <c r="U2923" s="168">
        <f t="shared" si="4"/>
        <v>0</v>
      </c>
      <c r="V2923" s="168">
        <f t="shared" si="5"/>
        <v>0</v>
      </c>
      <c r="W2923" s="168">
        <f t="shared" si="6"/>
        <v>0</v>
      </c>
      <c r="X2923" s="168">
        <f t="shared" si="7"/>
        <v>0</v>
      </c>
      <c r="Y2923" s="168">
        <f t="shared" si="8"/>
        <v>0</v>
      </c>
      <c r="Z2923" s="168">
        <f t="shared" si="9"/>
        <v>0</v>
      </c>
    </row>
    <row r="2924" ht="15.0" customHeight="1">
      <c r="A2924" s="157" t="s">
        <v>3419</v>
      </c>
      <c r="B2924" s="158" t="s">
        <v>31</v>
      </c>
      <c r="C2924" s="158" t="s">
        <v>3420</v>
      </c>
      <c r="D2924" s="159">
        <v>44568.0</v>
      </c>
      <c r="E2924" s="157" t="s">
        <v>731</v>
      </c>
      <c r="F2924" s="160">
        <v>135724.08</v>
      </c>
      <c r="G2924" s="160">
        <v>21715.85</v>
      </c>
      <c r="H2924" s="160">
        <f t="shared" ref="H2924:H2925" si="70">F2924+G2924</f>
        <v>157439.93</v>
      </c>
      <c r="I2924" s="252"/>
      <c r="J2924" s="253"/>
      <c r="K2924" s="252"/>
      <c r="L2924" s="160">
        <f>+'FACP$'!$H2924-'FACP$'!$I2924-'FACP$'!$K2924</f>
        <v>157439.93</v>
      </c>
      <c r="M2924" s="162" t="s">
        <v>3183</v>
      </c>
      <c r="N2924" s="162" t="s">
        <v>554</v>
      </c>
      <c r="O2924" s="164">
        <v>44586.0</v>
      </c>
      <c r="P2924" s="164">
        <f t="array" ref="P2924">XLOOKUP('FACP$'!$B2924,'perfil de pagos'!A:A,'perfil de pagos'!B:B)+'FACP$'!$D2924</f>
        <v>44571</v>
      </c>
      <c r="Q2924" s="165">
        <f t="shared" si="2"/>
        <v>0</v>
      </c>
      <c r="R2924" s="167"/>
      <c r="S2924" s="167"/>
      <c r="T2924" s="168">
        <f t="shared" si="3"/>
        <v>157439.93</v>
      </c>
      <c r="U2924" s="168">
        <f t="shared" si="4"/>
        <v>0</v>
      </c>
      <c r="V2924" s="168">
        <f t="shared" si="5"/>
        <v>0</v>
      </c>
      <c r="W2924" s="168">
        <f t="shared" si="6"/>
        <v>0</v>
      </c>
      <c r="X2924" s="168">
        <f t="shared" si="7"/>
        <v>0</v>
      </c>
      <c r="Y2924" s="168">
        <f t="shared" si="8"/>
        <v>0</v>
      </c>
      <c r="Z2924" s="168">
        <f t="shared" si="9"/>
        <v>0</v>
      </c>
    </row>
    <row r="2925" ht="15.0" customHeight="1">
      <c r="A2925" s="157" t="s">
        <v>3421</v>
      </c>
      <c r="B2925" s="158" t="s">
        <v>31</v>
      </c>
      <c r="C2925" s="158" t="s">
        <v>3422</v>
      </c>
      <c r="D2925" s="159">
        <v>44568.0</v>
      </c>
      <c r="E2925" s="157" t="s">
        <v>731</v>
      </c>
      <c r="F2925" s="160">
        <v>164780.3</v>
      </c>
      <c r="G2925" s="160">
        <v>26364.85</v>
      </c>
      <c r="H2925" s="160">
        <f t="shared" si="70"/>
        <v>191145.15</v>
      </c>
      <c r="I2925" s="252"/>
      <c r="J2925" s="253"/>
      <c r="K2925" s="252"/>
      <c r="L2925" s="160">
        <f>+'FACP$'!$H2925-'FACP$'!$I2925-'FACP$'!$K2925</f>
        <v>191145.15</v>
      </c>
      <c r="M2925" s="162" t="s">
        <v>3183</v>
      </c>
      <c r="N2925" s="162" t="s">
        <v>554</v>
      </c>
      <c r="O2925" s="164">
        <v>44575.0</v>
      </c>
      <c r="P2925" s="164">
        <f t="array" ref="P2925">XLOOKUP('FACP$'!$B2925,'perfil de pagos'!A:A,'perfil de pagos'!B:B)+'FACP$'!$D2925</f>
        <v>44571</v>
      </c>
      <c r="Q2925" s="165">
        <f t="shared" si="2"/>
        <v>0</v>
      </c>
      <c r="R2925" s="167"/>
      <c r="S2925" s="167"/>
      <c r="T2925" s="168">
        <f t="shared" si="3"/>
        <v>191145.15</v>
      </c>
      <c r="U2925" s="168">
        <f t="shared" si="4"/>
        <v>0</v>
      </c>
      <c r="V2925" s="168">
        <f t="shared" si="5"/>
        <v>0</v>
      </c>
      <c r="W2925" s="168">
        <f t="shared" si="6"/>
        <v>0</v>
      </c>
      <c r="X2925" s="168">
        <f t="shared" si="7"/>
        <v>0</v>
      </c>
      <c r="Y2925" s="168">
        <f t="shared" si="8"/>
        <v>0</v>
      </c>
      <c r="Z2925" s="168">
        <f t="shared" si="9"/>
        <v>0</v>
      </c>
    </row>
    <row r="2926" ht="15.0" customHeight="1">
      <c r="A2926" s="157" t="s">
        <v>3423</v>
      </c>
      <c r="B2926" s="158" t="s">
        <v>31</v>
      </c>
      <c r="C2926" s="158" t="s">
        <v>3424</v>
      </c>
      <c r="D2926" s="159">
        <v>44568.0</v>
      </c>
      <c r="E2926" s="157" t="s">
        <v>731</v>
      </c>
      <c r="F2926" s="160">
        <v>100848.68</v>
      </c>
      <c r="G2926" s="160">
        <v>16135.79</v>
      </c>
      <c r="H2926" s="160">
        <f>F2926+G2926-58492.24</f>
        <v>58492.23</v>
      </c>
      <c r="I2926" s="252"/>
      <c r="J2926" s="253"/>
      <c r="K2926" s="252"/>
      <c r="L2926" s="160">
        <f>+'FACP$'!$H2926-'FACP$'!$I2926-'FACP$'!$K2926</f>
        <v>58492.23</v>
      </c>
      <c r="M2926" s="162" t="s">
        <v>3183</v>
      </c>
      <c r="N2926" s="162" t="s">
        <v>554</v>
      </c>
      <c r="O2926" s="164">
        <v>44610.0</v>
      </c>
      <c r="P2926" s="164">
        <f t="array" ref="P2926">XLOOKUP('FACP$'!$B2926,'perfil de pagos'!A:A,'perfil de pagos'!B:B)+'FACP$'!$D2926</f>
        <v>44571</v>
      </c>
      <c r="Q2926" s="165">
        <f t="shared" si="2"/>
        <v>0</v>
      </c>
      <c r="R2926" s="220" t="s">
        <v>3425</v>
      </c>
      <c r="S2926" s="167"/>
      <c r="T2926" s="168">
        <f t="shared" si="3"/>
        <v>58492.23</v>
      </c>
      <c r="U2926" s="168">
        <f t="shared" si="4"/>
        <v>0</v>
      </c>
      <c r="V2926" s="168">
        <f t="shared" si="5"/>
        <v>0</v>
      </c>
      <c r="W2926" s="168">
        <f t="shared" si="6"/>
        <v>0</v>
      </c>
      <c r="X2926" s="168">
        <f t="shared" si="7"/>
        <v>0</v>
      </c>
      <c r="Y2926" s="168">
        <f t="shared" si="8"/>
        <v>0</v>
      </c>
      <c r="Z2926" s="168">
        <f t="shared" si="9"/>
        <v>0</v>
      </c>
    </row>
    <row r="2927" ht="15.0" customHeight="1">
      <c r="A2927" s="157" t="s">
        <v>3426</v>
      </c>
      <c r="B2927" s="158" t="s">
        <v>16</v>
      </c>
      <c r="C2927" s="158" t="s">
        <v>3427</v>
      </c>
      <c r="D2927" s="159">
        <v>44579.0</v>
      </c>
      <c r="E2927" s="157" t="s">
        <v>731</v>
      </c>
      <c r="F2927" s="160">
        <v>25012.39</v>
      </c>
      <c r="G2927" s="160">
        <v>4001.98</v>
      </c>
      <c r="H2927" s="160">
        <f>F2927+G2927</f>
        <v>29014.37</v>
      </c>
      <c r="I2927" s="160"/>
      <c r="J2927" s="161"/>
      <c r="K2927" s="160"/>
      <c r="L2927" s="160">
        <f>+'FACP$'!$H2927-'FACP$'!$I2927-'FACP$'!$K2927</f>
        <v>29014.37</v>
      </c>
      <c r="M2927" s="162" t="s">
        <v>985</v>
      </c>
      <c r="N2927" s="162" t="s">
        <v>554</v>
      </c>
      <c r="O2927" s="164">
        <v>44614.0</v>
      </c>
      <c r="P2927" s="164">
        <f t="array" ref="P2927">XLOOKUP('FACP$'!$B2927,'perfil de pagos'!A:A,'perfil de pagos'!B:B)+'FACP$'!$D2927</f>
        <v>44589</v>
      </c>
      <c r="Q2927" s="165">
        <f t="shared" si="2"/>
        <v>0</v>
      </c>
      <c r="R2927" s="167"/>
      <c r="S2927" s="167">
        <v>1290.0</v>
      </c>
      <c r="T2927" s="168">
        <f t="shared" si="3"/>
        <v>29014.37</v>
      </c>
      <c r="U2927" s="168">
        <f t="shared" si="4"/>
        <v>0</v>
      </c>
      <c r="V2927" s="168">
        <f t="shared" si="5"/>
        <v>0</v>
      </c>
      <c r="W2927" s="168">
        <f t="shared" si="6"/>
        <v>0</v>
      </c>
      <c r="X2927" s="168">
        <f t="shared" si="7"/>
        <v>0</v>
      </c>
      <c r="Y2927" s="168">
        <f t="shared" si="8"/>
        <v>0</v>
      </c>
      <c r="Z2927" s="168">
        <f t="shared" si="9"/>
        <v>0</v>
      </c>
    </row>
    <row r="2928" ht="15.0" customHeight="1">
      <c r="A2928" s="157" t="s">
        <v>3428</v>
      </c>
      <c r="B2928" s="158" t="s">
        <v>26</v>
      </c>
      <c r="C2928" s="158" t="s">
        <v>3427</v>
      </c>
      <c r="D2928" s="159">
        <v>44579.0</v>
      </c>
      <c r="E2928" s="157" t="s">
        <v>731</v>
      </c>
      <c r="F2928" s="160">
        <v>26691.72</v>
      </c>
      <c r="G2928" s="160">
        <v>4270.68</v>
      </c>
      <c r="H2928" s="160">
        <f>F2928+G2928-2562.09</f>
        <v>28400.31</v>
      </c>
      <c r="I2928" s="160"/>
      <c r="J2928" s="161"/>
      <c r="K2928" s="160"/>
      <c r="L2928" s="160">
        <f>+'FACP$'!$H2928-'FACP$'!$I2928-'FACP$'!$K2928</f>
        <v>28400.31</v>
      </c>
      <c r="M2928" s="162" t="s">
        <v>2386</v>
      </c>
      <c r="N2928" s="162" t="s">
        <v>554</v>
      </c>
      <c r="O2928" s="164">
        <v>44673.0</v>
      </c>
      <c r="P2928" s="164">
        <f t="array" ref="P2928">XLOOKUP('FACP$'!$B2928,'perfil de pagos'!A:A,'perfil de pagos'!B:B)+'FACP$'!$D2928</f>
        <v>44589</v>
      </c>
      <c r="Q2928" s="165">
        <f t="shared" si="2"/>
        <v>0</v>
      </c>
      <c r="R2928" s="167" t="s">
        <v>3429</v>
      </c>
      <c r="S2928" s="167">
        <v>1467.0</v>
      </c>
      <c r="T2928" s="168">
        <f t="shared" si="3"/>
        <v>28400.31</v>
      </c>
      <c r="U2928" s="168">
        <f t="shared" si="4"/>
        <v>0</v>
      </c>
      <c r="V2928" s="168">
        <f t="shared" si="5"/>
        <v>0</v>
      </c>
      <c r="W2928" s="168">
        <f t="shared" si="6"/>
        <v>0</v>
      </c>
      <c r="X2928" s="168">
        <f t="shared" si="7"/>
        <v>0</v>
      </c>
      <c r="Y2928" s="168">
        <f t="shared" si="8"/>
        <v>0</v>
      </c>
      <c r="Z2928" s="168">
        <f t="shared" si="9"/>
        <v>0</v>
      </c>
    </row>
    <row r="2929" ht="15.0" customHeight="1">
      <c r="A2929" s="157" t="s">
        <v>3430</v>
      </c>
      <c r="B2929" s="158" t="s">
        <v>29</v>
      </c>
      <c r="C2929" s="158" t="s">
        <v>3427</v>
      </c>
      <c r="D2929" s="159">
        <v>44579.0</v>
      </c>
      <c r="E2929" s="157" t="s">
        <v>731</v>
      </c>
      <c r="F2929" s="160">
        <v>67870.72</v>
      </c>
      <c r="G2929" s="160">
        <v>10859.32</v>
      </c>
      <c r="H2929" s="160">
        <f t="shared" ref="H2929:H2934" si="71">F2929+G2929</f>
        <v>78730.04</v>
      </c>
      <c r="I2929" s="160"/>
      <c r="J2929" s="161"/>
      <c r="K2929" s="160"/>
      <c r="L2929" s="160">
        <f>+'FACP$'!$H2929-'FACP$'!$I2929-'FACP$'!$K2929</f>
        <v>78730.04</v>
      </c>
      <c r="M2929" s="162" t="s">
        <v>130</v>
      </c>
      <c r="N2929" s="162" t="s">
        <v>554</v>
      </c>
      <c r="O2929" s="164">
        <v>44753.0</v>
      </c>
      <c r="P2929" s="164">
        <f t="array" ref="P2929">XLOOKUP('FACP$'!$B2929,'perfil de pagos'!A:A,'perfil de pagos'!B:B)+'FACP$'!$D2929</f>
        <v>44589</v>
      </c>
      <c r="Q2929" s="165">
        <f t="shared" si="2"/>
        <v>0</v>
      </c>
      <c r="R2929" s="220" t="s">
        <v>3431</v>
      </c>
      <c r="S2929" s="167"/>
      <c r="T2929" s="168">
        <f t="shared" si="3"/>
        <v>78730.04</v>
      </c>
      <c r="U2929" s="168">
        <f t="shared" si="4"/>
        <v>0</v>
      </c>
      <c r="V2929" s="168">
        <f t="shared" si="5"/>
        <v>0</v>
      </c>
      <c r="W2929" s="168">
        <f t="shared" si="6"/>
        <v>0</v>
      </c>
      <c r="X2929" s="168">
        <f t="shared" si="7"/>
        <v>0</v>
      </c>
      <c r="Y2929" s="168">
        <f t="shared" si="8"/>
        <v>0</v>
      </c>
      <c r="Z2929" s="168">
        <f t="shared" si="9"/>
        <v>0</v>
      </c>
    </row>
    <row r="2930" ht="15.0" customHeight="1">
      <c r="A2930" s="157" t="s">
        <v>3432</v>
      </c>
      <c r="B2930" s="158" t="s">
        <v>41</v>
      </c>
      <c r="C2930" s="158" t="s">
        <v>3427</v>
      </c>
      <c r="D2930" s="159">
        <v>44579.0</v>
      </c>
      <c r="E2930" s="157" t="s">
        <v>731</v>
      </c>
      <c r="F2930" s="160">
        <v>61415.05</v>
      </c>
      <c r="G2930" s="160">
        <v>9826.41</v>
      </c>
      <c r="H2930" s="160">
        <f t="shared" si="71"/>
        <v>71241.46</v>
      </c>
      <c r="I2930" s="160"/>
      <c r="J2930" s="161"/>
      <c r="K2930" s="160"/>
      <c r="L2930" s="160">
        <f>+'FACP$'!$H2930-'FACP$'!$I2930-'FACP$'!$K2930</f>
        <v>71241.46</v>
      </c>
      <c r="M2930" s="162" t="s">
        <v>121</v>
      </c>
      <c r="N2930" s="162" t="s">
        <v>554</v>
      </c>
      <c r="O2930" s="164">
        <v>44624.0</v>
      </c>
      <c r="P2930" s="164">
        <f t="array" ref="P2930">XLOOKUP('FACP$'!$B2930,'perfil de pagos'!A:A,'perfil de pagos'!B:B)+'FACP$'!$D2930</f>
        <v>44589</v>
      </c>
      <c r="Q2930" s="165">
        <f t="shared" si="2"/>
        <v>0</v>
      </c>
      <c r="R2930" s="167"/>
      <c r="S2930" s="167"/>
      <c r="T2930" s="168">
        <f t="shared" si="3"/>
        <v>71241.46</v>
      </c>
      <c r="U2930" s="168">
        <f t="shared" si="4"/>
        <v>0</v>
      </c>
      <c r="V2930" s="168">
        <f t="shared" si="5"/>
        <v>0</v>
      </c>
      <c r="W2930" s="168">
        <f t="shared" si="6"/>
        <v>0</v>
      </c>
      <c r="X2930" s="168">
        <f t="shared" si="7"/>
        <v>0</v>
      </c>
      <c r="Y2930" s="168">
        <f t="shared" si="8"/>
        <v>0</v>
      </c>
      <c r="Z2930" s="168">
        <f t="shared" si="9"/>
        <v>0</v>
      </c>
    </row>
    <row r="2931" ht="15.0" customHeight="1">
      <c r="A2931" s="157" t="s">
        <v>3433</v>
      </c>
      <c r="B2931" s="158" t="s">
        <v>37</v>
      </c>
      <c r="C2931" s="158" t="s">
        <v>3427</v>
      </c>
      <c r="D2931" s="159">
        <v>44579.0</v>
      </c>
      <c r="E2931" s="157" t="s">
        <v>731</v>
      </c>
      <c r="F2931" s="160">
        <v>4651.92</v>
      </c>
      <c r="G2931" s="160">
        <v>744.31</v>
      </c>
      <c r="H2931" s="160">
        <f t="shared" si="71"/>
        <v>5396.23</v>
      </c>
      <c r="I2931" s="160"/>
      <c r="J2931" s="161"/>
      <c r="K2931" s="160"/>
      <c r="L2931" s="160">
        <f>+'FACP$'!$H2931-'FACP$'!$I2931-'FACP$'!$K2931</f>
        <v>5396.23</v>
      </c>
      <c r="M2931" s="162" t="s">
        <v>116</v>
      </c>
      <c r="N2931" s="162" t="s">
        <v>554</v>
      </c>
      <c r="O2931" s="164">
        <v>44648.0</v>
      </c>
      <c r="P2931" s="164">
        <f t="array" ref="P2931">XLOOKUP('FACP$'!$B2931,'perfil de pagos'!A:A,'perfil de pagos'!B:B)+'FACP$'!$D2931</f>
        <v>44589</v>
      </c>
      <c r="Q2931" s="165">
        <f t="shared" si="2"/>
        <v>0</v>
      </c>
      <c r="R2931" s="167"/>
      <c r="S2931" s="167"/>
      <c r="T2931" s="168">
        <f t="shared" si="3"/>
        <v>5396.23</v>
      </c>
      <c r="U2931" s="168">
        <f t="shared" si="4"/>
        <v>0</v>
      </c>
      <c r="V2931" s="168">
        <f t="shared" si="5"/>
        <v>0</v>
      </c>
      <c r="W2931" s="168">
        <f t="shared" si="6"/>
        <v>0</v>
      </c>
      <c r="X2931" s="168">
        <f t="shared" si="7"/>
        <v>0</v>
      </c>
      <c r="Y2931" s="168">
        <f t="shared" si="8"/>
        <v>0</v>
      </c>
      <c r="Z2931" s="168">
        <f t="shared" si="9"/>
        <v>0</v>
      </c>
    </row>
    <row r="2932" ht="15.0" customHeight="1">
      <c r="A2932" s="157" t="s">
        <v>3434</v>
      </c>
      <c r="B2932" s="158" t="s">
        <v>33</v>
      </c>
      <c r="C2932" s="158" t="s">
        <v>3427</v>
      </c>
      <c r="D2932" s="159">
        <v>44579.0</v>
      </c>
      <c r="E2932" s="157" t="s">
        <v>731</v>
      </c>
      <c r="F2932" s="160">
        <v>47133.75</v>
      </c>
      <c r="G2932" s="160">
        <v>7541.4</v>
      </c>
      <c r="H2932" s="160">
        <f t="shared" si="71"/>
        <v>54675.15</v>
      </c>
      <c r="I2932" s="160"/>
      <c r="J2932" s="161"/>
      <c r="K2932" s="160"/>
      <c r="L2932" s="160">
        <f>+'FACP$'!$H2932-'FACP$'!$I2932-'FACP$'!$K2932</f>
        <v>54675.15</v>
      </c>
      <c r="M2932" s="162" t="s">
        <v>958</v>
      </c>
      <c r="N2932" s="162" t="s">
        <v>554</v>
      </c>
      <c r="O2932" s="164">
        <v>44589.0</v>
      </c>
      <c r="P2932" s="164">
        <f t="array" ref="P2932">XLOOKUP('FACP$'!$B2932,'perfil de pagos'!A:A,'perfil de pagos'!B:B)+'FACP$'!$D2932</f>
        <v>44589</v>
      </c>
      <c r="Q2932" s="165">
        <f t="shared" si="2"/>
        <v>0</v>
      </c>
      <c r="R2932" s="167"/>
      <c r="S2932" s="167">
        <v>1277.0</v>
      </c>
      <c r="T2932" s="168">
        <f t="shared" si="3"/>
        <v>54675.15</v>
      </c>
      <c r="U2932" s="168">
        <f t="shared" si="4"/>
        <v>0</v>
      </c>
      <c r="V2932" s="168">
        <f t="shared" si="5"/>
        <v>0</v>
      </c>
      <c r="W2932" s="168">
        <f t="shared" si="6"/>
        <v>0</v>
      </c>
      <c r="X2932" s="168">
        <f t="shared" si="7"/>
        <v>0</v>
      </c>
      <c r="Y2932" s="168">
        <f t="shared" si="8"/>
        <v>0</v>
      </c>
      <c r="Z2932" s="168">
        <f t="shared" si="9"/>
        <v>0</v>
      </c>
    </row>
    <row r="2933" ht="15.0" customHeight="1">
      <c r="A2933" s="157" t="s">
        <v>3435</v>
      </c>
      <c r="B2933" s="158" t="s">
        <v>35</v>
      </c>
      <c r="C2933" s="158" t="s">
        <v>3427</v>
      </c>
      <c r="D2933" s="159">
        <v>44579.0</v>
      </c>
      <c r="E2933" s="157" t="s">
        <v>731</v>
      </c>
      <c r="F2933" s="160">
        <v>81079.1</v>
      </c>
      <c r="G2933" s="160">
        <v>12972.66</v>
      </c>
      <c r="H2933" s="160">
        <f t="shared" si="71"/>
        <v>94051.76</v>
      </c>
      <c r="I2933" s="160"/>
      <c r="J2933" s="161"/>
      <c r="K2933" s="160"/>
      <c r="L2933" s="160">
        <f>+'FACP$'!$H2933-'FACP$'!$I2933-'FACP$'!$K2933</f>
        <v>94051.76</v>
      </c>
      <c r="M2933" s="162" t="s">
        <v>276</v>
      </c>
      <c r="N2933" s="162" t="s">
        <v>554</v>
      </c>
      <c r="O2933" s="164">
        <v>44595.0</v>
      </c>
      <c r="P2933" s="164">
        <f t="array" ref="P2933">XLOOKUP('FACP$'!$B2933,'perfil de pagos'!A:A,'perfil de pagos'!B:B)+'FACP$'!$D2933</f>
        <v>44589</v>
      </c>
      <c r="Q2933" s="165">
        <f t="shared" si="2"/>
        <v>0</v>
      </c>
      <c r="R2933" s="167"/>
      <c r="S2933" s="167">
        <v>1283.0</v>
      </c>
      <c r="T2933" s="168">
        <f t="shared" si="3"/>
        <v>94051.76</v>
      </c>
      <c r="U2933" s="168">
        <f t="shared" si="4"/>
        <v>0</v>
      </c>
      <c r="V2933" s="168">
        <f t="shared" si="5"/>
        <v>0</v>
      </c>
      <c r="W2933" s="168">
        <f t="shared" si="6"/>
        <v>0</v>
      </c>
      <c r="X2933" s="168">
        <f t="shared" si="7"/>
        <v>0</v>
      </c>
      <c r="Y2933" s="168">
        <f t="shared" si="8"/>
        <v>0</v>
      </c>
      <c r="Z2933" s="168">
        <f t="shared" si="9"/>
        <v>0</v>
      </c>
    </row>
    <row r="2934" ht="15.0" customHeight="1">
      <c r="A2934" s="157" t="s">
        <v>3436</v>
      </c>
      <c r="B2934" s="158" t="s">
        <v>36</v>
      </c>
      <c r="C2934" s="158" t="s">
        <v>3427</v>
      </c>
      <c r="D2934" s="159">
        <v>44579.0</v>
      </c>
      <c r="E2934" s="157" t="s">
        <v>731</v>
      </c>
      <c r="F2934" s="160">
        <v>28712.78</v>
      </c>
      <c r="G2934" s="160">
        <v>4594.05</v>
      </c>
      <c r="H2934" s="160">
        <f t="shared" si="71"/>
        <v>33306.83</v>
      </c>
      <c r="I2934" s="160"/>
      <c r="J2934" s="161"/>
      <c r="K2934" s="160"/>
      <c r="L2934" s="160">
        <f>+'FACP$'!$H2934-'FACP$'!$I2934-'FACP$'!$K2934</f>
        <v>33306.83</v>
      </c>
      <c r="M2934" s="162" t="s">
        <v>278</v>
      </c>
      <c r="N2934" s="162" t="s">
        <v>554</v>
      </c>
      <c r="O2934" s="164">
        <v>44603.0</v>
      </c>
      <c r="P2934" s="164">
        <f t="array" ref="P2934">XLOOKUP('FACP$'!$B2934,'perfil de pagos'!A:A,'perfil de pagos'!B:B)+'FACP$'!$D2934</f>
        <v>44589</v>
      </c>
      <c r="Q2934" s="165">
        <f t="shared" si="2"/>
        <v>0</v>
      </c>
      <c r="R2934" s="167"/>
      <c r="S2934" s="167"/>
      <c r="T2934" s="168">
        <f t="shared" si="3"/>
        <v>33306.83</v>
      </c>
      <c r="U2934" s="168">
        <f t="shared" si="4"/>
        <v>0</v>
      </c>
      <c r="V2934" s="168">
        <f t="shared" si="5"/>
        <v>0</v>
      </c>
      <c r="W2934" s="168">
        <f t="shared" si="6"/>
        <v>0</v>
      </c>
      <c r="X2934" s="168">
        <f t="shared" si="7"/>
        <v>0</v>
      </c>
      <c r="Y2934" s="168">
        <f t="shared" si="8"/>
        <v>0</v>
      </c>
      <c r="Z2934" s="168">
        <f t="shared" si="9"/>
        <v>0</v>
      </c>
    </row>
    <row r="2935" ht="15.0" customHeight="1">
      <c r="A2935" s="157" t="s">
        <v>3437</v>
      </c>
      <c r="B2935" s="256" t="s">
        <v>38</v>
      </c>
      <c r="C2935" s="256" t="s">
        <v>3427</v>
      </c>
      <c r="D2935" s="257">
        <v>44579.0</v>
      </c>
      <c r="E2935" s="258" t="s">
        <v>731</v>
      </c>
      <c r="F2935" s="259">
        <v>69295.45</v>
      </c>
      <c r="G2935" s="259">
        <v>11087.27</v>
      </c>
      <c r="H2935" s="160">
        <f>F2935+G2935-'FACP$'!$F2935-'FACP$'!$G2935</f>
        <v>0</v>
      </c>
      <c r="I2935" s="259"/>
      <c r="J2935" s="260"/>
      <c r="K2935" s="259"/>
      <c r="L2935" s="259">
        <f>+'FACP$'!$H2935-'FACP$'!$I2935-'FACP$'!$K2935</f>
        <v>0</v>
      </c>
      <c r="M2935" s="261" t="s">
        <v>145</v>
      </c>
      <c r="N2935" s="261" t="s">
        <v>554</v>
      </c>
      <c r="O2935" s="262"/>
      <c r="P2935" s="164">
        <f t="array" ref="P2935">XLOOKUP('FACP$'!$B2935,'perfil de pagos'!A:A,'perfil de pagos'!B:B)+'FACP$'!$D2935</f>
        <v>44609</v>
      </c>
      <c r="Q2935" s="263">
        <f t="shared" si="2"/>
        <v>0</v>
      </c>
      <c r="R2935" s="264" t="s">
        <v>3438</v>
      </c>
      <c r="S2935" s="264"/>
      <c r="T2935" s="168">
        <f t="shared" si="3"/>
        <v>0</v>
      </c>
      <c r="U2935" s="168">
        <f t="shared" si="4"/>
        <v>0</v>
      </c>
      <c r="V2935" s="168">
        <f t="shared" si="5"/>
        <v>0</v>
      </c>
      <c r="W2935" s="168">
        <f t="shared" si="6"/>
        <v>0</v>
      </c>
      <c r="X2935" s="168">
        <f t="shared" si="7"/>
        <v>0</v>
      </c>
      <c r="Y2935" s="168">
        <f t="shared" si="8"/>
        <v>0</v>
      </c>
      <c r="Z2935" s="168">
        <f t="shared" si="9"/>
        <v>0</v>
      </c>
    </row>
    <row r="2936" ht="15.0" customHeight="1">
      <c r="A2936" s="157" t="s">
        <v>3439</v>
      </c>
      <c r="B2936" s="158" t="s">
        <v>43</v>
      </c>
      <c r="C2936" s="158" t="s">
        <v>3427</v>
      </c>
      <c r="D2936" s="159">
        <v>44579.0</v>
      </c>
      <c r="E2936" s="157" t="s">
        <v>731</v>
      </c>
      <c r="F2936" s="160">
        <v>163559.57</v>
      </c>
      <c r="G2936" s="160">
        <v>26169.53</v>
      </c>
      <c r="H2936" s="160">
        <f>F2936+G2936</f>
        <v>189729.1</v>
      </c>
      <c r="I2936" s="160"/>
      <c r="J2936" s="161"/>
      <c r="K2936" s="160"/>
      <c r="L2936" s="160">
        <f>+'FACP$'!$H2936-'FACP$'!$I2936-'FACP$'!$K2936</f>
        <v>189729.1</v>
      </c>
      <c r="M2936" s="162" t="s">
        <v>43</v>
      </c>
      <c r="N2936" s="162" t="s">
        <v>554</v>
      </c>
      <c r="O2936" s="164">
        <v>44680.0</v>
      </c>
      <c r="P2936" s="164">
        <f t="array" ref="P2936">XLOOKUP('FACP$'!$B2936,'perfil de pagos'!A:A,'perfil de pagos'!B:B)+'FACP$'!$D2936</f>
        <v>44604</v>
      </c>
      <c r="Q2936" s="165">
        <f t="shared" si="2"/>
        <v>0</v>
      </c>
      <c r="R2936" s="167"/>
      <c r="S2936" s="167"/>
      <c r="T2936" s="168">
        <f t="shared" si="3"/>
        <v>189729.1</v>
      </c>
      <c r="U2936" s="168">
        <f t="shared" si="4"/>
        <v>0</v>
      </c>
      <c r="V2936" s="168">
        <f t="shared" si="5"/>
        <v>0</v>
      </c>
      <c r="W2936" s="168">
        <f t="shared" si="6"/>
        <v>0</v>
      </c>
      <c r="X2936" s="168">
        <f t="shared" si="7"/>
        <v>0</v>
      </c>
      <c r="Y2936" s="168">
        <f t="shared" si="8"/>
        <v>0</v>
      </c>
      <c r="Z2936" s="168">
        <f t="shared" si="9"/>
        <v>0</v>
      </c>
    </row>
    <row r="2937" ht="15.0" customHeight="1">
      <c r="A2937" s="157" t="s">
        <v>3440</v>
      </c>
      <c r="B2937" s="158" t="s">
        <v>31</v>
      </c>
      <c r="C2937" s="158" t="s">
        <v>3441</v>
      </c>
      <c r="D2937" s="159">
        <v>44579.0</v>
      </c>
      <c r="E2937" s="157" t="s">
        <v>731</v>
      </c>
      <c r="F2937" s="160">
        <v>149767.09</v>
      </c>
      <c r="G2937" s="160">
        <v>23962.73</v>
      </c>
      <c r="H2937" s="160">
        <f>F2937+G2937-15000-80000</f>
        <v>78729.82</v>
      </c>
      <c r="I2937" s="252"/>
      <c r="J2937" s="253"/>
      <c r="K2937" s="252"/>
      <c r="L2937" s="160">
        <f>+'FACP$'!$H2937-'FACP$'!$I2937-'FACP$'!$K2937</f>
        <v>78729.82</v>
      </c>
      <c r="M2937" s="162" t="s">
        <v>3183</v>
      </c>
      <c r="N2937" s="162" t="s">
        <v>554</v>
      </c>
      <c r="O2937" s="164">
        <v>44701.0</v>
      </c>
      <c r="P2937" s="164">
        <f t="array" ref="P2937">XLOOKUP('FACP$'!$B2937,'perfil de pagos'!A:A,'perfil de pagos'!B:B)+'FACP$'!$D2937</f>
        <v>44582</v>
      </c>
      <c r="Q2937" s="165">
        <f t="shared" si="2"/>
        <v>0</v>
      </c>
      <c r="R2937" s="167" t="s">
        <v>3442</v>
      </c>
      <c r="S2937" s="167">
        <v>1311.0</v>
      </c>
      <c r="T2937" s="168">
        <f t="shared" si="3"/>
        <v>78729.82</v>
      </c>
      <c r="U2937" s="168">
        <f t="shared" si="4"/>
        <v>0</v>
      </c>
      <c r="V2937" s="168">
        <f t="shared" si="5"/>
        <v>0</v>
      </c>
      <c r="W2937" s="168">
        <f t="shared" si="6"/>
        <v>0</v>
      </c>
      <c r="X2937" s="168">
        <f t="shared" si="7"/>
        <v>0</v>
      </c>
      <c r="Y2937" s="168">
        <f t="shared" si="8"/>
        <v>0</v>
      </c>
      <c r="Z2937" s="168">
        <f t="shared" si="9"/>
        <v>0</v>
      </c>
    </row>
    <row r="2938" ht="15.0" customHeight="1">
      <c r="A2938" s="157" t="s">
        <v>3443</v>
      </c>
      <c r="B2938" s="158" t="s">
        <v>16</v>
      </c>
      <c r="C2938" s="158" t="s">
        <v>3444</v>
      </c>
      <c r="D2938" s="159">
        <v>44581.0</v>
      </c>
      <c r="E2938" s="157" t="s">
        <v>731</v>
      </c>
      <c r="F2938" s="160">
        <v>365548.91</v>
      </c>
      <c r="G2938" s="160">
        <v>58487.83</v>
      </c>
      <c r="H2938" s="160">
        <f t="shared" ref="H2938:H2952" si="72">F2938+G2938</f>
        <v>424036.74</v>
      </c>
      <c r="I2938" s="160"/>
      <c r="J2938" s="161"/>
      <c r="K2938" s="160"/>
      <c r="L2938" s="160">
        <f>+'FACP$'!$H2938-'FACP$'!$I2938-'FACP$'!$K2938</f>
        <v>424036.74</v>
      </c>
      <c r="M2938" s="162" t="s">
        <v>985</v>
      </c>
      <c r="N2938" s="162" t="s">
        <v>554</v>
      </c>
      <c r="O2938" s="164">
        <v>44614.0</v>
      </c>
      <c r="P2938" s="164">
        <f t="array" ref="P2938">XLOOKUP('FACP$'!$B2938,'perfil de pagos'!A:A,'perfil de pagos'!B:B)+'FACP$'!$D2938</f>
        <v>44591</v>
      </c>
      <c r="Q2938" s="165">
        <f t="shared" si="2"/>
        <v>0</v>
      </c>
      <c r="R2938" s="167"/>
      <c r="S2938" s="167">
        <v>1290.0</v>
      </c>
      <c r="T2938" s="168">
        <f t="shared" si="3"/>
        <v>424036.74</v>
      </c>
      <c r="U2938" s="168">
        <f t="shared" si="4"/>
        <v>0</v>
      </c>
      <c r="V2938" s="168">
        <f t="shared" si="5"/>
        <v>0</v>
      </c>
      <c r="W2938" s="168">
        <f t="shared" si="6"/>
        <v>0</v>
      </c>
      <c r="X2938" s="168">
        <f t="shared" si="7"/>
        <v>0</v>
      </c>
      <c r="Y2938" s="168">
        <f t="shared" si="8"/>
        <v>0</v>
      </c>
      <c r="Z2938" s="168">
        <f t="shared" si="9"/>
        <v>0</v>
      </c>
    </row>
    <row r="2939" ht="15.0" customHeight="1">
      <c r="A2939" s="157" t="s">
        <v>3445</v>
      </c>
      <c r="B2939" s="158" t="s">
        <v>16</v>
      </c>
      <c r="C2939" s="158" t="s">
        <v>3446</v>
      </c>
      <c r="D2939" s="159">
        <v>44581.0</v>
      </c>
      <c r="E2939" s="157" t="s">
        <v>731</v>
      </c>
      <c r="F2939" s="160">
        <v>356519.74</v>
      </c>
      <c r="G2939" s="160">
        <v>57043.16</v>
      </c>
      <c r="H2939" s="160">
        <f t="shared" si="72"/>
        <v>413562.9</v>
      </c>
      <c r="I2939" s="160"/>
      <c r="J2939" s="161"/>
      <c r="K2939" s="160"/>
      <c r="L2939" s="160">
        <f>+'FACP$'!$H2939-'FACP$'!$I2939-'FACP$'!$K2939</f>
        <v>413562.9</v>
      </c>
      <c r="M2939" s="162" t="s">
        <v>985</v>
      </c>
      <c r="N2939" s="162" t="s">
        <v>554</v>
      </c>
      <c r="O2939" s="164">
        <v>44614.0</v>
      </c>
      <c r="P2939" s="164">
        <f t="array" ref="P2939">XLOOKUP('FACP$'!$B2939,'perfil de pagos'!A:A,'perfil de pagos'!B:B)+'FACP$'!$D2939</f>
        <v>44591</v>
      </c>
      <c r="Q2939" s="165">
        <f t="shared" si="2"/>
        <v>0</v>
      </c>
      <c r="R2939" s="167"/>
      <c r="S2939" s="167">
        <v>1290.0</v>
      </c>
      <c r="T2939" s="168">
        <f t="shared" si="3"/>
        <v>413562.9</v>
      </c>
      <c r="U2939" s="168">
        <f t="shared" si="4"/>
        <v>0</v>
      </c>
      <c r="V2939" s="168">
        <f t="shared" si="5"/>
        <v>0</v>
      </c>
      <c r="W2939" s="168">
        <f t="shared" si="6"/>
        <v>0</v>
      </c>
      <c r="X2939" s="168">
        <f t="shared" si="7"/>
        <v>0</v>
      </c>
      <c r="Y2939" s="168">
        <f t="shared" si="8"/>
        <v>0</v>
      </c>
      <c r="Z2939" s="168">
        <f t="shared" si="9"/>
        <v>0</v>
      </c>
    </row>
    <row r="2940" ht="15.0" customHeight="1">
      <c r="A2940" s="157" t="s">
        <v>3447</v>
      </c>
      <c r="B2940" s="158" t="s">
        <v>127</v>
      </c>
      <c r="C2940" s="158"/>
      <c r="D2940" s="159">
        <v>44581.0</v>
      </c>
      <c r="E2940" s="157" t="s">
        <v>731</v>
      </c>
      <c r="F2940" s="160"/>
      <c r="G2940" s="160"/>
      <c r="H2940" s="160">
        <f t="shared" si="72"/>
        <v>0</v>
      </c>
      <c r="I2940" s="160"/>
      <c r="J2940" s="161"/>
      <c r="K2940" s="160"/>
      <c r="L2940" s="160">
        <f>+'FACP$'!$H2940-'FACP$'!$I2940-'FACP$'!$K2940</f>
        <v>0</v>
      </c>
      <c r="M2940" s="162"/>
      <c r="N2940" s="162" t="s">
        <v>127</v>
      </c>
      <c r="O2940" s="164"/>
      <c r="P2940" s="164" t="str">
        <f t="array" ref="P2940">XLOOKUP('FACP$'!$B2940,'perfil de pagos'!A:A,'perfil de pagos'!B:B)+'FACP$'!$D2940</f>
        <v>#N/A</v>
      </c>
      <c r="Q2940" s="165">
        <f t="shared" si="2"/>
        <v>0</v>
      </c>
      <c r="R2940" s="167"/>
      <c r="S2940" s="167"/>
      <c r="T2940" s="168">
        <f t="shared" si="3"/>
        <v>0</v>
      </c>
      <c r="U2940" s="168">
        <f t="shared" si="4"/>
        <v>0</v>
      </c>
      <c r="V2940" s="168">
        <f t="shared" si="5"/>
        <v>0</v>
      </c>
      <c r="W2940" s="168">
        <f t="shared" si="6"/>
        <v>0</v>
      </c>
      <c r="X2940" s="168">
        <f t="shared" si="7"/>
        <v>0</v>
      </c>
      <c r="Y2940" s="168">
        <f t="shared" si="8"/>
        <v>0</v>
      </c>
      <c r="Z2940" s="168">
        <f t="shared" si="9"/>
        <v>0</v>
      </c>
    </row>
    <row r="2941" ht="15.0" customHeight="1">
      <c r="A2941" s="157" t="s">
        <v>3448</v>
      </c>
      <c r="B2941" s="158" t="s">
        <v>27</v>
      </c>
      <c r="C2941" s="158" t="s">
        <v>3449</v>
      </c>
      <c r="D2941" s="159">
        <v>44581.0</v>
      </c>
      <c r="E2941" s="157" t="s">
        <v>731</v>
      </c>
      <c r="F2941" s="160">
        <v>292485.74</v>
      </c>
      <c r="G2941" s="160">
        <v>46797.72</v>
      </c>
      <c r="H2941" s="160">
        <f t="shared" si="72"/>
        <v>339283.46</v>
      </c>
      <c r="I2941" s="160"/>
      <c r="J2941" s="161"/>
      <c r="K2941" s="160"/>
      <c r="L2941" s="160">
        <f>+'FACP$'!$H2941-'FACP$'!$I2941-'FACP$'!$K2941</f>
        <v>339283.46</v>
      </c>
      <c r="M2941" s="162" t="s">
        <v>158</v>
      </c>
      <c r="N2941" s="162" t="s">
        <v>554</v>
      </c>
      <c r="O2941" s="164">
        <v>44622.0</v>
      </c>
      <c r="P2941" s="164">
        <f t="array" ref="P2941">XLOOKUP('FACP$'!$B2941,'perfil de pagos'!A:A,'perfil de pagos'!B:B)+'FACP$'!$D2941</f>
        <v>44611</v>
      </c>
      <c r="Q2941" s="165">
        <f t="shared" si="2"/>
        <v>0</v>
      </c>
      <c r="R2941" s="167"/>
      <c r="S2941" s="167">
        <v>1320.0</v>
      </c>
      <c r="T2941" s="168">
        <f t="shared" si="3"/>
        <v>339283.46</v>
      </c>
      <c r="U2941" s="168">
        <f t="shared" si="4"/>
        <v>0</v>
      </c>
      <c r="V2941" s="168">
        <f t="shared" si="5"/>
        <v>0</v>
      </c>
      <c r="W2941" s="168">
        <f t="shared" si="6"/>
        <v>0</v>
      </c>
      <c r="X2941" s="168">
        <f t="shared" si="7"/>
        <v>0</v>
      </c>
      <c r="Y2941" s="168">
        <f t="shared" si="8"/>
        <v>0</v>
      </c>
      <c r="Z2941" s="168">
        <f t="shared" si="9"/>
        <v>0</v>
      </c>
    </row>
    <row r="2942" ht="15.0" customHeight="1">
      <c r="A2942" s="157" t="s">
        <v>3450</v>
      </c>
      <c r="B2942" s="158" t="s">
        <v>27</v>
      </c>
      <c r="C2942" s="158" t="s">
        <v>3451</v>
      </c>
      <c r="D2942" s="159">
        <v>44581.0</v>
      </c>
      <c r="E2942" s="157" t="s">
        <v>731</v>
      </c>
      <c r="F2942" s="160">
        <v>171852.57</v>
      </c>
      <c r="G2942" s="160">
        <v>27496.41</v>
      </c>
      <c r="H2942" s="160">
        <f t="shared" si="72"/>
        <v>199348.98</v>
      </c>
      <c r="I2942" s="160"/>
      <c r="J2942" s="161"/>
      <c r="K2942" s="160"/>
      <c r="L2942" s="160">
        <f>+'FACP$'!$H2942-'FACP$'!$I2942-'FACP$'!$K2942</f>
        <v>199348.98</v>
      </c>
      <c r="M2942" s="162" t="s">
        <v>158</v>
      </c>
      <c r="N2942" s="162" t="s">
        <v>554</v>
      </c>
      <c r="O2942" s="164">
        <v>44622.0</v>
      </c>
      <c r="P2942" s="164">
        <f t="array" ref="P2942">XLOOKUP('FACP$'!$B2942,'perfil de pagos'!A:A,'perfil de pagos'!B:B)+'FACP$'!$D2942</f>
        <v>44611</v>
      </c>
      <c r="Q2942" s="165">
        <f t="shared" si="2"/>
        <v>0</v>
      </c>
      <c r="R2942" s="167"/>
      <c r="S2942" s="167">
        <v>1320.0</v>
      </c>
      <c r="T2942" s="168">
        <f t="shared" si="3"/>
        <v>199348.98</v>
      </c>
      <c r="U2942" s="168">
        <f t="shared" si="4"/>
        <v>0</v>
      </c>
      <c r="V2942" s="168">
        <f t="shared" si="5"/>
        <v>0</v>
      </c>
      <c r="W2942" s="168">
        <f t="shared" si="6"/>
        <v>0</v>
      </c>
      <c r="X2942" s="168">
        <f t="shared" si="7"/>
        <v>0</v>
      </c>
      <c r="Y2942" s="168">
        <f t="shared" si="8"/>
        <v>0</v>
      </c>
      <c r="Z2942" s="168">
        <f t="shared" si="9"/>
        <v>0</v>
      </c>
    </row>
    <row r="2943" ht="15.0" customHeight="1">
      <c r="A2943" s="157" t="s">
        <v>3452</v>
      </c>
      <c r="B2943" s="158" t="s">
        <v>27</v>
      </c>
      <c r="C2943" s="158" t="s">
        <v>3449</v>
      </c>
      <c r="D2943" s="159">
        <v>44581.0</v>
      </c>
      <c r="E2943" s="157" t="s">
        <v>731</v>
      </c>
      <c r="F2943" s="160">
        <v>285638.82</v>
      </c>
      <c r="G2943" s="160">
        <v>45702.21</v>
      </c>
      <c r="H2943" s="160">
        <f t="shared" si="72"/>
        <v>331341.03</v>
      </c>
      <c r="I2943" s="160"/>
      <c r="J2943" s="161"/>
      <c r="K2943" s="160"/>
      <c r="L2943" s="160">
        <f>+'FACP$'!$H2943-'FACP$'!$I2943-'FACP$'!$K2943</f>
        <v>331341.03</v>
      </c>
      <c r="M2943" s="162" t="s">
        <v>151</v>
      </c>
      <c r="N2943" s="162" t="s">
        <v>554</v>
      </c>
      <c r="O2943" s="164">
        <v>44616.0</v>
      </c>
      <c r="P2943" s="164">
        <f t="array" ref="P2943">XLOOKUP('FACP$'!$B2943,'perfil de pagos'!A:A,'perfil de pagos'!B:B)+'FACP$'!$D2943</f>
        <v>44611</v>
      </c>
      <c r="Q2943" s="165">
        <f t="shared" si="2"/>
        <v>0</v>
      </c>
      <c r="R2943" s="167"/>
      <c r="S2943" s="167">
        <v>1299.0</v>
      </c>
      <c r="T2943" s="168">
        <f t="shared" si="3"/>
        <v>331341.03</v>
      </c>
      <c r="U2943" s="168">
        <f t="shared" si="4"/>
        <v>0</v>
      </c>
      <c r="V2943" s="168">
        <f t="shared" si="5"/>
        <v>0</v>
      </c>
      <c r="W2943" s="168">
        <f t="shared" si="6"/>
        <v>0</v>
      </c>
      <c r="X2943" s="168">
        <f t="shared" si="7"/>
        <v>0</v>
      </c>
      <c r="Y2943" s="168">
        <f t="shared" si="8"/>
        <v>0</v>
      </c>
      <c r="Z2943" s="168">
        <f t="shared" si="9"/>
        <v>0</v>
      </c>
    </row>
    <row r="2944" ht="15.0" customHeight="1">
      <c r="A2944" s="157" t="s">
        <v>3453</v>
      </c>
      <c r="B2944" s="158" t="s">
        <v>27</v>
      </c>
      <c r="C2944" s="158" t="s">
        <v>3451</v>
      </c>
      <c r="D2944" s="159">
        <v>44581.0</v>
      </c>
      <c r="E2944" s="157" t="s">
        <v>731</v>
      </c>
      <c r="F2944" s="160">
        <v>163864.83</v>
      </c>
      <c r="G2944" s="160">
        <v>26218.37</v>
      </c>
      <c r="H2944" s="160">
        <f t="shared" si="72"/>
        <v>190083.2</v>
      </c>
      <c r="I2944" s="160"/>
      <c r="J2944" s="161"/>
      <c r="K2944" s="160"/>
      <c r="L2944" s="160">
        <f>+'FACP$'!$H2944-'FACP$'!$I2944-'FACP$'!$K2944</f>
        <v>190083.2</v>
      </c>
      <c r="M2944" s="162" t="s">
        <v>151</v>
      </c>
      <c r="N2944" s="162" t="s">
        <v>554</v>
      </c>
      <c r="O2944" s="164">
        <v>44616.0</v>
      </c>
      <c r="P2944" s="164">
        <f t="array" ref="P2944">XLOOKUP('FACP$'!$B2944,'perfil de pagos'!A:A,'perfil de pagos'!B:B)+'FACP$'!$D2944</f>
        <v>44611</v>
      </c>
      <c r="Q2944" s="165">
        <f t="shared" si="2"/>
        <v>0</v>
      </c>
      <c r="R2944" s="167"/>
      <c r="S2944" s="167">
        <v>1299.0</v>
      </c>
      <c r="T2944" s="168">
        <f t="shared" si="3"/>
        <v>190083.2</v>
      </c>
      <c r="U2944" s="168">
        <f t="shared" si="4"/>
        <v>0</v>
      </c>
      <c r="V2944" s="168">
        <f t="shared" si="5"/>
        <v>0</v>
      </c>
      <c r="W2944" s="168">
        <f t="shared" si="6"/>
        <v>0</v>
      </c>
      <c r="X2944" s="168">
        <f t="shared" si="7"/>
        <v>0</v>
      </c>
      <c r="Y2944" s="168">
        <f t="shared" si="8"/>
        <v>0</v>
      </c>
      <c r="Z2944" s="168">
        <f t="shared" si="9"/>
        <v>0</v>
      </c>
    </row>
    <row r="2945" ht="15.0" customHeight="1">
      <c r="A2945" s="157" t="s">
        <v>3454</v>
      </c>
      <c r="B2945" s="158" t="s">
        <v>27</v>
      </c>
      <c r="C2945" s="158" t="s">
        <v>3455</v>
      </c>
      <c r="D2945" s="159">
        <v>44581.0</v>
      </c>
      <c r="E2945" s="157" t="s">
        <v>731</v>
      </c>
      <c r="F2945" s="160">
        <v>20916.5</v>
      </c>
      <c r="G2945" s="160">
        <v>3346.64</v>
      </c>
      <c r="H2945" s="160">
        <f t="shared" si="72"/>
        <v>24263.14</v>
      </c>
      <c r="I2945" s="160"/>
      <c r="J2945" s="161"/>
      <c r="K2945" s="160"/>
      <c r="L2945" s="160">
        <f>+'FACP$'!$H2945-'FACP$'!$I2945-'FACP$'!$K2945</f>
        <v>24263.14</v>
      </c>
      <c r="M2945" s="162" t="s">
        <v>151</v>
      </c>
      <c r="N2945" s="162" t="s">
        <v>554</v>
      </c>
      <c r="O2945" s="164">
        <v>44622.0</v>
      </c>
      <c r="P2945" s="164">
        <f t="array" ref="P2945">XLOOKUP('FACP$'!$B2945,'perfil de pagos'!A:A,'perfil de pagos'!B:B)+'FACP$'!$D2945</f>
        <v>44611</v>
      </c>
      <c r="Q2945" s="165">
        <f t="shared" si="2"/>
        <v>0</v>
      </c>
      <c r="R2945" s="167"/>
      <c r="S2945" s="167">
        <v>1321.0</v>
      </c>
      <c r="T2945" s="168">
        <f t="shared" si="3"/>
        <v>24263.14</v>
      </c>
      <c r="U2945" s="168">
        <f t="shared" si="4"/>
        <v>0</v>
      </c>
      <c r="V2945" s="168">
        <f t="shared" si="5"/>
        <v>0</v>
      </c>
      <c r="W2945" s="168">
        <f t="shared" si="6"/>
        <v>0</v>
      </c>
      <c r="X2945" s="168">
        <f t="shared" si="7"/>
        <v>0</v>
      </c>
      <c r="Y2945" s="168">
        <f t="shared" si="8"/>
        <v>0</v>
      </c>
      <c r="Z2945" s="168">
        <f t="shared" si="9"/>
        <v>0</v>
      </c>
    </row>
    <row r="2946" ht="15.0" customHeight="1">
      <c r="A2946" s="157" t="s">
        <v>3456</v>
      </c>
      <c r="B2946" s="158" t="s">
        <v>27</v>
      </c>
      <c r="C2946" s="158" t="s">
        <v>3457</v>
      </c>
      <c r="D2946" s="159">
        <v>44581.0</v>
      </c>
      <c r="E2946" s="157" t="s">
        <v>731</v>
      </c>
      <c r="F2946" s="160">
        <v>11999.35</v>
      </c>
      <c r="G2946" s="160">
        <v>1919.9</v>
      </c>
      <c r="H2946" s="160">
        <f t="shared" si="72"/>
        <v>13919.25</v>
      </c>
      <c r="I2946" s="160"/>
      <c r="J2946" s="161"/>
      <c r="K2946" s="160"/>
      <c r="L2946" s="160">
        <f>+'FACP$'!$H2946-'FACP$'!$I2946-'FACP$'!$K2946</f>
        <v>13919.25</v>
      </c>
      <c r="M2946" s="162" t="s">
        <v>151</v>
      </c>
      <c r="N2946" s="162" t="s">
        <v>554</v>
      </c>
      <c r="O2946" s="164">
        <v>44622.0</v>
      </c>
      <c r="P2946" s="164">
        <f t="array" ref="P2946">XLOOKUP('FACP$'!$B2946,'perfil de pagos'!A:A,'perfil de pagos'!B:B)+'FACP$'!$D2946</f>
        <v>44611</v>
      </c>
      <c r="Q2946" s="165">
        <f t="shared" si="2"/>
        <v>0</v>
      </c>
      <c r="R2946" s="167"/>
      <c r="S2946" s="167">
        <v>1321.0</v>
      </c>
      <c r="T2946" s="168">
        <f t="shared" si="3"/>
        <v>13919.25</v>
      </c>
      <c r="U2946" s="168">
        <f t="shared" si="4"/>
        <v>0</v>
      </c>
      <c r="V2946" s="168">
        <f t="shared" si="5"/>
        <v>0</v>
      </c>
      <c r="W2946" s="168">
        <f t="shared" si="6"/>
        <v>0</v>
      </c>
      <c r="X2946" s="168">
        <f t="shared" si="7"/>
        <v>0</v>
      </c>
      <c r="Y2946" s="168">
        <f t="shared" si="8"/>
        <v>0</v>
      </c>
      <c r="Z2946" s="168">
        <f t="shared" si="9"/>
        <v>0</v>
      </c>
    </row>
    <row r="2947" ht="15.0" customHeight="1">
      <c r="A2947" s="157" t="s">
        <v>3458</v>
      </c>
      <c r="B2947" s="158" t="s">
        <v>35</v>
      </c>
      <c r="C2947" s="158" t="s">
        <v>3444</v>
      </c>
      <c r="D2947" s="159">
        <v>44581.0</v>
      </c>
      <c r="E2947" s="157" t="s">
        <v>731</v>
      </c>
      <c r="F2947" s="160">
        <v>490448.74</v>
      </c>
      <c r="G2947" s="160">
        <v>78471.8</v>
      </c>
      <c r="H2947" s="160">
        <f t="shared" si="72"/>
        <v>568920.54</v>
      </c>
      <c r="I2947" s="160"/>
      <c r="J2947" s="161"/>
      <c r="K2947" s="160"/>
      <c r="L2947" s="160">
        <f>+'FACP$'!$H2947-'FACP$'!$I2947-'FACP$'!$K2947</f>
        <v>568920.54</v>
      </c>
      <c r="M2947" s="162" t="s">
        <v>276</v>
      </c>
      <c r="N2947" s="162" t="s">
        <v>554</v>
      </c>
      <c r="O2947" s="164">
        <v>44615.0</v>
      </c>
      <c r="P2947" s="164">
        <f t="array" ref="P2947">XLOOKUP('FACP$'!$B2947,'perfil de pagos'!A:A,'perfil de pagos'!B:B)+'FACP$'!$D2947</f>
        <v>44591</v>
      </c>
      <c r="Q2947" s="165">
        <f t="shared" si="2"/>
        <v>0</v>
      </c>
      <c r="R2947" s="167"/>
      <c r="S2947" s="167">
        <v>1301.0</v>
      </c>
      <c r="T2947" s="168">
        <f t="shared" si="3"/>
        <v>568920.54</v>
      </c>
      <c r="U2947" s="168">
        <f t="shared" si="4"/>
        <v>0</v>
      </c>
      <c r="V2947" s="168">
        <f t="shared" si="5"/>
        <v>0</v>
      </c>
      <c r="W2947" s="168">
        <f t="shared" si="6"/>
        <v>0</v>
      </c>
      <c r="X2947" s="168">
        <f t="shared" si="7"/>
        <v>0</v>
      </c>
      <c r="Y2947" s="168">
        <f t="shared" si="8"/>
        <v>0</v>
      </c>
      <c r="Z2947" s="168">
        <f t="shared" si="9"/>
        <v>0</v>
      </c>
    </row>
    <row r="2948" ht="15.0" customHeight="1">
      <c r="A2948" s="157" t="s">
        <v>3459</v>
      </c>
      <c r="B2948" s="158" t="s">
        <v>36</v>
      </c>
      <c r="C2948" s="158" t="s">
        <v>3444</v>
      </c>
      <c r="D2948" s="159">
        <v>44581.0</v>
      </c>
      <c r="E2948" s="157" t="s">
        <v>731</v>
      </c>
      <c r="F2948" s="160">
        <v>55803.01</v>
      </c>
      <c r="G2948" s="160">
        <v>8928.48</v>
      </c>
      <c r="H2948" s="160">
        <f t="shared" si="72"/>
        <v>64731.49</v>
      </c>
      <c r="I2948" s="160"/>
      <c r="J2948" s="161"/>
      <c r="K2948" s="160"/>
      <c r="L2948" s="160">
        <f>+'FACP$'!$H2948-'FACP$'!$I2948-'FACP$'!$K2948</f>
        <v>64731.49</v>
      </c>
      <c r="M2948" s="162" t="s">
        <v>278</v>
      </c>
      <c r="N2948" s="162" t="s">
        <v>554</v>
      </c>
      <c r="O2948" s="164">
        <v>44606.0</v>
      </c>
      <c r="P2948" s="164">
        <f t="array" ref="P2948">XLOOKUP('FACP$'!$B2948,'perfil de pagos'!A:A,'perfil de pagos'!B:B)+'FACP$'!$D2948</f>
        <v>44591</v>
      </c>
      <c r="Q2948" s="165">
        <f t="shared" si="2"/>
        <v>0</v>
      </c>
      <c r="R2948" s="167"/>
      <c r="S2948" s="167"/>
      <c r="T2948" s="168">
        <f t="shared" si="3"/>
        <v>64731.49</v>
      </c>
      <c r="U2948" s="168">
        <f t="shared" si="4"/>
        <v>0</v>
      </c>
      <c r="V2948" s="168">
        <f t="shared" si="5"/>
        <v>0</v>
      </c>
      <c r="W2948" s="168">
        <f t="shared" si="6"/>
        <v>0</v>
      </c>
      <c r="X2948" s="168">
        <f t="shared" si="7"/>
        <v>0</v>
      </c>
      <c r="Y2948" s="168">
        <f t="shared" si="8"/>
        <v>0</v>
      </c>
      <c r="Z2948" s="168">
        <f t="shared" si="9"/>
        <v>0</v>
      </c>
    </row>
    <row r="2949" ht="15.0" customHeight="1">
      <c r="A2949" s="157" t="s">
        <v>3460</v>
      </c>
      <c r="B2949" s="158" t="s">
        <v>41</v>
      </c>
      <c r="C2949" s="158" t="s">
        <v>3444</v>
      </c>
      <c r="D2949" s="159">
        <v>44581.0</v>
      </c>
      <c r="E2949" s="157" t="s">
        <v>731</v>
      </c>
      <c r="F2949" s="160">
        <v>1034852.0</v>
      </c>
      <c r="G2949" s="160">
        <v>165576.32</v>
      </c>
      <c r="H2949" s="160">
        <f t="shared" si="72"/>
        <v>1200428.32</v>
      </c>
      <c r="I2949" s="160"/>
      <c r="J2949" s="161"/>
      <c r="K2949" s="160"/>
      <c r="L2949" s="160">
        <f>+'FACP$'!$H2949-'FACP$'!$I2949-'FACP$'!$K2949</f>
        <v>1200428.32</v>
      </c>
      <c r="M2949" s="162" t="s">
        <v>121</v>
      </c>
      <c r="N2949" s="162" t="s">
        <v>554</v>
      </c>
      <c r="O2949" s="164">
        <v>44643.0</v>
      </c>
      <c r="P2949" s="164">
        <f t="array" ref="P2949">XLOOKUP('FACP$'!$B2949,'perfil de pagos'!A:A,'perfil de pagos'!B:B)+'FACP$'!$D2949</f>
        <v>44591</v>
      </c>
      <c r="Q2949" s="165">
        <f t="shared" si="2"/>
        <v>0</v>
      </c>
      <c r="R2949" s="167"/>
      <c r="S2949" s="167"/>
      <c r="T2949" s="168">
        <f t="shared" si="3"/>
        <v>1200428.32</v>
      </c>
      <c r="U2949" s="168">
        <f t="shared" si="4"/>
        <v>0</v>
      </c>
      <c r="V2949" s="168">
        <f t="shared" si="5"/>
        <v>0</v>
      </c>
      <c r="W2949" s="168">
        <f t="shared" si="6"/>
        <v>0</v>
      </c>
      <c r="X2949" s="168">
        <f t="shared" si="7"/>
        <v>0</v>
      </c>
      <c r="Y2949" s="168">
        <f t="shared" si="8"/>
        <v>0</v>
      </c>
      <c r="Z2949" s="168">
        <f t="shared" si="9"/>
        <v>0</v>
      </c>
    </row>
    <row r="2950" ht="15.0" customHeight="1">
      <c r="A2950" s="157" t="s">
        <v>3461</v>
      </c>
      <c r="B2950" s="158" t="s">
        <v>43</v>
      </c>
      <c r="C2950" s="158" t="s">
        <v>3444</v>
      </c>
      <c r="D2950" s="159">
        <v>44581.0</v>
      </c>
      <c r="E2950" s="157" t="s">
        <v>731</v>
      </c>
      <c r="F2950" s="160">
        <v>1711575.21</v>
      </c>
      <c r="G2950" s="160">
        <v>273852.03</v>
      </c>
      <c r="H2950" s="160">
        <f t="shared" si="72"/>
        <v>1985427.24</v>
      </c>
      <c r="I2950" s="160"/>
      <c r="J2950" s="161"/>
      <c r="K2950" s="160"/>
      <c r="L2950" s="160">
        <f>+'FACP$'!$H2950-'FACP$'!$I2950-'FACP$'!$K2950</f>
        <v>1985427.24</v>
      </c>
      <c r="M2950" s="162" t="s">
        <v>43</v>
      </c>
      <c r="N2950" s="162" t="s">
        <v>554</v>
      </c>
      <c r="O2950" s="164">
        <v>44620.0</v>
      </c>
      <c r="P2950" s="164">
        <f t="array" ref="P2950">XLOOKUP('FACP$'!$B2950,'perfil de pagos'!A:A,'perfil de pagos'!B:B)+'FACP$'!$D2950</f>
        <v>44606</v>
      </c>
      <c r="Q2950" s="165">
        <f t="shared" si="2"/>
        <v>0</v>
      </c>
      <c r="R2950" s="167"/>
      <c r="S2950" s="167"/>
      <c r="T2950" s="168">
        <f t="shared" si="3"/>
        <v>1985427.24</v>
      </c>
      <c r="U2950" s="168">
        <f t="shared" si="4"/>
        <v>0</v>
      </c>
      <c r="V2950" s="168">
        <f t="shared" si="5"/>
        <v>0</v>
      </c>
      <c r="W2950" s="168">
        <f t="shared" si="6"/>
        <v>0</v>
      </c>
      <c r="X2950" s="168">
        <f t="shared" si="7"/>
        <v>0</v>
      </c>
      <c r="Y2950" s="168">
        <f t="shared" si="8"/>
        <v>0</v>
      </c>
      <c r="Z2950" s="168">
        <f t="shared" si="9"/>
        <v>0</v>
      </c>
    </row>
    <row r="2951" ht="15.0" customHeight="1">
      <c r="A2951" s="157" t="s">
        <v>3462</v>
      </c>
      <c r="B2951" s="158" t="s">
        <v>33</v>
      </c>
      <c r="C2951" s="158" t="s">
        <v>3444</v>
      </c>
      <c r="D2951" s="159">
        <v>44581.0</v>
      </c>
      <c r="E2951" s="157" t="s">
        <v>731</v>
      </c>
      <c r="F2951" s="160">
        <v>1163538.88</v>
      </c>
      <c r="G2951" s="160">
        <v>186166.22</v>
      </c>
      <c r="H2951" s="160">
        <f t="shared" si="72"/>
        <v>1349705.1</v>
      </c>
      <c r="I2951" s="160"/>
      <c r="J2951" s="161"/>
      <c r="K2951" s="160"/>
      <c r="L2951" s="160">
        <f>+'FACP$'!$H2951-'FACP$'!$I2951-'FACP$'!$K2951</f>
        <v>1349705.1</v>
      </c>
      <c r="M2951" s="162" t="s">
        <v>958</v>
      </c>
      <c r="N2951" s="162" t="s">
        <v>554</v>
      </c>
      <c r="O2951" s="164">
        <v>44596.0</v>
      </c>
      <c r="P2951" s="164">
        <f t="array" ref="P2951">XLOOKUP('FACP$'!$B2951,'perfil de pagos'!A:A,'perfil de pagos'!B:B)+'FACP$'!$D2951</f>
        <v>44591</v>
      </c>
      <c r="Q2951" s="165">
        <f t="shared" si="2"/>
        <v>0</v>
      </c>
      <c r="R2951" s="167"/>
      <c r="S2951" s="167"/>
      <c r="T2951" s="168">
        <f t="shared" si="3"/>
        <v>1349705.1</v>
      </c>
      <c r="U2951" s="168">
        <f t="shared" si="4"/>
        <v>0</v>
      </c>
      <c r="V2951" s="168">
        <f t="shared" si="5"/>
        <v>0</v>
      </c>
      <c r="W2951" s="168">
        <f t="shared" si="6"/>
        <v>0</v>
      </c>
      <c r="X2951" s="168">
        <f t="shared" si="7"/>
        <v>0</v>
      </c>
      <c r="Y2951" s="168">
        <f t="shared" si="8"/>
        <v>0</v>
      </c>
      <c r="Z2951" s="168">
        <f t="shared" si="9"/>
        <v>0</v>
      </c>
    </row>
    <row r="2952" ht="15.0" customHeight="1">
      <c r="A2952" s="157" t="s">
        <v>3463</v>
      </c>
      <c r="B2952" s="158" t="s">
        <v>31</v>
      </c>
      <c r="C2952" s="158" t="s">
        <v>3464</v>
      </c>
      <c r="D2952" s="159">
        <v>44581.0</v>
      </c>
      <c r="E2952" s="157" t="s">
        <v>731</v>
      </c>
      <c r="F2952" s="160">
        <v>85605.33</v>
      </c>
      <c r="G2952" s="160">
        <v>13696.85</v>
      </c>
      <c r="H2952" s="160">
        <f t="shared" si="72"/>
        <v>99302.18</v>
      </c>
      <c r="I2952" s="252"/>
      <c r="J2952" s="253"/>
      <c r="K2952" s="252"/>
      <c r="L2952" s="160">
        <f>+'FACP$'!$H2952-'FACP$'!$I2952-'FACP$'!$K2952</f>
        <v>99302.18</v>
      </c>
      <c r="M2952" s="162" t="s">
        <v>3183</v>
      </c>
      <c r="N2952" s="162" t="s">
        <v>554</v>
      </c>
      <c r="O2952" s="164">
        <v>44757.0</v>
      </c>
      <c r="P2952" s="164">
        <f t="array" ref="P2952">XLOOKUP('FACP$'!$B2952,'perfil de pagos'!A:A,'perfil de pagos'!B:B)+'FACP$'!$D2952</f>
        <v>44584</v>
      </c>
      <c r="Q2952" s="165">
        <f t="shared" si="2"/>
        <v>0</v>
      </c>
      <c r="R2952" s="167"/>
      <c r="S2952" s="167"/>
      <c r="T2952" s="168">
        <f t="shared" si="3"/>
        <v>99302.18</v>
      </c>
      <c r="U2952" s="168">
        <f t="shared" si="4"/>
        <v>0</v>
      </c>
      <c r="V2952" s="168">
        <f t="shared" si="5"/>
        <v>0</v>
      </c>
      <c r="W2952" s="168">
        <f t="shared" si="6"/>
        <v>0</v>
      </c>
      <c r="X2952" s="168">
        <f t="shared" si="7"/>
        <v>0</v>
      </c>
      <c r="Y2952" s="168">
        <f t="shared" si="8"/>
        <v>0</v>
      </c>
      <c r="Z2952" s="168">
        <f t="shared" si="9"/>
        <v>0</v>
      </c>
    </row>
    <row r="2953" ht="15.0" customHeight="1">
      <c r="A2953" s="157" t="s">
        <v>3465</v>
      </c>
      <c r="B2953" s="158" t="s">
        <v>31</v>
      </c>
      <c r="C2953" s="158" t="s">
        <v>3466</v>
      </c>
      <c r="D2953" s="159">
        <v>44581.0</v>
      </c>
      <c r="E2953" s="157" t="s">
        <v>731</v>
      </c>
      <c r="F2953" s="160">
        <v>45205.46</v>
      </c>
      <c r="G2953" s="160">
        <v>7232.87</v>
      </c>
      <c r="H2953" s="160">
        <f>F2953+G2953-26219.17</f>
        <v>26219.16</v>
      </c>
      <c r="I2953" s="252"/>
      <c r="J2953" s="253"/>
      <c r="K2953" s="252"/>
      <c r="L2953" s="160">
        <f>+'FACP$'!$H2953-'FACP$'!$I2953-'FACP$'!$K2953</f>
        <v>26219.16</v>
      </c>
      <c r="M2953" s="162" t="s">
        <v>3183</v>
      </c>
      <c r="N2953" s="162" t="s">
        <v>554</v>
      </c>
      <c r="O2953" s="164">
        <v>44610.0</v>
      </c>
      <c r="P2953" s="164">
        <f t="array" ref="P2953">XLOOKUP('FACP$'!$B2953,'perfil de pagos'!A:A,'perfil de pagos'!B:B)+'FACP$'!$D2953</f>
        <v>44584</v>
      </c>
      <c r="Q2953" s="165">
        <f t="shared" si="2"/>
        <v>0</v>
      </c>
      <c r="R2953" s="220" t="s">
        <v>3467</v>
      </c>
      <c r="S2953" s="167"/>
      <c r="T2953" s="168">
        <f t="shared" si="3"/>
        <v>26219.16</v>
      </c>
      <c r="U2953" s="168">
        <f t="shared" si="4"/>
        <v>0</v>
      </c>
      <c r="V2953" s="168">
        <f t="shared" si="5"/>
        <v>0</v>
      </c>
      <c r="W2953" s="168">
        <f t="shared" si="6"/>
        <v>0</v>
      </c>
      <c r="X2953" s="168">
        <f t="shared" si="7"/>
        <v>0</v>
      </c>
      <c r="Y2953" s="168">
        <f t="shared" si="8"/>
        <v>0</v>
      </c>
      <c r="Z2953" s="168">
        <f t="shared" si="9"/>
        <v>0</v>
      </c>
    </row>
    <row r="2954" ht="15.0" customHeight="1">
      <c r="A2954" s="157" t="s">
        <v>3468</v>
      </c>
      <c r="B2954" s="158" t="s">
        <v>18</v>
      </c>
      <c r="C2954" s="158" t="s">
        <v>3444</v>
      </c>
      <c r="D2954" s="159">
        <v>44582.0</v>
      </c>
      <c r="E2954" s="157" t="s">
        <v>731</v>
      </c>
      <c r="F2954" s="160">
        <v>163832.13</v>
      </c>
      <c r="G2954" s="160">
        <v>26213.14</v>
      </c>
      <c r="H2954" s="160">
        <f t="shared" ref="H2954:H2957" si="73">F2954+G2954</f>
        <v>190045.27</v>
      </c>
      <c r="I2954" s="160"/>
      <c r="J2954" s="161"/>
      <c r="K2954" s="160"/>
      <c r="L2954" s="160">
        <f>+'FACP$'!$H2954-'FACP$'!$I2954-'FACP$'!$K2954</f>
        <v>190045.27</v>
      </c>
      <c r="M2954" s="162" t="s">
        <v>586</v>
      </c>
      <c r="N2954" s="162" t="s">
        <v>554</v>
      </c>
      <c r="O2954" s="164">
        <v>44616.0</v>
      </c>
      <c r="P2954" s="164">
        <f t="array" ref="P2954">XLOOKUP('FACP$'!$B2954,'perfil de pagos'!A:A,'perfil de pagos'!B:B)+'FACP$'!$D2954</f>
        <v>44592</v>
      </c>
      <c r="Q2954" s="165">
        <f t="shared" si="2"/>
        <v>0</v>
      </c>
      <c r="R2954" s="167"/>
      <c r="S2954" s="167">
        <v>1300.0</v>
      </c>
      <c r="T2954" s="168">
        <f t="shared" si="3"/>
        <v>190045.27</v>
      </c>
      <c r="U2954" s="168">
        <f t="shared" si="4"/>
        <v>0</v>
      </c>
      <c r="V2954" s="168">
        <f t="shared" si="5"/>
        <v>0</v>
      </c>
      <c r="W2954" s="168">
        <f t="shared" si="6"/>
        <v>0</v>
      </c>
      <c r="X2954" s="168">
        <f t="shared" si="7"/>
        <v>0</v>
      </c>
      <c r="Y2954" s="168">
        <f t="shared" si="8"/>
        <v>0</v>
      </c>
      <c r="Z2954" s="168">
        <f t="shared" si="9"/>
        <v>0</v>
      </c>
    </row>
    <row r="2955" ht="15.0" customHeight="1">
      <c r="A2955" s="157" t="s">
        <v>3469</v>
      </c>
      <c r="B2955" s="158" t="s">
        <v>19</v>
      </c>
      <c r="C2955" s="158" t="s">
        <v>3444</v>
      </c>
      <c r="D2955" s="159">
        <v>44582.0</v>
      </c>
      <c r="E2955" s="157" t="s">
        <v>731</v>
      </c>
      <c r="F2955" s="160">
        <v>187735.48</v>
      </c>
      <c r="G2955" s="160">
        <v>30037.68</v>
      </c>
      <c r="H2955" s="160">
        <f t="shared" si="73"/>
        <v>217773.16</v>
      </c>
      <c r="I2955" s="160"/>
      <c r="J2955" s="161"/>
      <c r="K2955" s="160"/>
      <c r="L2955" s="160">
        <f>+'FACP$'!$H2955-'FACP$'!$I2955-'FACP$'!$K2955</f>
        <v>217773.16</v>
      </c>
      <c r="M2955" s="162" t="s">
        <v>732</v>
      </c>
      <c r="N2955" s="162" t="s">
        <v>554</v>
      </c>
      <c r="O2955" s="164">
        <v>44616.0</v>
      </c>
      <c r="P2955" s="164">
        <f t="array" ref="P2955">XLOOKUP('FACP$'!$B2955,'perfil de pagos'!A:A,'perfil de pagos'!B:B)+'FACP$'!$D2955</f>
        <v>44592</v>
      </c>
      <c r="Q2955" s="165">
        <f t="shared" si="2"/>
        <v>0</v>
      </c>
      <c r="R2955" s="167"/>
      <c r="S2955" s="167">
        <v>1300.0</v>
      </c>
      <c r="T2955" s="168">
        <f t="shared" si="3"/>
        <v>217773.16</v>
      </c>
      <c r="U2955" s="168">
        <f t="shared" si="4"/>
        <v>0</v>
      </c>
      <c r="V2955" s="168">
        <f t="shared" si="5"/>
        <v>0</v>
      </c>
      <c r="W2955" s="168">
        <f t="shared" si="6"/>
        <v>0</v>
      </c>
      <c r="X2955" s="168">
        <f t="shared" si="7"/>
        <v>0</v>
      </c>
      <c r="Y2955" s="168">
        <f t="shared" si="8"/>
        <v>0</v>
      </c>
      <c r="Z2955" s="168">
        <f t="shared" si="9"/>
        <v>0</v>
      </c>
    </row>
    <row r="2956" ht="15.0" customHeight="1">
      <c r="A2956" s="157" t="s">
        <v>3470</v>
      </c>
      <c r="B2956" s="158" t="s">
        <v>127</v>
      </c>
      <c r="C2956" s="158"/>
      <c r="D2956" s="159">
        <v>44582.0</v>
      </c>
      <c r="E2956" s="157" t="s">
        <v>731</v>
      </c>
      <c r="F2956" s="160"/>
      <c r="G2956" s="160"/>
      <c r="H2956" s="160">
        <f t="shared" si="73"/>
        <v>0</v>
      </c>
      <c r="I2956" s="160"/>
      <c r="J2956" s="161"/>
      <c r="K2956" s="160"/>
      <c r="L2956" s="160">
        <f>+'FACP$'!$H2956-'FACP$'!$I2956-'FACP$'!$K2956</f>
        <v>0</v>
      </c>
      <c r="M2956" s="162"/>
      <c r="N2956" s="162" t="s">
        <v>127</v>
      </c>
      <c r="O2956" s="164"/>
      <c r="P2956" s="164" t="str">
        <f t="array" ref="P2956">XLOOKUP('FACP$'!$B2956,'perfil de pagos'!A:A,'perfil de pagos'!B:B)+'FACP$'!$D2956</f>
        <v>#N/A</v>
      </c>
      <c r="Q2956" s="165">
        <f t="shared" si="2"/>
        <v>0</v>
      </c>
      <c r="R2956" s="167"/>
      <c r="S2956" s="167"/>
      <c r="T2956" s="168">
        <f t="shared" si="3"/>
        <v>0</v>
      </c>
      <c r="U2956" s="168">
        <f t="shared" si="4"/>
        <v>0</v>
      </c>
      <c r="V2956" s="168">
        <f t="shared" si="5"/>
        <v>0</v>
      </c>
      <c r="W2956" s="168">
        <f t="shared" si="6"/>
        <v>0</v>
      </c>
      <c r="X2956" s="168">
        <f t="shared" si="7"/>
        <v>0</v>
      </c>
      <c r="Y2956" s="168">
        <f t="shared" si="8"/>
        <v>0</v>
      </c>
      <c r="Z2956" s="168">
        <f t="shared" si="9"/>
        <v>0</v>
      </c>
    </row>
    <row r="2957" ht="15.0" customHeight="1">
      <c r="A2957" s="157" t="s">
        <v>3471</v>
      </c>
      <c r="B2957" s="158" t="s">
        <v>22</v>
      </c>
      <c r="C2957" s="158" t="s">
        <v>3444</v>
      </c>
      <c r="D2957" s="159">
        <v>44582.0</v>
      </c>
      <c r="E2957" s="157" t="s">
        <v>731</v>
      </c>
      <c r="F2957" s="160">
        <v>70843.88</v>
      </c>
      <c r="G2957" s="160">
        <v>11335.02</v>
      </c>
      <c r="H2957" s="160">
        <f t="shared" si="73"/>
        <v>82178.9</v>
      </c>
      <c r="I2957" s="160"/>
      <c r="J2957" s="161"/>
      <c r="K2957" s="160"/>
      <c r="L2957" s="160">
        <f>+'FACP$'!$H2957-'FACP$'!$I2957-'FACP$'!$K2957</f>
        <v>82178.9</v>
      </c>
      <c r="M2957" s="162" t="s">
        <v>220</v>
      </c>
      <c r="N2957" s="162" t="s">
        <v>554</v>
      </c>
      <c r="O2957" s="164">
        <v>44621.0</v>
      </c>
      <c r="P2957" s="164">
        <f t="array" ref="P2957">XLOOKUP('FACP$'!$B2957,'perfil de pagos'!A:A,'perfil de pagos'!B:B)+'FACP$'!$D2957</f>
        <v>44592</v>
      </c>
      <c r="Q2957" s="165">
        <f t="shared" si="2"/>
        <v>0</v>
      </c>
      <c r="R2957" s="167"/>
      <c r="S2957" s="167"/>
      <c r="T2957" s="168">
        <f t="shared" si="3"/>
        <v>82178.9</v>
      </c>
      <c r="U2957" s="168">
        <f t="shared" si="4"/>
        <v>0</v>
      </c>
      <c r="V2957" s="168">
        <f t="shared" si="5"/>
        <v>0</v>
      </c>
      <c r="W2957" s="168">
        <f t="shared" si="6"/>
        <v>0</v>
      </c>
      <c r="X2957" s="168">
        <f t="shared" si="7"/>
        <v>0</v>
      </c>
      <c r="Y2957" s="168">
        <f t="shared" si="8"/>
        <v>0</v>
      </c>
      <c r="Z2957" s="168">
        <f t="shared" si="9"/>
        <v>0</v>
      </c>
    </row>
    <row r="2958" ht="15.0" customHeight="1">
      <c r="A2958" s="157" t="s">
        <v>3472</v>
      </c>
      <c r="B2958" s="158" t="s">
        <v>26</v>
      </c>
      <c r="C2958" s="158" t="s">
        <v>3444</v>
      </c>
      <c r="D2958" s="159">
        <v>44582.0</v>
      </c>
      <c r="E2958" s="157" t="s">
        <v>731</v>
      </c>
      <c r="F2958" s="160">
        <v>87109.24</v>
      </c>
      <c r="G2958" s="160">
        <v>13937.48</v>
      </c>
      <c r="H2958" s="160">
        <f>F2958+G2958-21599.59-50000</f>
        <v>29447.13</v>
      </c>
      <c r="I2958" s="160"/>
      <c r="J2958" s="161"/>
      <c r="K2958" s="160"/>
      <c r="L2958" s="160">
        <f>+'FACP$'!$H2958-'FACP$'!$I2958-'FACP$'!$K2958</f>
        <v>29447.13</v>
      </c>
      <c r="M2958" s="162" t="s">
        <v>2386</v>
      </c>
      <c r="N2958" s="162" t="s">
        <v>554</v>
      </c>
      <c r="O2958" s="164">
        <v>44734.0</v>
      </c>
      <c r="P2958" s="164">
        <f t="array" ref="P2958">XLOOKUP('FACP$'!$B2958,'perfil de pagos'!A:A,'perfil de pagos'!B:B)+'FACP$'!$D2958</f>
        <v>44592</v>
      </c>
      <c r="Q2958" s="165">
        <f t="shared" si="2"/>
        <v>0</v>
      </c>
      <c r="R2958" s="220" t="s">
        <v>3473</v>
      </c>
      <c r="S2958" s="167" t="s">
        <v>3474</v>
      </c>
      <c r="T2958" s="168">
        <f t="shared" si="3"/>
        <v>29447.13</v>
      </c>
      <c r="U2958" s="168">
        <f t="shared" si="4"/>
        <v>0</v>
      </c>
      <c r="V2958" s="168">
        <f t="shared" si="5"/>
        <v>0</v>
      </c>
      <c r="W2958" s="168">
        <f t="shared" si="6"/>
        <v>0</v>
      </c>
      <c r="X2958" s="168">
        <f t="shared" si="7"/>
        <v>0</v>
      </c>
      <c r="Y2958" s="168">
        <f t="shared" si="8"/>
        <v>0</v>
      </c>
      <c r="Z2958" s="168">
        <f t="shared" si="9"/>
        <v>0</v>
      </c>
    </row>
    <row r="2959" ht="15.0" customHeight="1">
      <c r="A2959" s="157" t="s">
        <v>3475</v>
      </c>
      <c r="B2959" s="158" t="s">
        <v>29</v>
      </c>
      <c r="C2959" s="158" t="s">
        <v>3444</v>
      </c>
      <c r="D2959" s="159">
        <v>44582.0</v>
      </c>
      <c r="E2959" s="157" t="s">
        <v>731</v>
      </c>
      <c r="F2959" s="160">
        <v>302227.2</v>
      </c>
      <c r="G2959" s="160">
        <v>48356.35</v>
      </c>
      <c r="H2959" s="160">
        <f t="shared" ref="H2959:H2962" si="74">F2959+G2959</f>
        <v>350583.55</v>
      </c>
      <c r="I2959" s="160"/>
      <c r="J2959" s="161"/>
      <c r="K2959" s="160"/>
      <c r="L2959" s="160">
        <f>+'FACP$'!$H2959-'FACP$'!$I2959-'FACP$'!$K2959</f>
        <v>350583.55</v>
      </c>
      <c r="M2959" s="162" t="s">
        <v>130</v>
      </c>
      <c r="N2959" s="162" t="s">
        <v>554</v>
      </c>
      <c r="O2959" s="164">
        <v>44603.0</v>
      </c>
      <c r="P2959" s="164">
        <f t="array" ref="P2959">XLOOKUP('FACP$'!$B2959,'perfil de pagos'!A:A,'perfil de pagos'!B:B)+'FACP$'!$D2959</f>
        <v>44592</v>
      </c>
      <c r="Q2959" s="165">
        <f t="shared" si="2"/>
        <v>0</v>
      </c>
      <c r="R2959" s="167"/>
      <c r="S2959" s="167"/>
      <c r="T2959" s="168">
        <f t="shared" si="3"/>
        <v>350583.55</v>
      </c>
      <c r="U2959" s="168">
        <f t="shared" si="4"/>
        <v>0</v>
      </c>
      <c r="V2959" s="168">
        <f t="shared" si="5"/>
        <v>0</v>
      </c>
      <c r="W2959" s="168">
        <f t="shared" si="6"/>
        <v>0</v>
      </c>
      <c r="X2959" s="168">
        <f t="shared" si="7"/>
        <v>0</v>
      </c>
      <c r="Y2959" s="168">
        <f t="shared" si="8"/>
        <v>0</v>
      </c>
      <c r="Z2959" s="168">
        <f t="shared" si="9"/>
        <v>0</v>
      </c>
    </row>
    <row r="2960" ht="15.0" customHeight="1">
      <c r="A2960" s="157" t="s">
        <v>3476</v>
      </c>
      <c r="B2960" s="158" t="s">
        <v>29</v>
      </c>
      <c r="C2960" s="158" t="s">
        <v>3477</v>
      </c>
      <c r="D2960" s="159">
        <v>44582.0</v>
      </c>
      <c r="E2960" s="157" t="s">
        <v>731</v>
      </c>
      <c r="F2960" s="160">
        <v>320651.8</v>
      </c>
      <c r="G2960" s="160">
        <v>51304.29</v>
      </c>
      <c r="H2960" s="160">
        <f t="shared" si="74"/>
        <v>371956.09</v>
      </c>
      <c r="I2960" s="160"/>
      <c r="J2960" s="161"/>
      <c r="K2960" s="160"/>
      <c r="L2960" s="160">
        <f>+'FACP$'!$H2960-'FACP$'!$I2960-'FACP$'!$K2960</f>
        <v>371956.09</v>
      </c>
      <c r="M2960" s="162" t="s">
        <v>130</v>
      </c>
      <c r="N2960" s="162" t="s">
        <v>554</v>
      </c>
      <c r="O2960" s="164">
        <v>44594.0</v>
      </c>
      <c r="P2960" s="164">
        <f t="array" ref="P2960">XLOOKUP('FACP$'!$B2960,'perfil de pagos'!A:A,'perfil de pagos'!B:B)+'FACP$'!$D2960</f>
        <v>44592</v>
      </c>
      <c r="Q2960" s="165">
        <f t="shared" si="2"/>
        <v>0</v>
      </c>
      <c r="R2960" s="167"/>
      <c r="S2960" s="167"/>
      <c r="T2960" s="168">
        <f t="shared" si="3"/>
        <v>371956.09</v>
      </c>
      <c r="U2960" s="168">
        <f t="shared" si="4"/>
        <v>0</v>
      </c>
      <c r="V2960" s="168">
        <f t="shared" si="5"/>
        <v>0</v>
      </c>
      <c r="W2960" s="168">
        <f t="shared" si="6"/>
        <v>0</v>
      </c>
      <c r="X2960" s="168">
        <f t="shared" si="7"/>
        <v>0</v>
      </c>
      <c r="Y2960" s="168">
        <f t="shared" si="8"/>
        <v>0</v>
      </c>
      <c r="Z2960" s="168">
        <f t="shared" si="9"/>
        <v>0</v>
      </c>
    </row>
    <row r="2961" ht="15.0" customHeight="1">
      <c r="A2961" s="157" t="s">
        <v>3478</v>
      </c>
      <c r="B2961" s="158" t="s">
        <v>37</v>
      </c>
      <c r="C2961" s="158" t="s">
        <v>3444</v>
      </c>
      <c r="D2961" s="159">
        <v>44582.0</v>
      </c>
      <c r="E2961" s="157" t="s">
        <v>731</v>
      </c>
      <c r="F2961" s="160">
        <v>2138266.78</v>
      </c>
      <c r="G2961" s="160">
        <v>342122.68</v>
      </c>
      <c r="H2961" s="160">
        <f t="shared" si="74"/>
        <v>2480389.46</v>
      </c>
      <c r="I2961" s="160"/>
      <c r="J2961" s="161"/>
      <c r="K2961" s="160"/>
      <c r="L2961" s="160">
        <f>+'FACP$'!$H2961-'FACP$'!$I2961-'FACP$'!$K2961</f>
        <v>2480389.46</v>
      </c>
      <c r="M2961" s="162" t="s">
        <v>116</v>
      </c>
      <c r="N2961" s="162" t="s">
        <v>554</v>
      </c>
      <c r="O2961" s="164">
        <v>44600.0</v>
      </c>
      <c r="P2961" s="164">
        <f t="array" ref="P2961">XLOOKUP('FACP$'!$B2961,'perfil de pagos'!A:A,'perfil de pagos'!B:B)+'FACP$'!$D2961</f>
        <v>44592</v>
      </c>
      <c r="Q2961" s="165">
        <f t="shared" si="2"/>
        <v>0</v>
      </c>
      <c r="R2961" s="167"/>
      <c r="S2961" s="167"/>
      <c r="T2961" s="168">
        <f t="shared" si="3"/>
        <v>2480389.46</v>
      </c>
      <c r="U2961" s="168">
        <f t="shared" si="4"/>
        <v>0</v>
      </c>
      <c r="V2961" s="168">
        <f t="shared" si="5"/>
        <v>0</v>
      </c>
      <c r="W2961" s="168">
        <f t="shared" si="6"/>
        <v>0</v>
      </c>
      <c r="X2961" s="168">
        <f t="shared" si="7"/>
        <v>0</v>
      </c>
      <c r="Y2961" s="168">
        <f t="shared" si="8"/>
        <v>0</v>
      </c>
      <c r="Z2961" s="168">
        <f t="shared" si="9"/>
        <v>0</v>
      </c>
    </row>
    <row r="2962" ht="15.0" customHeight="1">
      <c r="A2962" s="157" t="s">
        <v>3479</v>
      </c>
      <c r="B2962" s="158" t="s">
        <v>38</v>
      </c>
      <c r="C2962" s="158" t="s">
        <v>3444</v>
      </c>
      <c r="D2962" s="159">
        <v>44582.0</v>
      </c>
      <c r="E2962" s="157" t="s">
        <v>731</v>
      </c>
      <c r="F2962" s="160">
        <v>634094.7</v>
      </c>
      <c r="G2962" s="160">
        <v>101455.15</v>
      </c>
      <c r="H2962" s="160">
        <f t="shared" si="74"/>
        <v>735549.85</v>
      </c>
      <c r="I2962" s="160"/>
      <c r="J2962" s="161"/>
      <c r="K2962" s="160"/>
      <c r="L2962" s="160">
        <f>+'FACP$'!$H2962-'FACP$'!$I2962-'FACP$'!$K2962</f>
        <v>735549.85</v>
      </c>
      <c r="M2962" s="162" t="s">
        <v>145</v>
      </c>
      <c r="N2962" s="162" t="s">
        <v>554</v>
      </c>
      <c r="O2962" s="164">
        <v>44648.0</v>
      </c>
      <c r="P2962" s="164">
        <f t="array" ref="P2962">XLOOKUP('FACP$'!$B2962,'perfil de pagos'!A:A,'perfil de pagos'!B:B)+'FACP$'!$D2962</f>
        <v>44612</v>
      </c>
      <c r="Q2962" s="165">
        <f t="shared" si="2"/>
        <v>0</v>
      </c>
      <c r="R2962" s="167"/>
      <c r="S2962" s="167"/>
      <c r="T2962" s="168">
        <f t="shared" si="3"/>
        <v>735549.85</v>
      </c>
      <c r="U2962" s="168">
        <f t="shared" si="4"/>
        <v>0</v>
      </c>
      <c r="V2962" s="168">
        <f t="shared" si="5"/>
        <v>0</v>
      </c>
      <c r="W2962" s="168">
        <f t="shared" si="6"/>
        <v>0</v>
      </c>
      <c r="X2962" s="168">
        <f t="shared" si="7"/>
        <v>0</v>
      </c>
      <c r="Y2962" s="168">
        <f t="shared" si="8"/>
        <v>0</v>
      </c>
      <c r="Z2962" s="168">
        <f t="shared" si="9"/>
        <v>0</v>
      </c>
    </row>
    <row r="2963" ht="15.0" customHeight="1">
      <c r="A2963" s="157" t="s">
        <v>3480</v>
      </c>
      <c r="B2963" s="158" t="s">
        <v>31</v>
      </c>
      <c r="C2963" s="158" t="s">
        <v>3481</v>
      </c>
      <c r="D2963" s="159">
        <v>44588.0</v>
      </c>
      <c r="E2963" s="157" t="s">
        <v>731</v>
      </c>
      <c r="F2963" s="160">
        <v>96395.28</v>
      </c>
      <c r="G2963" s="160">
        <f>'FACP$'!$F2963*0.16</f>
        <v>15423.2448</v>
      </c>
      <c r="H2963" s="160">
        <f>F2963+G2963-89108.01</f>
        <v>22710.5148</v>
      </c>
      <c r="I2963" s="252"/>
      <c r="J2963" s="253"/>
      <c r="K2963" s="252"/>
      <c r="L2963" s="160">
        <f>+'FACP$'!$H2963-'FACP$'!$I2963-'FACP$'!$K2963</f>
        <v>22710.5148</v>
      </c>
      <c r="M2963" s="162" t="s">
        <v>3183</v>
      </c>
      <c r="N2963" s="162" t="s">
        <v>554</v>
      </c>
      <c r="O2963" s="164">
        <v>44848.0</v>
      </c>
      <c r="P2963" s="164">
        <f t="array" ref="P2963">XLOOKUP('FACP$'!$B2963,'perfil de pagos'!A:A,'perfil de pagos'!B:B)+'FACP$'!$D2963</f>
        <v>44591</v>
      </c>
      <c r="Q2963" s="165">
        <f t="shared" si="2"/>
        <v>0</v>
      </c>
      <c r="R2963" s="220" t="s">
        <v>3482</v>
      </c>
      <c r="S2963" s="265">
        <v>1.6131639E7</v>
      </c>
      <c r="T2963" s="168">
        <f t="shared" si="3"/>
        <v>22710.5148</v>
      </c>
      <c r="U2963" s="168">
        <f t="shared" si="4"/>
        <v>0</v>
      </c>
      <c r="V2963" s="168">
        <f t="shared" si="5"/>
        <v>0</v>
      </c>
      <c r="W2963" s="168">
        <f t="shared" si="6"/>
        <v>0</v>
      </c>
      <c r="X2963" s="168">
        <f t="shared" si="7"/>
        <v>0</v>
      </c>
      <c r="Y2963" s="168">
        <f t="shared" si="8"/>
        <v>0</v>
      </c>
      <c r="Z2963" s="168">
        <f t="shared" si="9"/>
        <v>0</v>
      </c>
    </row>
    <row r="2964" ht="15.0" customHeight="1">
      <c r="A2964" s="157" t="s">
        <v>3483</v>
      </c>
      <c r="B2964" s="158" t="s">
        <v>27</v>
      </c>
      <c r="C2964" s="158" t="s">
        <v>3484</v>
      </c>
      <c r="D2964" s="159">
        <v>44592.0</v>
      </c>
      <c r="E2964" s="157" t="s">
        <v>731</v>
      </c>
      <c r="F2964" s="160">
        <v>420575.37</v>
      </c>
      <c r="G2964" s="160">
        <v>67292.06</v>
      </c>
      <c r="H2964" s="160">
        <f t="shared" ref="H2964:H2966" si="75">F2964+G2964</f>
        <v>487867.43</v>
      </c>
      <c r="I2964" s="160"/>
      <c r="J2964" s="161"/>
      <c r="K2964" s="160"/>
      <c r="L2964" s="160">
        <f>+'FACP$'!$H2964-'FACP$'!$I2964-'FACP$'!$K2964</f>
        <v>487867.43</v>
      </c>
      <c r="M2964" s="162" t="s">
        <v>151</v>
      </c>
      <c r="N2964" s="162" t="s">
        <v>554</v>
      </c>
      <c r="O2964" s="164">
        <v>44629.0</v>
      </c>
      <c r="P2964" s="164">
        <f t="array" ref="P2964">XLOOKUP('FACP$'!$B2964,'perfil de pagos'!A:A,'perfil de pagos'!B:B)+'FACP$'!$D2964</f>
        <v>44622</v>
      </c>
      <c r="Q2964" s="165">
        <f t="shared" si="2"/>
        <v>0</v>
      </c>
      <c r="R2964" s="167"/>
      <c r="S2964" s="167">
        <v>1313.0</v>
      </c>
      <c r="T2964" s="168">
        <f t="shared" si="3"/>
        <v>487867.43</v>
      </c>
      <c r="U2964" s="168">
        <f t="shared" si="4"/>
        <v>0</v>
      </c>
      <c r="V2964" s="168">
        <f t="shared" si="5"/>
        <v>0</v>
      </c>
      <c r="W2964" s="168">
        <f t="shared" si="6"/>
        <v>0</v>
      </c>
      <c r="X2964" s="168">
        <f t="shared" si="7"/>
        <v>0</v>
      </c>
      <c r="Y2964" s="168">
        <f t="shared" si="8"/>
        <v>0</v>
      </c>
      <c r="Z2964" s="168">
        <f t="shared" si="9"/>
        <v>0</v>
      </c>
    </row>
    <row r="2965" ht="15.0" customHeight="1">
      <c r="A2965" s="157" t="s">
        <v>3485</v>
      </c>
      <c r="B2965" s="158" t="s">
        <v>27</v>
      </c>
      <c r="C2965" s="158" t="s">
        <v>3486</v>
      </c>
      <c r="D2965" s="159">
        <v>44592.0</v>
      </c>
      <c r="E2965" s="157" t="s">
        <v>731</v>
      </c>
      <c r="F2965" s="160">
        <v>227167.19</v>
      </c>
      <c r="G2965" s="160">
        <v>36346.75</v>
      </c>
      <c r="H2965" s="160">
        <f t="shared" si="75"/>
        <v>263513.94</v>
      </c>
      <c r="I2965" s="160"/>
      <c r="J2965" s="161"/>
      <c r="K2965" s="160"/>
      <c r="L2965" s="160">
        <f>+'FACP$'!$H2965-'FACP$'!$I2965-'FACP$'!$K2965</f>
        <v>263513.94</v>
      </c>
      <c r="M2965" s="162" t="s">
        <v>151</v>
      </c>
      <c r="N2965" s="162" t="s">
        <v>554</v>
      </c>
      <c r="O2965" s="164">
        <v>44629.0</v>
      </c>
      <c r="P2965" s="164">
        <f t="array" ref="P2965">XLOOKUP('FACP$'!$B2965,'perfil de pagos'!A:A,'perfil de pagos'!B:B)+'FACP$'!$D2965</f>
        <v>44622</v>
      </c>
      <c r="Q2965" s="165">
        <f t="shared" si="2"/>
        <v>0</v>
      </c>
      <c r="R2965" s="167"/>
      <c r="S2965" s="167">
        <v>1313.0</v>
      </c>
      <c r="T2965" s="168">
        <f t="shared" si="3"/>
        <v>263513.94</v>
      </c>
      <c r="U2965" s="168">
        <f t="shared" si="4"/>
        <v>0</v>
      </c>
      <c r="V2965" s="168">
        <f t="shared" si="5"/>
        <v>0</v>
      </c>
      <c r="W2965" s="168">
        <f t="shared" si="6"/>
        <v>0</v>
      </c>
      <c r="X2965" s="168">
        <f t="shared" si="7"/>
        <v>0</v>
      </c>
      <c r="Y2965" s="168">
        <f t="shared" si="8"/>
        <v>0</v>
      </c>
      <c r="Z2965" s="168">
        <f t="shared" si="9"/>
        <v>0</v>
      </c>
    </row>
    <row r="2966" ht="15.0" customHeight="1">
      <c r="A2966" s="157" t="s">
        <v>3487</v>
      </c>
      <c r="B2966" s="158" t="s">
        <v>27</v>
      </c>
      <c r="C2966" s="158" t="s">
        <v>3488</v>
      </c>
      <c r="D2966" s="159">
        <v>44592.0</v>
      </c>
      <c r="E2966" s="157" t="s">
        <v>731</v>
      </c>
      <c r="F2966" s="160">
        <v>25351.26</v>
      </c>
      <c r="G2966" s="160">
        <v>4056.2</v>
      </c>
      <c r="H2966" s="160">
        <f t="shared" si="75"/>
        <v>29407.46</v>
      </c>
      <c r="I2966" s="160"/>
      <c r="J2966" s="161"/>
      <c r="K2966" s="160"/>
      <c r="L2966" s="160">
        <f>+'FACP$'!$H2966-'FACP$'!$I2966-'FACP$'!$K2966</f>
        <v>29407.46</v>
      </c>
      <c r="M2966" s="162" t="s">
        <v>151</v>
      </c>
      <c r="N2966" s="162" t="s">
        <v>554</v>
      </c>
      <c r="O2966" s="164">
        <v>44629.0</v>
      </c>
      <c r="P2966" s="164">
        <f t="array" ref="P2966">XLOOKUP('FACP$'!$B2966,'perfil de pagos'!A:A,'perfil de pagos'!B:B)+'FACP$'!$D2966</f>
        <v>44622</v>
      </c>
      <c r="Q2966" s="165">
        <f t="shared" si="2"/>
        <v>0</v>
      </c>
      <c r="R2966" s="167"/>
      <c r="S2966" s="167">
        <v>1313.0</v>
      </c>
      <c r="T2966" s="168">
        <f t="shared" si="3"/>
        <v>29407.46</v>
      </c>
      <c r="U2966" s="168">
        <f t="shared" si="4"/>
        <v>0</v>
      </c>
      <c r="V2966" s="168">
        <f t="shared" si="5"/>
        <v>0</v>
      </c>
      <c r="W2966" s="168">
        <f t="shared" si="6"/>
        <v>0</v>
      </c>
      <c r="X2966" s="168">
        <f t="shared" si="7"/>
        <v>0</v>
      </c>
      <c r="Y2966" s="168">
        <f t="shared" si="8"/>
        <v>0</v>
      </c>
      <c r="Z2966" s="168">
        <f t="shared" si="9"/>
        <v>0</v>
      </c>
    </row>
    <row r="2967" ht="15.0" customHeight="1">
      <c r="A2967" s="157" t="s">
        <v>3489</v>
      </c>
      <c r="B2967" s="158" t="s">
        <v>27</v>
      </c>
      <c r="C2967" s="158" t="s">
        <v>3490</v>
      </c>
      <c r="D2967" s="159">
        <v>44592.0</v>
      </c>
      <c r="E2967" s="157" t="s">
        <v>731</v>
      </c>
      <c r="F2967" s="160">
        <v>13693.09</v>
      </c>
      <c r="G2967" s="160">
        <v>2190.89</v>
      </c>
      <c r="H2967" s="160">
        <f>F2967+G2967-28.59</f>
        <v>15855.39</v>
      </c>
      <c r="I2967" s="160"/>
      <c r="J2967" s="161"/>
      <c r="K2967" s="160"/>
      <c r="L2967" s="160">
        <f>+'FACP$'!$H2967-'FACP$'!$I2967-'FACP$'!$K2967</f>
        <v>15855.39</v>
      </c>
      <c r="M2967" s="162" t="s">
        <v>151</v>
      </c>
      <c r="N2967" s="162" t="s">
        <v>554</v>
      </c>
      <c r="O2967" s="164">
        <v>44629.0</v>
      </c>
      <c r="P2967" s="164">
        <f t="array" ref="P2967">XLOOKUP('FACP$'!$B2967,'perfil de pagos'!A:A,'perfil de pagos'!B:B)+'FACP$'!$D2967</f>
        <v>44622</v>
      </c>
      <c r="Q2967" s="165">
        <f t="shared" si="2"/>
        <v>0</v>
      </c>
      <c r="R2967" s="167" t="s">
        <v>3491</v>
      </c>
      <c r="S2967" s="167">
        <v>1313.0</v>
      </c>
      <c r="T2967" s="168">
        <f t="shared" si="3"/>
        <v>15855.39</v>
      </c>
      <c r="U2967" s="168">
        <f t="shared" si="4"/>
        <v>0</v>
      </c>
      <c r="V2967" s="168">
        <f t="shared" si="5"/>
        <v>0</v>
      </c>
      <c r="W2967" s="168">
        <f t="shared" si="6"/>
        <v>0</v>
      </c>
      <c r="X2967" s="168">
        <f t="shared" si="7"/>
        <v>0</v>
      </c>
      <c r="Y2967" s="168">
        <f t="shared" si="8"/>
        <v>0</v>
      </c>
      <c r="Z2967" s="168">
        <f t="shared" si="9"/>
        <v>0</v>
      </c>
    </row>
    <row r="2968" ht="15.0" customHeight="1">
      <c r="A2968" s="157" t="s">
        <v>3492</v>
      </c>
      <c r="B2968" s="158" t="s">
        <v>27</v>
      </c>
      <c r="C2968" s="158" t="s">
        <v>3493</v>
      </c>
      <c r="D2968" s="159">
        <v>44592.0</v>
      </c>
      <c r="E2968" s="157" t="s">
        <v>731</v>
      </c>
      <c r="F2968" s="160">
        <v>345312.28</v>
      </c>
      <c r="G2968" s="160">
        <v>55249.97</v>
      </c>
      <c r="H2968" s="160">
        <f t="shared" ref="H2968:H2976" si="76">F2968+G2968</f>
        <v>400562.25</v>
      </c>
      <c r="I2968" s="160"/>
      <c r="J2968" s="161"/>
      <c r="K2968" s="160"/>
      <c r="L2968" s="160">
        <f>+'FACP$'!$H2968-'FACP$'!$I2968-'FACP$'!$K2968</f>
        <v>400562.25</v>
      </c>
      <c r="M2968" s="162" t="s">
        <v>158</v>
      </c>
      <c r="N2968" s="162" t="s">
        <v>554</v>
      </c>
      <c r="O2968" s="164">
        <v>44636.0</v>
      </c>
      <c r="P2968" s="164">
        <f t="array" ref="P2968">XLOOKUP('FACP$'!$B2968,'perfil de pagos'!A:A,'perfil de pagos'!B:B)+'FACP$'!$D2968</f>
        <v>44622</v>
      </c>
      <c r="Q2968" s="165">
        <f t="shared" si="2"/>
        <v>0</v>
      </c>
      <c r="R2968" s="167"/>
      <c r="S2968" s="167">
        <v>1325.0</v>
      </c>
      <c r="T2968" s="168">
        <f t="shared" si="3"/>
        <v>400562.25</v>
      </c>
      <c r="U2968" s="168">
        <f t="shared" si="4"/>
        <v>0</v>
      </c>
      <c r="V2968" s="168">
        <f t="shared" si="5"/>
        <v>0</v>
      </c>
      <c r="W2968" s="168">
        <f t="shared" si="6"/>
        <v>0</v>
      </c>
      <c r="X2968" s="168">
        <f t="shared" si="7"/>
        <v>0</v>
      </c>
      <c r="Y2968" s="168">
        <f t="shared" si="8"/>
        <v>0</v>
      </c>
      <c r="Z2968" s="168">
        <f t="shared" si="9"/>
        <v>0</v>
      </c>
    </row>
    <row r="2969" ht="15.0" customHeight="1">
      <c r="A2969" s="157" t="s">
        <v>3494</v>
      </c>
      <c r="B2969" s="158" t="s">
        <v>27</v>
      </c>
      <c r="C2969" s="158" t="s">
        <v>3495</v>
      </c>
      <c r="D2969" s="159">
        <v>44592.0</v>
      </c>
      <c r="E2969" s="157" t="s">
        <v>731</v>
      </c>
      <c r="F2969" s="160">
        <v>189460.88</v>
      </c>
      <c r="G2969" s="160">
        <v>30313.74</v>
      </c>
      <c r="H2969" s="160">
        <f t="shared" si="76"/>
        <v>219774.62</v>
      </c>
      <c r="I2969" s="160"/>
      <c r="J2969" s="161"/>
      <c r="K2969" s="160"/>
      <c r="L2969" s="160">
        <f>+'FACP$'!$H2969-'FACP$'!$I2969-'FACP$'!$K2969</f>
        <v>219774.62</v>
      </c>
      <c r="M2969" s="162" t="s">
        <v>158</v>
      </c>
      <c r="N2969" s="162" t="s">
        <v>554</v>
      </c>
      <c r="O2969" s="164">
        <v>44636.0</v>
      </c>
      <c r="P2969" s="164">
        <f t="array" ref="P2969">XLOOKUP('FACP$'!$B2969,'perfil de pagos'!A:A,'perfil de pagos'!B:B)+'FACP$'!$D2969</f>
        <v>44622</v>
      </c>
      <c r="Q2969" s="165">
        <f t="shared" si="2"/>
        <v>0</v>
      </c>
      <c r="R2969" s="167"/>
      <c r="S2969" s="167"/>
      <c r="T2969" s="168">
        <f t="shared" si="3"/>
        <v>219774.62</v>
      </c>
      <c r="U2969" s="168">
        <f t="shared" si="4"/>
        <v>0</v>
      </c>
      <c r="V2969" s="168">
        <f t="shared" si="5"/>
        <v>0</v>
      </c>
      <c r="W2969" s="168">
        <f t="shared" si="6"/>
        <v>0</v>
      </c>
      <c r="X2969" s="168">
        <f t="shared" si="7"/>
        <v>0</v>
      </c>
      <c r="Y2969" s="168">
        <f t="shared" si="8"/>
        <v>0</v>
      </c>
      <c r="Z2969" s="168">
        <f t="shared" si="9"/>
        <v>0</v>
      </c>
    </row>
    <row r="2970" ht="15.0" customHeight="1">
      <c r="A2970" s="157" t="s">
        <v>3496</v>
      </c>
      <c r="B2970" s="158" t="s">
        <v>16</v>
      </c>
      <c r="C2970" s="158" t="s">
        <v>3497</v>
      </c>
      <c r="D2970" s="159">
        <v>44596.0</v>
      </c>
      <c r="E2970" s="157" t="s">
        <v>731</v>
      </c>
      <c r="F2970" s="160">
        <v>500005.06</v>
      </c>
      <c r="G2970" s="266">
        <v>80000.81</v>
      </c>
      <c r="H2970" s="160">
        <f t="shared" si="76"/>
        <v>580005.87</v>
      </c>
      <c r="I2970" s="160"/>
      <c r="J2970" s="161"/>
      <c r="K2970" s="160"/>
      <c r="L2970" s="160">
        <f>+'FACP$'!$H2970-'FACP$'!$I2970-'FACP$'!$K2970</f>
        <v>580005.87</v>
      </c>
      <c r="M2970" s="162" t="s">
        <v>985</v>
      </c>
      <c r="N2970" s="162" t="s">
        <v>554</v>
      </c>
      <c r="O2970" s="164">
        <v>44614.0</v>
      </c>
      <c r="P2970" s="164">
        <f t="array" ref="P2970">XLOOKUP('FACP$'!$B2970,'perfil de pagos'!A:A,'perfil de pagos'!B:B)+'FACP$'!$D2970</f>
        <v>44606</v>
      </c>
      <c r="Q2970" s="165">
        <f t="shared" si="2"/>
        <v>0</v>
      </c>
      <c r="R2970" s="167"/>
      <c r="S2970" s="167"/>
      <c r="T2970" s="168">
        <f t="shared" si="3"/>
        <v>580005.87</v>
      </c>
      <c r="U2970" s="168">
        <f t="shared" si="4"/>
        <v>0</v>
      </c>
      <c r="V2970" s="168">
        <f t="shared" si="5"/>
        <v>0</v>
      </c>
      <c r="W2970" s="168">
        <f t="shared" si="6"/>
        <v>0</v>
      </c>
      <c r="X2970" s="168">
        <f t="shared" si="7"/>
        <v>0</v>
      </c>
      <c r="Y2970" s="168">
        <f t="shared" si="8"/>
        <v>0</v>
      </c>
      <c r="Z2970" s="168">
        <f t="shared" si="9"/>
        <v>0</v>
      </c>
    </row>
    <row r="2971" ht="15.0" customHeight="1">
      <c r="A2971" s="157" t="s">
        <v>3498</v>
      </c>
      <c r="B2971" s="158" t="s">
        <v>16</v>
      </c>
      <c r="C2971" s="158" t="s">
        <v>3499</v>
      </c>
      <c r="D2971" s="159">
        <v>44596.0</v>
      </c>
      <c r="E2971" s="157" t="s">
        <v>731</v>
      </c>
      <c r="F2971" s="160">
        <v>450209.69</v>
      </c>
      <c r="G2971" s="160">
        <v>72033.55</v>
      </c>
      <c r="H2971" s="160">
        <f t="shared" si="76"/>
        <v>522243.24</v>
      </c>
      <c r="I2971" s="160"/>
      <c r="J2971" s="161"/>
      <c r="K2971" s="160"/>
      <c r="L2971" s="160">
        <f>+'FACP$'!$H2971-'FACP$'!$I2971-'FACP$'!$K2971</f>
        <v>522243.24</v>
      </c>
      <c r="M2971" s="162" t="s">
        <v>985</v>
      </c>
      <c r="N2971" s="162" t="s">
        <v>554</v>
      </c>
      <c r="O2971" s="164">
        <v>44614.0</v>
      </c>
      <c r="P2971" s="164">
        <f t="array" ref="P2971">XLOOKUP('FACP$'!$B2971,'perfil de pagos'!A:A,'perfil de pagos'!B:B)+'FACP$'!$D2971</f>
        <v>44606</v>
      </c>
      <c r="Q2971" s="165">
        <f t="shared" si="2"/>
        <v>0</v>
      </c>
      <c r="R2971" s="167"/>
      <c r="S2971" s="167"/>
      <c r="T2971" s="168">
        <f t="shared" si="3"/>
        <v>522243.24</v>
      </c>
      <c r="U2971" s="168">
        <f t="shared" si="4"/>
        <v>0</v>
      </c>
      <c r="V2971" s="168">
        <f t="shared" si="5"/>
        <v>0</v>
      </c>
      <c r="W2971" s="168">
        <f t="shared" si="6"/>
        <v>0</v>
      </c>
      <c r="X2971" s="168">
        <f t="shared" si="7"/>
        <v>0</v>
      </c>
      <c r="Y2971" s="168">
        <f t="shared" si="8"/>
        <v>0</v>
      </c>
      <c r="Z2971" s="168">
        <f t="shared" si="9"/>
        <v>0</v>
      </c>
    </row>
    <row r="2972" ht="15.0" customHeight="1">
      <c r="A2972" s="157" t="s">
        <v>3500</v>
      </c>
      <c r="B2972" s="158" t="s">
        <v>18</v>
      </c>
      <c r="C2972" s="158" t="s">
        <v>3501</v>
      </c>
      <c r="D2972" s="159">
        <v>44596.0</v>
      </c>
      <c r="E2972" s="157" t="s">
        <v>731</v>
      </c>
      <c r="F2972" s="160">
        <v>199733.85</v>
      </c>
      <c r="G2972" s="160">
        <v>31957.42</v>
      </c>
      <c r="H2972" s="160">
        <f t="shared" si="76"/>
        <v>231691.27</v>
      </c>
      <c r="I2972" s="160"/>
      <c r="J2972" s="161"/>
      <c r="K2972" s="160"/>
      <c r="L2972" s="160">
        <f>+'FACP$'!$H2972-'FACP$'!$I2972-'FACP$'!$K2972</f>
        <v>231691.27</v>
      </c>
      <c r="M2972" s="162" t="s">
        <v>586</v>
      </c>
      <c r="N2972" s="162" t="s">
        <v>554</v>
      </c>
      <c r="O2972" s="164">
        <v>44616.0</v>
      </c>
      <c r="P2972" s="164">
        <f t="array" ref="P2972">XLOOKUP('FACP$'!$B2972,'perfil de pagos'!A:A,'perfil de pagos'!B:B)+'FACP$'!$D2972</f>
        <v>44606</v>
      </c>
      <c r="Q2972" s="165">
        <f t="shared" si="2"/>
        <v>0</v>
      </c>
      <c r="R2972" s="167"/>
      <c r="S2972" s="167">
        <v>1300.0</v>
      </c>
      <c r="T2972" s="168">
        <f t="shared" si="3"/>
        <v>231691.27</v>
      </c>
      <c r="U2972" s="168">
        <f t="shared" si="4"/>
        <v>0</v>
      </c>
      <c r="V2972" s="168">
        <f t="shared" si="5"/>
        <v>0</v>
      </c>
      <c r="W2972" s="168">
        <f t="shared" si="6"/>
        <v>0</v>
      </c>
      <c r="X2972" s="168">
        <f t="shared" si="7"/>
        <v>0</v>
      </c>
      <c r="Y2972" s="168">
        <f t="shared" si="8"/>
        <v>0</v>
      </c>
      <c r="Z2972" s="168">
        <f t="shared" si="9"/>
        <v>0</v>
      </c>
    </row>
    <row r="2973" ht="15.0" customHeight="1">
      <c r="A2973" s="157" t="s">
        <v>3502</v>
      </c>
      <c r="B2973" s="158" t="s">
        <v>19</v>
      </c>
      <c r="C2973" s="158" t="s">
        <v>3501</v>
      </c>
      <c r="D2973" s="159">
        <v>44596.0</v>
      </c>
      <c r="E2973" s="157" t="s">
        <v>731</v>
      </c>
      <c r="F2973" s="160">
        <v>233405.89</v>
      </c>
      <c r="G2973" s="160">
        <v>37344.95</v>
      </c>
      <c r="H2973" s="160">
        <f t="shared" si="76"/>
        <v>270750.84</v>
      </c>
      <c r="I2973" s="160"/>
      <c r="J2973" s="161"/>
      <c r="K2973" s="160"/>
      <c r="L2973" s="160">
        <f>+'FACP$'!$H2973-'FACP$'!$I2973-'FACP$'!$K2973</f>
        <v>270750.84</v>
      </c>
      <c r="M2973" s="162" t="s">
        <v>732</v>
      </c>
      <c r="N2973" s="162" t="s">
        <v>554</v>
      </c>
      <c r="O2973" s="164">
        <v>44616.0</v>
      </c>
      <c r="P2973" s="164">
        <f t="array" ref="P2973">XLOOKUP('FACP$'!$B2973,'perfil de pagos'!A:A,'perfil de pagos'!B:B)+'FACP$'!$D2973</f>
        <v>44606</v>
      </c>
      <c r="Q2973" s="165">
        <f t="shared" si="2"/>
        <v>0</v>
      </c>
      <c r="R2973" s="167"/>
      <c r="S2973" s="167">
        <v>1300.0</v>
      </c>
      <c r="T2973" s="168">
        <f t="shared" si="3"/>
        <v>270750.84</v>
      </c>
      <c r="U2973" s="168">
        <f t="shared" si="4"/>
        <v>0</v>
      </c>
      <c r="V2973" s="168">
        <f t="shared" si="5"/>
        <v>0</v>
      </c>
      <c r="W2973" s="168">
        <f t="shared" si="6"/>
        <v>0</v>
      </c>
      <c r="X2973" s="168">
        <f t="shared" si="7"/>
        <v>0</v>
      </c>
      <c r="Y2973" s="168">
        <f t="shared" si="8"/>
        <v>0</v>
      </c>
      <c r="Z2973" s="168">
        <f t="shared" si="9"/>
        <v>0</v>
      </c>
    </row>
    <row r="2974" ht="15.0" customHeight="1">
      <c r="A2974" s="157" t="s">
        <v>3503</v>
      </c>
      <c r="B2974" s="158" t="s">
        <v>26</v>
      </c>
      <c r="C2974" s="158" t="s">
        <v>3501</v>
      </c>
      <c r="D2974" s="159">
        <v>44596.0</v>
      </c>
      <c r="E2974" s="157" t="s">
        <v>731</v>
      </c>
      <c r="F2974" s="160">
        <v>26209.92</v>
      </c>
      <c r="G2974" s="160">
        <v>4193.59</v>
      </c>
      <c r="H2974" s="160">
        <f t="shared" si="76"/>
        <v>30403.51</v>
      </c>
      <c r="I2974" s="160"/>
      <c r="J2974" s="161"/>
      <c r="K2974" s="160"/>
      <c r="L2974" s="160">
        <f>+'FACP$'!$H2974-'FACP$'!$I2974-'FACP$'!$K2974</f>
        <v>30403.51</v>
      </c>
      <c r="M2974" s="162" t="s">
        <v>2386</v>
      </c>
      <c r="N2974" s="162" t="s">
        <v>554</v>
      </c>
      <c r="O2974" s="164">
        <v>44610.0</v>
      </c>
      <c r="P2974" s="164">
        <f t="array" ref="P2974">XLOOKUP('FACP$'!$B2974,'perfil de pagos'!A:A,'perfil de pagos'!B:B)+'FACP$'!$D2974</f>
        <v>44606</v>
      </c>
      <c r="Q2974" s="165">
        <f t="shared" si="2"/>
        <v>0</v>
      </c>
      <c r="R2974" s="167"/>
      <c r="S2974" s="167">
        <v>1458.0</v>
      </c>
      <c r="T2974" s="168">
        <f t="shared" si="3"/>
        <v>30403.51</v>
      </c>
      <c r="U2974" s="168">
        <f t="shared" si="4"/>
        <v>0</v>
      </c>
      <c r="V2974" s="168">
        <f t="shared" si="5"/>
        <v>0</v>
      </c>
      <c r="W2974" s="168">
        <f t="shared" si="6"/>
        <v>0</v>
      </c>
      <c r="X2974" s="168">
        <f t="shared" si="7"/>
        <v>0</v>
      </c>
      <c r="Y2974" s="168">
        <f t="shared" si="8"/>
        <v>0</v>
      </c>
      <c r="Z2974" s="168">
        <f t="shared" si="9"/>
        <v>0</v>
      </c>
    </row>
    <row r="2975" ht="15.0" customHeight="1">
      <c r="A2975" s="157" t="s">
        <v>3504</v>
      </c>
      <c r="B2975" s="158" t="s">
        <v>29</v>
      </c>
      <c r="C2975" s="158" t="s">
        <v>3501</v>
      </c>
      <c r="D2975" s="159">
        <v>44596.0</v>
      </c>
      <c r="E2975" s="157" t="s">
        <v>731</v>
      </c>
      <c r="F2975" s="160">
        <v>417067.63</v>
      </c>
      <c r="G2975" s="160">
        <v>66730.82</v>
      </c>
      <c r="H2975" s="160">
        <f t="shared" si="76"/>
        <v>483798.45</v>
      </c>
      <c r="I2975" s="160"/>
      <c r="J2975" s="161"/>
      <c r="K2975" s="160"/>
      <c r="L2975" s="160">
        <f>+'FACP$'!$H2975-'FACP$'!$I2975-'FACP$'!$K2975</f>
        <v>483798.45</v>
      </c>
      <c r="M2975" s="162" t="s">
        <v>130</v>
      </c>
      <c r="N2975" s="162" t="s">
        <v>554</v>
      </c>
      <c r="O2975" s="164">
        <v>44609.0</v>
      </c>
      <c r="P2975" s="164">
        <f t="array" ref="P2975">XLOOKUP('FACP$'!$B2975,'perfil de pagos'!A:A,'perfil de pagos'!B:B)+'FACP$'!$D2975</f>
        <v>44606</v>
      </c>
      <c r="Q2975" s="165">
        <f t="shared" si="2"/>
        <v>0</v>
      </c>
      <c r="R2975" s="167"/>
      <c r="S2975" s="167"/>
      <c r="T2975" s="168">
        <f t="shared" si="3"/>
        <v>483798.45</v>
      </c>
      <c r="U2975" s="168">
        <f t="shared" si="4"/>
        <v>0</v>
      </c>
      <c r="V2975" s="168">
        <f t="shared" si="5"/>
        <v>0</v>
      </c>
      <c r="W2975" s="168">
        <f t="shared" si="6"/>
        <v>0</v>
      </c>
      <c r="X2975" s="168">
        <f t="shared" si="7"/>
        <v>0</v>
      </c>
      <c r="Y2975" s="168">
        <f t="shared" si="8"/>
        <v>0</v>
      </c>
      <c r="Z2975" s="168">
        <f t="shared" si="9"/>
        <v>0</v>
      </c>
    </row>
    <row r="2976" ht="15.0" customHeight="1">
      <c r="A2976" s="157" t="s">
        <v>3505</v>
      </c>
      <c r="B2976" s="158" t="s">
        <v>29</v>
      </c>
      <c r="C2976" s="158" t="s">
        <v>3499</v>
      </c>
      <c r="D2976" s="159">
        <v>44596.0</v>
      </c>
      <c r="E2976" s="157" t="s">
        <v>731</v>
      </c>
      <c r="F2976" s="160">
        <v>413228.82</v>
      </c>
      <c r="G2976" s="160">
        <v>66116.61</v>
      </c>
      <c r="H2976" s="160">
        <f t="shared" si="76"/>
        <v>479345.43</v>
      </c>
      <c r="I2976" s="160"/>
      <c r="J2976" s="161"/>
      <c r="K2976" s="160"/>
      <c r="L2976" s="160">
        <f>+'FACP$'!$H2976-'FACP$'!$I2976-'FACP$'!$K2976</f>
        <v>479345.43</v>
      </c>
      <c r="M2976" s="162" t="s">
        <v>130</v>
      </c>
      <c r="N2976" s="162" t="s">
        <v>554</v>
      </c>
      <c r="O2976" s="164">
        <v>44609.0</v>
      </c>
      <c r="P2976" s="164">
        <f t="array" ref="P2976">XLOOKUP('FACP$'!$B2976,'perfil de pagos'!A:A,'perfil de pagos'!B:B)+'FACP$'!$D2976</f>
        <v>44606</v>
      </c>
      <c r="Q2976" s="165">
        <f t="shared" si="2"/>
        <v>0</v>
      </c>
      <c r="R2976" s="167"/>
      <c r="S2976" s="167"/>
      <c r="T2976" s="168">
        <f t="shared" si="3"/>
        <v>479345.43</v>
      </c>
      <c r="U2976" s="168">
        <f t="shared" si="4"/>
        <v>0</v>
      </c>
      <c r="V2976" s="168">
        <f t="shared" si="5"/>
        <v>0</v>
      </c>
      <c r="W2976" s="168">
        <f t="shared" si="6"/>
        <v>0</v>
      </c>
      <c r="X2976" s="168">
        <f t="shared" si="7"/>
        <v>0</v>
      </c>
      <c r="Y2976" s="168">
        <f t="shared" si="8"/>
        <v>0</v>
      </c>
      <c r="Z2976" s="168">
        <f t="shared" si="9"/>
        <v>0</v>
      </c>
    </row>
    <row r="2977" ht="15.0" customHeight="1">
      <c r="A2977" s="157" t="s">
        <v>3506</v>
      </c>
      <c r="B2977" s="158" t="s">
        <v>127</v>
      </c>
      <c r="C2977" s="158"/>
      <c r="D2977" s="159"/>
      <c r="E2977" s="157"/>
      <c r="F2977" s="160"/>
      <c r="G2977" s="160"/>
      <c r="H2977" s="160"/>
      <c r="I2977" s="160"/>
      <c r="J2977" s="161"/>
      <c r="K2977" s="160"/>
      <c r="L2977" s="160">
        <f>+'FACP$'!$H2977-'FACP$'!$I2977-'FACP$'!$K2977</f>
        <v>0</v>
      </c>
      <c r="M2977" s="162"/>
      <c r="N2977" s="162"/>
      <c r="O2977" s="164"/>
      <c r="P2977" s="164" t="str">
        <f t="array" ref="P2977">XLOOKUP('FACP$'!$B2977,'perfil de pagos'!A:A,'perfil de pagos'!B:B)+'FACP$'!$D2977</f>
        <v>#N/A</v>
      </c>
      <c r="Q2977" s="165" t="str">
        <f t="shared" si="2"/>
        <v>#N/A</v>
      </c>
      <c r="R2977" s="167"/>
      <c r="S2977" s="167"/>
      <c r="T2977" s="168" t="str">
        <f t="shared" si="3"/>
        <v>#N/A</v>
      </c>
      <c r="U2977" s="168" t="str">
        <f t="shared" si="4"/>
        <v>#N/A</v>
      </c>
      <c r="V2977" s="168" t="str">
        <f t="shared" si="5"/>
        <v>#N/A</v>
      </c>
      <c r="W2977" s="168" t="str">
        <f t="shared" si="6"/>
        <v>#N/A</v>
      </c>
      <c r="X2977" s="168" t="str">
        <f t="shared" si="7"/>
        <v>#N/A</v>
      </c>
      <c r="Y2977" s="168" t="str">
        <f t="shared" si="8"/>
        <v>#N/A</v>
      </c>
      <c r="Z2977" s="168" t="str">
        <f t="shared" si="9"/>
        <v>#N/A</v>
      </c>
    </row>
    <row r="2978" ht="15.0" customHeight="1">
      <c r="A2978" s="157" t="s">
        <v>3507</v>
      </c>
      <c r="B2978" s="158" t="s">
        <v>31</v>
      </c>
      <c r="C2978" s="158" t="s">
        <v>3501</v>
      </c>
      <c r="D2978" s="159">
        <v>44596.0</v>
      </c>
      <c r="E2978" s="157" t="s">
        <v>731</v>
      </c>
      <c r="F2978" s="160">
        <v>147849.05</v>
      </c>
      <c r="G2978" s="160">
        <v>23655.85</v>
      </c>
      <c r="H2978" s="160">
        <f>F2978+G2978-59910.62-55920.49-3700.3054</f>
        <v>51973.4846</v>
      </c>
      <c r="I2978" s="252"/>
      <c r="J2978" s="253"/>
      <c r="K2978" s="252"/>
      <c r="L2978" s="160">
        <f>+'FACP$'!$H2978-'FACP$'!$I2978-'FACP$'!$K2978</f>
        <v>51973.4846</v>
      </c>
      <c r="M2978" s="162" t="s">
        <v>3183</v>
      </c>
      <c r="N2978" s="162" t="s">
        <v>554</v>
      </c>
      <c r="O2978" s="164">
        <v>44932.0</v>
      </c>
      <c r="P2978" s="164">
        <f t="array" ref="P2978">XLOOKUP('FACP$'!$B2978,'perfil de pagos'!A:A,'perfil de pagos'!B:B)+'FACP$'!$D2978</f>
        <v>44599</v>
      </c>
      <c r="Q2978" s="165">
        <f t="shared" si="2"/>
        <v>0</v>
      </c>
      <c r="R2978" s="220" t="s">
        <v>3508</v>
      </c>
      <c r="S2978" s="167" t="s">
        <v>3509</v>
      </c>
      <c r="T2978" s="168">
        <f t="shared" si="3"/>
        <v>51973.4846</v>
      </c>
      <c r="U2978" s="168">
        <f t="shared" si="4"/>
        <v>0</v>
      </c>
      <c r="V2978" s="168">
        <f t="shared" si="5"/>
        <v>0</v>
      </c>
      <c r="W2978" s="168">
        <f t="shared" si="6"/>
        <v>0</v>
      </c>
      <c r="X2978" s="168">
        <f t="shared" si="7"/>
        <v>0</v>
      </c>
      <c r="Y2978" s="168">
        <f t="shared" si="8"/>
        <v>0</v>
      </c>
      <c r="Z2978" s="168">
        <f t="shared" si="9"/>
        <v>0</v>
      </c>
    </row>
    <row r="2979" ht="15.0" customHeight="1">
      <c r="A2979" s="157" t="s">
        <v>3510</v>
      </c>
      <c r="B2979" s="158" t="s">
        <v>33</v>
      </c>
      <c r="C2979" s="158" t="s">
        <v>3501</v>
      </c>
      <c r="D2979" s="159">
        <v>44596.0</v>
      </c>
      <c r="E2979" s="157" t="s">
        <v>731</v>
      </c>
      <c r="F2979" s="160">
        <v>1433941.34</v>
      </c>
      <c r="G2979" s="160">
        <v>229430.61</v>
      </c>
      <c r="H2979" s="160">
        <f t="shared" ref="H2979:H2983" si="77">F2979+G2979</f>
        <v>1663371.95</v>
      </c>
      <c r="I2979" s="160"/>
      <c r="J2979" s="161"/>
      <c r="K2979" s="160"/>
      <c r="L2979" s="160">
        <f>+'FACP$'!$H2979-'FACP$'!$I2979-'FACP$'!$K2979</f>
        <v>1663371.95</v>
      </c>
      <c r="M2979" s="162" t="s">
        <v>958</v>
      </c>
      <c r="N2979" s="162" t="s">
        <v>554</v>
      </c>
      <c r="O2979" s="164">
        <v>44610.0</v>
      </c>
      <c r="P2979" s="164">
        <f t="array" ref="P2979">XLOOKUP('FACP$'!$B2979,'perfil de pagos'!A:A,'perfil de pagos'!B:B)+'FACP$'!$D2979</f>
        <v>44606</v>
      </c>
      <c r="Q2979" s="165">
        <f t="shared" si="2"/>
        <v>0</v>
      </c>
      <c r="R2979" s="167"/>
      <c r="S2979" s="167">
        <v>1294.0</v>
      </c>
      <c r="T2979" s="168">
        <f t="shared" si="3"/>
        <v>1663371.95</v>
      </c>
      <c r="U2979" s="168">
        <f t="shared" si="4"/>
        <v>0</v>
      </c>
      <c r="V2979" s="168">
        <f t="shared" si="5"/>
        <v>0</v>
      </c>
      <c r="W2979" s="168">
        <f t="shared" si="6"/>
        <v>0</v>
      </c>
      <c r="X2979" s="168">
        <f t="shared" si="7"/>
        <v>0</v>
      </c>
      <c r="Y2979" s="168">
        <f t="shared" si="8"/>
        <v>0</v>
      </c>
      <c r="Z2979" s="168">
        <f t="shared" si="9"/>
        <v>0</v>
      </c>
    </row>
    <row r="2980" ht="15.0" customHeight="1">
      <c r="A2980" s="157" t="s">
        <v>3511</v>
      </c>
      <c r="B2980" s="158" t="s">
        <v>35</v>
      </c>
      <c r="C2980" s="158" t="s">
        <v>3501</v>
      </c>
      <c r="D2980" s="159">
        <v>44596.0</v>
      </c>
      <c r="E2980" s="157" t="s">
        <v>731</v>
      </c>
      <c r="F2980" s="160">
        <v>693454.74</v>
      </c>
      <c r="G2980" s="160">
        <v>110952.76</v>
      </c>
      <c r="H2980" s="160">
        <f t="shared" si="77"/>
        <v>804407.5</v>
      </c>
      <c r="I2980" s="160"/>
      <c r="J2980" s="161"/>
      <c r="K2980" s="160"/>
      <c r="L2980" s="160">
        <f>+'FACP$'!$H2980-'FACP$'!$I2980-'FACP$'!$K2980</f>
        <v>804407.5</v>
      </c>
      <c r="M2980" s="162" t="s">
        <v>276</v>
      </c>
      <c r="N2980" s="162" t="s">
        <v>554</v>
      </c>
      <c r="O2980" s="164">
        <v>44622.0</v>
      </c>
      <c r="P2980" s="164">
        <f t="array" ref="P2980">XLOOKUP('FACP$'!$B2980,'perfil de pagos'!A:A,'perfil de pagos'!B:B)+'FACP$'!$D2980</f>
        <v>44606</v>
      </c>
      <c r="Q2980" s="165">
        <f t="shared" si="2"/>
        <v>0</v>
      </c>
      <c r="R2980" s="167"/>
      <c r="S2980" s="167"/>
      <c r="T2980" s="168">
        <f t="shared" si="3"/>
        <v>804407.5</v>
      </c>
      <c r="U2980" s="168">
        <f t="shared" si="4"/>
        <v>0</v>
      </c>
      <c r="V2980" s="168">
        <f t="shared" si="5"/>
        <v>0</v>
      </c>
      <c r="W2980" s="168">
        <f t="shared" si="6"/>
        <v>0</v>
      </c>
      <c r="X2980" s="168">
        <f t="shared" si="7"/>
        <v>0</v>
      </c>
      <c r="Y2980" s="168">
        <f t="shared" si="8"/>
        <v>0</v>
      </c>
      <c r="Z2980" s="168">
        <f t="shared" si="9"/>
        <v>0</v>
      </c>
    </row>
    <row r="2981" ht="15.0" customHeight="1">
      <c r="A2981" s="157" t="s">
        <v>3512</v>
      </c>
      <c r="B2981" s="158" t="s">
        <v>36</v>
      </c>
      <c r="C2981" s="158" t="s">
        <v>3501</v>
      </c>
      <c r="D2981" s="159">
        <v>44596.0</v>
      </c>
      <c r="E2981" s="157" t="s">
        <v>731</v>
      </c>
      <c r="F2981" s="160">
        <v>99968.05</v>
      </c>
      <c r="G2981" s="160">
        <v>15994.89</v>
      </c>
      <c r="H2981" s="160">
        <f t="shared" si="77"/>
        <v>115962.94</v>
      </c>
      <c r="I2981" s="160"/>
      <c r="J2981" s="161"/>
      <c r="K2981" s="160"/>
      <c r="L2981" s="160">
        <f>+'FACP$'!$H2981-'FACP$'!$I2981-'FACP$'!$K2981</f>
        <v>115962.94</v>
      </c>
      <c r="M2981" s="162" t="s">
        <v>278</v>
      </c>
      <c r="N2981" s="162" t="s">
        <v>554</v>
      </c>
      <c r="O2981" s="164">
        <v>44613.0</v>
      </c>
      <c r="P2981" s="164">
        <f t="array" ref="P2981">XLOOKUP('FACP$'!$B2981,'perfil de pagos'!A:A,'perfil de pagos'!B:B)+'FACP$'!$D2981</f>
        <v>44606</v>
      </c>
      <c r="Q2981" s="165">
        <f t="shared" si="2"/>
        <v>0</v>
      </c>
      <c r="R2981" s="167"/>
      <c r="S2981" s="167"/>
      <c r="T2981" s="168">
        <f t="shared" si="3"/>
        <v>115962.94</v>
      </c>
      <c r="U2981" s="168">
        <f t="shared" si="4"/>
        <v>0</v>
      </c>
      <c r="V2981" s="168">
        <f t="shared" si="5"/>
        <v>0</v>
      </c>
      <c r="W2981" s="168">
        <f t="shared" si="6"/>
        <v>0</v>
      </c>
      <c r="X2981" s="168">
        <f t="shared" si="7"/>
        <v>0</v>
      </c>
      <c r="Y2981" s="168">
        <f t="shared" si="8"/>
        <v>0</v>
      </c>
      <c r="Z2981" s="168">
        <f t="shared" si="9"/>
        <v>0</v>
      </c>
    </row>
    <row r="2982" ht="15.0" customHeight="1">
      <c r="A2982" s="157" t="s">
        <v>3513</v>
      </c>
      <c r="B2982" s="158" t="s">
        <v>37</v>
      </c>
      <c r="C2982" s="158" t="s">
        <v>3501</v>
      </c>
      <c r="D2982" s="159">
        <v>44596.0</v>
      </c>
      <c r="E2982" s="157" t="s">
        <v>731</v>
      </c>
      <c r="F2982" s="160">
        <v>2834470.51</v>
      </c>
      <c r="G2982" s="160">
        <v>453515.28</v>
      </c>
      <c r="H2982" s="160">
        <f t="shared" si="77"/>
        <v>3287985.79</v>
      </c>
      <c r="I2982" s="160"/>
      <c r="J2982" s="161"/>
      <c r="K2982" s="160"/>
      <c r="L2982" s="160">
        <f>+'FACP$'!$H2982-'FACP$'!$I2982-'FACP$'!$K2982</f>
        <v>3287985.79</v>
      </c>
      <c r="M2982" s="162" t="s">
        <v>116</v>
      </c>
      <c r="N2982" s="162" t="s">
        <v>554</v>
      </c>
      <c r="O2982" s="164">
        <v>44622.0</v>
      </c>
      <c r="P2982" s="164">
        <f t="array" ref="P2982">XLOOKUP('FACP$'!$B2982,'perfil de pagos'!A:A,'perfil de pagos'!B:B)+'FACP$'!$D2982</f>
        <v>44606</v>
      </c>
      <c r="Q2982" s="165">
        <f t="shared" si="2"/>
        <v>0</v>
      </c>
      <c r="R2982" s="167"/>
      <c r="S2982" s="167"/>
      <c r="T2982" s="168">
        <f t="shared" si="3"/>
        <v>3287985.79</v>
      </c>
      <c r="U2982" s="168">
        <f t="shared" si="4"/>
        <v>0</v>
      </c>
      <c r="V2982" s="168">
        <f t="shared" si="5"/>
        <v>0</v>
      </c>
      <c r="W2982" s="168">
        <f t="shared" si="6"/>
        <v>0</v>
      </c>
      <c r="X2982" s="168">
        <f t="shared" si="7"/>
        <v>0</v>
      </c>
      <c r="Y2982" s="168">
        <f t="shared" si="8"/>
        <v>0</v>
      </c>
      <c r="Z2982" s="168">
        <f t="shared" si="9"/>
        <v>0</v>
      </c>
    </row>
    <row r="2983" ht="15.0" customHeight="1">
      <c r="A2983" s="157" t="s">
        <v>3514</v>
      </c>
      <c r="B2983" s="158" t="s">
        <v>38</v>
      </c>
      <c r="C2983" s="158" t="s">
        <v>3501</v>
      </c>
      <c r="D2983" s="159">
        <v>44596.0</v>
      </c>
      <c r="E2983" s="157" t="s">
        <v>731</v>
      </c>
      <c r="F2983" s="160">
        <v>1181625.8</v>
      </c>
      <c r="G2983" s="160">
        <v>189060.13</v>
      </c>
      <c r="H2983" s="160">
        <f t="shared" si="77"/>
        <v>1370685.93</v>
      </c>
      <c r="I2983" s="160"/>
      <c r="J2983" s="161"/>
      <c r="K2983" s="160"/>
      <c r="L2983" s="160">
        <f>+'FACP$'!$H2983-'FACP$'!$I2983-'FACP$'!$K2983</f>
        <v>1370685.93</v>
      </c>
      <c r="M2983" s="162" t="s">
        <v>145</v>
      </c>
      <c r="N2983" s="162" t="s">
        <v>554</v>
      </c>
      <c r="O2983" s="164">
        <v>44648.0</v>
      </c>
      <c r="P2983" s="164">
        <f t="array" ref="P2983">XLOOKUP('FACP$'!$B2983,'perfil de pagos'!A:A,'perfil de pagos'!B:B)+'FACP$'!$D2983</f>
        <v>44626</v>
      </c>
      <c r="Q2983" s="165">
        <f t="shared" si="2"/>
        <v>0</v>
      </c>
      <c r="R2983" s="167"/>
      <c r="S2983" s="167"/>
      <c r="T2983" s="168">
        <f t="shared" si="3"/>
        <v>1370685.93</v>
      </c>
      <c r="U2983" s="168">
        <f t="shared" si="4"/>
        <v>0</v>
      </c>
      <c r="V2983" s="168">
        <f t="shared" si="5"/>
        <v>0</v>
      </c>
      <c r="W2983" s="168">
        <f t="shared" si="6"/>
        <v>0</v>
      </c>
      <c r="X2983" s="168">
        <f t="shared" si="7"/>
        <v>0</v>
      </c>
      <c r="Y2983" s="168">
        <f t="shared" si="8"/>
        <v>0</v>
      </c>
      <c r="Z2983" s="168">
        <f t="shared" si="9"/>
        <v>0</v>
      </c>
    </row>
    <row r="2984" ht="15.0" customHeight="1">
      <c r="A2984" s="157" t="s">
        <v>3515</v>
      </c>
      <c r="B2984" s="158" t="s">
        <v>41</v>
      </c>
      <c r="C2984" s="158" t="s">
        <v>3501</v>
      </c>
      <c r="D2984" s="159">
        <v>44596.0</v>
      </c>
      <c r="E2984" s="157" t="s">
        <v>731</v>
      </c>
      <c r="F2984" s="160">
        <v>1319565.27</v>
      </c>
      <c r="G2984" s="160">
        <v>211130.44</v>
      </c>
      <c r="H2984" s="160">
        <f>F2984+G2984-171309.45</f>
        <v>1359386.26</v>
      </c>
      <c r="I2984" s="160"/>
      <c r="J2984" s="161"/>
      <c r="K2984" s="160"/>
      <c r="L2984" s="160">
        <f>+'FACP$'!$H2984-'FACP$'!$I2984-'FACP$'!$K2984</f>
        <v>1359386.26</v>
      </c>
      <c r="M2984" s="162" t="s">
        <v>121</v>
      </c>
      <c r="N2984" s="162" t="s">
        <v>554</v>
      </c>
      <c r="O2984" s="164">
        <v>44652.0</v>
      </c>
      <c r="P2984" s="164">
        <f t="array" ref="P2984">XLOOKUP('FACP$'!$B2984,'perfil de pagos'!A:A,'perfil de pagos'!B:B)+'FACP$'!$D2984</f>
        <v>44606</v>
      </c>
      <c r="Q2984" s="165">
        <f t="shared" si="2"/>
        <v>0</v>
      </c>
      <c r="R2984" s="167" t="s">
        <v>3516</v>
      </c>
      <c r="S2984" s="167"/>
      <c r="T2984" s="168">
        <f t="shared" si="3"/>
        <v>1359386.26</v>
      </c>
      <c r="U2984" s="168">
        <f t="shared" si="4"/>
        <v>0</v>
      </c>
      <c r="V2984" s="168">
        <f t="shared" si="5"/>
        <v>0</v>
      </c>
      <c r="W2984" s="168">
        <f t="shared" si="6"/>
        <v>0</v>
      </c>
      <c r="X2984" s="168">
        <f t="shared" si="7"/>
        <v>0</v>
      </c>
      <c r="Y2984" s="168">
        <f t="shared" si="8"/>
        <v>0</v>
      </c>
      <c r="Z2984" s="168">
        <f t="shared" si="9"/>
        <v>0</v>
      </c>
    </row>
    <row r="2985" ht="15.0" customHeight="1">
      <c r="A2985" s="157" t="s">
        <v>3517</v>
      </c>
      <c r="B2985" s="158" t="s">
        <v>43</v>
      </c>
      <c r="C2985" s="158" t="s">
        <v>3501</v>
      </c>
      <c r="D2985" s="159">
        <v>44596.0</v>
      </c>
      <c r="E2985" s="157" t="s">
        <v>731</v>
      </c>
      <c r="F2985" s="160">
        <v>2251586.39</v>
      </c>
      <c r="G2985" s="160">
        <v>360253.82</v>
      </c>
      <c r="H2985" s="160">
        <f t="shared" ref="H2985:H2993" si="78">F2985+G2985</f>
        <v>2611840.21</v>
      </c>
      <c r="I2985" s="160"/>
      <c r="J2985" s="161"/>
      <c r="K2985" s="160"/>
      <c r="L2985" s="160">
        <f>+'FACP$'!$H2985-'FACP$'!$I2985-'FACP$'!$K2985</f>
        <v>2611840.21</v>
      </c>
      <c r="M2985" s="162" t="s">
        <v>43</v>
      </c>
      <c r="N2985" s="162" t="s">
        <v>554</v>
      </c>
      <c r="O2985" s="164">
        <v>44620.0</v>
      </c>
      <c r="P2985" s="164">
        <f t="array" ref="P2985">XLOOKUP('FACP$'!$B2985,'perfil de pagos'!A:A,'perfil de pagos'!B:B)+'FACP$'!$D2985</f>
        <v>44621</v>
      </c>
      <c r="Q2985" s="165">
        <f t="shared" si="2"/>
        <v>0</v>
      </c>
      <c r="R2985" s="167"/>
      <c r="S2985" s="167"/>
      <c r="T2985" s="168">
        <f t="shared" si="3"/>
        <v>2611840.21</v>
      </c>
      <c r="U2985" s="168">
        <f t="shared" si="4"/>
        <v>0</v>
      </c>
      <c r="V2985" s="168">
        <f t="shared" si="5"/>
        <v>0</v>
      </c>
      <c r="W2985" s="168">
        <f t="shared" si="6"/>
        <v>0</v>
      </c>
      <c r="X2985" s="168">
        <f t="shared" si="7"/>
        <v>0</v>
      </c>
      <c r="Y2985" s="168">
        <f t="shared" si="8"/>
        <v>0</v>
      </c>
      <c r="Z2985" s="168">
        <f t="shared" si="9"/>
        <v>0</v>
      </c>
    </row>
    <row r="2986" ht="15.0" customHeight="1">
      <c r="A2986" s="157" t="s">
        <v>3518</v>
      </c>
      <c r="B2986" s="158" t="s">
        <v>16</v>
      </c>
      <c r="C2986" s="158" t="s">
        <v>3519</v>
      </c>
      <c r="D2986" s="159">
        <v>44600.0</v>
      </c>
      <c r="E2986" s="157" t="s">
        <v>731</v>
      </c>
      <c r="F2986" s="160">
        <v>29650.68</v>
      </c>
      <c r="G2986" s="160">
        <v>4744.11</v>
      </c>
      <c r="H2986" s="160">
        <f t="shared" si="78"/>
        <v>34394.79</v>
      </c>
      <c r="I2986" s="160"/>
      <c r="J2986" s="161"/>
      <c r="K2986" s="160"/>
      <c r="L2986" s="160">
        <f>+'FACP$'!$H2986-'FACP$'!$I2986-'FACP$'!$K2986</f>
        <v>34394.79</v>
      </c>
      <c r="M2986" s="162" t="s">
        <v>985</v>
      </c>
      <c r="N2986" s="162" t="s">
        <v>554</v>
      </c>
      <c r="O2986" s="164">
        <v>44638.0</v>
      </c>
      <c r="P2986" s="164">
        <f t="array" ref="P2986">XLOOKUP('FACP$'!$B2986,'perfil de pagos'!A:A,'perfil de pagos'!B:B)+'FACP$'!$D2986</f>
        <v>44610</v>
      </c>
      <c r="Q2986" s="165">
        <f t="shared" si="2"/>
        <v>0</v>
      </c>
      <c r="R2986" s="167"/>
      <c r="S2986" s="167"/>
      <c r="T2986" s="168">
        <f t="shared" si="3"/>
        <v>34394.79</v>
      </c>
      <c r="U2986" s="168">
        <f t="shared" si="4"/>
        <v>0</v>
      </c>
      <c r="V2986" s="168">
        <f t="shared" si="5"/>
        <v>0</v>
      </c>
      <c r="W2986" s="168">
        <f t="shared" si="6"/>
        <v>0</v>
      </c>
      <c r="X2986" s="168">
        <f t="shared" si="7"/>
        <v>0</v>
      </c>
      <c r="Y2986" s="168">
        <f t="shared" si="8"/>
        <v>0</v>
      </c>
      <c r="Z2986" s="168">
        <f t="shared" si="9"/>
        <v>0</v>
      </c>
    </row>
    <row r="2987" ht="15.0" customHeight="1">
      <c r="A2987" s="157" t="s">
        <v>3520</v>
      </c>
      <c r="B2987" s="158" t="s">
        <v>18</v>
      </c>
      <c r="C2987" s="158" t="s">
        <v>3519</v>
      </c>
      <c r="D2987" s="159">
        <v>44600.0</v>
      </c>
      <c r="E2987" s="157" t="s">
        <v>731</v>
      </c>
      <c r="F2987" s="160">
        <v>22220.5</v>
      </c>
      <c r="G2987" s="160">
        <v>3555.28</v>
      </c>
      <c r="H2987" s="160">
        <f t="shared" si="78"/>
        <v>25775.78</v>
      </c>
      <c r="I2987" s="160"/>
      <c r="J2987" s="161"/>
      <c r="K2987" s="160"/>
      <c r="L2987" s="160">
        <f>+'FACP$'!$H2987-'FACP$'!$I2987-'FACP$'!$K2987</f>
        <v>25775.78</v>
      </c>
      <c r="M2987" s="162" t="s">
        <v>586</v>
      </c>
      <c r="N2987" s="162" t="s">
        <v>554</v>
      </c>
      <c r="O2987" s="164">
        <v>44635.0</v>
      </c>
      <c r="P2987" s="164">
        <f t="array" ref="P2987">XLOOKUP('FACP$'!$B2987,'perfil de pagos'!A:A,'perfil de pagos'!B:B)+'FACP$'!$D2987</f>
        <v>44610</v>
      </c>
      <c r="Q2987" s="165">
        <f t="shared" si="2"/>
        <v>0</v>
      </c>
      <c r="R2987" s="167"/>
      <c r="S2987" s="167">
        <v>1324.0</v>
      </c>
      <c r="T2987" s="168">
        <f t="shared" si="3"/>
        <v>25775.78</v>
      </c>
      <c r="U2987" s="168">
        <f t="shared" si="4"/>
        <v>0</v>
      </c>
      <c r="V2987" s="168">
        <f t="shared" si="5"/>
        <v>0</v>
      </c>
      <c r="W2987" s="168">
        <f t="shared" si="6"/>
        <v>0</v>
      </c>
      <c r="X2987" s="168">
        <f t="shared" si="7"/>
        <v>0</v>
      </c>
      <c r="Y2987" s="168">
        <f t="shared" si="8"/>
        <v>0</v>
      </c>
      <c r="Z2987" s="168">
        <f t="shared" si="9"/>
        <v>0</v>
      </c>
    </row>
    <row r="2988" ht="15.0" customHeight="1">
      <c r="A2988" s="157" t="s">
        <v>3521</v>
      </c>
      <c r="B2988" s="158" t="s">
        <v>19</v>
      </c>
      <c r="C2988" s="158" t="s">
        <v>3519</v>
      </c>
      <c r="D2988" s="159">
        <v>44600.0</v>
      </c>
      <c r="E2988" s="157" t="s">
        <v>731</v>
      </c>
      <c r="F2988" s="160">
        <v>14548.55</v>
      </c>
      <c r="G2988" s="160">
        <v>2327.77</v>
      </c>
      <c r="H2988" s="160">
        <f t="shared" si="78"/>
        <v>16876.32</v>
      </c>
      <c r="I2988" s="160"/>
      <c r="J2988" s="161"/>
      <c r="K2988" s="160"/>
      <c r="L2988" s="160">
        <f>+'FACP$'!$H2988-'FACP$'!$I2988-'FACP$'!$K2988</f>
        <v>16876.32</v>
      </c>
      <c r="M2988" s="162" t="s">
        <v>732</v>
      </c>
      <c r="N2988" s="162" t="s">
        <v>554</v>
      </c>
      <c r="O2988" s="164">
        <v>44616.0</v>
      </c>
      <c r="P2988" s="164">
        <f t="array" ref="P2988">XLOOKUP('FACP$'!$B2988,'perfil de pagos'!A:A,'perfil de pagos'!B:B)+'FACP$'!$D2988</f>
        <v>44610</v>
      </c>
      <c r="Q2988" s="165">
        <f t="shared" si="2"/>
        <v>0</v>
      </c>
      <c r="R2988" s="167"/>
      <c r="S2988" s="167">
        <v>1300.0</v>
      </c>
      <c r="T2988" s="168">
        <f t="shared" si="3"/>
        <v>16876.32</v>
      </c>
      <c r="U2988" s="168">
        <f t="shared" si="4"/>
        <v>0</v>
      </c>
      <c r="V2988" s="168">
        <f t="shared" si="5"/>
        <v>0</v>
      </c>
      <c r="W2988" s="168">
        <f t="shared" si="6"/>
        <v>0</v>
      </c>
      <c r="X2988" s="168">
        <f t="shared" si="7"/>
        <v>0</v>
      </c>
      <c r="Y2988" s="168">
        <f t="shared" si="8"/>
        <v>0</v>
      </c>
      <c r="Z2988" s="168">
        <f t="shared" si="9"/>
        <v>0</v>
      </c>
    </row>
    <row r="2989" ht="15.0" customHeight="1">
      <c r="A2989" s="157" t="s">
        <v>3522</v>
      </c>
      <c r="B2989" s="158" t="s">
        <v>27</v>
      </c>
      <c r="C2989" s="158" t="s">
        <v>3519</v>
      </c>
      <c r="D2989" s="159">
        <v>44600.0</v>
      </c>
      <c r="E2989" s="157" t="s">
        <v>731</v>
      </c>
      <c r="F2989" s="160">
        <v>34243.22</v>
      </c>
      <c r="G2989" s="160">
        <v>5478.92</v>
      </c>
      <c r="H2989" s="160">
        <f t="shared" si="78"/>
        <v>39722.14</v>
      </c>
      <c r="I2989" s="160"/>
      <c r="J2989" s="161"/>
      <c r="K2989" s="160"/>
      <c r="L2989" s="160">
        <f>+'FACP$'!$H2989-'FACP$'!$I2989-'FACP$'!$K2989</f>
        <v>39722.14</v>
      </c>
      <c r="M2989" s="162" t="s">
        <v>151</v>
      </c>
      <c r="N2989" s="162" t="s">
        <v>554</v>
      </c>
      <c r="O2989" s="164">
        <v>44720.0</v>
      </c>
      <c r="P2989" s="164">
        <f t="array" ref="P2989">XLOOKUP('FACP$'!$B2989,'perfil de pagos'!A:A,'perfil de pagos'!B:B)+'FACP$'!$D2989</f>
        <v>44630</v>
      </c>
      <c r="Q2989" s="165">
        <f t="shared" si="2"/>
        <v>0</v>
      </c>
      <c r="R2989" s="167"/>
      <c r="S2989" s="167">
        <v>1391.0</v>
      </c>
      <c r="T2989" s="168">
        <f t="shared" si="3"/>
        <v>39722.14</v>
      </c>
      <c r="U2989" s="168">
        <f t="shared" si="4"/>
        <v>0</v>
      </c>
      <c r="V2989" s="168">
        <f t="shared" si="5"/>
        <v>0</v>
      </c>
      <c r="W2989" s="168">
        <f t="shared" si="6"/>
        <v>0</v>
      </c>
      <c r="X2989" s="168">
        <f t="shared" si="7"/>
        <v>0</v>
      </c>
      <c r="Y2989" s="168">
        <f t="shared" si="8"/>
        <v>0</v>
      </c>
      <c r="Z2989" s="168">
        <f t="shared" si="9"/>
        <v>0</v>
      </c>
    </row>
    <row r="2990" ht="15.0" customHeight="1">
      <c r="A2990" s="157" t="s">
        <v>3523</v>
      </c>
      <c r="B2990" s="158" t="s">
        <v>27</v>
      </c>
      <c r="C2990" s="158" t="s">
        <v>3519</v>
      </c>
      <c r="D2990" s="159">
        <v>44600.0</v>
      </c>
      <c r="E2990" s="157" t="s">
        <v>731</v>
      </c>
      <c r="F2990" s="160">
        <v>17307.12</v>
      </c>
      <c r="G2990" s="160">
        <v>2769.14</v>
      </c>
      <c r="H2990" s="160">
        <f t="shared" si="78"/>
        <v>20076.26</v>
      </c>
      <c r="I2990" s="160"/>
      <c r="J2990" s="161"/>
      <c r="K2990" s="160"/>
      <c r="L2990" s="160">
        <f>+'FACP$'!$H2990-'FACP$'!$I2990-'FACP$'!$K2990</f>
        <v>20076.26</v>
      </c>
      <c r="M2990" s="162" t="s">
        <v>158</v>
      </c>
      <c r="N2990" s="162" t="s">
        <v>554</v>
      </c>
      <c r="O2990" s="164">
        <v>44720.0</v>
      </c>
      <c r="P2990" s="164">
        <f t="array" ref="P2990">XLOOKUP('FACP$'!$B2990,'perfil de pagos'!A:A,'perfil de pagos'!B:B)+'FACP$'!$D2990</f>
        <v>44630</v>
      </c>
      <c r="Q2990" s="165">
        <f t="shared" si="2"/>
        <v>0</v>
      </c>
      <c r="R2990" s="167"/>
      <c r="S2990" s="167">
        <v>1390.0</v>
      </c>
      <c r="T2990" s="168">
        <f t="shared" si="3"/>
        <v>20076.26</v>
      </c>
      <c r="U2990" s="168">
        <f t="shared" si="4"/>
        <v>0</v>
      </c>
      <c r="V2990" s="168">
        <f t="shared" si="5"/>
        <v>0</v>
      </c>
      <c r="W2990" s="168">
        <f t="shared" si="6"/>
        <v>0</v>
      </c>
      <c r="X2990" s="168">
        <f t="shared" si="7"/>
        <v>0</v>
      </c>
      <c r="Y2990" s="168">
        <f t="shared" si="8"/>
        <v>0</v>
      </c>
      <c r="Z2990" s="168">
        <f t="shared" si="9"/>
        <v>0</v>
      </c>
    </row>
    <row r="2991" ht="15.0" customHeight="1">
      <c r="A2991" s="157" t="s">
        <v>3524</v>
      </c>
      <c r="B2991" s="158" t="s">
        <v>26</v>
      </c>
      <c r="C2991" s="158" t="s">
        <v>3519</v>
      </c>
      <c r="D2991" s="159">
        <v>44600.0</v>
      </c>
      <c r="E2991" s="157" t="s">
        <v>731</v>
      </c>
      <c r="F2991" s="160">
        <v>20221.0</v>
      </c>
      <c r="G2991" s="160">
        <v>3235.36</v>
      </c>
      <c r="H2991" s="160">
        <f t="shared" si="78"/>
        <v>23456.36</v>
      </c>
      <c r="I2991" s="160"/>
      <c r="J2991" s="161"/>
      <c r="K2991" s="160"/>
      <c r="L2991" s="160">
        <f>+'FACP$'!$H2991-'FACP$'!$I2991-'FACP$'!$K2991</f>
        <v>23456.36</v>
      </c>
      <c r="M2991" s="162" t="s">
        <v>2386</v>
      </c>
      <c r="N2991" s="162" t="s">
        <v>554</v>
      </c>
      <c r="O2991" s="164">
        <v>44734.0</v>
      </c>
      <c r="P2991" s="164">
        <f t="array" ref="P2991">XLOOKUP('FACP$'!$B2991,'perfil de pagos'!A:A,'perfil de pagos'!B:B)+'FACP$'!$D2991</f>
        <v>44610</v>
      </c>
      <c r="Q2991" s="165">
        <f t="shared" si="2"/>
        <v>0</v>
      </c>
      <c r="R2991" s="220" t="s">
        <v>3525</v>
      </c>
      <c r="S2991" s="167">
        <v>1469.0</v>
      </c>
      <c r="T2991" s="168">
        <f t="shared" si="3"/>
        <v>23456.36</v>
      </c>
      <c r="U2991" s="168">
        <f t="shared" si="4"/>
        <v>0</v>
      </c>
      <c r="V2991" s="168">
        <f t="shared" si="5"/>
        <v>0</v>
      </c>
      <c r="W2991" s="168">
        <f t="shared" si="6"/>
        <v>0</v>
      </c>
      <c r="X2991" s="168">
        <f t="shared" si="7"/>
        <v>0</v>
      </c>
      <c r="Y2991" s="168">
        <f t="shared" si="8"/>
        <v>0</v>
      </c>
      <c r="Z2991" s="168">
        <f t="shared" si="9"/>
        <v>0</v>
      </c>
    </row>
    <row r="2992" ht="15.0" customHeight="1">
      <c r="A2992" s="157" t="s">
        <v>3526</v>
      </c>
      <c r="B2992" s="158" t="s">
        <v>29</v>
      </c>
      <c r="C2992" s="158" t="s">
        <v>3519</v>
      </c>
      <c r="D2992" s="159">
        <v>44600.0</v>
      </c>
      <c r="E2992" s="157" t="s">
        <v>731</v>
      </c>
      <c r="F2992" s="160">
        <v>74982.72</v>
      </c>
      <c r="G2992" s="160">
        <v>11997.24</v>
      </c>
      <c r="H2992" s="160">
        <f t="shared" si="78"/>
        <v>86979.96</v>
      </c>
      <c r="I2992" s="160"/>
      <c r="J2992" s="161"/>
      <c r="K2992" s="160"/>
      <c r="L2992" s="160">
        <f>+'FACP$'!$H2992-'FACP$'!$I2992-'FACP$'!$K2992</f>
        <v>86979.96</v>
      </c>
      <c r="M2992" s="162" t="s">
        <v>130</v>
      </c>
      <c r="N2992" s="162" t="s">
        <v>554</v>
      </c>
      <c r="O2992" s="164">
        <v>44735.0</v>
      </c>
      <c r="P2992" s="164">
        <f t="array" ref="P2992">XLOOKUP('FACP$'!$B2992,'perfil de pagos'!A:A,'perfil de pagos'!B:B)+'FACP$'!$D2992</f>
        <v>44610</v>
      </c>
      <c r="Q2992" s="165">
        <f t="shared" si="2"/>
        <v>0</v>
      </c>
      <c r="R2992" s="167"/>
      <c r="S2992" s="167"/>
      <c r="T2992" s="168">
        <f t="shared" si="3"/>
        <v>86979.96</v>
      </c>
      <c r="U2992" s="168">
        <f t="shared" si="4"/>
        <v>0</v>
      </c>
      <c r="V2992" s="168">
        <f t="shared" si="5"/>
        <v>0</v>
      </c>
      <c r="W2992" s="168">
        <f t="shared" si="6"/>
        <v>0</v>
      </c>
      <c r="X2992" s="168">
        <f t="shared" si="7"/>
        <v>0</v>
      </c>
      <c r="Y2992" s="168">
        <f t="shared" si="8"/>
        <v>0</v>
      </c>
      <c r="Z2992" s="168">
        <f t="shared" si="9"/>
        <v>0</v>
      </c>
    </row>
    <row r="2993" ht="15.0" customHeight="1">
      <c r="A2993" s="157" t="s">
        <v>3527</v>
      </c>
      <c r="B2993" s="158" t="s">
        <v>41</v>
      </c>
      <c r="C2993" s="158" t="s">
        <v>3519</v>
      </c>
      <c r="D2993" s="159">
        <v>44600.0</v>
      </c>
      <c r="E2993" s="157" t="s">
        <v>731</v>
      </c>
      <c r="F2993" s="160">
        <v>148057.49</v>
      </c>
      <c r="G2993" s="160">
        <v>23689.2</v>
      </c>
      <c r="H2993" s="160">
        <f t="shared" si="78"/>
        <v>171746.69</v>
      </c>
      <c r="I2993" s="160"/>
      <c r="J2993" s="161"/>
      <c r="K2993" s="160"/>
      <c r="L2993" s="160">
        <f>+'FACP$'!$H2993-'FACP$'!$I2993-'FACP$'!$K2993</f>
        <v>171746.69</v>
      </c>
      <c r="M2993" s="162" t="s">
        <v>121</v>
      </c>
      <c r="N2993" s="162" t="s">
        <v>554</v>
      </c>
      <c r="O2993" s="164">
        <v>44652.0</v>
      </c>
      <c r="P2993" s="164">
        <f t="array" ref="P2993">XLOOKUP('FACP$'!$B2993,'perfil de pagos'!A:A,'perfil de pagos'!B:B)+'FACP$'!$D2993</f>
        <v>44610</v>
      </c>
      <c r="Q2993" s="165">
        <f t="shared" si="2"/>
        <v>0</v>
      </c>
      <c r="R2993" s="167"/>
      <c r="S2993" s="167"/>
      <c r="T2993" s="168">
        <f t="shared" si="3"/>
        <v>171746.69</v>
      </c>
      <c r="U2993" s="168">
        <f t="shared" si="4"/>
        <v>0</v>
      </c>
      <c r="V2993" s="168">
        <f t="shared" si="5"/>
        <v>0</v>
      </c>
      <c r="W2993" s="168">
        <f t="shared" si="6"/>
        <v>0</v>
      </c>
      <c r="X2993" s="168">
        <f t="shared" si="7"/>
        <v>0</v>
      </c>
      <c r="Y2993" s="168">
        <f t="shared" si="8"/>
        <v>0</v>
      </c>
      <c r="Z2993" s="168">
        <f t="shared" si="9"/>
        <v>0</v>
      </c>
    </row>
    <row r="2994" ht="15.0" customHeight="1">
      <c r="A2994" s="157" t="s">
        <v>3528</v>
      </c>
      <c r="B2994" s="209" t="s">
        <v>31</v>
      </c>
      <c r="C2994" s="209" t="s">
        <v>3519</v>
      </c>
      <c r="D2994" s="186">
        <v>44600.0</v>
      </c>
      <c r="E2994" s="210" t="s">
        <v>731</v>
      </c>
      <c r="F2994" s="211">
        <v>55106.05</v>
      </c>
      <c r="G2994" s="211">
        <v>8816.97</v>
      </c>
      <c r="H2994" s="160">
        <f>F2994+G2994-63923.02</f>
        <v>0</v>
      </c>
      <c r="I2994" s="267"/>
      <c r="J2994" s="268"/>
      <c r="K2994" s="267"/>
      <c r="L2994" s="211">
        <f>+'FACP$'!$H2994-'FACP$'!$I2994-'FACP$'!$K2994</f>
        <v>0</v>
      </c>
      <c r="M2994" s="227" t="s">
        <v>3183</v>
      </c>
      <c r="N2994" s="227" t="s">
        <v>127</v>
      </c>
      <c r="O2994" s="245"/>
      <c r="P2994" s="164">
        <f t="array" ref="P2994">XLOOKUP('FACP$'!$B2994,'perfil de pagos'!A:A,'perfil de pagos'!B:B)+'FACP$'!$D2994</f>
        <v>44603</v>
      </c>
      <c r="Q2994" s="246">
        <f t="shared" si="2"/>
        <v>0</v>
      </c>
      <c r="R2994" s="223" t="s">
        <v>3529</v>
      </c>
      <c r="S2994" s="223"/>
      <c r="T2994" s="168">
        <f t="shared" si="3"/>
        <v>0</v>
      </c>
      <c r="U2994" s="168">
        <f t="shared" si="4"/>
        <v>0</v>
      </c>
      <c r="V2994" s="168">
        <f t="shared" si="5"/>
        <v>0</v>
      </c>
      <c r="W2994" s="168">
        <f t="shared" si="6"/>
        <v>0</v>
      </c>
      <c r="X2994" s="168">
        <f t="shared" si="7"/>
        <v>0</v>
      </c>
      <c r="Y2994" s="168">
        <f t="shared" si="8"/>
        <v>0</v>
      </c>
      <c r="Z2994" s="168">
        <f t="shared" si="9"/>
        <v>0</v>
      </c>
    </row>
    <row r="2995" ht="15.0" customHeight="1">
      <c r="A2995" s="157" t="s">
        <v>3530</v>
      </c>
      <c r="B2995" s="158" t="s">
        <v>37</v>
      </c>
      <c r="C2995" s="158" t="s">
        <v>3519</v>
      </c>
      <c r="D2995" s="159">
        <v>44600.0</v>
      </c>
      <c r="E2995" s="157" t="s">
        <v>731</v>
      </c>
      <c r="F2995" s="160">
        <v>36084.67</v>
      </c>
      <c r="G2995" s="160">
        <v>5773.55</v>
      </c>
      <c r="H2995" s="160">
        <f t="shared" ref="H2995:H3000" si="79">F2995+G2995</f>
        <v>41858.22</v>
      </c>
      <c r="I2995" s="160"/>
      <c r="J2995" s="161"/>
      <c r="K2995" s="160"/>
      <c r="L2995" s="160">
        <f>+'FACP$'!$H2995-'FACP$'!$I2995-'FACP$'!$K2995</f>
        <v>41858.22</v>
      </c>
      <c r="M2995" s="162" t="s">
        <v>116</v>
      </c>
      <c r="N2995" s="162" t="s">
        <v>554</v>
      </c>
      <c r="O2995" s="164">
        <v>44648.0</v>
      </c>
      <c r="P2995" s="164">
        <f t="array" ref="P2995">XLOOKUP('FACP$'!$B2995,'perfil de pagos'!A:A,'perfil de pagos'!B:B)+'FACP$'!$D2995</f>
        <v>44610</v>
      </c>
      <c r="Q2995" s="165">
        <f t="shared" si="2"/>
        <v>0</v>
      </c>
      <c r="R2995" s="167"/>
      <c r="S2995" s="167"/>
      <c r="T2995" s="168">
        <f t="shared" si="3"/>
        <v>41858.22</v>
      </c>
      <c r="U2995" s="168">
        <f t="shared" si="4"/>
        <v>0</v>
      </c>
      <c r="V2995" s="168">
        <f t="shared" si="5"/>
        <v>0</v>
      </c>
      <c r="W2995" s="168">
        <f t="shared" si="6"/>
        <v>0</v>
      </c>
      <c r="X2995" s="168">
        <f t="shared" si="7"/>
        <v>0</v>
      </c>
      <c r="Y2995" s="168">
        <f t="shared" si="8"/>
        <v>0</v>
      </c>
      <c r="Z2995" s="168">
        <f t="shared" si="9"/>
        <v>0</v>
      </c>
    </row>
    <row r="2996" ht="15.0" customHeight="1">
      <c r="A2996" s="157" t="s">
        <v>3531</v>
      </c>
      <c r="B2996" s="158" t="s">
        <v>33</v>
      </c>
      <c r="C2996" s="158" t="s">
        <v>3519</v>
      </c>
      <c r="D2996" s="159">
        <v>44600.0</v>
      </c>
      <c r="E2996" s="157" t="s">
        <v>731</v>
      </c>
      <c r="F2996" s="160">
        <v>96567.09</v>
      </c>
      <c r="G2996" s="160">
        <v>15450.73</v>
      </c>
      <c r="H2996" s="160">
        <f t="shared" si="79"/>
        <v>112017.82</v>
      </c>
      <c r="I2996" s="160"/>
      <c r="J2996" s="161"/>
      <c r="K2996" s="160"/>
      <c r="L2996" s="160">
        <f>+'FACP$'!$H2996-'FACP$'!$I2996-'FACP$'!$K2996</f>
        <v>112017.82</v>
      </c>
      <c r="M2996" s="162" t="s">
        <v>958</v>
      </c>
      <c r="N2996" s="162" t="s">
        <v>554</v>
      </c>
      <c r="O2996" s="164">
        <v>44631.0</v>
      </c>
      <c r="P2996" s="164">
        <f t="array" ref="P2996">XLOOKUP('FACP$'!$B2996,'perfil de pagos'!A:A,'perfil de pagos'!B:B)+'FACP$'!$D2996</f>
        <v>44610</v>
      </c>
      <c r="Q2996" s="165">
        <f t="shared" si="2"/>
        <v>0</v>
      </c>
      <c r="R2996" s="167"/>
      <c r="S2996" s="167">
        <v>1329.0</v>
      </c>
      <c r="T2996" s="168">
        <f t="shared" si="3"/>
        <v>112017.82</v>
      </c>
      <c r="U2996" s="168">
        <f t="shared" si="4"/>
        <v>0</v>
      </c>
      <c r="V2996" s="168">
        <f t="shared" si="5"/>
        <v>0</v>
      </c>
      <c r="W2996" s="168">
        <f t="shared" si="6"/>
        <v>0</v>
      </c>
      <c r="X2996" s="168">
        <f t="shared" si="7"/>
        <v>0</v>
      </c>
      <c r="Y2996" s="168">
        <f t="shared" si="8"/>
        <v>0</v>
      </c>
      <c r="Z2996" s="168">
        <f t="shared" si="9"/>
        <v>0</v>
      </c>
    </row>
    <row r="2997" ht="15.0" customHeight="1">
      <c r="A2997" s="157" t="s">
        <v>3532</v>
      </c>
      <c r="B2997" s="158" t="s">
        <v>35</v>
      </c>
      <c r="C2997" s="158" t="s">
        <v>3519</v>
      </c>
      <c r="D2997" s="159">
        <v>44600.0</v>
      </c>
      <c r="E2997" s="157" t="s">
        <v>731</v>
      </c>
      <c r="F2997" s="160">
        <v>83580.13</v>
      </c>
      <c r="G2997" s="160">
        <v>13372.82</v>
      </c>
      <c r="H2997" s="160">
        <f t="shared" si="79"/>
        <v>96952.95</v>
      </c>
      <c r="I2997" s="160"/>
      <c r="J2997" s="161"/>
      <c r="K2997" s="160"/>
      <c r="L2997" s="160">
        <f>+'FACP$'!$H2997-'FACP$'!$I2997-'FACP$'!$K2997</f>
        <v>96952.95</v>
      </c>
      <c r="M2997" s="162" t="s">
        <v>276</v>
      </c>
      <c r="N2997" s="162" t="s">
        <v>554</v>
      </c>
      <c r="O2997" s="164">
        <v>44637.0</v>
      </c>
      <c r="P2997" s="164">
        <f t="array" ref="P2997">XLOOKUP('FACP$'!$B2997,'perfil de pagos'!A:A,'perfil de pagos'!B:B)+'FACP$'!$D2997</f>
        <v>44610</v>
      </c>
      <c r="Q2997" s="165">
        <f t="shared" si="2"/>
        <v>0</v>
      </c>
      <c r="R2997" s="167"/>
      <c r="S2997" s="167">
        <v>1326.0</v>
      </c>
      <c r="T2997" s="168">
        <f t="shared" si="3"/>
        <v>96952.95</v>
      </c>
      <c r="U2997" s="168">
        <f t="shared" si="4"/>
        <v>0</v>
      </c>
      <c r="V2997" s="168">
        <f t="shared" si="5"/>
        <v>0</v>
      </c>
      <c r="W2997" s="168">
        <f t="shared" si="6"/>
        <v>0</v>
      </c>
      <c r="X2997" s="168">
        <f t="shared" si="7"/>
        <v>0</v>
      </c>
      <c r="Y2997" s="168">
        <f t="shared" si="8"/>
        <v>0</v>
      </c>
      <c r="Z2997" s="168">
        <f t="shared" si="9"/>
        <v>0</v>
      </c>
    </row>
    <row r="2998" ht="15.0" customHeight="1">
      <c r="A2998" s="157" t="s">
        <v>3533</v>
      </c>
      <c r="B2998" s="158" t="s">
        <v>36</v>
      </c>
      <c r="C2998" s="158" t="s">
        <v>3519</v>
      </c>
      <c r="D2998" s="159">
        <v>44600.0</v>
      </c>
      <c r="E2998" s="157" t="s">
        <v>731</v>
      </c>
      <c r="F2998" s="160">
        <v>18135.08</v>
      </c>
      <c r="G2998" s="160">
        <v>2901.61</v>
      </c>
      <c r="H2998" s="160">
        <f t="shared" si="79"/>
        <v>21036.69</v>
      </c>
      <c r="I2998" s="160"/>
      <c r="J2998" s="161"/>
      <c r="K2998" s="160"/>
      <c r="L2998" s="160">
        <f>+'FACP$'!$H2998-'FACP$'!$I2998-'FACP$'!$K2998</f>
        <v>21036.69</v>
      </c>
      <c r="M2998" s="162" t="s">
        <v>278</v>
      </c>
      <c r="N2998" s="162" t="s">
        <v>554</v>
      </c>
      <c r="O2998" s="164">
        <v>44624.0</v>
      </c>
      <c r="P2998" s="164">
        <f t="array" ref="P2998">XLOOKUP('FACP$'!$B2998,'perfil de pagos'!A:A,'perfil de pagos'!B:B)+'FACP$'!$D2998</f>
        <v>44610</v>
      </c>
      <c r="Q2998" s="165">
        <f t="shared" si="2"/>
        <v>0</v>
      </c>
      <c r="R2998" s="167"/>
      <c r="S2998" s="167"/>
      <c r="T2998" s="168">
        <f t="shared" si="3"/>
        <v>21036.69</v>
      </c>
      <c r="U2998" s="168">
        <f t="shared" si="4"/>
        <v>0</v>
      </c>
      <c r="V2998" s="168">
        <f t="shared" si="5"/>
        <v>0</v>
      </c>
      <c r="W2998" s="168">
        <f t="shared" si="6"/>
        <v>0</v>
      </c>
      <c r="X2998" s="168">
        <f t="shared" si="7"/>
        <v>0</v>
      </c>
      <c r="Y2998" s="168">
        <f t="shared" si="8"/>
        <v>0</v>
      </c>
      <c r="Z2998" s="168">
        <f t="shared" si="9"/>
        <v>0</v>
      </c>
    </row>
    <row r="2999" ht="15.0" customHeight="1">
      <c r="A2999" s="157" t="s">
        <v>3534</v>
      </c>
      <c r="B2999" s="158" t="s">
        <v>38</v>
      </c>
      <c r="C2999" s="158" t="s">
        <v>3519</v>
      </c>
      <c r="D2999" s="159">
        <v>44600.0</v>
      </c>
      <c r="E2999" s="157" t="s">
        <v>731</v>
      </c>
      <c r="F2999" s="160">
        <v>55001.23</v>
      </c>
      <c r="G2999" s="160">
        <v>8800.2</v>
      </c>
      <c r="H2999" s="160">
        <f t="shared" si="79"/>
        <v>63801.43</v>
      </c>
      <c r="I2999" s="160"/>
      <c r="J2999" s="161"/>
      <c r="K2999" s="160"/>
      <c r="L2999" s="160">
        <f>+'FACP$'!$H2999-'FACP$'!$I2999-'FACP$'!$K2999</f>
        <v>63801.43</v>
      </c>
      <c r="M2999" s="162" t="s">
        <v>145</v>
      </c>
      <c r="N2999" s="162" t="s">
        <v>554</v>
      </c>
      <c r="O2999" s="164">
        <v>44672.0</v>
      </c>
      <c r="P2999" s="164">
        <f t="array" ref="P2999">XLOOKUP('FACP$'!$B2999,'perfil de pagos'!A:A,'perfil de pagos'!B:B)+'FACP$'!$D2999</f>
        <v>44630</v>
      </c>
      <c r="Q2999" s="165">
        <f t="shared" si="2"/>
        <v>0</v>
      </c>
      <c r="R2999" s="167"/>
      <c r="S2999" s="167"/>
      <c r="T2999" s="168">
        <f t="shared" si="3"/>
        <v>63801.43</v>
      </c>
      <c r="U2999" s="168">
        <f t="shared" si="4"/>
        <v>0</v>
      </c>
      <c r="V2999" s="168">
        <f t="shared" si="5"/>
        <v>0</v>
      </c>
      <c r="W2999" s="168">
        <f t="shared" si="6"/>
        <v>0</v>
      </c>
      <c r="X2999" s="168">
        <f t="shared" si="7"/>
        <v>0</v>
      </c>
      <c r="Y2999" s="168">
        <f t="shared" si="8"/>
        <v>0</v>
      </c>
      <c r="Z2999" s="168">
        <f t="shared" si="9"/>
        <v>0</v>
      </c>
    </row>
    <row r="3000" ht="15.0" customHeight="1">
      <c r="A3000" s="157" t="s">
        <v>3535</v>
      </c>
      <c r="B3000" s="158" t="s">
        <v>43</v>
      </c>
      <c r="C3000" s="158" t="s">
        <v>3519</v>
      </c>
      <c r="D3000" s="159">
        <v>44600.0</v>
      </c>
      <c r="E3000" s="157" t="s">
        <v>731</v>
      </c>
      <c r="F3000" s="160">
        <v>68506.51</v>
      </c>
      <c r="G3000" s="160">
        <v>10961.04</v>
      </c>
      <c r="H3000" s="160">
        <f t="shared" si="79"/>
        <v>79467.55</v>
      </c>
      <c r="I3000" s="160"/>
      <c r="J3000" s="161"/>
      <c r="K3000" s="160"/>
      <c r="L3000" s="160">
        <f>+'FACP$'!$H3000-'FACP$'!$I3000-'FACP$'!$K3000</f>
        <v>79467.55</v>
      </c>
      <c r="M3000" s="162" t="s">
        <v>43</v>
      </c>
      <c r="N3000" s="162" t="s">
        <v>554</v>
      </c>
      <c r="O3000" s="164">
        <v>44832.0</v>
      </c>
      <c r="P3000" s="164">
        <f t="array" ref="P3000">XLOOKUP('FACP$'!$B3000,'perfil de pagos'!A:A,'perfil de pagos'!B:B)+'FACP$'!$D3000</f>
        <v>44625</v>
      </c>
      <c r="Q3000" s="165">
        <f t="shared" si="2"/>
        <v>0</v>
      </c>
      <c r="R3000" s="167"/>
      <c r="S3000" s="167">
        <v>1585.0</v>
      </c>
      <c r="T3000" s="168">
        <f t="shared" si="3"/>
        <v>79467.55</v>
      </c>
      <c r="U3000" s="168">
        <f t="shared" si="4"/>
        <v>0</v>
      </c>
      <c r="V3000" s="168">
        <f t="shared" si="5"/>
        <v>0</v>
      </c>
      <c r="W3000" s="168">
        <f t="shared" si="6"/>
        <v>0</v>
      </c>
      <c r="X3000" s="168">
        <f t="shared" si="7"/>
        <v>0</v>
      </c>
      <c r="Y3000" s="168">
        <f t="shared" si="8"/>
        <v>0</v>
      </c>
      <c r="Z3000" s="168">
        <f t="shared" si="9"/>
        <v>0</v>
      </c>
    </row>
    <row r="3001" ht="15.0" customHeight="1">
      <c r="A3001" s="157" t="s">
        <v>3536</v>
      </c>
      <c r="B3001" s="158" t="s">
        <v>31</v>
      </c>
      <c r="C3001" s="158" t="s">
        <v>3537</v>
      </c>
      <c r="D3001" s="159">
        <v>44602.0</v>
      </c>
      <c r="E3001" s="157" t="s">
        <v>731</v>
      </c>
      <c r="F3001" s="160">
        <v>108428.82</v>
      </c>
      <c r="G3001" s="160">
        <v>17348.61</v>
      </c>
      <c r="H3001" s="160">
        <f>F3001+G3001-11949.54</f>
        <v>113827.89</v>
      </c>
      <c r="I3001" s="252"/>
      <c r="J3001" s="253"/>
      <c r="K3001" s="252"/>
      <c r="L3001" s="160">
        <f>+'FACP$'!$H3001-'FACP$'!$I3001-'FACP$'!$K3001</f>
        <v>113827.89</v>
      </c>
      <c r="M3001" s="162" t="s">
        <v>3183</v>
      </c>
      <c r="N3001" s="162" t="s">
        <v>554</v>
      </c>
      <c r="O3001" s="164">
        <v>44939.0</v>
      </c>
      <c r="P3001" s="164">
        <f t="array" ref="P3001">XLOOKUP('FACP$'!$B3001,'perfil de pagos'!A:A,'perfil de pagos'!B:B)+'FACP$'!$D3001</f>
        <v>44605</v>
      </c>
      <c r="Q3001" s="165">
        <f t="shared" si="2"/>
        <v>0</v>
      </c>
      <c r="R3001" s="167" t="s">
        <v>3538</v>
      </c>
      <c r="S3001" s="167">
        <v>1875.0</v>
      </c>
      <c r="T3001" s="168">
        <f t="shared" si="3"/>
        <v>113827.89</v>
      </c>
      <c r="U3001" s="168">
        <f t="shared" si="4"/>
        <v>0</v>
      </c>
      <c r="V3001" s="168">
        <f t="shared" si="5"/>
        <v>0</v>
      </c>
      <c r="W3001" s="168">
        <f t="shared" si="6"/>
        <v>0</v>
      </c>
      <c r="X3001" s="168">
        <f t="shared" si="7"/>
        <v>0</v>
      </c>
      <c r="Y3001" s="168">
        <f t="shared" si="8"/>
        <v>0</v>
      </c>
      <c r="Z3001" s="168">
        <f t="shared" si="9"/>
        <v>0</v>
      </c>
    </row>
    <row r="3002" ht="15.0" customHeight="1">
      <c r="A3002" s="157" t="s">
        <v>3539</v>
      </c>
      <c r="B3002" s="158" t="s">
        <v>38</v>
      </c>
      <c r="C3002" s="169" t="s">
        <v>3540</v>
      </c>
      <c r="D3002" s="159">
        <v>44603.0</v>
      </c>
      <c r="E3002" s="157" t="s">
        <v>731</v>
      </c>
      <c r="F3002" s="160">
        <v>706254.1</v>
      </c>
      <c r="G3002" s="247">
        <v>113000.66</v>
      </c>
      <c r="H3002" s="160">
        <f t="shared" ref="H3002:H3029" si="80">F3002+G3002</f>
        <v>819254.76</v>
      </c>
      <c r="I3002" s="160"/>
      <c r="J3002" s="161"/>
      <c r="K3002" s="160"/>
      <c r="L3002" s="160">
        <f>+'FACP$'!$H3002-'FACP$'!$I3002-'FACP$'!$K3002</f>
        <v>819254.76</v>
      </c>
      <c r="M3002" s="162" t="s">
        <v>145</v>
      </c>
      <c r="N3002" s="162" t="s">
        <v>554</v>
      </c>
      <c r="O3002" s="164">
        <v>44687.0</v>
      </c>
      <c r="P3002" s="164">
        <f t="array" ref="P3002">XLOOKUP('FACP$'!$B3002,'perfil de pagos'!A:A,'perfil de pagos'!B:B)+'FACP$'!$D3002</f>
        <v>44633</v>
      </c>
      <c r="Q3002" s="165">
        <f t="shared" si="2"/>
        <v>0</v>
      </c>
      <c r="R3002" s="167"/>
      <c r="S3002" s="167"/>
      <c r="T3002" s="168">
        <f t="shared" si="3"/>
        <v>819254.76</v>
      </c>
      <c r="U3002" s="168">
        <f t="shared" si="4"/>
        <v>0</v>
      </c>
      <c r="V3002" s="168">
        <f t="shared" si="5"/>
        <v>0</v>
      </c>
      <c r="W3002" s="168">
        <f t="shared" si="6"/>
        <v>0</v>
      </c>
      <c r="X3002" s="168">
        <f t="shared" si="7"/>
        <v>0</v>
      </c>
      <c r="Y3002" s="168">
        <f t="shared" si="8"/>
        <v>0</v>
      </c>
      <c r="Z3002" s="168">
        <f t="shared" si="9"/>
        <v>0</v>
      </c>
    </row>
    <row r="3003" ht="15.0" customHeight="1">
      <c r="A3003" s="157" t="s">
        <v>3541</v>
      </c>
      <c r="B3003" s="158" t="s">
        <v>22</v>
      </c>
      <c r="C3003" s="158" t="s">
        <v>3501</v>
      </c>
      <c r="D3003" s="159">
        <v>44606.0</v>
      </c>
      <c r="E3003" s="157" t="s">
        <v>731</v>
      </c>
      <c r="F3003" s="160">
        <v>63250.24</v>
      </c>
      <c r="G3003" s="160">
        <v>10120.04</v>
      </c>
      <c r="H3003" s="160">
        <f t="shared" si="80"/>
        <v>73370.28</v>
      </c>
      <c r="I3003" s="160"/>
      <c r="J3003" s="161"/>
      <c r="K3003" s="160"/>
      <c r="L3003" s="160">
        <f>+'FACP$'!$H3003-'FACP$'!$I3003-'FACP$'!$K3003</f>
        <v>73370.28</v>
      </c>
      <c r="M3003" s="162" t="s">
        <v>2386</v>
      </c>
      <c r="N3003" s="162" t="s">
        <v>554</v>
      </c>
      <c r="O3003" s="164">
        <v>44621.0</v>
      </c>
      <c r="P3003" s="164">
        <f t="array" ref="P3003">XLOOKUP('FACP$'!$B3003,'perfil de pagos'!A:A,'perfil de pagos'!B:B)+'FACP$'!$D3003</f>
        <v>44616</v>
      </c>
      <c r="Q3003" s="165">
        <f t="shared" si="2"/>
        <v>0</v>
      </c>
      <c r="R3003" s="167"/>
      <c r="S3003" s="167"/>
      <c r="T3003" s="168">
        <f t="shared" si="3"/>
        <v>73370.28</v>
      </c>
      <c r="U3003" s="168">
        <f t="shared" si="4"/>
        <v>0</v>
      </c>
      <c r="V3003" s="168">
        <f t="shared" si="5"/>
        <v>0</v>
      </c>
      <c r="W3003" s="168">
        <f t="shared" si="6"/>
        <v>0</v>
      </c>
      <c r="X3003" s="168">
        <f t="shared" si="7"/>
        <v>0</v>
      </c>
      <c r="Y3003" s="168">
        <f t="shared" si="8"/>
        <v>0</v>
      </c>
      <c r="Z3003" s="168">
        <f t="shared" si="9"/>
        <v>0</v>
      </c>
    </row>
    <row r="3004" ht="15.0" customHeight="1">
      <c r="A3004" s="157" t="s">
        <v>3542</v>
      </c>
      <c r="B3004" s="158" t="s">
        <v>27</v>
      </c>
      <c r="C3004" s="158" t="s">
        <v>3543</v>
      </c>
      <c r="D3004" s="159">
        <v>44609.0</v>
      </c>
      <c r="E3004" s="157" t="s">
        <v>731</v>
      </c>
      <c r="F3004" s="160">
        <v>9503.79</v>
      </c>
      <c r="G3004" s="160">
        <v>1520.61</v>
      </c>
      <c r="H3004" s="160">
        <f t="shared" si="80"/>
        <v>11024.4</v>
      </c>
      <c r="I3004" s="160"/>
      <c r="J3004" s="161"/>
      <c r="K3004" s="160"/>
      <c r="L3004" s="160">
        <f>+'FACP$'!$H3004-'FACP$'!$I3004-'FACP$'!$K3004</f>
        <v>11024.4</v>
      </c>
      <c r="M3004" s="162" t="s">
        <v>151</v>
      </c>
      <c r="N3004" s="162" t="s">
        <v>554</v>
      </c>
      <c r="O3004" s="164">
        <v>44678.0</v>
      </c>
      <c r="P3004" s="164">
        <f t="array" ref="P3004">XLOOKUP('FACP$'!$B3004,'perfil de pagos'!A:A,'perfil de pagos'!B:B)+'FACP$'!$D3004</f>
        <v>44639</v>
      </c>
      <c r="Q3004" s="165">
        <f t="shared" si="2"/>
        <v>0</v>
      </c>
      <c r="R3004" s="167"/>
      <c r="S3004" s="167">
        <v>1364.0</v>
      </c>
      <c r="T3004" s="168">
        <f t="shared" si="3"/>
        <v>11024.4</v>
      </c>
      <c r="U3004" s="168">
        <f t="shared" si="4"/>
        <v>0</v>
      </c>
      <c r="V3004" s="168">
        <f t="shared" si="5"/>
        <v>0</v>
      </c>
      <c r="W3004" s="168">
        <f t="shared" si="6"/>
        <v>0</v>
      </c>
      <c r="X3004" s="168">
        <f t="shared" si="7"/>
        <v>0</v>
      </c>
      <c r="Y3004" s="168">
        <f t="shared" si="8"/>
        <v>0</v>
      </c>
      <c r="Z3004" s="168">
        <f t="shared" si="9"/>
        <v>0</v>
      </c>
    </row>
    <row r="3005" ht="15.0" customHeight="1">
      <c r="A3005" s="157" t="s">
        <v>3544</v>
      </c>
      <c r="B3005" s="158" t="s">
        <v>27</v>
      </c>
      <c r="C3005" s="158" t="s">
        <v>3545</v>
      </c>
      <c r="D3005" s="159">
        <v>44609.0</v>
      </c>
      <c r="E3005" s="157" t="s">
        <v>731</v>
      </c>
      <c r="F3005" s="160">
        <v>408.93</v>
      </c>
      <c r="G3005" s="160">
        <v>65.43</v>
      </c>
      <c r="H3005" s="160">
        <f t="shared" si="80"/>
        <v>474.36</v>
      </c>
      <c r="I3005" s="160"/>
      <c r="J3005" s="161"/>
      <c r="K3005" s="160"/>
      <c r="L3005" s="160">
        <f>+'FACP$'!$H3005-'FACP$'!$I3005-'FACP$'!$K3005</f>
        <v>474.36</v>
      </c>
      <c r="M3005" s="162" t="s">
        <v>151</v>
      </c>
      <c r="N3005" s="162" t="s">
        <v>554</v>
      </c>
      <c r="O3005" s="164">
        <v>44678.0</v>
      </c>
      <c r="P3005" s="164">
        <f t="array" ref="P3005">XLOOKUP('FACP$'!$B3005,'perfil de pagos'!A:A,'perfil de pagos'!B:B)+'FACP$'!$D3005</f>
        <v>44639</v>
      </c>
      <c r="Q3005" s="165">
        <f t="shared" si="2"/>
        <v>0</v>
      </c>
      <c r="R3005" s="167"/>
      <c r="S3005" s="167">
        <v>1364.0</v>
      </c>
      <c r="T3005" s="168">
        <f t="shared" si="3"/>
        <v>474.36</v>
      </c>
      <c r="U3005" s="168">
        <f t="shared" si="4"/>
        <v>0</v>
      </c>
      <c r="V3005" s="168">
        <f t="shared" si="5"/>
        <v>0</v>
      </c>
      <c r="W3005" s="168">
        <f t="shared" si="6"/>
        <v>0</v>
      </c>
      <c r="X3005" s="168">
        <f t="shared" si="7"/>
        <v>0</v>
      </c>
      <c r="Y3005" s="168">
        <f t="shared" si="8"/>
        <v>0</v>
      </c>
      <c r="Z3005" s="168">
        <f t="shared" si="9"/>
        <v>0</v>
      </c>
    </row>
    <row r="3006" ht="15.0" customHeight="1">
      <c r="A3006" s="157" t="s">
        <v>3546</v>
      </c>
      <c r="B3006" s="158" t="s">
        <v>27</v>
      </c>
      <c r="C3006" s="158" t="s">
        <v>3547</v>
      </c>
      <c r="D3006" s="159">
        <v>44609.0</v>
      </c>
      <c r="E3006" s="157" t="s">
        <v>731</v>
      </c>
      <c r="F3006" s="160">
        <v>570.81</v>
      </c>
      <c r="G3006" s="160">
        <v>91.33</v>
      </c>
      <c r="H3006" s="160">
        <f t="shared" si="80"/>
        <v>662.14</v>
      </c>
      <c r="I3006" s="160"/>
      <c r="J3006" s="161"/>
      <c r="K3006" s="160"/>
      <c r="L3006" s="160">
        <f>+'FACP$'!$H3006-'FACP$'!$I3006-'FACP$'!$K3006</f>
        <v>662.14</v>
      </c>
      <c r="M3006" s="162" t="s">
        <v>151</v>
      </c>
      <c r="N3006" s="162" t="s">
        <v>554</v>
      </c>
      <c r="O3006" s="164">
        <v>44678.0</v>
      </c>
      <c r="P3006" s="164">
        <f t="array" ref="P3006">XLOOKUP('FACP$'!$B3006,'perfil de pagos'!A:A,'perfil de pagos'!B:B)+'FACP$'!$D3006</f>
        <v>44639</v>
      </c>
      <c r="Q3006" s="165">
        <f t="shared" si="2"/>
        <v>0</v>
      </c>
      <c r="R3006" s="167"/>
      <c r="S3006" s="167">
        <v>1364.0</v>
      </c>
      <c r="T3006" s="168">
        <f t="shared" si="3"/>
        <v>662.14</v>
      </c>
      <c r="U3006" s="168">
        <f t="shared" si="4"/>
        <v>0</v>
      </c>
      <c r="V3006" s="168">
        <f t="shared" si="5"/>
        <v>0</v>
      </c>
      <c r="W3006" s="168">
        <f t="shared" si="6"/>
        <v>0</v>
      </c>
      <c r="X3006" s="168">
        <f t="shared" si="7"/>
        <v>0</v>
      </c>
      <c r="Y3006" s="168">
        <f t="shared" si="8"/>
        <v>0</v>
      </c>
      <c r="Z3006" s="168">
        <f t="shared" si="9"/>
        <v>0</v>
      </c>
    </row>
    <row r="3007" ht="15.0" customHeight="1">
      <c r="A3007" s="157" t="s">
        <v>3548</v>
      </c>
      <c r="B3007" s="158" t="s">
        <v>27</v>
      </c>
      <c r="C3007" s="158" t="s">
        <v>3543</v>
      </c>
      <c r="D3007" s="159">
        <v>44609.0</v>
      </c>
      <c r="E3007" s="157" t="s">
        <v>731</v>
      </c>
      <c r="F3007" s="160">
        <v>12329.11</v>
      </c>
      <c r="G3007" s="160">
        <v>1972.66</v>
      </c>
      <c r="H3007" s="160">
        <f t="shared" si="80"/>
        <v>14301.77</v>
      </c>
      <c r="I3007" s="160"/>
      <c r="J3007" s="161"/>
      <c r="K3007" s="160"/>
      <c r="L3007" s="160">
        <f>+'FACP$'!$H3007-'FACP$'!$I3007-'FACP$'!$K3007</f>
        <v>14301.77</v>
      </c>
      <c r="M3007" s="162" t="s">
        <v>158</v>
      </c>
      <c r="N3007" s="162" t="s">
        <v>554</v>
      </c>
      <c r="O3007" s="164">
        <v>44678.0</v>
      </c>
      <c r="P3007" s="164">
        <f t="array" ref="P3007">XLOOKUP('FACP$'!$B3007,'perfil de pagos'!A:A,'perfil de pagos'!B:B)+'FACP$'!$D3007</f>
        <v>44639</v>
      </c>
      <c r="Q3007" s="165">
        <f t="shared" si="2"/>
        <v>0</v>
      </c>
      <c r="R3007" s="167"/>
      <c r="S3007" s="167">
        <v>1362.0</v>
      </c>
      <c r="T3007" s="168">
        <f t="shared" si="3"/>
        <v>14301.77</v>
      </c>
      <c r="U3007" s="168">
        <f t="shared" si="4"/>
        <v>0</v>
      </c>
      <c r="V3007" s="168">
        <f t="shared" si="5"/>
        <v>0</v>
      </c>
      <c r="W3007" s="168">
        <f t="shared" si="6"/>
        <v>0</v>
      </c>
      <c r="X3007" s="168">
        <f t="shared" si="7"/>
        <v>0</v>
      </c>
      <c r="Y3007" s="168">
        <f t="shared" si="8"/>
        <v>0</v>
      </c>
      <c r="Z3007" s="168">
        <f t="shared" si="9"/>
        <v>0</v>
      </c>
    </row>
    <row r="3008" ht="15.0" customHeight="1">
      <c r="A3008" s="157" t="s">
        <v>3549</v>
      </c>
      <c r="B3008" s="158" t="s">
        <v>27</v>
      </c>
      <c r="C3008" s="158" t="s">
        <v>3545</v>
      </c>
      <c r="D3008" s="159">
        <v>44609.0</v>
      </c>
      <c r="E3008" s="157" t="s">
        <v>731</v>
      </c>
      <c r="F3008" s="160">
        <v>2840.26</v>
      </c>
      <c r="G3008" s="160">
        <v>454.44</v>
      </c>
      <c r="H3008" s="160">
        <f t="shared" si="80"/>
        <v>3294.7</v>
      </c>
      <c r="I3008" s="160"/>
      <c r="J3008" s="161"/>
      <c r="K3008" s="160"/>
      <c r="L3008" s="160">
        <f>+'FACP$'!$H3008-'FACP$'!$I3008-'FACP$'!$K3008</f>
        <v>3294.7</v>
      </c>
      <c r="M3008" s="162" t="s">
        <v>158</v>
      </c>
      <c r="N3008" s="162" t="s">
        <v>554</v>
      </c>
      <c r="O3008" s="164">
        <v>44678.0</v>
      </c>
      <c r="P3008" s="164">
        <f t="array" ref="P3008">XLOOKUP('FACP$'!$B3008,'perfil de pagos'!A:A,'perfil de pagos'!B:B)+'FACP$'!$D3008</f>
        <v>44639</v>
      </c>
      <c r="Q3008" s="165">
        <f t="shared" si="2"/>
        <v>0</v>
      </c>
      <c r="R3008" s="167"/>
      <c r="S3008" s="167">
        <v>1362.0</v>
      </c>
      <c r="T3008" s="168">
        <f t="shared" si="3"/>
        <v>3294.7</v>
      </c>
      <c r="U3008" s="168">
        <f t="shared" si="4"/>
        <v>0</v>
      </c>
      <c r="V3008" s="168">
        <f t="shared" si="5"/>
        <v>0</v>
      </c>
      <c r="W3008" s="168">
        <f t="shared" si="6"/>
        <v>0</v>
      </c>
      <c r="X3008" s="168">
        <f t="shared" si="7"/>
        <v>0</v>
      </c>
      <c r="Y3008" s="168">
        <f t="shared" si="8"/>
        <v>0</v>
      </c>
      <c r="Z3008" s="168">
        <f t="shared" si="9"/>
        <v>0</v>
      </c>
    </row>
    <row r="3009" ht="15.0" customHeight="1">
      <c r="A3009" s="157" t="s">
        <v>3550</v>
      </c>
      <c r="B3009" s="158" t="s">
        <v>35</v>
      </c>
      <c r="C3009" s="158" t="s">
        <v>730</v>
      </c>
      <c r="D3009" s="159">
        <v>44610.0</v>
      </c>
      <c r="E3009" s="157" t="s">
        <v>731</v>
      </c>
      <c r="F3009" s="160">
        <v>657030.66</v>
      </c>
      <c r="G3009" s="160">
        <v>105124.91</v>
      </c>
      <c r="H3009" s="160">
        <f t="shared" si="80"/>
        <v>762155.57</v>
      </c>
      <c r="I3009" s="160"/>
      <c r="J3009" s="161"/>
      <c r="K3009" s="160"/>
      <c r="L3009" s="160">
        <f>+'FACP$'!$H3009-'FACP$'!$I3009-'FACP$'!$K3009</f>
        <v>762155.57</v>
      </c>
      <c r="M3009" s="162" t="s">
        <v>276</v>
      </c>
      <c r="N3009" s="162" t="s">
        <v>554</v>
      </c>
      <c r="O3009" s="164">
        <v>44637.0</v>
      </c>
      <c r="P3009" s="164">
        <f t="array" ref="P3009">XLOOKUP('FACP$'!$B3009,'perfil de pagos'!A:A,'perfil de pagos'!B:B)+'FACP$'!$D3009</f>
        <v>44620</v>
      </c>
      <c r="Q3009" s="165">
        <f t="shared" si="2"/>
        <v>0</v>
      </c>
      <c r="R3009" s="167"/>
      <c r="S3009" s="167">
        <v>1326.0</v>
      </c>
      <c r="T3009" s="168">
        <f t="shared" si="3"/>
        <v>762155.57</v>
      </c>
      <c r="U3009" s="168">
        <f t="shared" si="4"/>
        <v>0</v>
      </c>
      <c r="V3009" s="168">
        <f t="shared" si="5"/>
        <v>0</v>
      </c>
      <c r="W3009" s="168">
        <f t="shared" si="6"/>
        <v>0</v>
      </c>
      <c r="X3009" s="168">
        <f t="shared" si="7"/>
        <v>0</v>
      </c>
      <c r="Y3009" s="168">
        <f t="shared" si="8"/>
        <v>0</v>
      </c>
      <c r="Z3009" s="168">
        <f t="shared" si="9"/>
        <v>0</v>
      </c>
    </row>
    <row r="3010" ht="15.0" customHeight="1">
      <c r="A3010" s="157" t="s">
        <v>3551</v>
      </c>
      <c r="B3010" s="158" t="s">
        <v>33</v>
      </c>
      <c r="C3010" s="158" t="s">
        <v>730</v>
      </c>
      <c r="D3010" s="159">
        <v>44610.0</v>
      </c>
      <c r="E3010" s="157" t="s">
        <v>731</v>
      </c>
      <c r="F3010" s="160">
        <v>1305352.41</v>
      </c>
      <c r="G3010" s="160">
        <v>208856.39</v>
      </c>
      <c r="H3010" s="160">
        <f t="shared" si="80"/>
        <v>1514208.8</v>
      </c>
      <c r="I3010" s="160"/>
      <c r="J3010" s="161"/>
      <c r="K3010" s="160"/>
      <c r="L3010" s="160">
        <f>+'FACP$'!$H3010-'FACP$'!$I3010-'FACP$'!$K3010</f>
        <v>1514208.8</v>
      </c>
      <c r="M3010" s="162" t="s">
        <v>958</v>
      </c>
      <c r="N3010" s="162" t="s">
        <v>554</v>
      </c>
      <c r="O3010" s="164">
        <v>44624.0</v>
      </c>
      <c r="P3010" s="164">
        <f t="array" ref="P3010">XLOOKUP('FACP$'!$B3010,'perfil de pagos'!A:A,'perfil de pagos'!B:B)+'FACP$'!$D3010</f>
        <v>44620</v>
      </c>
      <c r="Q3010" s="165">
        <f t="shared" si="2"/>
        <v>0</v>
      </c>
      <c r="R3010" s="167"/>
      <c r="S3010" s="167"/>
      <c r="T3010" s="168">
        <f t="shared" si="3"/>
        <v>1514208.8</v>
      </c>
      <c r="U3010" s="168">
        <f t="shared" si="4"/>
        <v>0</v>
      </c>
      <c r="V3010" s="168">
        <f t="shared" si="5"/>
        <v>0</v>
      </c>
      <c r="W3010" s="168">
        <f t="shared" si="6"/>
        <v>0</v>
      </c>
      <c r="X3010" s="168">
        <f t="shared" si="7"/>
        <v>0</v>
      </c>
      <c r="Y3010" s="168">
        <f t="shared" si="8"/>
        <v>0</v>
      </c>
      <c r="Z3010" s="168">
        <f t="shared" si="9"/>
        <v>0</v>
      </c>
    </row>
    <row r="3011" ht="15.0" customHeight="1">
      <c r="A3011" s="157" t="s">
        <v>3552</v>
      </c>
      <c r="B3011" s="158" t="s">
        <v>36</v>
      </c>
      <c r="C3011" s="158" t="s">
        <v>730</v>
      </c>
      <c r="D3011" s="159">
        <v>44610.0</v>
      </c>
      <c r="E3011" s="157" t="s">
        <v>731</v>
      </c>
      <c r="F3011" s="160">
        <v>74476.19</v>
      </c>
      <c r="G3011" s="160">
        <v>11916.19</v>
      </c>
      <c r="H3011" s="160">
        <f t="shared" si="80"/>
        <v>86392.38</v>
      </c>
      <c r="I3011" s="160"/>
      <c r="J3011" s="161"/>
      <c r="K3011" s="160"/>
      <c r="L3011" s="160">
        <f>+'FACP$'!$H3011-'FACP$'!$I3011-'FACP$'!$K3011</f>
        <v>86392.38</v>
      </c>
      <c r="M3011" s="162" t="s">
        <v>278</v>
      </c>
      <c r="N3011" s="162" t="s">
        <v>554</v>
      </c>
      <c r="O3011" s="164">
        <v>44628.0</v>
      </c>
      <c r="P3011" s="164">
        <f t="array" ref="P3011">XLOOKUP('FACP$'!$B3011,'perfil de pagos'!A:A,'perfil de pagos'!B:B)+'FACP$'!$D3011</f>
        <v>44620</v>
      </c>
      <c r="Q3011" s="165">
        <f t="shared" si="2"/>
        <v>0</v>
      </c>
      <c r="R3011" s="167"/>
      <c r="S3011" s="167">
        <v>1310.0</v>
      </c>
      <c r="T3011" s="168">
        <f t="shared" si="3"/>
        <v>86392.38</v>
      </c>
      <c r="U3011" s="168">
        <f t="shared" si="4"/>
        <v>0</v>
      </c>
      <c r="V3011" s="168">
        <f t="shared" si="5"/>
        <v>0</v>
      </c>
      <c r="W3011" s="168">
        <f t="shared" si="6"/>
        <v>0</v>
      </c>
      <c r="X3011" s="168">
        <f t="shared" si="7"/>
        <v>0</v>
      </c>
      <c r="Y3011" s="168">
        <f t="shared" si="8"/>
        <v>0</v>
      </c>
      <c r="Z3011" s="168">
        <f t="shared" si="9"/>
        <v>0</v>
      </c>
    </row>
    <row r="3012" ht="15.0" customHeight="1">
      <c r="A3012" s="157" t="s">
        <v>3553</v>
      </c>
      <c r="B3012" s="158" t="s">
        <v>31</v>
      </c>
      <c r="C3012" s="158" t="s">
        <v>3554</v>
      </c>
      <c r="D3012" s="159">
        <v>44610.0</v>
      </c>
      <c r="E3012" s="157" t="s">
        <v>731</v>
      </c>
      <c r="F3012" s="160">
        <v>126968.7</v>
      </c>
      <c r="G3012" s="160">
        <v>20314.99</v>
      </c>
      <c r="H3012" s="160">
        <f t="shared" si="80"/>
        <v>147283.69</v>
      </c>
      <c r="I3012" s="252"/>
      <c r="J3012" s="253"/>
      <c r="K3012" s="252"/>
      <c r="L3012" s="160">
        <f>+'FACP$'!$H3012-'FACP$'!$I3012-'FACP$'!$K3012</f>
        <v>147283.69</v>
      </c>
      <c r="M3012" s="162" t="s">
        <v>3183</v>
      </c>
      <c r="N3012" s="162" t="s">
        <v>554</v>
      </c>
      <c r="O3012" s="164">
        <v>44939.0</v>
      </c>
      <c r="P3012" s="164">
        <f t="array" ref="P3012">XLOOKUP('FACP$'!$B3012,'perfil de pagos'!A:A,'perfil de pagos'!B:B)+'FACP$'!$D3012</f>
        <v>44613</v>
      </c>
      <c r="Q3012" s="165">
        <f t="shared" si="2"/>
        <v>0</v>
      </c>
      <c r="R3012" s="167"/>
      <c r="S3012" s="167"/>
      <c r="T3012" s="168">
        <f t="shared" si="3"/>
        <v>147283.69</v>
      </c>
      <c r="U3012" s="168">
        <f t="shared" si="4"/>
        <v>0</v>
      </c>
      <c r="V3012" s="168">
        <f t="shared" si="5"/>
        <v>0</v>
      </c>
      <c r="W3012" s="168">
        <f t="shared" si="6"/>
        <v>0</v>
      </c>
      <c r="X3012" s="168">
        <f t="shared" si="7"/>
        <v>0</v>
      </c>
      <c r="Y3012" s="168">
        <f t="shared" si="8"/>
        <v>0</v>
      </c>
      <c r="Z3012" s="168">
        <f t="shared" si="9"/>
        <v>0</v>
      </c>
    </row>
    <row r="3013" ht="15.0" customHeight="1">
      <c r="A3013" s="157" t="s">
        <v>3555</v>
      </c>
      <c r="B3013" s="158" t="s">
        <v>41</v>
      </c>
      <c r="C3013" s="158" t="s">
        <v>730</v>
      </c>
      <c r="D3013" s="159">
        <v>44610.0</v>
      </c>
      <c r="E3013" s="157" t="s">
        <v>731</v>
      </c>
      <c r="F3013" s="160">
        <v>1235139.5</v>
      </c>
      <c r="G3013" s="160">
        <v>197622.32</v>
      </c>
      <c r="H3013" s="160">
        <f t="shared" si="80"/>
        <v>1432761.82</v>
      </c>
      <c r="I3013" s="160"/>
      <c r="J3013" s="161"/>
      <c r="K3013" s="160"/>
      <c r="L3013" s="160">
        <f>+'FACP$'!$H3013-'FACP$'!$I3013-'FACP$'!$K3013</f>
        <v>1432761.82</v>
      </c>
      <c r="M3013" s="162" t="s">
        <v>121</v>
      </c>
      <c r="N3013" s="162" t="s">
        <v>554</v>
      </c>
      <c r="O3013" s="164">
        <v>44679.0</v>
      </c>
      <c r="P3013" s="164">
        <f t="array" ref="P3013">XLOOKUP('FACP$'!$B3013,'perfil de pagos'!A:A,'perfil de pagos'!B:B)+'FACP$'!$D3013</f>
        <v>44620</v>
      </c>
      <c r="Q3013" s="165">
        <f t="shared" si="2"/>
        <v>0</v>
      </c>
      <c r="R3013" s="167"/>
      <c r="S3013" s="167"/>
      <c r="T3013" s="168">
        <f t="shared" si="3"/>
        <v>1432761.82</v>
      </c>
      <c r="U3013" s="168">
        <f t="shared" si="4"/>
        <v>0</v>
      </c>
      <c r="V3013" s="168">
        <f t="shared" si="5"/>
        <v>0</v>
      </c>
      <c r="W3013" s="168">
        <f t="shared" si="6"/>
        <v>0</v>
      </c>
      <c r="X3013" s="168">
        <f t="shared" si="7"/>
        <v>0</v>
      </c>
      <c r="Y3013" s="168">
        <f t="shared" si="8"/>
        <v>0</v>
      </c>
      <c r="Z3013" s="168">
        <f t="shared" si="9"/>
        <v>0</v>
      </c>
    </row>
    <row r="3014" ht="15.0" customHeight="1">
      <c r="A3014" s="157" t="s">
        <v>3556</v>
      </c>
      <c r="B3014" s="158" t="s">
        <v>43</v>
      </c>
      <c r="C3014" s="158" t="s">
        <v>730</v>
      </c>
      <c r="D3014" s="159">
        <v>44610.0</v>
      </c>
      <c r="E3014" s="157" t="s">
        <v>731</v>
      </c>
      <c r="F3014" s="160">
        <v>1842050.29</v>
      </c>
      <c r="G3014" s="160">
        <v>294728.05</v>
      </c>
      <c r="H3014" s="160">
        <f t="shared" si="80"/>
        <v>2136778.34</v>
      </c>
      <c r="I3014" s="160"/>
      <c r="J3014" s="161"/>
      <c r="K3014" s="160"/>
      <c r="L3014" s="160">
        <f>+'FACP$'!$H3014-'FACP$'!$I3014-'FACP$'!$K3014</f>
        <v>2136778.34</v>
      </c>
      <c r="M3014" s="162" t="s">
        <v>43</v>
      </c>
      <c r="N3014" s="162" t="s">
        <v>554</v>
      </c>
      <c r="O3014" s="164">
        <v>44651.0</v>
      </c>
      <c r="P3014" s="164">
        <f t="array" ref="P3014">XLOOKUP('FACP$'!$B3014,'perfil de pagos'!A:A,'perfil de pagos'!B:B)+'FACP$'!$D3014</f>
        <v>44635</v>
      </c>
      <c r="Q3014" s="165">
        <f t="shared" si="2"/>
        <v>0</v>
      </c>
      <c r="R3014" s="167"/>
      <c r="S3014" s="167"/>
      <c r="T3014" s="168">
        <f t="shared" si="3"/>
        <v>2136778.34</v>
      </c>
      <c r="U3014" s="168">
        <f t="shared" si="4"/>
        <v>0</v>
      </c>
      <c r="V3014" s="168">
        <f t="shared" si="5"/>
        <v>0</v>
      </c>
      <c r="W3014" s="168">
        <f t="shared" si="6"/>
        <v>0</v>
      </c>
      <c r="X3014" s="168">
        <f t="shared" si="7"/>
        <v>0</v>
      </c>
      <c r="Y3014" s="168">
        <f t="shared" si="8"/>
        <v>0</v>
      </c>
      <c r="Z3014" s="168">
        <f t="shared" si="9"/>
        <v>0</v>
      </c>
    </row>
    <row r="3015" ht="15.0" customHeight="1">
      <c r="A3015" s="157" t="s">
        <v>3557</v>
      </c>
      <c r="B3015" s="158" t="s">
        <v>27</v>
      </c>
      <c r="C3015" s="158" t="s">
        <v>3558</v>
      </c>
      <c r="D3015" s="159">
        <v>44610.0</v>
      </c>
      <c r="E3015" s="157" t="s">
        <v>731</v>
      </c>
      <c r="F3015" s="160">
        <v>360983.97</v>
      </c>
      <c r="G3015" s="160">
        <v>57757.44</v>
      </c>
      <c r="H3015" s="160">
        <f t="shared" si="80"/>
        <v>418741.41</v>
      </c>
      <c r="I3015" s="160"/>
      <c r="J3015" s="161"/>
      <c r="K3015" s="160"/>
      <c r="L3015" s="160">
        <f>+'FACP$'!$H3015-'FACP$'!$I3015-'FACP$'!$K3015</f>
        <v>418741.41</v>
      </c>
      <c r="M3015" s="162" t="s">
        <v>158</v>
      </c>
      <c r="N3015" s="162" t="s">
        <v>554</v>
      </c>
      <c r="O3015" s="164">
        <v>44651.0</v>
      </c>
      <c r="P3015" s="164">
        <f t="array" ref="P3015">XLOOKUP('FACP$'!$B3015,'perfil de pagos'!A:A,'perfil de pagos'!B:B)+'FACP$'!$D3015</f>
        <v>44640</v>
      </c>
      <c r="Q3015" s="165">
        <f t="shared" si="2"/>
        <v>0</v>
      </c>
      <c r="R3015" s="167"/>
      <c r="S3015" s="167">
        <v>1339.0</v>
      </c>
      <c r="T3015" s="168">
        <f t="shared" si="3"/>
        <v>418741.41</v>
      </c>
      <c r="U3015" s="168">
        <f t="shared" si="4"/>
        <v>0</v>
      </c>
      <c r="V3015" s="168">
        <f t="shared" si="5"/>
        <v>0</v>
      </c>
      <c r="W3015" s="168">
        <f t="shared" si="6"/>
        <v>0</v>
      </c>
      <c r="X3015" s="168">
        <f t="shared" si="7"/>
        <v>0</v>
      </c>
      <c r="Y3015" s="168">
        <f t="shared" si="8"/>
        <v>0</v>
      </c>
      <c r="Z3015" s="168">
        <f t="shared" si="9"/>
        <v>0</v>
      </c>
    </row>
    <row r="3016" ht="15.0" customHeight="1">
      <c r="A3016" s="157" t="s">
        <v>3559</v>
      </c>
      <c r="B3016" s="158" t="s">
        <v>27</v>
      </c>
      <c r="C3016" s="158" t="s">
        <v>3560</v>
      </c>
      <c r="D3016" s="159">
        <v>44610.0</v>
      </c>
      <c r="E3016" s="157" t="s">
        <v>731</v>
      </c>
      <c r="F3016" s="160">
        <v>186394.51</v>
      </c>
      <c r="G3016" s="160">
        <v>29823.12</v>
      </c>
      <c r="H3016" s="160">
        <f t="shared" si="80"/>
        <v>216217.63</v>
      </c>
      <c r="I3016" s="160"/>
      <c r="J3016" s="161"/>
      <c r="K3016" s="160"/>
      <c r="L3016" s="160">
        <f>+'FACP$'!$H3016-'FACP$'!$I3016-'FACP$'!$K3016</f>
        <v>216217.63</v>
      </c>
      <c r="M3016" s="162" t="s">
        <v>158</v>
      </c>
      <c r="N3016" s="162" t="s">
        <v>554</v>
      </c>
      <c r="O3016" s="164">
        <v>44651.0</v>
      </c>
      <c r="P3016" s="164">
        <f t="array" ref="P3016">XLOOKUP('FACP$'!$B3016,'perfil de pagos'!A:A,'perfil de pagos'!B:B)+'FACP$'!$D3016</f>
        <v>44640</v>
      </c>
      <c r="Q3016" s="165">
        <f t="shared" si="2"/>
        <v>0</v>
      </c>
      <c r="R3016" s="167"/>
      <c r="S3016" s="167">
        <v>1339.0</v>
      </c>
      <c r="T3016" s="168">
        <f t="shared" si="3"/>
        <v>216217.63</v>
      </c>
      <c r="U3016" s="168">
        <f t="shared" si="4"/>
        <v>0</v>
      </c>
      <c r="V3016" s="168">
        <f t="shared" si="5"/>
        <v>0</v>
      </c>
      <c r="W3016" s="168">
        <f t="shared" si="6"/>
        <v>0</v>
      </c>
      <c r="X3016" s="168">
        <f t="shared" si="7"/>
        <v>0</v>
      </c>
      <c r="Y3016" s="168">
        <f t="shared" si="8"/>
        <v>0</v>
      </c>
      <c r="Z3016" s="168">
        <f t="shared" si="9"/>
        <v>0</v>
      </c>
    </row>
    <row r="3017" ht="15.0" customHeight="1">
      <c r="A3017" s="157" t="s">
        <v>3561</v>
      </c>
      <c r="B3017" s="158" t="s">
        <v>27</v>
      </c>
      <c r="C3017" s="158" t="s">
        <v>3558</v>
      </c>
      <c r="D3017" s="159">
        <v>44610.0</v>
      </c>
      <c r="E3017" s="157" t="s">
        <v>731</v>
      </c>
      <c r="F3017" s="160">
        <v>544751.59</v>
      </c>
      <c r="G3017" s="160">
        <v>87160.25</v>
      </c>
      <c r="H3017" s="160">
        <f t="shared" si="80"/>
        <v>631911.84</v>
      </c>
      <c r="I3017" s="160"/>
      <c r="J3017" s="161"/>
      <c r="K3017" s="160"/>
      <c r="L3017" s="160">
        <f>+'FACP$'!$H3017-'FACP$'!$I3017-'FACP$'!$K3017</f>
        <v>631911.84</v>
      </c>
      <c r="M3017" s="162" t="s">
        <v>151</v>
      </c>
      <c r="N3017" s="162" t="s">
        <v>554</v>
      </c>
      <c r="O3017" s="164">
        <v>44644.0</v>
      </c>
      <c r="P3017" s="164">
        <f t="array" ref="P3017">XLOOKUP('FACP$'!$B3017,'perfil de pagos'!A:A,'perfil de pagos'!B:B)+'FACP$'!$D3017</f>
        <v>44640</v>
      </c>
      <c r="Q3017" s="165">
        <f t="shared" si="2"/>
        <v>0</v>
      </c>
      <c r="R3017" s="167"/>
      <c r="S3017" s="167">
        <v>1338.0</v>
      </c>
      <c r="T3017" s="168">
        <f t="shared" si="3"/>
        <v>631911.84</v>
      </c>
      <c r="U3017" s="168">
        <f t="shared" si="4"/>
        <v>0</v>
      </c>
      <c r="V3017" s="168">
        <f t="shared" si="5"/>
        <v>0</v>
      </c>
      <c r="W3017" s="168">
        <f t="shared" si="6"/>
        <v>0</v>
      </c>
      <c r="X3017" s="168">
        <f t="shared" si="7"/>
        <v>0</v>
      </c>
      <c r="Y3017" s="168">
        <f t="shared" si="8"/>
        <v>0</v>
      </c>
      <c r="Z3017" s="168">
        <f t="shared" si="9"/>
        <v>0</v>
      </c>
    </row>
    <row r="3018" ht="15.0" customHeight="1">
      <c r="A3018" s="157" t="s">
        <v>3562</v>
      </c>
      <c r="B3018" s="158" t="s">
        <v>27</v>
      </c>
      <c r="C3018" s="158" t="s">
        <v>3560</v>
      </c>
      <c r="D3018" s="159">
        <v>44610.0</v>
      </c>
      <c r="E3018" s="157" t="s">
        <v>731</v>
      </c>
      <c r="F3018" s="160">
        <v>284961.3</v>
      </c>
      <c r="G3018" s="160">
        <v>45593.81</v>
      </c>
      <c r="H3018" s="160">
        <f t="shared" si="80"/>
        <v>330555.11</v>
      </c>
      <c r="I3018" s="160"/>
      <c r="J3018" s="161"/>
      <c r="K3018" s="160"/>
      <c r="L3018" s="160">
        <f>+'FACP$'!$H3018-'FACP$'!$I3018-'FACP$'!$K3018</f>
        <v>330555.11</v>
      </c>
      <c r="M3018" s="162" t="s">
        <v>151</v>
      </c>
      <c r="N3018" s="162" t="s">
        <v>554</v>
      </c>
      <c r="O3018" s="164">
        <v>44644.0</v>
      </c>
      <c r="P3018" s="164">
        <f t="array" ref="P3018">XLOOKUP('FACP$'!$B3018,'perfil de pagos'!A:A,'perfil de pagos'!B:B)+'FACP$'!$D3018</f>
        <v>44640</v>
      </c>
      <c r="Q3018" s="165">
        <f t="shared" si="2"/>
        <v>0</v>
      </c>
      <c r="R3018" s="167"/>
      <c r="S3018" s="167">
        <v>1338.0</v>
      </c>
      <c r="T3018" s="168">
        <f t="shared" si="3"/>
        <v>330555.11</v>
      </c>
      <c r="U3018" s="168">
        <f t="shared" si="4"/>
        <v>0</v>
      </c>
      <c r="V3018" s="168">
        <f t="shared" si="5"/>
        <v>0</v>
      </c>
      <c r="W3018" s="168">
        <f t="shared" si="6"/>
        <v>0</v>
      </c>
      <c r="X3018" s="168">
        <f t="shared" si="7"/>
        <v>0</v>
      </c>
      <c r="Y3018" s="168">
        <f t="shared" si="8"/>
        <v>0</v>
      </c>
      <c r="Z3018" s="168">
        <f t="shared" si="9"/>
        <v>0</v>
      </c>
    </row>
    <row r="3019" ht="15.0" customHeight="1">
      <c r="A3019" s="157" t="s">
        <v>3563</v>
      </c>
      <c r="B3019" s="158" t="s">
        <v>27</v>
      </c>
      <c r="C3019" s="158" t="s">
        <v>3564</v>
      </c>
      <c r="D3019" s="159">
        <v>44610.0</v>
      </c>
      <c r="E3019" s="157" t="s">
        <v>731</v>
      </c>
      <c r="F3019" s="160">
        <v>27973.15</v>
      </c>
      <c r="G3019" s="160">
        <v>4475.7</v>
      </c>
      <c r="H3019" s="160">
        <f t="shared" si="80"/>
        <v>32448.85</v>
      </c>
      <c r="I3019" s="160"/>
      <c r="J3019" s="161"/>
      <c r="K3019" s="160"/>
      <c r="L3019" s="160">
        <f>+'FACP$'!$H3019-'FACP$'!$I3019-'FACP$'!$K3019</f>
        <v>32448.85</v>
      </c>
      <c r="M3019" s="162" t="s">
        <v>151</v>
      </c>
      <c r="N3019" s="162" t="s">
        <v>554</v>
      </c>
      <c r="O3019" s="164">
        <v>44651.0</v>
      </c>
      <c r="P3019" s="164">
        <f t="array" ref="P3019">XLOOKUP('FACP$'!$B3019,'perfil de pagos'!A:A,'perfil de pagos'!B:B)+'FACP$'!$D3019</f>
        <v>44640</v>
      </c>
      <c r="Q3019" s="165">
        <f t="shared" si="2"/>
        <v>0</v>
      </c>
      <c r="R3019" s="167"/>
      <c r="S3019" s="167">
        <v>1340.0</v>
      </c>
      <c r="T3019" s="168">
        <f t="shared" si="3"/>
        <v>32448.85</v>
      </c>
      <c r="U3019" s="168">
        <f t="shared" si="4"/>
        <v>0</v>
      </c>
      <c r="V3019" s="168">
        <f t="shared" si="5"/>
        <v>0</v>
      </c>
      <c r="W3019" s="168">
        <f t="shared" si="6"/>
        <v>0</v>
      </c>
      <c r="X3019" s="168">
        <f t="shared" si="7"/>
        <v>0</v>
      </c>
      <c r="Y3019" s="168">
        <f t="shared" si="8"/>
        <v>0</v>
      </c>
      <c r="Z3019" s="168">
        <f t="shared" si="9"/>
        <v>0</v>
      </c>
    </row>
    <row r="3020" ht="15.0" customHeight="1">
      <c r="A3020" s="157" t="s">
        <v>3565</v>
      </c>
      <c r="B3020" s="158" t="s">
        <v>27</v>
      </c>
      <c r="C3020" s="158" t="s">
        <v>3566</v>
      </c>
      <c r="D3020" s="159">
        <v>44610.0</v>
      </c>
      <c r="E3020" s="157" t="s">
        <v>731</v>
      </c>
      <c r="F3020" s="160">
        <v>14632.88</v>
      </c>
      <c r="G3020" s="160">
        <v>2341.26</v>
      </c>
      <c r="H3020" s="160">
        <f t="shared" si="80"/>
        <v>16974.14</v>
      </c>
      <c r="I3020" s="160"/>
      <c r="J3020" s="161"/>
      <c r="K3020" s="160"/>
      <c r="L3020" s="160">
        <f>+'FACP$'!$H3020-'FACP$'!$I3020-'FACP$'!$K3020</f>
        <v>16974.14</v>
      </c>
      <c r="M3020" s="162" t="s">
        <v>151</v>
      </c>
      <c r="N3020" s="162" t="s">
        <v>554</v>
      </c>
      <c r="O3020" s="164">
        <v>44651.0</v>
      </c>
      <c r="P3020" s="164">
        <f t="array" ref="P3020">XLOOKUP('FACP$'!$B3020,'perfil de pagos'!A:A,'perfil de pagos'!B:B)+'FACP$'!$D3020</f>
        <v>44640</v>
      </c>
      <c r="Q3020" s="165">
        <f t="shared" si="2"/>
        <v>0</v>
      </c>
      <c r="R3020" s="167"/>
      <c r="S3020" s="167">
        <v>1340.0</v>
      </c>
      <c r="T3020" s="168">
        <f t="shared" si="3"/>
        <v>16974.14</v>
      </c>
      <c r="U3020" s="168">
        <f t="shared" si="4"/>
        <v>0</v>
      </c>
      <c r="V3020" s="168">
        <f t="shared" si="5"/>
        <v>0</v>
      </c>
      <c r="W3020" s="168">
        <f t="shared" si="6"/>
        <v>0</v>
      </c>
      <c r="X3020" s="168">
        <f t="shared" si="7"/>
        <v>0</v>
      </c>
      <c r="Y3020" s="168">
        <f t="shared" si="8"/>
        <v>0</v>
      </c>
      <c r="Z3020" s="168">
        <f t="shared" si="9"/>
        <v>0</v>
      </c>
    </row>
    <row r="3021" ht="15.0" customHeight="1">
      <c r="A3021" s="157" t="s">
        <v>3567</v>
      </c>
      <c r="B3021" s="158" t="s">
        <v>16</v>
      </c>
      <c r="C3021" s="158" t="s">
        <v>730</v>
      </c>
      <c r="D3021" s="159">
        <v>44614.0</v>
      </c>
      <c r="E3021" s="157" t="s">
        <v>731</v>
      </c>
      <c r="F3021" s="160">
        <v>392742.67</v>
      </c>
      <c r="G3021" s="160">
        <v>62838.83</v>
      </c>
      <c r="H3021" s="160">
        <f t="shared" si="80"/>
        <v>455581.5</v>
      </c>
      <c r="I3021" s="160"/>
      <c r="J3021" s="161"/>
      <c r="K3021" s="160"/>
      <c r="L3021" s="160">
        <f>+'FACP$'!$H3021-'FACP$'!$I3021-'FACP$'!$K3021</f>
        <v>455581.5</v>
      </c>
      <c r="M3021" s="162" t="s">
        <v>985</v>
      </c>
      <c r="N3021" s="162" t="s">
        <v>554</v>
      </c>
      <c r="O3021" s="164">
        <v>44638.0</v>
      </c>
      <c r="P3021" s="164">
        <f t="array" ref="P3021">XLOOKUP('FACP$'!$B3021,'perfil de pagos'!A:A,'perfil de pagos'!B:B)+'FACP$'!$D3021</f>
        <v>44624</v>
      </c>
      <c r="Q3021" s="165">
        <f t="shared" si="2"/>
        <v>0</v>
      </c>
      <c r="R3021" s="167"/>
      <c r="S3021" s="167"/>
      <c r="T3021" s="168">
        <f t="shared" si="3"/>
        <v>455581.5</v>
      </c>
      <c r="U3021" s="168">
        <f t="shared" si="4"/>
        <v>0</v>
      </c>
      <c r="V3021" s="168">
        <f t="shared" si="5"/>
        <v>0</v>
      </c>
      <c r="W3021" s="168">
        <f t="shared" si="6"/>
        <v>0</v>
      </c>
      <c r="X3021" s="168">
        <f t="shared" si="7"/>
        <v>0</v>
      </c>
      <c r="Y3021" s="168">
        <f t="shared" si="8"/>
        <v>0</v>
      </c>
      <c r="Z3021" s="168">
        <f t="shared" si="9"/>
        <v>0</v>
      </c>
    </row>
    <row r="3022" ht="15.0" customHeight="1">
      <c r="A3022" s="157" t="s">
        <v>3568</v>
      </c>
      <c r="B3022" s="158" t="s">
        <v>16</v>
      </c>
      <c r="C3022" s="158" t="s">
        <v>3569</v>
      </c>
      <c r="D3022" s="159">
        <v>44614.0</v>
      </c>
      <c r="E3022" s="157" t="s">
        <v>731</v>
      </c>
      <c r="F3022" s="160">
        <v>338691.17</v>
      </c>
      <c r="G3022" s="160">
        <v>54190.59</v>
      </c>
      <c r="H3022" s="160">
        <f t="shared" si="80"/>
        <v>392881.76</v>
      </c>
      <c r="I3022" s="160"/>
      <c r="J3022" s="161"/>
      <c r="K3022" s="160"/>
      <c r="L3022" s="160">
        <f>+'FACP$'!$H3022-'FACP$'!$I3022-'FACP$'!$K3022</f>
        <v>392881.76</v>
      </c>
      <c r="M3022" s="162" t="s">
        <v>985</v>
      </c>
      <c r="N3022" s="162" t="s">
        <v>554</v>
      </c>
      <c r="O3022" s="164">
        <v>44638.0</v>
      </c>
      <c r="P3022" s="164">
        <f t="array" ref="P3022">XLOOKUP('FACP$'!$B3022,'perfil de pagos'!A:A,'perfil de pagos'!B:B)+'FACP$'!$D3022</f>
        <v>44624</v>
      </c>
      <c r="Q3022" s="165">
        <f t="shared" si="2"/>
        <v>0</v>
      </c>
      <c r="R3022" s="167"/>
      <c r="S3022" s="167"/>
      <c r="T3022" s="168">
        <f t="shared" si="3"/>
        <v>392881.76</v>
      </c>
      <c r="U3022" s="168">
        <f t="shared" si="4"/>
        <v>0</v>
      </c>
      <c r="V3022" s="168">
        <f t="shared" si="5"/>
        <v>0</v>
      </c>
      <c r="W3022" s="168">
        <f t="shared" si="6"/>
        <v>0</v>
      </c>
      <c r="X3022" s="168">
        <f t="shared" si="7"/>
        <v>0</v>
      </c>
      <c r="Y3022" s="168">
        <f t="shared" si="8"/>
        <v>0</v>
      </c>
      <c r="Z3022" s="168">
        <f t="shared" si="9"/>
        <v>0</v>
      </c>
    </row>
    <row r="3023" ht="15.0" customHeight="1">
      <c r="A3023" s="157" t="s">
        <v>3570</v>
      </c>
      <c r="B3023" s="158" t="s">
        <v>18</v>
      </c>
      <c r="C3023" s="158" t="s">
        <v>730</v>
      </c>
      <c r="D3023" s="159">
        <v>44614.0</v>
      </c>
      <c r="E3023" s="157" t="s">
        <v>731</v>
      </c>
      <c r="F3023" s="160">
        <v>161012.6</v>
      </c>
      <c r="G3023" s="160">
        <v>25762.02</v>
      </c>
      <c r="H3023" s="160">
        <f t="shared" si="80"/>
        <v>186774.62</v>
      </c>
      <c r="I3023" s="160"/>
      <c r="J3023" s="161"/>
      <c r="K3023" s="160"/>
      <c r="L3023" s="160">
        <f>+'FACP$'!$H3023-'FACP$'!$I3023-'FACP$'!$K3023</f>
        <v>186774.62</v>
      </c>
      <c r="M3023" s="162" t="s">
        <v>586</v>
      </c>
      <c r="N3023" s="162" t="s">
        <v>554</v>
      </c>
      <c r="O3023" s="164">
        <v>44635.0</v>
      </c>
      <c r="P3023" s="164">
        <f t="array" ref="P3023">XLOOKUP('FACP$'!$B3023,'perfil de pagos'!A:A,'perfil de pagos'!B:B)+'FACP$'!$D3023</f>
        <v>44624</v>
      </c>
      <c r="Q3023" s="165">
        <f t="shared" si="2"/>
        <v>0</v>
      </c>
      <c r="R3023" s="167"/>
      <c r="S3023" s="167">
        <v>1324.0</v>
      </c>
      <c r="T3023" s="168">
        <f t="shared" si="3"/>
        <v>186774.62</v>
      </c>
      <c r="U3023" s="168">
        <f t="shared" si="4"/>
        <v>0</v>
      </c>
      <c r="V3023" s="168">
        <f t="shared" si="5"/>
        <v>0</v>
      </c>
      <c r="W3023" s="168">
        <f t="shared" si="6"/>
        <v>0</v>
      </c>
      <c r="X3023" s="168">
        <f t="shared" si="7"/>
        <v>0</v>
      </c>
      <c r="Y3023" s="168">
        <f t="shared" si="8"/>
        <v>0</v>
      </c>
      <c r="Z3023" s="168">
        <f t="shared" si="9"/>
        <v>0</v>
      </c>
    </row>
    <row r="3024" ht="15.0" customHeight="1">
      <c r="A3024" s="157" t="s">
        <v>3571</v>
      </c>
      <c r="B3024" s="256" t="s">
        <v>19</v>
      </c>
      <c r="C3024" s="256" t="s">
        <v>730</v>
      </c>
      <c r="D3024" s="257">
        <v>44614.0</v>
      </c>
      <c r="E3024" s="258" t="s">
        <v>731</v>
      </c>
      <c r="F3024" s="259"/>
      <c r="G3024" s="259"/>
      <c r="H3024" s="160">
        <f t="shared" si="80"/>
        <v>0</v>
      </c>
      <c r="I3024" s="259"/>
      <c r="J3024" s="260"/>
      <c r="K3024" s="259"/>
      <c r="L3024" s="259">
        <f>+'FACP$'!$H3024-'FACP$'!$I3024-'FACP$'!$K3024</f>
        <v>0</v>
      </c>
      <c r="M3024" s="261"/>
      <c r="N3024" s="261" t="s">
        <v>127</v>
      </c>
      <c r="O3024" s="262"/>
      <c r="P3024" s="262">
        <f>D3024+10</f>
        <v>44624</v>
      </c>
      <c r="Q3024" s="263">
        <f t="shared" si="2"/>
        <v>0</v>
      </c>
      <c r="R3024" s="264" t="s">
        <v>3572</v>
      </c>
      <c r="S3024" s="264"/>
      <c r="T3024" s="269">
        <f t="shared" si="3"/>
        <v>0</v>
      </c>
      <c r="U3024" s="269">
        <f t="shared" si="4"/>
        <v>0</v>
      </c>
      <c r="V3024" s="269">
        <f t="shared" si="5"/>
        <v>0</v>
      </c>
      <c r="W3024" s="269">
        <f t="shared" si="6"/>
        <v>0</v>
      </c>
      <c r="X3024" s="269">
        <f t="shared" si="7"/>
        <v>0</v>
      </c>
      <c r="Y3024" s="269">
        <f t="shared" si="8"/>
        <v>0</v>
      </c>
      <c r="Z3024" s="269">
        <f t="shared" si="9"/>
        <v>0</v>
      </c>
    </row>
    <row r="3025" ht="15.0" customHeight="1">
      <c r="A3025" s="157" t="s">
        <v>3573</v>
      </c>
      <c r="B3025" s="158" t="s">
        <v>22</v>
      </c>
      <c r="C3025" s="158" t="s">
        <v>730</v>
      </c>
      <c r="D3025" s="159">
        <v>44614.0</v>
      </c>
      <c r="E3025" s="157" t="s">
        <v>731</v>
      </c>
      <c r="F3025" s="160">
        <v>66958.24</v>
      </c>
      <c r="G3025" s="160">
        <v>10713.32</v>
      </c>
      <c r="H3025" s="160">
        <f t="shared" si="80"/>
        <v>77671.56</v>
      </c>
      <c r="I3025" s="160"/>
      <c r="J3025" s="161"/>
      <c r="K3025" s="160"/>
      <c r="L3025" s="160">
        <f>+'FACP$'!$H3025-'FACP$'!$I3025-'FACP$'!$K3025</f>
        <v>77671.56</v>
      </c>
      <c r="M3025" s="162" t="s">
        <v>220</v>
      </c>
      <c r="N3025" s="162" t="s">
        <v>554</v>
      </c>
      <c r="O3025" s="164">
        <v>44621.0</v>
      </c>
      <c r="P3025" s="164">
        <f t="array" ref="P3025">XLOOKUP('FACP$'!$B3025,'perfil de pagos'!A:A,'perfil de pagos'!B:B)+'FACP$'!$D3025</f>
        <v>44624</v>
      </c>
      <c r="Q3025" s="165">
        <f t="shared" si="2"/>
        <v>0</v>
      </c>
      <c r="R3025" s="167"/>
      <c r="S3025" s="167"/>
      <c r="T3025" s="168">
        <f t="shared" si="3"/>
        <v>77671.56</v>
      </c>
      <c r="U3025" s="168">
        <f t="shared" si="4"/>
        <v>0</v>
      </c>
      <c r="V3025" s="168">
        <f t="shared" si="5"/>
        <v>0</v>
      </c>
      <c r="W3025" s="168">
        <f t="shared" si="6"/>
        <v>0</v>
      </c>
      <c r="X3025" s="168">
        <f t="shared" si="7"/>
        <v>0</v>
      </c>
      <c r="Y3025" s="168">
        <f t="shared" si="8"/>
        <v>0</v>
      </c>
      <c r="Z3025" s="168">
        <f t="shared" si="9"/>
        <v>0</v>
      </c>
    </row>
    <row r="3026" ht="15.0" customHeight="1">
      <c r="A3026" s="157" t="s">
        <v>3574</v>
      </c>
      <c r="B3026" s="158" t="s">
        <v>26</v>
      </c>
      <c r="C3026" s="158" t="s">
        <v>730</v>
      </c>
      <c r="D3026" s="159">
        <v>44614.0</v>
      </c>
      <c r="E3026" s="157" t="s">
        <v>731</v>
      </c>
      <c r="F3026" s="160">
        <v>68078.88</v>
      </c>
      <c r="G3026" s="160">
        <v>10892.62</v>
      </c>
      <c r="H3026" s="160">
        <f t="shared" si="80"/>
        <v>78971.5</v>
      </c>
      <c r="I3026" s="160"/>
      <c r="J3026" s="161"/>
      <c r="K3026" s="160"/>
      <c r="L3026" s="160">
        <f>+'FACP$'!$H3026-'FACP$'!$I3026-'FACP$'!$K3026</f>
        <v>78971.5</v>
      </c>
      <c r="M3026" s="162" t="s">
        <v>2386</v>
      </c>
      <c r="N3026" s="162" t="s">
        <v>554</v>
      </c>
      <c r="O3026" s="164">
        <v>44637.0</v>
      </c>
      <c r="P3026" s="164">
        <f t="array" ref="P3026">XLOOKUP('FACP$'!$B3026,'perfil de pagos'!A:A,'perfil de pagos'!B:B)+'FACP$'!$D3026</f>
        <v>44624</v>
      </c>
      <c r="Q3026" s="165">
        <f t="shared" si="2"/>
        <v>0</v>
      </c>
      <c r="R3026" s="167" t="s">
        <v>3575</v>
      </c>
      <c r="S3026" s="167">
        <v>1325.0</v>
      </c>
      <c r="T3026" s="168">
        <f t="shared" si="3"/>
        <v>78971.5</v>
      </c>
      <c r="U3026" s="168">
        <f t="shared" si="4"/>
        <v>0</v>
      </c>
      <c r="V3026" s="168">
        <f t="shared" si="5"/>
        <v>0</v>
      </c>
      <c r="W3026" s="168">
        <f t="shared" si="6"/>
        <v>0</v>
      </c>
      <c r="X3026" s="168">
        <f t="shared" si="7"/>
        <v>0</v>
      </c>
      <c r="Y3026" s="168">
        <f t="shared" si="8"/>
        <v>0</v>
      </c>
      <c r="Z3026" s="168">
        <f t="shared" si="9"/>
        <v>0</v>
      </c>
    </row>
    <row r="3027" ht="15.0" customHeight="1">
      <c r="A3027" s="157" t="s">
        <v>3576</v>
      </c>
      <c r="B3027" s="158" t="s">
        <v>29</v>
      </c>
      <c r="C3027" s="158" t="s">
        <v>730</v>
      </c>
      <c r="D3027" s="159">
        <v>44614.0</v>
      </c>
      <c r="E3027" s="157" t="s">
        <v>731</v>
      </c>
      <c r="F3027" s="160">
        <v>384110.4</v>
      </c>
      <c r="G3027" s="160">
        <v>61457.66</v>
      </c>
      <c r="H3027" s="160">
        <f t="shared" si="80"/>
        <v>445568.06</v>
      </c>
      <c r="I3027" s="160"/>
      <c r="J3027" s="161"/>
      <c r="K3027" s="160"/>
      <c r="L3027" s="160">
        <f>+'FACP$'!$H3027-'FACP$'!$I3027-'FACP$'!$K3027</f>
        <v>445568.06</v>
      </c>
      <c r="M3027" s="162" t="s">
        <v>130</v>
      </c>
      <c r="N3027" s="162" t="s">
        <v>554</v>
      </c>
      <c r="O3027" s="164">
        <v>44631.0</v>
      </c>
      <c r="P3027" s="164">
        <f t="array" ref="P3027">XLOOKUP('FACP$'!$B3027,'perfil de pagos'!A:A,'perfil de pagos'!B:B)+'FACP$'!$D3027</f>
        <v>44624</v>
      </c>
      <c r="Q3027" s="165">
        <f t="shared" si="2"/>
        <v>0</v>
      </c>
      <c r="R3027" s="167"/>
      <c r="S3027" s="167"/>
      <c r="T3027" s="168">
        <f t="shared" si="3"/>
        <v>445568.06</v>
      </c>
      <c r="U3027" s="168">
        <f t="shared" si="4"/>
        <v>0</v>
      </c>
      <c r="V3027" s="168">
        <f t="shared" si="5"/>
        <v>0</v>
      </c>
      <c r="W3027" s="168">
        <f t="shared" si="6"/>
        <v>0</v>
      </c>
      <c r="X3027" s="168">
        <f t="shared" si="7"/>
        <v>0</v>
      </c>
      <c r="Y3027" s="168">
        <f t="shared" si="8"/>
        <v>0</v>
      </c>
      <c r="Z3027" s="168">
        <f t="shared" si="9"/>
        <v>0</v>
      </c>
    </row>
    <row r="3028" ht="15.0" customHeight="1">
      <c r="A3028" s="157" t="s">
        <v>3577</v>
      </c>
      <c r="B3028" s="158" t="s">
        <v>29</v>
      </c>
      <c r="C3028" s="158" t="s">
        <v>3569</v>
      </c>
      <c r="D3028" s="159">
        <v>44614.0</v>
      </c>
      <c r="E3028" s="157" t="s">
        <v>731</v>
      </c>
      <c r="F3028" s="160">
        <v>356070.52</v>
      </c>
      <c r="G3028" s="160">
        <v>56971.28</v>
      </c>
      <c r="H3028" s="160">
        <f t="shared" si="80"/>
        <v>413041.8</v>
      </c>
      <c r="I3028" s="160"/>
      <c r="J3028" s="161"/>
      <c r="K3028" s="160"/>
      <c r="L3028" s="160">
        <f>+'FACP$'!$H3028-'FACP$'!$I3028-'FACP$'!$K3028</f>
        <v>413041.8</v>
      </c>
      <c r="M3028" s="162" t="s">
        <v>130</v>
      </c>
      <c r="N3028" s="162" t="s">
        <v>554</v>
      </c>
      <c r="O3028" s="164">
        <v>44627.0</v>
      </c>
      <c r="P3028" s="164">
        <f t="array" ref="P3028">XLOOKUP('FACP$'!$B3028,'perfil de pagos'!A:A,'perfil de pagos'!B:B)+'FACP$'!$D3028</f>
        <v>44624</v>
      </c>
      <c r="Q3028" s="165">
        <f t="shared" si="2"/>
        <v>0</v>
      </c>
      <c r="R3028" s="167"/>
      <c r="S3028" s="167"/>
      <c r="T3028" s="168">
        <f t="shared" si="3"/>
        <v>413041.8</v>
      </c>
      <c r="U3028" s="168">
        <f t="shared" si="4"/>
        <v>0</v>
      </c>
      <c r="V3028" s="168">
        <f t="shared" si="5"/>
        <v>0</v>
      </c>
      <c r="W3028" s="168">
        <f t="shared" si="6"/>
        <v>0</v>
      </c>
      <c r="X3028" s="168">
        <f t="shared" si="7"/>
        <v>0</v>
      </c>
      <c r="Y3028" s="168">
        <f t="shared" si="8"/>
        <v>0</v>
      </c>
      <c r="Z3028" s="168">
        <f t="shared" si="9"/>
        <v>0</v>
      </c>
    </row>
    <row r="3029" ht="15.0" customHeight="1">
      <c r="A3029" s="157" t="s">
        <v>3578</v>
      </c>
      <c r="B3029" s="158" t="s">
        <v>37</v>
      </c>
      <c r="C3029" s="158" t="s">
        <v>730</v>
      </c>
      <c r="D3029" s="159">
        <v>44614.0</v>
      </c>
      <c r="E3029" s="157" t="s">
        <v>731</v>
      </c>
      <c r="F3029" s="160">
        <v>1894687.6</v>
      </c>
      <c r="G3029" s="160">
        <v>303150.02</v>
      </c>
      <c r="H3029" s="160">
        <f t="shared" si="80"/>
        <v>2197837.62</v>
      </c>
      <c r="I3029" s="160"/>
      <c r="J3029" s="161"/>
      <c r="K3029" s="160"/>
      <c r="L3029" s="160">
        <f>+'FACP$'!$H3029-'FACP$'!$I3029-'FACP$'!$K3029</f>
        <v>2197837.62</v>
      </c>
      <c r="M3029" s="162" t="s">
        <v>116</v>
      </c>
      <c r="N3029" s="162" t="s">
        <v>554</v>
      </c>
      <c r="O3029" s="164">
        <v>44627.0</v>
      </c>
      <c r="P3029" s="164">
        <f t="array" ref="P3029">XLOOKUP('FACP$'!$B3029,'perfil de pagos'!A:A,'perfil de pagos'!B:B)+'FACP$'!$D3029</f>
        <v>44624</v>
      </c>
      <c r="Q3029" s="165">
        <f t="shared" si="2"/>
        <v>0</v>
      </c>
      <c r="R3029" s="167"/>
      <c r="S3029" s="167">
        <v>1322.0</v>
      </c>
      <c r="T3029" s="168">
        <f t="shared" si="3"/>
        <v>2197837.62</v>
      </c>
      <c r="U3029" s="168">
        <f t="shared" si="4"/>
        <v>0</v>
      </c>
      <c r="V3029" s="168">
        <f t="shared" si="5"/>
        <v>0</v>
      </c>
      <c r="W3029" s="168">
        <f t="shared" si="6"/>
        <v>0</v>
      </c>
      <c r="X3029" s="168">
        <f t="shared" si="7"/>
        <v>0</v>
      </c>
      <c r="Y3029" s="168">
        <f t="shared" si="8"/>
        <v>0</v>
      </c>
      <c r="Z3029" s="168">
        <f t="shared" si="9"/>
        <v>0</v>
      </c>
    </row>
    <row r="3030" ht="15.0" customHeight="1">
      <c r="A3030" s="157" t="s">
        <v>3579</v>
      </c>
      <c r="B3030" s="158" t="s">
        <v>38</v>
      </c>
      <c r="C3030" s="158" t="s">
        <v>730</v>
      </c>
      <c r="D3030" s="159">
        <v>44614.0</v>
      </c>
      <c r="E3030" s="157" t="s">
        <v>731</v>
      </c>
      <c r="F3030" s="160">
        <v>824187.52</v>
      </c>
      <c r="G3030" s="160">
        <v>131870.0</v>
      </c>
      <c r="H3030" s="160">
        <f>F3030+G3030-902701.04</f>
        <v>53356.48</v>
      </c>
      <c r="I3030" s="160"/>
      <c r="J3030" s="161"/>
      <c r="K3030" s="160"/>
      <c r="L3030" s="160">
        <f>+'FACP$'!$H3030-'FACP$'!$I3030-'FACP$'!$K3030</f>
        <v>53356.48</v>
      </c>
      <c r="M3030" s="162" t="s">
        <v>145</v>
      </c>
      <c r="N3030" s="162" t="s">
        <v>554</v>
      </c>
      <c r="O3030" s="164">
        <v>44672.0</v>
      </c>
      <c r="P3030" s="164">
        <f t="array" ref="P3030">XLOOKUP('FACP$'!$B3030,'perfil de pagos'!A:A,'perfil de pagos'!B:B)+'FACP$'!$D3030</f>
        <v>44644</v>
      </c>
      <c r="Q3030" s="165">
        <f t="shared" si="2"/>
        <v>0</v>
      </c>
      <c r="R3030" s="164" t="s">
        <v>3580</v>
      </c>
      <c r="S3030" s="167"/>
      <c r="T3030" s="168">
        <f t="shared" si="3"/>
        <v>53356.48</v>
      </c>
      <c r="U3030" s="168">
        <f t="shared" si="4"/>
        <v>0</v>
      </c>
      <c r="V3030" s="168">
        <f t="shared" si="5"/>
        <v>0</v>
      </c>
      <c r="W3030" s="168">
        <f t="shared" si="6"/>
        <v>0</v>
      </c>
      <c r="X3030" s="168">
        <f t="shared" si="7"/>
        <v>0</v>
      </c>
      <c r="Y3030" s="168">
        <f t="shared" si="8"/>
        <v>0</v>
      </c>
      <c r="Z3030" s="168">
        <f t="shared" si="9"/>
        <v>0</v>
      </c>
      <c r="AA3030" s="81"/>
      <c r="AB3030" s="81"/>
      <c r="AC3030" s="81"/>
    </row>
    <row r="3031" ht="15.0" customHeight="1">
      <c r="A3031" s="157" t="s">
        <v>3581</v>
      </c>
      <c r="B3031" s="158" t="s">
        <v>26</v>
      </c>
      <c r="C3031" s="158" t="s">
        <v>3582</v>
      </c>
      <c r="D3031" s="159">
        <v>44615.0</v>
      </c>
      <c r="E3031" s="157" t="s">
        <v>731</v>
      </c>
      <c r="F3031" s="160">
        <v>29680.2</v>
      </c>
      <c r="G3031" s="160">
        <v>4748.83</v>
      </c>
      <c r="H3031" s="160">
        <f t="shared" ref="H3031:H3041" si="81">F3031+G3031</f>
        <v>34429.03</v>
      </c>
      <c r="I3031" s="160"/>
      <c r="J3031" s="161"/>
      <c r="K3031" s="160"/>
      <c r="L3031" s="160">
        <f>+'FACP$'!$H3031-'FACP$'!$I3031-'FACP$'!$K3031</f>
        <v>34429.03</v>
      </c>
      <c r="M3031" s="162" t="s">
        <v>2386</v>
      </c>
      <c r="N3031" s="162" t="s">
        <v>554</v>
      </c>
      <c r="O3031" s="164">
        <v>44637.0</v>
      </c>
      <c r="P3031" s="164">
        <f t="array" ref="P3031">XLOOKUP('FACP$'!$B3031,'perfil de pagos'!A:A,'perfil de pagos'!B:B)+'FACP$'!$D3031</f>
        <v>44625</v>
      </c>
      <c r="Q3031" s="165">
        <f t="shared" si="2"/>
        <v>0</v>
      </c>
      <c r="R3031" s="167" t="s">
        <v>3575</v>
      </c>
      <c r="S3031" s="167">
        <v>1325.0</v>
      </c>
      <c r="T3031" s="168">
        <f t="shared" si="3"/>
        <v>34429.03</v>
      </c>
      <c r="U3031" s="168">
        <f t="shared" si="4"/>
        <v>0</v>
      </c>
      <c r="V3031" s="168">
        <f t="shared" si="5"/>
        <v>0</v>
      </c>
      <c r="W3031" s="168">
        <f t="shared" si="6"/>
        <v>0</v>
      </c>
      <c r="X3031" s="168">
        <f t="shared" si="7"/>
        <v>0</v>
      </c>
      <c r="Y3031" s="168">
        <f t="shared" si="8"/>
        <v>0</v>
      </c>
      <c r="Z3031" s="168">
        <f t="shared" si="9"/>
        <v>0</v>
      </c>
      <c r="AA3031" s="81"/>
      <c r="AB3031" s="81"/>
      <c r="AC3031" s="81"/>
    </row>
    <row r="3032" ht="15.0" customHeight="1">
      <c r="A3032" s="157" t="s">
        <v>3583</v>
      </c>
      <c r="B3032" s="158" t="s">
        <v>27</v>
      </c>
      <c r="C3032" s="158" t="s">
        <v>3584</v>
      </c>
      <c r="D3032" s="159">
        <v>44620.0</v>
      </c>
      <c r="E3032" s="157" t="s">
        <v>731</v>
      </c>
      <c r="F3032" s="160">
        <v>325145.51</v>
      </c>
      <c r="G3032" s="160">
        <v>52023.28</v>
      </c>
      <c r="H3032" s="160">
        <f t="shared" si="81"/>
        <v>377168.79</v>
      </c>
      <c r="I3032" s="160"/>
      <c r="J3032" s="161"/>
      <c r="K3032" s="160"/>
      <c r="L3032" s="160">
        <f>+'FACP$'!$H3032-'FACP$'!$I3032-'FACP$'!$K3032</f>
        <v>377168.79</v>
      </c>
      <c r="M3032" s="162" t="s">
        <v>158</v>
      </c>
      <c r="N3032" s="162" t="s">
        <v>554</v>
      </c>
      <c r="O3032" s="164">
        <v>44669.0</v>
      </c>
      <c r="P3032" s="164">
        <f t="array" ref="P3032">XLOOKUP('FACP$'!$B3032,'perfil de pagos'!A:A,'perfil de pagos'!B:B)+'FACP$'!$D3032</f>
        <v>44650</v>
      </c>
      <c r="Q3032" s="165">
        <f t="shared" si="2"/>
        <v>0</v>
      </c>
      <c r="R3032" s="167"/>
      <c r="S3032" s="167">
        <v>1356.0</v>
      </c>
      <c r="T3032" s="168">
        <f t="shared" si="3"/>
        <v>377168.79</v>
      </c>
      <c r="U3032" s="168">
        <f t="shared" si="4"/>
        <v>0</v>
      </c>
      <c r="V3032" s="168">
        <f t="shared" si="5"/>
        <v>0</v>
      </c>
      <c r="W3032" s="168">
        <f t="shared" si="6"/>
        <v>0</v>
      </c>
      <c r="X3032" s="168">
        <f t="shared" si="7"/>
        <v>0</v>
      </c>
      <c r="Y3032" s="168">
        <f t="shared" si="8"/>
        <v>0</v>
      </c>
      <c r="Z3032" s="168">
        <f t="shared" si="9"/>
        <v>0</v>
      </c>
      <c r="AA3032" s="81"/>
      <c r="AB3032" s="81"/>
      <c r="AC3032" s="81"/>
    </row>
    <row r="3033" ht="15.0" customHeight="1">
      <c r="A3033" s="157" t="s">
        <v>3585</v>
      </c>
      <c r="B3033" s="158" t="s">
        <v>27</v>
      </c>
      <c r="C3033" s="158" t="s">
        <v>3586</v>
      </c>
      <c r="D3033" s="159">
        <v>44620.0</v>
      </c>
      <c r="E3033" s="157" t="s">
        <v>731</v>
      </c>
      <c r="F3033" s="160">
        <v>174770.31</v>
      </c>
      <c r="G3033" s="160">
        <v>27963.25</v>
      </c>
      <c r="H3033" s="160">
        <f t="shared" si="81"/>
        <v>202733.56</v>
      </c>
      <c r="I3033" s="160"/>
      <c r="J3033" s="161"/>
      <c r="K3033" s="160"/>
      <c r="L3033" s="160">
        <f>+'FACP$'!$H3033-'FACP$'!$I3033-'FACP$'!$K3033</f>
        <v>202733.56</v>
      </c>
      <c r="M3033" s="162" t="s">
        <v>158</v>
      </c>
      <c r="N3033" s="162" t="s">
        <v>554</v>
      </c>
      <c r="O3033" s="164">
        <v>44669.0</v>
      </c>
      <c r="P3033" s="164">
        <f t="array" ref="P3033">XLOOKUP('FACP$'!$B3033,'perfil de pagos'!A:A,'perfil de pagos'!B:B)+'FACP$'!$D3033</f>
        <v>44650</v>
      </c>
      <c r="Q3033" s="165">
        <f t="shared" si="2"/>
        <v>0</v>
      </c>
      <c r="R3033" s="167"/>
      <c r="S3033" s="167">
        <v>1356.0</v>
      </c>
      <c r="T3033" s="168">
        <f t="shared" si="3"/>
        <v>202733.56</v>
      </c>
      <c r="U3033" s="168">
        <f t="shared" si="4"/>
        <v>0</v>
      </c>
      <c r="V3033" s="168">
        <f t="shared" si="5"/>
        <v>0</v>
      </c>
      <c r="W3033" s="168">
        <f t="shared" si="6"/>
        <v>0</v>
      </c>
      <c r="X3033" s="168">
        <f t="shared" si="7"/>
        <v>0</v>
      </c>
      <c r="Y3033" s="168">
        <f t="shared" si="8"/>
        <v>0</v>
      </c>
      <c r="Z3033" s="168">
        <f t="shared" si="9"/>
        <v>0</v>
      </c>
      <c r="AA3033" s="81"/>
      <c r="AB3033" s="81"/>
      <c r="AC3033" s="81"/>
    </row>
    <row r="3034" ht="15.0" customHeight="1">
      <c r="A3034" s="157" t="s">
        <v>3587</v>
      </c>
      <c r="B3034" s="158" t="s">
        <v>27</v>
      </c>
      <c r="C3034" s="158" t="s">
        <v>3584</v>
      </c>
      <c r="D3034" s="159">
        <v>44620.0</v>
      </c>
      <c r="E3034" s="157" t="s">
        <v>731</v>
      </c>
      <c r="F3034" s="160">
        <v>700611.11</v>
      </c>
      <c r="G3034" s="160">
        <v>112097.78</v>
      </c>
      <c r="H3034" s="160">
        <f t="shared" si="81"/>
        <v>812708.89</v>
      </c>
      <c r="I3034" s="160"/>
      <c r="J3034" s="161"/>
      <c r="K3034" s="160"/>
      <c r="L3034" s="160">
        <f>+'FACP$'!$H3034-'FACP$'!$I3034-'FACP$'!$K3034</f>
        <v>812708.89</v>
      </c>
      <c r="M3034" s="162" t="s">
        <v>151</v>
      </c>
      <c r="N3034" s="162" t="s">
        <v>554</v>
      </c>
      <c r="O3034" s="164">
        <v>44657.0</v>
      </c>
      <c r="P3034" s="164">
        <f t="array" ref="P3034">XLOOKUP('FACP$'!$B3034,'perfil de pagos'!A:A,'perfil de pagos'!B:B)+'FACP$'!$D3034</f>
        <v>44650</v>
      </c>
      <c r="Q3034" s="165">
        <f t="shared" si="2"/>
        <v>0</v>
      </c>
      <c r="R3034" s="167"/>
      <c r="S3034" s="167">
        <v>1345.0</v>
      </c>
      <c r="T3034" s="168">
        <f t="shared" si="3"/>
        <v>812708.89</v>
      </c>
      <c r="U3034" s="168">
        <f t="shared" si="4"/>
        <v>0</v>
      </c>
      <c r="V3034" s="168">
        <f t="shared" si="5"/>
        <v>0</v>
      </c>
      <c r="W3034" s="168">
        <f t="shared" si="6"/>
        <v>0</v>
      </c>
      <c r="X3034" s="168">
        <f t="shared" si="7"/>
        <v>0</v>
      </c>
      <c r="Y3034" s="168">
        <f t="shared" si="8"/>
        <v>0</v>
      </c>
      <c r="Z3034" s="168">
        <f t="shared" si="9"/>
        <v>0</v>
      </c>
      <c r="AA3034" s="81"/>
      <c r="AB3034" s="81"/>
      <c r="AC3034" s="81"/>
    </row>
    <row r="3035" ht="15.0" customHeight="1">
      <c r="A3035" s="157" t="s">
        <v>3588</v>
      </c>
      <c r="B3035" s="158" t="s">
        <v>27</v>
      </c>
      <c r="C3035" s="158" t="s">
        <v>3586</v>
      </c>
      <c r="D3035" s="159">
        <v>44620.0</v>
      </c>
      <c r="E3035" s="157" t="s">
        <v>731</v>
      </c>
      <c r="F3035" s="160">
        <v>367097.23</v>
      </c>
      <c r="G3035" s="160">
        <v>58735.56</v>
      </c>
      <c r="H3035" s="160">
        <f t="shared" si="81"/>
        <v>425832.79</v>
      </c>
      <c r="I3035" s="160"/>
      <c r="J3035" s="161"/>
      <c r="K3035" s="160"/>
      <c r="L3035" s="160">
        <f>+'FACP$'!$H3035-'FACP$'!$I3035-'FACP$'!$K3035</f>
        <v>425832.79</v>
      </c>
      <c r="M3035" s="162" t="s">
        <v>151</v>
      </c>
      <c r="N3035" s="162" t="s">
        <v>554</v>
      </c>
      <c r="O3035" s="164">
        <v>44657.0</v>
      </c>
      <c r="P3035" s="164">
        <f t="array" ref="P3035">XLOOKUP('FACP$'!$B3035,'perfil de pagos'!A:A,'perfil de pagos'!B:B)+'FACP$'!$D3035</f>
        <v>44650</v>
      </c>
      <c r="Q3035" s="165">
        <f t="shared" si="2"/>
        <v>0</v>
      </c>
      <c r="R3035" s="167"/>
      <c r="S3035" s="167">
        <v>1345.0</v>
      </c>
      <c r="T3035" s="168">
        <f t="shared" si="3"/>
        <v>425832.79</v>
      </c>
      <c r="U3035" s="168">
        <f t="shared" si="4"/>
        <v>0</v>
      </c>
      <c r="V3035" s="168">
        <f t="shared" si="5"/>
        <v>0</v>
      </c>
      <c r="W3035" s="168">
        <f t="shared" si="6"/>
        <v>0</v>
      </c>
      <c r="X3035" s="168">
        <f t="shared" si="7"/>
        <v>0</v>
      </c>
      <c r="Y3035" s="168">
        <f t="shared" si="8"/>
        <v>0</v>
      </c>
      <c r="Z3035" s="168">
        <f t="shared" si="9"/>
        <v>0</v>
      </c>
      <c r="AA3035" s="81"/>
      <c r="AB3035" s="81"/>
      <c r="AC3035" s="81"/>
    </row>
    <row r="3036" ht="15.0" customHeight="1">
      <c r="A3036" s="157" t="s">
        <v>3589</v>
      </c>
      <c r="B3036" s="158" t="s">
        <v>27</v>
      </c>
      <c r="C3036" s="158" t="s">
        <v>3590</v>
      </c>
      <c r="D3036" s="159">
        <v>44620.0</v>
      </c>
      <c r="E3036" s="157" t="s">
        <v>731</v>
      </c>
      <c r="F3036" s="160">
        <v>31350.67</v>
      </c>
      <c r="G3036" s="160">
        <v>5016.11</v>
      </c>
      <c r="H3036" s="160">
        <f t="shared" si="81"/>
        <v>36366.78</v>
      </c>
      <c r="I3036" s="160"/>
      <c r="J3036" s="161"/>
      <c r="K3036" s="160"/>
      <c r="L3036" s="160">
        <f>+'FACP$'!$H3036-'FACP$'!$I3036-'FACP$'!$K3036</f>
        <v>36366.78</v>
      </c>
      <c r="M3036" s="162" t="s">
        <v>151</v>
      </c>
      <c r="N3036" s="162" t="s">
        <v>554</v>
      </c>
      <c r="O3036" s="164">
        <v>44669.0</v>
      </c>
      <c r="P3036" s="164">
        <f t="array" ref="P3036">XLOOKUP('FACP$'!$B3036,'perfil de pagos'!A:A,'perfil de pagos'!B:B)+'FACP$'!$D3036</f>
        <v>44650</v>
      </c>
      <c r="Q3036" s="165">
        <f t="shared" si="2"/>
        <v>0</v>
      </c>
      <c r="R3036" s="167"/>
      <c r="S3036" s="167">
        <v>1357.0</v>
      </c>
      <c r="T3036" s="168">
        <f t="shared" si="3"/>
        <v>36366.78</v>
      </c>
      <c r="U3036" s="168">
        <f t="shared" si="4"/>
        <v>0</v>
      </c>
      <c r="V3036" s="168">
        <f t="shared" si="5"/>
        <v>0</v>
      </c>
      <c r="W3036" s="168">
        <f t="shared" si="6"/>
        <v>0</v>
      </c>
      <c r="X3036" s="168">
        <f t="shared" si="7"/>
        <v>0</v>
      </c>
      <c r="Y3036" s="168">
        <f t="shared" si="8"/>
        <v>0</v>
      </c>
      <c r="Z3036" s="168">
        <f t="shared" si="9"/>
        <v>0</v>
      </c>
      <c r="AA3036" s="81"/>
      <c r="AB3036" s="81"/>
      <c r="AC3036" s="81"/>
    </row>
    <row r="3037" ht="15.0" customHeight="1">
      <c r="A3037" s="157" t="s">
        <v>3591</v>
      </c>
      <c r="B3037" s="158" t="s">
        <v>27</v>
      </c>
      <c r="C3037" s="158" t="s">
        <v>3592</v>
      </c>
      <c r="D3037" s="159">
        <v>44620.0</v>
      </c>
      <c r="E3037" s="157" t="s">
        <v>731</v>
      </c>
      <c r="F3037" s="160">
        <v>16426.72</v>
      </c>
      <c r="G3037" s="160">
        <v>2628.28</v>
      </c>
      <c r="H3037" s="160">
        <f t="shared" si="81"/>
        <v>19055</v>
      </c>
      <c r="I3037" s="160"/>
      <c r="J3037" s="161"/>
      <c r="K3037" s="160"/>
      <c r="L3037" s="160">
        <f>+'FACP$'!$H3037-'FACP$'!$I3037-'FACP$'!$K3037</f>
        <v>19055</v>
      </c>
      <c r="M3037" s="162" t="s">
        <v>151</v>
      </c>
      <c r="N3037" s="162" t="s">
        <v>554</v>
      </c>
      <c r="O3037" s="164">
        <v>44669.0</v>
      </c>
      <c r="P3037" s="164">
        <f t="array" ref="P3037">XLOOKUP('FACP$'!$B3037,'perfil de pagos'!A:A,'perfil de pagos'!B:B)+'FACP$'!$D3037</f>
        <v>44650</v>
      </c>
      <c r="Q3037" s="165">
        <f t="shared" si="2"/>
        <v>0</v>
      </c>
      <c r="R3037" s="167"/>
      <c r="S3037" s="167">
        <v>1357.0</v>
      </c>
      <c r="T3037" s="168">
        <f t="shared" si="3"/>
        <v>19055</v>
      </c>
      <c r="U3037" s="168">
        <f t="shared" si="4"/>
        <v>0</v>
      </c>
      <c r="V3037" s="168">
        <f t="shared" si="5"/>
        <v>0</v>
      </c>
      <c r="W3037" s="168">
        <f t="shared" si="6"/>
        <v>0</v>
      </c>
      <c r="X3037" s="168">
        <f t="shared" si="7"/>
        <v>0</v>
      </c>
      <c r="Y3037" s="168">
        <f t="shared" si="8"/>
        <v>0</v>
      </c>
      <c r="Z3037" s="168">
        <f t="shared" si="9"/>
        <v>0</v>
      </c>
      <c r="AA3037" s="81"/>
      <c r="AB3037" s="81"/>
      <c r="AC3037" s="81"/>
    </row>
    <row r="3038" ht="15.0" customHeight="1">
      <c r="A3038" s="157" t="s">
        <v>3593</v>
      </c>
      <c r="B3038" s="158" t="s">
        <v>21</v>
      </c>
      <c r="C3038" s="158" t="s">
        <v>3558</v>
      </c>
      <c r="D3038" s="159">
        <v>44621.0</v>
      </c>
      <c r="E3038" s="157" t="s">
        <v>731</v>
      </c>
      <c r="F3038" s="160">
        <v>32349.13</v>
      </c>
      <c r="G3038" s="160">
        <v>5175.86</v>
      </c>
      <c r="H3038" s="160">
        <f t="shared" si="81"/>
        <v>37524.99</v>
      </c>
      <c r="I3038" s="160"/>
      <c r="J3038" s="161"/>
      <c r="K3038" s="160"/>
      <c r="L3038" s="160">
        <f>+'FACP$'!$H3038-'FACP$'!$I3038-'FACP$'!$K3038</f>
        <v>37524.99</v>
      </c>
      <c r="M3038" s="162" t="s">
        <v>2263</v>
      </c>
      <c r="N3038" s="162" t="s">
        <v>554</v>
      </c>
      <c r="O3038" s="164">
        <v>44649.0</v>
      </c>
      <c r="P3038" s="164">
        <f t="array" ref="P3038">XLOOKUP('FACP$'!$B3038,'perfil de pagos'!A:A,'perfil de pagos'!B:B)+'FACP$'!$D3038</f>
        <v>44631</v>
      </c>
      <c r="Q3038" s="165">
        <f t="shared" si="2"/>
        <v>0</v>
      </c>
      <c r="R3038" s="167"/>
      <c r="S3038" s="167">
        <v>1337.0</v>
      </c>
      <c r="T3038" s="168">
        <f t="shared" si="3"/>
        <v>37524.99</v>
      </c>
      <c r="U3038" s="168">
        <f t="shared" si="4"/>
        <v>0</v>
      </c>
      <c r="V3038" s="168">
        <f t="shared" si="5"/>
        <v>0</v>
      </c>
      <c r="W3038" s="168">
        <f t="shared" si="6"/>
        <v>0</v>
      </c>
      <c r="X3038" s="168">
        <f t="shared" si="7"/>
        <v>0</v>
      </c>
      <c r="Y3038" s="168">
        <f t="shared" si="8"/>
        <v>0</v>
      </c>
      <c r="Z3038" s="168">
        <f t="shared" si="9"/>
        <v>0</v>
      </c>
      <c r="AA3038" s="81"/>
      <c r="AB3038" s="81"/>
      <c r="AC3038" s="81"/>
    </row>
    <row r="3039" ht="15.0" customHeight="1">
      <c r="A3039" s="157" t="s">
        <v>3594</v>
      </c>
      <c r="B3039" s="158" t="s">
        <v>27</v>
      </c>
      <c r="C3039" s="158" t="s">
        <v>3595</v>
      </c>
      <c r="D3039" s="159">
        <v>44624.0</v>
      </c>
      <c r="E3039" s="157" t="s">
        <v>731</v>
      </c>
      <c r="F3039" s="160">
        <v>4050.58</v>
      </c>
      <c r="G3039" s="160">
        <v>648.09</v>
      </c>
      <c r="H3039" s="160">
        <f t="shared" si="81"/>
        <v>4698.67</v>
      </c>
      <c r="I3039" s="160"/>
      <c r="J3039" s="161"/>
      <c r="K3039" s="160"/>
      <c r="L3039" s="160">
        <f>+'FACP$'!$H3039-'FACP$'!$I3039-'FACP$'!$K3039</f>
        <v>4698.67</v>
      </c>
      <c r="M3039" s="162" t="s">
        <v>158</v>
      </c>
      <c r="N3039" s="162" t="s">
        <v>554</v>
      </c>
      <c r="O3039" s="164">
        <v>44706.0</v>
      </c>
      <c r="P3039" s="164">
        <f t="array" ref="P3039">XLOOKUP('FACP$'!$B3039,'perfil de pagos'!A:A,'perfil de pagos'!B:B)+'FACP$'!$D3039</f>
        <v>44654</v>
      </c>
      <c r="Q3039" s="165">
        <f t="shared" si="2"/>
        <v>0</v>
      </c>
      <c r="R3039" s="167"/>
      <c r="S3039" s="167"/>
      <c r="T3039" s="168">
        <f t="shared" si="3"/>
        <v>4698.67</v>
      </c>
      <c r="U3039" s="168">
        <f t="shared" si="4"/>
        <v>0</v>
      </c>
      <c r="V3039" s="168">
        <f t="shared" si="5"/>
        <v>0</v>
      </c>
      <c r="W3039" s="168">
        <f t="shared" si="6"/>
        <v>0</v>
      </c>
      <c r="X3039" s="168">
        <f t="shared" si="7"/>
        <v>0</v>
      </c>
      <c r="Y3039" s="168">
        <f t="shared" si="8"/>
        <v>0</v>
      </c>
      <c r="Z3039" s="168">
        <f t="shared" si="9"/>
        <v>0</v>
      </c>
      <c r="AA3039" s="81"/>
      <c r="AB3039" s="81"/>
      <c r="AC3039" s="81"/>
    </row>
    <row r="3040" ht="15.0" customHeight="1">
      <c r="A3040" s="157" t="s">
        <v>3596</v>
      </c>
      <c r="B3040" s="158" t="s">
        <v>27</v>
      </c>
      <c r="C3040" s="158" t="s">
        <v>3597</v>
      </c>
      <c r="D3040" s="159">
        <v>44624.0</v>
      </c>
      <c r="E3040" s="157" t="s">
        <v>731</v>
      </c>
      <c r="F3040" s="160">
        <v>2073.77</v>
      </c>
      <c r="G3040" s="160">
        <v>331.8</v>
      </c>
      <c r="H3040" s="160">
        <f t="shared" si="81"/>
        <v>2405.57</v>
      </c>
      <c r="I3040" s="160"/>
      <c r="J3040" s="161"/>
      <c r="K3040" s="160"/>
      <c r="L3040" s="160">
        <f>+'FACP$'!$H3040-'FACP$'!$I3040-'FACP$'!$K3040</f>
        <v>2405.57</v>
      </c>
      <c r="M3040" s="162" t="s">
        <v>158</v>
      </c>
      <c r="N3040" s="162" t="s">
        <v>554</v>
      </c>
      <c r="O3040" s="164">
        <v>44706.0</v>
      </c>
      <c r="P3040" s="164">
        <f t="array" ref="P3040">XLOOKUP('FACP$'!$B3040,'perfil de pagos'!A:A,'perfil de pagos'!B:B)+'FACP$'!$D3040</f>
        <v>44654</v>
      </c>
      <c r="Q3040" s="165">
        <f t="shared" si="2"/>
        <v>0</v>
      </c>
      <c r="R3040" s="167"/>
      <c r="S3040" s="167"/>
      <c r="T3040" s="168">
        <f t="shared" si="3"/>
        <v>2405.57</v>
      </c>
      <c r="U3040" s="168">
        <f t="shared" si="4"/>
        <v>0</v>
      </c>
      <c r="V3040" s="168">
        <f t="shared" si="5"/>
        <v>0</v>
      </c>
      <c r="W3040" s="168">
        <f t="shared" si="6"/>
        <v>0</v>
      </c>
      <c r="X3040" s="168">
        <f t="shared" si="7"/>
        <v>0</v>
      </c>
      <c r="Y3040" s="168">
        <f t="shared" si="8"/>
        <v>0</v>
      </c>
      <c r="Z3040" s="168">
        <f t="shared" si="9"/>
        <v>0</v>
      </c>
      <c r="AA3040" s="81"/>
      <c r="AB3040" s="81"/>
      <c r="AC3040" s="81"/>
    </row>
    <row r="3041" ht="15.0" customHeight="1">
      <c r="A3041" s="157" t="s">
        <v>3598</v>
      </c>
      <c r="B3041" s="158" t="s">
        <v>127</v>
      </c>
      <c r="C3041" s="158"/>
      <c r="D3041" s="159"/>
      <c r="E3041" s="157"/>
      <c r="F3041" s="160"/>
      <c r="G3041" s="160"/>
      <c r="H3041" s="160">
        <f t="shared" si="81"/>
        <v>0</v>
      </c>
      <c r="I3041" s="160"/>
      <c r="J3041" s="161"/>
      <c r="K3041" s="160"/>
      <c r="L3041" s="160">
        <f>+'FACP$'!$H3041-'FACP$'!$I3041-'FACP$'!$K3041</f>
        <v>0</v>
      </c>
      <c r="M3041" s="162"/>
      <c r="N3041" s="162" t="s">
        <v>127</v>
      </c>
      <c r="O3041" s="164"/>
      <c r="P3041" s="164" t="str">
        <f t="array" ref="P3041">XLOOKUP('FACP$'!$B3041,'perfil de pagos'!A:A,'perfil de pagos'!B:B)+'FACP$'!$D3041</f>
        <v>#N/A</v>
      </c>
      <c r="Q3041" s="165">
        <f t="shared" si="2"/>
        <v>0</v>
      </c>
      <c r="R3041" s="167"/>
      <c r="S3041" s="167"/>
      <c r="T3041" s="168">
        <f t="shared" si="3"/>
        <v>0</v>
      </c>
      <c r="U3041" s="168">
        <f t="shared" si="4"/>
        <v>0</v>
      </c>
      <c r="V3041" s="168">
        <f t="shared" si="5"/>
        <v>0</v>
      </c>
      <c r="W3041" s="168">
        <f t="shared" si="6"/>
        <v>0</v>
      </c>
      <c r="X3041" s="168">
        <f t="shared" si="7"/>
        <v>0</v>
      </c>
      <c r="Y3041" s="168">
        <f t="shared" si="8"/>
        <v>0</v>
      </c>
      <c r="Z3041" s="168">
        <f t="shared" si="9"/>
        <v>0</v>
      </c>
      <c r="AA3041" s="81"/>
      <c r="AB3041" s="81"/>
      <c r="AC3041" s="81"/>
    </row>
    <row r="3042" ht="15.0" customHeight="1">
      <c r="A3042" s="157" t="s">
        <v>3599</v>
      </c>
      <c r="B3042" s="158" t="s">
        <v>27</v>
      </c>
      <c r="C3042" s="158" t="s">
        <v>3600</v>
      </c>
      <c r="D3042" s="159">
        <v>44624.0</v>
      </c>
      <c r="E3042" s="157" t="s">
        <v>731</v>
      </c>
      <c r="F3042" s="160">
        <v>13547.33</v>
      </c>
      <c r="G3042" s="160">
        <v>2167.57</v>
      </c>
      <c r="H3042" s="160">
        <f>F3042+G3042-230.84</f>
        <v>15484.06</v>
      </c>
      <c r="I3042" s="160"/>
      <c r="J3042" s="161"/>
      <c r="K3042" s="160"/>
      <c r="L3042" s="160">
        <f>+'FACP$'!$H3042-'FACP$'!$I3042-'FACP$'!$K3042</f>
        <v>15484.06</v>
      </c>
      <c r="M3042" s="162" t="s">
        <v>151</v>
      </c>
      <c r="N3042" s="162" t="s">
        <v>554</v>
      </c>
      <c r="O3042" s="164">
        <v>44706.0</v>
      </c>
      <c r="P3042" s="164">
        <f t="array" ref="P3042">XLOOKUP('FACP$'!$B3042,'perfil de pagos'!A:A,'perfil de pagos'!B:B)+'FACP$'!$D3042</f>
        <v>44654</v>
      </c>
      <c r="Q3042" s="165">
        <f t="shared" si="2"/>
        <v>0</v>
      </c>
      <c r="R3042" s="167" t="s">
        <v>3601</v>
      </c>
      <c r="S3042" s="167"/>
      <c r="T3042" s="168">
        <f t="shared" si="3"/>
        <v>15484.06</v>
      </c>
      <c r="U3042" s="168">
        <f t="shared" si="4"/>
        <v>0</v>
      </c>
      <c r="V3042" s="168">
        <f t="shared" si="5"/>
        <v>0</v>
      </c>
      <c r="W3042" s="168">
        <f t="shared" si="6"/>
        <v>0</v>
      </c>
      <c r="X3042" s="168">
        <f t="shared" si="7"/>
        <v>0</v>
      </c>
      <c r="Y3042" s="168">
        <f t="shared" si="8"/>
        <v>0</v>
      </c>
      <c r="Z3042" s="168">
        <f t="shared" si="9"/>
        <v>0</v>
      </c>
      <c r="AA3042" s="81"/>
      <c r="AB3042" s="81"/>
      <c r="AC3042" s="81"/>
    </row>
    <row r="3043" ht="15.0" customHeight="1">
      <c r="A3043" s="157" t="s">
        <v>3602</v>
      </c>
      <c r="B3043" s="158" t="s">
        <v>27</v>
      </c>
      <c r="C3043" s="158" t="s">
        <v>3603</v>
      </c>
      <c r="D3043" s="159">
        <v>44624.0</v>
      </c>
      <c r="E3043" s="157" t="s">
        <v>731</v>
      </c>
      <c r="F3043" s="160">
        <v>704.19</v>
      </c>
      <c r="G3043" s="160">
        <v>112.67</v>
      </c>
      <c r="H3043" s="160">
        <f>F3043+G3043-152.64</f>
        <v>664.22</v>
      </c>
      <c r="I3043" s="160"/>
      <c r="J3043" s="161"/>
      <c r="K3043" s="160"/>
      <c r="L3043" s="160">
        <f>+'FACP$'!$H3043-'FACP$'!$I3043-'FACP$'!$K3043</f>
        <v>664.22</v>
      </c>
      <c r="M3043" s="162" t="s">
        <v>151</v>
      </c>
      <c r="N3043" s="162" t="s">
        <v>554</v>
      </c>
      <c r="O3043" s="164">
        <v>44706.0</v>
      </c>
      <c r="P3043" s="164">
        <f t="array" ref="P3043">XLOOKUP('FACP$'!$B3043,'perfil de pagos'!A:A,'perfil de pagos'!B:B)+'FACP$'!$D3043</f>
        <v>44654</v>
      </c>
      <c r="Q3043" s="165">
        <f t="shared" si="2"/>
        <v>0</v>
      </c>
      <c r="R3043" s="167" t="s">
        <v>3604</v>
      </c>
      <c r="S3043" s="167"/>
      <c r="T3043" s="168">
        <f t="shared" si="3"/>
        <v>664.22</v>
      </c>
      <c r="U3043" s="168">
        <f t="shared" si="4"/>
        <v>0</v>
      </c>
      <c r="V3043" s="168">
        <f t="shared" si="5"/>
        <v>0</v>
      </c>
      <c r="W3043" s="168">
        <f t="shared" si="6"/>
        <v>0</v>
      </c>
      <c r="X3043" s="168">
        <f t="shared" si="7"/>
        <v>0</v>
      </c>
      <c r="Y3043" s="168">
        <f t="shared" si="8"/>
        <v>0</v>
      </c>
      <c r="Z3043" s="168">
        <f t="shared" si="9"/>
        <v>0</v>
      </c>
    </row>
    <row r="3044" ht="15.0" customHeight="1">
      <c r="A3044" s="157" t="s">
        <v>3605</v>
      </c>
      <c r="B3044" s="158" t="s">
        <v>27</v>
      </c>
      <c r="C3044" s="158" t="s">
        <v>3606</v>
      </c>
      <c r="D3044" s="159">
        <v>44624.0</v>
      </c>
      <c r="E3044" s="157" t="s">
        <v>731</v>
      </c>
      <c r="F3044" s="160">
        <v>423.33</v>
      </c>
      <c r="G3044" s="160">
        <v>67.73</v>
      </c>
      <c r="H3044" s="160">
        <f t="shared" ref="H3044:H3047" si="82">F3044+G3044</f>
        <v>491.06</v>
      </c>
      <c r="I3044" s="160"/>
      <c r="J3044" s="161"/>
      <c r="K3044" s="160"/>
      <c r="L3044" s="160">
        <f>+'FACP$'!$H3044-'FACP$'!$I3044-'FACP$'!$K3044</f>
        <v>491.06</v>
      </c>
      <c r="M3044" s="162" t="s">
        <v>151</v>
      </c>
      <c r="N3044" s="162" t="s">
        <v>554</v>
      </c>
      <c r="O3044" s="164">
        <v>44706.0</v>
      </c>
      <c r="P3044" s="164">
        <f t="array" ref="P3044">XLOOKUP('FACP$'!$B3044,'perfil de pagos'!A:A,'perfil de pagos'!B:B)+'FACP$'!$D3044</f>
        <v>44654</v>
      </c>
      <c r="Q3044" s="165">
        <f t="shared" si="2"/>
        <v>0</v>
      </c>
      <c r="R3044" s="167"/>
      <c r="S3044" s="167"/>
      <c r="T3044" s="168">
        <f t="shared" si="3"/>
        <v>491.06</v>
      </c>
      <c r="U3044" s="168">
        <f t="shared" si="4"/>
        <v>0</v>
      </c>
      <c r="V3044" s="168">
        <f t="shared" si="5"/>
        <v>0</v>
      </c>
      <c r="W3044" s="168">
        <f t="shared" si="6"/>
        <v>0</v>
      </c>
      <c r="X3044" s="168">
        <f t="shared" si="7"/>
        <v>0</v>
      </c>
      <c r="Y3044" s="168">
        <f t="shared" si="8"/>
        <v>0</v>
      </c>
      <c r="Z3044" s="168">
        <f t="shared" si="9"/>
        <v>0</v>
      </c>
    </row>
    <row r="3045" ht="15.0" customHeight="1">
      <c r="A3045" s="157" t="s">
        <v>3607</v>
      </c>
      <c r="B3045" s="158" t="s">
        <v>35</v>
      </c>
      <c r="C3045" s="158" t="s">
        <v>3608</v>
      </c>
      <c r="D3045" s="159">
        <v>44624.0</v>
      </c>
      <c r="E3045" s="157" t="s">
        <v>731</v>
      </c>
      <c r="F3045" s="160">
        <v>453735.78</v>
      </c>
      <c r="G3045" s="160">
        <v>72597.72</v>
      </c>
      <c r="H3045" s="160">
        <f t="shared" si="82"/>
        <v>526333.5</v>
      </c>
      <c r="I3045" s="160"/>
      <c r="J3045" s="161"/>
      <c r="K3045" s="160"/>
      <c r="L3045" s="160">
        <f>+'FACP$'!$H3045-'FACP$'!$I3045-'FACP$'!$K3045</f>
        <v>526333.5</v>
      </c>
      <c r="M3045" s="162" t="s">
        <v>276</v>
      </c>
      <c r="N3045" s="162" t="s">
        <v>554</v>
      </c>
      <c r="O3045" s="164">
        <v>44652.0</v>
      </c>
      <c r="P3045" s="164">
        <f t="array" ref="P3045">XLOOKUP('FACP$'!$B3045,'perfil de pagos'!A:A,'perfil de pagos'!B:B)+'FACP$'!$D3045</f>
        <v>44634</v>
      </c>
      <c r="Q3045" s="165">
        <f t="shared" si="2"/>
        <v>0</v>
      </c>
      <c r="R3045" s="167"/>
      <c r="S3045" s="167">
        <v>1341.0</v>
      </c>
      <c r="T3045" s="168">
        <f t="shared" si="3"/>
        <v>526333.5</v>
      </c>
      <c r="U3045" s="168">
        <f t="shared" si="4"/>
        <v>0</v>
      </c>
      <c r="V3045" s="168">
        <f t="shared" si="5"/>
        <v>0</v>
      </c>
      <c r="W3045" s="168">
        <f t="shared" si="6"/>
        <v>0</v>
      </c>
      <c r="X3045" s="168">
        <f t="shared" si="7"/>
        <v>0</v>
      </c>
      <c r="Y3045" s="168">
        <f t="shared" si="8"/>
        <v>0</v>
      </c>
      <c r="Z3045" s="168">
        <f t="shared" si="9"/>
        <v>0</v>
      </c>
    </row>
    <row r="3046" ht="15.0" customHeight="1">
      <c r="A3046" s="157" t="s">
        <v>3609</v>
      </c>
      <c r="B3046" s="158" t="s">
        <v>33</v>
      </c>
      <c r="C3046" s="158" t="s">
        <v>3608</v>
      </c>
      <c r="D3046" s="159">
        <v>44624.0</v>
      </c>
      <c r="E3046" s="157" t="s">
        <v>731</v>
      </c>
      <c r="F3046" s="160">
        <v>1180006.07</v>
      </c>
      <c r="G3046" s="160">
        <v>188800.97</v>
      </c>
      <c r="H3046" s="160">
        <f t="shared" si="82"/>
        <v>1368807.04</v>
      </c>
      <c r="I3046" s="160"/>
      <c r="J3046" s="161"/>
      <c r="K3046" s="160"/>
      <c r="L3046" s="160">
        <f>+'FACP$'!$H3046-'FACP$'!$I3046-'FACP$'!$K3046</f>
        <v>1368807.04</v>
      </c>
      <c r="M3046" s="162" t="s">
        <v>958</v>
      </c>
      <c r="N3046" s="162" t="s">
        <v>554</v>
      </c>
      <c r="O3046" s="164"/>
      <c r="P3046" s="164">
        <f t="array" ref="P3046">XLOOKUP('FACP$'!$B3046,'perfil de pagos'!A:A,'perfil de pagos'!B:B)+'FACP$'!$D3046</f>
        <v>44634</v>
      </c>
      <c r="Q3046" s="165">
        <f t="shared" si="2"/>
        <v>0</v>
      </c>
      <c r="R3046" s="167"/>
      <c r="S3046" s="167">
        <v>1330.0</v>
      </c>
      <c r="T3046" s="168">
        <f t="shared" si="3"/>
        <v>1368807.04</v>
      </c>
      <c r="U3046" s="168">
        <f t="shared" si="4"/>
        <v>0</v>
      </c>
      <c r="V3046" s="168">
        <f t="shared" si="5"/>
        <v>0</v>
      </c>
      <c r="W3046" s="168">
        <f t="shared" si="6"/>
        <v>0</v>
      </c>
      <c r="X3046" s="168">
        <f t="shared" si="7"/>
        <v>0</v>
      </c>
      <c r="Y3046" s="168">
        <f t="shared" si="8"/>
        <v>0</v>
      </c>
      <c r="Z3046" s="168">
        <f t="shared" si="9"/>
        <v>0</v>
      </c>
    </row>
    <row r="3047" ht="15.0" customHeight="1">
      <c r="A3047" s="157" t="s">
        <v>3610</v>
      </c>
      <c r="B3047" s="158" t="s">
        <v>36</v>
      </c>
      <c r="C3047" s="158" t="s">
        <v>3608</v>
      </c>
      <c r="D3047" s="159">
        <v>44624.0</v>
      </c>
      <c r="E3047" s="157" t="s">
        <v>731</v>
      </c>
      <c r="F3047" s="160">
        <v>83642.05</v>
      </c>
      <c r="G3047" s="160">
        <v>13382.73</v>
      </c>
      <c r="H3047" s="160">
        <f t="shared" si="82"/>
        <v>97024.78</v>
      </c>
      <c r="I3047" s="160"/>
      <c r="J3047" s="161"/>
      <c r="K3047" s="160"/>
      <c r="L3047" s="160">
        <f>+'FACP$'!$H3047-'FACP$'!$I3047-'FACP$'!$K3047</f>
        <v>97024.78</v>
      </c>
      <c r="M3047" s="162" t="s">
        <v>278</v>
      </c>
      <c r="N3047" s="162" t="s">
        <v>554</v>
      </c>
      <c r="O3047" s="164">
        <v>44644.0</v>
      </c>
      <c r="P3047" s="164">
        <f t="array" ref="P3047">XLOOKUP('FACP$'!$B3047,'perfil de pagos'!A:A,'perfil de pagos'!B:B)+'FACP$'!$D3047</f>
        <v>44634</v>
      </c>
      <c r="Q3047" s="165">
        <f t="shared" si="2"/>
        <v>0</v>
      </c>
      <c r="R3047" s="167">
        <v>49273.26</v>
      </c>
      <c r="S3047" s="167"/>
      <c r="T3047" s="168">
        <f t="shared" si="3"/>
        <v>97024.78</v>
      </c>
      <c r="U3047" s="168">
        <f t="shared" si="4"/>
        <v>0</v>
      </c>
      <c r="V3047" s="168">
        <f t="shared" si="5"/>
        <v>0</v>
      </c>
      <c r="W3047" s="168">
        <f t="shared" si="6"/>
        <v>0</v>
      </c>
      <c r="X3047" s="168">
        <f t="shared" si="7"/>
        <v>0</v>
      </c>
      <c r="Y3047" s="168">
        <f t="shared" si="8"/>
        <v>0</v>
      </c>
      <c r="Z3047" s="168">
        <f t="shared" si="9"/>
        <v>0</v>
      </c>
    </row>
    <row r="3048" ht="15.0" customHeight="1">
      <c r="A3048" s="157" t="s">
        <v>3611</v>
      </c>
      <c r="B3048" s="158" t="s">
        <v>31</v>
      </c>
      <c r="C3048" s="158" t="s">
        <v>3612</v>
      </c>
      <c r="D3048" s="159">
        <v>44624.0</v>
      </c>
      <c r="E3048" s="157" t="s">
        <v>731</v>
      </c>
      <c r="F3048" s="160">
        <v>58398.41</v>
      </c>
      <c r="G3048" s="160">
        <v>9343.75</v>
      </c>
      <c r="H3048" s="160">
        <f>F3048+G3048-11949.54-23081.16</f>
        <v>32711.46</v>
      </c>
      <c r="I3048" s="252"/>
      <c r="J3048" s="253"/>
      <c r="K3048" s="252"/>
      <c r="L3048" s="160">
        <f>+'FACP$'!$H3048-'FACP$'!$I3048-'FACP$'!$K3048</f>
        <v>32711.46</v>
      </c>
      <c r="M3048" s="162" t="s">
        <v>3183</v>
      </c>
      <c r="N3048" s="162" t="s">
        <v>554</v>
      </c>
      <c r="O3048" s="164">
        <v>44950.0</v>
      </c>
      <c r="P3048" s="164">
        <f t="array" ref="P3048">XLOOKUP('FACP$'!$B3048,'perfil de pagos'!A:A,'perfil de pagos'!B:B)+'FACP$'!$D3048</f>
        <v>44627</v>
      </c>
      <c r="Q3048" s="165">
        <f t="shared" si="2"/>
        <v>0</v>
      </c>
      <c r="R3048" s="220" t="s">
        <v>3613</v>
      </c>
      <c r="S3048" s="167">
        <v>2284.0</v>
      </c>
      <c r="T3048" s="168">
        <f t="shared" si="3"/>
        <v>32711.46</v>
      </c>
      <c r="U3048" s="168">
        <f t="shared" si="4"/>
        <v>0</v>
      </c>
      <c r="V3048" s="168">
        <f t="shared" si="5"/>
        <v>0</v>
      </c>
      <c r="W3048" s="168">
        <f t="shared" si="6"/>
        <v>0</v>
      </c>
      <c r="X3048" s="168">
        <f t="shared" si="7"/>
        <v>0</v>
      </c>
      <c r="Y3048" s="168">
        <f t="shared" si="8"/>
        <v>0</v>
      </c>
      <c r="Z3048" s="168">
        <f t="shared" si="9"/>
        <v>0</v>
      </c>
    </row>
    <row r="3049" ht="15.0" customHeight="1">
      <c r="A3049" s="157" t="s">
        <v>3614</v>
      </c>
      <c r="B3049" s="158" t="s">
        <v>41</v>
      </c>
      <c r="C3049" s="158" t="s">
        <v>3608</v>
      </c>
      <c r="D3049" s="159">
        <v>44624.0</v>
      </c>
      <c r="E3049" s="157" t="s">
        <v>731</v>
      </c>
      <c r="F3049" s="160">
        <v>936380.79</v>
      </c>
      <c r="G3049" s="160">
        <v>149820.93</v>
      </c>
      <c r="H3049" s="160">
        <f t="shared" ref="H3049:H3068" si="83">F3049+G3049</f>
        <v>1086201.72</v>
      </c>
      <c r="I3049" s="160"/>
      <c r="J3049" s="161"/>
      <c r="K3049" s="160"/>
      <c r="L3049" s="160">
        <f>+'FACP$'!$H3049-'FACP$'!$I3049-'FACP$'!$K3049</f>
        <v>1086201.72</v>
      </c>
      <c r="M3049" s="162" t="s">
        <v>121</v>
      </c>
      <c r="N3049" s="162" t="s">
        <v>554</v>
      </c>
      <c r="O3049" s="164">
        <v>44679.0</v>
      </c>
      <c r="P3049" s="164">
        <f t="array" ref="P3049">XLOOKUP('FACP$'!$B3049,'perfil de pagos'!A:A,'perfil de pagos'!B:B)+'FACP$'!$D3049</f>
        <v>44634</v>
      </c>
      <c r="Q3049" s="165">
        <f t="shared" si="2"/>
        <v>0</v>
      </c>
      <c r="R3049" s="167"/>
      <c r="S3049" s="167"/>
      <c r="T3049" s="168">
        <f t="shared" si="3"/>
        <v>1086201.72</v>
      </c>
      <c r="U3049" s="168">
        <f t="shared" si="4"/>
        <v>0</v>
      </c>
      <c r="V3049" s="168">
        <f t="shared" si="5"/>
        <v>0</v>
      </c>
      <c r="W3049" s="168">
        <f t="shared" si="6"/>
        <v>0</v>
      </c>
      <c r="X3049" s="168">
        <f t="shared" si="7"/>
        <v>0</v>
      </c>
      <c r="Y3049" s="168">
        <f t="shared" si="8"/>
        <v>0</v>
      </c>
      <c r="Z3049" s="168">
        <f t="shared" si="9"/>
        <v>0</v>
      </c>
    </row>
    <row r="3050" ht="15.0" customHeight="1">
      <c r="A3050" s="157" t="s">
        <v>3615</v>
      </c>
      <c r="B3050" s="158" t="s">
        <v>16</v>
      </c>
      <c r="C3050" s="158" t="s">
        <v>3608</v>
      </c>
      <c r="D3050" s="159">
        <v>44627.0</v>
      </c>
      <c r="E3050" s="157" t="s">
        <v>731</v>
      </c>
      <c r="F3050" s="160">
        <v>378739.91</v>
      </c>
      <c r="G3050" s="160">
        <v>60598.39</v>
      </c>
      <c r="H3050" s="160">
        <f t="shared" si="83"/>
        <v>439338.3</v>
      </c>
      <c r="I3050" s="160"/>
      <c r="J3050" s="161"/>
      <c r="K3050" s="160"/>
      <c r="L3050" s="160">
        <f>+'FACP$'!$H3050-'FACP$'!$I3050-'FACP$'!$K3050</f>
        <v>439338.3</v>
      </c>
      <c r="M3050" s="162" t="s">
        <v>985</v>
      </c>
      <c r="N3050" s="162" t="s">
        <v>554</v>
      </c>
      <c r="O3050" s="164">
        <v>44644.0</v>
      </c>
      <c r="P3050" s="164">
        <f t="array" ref="P3050">XLOOKUP('FACP$'!$B3050,'perfil de pagos'!A:A,'perfil de pagos'!B:B)+'FACP$'!$D3050</f>
        <v>44637</v>
      </c>
      <c r="Q3050" s="165">
        <f t="shared" si="2"/>
        <v>0</v>
      </c>
      <c r="R3050" s="167"/>
      <c r="S3050" s="167"/>
      <c r="T3050" s="168">
        <f t="shared" si="3"/>
        <v>439338.3</v>
      </c>
      <c r="U3050" s="168">
        <f t="shared" si="4"/>
        <v>0</v>
      </c>
      <c r="V3050" s="168">
        <f t="shared" si="5"/>
        <v>0</v>
      </c>
      <c r="W3050" s="168">
        <f t="shared" si="6"/>
        <v>0</v>
      </c>
      <c r="X3050" s="168">
        <f t="shared" si="7"/>
        <v>0</v>
      </c>
      <c r="Y3050" s="168">
        <f t="shared" si="8"/>
        <v>0</v>
      </c>
      <c r="Z3050" s="168">
        <f t="shared" si="9"/>
        <v>0</v>
      </c>
    </row>
    <row r="3051" ht="15.0" customHeight="1">
      <c r="A3051" s="157" t="s">
        <v>3616</v>
      </c>
      <c r="B3051" s="158" t="s">
        <v>16</v>
      </c>
      <c r="C3051" s="158" t="s">
        <v>3617</v>
      </c>
      <c r="D3051" s="159">
        <v>44627.0</v>
      </c>
      <c r="E3051" s="157" t="s">
        <v>731</v>
      </c>
      <c r="F3051" s="160">
        <v>341307.91</v>
      </c>
      <c r="G3051" s="160">
        <v>54609.27</v>
      </c>
      <c r="H3051" s="160">
        <f t="shared" si="83"/>
        <v>395917.18</v>
      </c>
      <c r="I3051" s="160"/>
      <c r="J3051" s="161"/>
      <c r="K3051" s="160"/>
      <c r="L3051" s="160">
        <f>+'FACP$'!$H3051-'FACP$'!$I3051-'FACP$'!$K3051</f>
        <v>395917.18</v>
      </c>
      <c r="M3051" s="162" t="s">
        <v>985</v>
      </c>
      <c r="N3051" s="162" t="s">
        <v>554</v>
      </c>
      <c r="O3051" s="164">
        <v>44644.0</v>
      </c>
      <c r="P3051" s="164">
        <f t="array" ref="P3051">XLOOKUP('FACP$'!$B3051,'perfil de pagos'!A:A,'perfil de pagos'!B:B)+'FACP$'!$D3051</f>
        <v>44637</v>
      </c>
      <c r="Q3051" s="165">
        <f t="shared" si="2"/>
        <v>0</v>
      </c>
      <c r="R3051" s="167"/>
      <c r="S3051" s="167"/>
      <c r="T3051" s="168">
        <f t="shared" si="3"/>
        <v>395917.18</v>
      </c>
      <c r="U3051" s="168">
        <f t="shared" si="4"/>
        <v>0</v>
      </c>
      <c r="V3051" s="168">
        <f t="shared" si="5"/>
        <v>0</v>
      </c>
      <c r="W3051" s="168">
        <f t="shared" si="6"/>
        <v>0</v>
      </c>
      <c r="X3051" s="168">
        <f t="shared" si="7"/>
        <v>0</v>
      </c>
      <c r="Y3051" s="168">
        <f t="shared" si="8"/>
        <v>0</v>
      </c>
      <c r="Z3051" s="168">
        <f t="shared" si="9"/>
        <v>0</v>
      </c>
    </row>
    <row r="3052" ht="15.0" customHeight="1">
      <c r="A3052" s="157" t="s">
        <v>3618</v>
      </c>
      <c r="B3052" s="158" t="s">
        <v>43</v>
      </c>
      <c r="C3052" s="158" t="s">
        <v>3608</v>
      </c>
      <c r="D3052" s="159">
        <v>44627.0</v>
      </c>
      <c r="E3052" s="157" t="s">
        <v>731</v>
      </c>
      <c r="F3052" s="160">
        <v>1501917.2</v>
      </c>
      <c r="G3052" s="160">
        <v>240306.75</v>
      </c>
      <c r="H3052" s="160">
        <f t="shared" si="83"/>
        <v>1742223.95</v>
      </c>
      <c r="I3052" s="160"/>
      <c r="J3052" s="161"/>
      <c r="K3052" s="160"/>
      <c r="L3052" s="160">
        <f>+'FACP$'!$H3052-'FACP$'!$I3052-'FACP$'!$K3052</f>
        <v>1742223.95</v>
      </c>
      <c r="M3052" s="162" t="s">
        <v>43</v>
      </c>
      <c r="N3052" s="162" t="s">
        <v>554</v>
      </c>
      <c r="O3052" s="164">
        <v>44673.0</v>
      </c>
      <c r="P3052" s="164">
        <f t="array" ref="P3052">XLOOKUP('FACP$'!$B3052,'perfil de pagos'!A:A,'perfil de pagos'!B:B)+'FACP$'!$D3052</f>
        <v>44652</v>
      </c>
      <c r="Q3052" s="165">
        <f t="shared" si="2"/>
        <v>0</v>
      </c>
      <c r="R3052" s="167"/>
      <c r="S3052" s="167"/>
      <c r="T3052" s="168">
        <f t="shared" si="3"/>
        <v>1742223.95</v>
      </c>
      <c r="U3052" s="168">
        <f t="shared" si="4"/>
        <v>0</v>
      </c>
      <c r="V3052" s="168">
        <f t="shared" si="5"/>
        <v>0</v>
      </c>
      <c r="W3052" s="168">
        <f t="shared" si="6"/>
        <v>0</v>
      </c>
      <c r="X3052" s="168">
        <f t="shared" si="7"/>
        <v>0</v>
      </c>
      <c r="Y3052" s="168">
        <f t="shared" si="8"/>
        <v>0</v>
      </c>
      <c r="Z3052" s="168">
        <f t="shared" si="9"/>
        <v>0</v>
      </c>
    </row>
    <row r="3053" ht="15.0" customHeight="1">
      <c r="A3053" s="157" t="s">
        <v>3619</v>
      </c>
      <c r="B3053" s="158" t="s">
        <v>19</v>
      </c>
      <c r="C3053" s="158" t="s">
        <v>3608</v>
      </c>
      <c r="D3053" s="159">
        <v>44627.0</v>
      </c>
      <c r="E3053" s="157" t="s">
        <v>731</v>
      </c>
      <c r="F3053" s="160">
        <v>161589.18</v>
      </c>
      <c r="G3053" s="160">
        <v>25854.27</v>
      </c>
      <c r="H3053" s="160">
        <f t="shared" si="83"/>
        <v>187443.45</v>
      </c>
      <c r="I3053" s="160"/>
      <c r="J3053" s="161"/>
      <c r="K3053" s="160"/>
      <c r="L3053" s="160">
        <f>+'FACP$'!$H3053-'FACP$'!$I3053-'FACP$'!$K3053</f>
        <v>187443.45</v>
      </c>
      <c r="M3053" s="162" t="s">
        <v>732</v>
      </c>
      <c r="N3053" s="162" t="s">
        <v>554</v>
      </c>
      <c r="O3053" s="164">
        <v>44635.0</v>
      </c>
      <c r="P3053" s="164">
        <f t="array" ref="P3053">XLOOKUP('FACP$'!$B3053,'perfil de pagos'!A:A,'perfil de pagos'!B:B)+'FACP$'!$D3053</f>
        <v>44637</v>
      </c>
      <c r="Q3053" s="165">
        <f t="shared" si="2"/>
        <v>0</v>
      </c>
      <c r="R3053" s="167"/>
      <c r="S3053" s="167">
        <v>1324.0</v>
      </c>
      <c r="T3053" s="168">
        <f t="shared" si="3"/>
        <v>187443.45</v>
      </c>
      <c r="U3053" s="168">
        <f t="shared" si="4"/>
        <v>0</v>
      </c>
      <c r="V3053" s="168">
        <f t="shared" si="5"/>
        <v>0</v>
      </c>
      <c r="W3053" s="168">
        <f t="shared" si="6"/>
        <v>0</v>
      </c>
      <c r="X3053" s="168">
        <f t="shared" si="7"/>
        <v>0</v>
      </c>
      <c r="Y3053" s="168">
        <f t="shared" si="8"/>
        <v>0</v>
      </c>
      <c r="Z3053" s="168">
        <f t="shared" si="9"/>
        <v>0</v>
      </c>
    </row>
    <row r="3054" ht="15.0" customHeight="1">
      <c r="A3054" s="157" t="s">
        <v>3620</v>
      </c>
      <c r="B3054" s="158" t="s">
        <v>26</v>
      </c>
      <c r="C3054" s="158" t="s">
        <v>3608</v>
      </c>
      <c r="D3054" s="159">
        <v>44627.0</v>
      </c>
      <c r="E3054" s="157" t="s">
        <v>731</v>
      </c>
      <c r="F3054" s="160">
        <v>60680.2</v>
      </c>
      <c r="G3054" s="160">
        <v>9708.83</v>
      </c>
      <c r="H3054" s="160">
        <f t="shared" si="83"/>
        <v>70389.03</v>
      </c>
      <c r="I3054" s="160"/>
      <c r="J3054" s="161"/>
      <c r="K3054" s="160"/>
      <c r="L3054" s="160">
        <f>+'FACP$'!$H3054-'FACP$'!$I3054-'FACP$'!$K3054</f>
        <v>70389.03</v>
      </c>
      <c r="M3054" s="162" t="s">
        <v>2386</v>
      </c>
      <c r="N3054" s="162" t="s">
        <v>554</v>
      </c>
      <c r="O3054" s="164">
        <v>44637.0</v>
      </c>
      <c r="P3054" s="164">
        <f t="array" ref="P3054">XLOOKUP('FACP$'!$B3054,'perfil de pagos'!A:A,'perfil de pagos'!B:B)+'FACP$'!$D3054</f>
        <v>44637</v>
      </c>
      <c r="Q3054" s="165">
        <f t="shared" si="2"/>
        <v>0</v>
      </c>
      <c r="R3054" s="167" t="s">
        <v>3575</v>
      </c>
      <c r="S3054" s="167">
        <v>1325.0</v>
      </c>
      <c r="T3054" s="168">
        <f t="shared" si="3"/>
        <v>70389.03</v>
      </c>
      <c r="U3054" s="168">
        <f t="shared" si="4"/>
        <v>0</v>
      </c>
      <c r="V3054" s="168">
        <f t="shared" si="5"/>
        <v>0</v>
      </c>
      <c r="W3054" s="168">
        <f t="shared" si="6"/>
        <v>0</v>
      </c>
      <c r="X3054" s="168">
        <f t="shared" si="7"/>
        <v>0</v>
      </c>
      <c r="Y3054" s="168">
        <f t="shared" si="8"/>
        <v>0</v>
      </c>
      <c r="Z3054" s="168">
        <f t="shared" si="9"/>
        <v>0</v>
      </c>
    </row>
    <row r="3055" ht="15.0" customHeight="1">
      <c r="A3055" s="157" t="s">
        <v>3621</v>
      </c>
      <c r="B3055" s="158" t="s">
        <v>29</v>
      </c>
      <c r="C3055" s="158" t="s">
        <v>3608</v>
      </c>
      <c r="D3055" s="159">
        <v>44627.0</v>
      </c>
      <c r="E3055" s="157" t="s">
        <v>731</v>
      </c>
      <c r="F3055" s="160">
        <v>360583.6</v>
      </c>
      <c r="G3055" s="160">
        <v>57693.38</v>
      </c>
      <c r="H3055" s="160">
        <f t="shared" si="83"/>
        <v>418276.98</v>
      </c>
      <c r="I3055" s="160"/>
      <c r="J3055" s="161"/>
      <c r="K3055" s="160"/>
      <c r="L3055" s="160">
        <f>+'FACP$'!$H3055-'FACP$'!$I3055-'FACP$'!$K3055</f>
        <v>418276.98</v>
      </c>
      <c r="M3055" s="162" t="s">
        <v>130</v>
      </c>
      <c r="N3055" s="162" t="s">
        <v>554</v>
      </c>
      <c r="O3055" s="164">
        <v>44623.0</v>
      </c>
      <c r="P3055" s="164">
        <f t="array" ref="P3055">XLOOKUP('FACP$'!$B3055,'perfil de pagos'!A:A,'perfil de pagos'!B:B)+'FACP$'!$D3055</f>
        <v>44637</v>
      </c>
      <c r="Q3055" s="165">
        <f t="shared" si="2"/>
        <v>0</v>
      </c>
      <c r="R3055" s="167"/>
      <c r="S3055" s="167"/>
      <c r="T3055" s="168">
        <f t="shared" si="3"/>
        <v>418276.98</v>
      </c>
      <c r="U3055" s="168">
        <f t="shared" si="4"/>
        <v>0</v>
      </c>
      <c r="V3055" s="168">
        <f t="shared" si="5"/>
        <v>0</v>
      </c>
      <c r="W3055" s="168">
        <f t="shared" si="6"/>
        <v>0</v>
      </c>
      <c r="X3055" s="168">
        <f t="shared" si="7"/>
        <v>0</v>
      </c>
      <c r="Y3055" s="168">
        <f t="shared" si="8"/>
        <v>0</v>
      </c>
      <c r="Z3055" s="168">
        <f t="shared" si="9"/>
        <v>0</v>
      </c>
    </row>
    <row r="3056" ht="15.0" customHeight="1">
      <c r="A3056" s="157" t="s">
        <v>3622</v>
      </c>
      <c r="B3056" s="158" t="s">
        <v>29</v>
      </c>
      <c r="C3056" s="158" t="s">
        <v>3617</v>
      </c>
      <c r="D3056" s="159">
        <v>44627.0</v>
      </c>
      <c r="E3056" s="157" t="s">
        <v>731</v>
      </c>
      <c r="F3056" s="160">
        <v>360286.27</v>
      </c>
      <c r="G3056" s="160">
        <v>57645.8</v>
      </c>
      <c r="H3056" s="160">
        <f t="shared" si="83"/>
        <v>417932.07</v>
      </c>
      <c r="I3056" s="160"/>
      <c r="J3056" s="161"/>
      <c r="K3056" s="160"/>
      <c r="L3056" s="160">
        <f>+'FACP$'!$H3056-'FACP$'!$I3056-'FACP$'!$K3056</f>
        <v>417932.07</v>
      </c>
      <c r="M3056" s="162" t="s">
        <v>130</v>
      </c>
      <c r="N3056" s="162" t="s">
        <v>554</v>
      </c>
      <c r="O3056" s="164">
        <v>44638.0</v>
      </c>
      <c r="P3056" s="164">
        <f t="array" ref="P3056">XLOOKUP('FACP$'!$B3056,'perfil de pagos'!A:A,'perfil de pagos'!B:B)+'FACP$'!$D3056</f>
        <v>44637</v>
      </c>
      <c r="Q3056" s="165">
        <f t="shared" si="2"/>
        <v>0</v>
      </c>
      <c r="R3056" s="167"/>
      <c r="S3056" s="167"/>
      <c r="T3056" s="168">
        <f t="shared" si="3"/>
        <v>417932.07</v>
      </c>
      <c r="U3056" s="168">
        <f t="shared" si="4"/>
        <v>0</v>
      </c>
      <c r="V3056" s="168">
        <f t="shared" si="5"/>
        <v>0</v>
      </c>
      <c r="W3056" s="168">
        <f t="shared" si="6"/>
        <v>0</v>
      </c>
      <c r="X3056" s="168">
        <f t="shared" si="7"/>
        <v>0</v>
      </c>
      <c r="Y3056" s="168">
        <f t="shared" si="8"/>
        <v>0</v>
      </c>
      <c r="Z3056" s="168">
        <f t="shared" si="9"/>
        <v>0</v>
      </c>
    </row>
    <row r="3057" ht="15.0" customHeight="1">
      <c r="A3057" s="157" t="s">
        <v>3623</v>
      </c>
      <c r="B3057" s="158" t="s">
        <v>37</v>
      </c>
      <c r="C3057" s="158" t="s">
        <v>3608</v>
      </c>
      <c r="D3057" s="159">
        <v>44627.0</v>
      </c>
      <c r="E3057" s="157" t="s">
        <v>731</v>
      </c>
      <c r="F3057" s="160">
        <v>1669201.71</v>
      </c>
      <c r="G3057" s="160">
        <v>267072.27</v>
      </c>
      <c r="H3057" s="160">
        <f t="shared" si="83"/>
        <v>1936273.98</v>
      </c>
      <c r="I3057" s="160"/>
      <c r="J3057" s="161"/>
      <c r="K3057" s="160"/>
      <c r="L3057" s="160">
        <f>+'FACP$'!$H3057-'FACP$'!$I3057-'FACP$'!$K3057</f>
        <v>1936273.98</v>
      </c>
      <c r="M3057" s="162" t="s">
        <v>116</v>
      </c>
      <c r="N3057" s="162" t="s">
        <v>554</v>
      </c>
      <c r="O3057" s="164">
        <v>44648.0</v>
      </c>
      <c r="P3057" s="164">
        <f t="array" ref="P3057">XLOOKUP('FACP$'!$B3057,'perfil de pagos'!A:A,'perfil de pagos'!B:B)+'FACP$'!$D3057</f>
        <v>44637</v>
      </c>
      <c r="Q3057" s="165">
        <f t="shared" si="2"/>
        <v>0</v>
      </c>
      <c r="R3057" s="167"/>
      <c r="S3057" s="167"/>
      <c r="T3057" s="168">
        <f t="shared" si="3"/>
        <v>1936273.98</v>
      </c>
      <c r="U3057" s="168">
        <f t="shared" si="4"/>
        <v>0</v>
      </c>
      <c r="V3057" s="168">
        <f t="shared" si="5"/>
        <v>0</v>
      </c>
      <c r="W3057" s="168">
        <f t="shared" si="6"/>
        <v>0</v>
      </c>
      <c r="X3057" s="168">
        <f t="shared" si="7"/>
        <v>0</v>
      </c>
      <c r="Y3057" s="168">
        <f t="shared" si="8"/>
        <v>0</v>
      </c>
      <c r="Z3057" s="168">
        <f t="shared" si="9"/>
        <v>0</v>
      </c>
    </row>
    <row r="3058" ht="15.0" customHeight="1">
      <c r="A3058" s="157" t="s">
        <v>3624</v>
      </c>
      <c r="B3058" s="158" t="s">
        <v>38</v>
      </c>
      <c r="C3058" s="158" t="s">
        <v>3608</v>
      </c>
      <c r="D3058" s="159">
        <v>44627.0</v>
      </c>
      <c r="E3058" s="157" t="s">
        <v>731</v>
      </c>
      <c r="F3058" s="160">
        <v>888909.12</v>
      </c>
      <c r="G3058" s="160">
        <v>142225.46</v>
      </c>
      <c r="H3058" s="160">
        <f t="shared" si="83"/>
        <v>1031134.58</v>
      </c>
      <c r="I3058" s="160"/>
      <c r="J3058" s="161"/>
      <c r="K3058" s="160"/>
      <c r="L3058" s="160">
        <f>+'FACP$'!$H3058-'FACP$'!$I3058-'FACP$'!$K3058</f>
        <v>1031134.58</v>
      </c>
      <c r="M3058" s="162" t="s">
        <v>145</v>
      </c>
      <c r="N3058" s="162" t="s">
        <v>554</v>
      </c>
      <c r="O3058" s="164">
        <v>44672.0</v>
      </c>
      <c r="P3058" s="164">
        <f t="array" ref="P3058">XLOOKUP('FACP$'!$B3058,'perfil de pagos'!A:A,'perfil de pagos'!B:B)+'FACP$'!$D3058</f>
        <v>44657</v>
      </c>
      <c r="Q3058" s="165">
        <f t="shared" si="2"/>
        <v>0</v>
      </c>
      <c r="R3058" s="167"/>
      <c r="S3058" s="167"/>
      <c r="T3058" s="168">
        <f t="shared" si="3"/>
        <v>1031134.58</v>
      </c>
      <c r="U3058" s="168">
        <f t="shared" si="4"/>
        <v>0</v>
      </c>
      <c r="V3058" s="168">
        <f t="shared" si="5"/>
        <v>0</v>
      </c>
      <c r="W3058" s="168">
        <f t="shared" si="6"/>
        <v>0</v>
      </c>
      <c r="X3058" s="168">
        <f t="shared" si="7"/>
        <v>0</v>
      </c>
      <c r="Y3058" s="168">
        <f t="shared" si="8"/>
        <v>0</v>
      </c>
      <c r="Z3058" s="168">
        <f t="shared" si="9"/>
        <v>0</v>
      </c>
    </row>
    <row r="3059" ht="15.0" customHeight="1">
      <c r="A3059" s="157" t="s">
        <v>3625</v>
      </c>
      <c r="B3059" s="158" t="s">
        <v>18</v>
      </c>
      <c r="C3059" s="158" t="s">
        <v>3608</v>
      </c>
      <c r="D3059" s="159">
        <v>44628.0</v>
      </c>
      <c r="E3059" s="157" t="s">
        <v>731</v>
      </c>
      <c r="F3059" s="160">
        <v>156950.47</v>
      </c>
      <c r="G3059" s="160">
        <v>25112.08</v>
      </c>
      <c r="H3059" s="160">
        <f t="shared" si="83"/>
        <v>182062.55</v>
      </c>
      <c r="I3059" s="160"/>
      <c r="J3059" s="161"/>
      <c r="K3059" s="160"/>
      <c r="L3059" s="160">
        <f>+'FACP$'!$H3059-'FACP$'!$I3059-'FACP$'!$K3059</f>
        <v>182062.55</v>
      </c>
      <c r="M3059" s="162" t="s">
        <v>586</v>
      </c>
      <c r="N3059" s="162" t="s">
        <v>554</v>
      </c>
      <c r="O3059" s="164">
        <v>44635.0</v>
      </c>
      <c r="P3059" s="164">
        <f t="array" ref="P3059">XLOOKUP('FACP$'!$B3059,'perfil de pagos'!A:A,'perfil de pagos'!B:B)+'FACP$'!$D3059</f>
        <v>44638</v>
      </c>
      <c r="Q3059" s="165">
        <f t="shared" si="2"/>
        <v>0</v>
      </c>
      <c r="R3059" s="167"/>
      <c r="S3059" s="167">
        <v>1324.0</v>
      </c>
      <c r="T3059" s="168">
        <f t="shared" si="3"/>
        <v>182062.55</v>
      </c>
      <c r="U3059" s="168">
        <f t="shared" si="4"/>
        <v>0</v>
      </c>
      <c r="V3059" s="168">
        <f t="shared" si="5"/>
        <v>0</v>
      </c>
      <c r="W3059" s="168">
        <f t="shared" si="6"/>
        <v>0</v>
      </c>
      <c r="X3059" s="168">
        <f t="shared" si="7"/>
        <v>0</v>
      </c>
      <c r="Y3059" s="168">
        <f t="shared" si="8"/>
        <v>0</v>
      </c>
      <c r="Z3059" s="168">
        <f t="shared" si="9"/>
        <v>0</v>
      </c>
    </row>
    <row r="3060" ht="15.0" customHeight="1">
      <c r="A3060" s="157" t="s">
        <v>3626</v>
      </c>
      <c r="B3060" s="158" t="s">
        <v>22</v>
      </c>
      <c r="C3060" s="158" t="s">
        <v>3627</v>
      </c>
      <c r="D3060" s="159">
        <v>44631.0</v>
      </c>
      <c r="E3060" s="157" t="s">
        <v>731</v>
      </c>
      <c r="F3060" s="160">
        <v>537.38</v>
      </c>
      <c r="G3060" s="160">
        <v>85.98</v>
      </c>
      <c r="H3060" s="160">
        <f t="shared" si="83"/>
        <v>623.36</v>
      </c>
      <c r="I3060" s="160"/>
      <c r="J3060" s="161"/>
      <c r="K3060" s="160"/>
      <c r="L3060" s="160">
        <f>+'FACP$'!$H3060-'FACP$'!$I3060-'FACP$'!$K3060</f>
        <v>623.36</v>
      </c>
      <c r="M3060" s="162" t="s">
        <v>220</v>
      </c>
      <c r="N3060" s="162" t="s">
        <v>554</v>
      </c>
      <c r="O3060" s="164">
        <v>44697.0</v>
      </c>
      <c r="P3060" s="164">
        <f t="array" ref="P3060">XLOOKUP('FACP$'!$B3060,'perfil de pagos'!A:A,'perfil de pagos'!B:B)+'FACP$'!$D3060</f>
        <v>44641</v>
      </c>
      <c r="Q3060" s="165">
        <f t="shared" si="2"/>
        <v>0</v>
      </c>
      <c r="R3060" s="167"/>
      <c r="S3060" s="167">
        <v>1378.0</v>
      </c>
      <c r="T3060" s="168">
        <f t="shared" si="3"/>
        <v>623.36</v>
      </c>
      <c r="U3060" s="168">
        <f t="shared" si="4"/>
        <v>0</v>
      </c>
      <c r="V3060" s="168">
        <f t="shared" si="5"/>
        <v>0</v>
      </c>
      <c r="W3060" s="168">
        <f t="shared" si="6"/>
        <v>0</v>
      </c>
      <c r="X3060" s="168">
        <f t="shared" si="7"/>
        <v>0</v>
      </c>
      <c r="Y3060" s="168">
        <f t="shared" si="8"/>
        <v>0</v>
      </c>
      <c r="Z3060" s="168">
        <f t="shared" si="9"/>
        <v>0</v>
      </c>
    </row>
    <row r="3061" ht="15.0" customHeight="1">
      <c r="A3061" s="157" t="s">
        <v>3628</v>
      </c>
      <c r="B3061" s="158" t="s">
        <v>22</v>
      </c>
      <c r="C3061" s="158" t="s">
        <v>3629</v>
      </c>
      <c r="D3061" s="159">
        <v>44631.0</v>
      </c>
      <c r="E3061" s="157" t="s">
        <v>731</v>
      </c>
      <c r="F3061" s="160">
        <v>87880.81</v>
      </c>
      <c r="G3061" s="160">
        <v>14060.93</v>
      </c>
      <c r="H3061" s="160">
        <f t="shared" si="83"/>
        <v>101941.74</v>
      </c>
      <c r="I3061" s="160"/>
      <c r="J3061" s="161"/>
      <c r="K3061" s="160"/>
      <c r="L3061" s="160">
        <f>+'FACP$'!$H3061-'FACP$'!$I3061-'FACP$'!$K3061</f>
        <v>101941.74</v>
      </c>
      <c r="M3061" s="162" t="s">
        <v>220</v>
      </c>
      <c r="N3061" s="162" t="s">
        <v>554</v>
      </c>
      <c r="O3061" s="164">
        <v>44697.0</v>
      </c>
      <c r="P3061" s="164">
        <f t="array" ref="P3061">XLOOKUP('FACP$'!$B3061,'perfil de pagos'!A:A,'perfil de pagos'!B:B)+'FACP$'!$D3061</f>
        <v>44641</v>
      </c>
      <c r="Q3061" s="165">
        <f t="shared" si="2"/>
        <v>0</v>
      </c>
      <c r="R3061" s="167"/>
      <c r="S3061" s="167">
        <v>1378.0</v>
      </c>
      <c r="T3061" s="168">
        <f t="shared" si="3"/>
        <v>101941.74</v>
      </c>
      <c r="U3061" s="168">
        <f t="shared" si="4"/>
        <v>0</v>
      </c>
      <c r="V3061" s="168">
        <f t="shared" si="5"/>
        <v>0</v>
      </c>
      <c r="W3061" s="168">
        <f t="shared" si="6"/>
        <v>0</v>
      </c>
      <c r="X3061" s="168">
        <f t="shared" si="7"/>
        <v>0</v>
      </c>
      <c r="Y3061" s="168">
        <f t="shared" si="8"/>
        <v>0</v>
      </c>
      <c r="Z3061" s="168">
        <f t="shared" si="9"/>
        <v>0</v>
      </c>
    </row>
    <row r="3062" ht="15.0" customHeight="1">
      <c r="A3062" s="157" t="s">
        <v>3630</v>
      </c>
      <c r="B3062" s="256" t="s">
        <v>127</v>
      </c>
      <c r="C3062" s="256"/>
      <c r="D3062" s="257"/>
      <c r="E3062" s="258"/>
      <c r="F3062" s="259"/>
      <c r="G3062" s="259"/>
      <c r="H3062" s="160">
        <f t="shared" si="83"/>
        <v>0</v>
      </c>
      <c r="I3062" s="259"/>
      <c r="J3062" s="260"/>
      <c r="K3062" s="259"/>
      <c r="L3062" s="259">
        <f>+'FACP$'!$H3062-'FACP$'!$I3062-'FACP$'!$K3062</f>
        <v>0</v>
      </c>
      <c r="M3062" s="270"/>
      <c r="N3062" s="261" t="s">
        <v>127</v>
      </c>
      <c r="O3062" s="262"/>
      <c r="P3062" s="262">
        <f>D3062+10</f>
        <v>10</v>
      </c>
      <c r="Q3062" s="263">
        <f t="shared" si="2"/>
        <v>0</v>
      </c>
      <c r="R3062" s="264" t="s">
        <v>448</v>
      </c>
      <c r="S3062" s="264"/>
      <c r="T3062" s="269">
        <f t="shared" si="3"/>
        <v>0</v>
      </c>
      <c r="U3062" s="269">
        <f t="shared" si="4"/>
        <v>0</v>
      </c>
      <c r="V3062" s="269">
        <f t="shared" si="5"/>
        <v>0</v>
      </c>
      <c r="W3062" s="269">
        <f t="shared" si="6"/>
        <v>0</v>
      </c>
      <c r="X3062" s="269">
        <f t="shared" si="7"/>
        <v>0</v>
      </c>
      <c r="Y3062" s="269">
        <f t="shared" si="8"/>
        <v>0</v>
      </c>
      <c r="Z3062" s="269">
        <f t="shared" si="9"/>
        <v>0</v>
      </c>
    </row>
    <row r="3063" ht="15.0" customHeight="1">
      <c r="A3063" s="157" t="s">
        <v>3631</v>
      </c>
      <c r="B3063" s="158" t="s">
        <v>41</v>
      </c>
      <c r="C3063" s="158" t="s">
        <v>3632</v>
      </c>
      <c r="D3063" s="159">
        <v>44636.0</v>
      </c>
      <c r="E3063" s="157" t="s">
        <v>731</v>
      </c>
      <c r="F3063" s="160">
        <v>13675.44</v>
      </c>
      <c r="G3063" s="160">
        <v>2188.07</v>
      </c>
      <c r="H3063" s="160">
        <f t="shared" si="83"/>
        <v>15863.51</v>
      </c>
      <c r="I3063" s="160"/>
      <c r="J3063" s="161"/>
      <c r="K3063" s="160"/>
      <c r="L3063" s="160">
        <f>+'FACP$'!$H3063-'FACP$'!$I3063-'FACP$'!$K3063</f>
        <v>15863.51</v>
      </c>
      <c r="M3063" s="271" t="s">
        <v>121</v>
      </c>
      <c r="N3063" s="162" t="s">
        <v>554</v>
      </c>
      <c r="O3063" s="164">
        <v>44704.0</v>
      </c>
      <c r="P3063" s="164">
        <f t="array" ref="P3063">XLOOKUP('FACP$'!$B3063,'perfil de pagos'!A:A,'perfil de pagos'!B:B)+'FACP$'!$D3063</f>
        <v>44646</v>
      </c>
      <c r="Q3063" s="165">
        <f t="shared" si="2"/>
        <v>0</v>
      </c>
      <c r="R3063" s="167"/>
      <c r="S3063" s="167"/>
      <c r="T3063" s="168">
        <f t="shared" si="3"/>
        <v>15863.51</v>
      </c>
      <c r="U3063" s="168">
        <f t="shared" si="4"/>
        <v>0</v>
      </c>
      <c r="V3063" s="168">
        <f t="shared" si="5"/>
        <v>0</v>
      </c>
      <c r="W3063" s="168">
        <f t="shared" si="6"/>
        <v>0</v>
      </c>
      <c r="X3063" s="168">
        <f t="shared" si="7"/>
        <v>0</v>
      </c>
      <c r="Y3063" s="168">
        <f t="shared" si="8"/>
        <v>0</v>
      </c>
      <c r="Z3063" s="168">
        <f t="shared" si="9"/>
        <v>0</v>
      </c>
    </row>
    <row r="3064" ht="15.0" customHeight="1">
      <c r="A3064" s="157" t="s">
        <v>3633</v>
      </c>
      <c r="B3064" s="158" t="s">
        <v>27</v>
      </c>
      <c r="C3064" s="158" t="s">
        <v>3632</v>
      </c>
      <c r="D3064" s="159">
        <v>44636.0</v>
      </c>
      <c r="E3064" s="157" t="s">
        <v>731</v>
      </c>
      <c r="F3064" s="160">
        <v>3093.78</v>
      </c>
      <c r="G3064" s="160">
        <v>495.01</v>
      </c>
      <c r="H3064" s="160">
        <f t="shared" si="83"/>
        <v>3588.79</v>
      </c>
      <c r="I3064" s="160"/>
      <c r="J3064" s="161"/>
      <c r="K3064" s="160"/>
      <c r="L3064" s="160">
        <f>+'FACP$'!$H3064-'FACP$'!$I3064-'FACP$'!$K3064</f>
        <v>3588.79</v>
      </c>
      <c r="M3064" s="162" t="s">
        <v>151</v>
      </c>
      <c r="N3064" s="162" t="s">
        <v>554</v>
      </c>
      <c r="O3064" s="164">
        <v>44753.0</v>
      </c>
      <c r="P3064" s="164">
        <f t="array" ref="P3064">XLOOKUP('FACP$'!$B3064,'perfil de pagos'!A:A,'perfil de pagos'!B:B)+'FACP$'!$D3064</f>
        <v>44666</v>
      </c>
      <c r="Q3064" s="165">
        <f t="shared" si="2"/>
        <v>0</v>
      </c>
      <c r="R3064" s="167"/>
      <c r="S3064" s="167"/>
      <c r="T3064" s="168">
        <f t="shared" si="3"/>
        <v>3588.79</v>
      </c>
      <c r="U3064" s="168">
        <f t="shared" si="4"/>
        <v>0</v>
      </c>
      <c r="V3064" s="168">
        <f t="shared" si="5"/>
        <v>0</v>
      </c>
      <c r="W3064" s="168">
        <f t="shared" si="6"/>
        <v>0</v>
      </c>
      <c r="X3064" s="168">
        <f t="shared" si="7"/>
        <v>0</v>
      </c>
      <c r="Y3064" s="168">
        <f t="shared" si="8"/>
        <v>0</v>
      </c>
      <c r="Z3064" s="168">
        <f t="shared" si="9"/>
        <v>0</v>
      </c>
    </row>
    <row r="3065" ht="15.0" customHeight="1">
      <c r="A3065" s="157" t="s">
        <v>3634</v>
      </c>
      <c r="B3065" s="158" t="s">
        <v>27</v>
      </c>
      <c r="C3065" s="158" t="s">
        <v>3632</v>
      </c>
      <c r="D3065" s="159">
        <v>44636.0</v>
      </c>
      <c r="E3065" s="157" t="s">
        <v>731</v>
      </c>
      <c r="F3065" s="160">
        <v>1184.13</v>
      </c>
      <c r="G3065" s="160">
        <v>189.46</v>
      </c>
      <c r="H3065" s="160">
        <f t="shared" si="83"/>
        <v>1373.59</v>
      </c>
      <c r="I3065" s="160"/>
      <c r="J3065" s="161"/>
      <c r="K3065" s="160"/>
      <c r="L3065" s="160">
        <f>+'FACP$'!$H3065-'FACP$'!$I3065-'FACP$'!$K3065</f>
        <v>1373.59</v>
      </c>
      <c r="M3065" s="162" t="s">
        <v>158</v>
      </c>
      <c r="N3065" s="162" t="s">
        <v>554</v>
      </c>
      <c r="O3065" s="164">
        <v>44753.0</v>
      </c>
      <c r="P3065" s="164">
        <f t="array" ref="P3065">XLOOKUP('FACP$'!$B3065,'perfil de pagos'!A:A,'perfil de pagos'!B:B)+'FACP$'!$D3065</f>
        <v>44666</v>
      </c>
      <c r="Q3065" s="165">
        <f t="shared" si="2"/>
        <v>0</v>
      </c>
      <c r="R3065" s="167"/>
      <c r="S3065" s="167"/>
      <c r="T3065" s="168">
        <f t="shared" si="3"/>
        <v>1373.59</v>
      </c>
      <c r="U3065" s="168">
        <f t="shared" si="4"/>
        <v>0</v>
      </c>
      <c r="V3065" s="168">
        <f t="shared" si="5"/>
        <v>0</v>
      </c>
      <c r="W3065" s="168">
        <f t="shared" si="6"/>
        <v>0</v>
      </c>
      <c r="X3065" s="168">
        <f t="shared" si="7"/>
        <v>0</v>
      </c>
      <c r="Y3065" s="168">
        <f t="shared" si="8"/>
        <v>0</v>
      </c>
      <c r="Z3065" s="168">
        <f t="shared" si="9"/>
        <v>0</v>
      </c>
    </row>
    <row r="3066" ht="15.0" customHeight="1">
      <c r="A3066" s="157" t="s">
        <v>3635</v>
      </c>
      <c r="B3066" s="158" t="s">
        <v>33</v>
      </c>
      <c r="C3066" s="158" t="s">
        <v>3632</v>
      </c>
      <c r="D3066" s="159">
        <v>44636.0</v>
      </c>
      <c r="E3066" s="157" t="s">
        <v>731</v>
      </c>
      <c r="F3066" s="160">
        <v>27417.69</v>
      </c>
      <c r="G3066" s="160">
        <v>4386.83</v>
      </c>
      <c r="H3066" s="160">
        <f t="shared" si="83"/>
        <v>31804.52</v>
      </c>
      <c r="I3066" s="160"/>
      <c r="J3066" s="161"/>
      <c r="K3066" s="160"/>
      <c r="L3066" s="160">
        <f>+'FACP$'!$H3066-'FACP$'!$I3066-'FACP$'!$K3066</f>
        <v>31804.52</v>
      </c>
      <c r="M3066" s="162" t="s">
        <v>958</v>
      </c>
      <c r="N3066" s="162" t="s">
        <v>554</v>
      </c>
      <c r="O3066" s="164">
        <v>44659.0</v>
      </c>
      <c r="P3066" s="164">
        <f t="array" ref="P3066">XLOOKUP('FACP$'!$B3066,'perfil de pagos'!A:A,'perfil de pagos'!B:B)+'FACP$'!$D3066</f>
        <v>44646</v>
      </c>
      <c r="Q3066" s="165">
        <f t="shared" si="2"/>
        <v>0</v>
      </c>
      <c r="R3066" s="167"/>
      <c r="S3066" s="167"/>
      <c r="T3066" s="168">
        <f t="shared" si="3"/>
        <v>31804.52</v>
      </c>
      <c r="U3066" s="168">
        <f t="shared" si="4"/>
        <v>0</v>
      </c>
      <c r="V3066" s="168">
        <f t="shared" si="5"/>
        <v>0</v>
      </c>
      <c r="W3066" s="168">
        <f t="shared" si="6"/>
        <v>0</v>
      </c>
      <c r="X3066" s="168">
        <f t="shared" si="7"/>
        <v>0</v>
      </c>
      <c r="Y3066" s="168">
        <f t="shared" si="8"/>
        <v>0</v>
      </c>
      <c r="Z3066" s="168">
        <f t="shared" si="9"/>
        <v>0</v>
      </c>
    </row>
    <row r="3067" ht="15.0" customHeight="1">
      <c r="A3067" s="157" t="s">
        <v>3636</v>
      </c>
      <c r="B3067" s="158" t="s">
        <v>35</v>
      </c>
      <c r="C3067" s="158" t="s">
        <v>3632</v>
      </c>
      <c r="D3067" s="159">
        <v>44636.0</v>
      </c>
      <c r="E3067" s="157" t="s">
        <v>731</v>
      </c>
      <c r="F3067" s="160">
        <v>1590.32</v>
      </c>
      <c r="G3067" s="160">
        <v>254.45</v>
      </c>
      <c r="H3067" s="160">
        <f t="shared" si="83"/>
        <v>1844.77</v>
      </c>
      <c r="I3067" s="160"/>
      <c r="J3067" s="161"/>
      <c r="K3067" s="160"/>
      <c r="L3067" s="160">
        <f>+'FACP$'!$H3067-'FACP$'!$I3067-'FACP$'!$K3067</f>
        <v>1844.77</v>
      </c>
      <c r="M3067" s="162" t="s">
        <v>276</v>
      </c>
      <c r="N3067" s="162" t="s">
        <v>554</v>
      </c>
      <c r="O3067" s="164">
        <v>44664.0</v>
      </c>
      <c r="P3067" s="164">
        <f t="array" ref="P3067">XLOOKUP('FACP$'!$B3067,'perfil de pagos'!A:A,'perfil de pagos'!B:B)+'FACP$'!$D3067</f>
        <v>44646</v>
      </c>
      <c r="Q3067" s="165">
        <f t="shared" si="2"/>
        <v>0</v>
      </c>
      <c r="R3067" s="167"/>
      <c r="S3067" s="167">
        <v>1353.0</v>
      </c>
      <c r="T3067" s="168">
        <f t="shared" si="3"/>
        <v>1844.77</v>
      </c>
      <c r="U3067" s="168">
        <f t="shared" si="4"/>
        <v>0</v>
      </c>
      <c r="V3067" s="168">
        <f t="shared" si="5"/>
        <v>0</v>
      </c>
      <c r="W3067" s="168">
        <f t="shared" si="6"/>
        <v>0</v>
      </c>
      <c r="X3067" s="168">
        <f t="shared" si="7"/>
        <v>0</v>
      </c>
      <c r="Y3067" s="168">
        <f t="shared" si="8"/>
        <v>0</v>
      </c>
      <c r="Z3067" s="168">
        <f t="shared" si="9"/>
        <v>0</v>
      </c>
    </row>
    <row r="3068" ht="15.0" customHeight="1">
      <c r="A3068" s="157" t="s">
        <v>3637</v>
      </c>
      <c r="B3068" s="158" t="s">
        <v>36</v>
      </c>
      <c r="C3068" s="158" t="s">
        <v>3632</v>
      </c>
      <c r="D3068" s="159">
        <v>44636.0</v>
      </c>
      <c r="E3068" s="157" t="s">
        <v>731</v>
      </c>
      <c r="F3068" s="160">
        <v>3082.06</v>
      </c>
      <c r="G3068" s="160">
        <v>493.13</v>
      </c>
      <c r="H3068" s="160">
        <f t="shared" si="83"/>
        <v>3575.19</v>
      </c>
      <c r="I3068" s="160"/>
      <c r="J3068" s="161"/>
      <c r="K3068" s="160"/>
      <c r="L3068" s="160">
        <f>+'FACP$'!$H3068-'FACP$'!$I3068-'FACP$'!$K3068</f>
        <v>3575.19</v>
      </c>
      <c r="M3068" s="162" t="s">
        <v>278</v>
      </c>
      <c r="N3068" s="162" t="s">
        <v>554</v>
      </c>
      <c r="O3068" s="164">
        <v>44656.0</v>
      </c>
      <c r="P3068" s="164">
        <f t="array" ref="P3068">XLOOKUP('FACP$'!$B3068,'perfil de pagos'!A:A,'perfil de pagos'!B:B)+'FACP$'!$D3068</f>
        <v>44646</v>
      </c>
      <c r="Q3068" s="165">
        <f t="shared" si="2"/>
        <v>0</v>
      </c>
      <c r="R3068" s="167"/>
      <c r="S3068" s="167"/>
      <c r="T3068" s="168">
        <f t="shared" si="3"/>
        <v>3575.19</v>
      </c>
      <c r="U3068" s="168">
        <f t="shared" si="4"/>
        <v>0</v>
      </c>
      <c r="V3068" s="168">
        <f t="shared" si="5"/>
        <v>0</v>
      </c>
      <c r="W3068" s="168">
        <f t="shared" si="6"/>
        <v>0</v>
      </c>
      <c r="X3068" s="168">
        <f t="shared" si="7"/>
        <v>0</v>
      </c>
      <c r="Y3068" s="168">
        <f t="shared" si="8"/>
        <v>0</v>
      </c>
      <c r="Z3068" s="168">
        <f t="shared" si="9"/>
        <v>0</v>
      </c>
    </row>
    <row r="3069" ht="15.0" customHeight="1">
      <c r="A3069" s="157" t="s">
        <v>3638</v>
      </c>
      <c r="B3069" s="209" t="s">
        <v>31</v>
      </c>
      <c r="C3069" s="209" t="s">
        <v>3632</v>
      </c>
      <c r="D3069" s="186">
        <v>44636.0</v>
      </c>
      <c r="E3069" s="210" t="s">
        <v>731</v>
      </c>
      <c r="F3069" s="211">
        <v>12826.7</v>
      </c>
      <c r="G3069" s="211">
        <v>2052.27</v>
      </c>
      <c r="H3069" s="160">
        <f>F3069+G3069-14878.97</f>
        <v>0</v>
      </c>
      <c r="I3069" s="267"/>
      <c r="J3069" s="268"/>
      <c r="K3069" s="267"/>
      <c r="L3069" s="211">
        <f>+'FACP$'!$H3069-'FACP$'!$I3069-'FACP$'!$K3069</f>
        <v>0</v>
      </c>
      <c r="M3069" s="227" t="s">
        <v>3183</v>
      </c>
      <c r="N3069" s="227" t="s">
        <v>127</v>
      </c>
      <c r="O3069" s="245"/>
      <c r="P3069" s="164">
        <f t="array" ref="P3069">XLOOKUP('FACP$'!$B3069,'perfil de pagos'!A:A,'perfil de pagos'!B:B)+'FACP$'!$D3069</f>
        <v>44639</v>
      </c>
      <c r="Q3069" s="246">
        <f t="shared" si="2"/>
        <v>0</v>
      </c>
      <c r="R3069" s="223" t="s">
        <v>3639</v>
      </c>
      <c r="S3069" s="223"/>
      <c r="T3069" s="168">
        <f t="shared" si="3"/>
        <v>0</v>
      </c>
      <c r="U3069" s="168">
        <f t="shared" si="4"/>
        <v>0</v>
      </c>
      <c r="V3069" s="168">
        <f t="shared" si="5"/>
        <v>0</v>
      </c>
      <c r="W3069" s="168">
        <f t="shared" si="6"/>
        <v>0</v>
      </c>
      <c r="X3069" s="168">
        <f t="shared" si="7"/>
        <v>0</v>
      </c>
      <c r="Y3069" s="168">
        <f t="shared" si="8"/>
        <v>0</v>
      </c>
      <c r="Z3069" s="168">
        <f t="shared" si="9"/>
        <v>0</v>
      </c>
      <c r="AA3069" s="147"/>
      <c r="AB3069" s="147"/>
      <c r="AC3069" s="147"/>
    </row>
    <row r="3070" ht="15.0" customHeight="1">
      <c r="A3070" s="157" t="s">
        <v>3640</v>
      </c>
      <c r="B3070" s="158" t="s">
        <v>43</v>
      </c>
      <c r="C3070" s="158" t="s">
        <v>3632</v>
      </c>
      <c r="D3070" s="159">
        <v>44636.0</v>
      </c>
      <c r="E3070" s="157" t="s">
        <v>731</v>
      </c>
      <c r="F3070" s="160">
        <v>45497.08</v>
      </c>
      <c r="G3070" s="160">
        <v>7279.53</v>
      </c>
      <c r="H3070" s="160">
        <f t="shared" ref="H3070:H3075" si="84">F3070+G3070</f>
        <v>52776.61</v>
      </c>
      <c r="I3070" s="160"/>
      <c r="J3070" s="161"/>
      <c r="K3070" s="160"/>
      <c r="L3070" s="160">
        <f>+'FACP$'!$H3070-'FACP$'!$I3070-'FACP$'!$K3070</f>
        <v>52776.61</v>
      </c>
      <c r="M3070" s="162" t="s">
        <v>43</v>
      </c>
      <c r="N3070" s="162" t="s">
        <v>554</v>
      </c>
      <c r="O3070" s="164">
        <v>44832.0</v>
      </c>
      <c r="P3070" s="164">
        <f t="array" ref="P3070">XLOOKUP('FACP$'!$B3070,'perfil de pagos'!A:A,'perfil de pagos'!B:B)+'FACP$'!$D3070</f>
        <v>44661</v>
      </c>
      <c r="Q3070" s="165">
        <f t="shared" si="2"/>
        <v>0</v>
      </c>
      <c r="R3070" s="167"/>
      <c r="S3070" s="167">
        <v>1585.0</v>
      </c>
      <c r="T3070" s="168">
        <f t="shared" si="3"/>
        <v>52776.61</v>
      </c>
      <c r="U3070" s="168">
        <f t="shared" si="4"/>
        <v>0</v>
      </c>
      <c r="V3070" s="168">
        <f t="shared" si="5"/>
        <v>0</v>
      </c>
      <c r="W3070" s="168">
        <f t="shared" si="6"/>
        <v>0</v>
      </c>
      <c r="X3070" s="168">
        <f t="shared" si="7"/>
        <v>0</v>
      </c>
      <c r="Y3070" s="168">
        <f t="shared" si="8"/>
        <v>0</v>
      </c>
      <c r="Z3070" s="168">
        <f t="shared" si="9"/>
        <v>0</v>
      </c>
    </row>
    <row r="3071" ht="15.75" customHeight="1">
      <c r="A3071" s="157" t="s">
        <v>3641</v>
      </c>
      <c r="B3071" s="158" t="s">
        <v>41</v>
      </c>
      <c r="C3071" s="158" t="s">
        <v>3642</v>
      </c>
      <c r="D3071" s="159">
        <v>44636.0</v>
      </c>
      <c r="E3071" s="157" t="s">
        <v>731</v>
      </c>
      <c r="F3071" s="160">
        <v>40065.04</v>
      </c>
      <c r="G3071" s="160">
        <v>6410.41</v>
      </c>
      <c r="H3071" s="160">
        <f t="shared" si="84"/>
        <v>46475.45</v>
      </c>
      <c r="I3071" s="160"/>
      <c r="J3071" s="161"/>
      <c r="K3071" s="160"/>
      <c r="L3071" s="160">
        <f>+'FACP$'!$H3071-'FACP$'!$I3071-'FACP$'!$K3071</f>
        <v>46475.45</v>
      </c>
      <c r="M3071" s="162" t="s">
        <v>121</v>
      </c>
      <c r="N3071" s="162" t="s">
        <v>554</v>
      </c>
      <c r="O3071" s="164">
        <v>44704.0</v>
      </c>
      <c r="P3071" s="164">
        <f t="array" ref="P3071">XLOOKUP('FACP$'!$B3071,'perfil de pagos'!A:A,'perfil de pagos'!B:B)+'FACP$'!$D3071</f>
        <v>44646</v>
      </c>
      <c r="Q3071" s="165">
        <f t="shared" si="2"/>
        <v>0</v>
      </c>
      <c r="R3071" s="167"/>
      <c r="S3071" s="167"/>
      <c r="T3071" s="168">
        <f t="shared" si="3"/>
        <v>46475.45</v>
      </c>
      <c r="U3071" s="168">
        <f t="shared" si="4"/>
        <v>0</v>
      </c>
      <c r="V3071" s="168">
        <f t="shared" si="5"/>
        <v>0</v>
      </c>
      <c r="W3071" s="168">
        <f t="shared" si="6"/>
        <v>0</v>
      </c>
      <c r="X3071" s="168">
        <f t="shared" si="7"/>
        <v>0</v>
      </c>
      <c r="Y3071" s="168">
        <f t="shared" si="8"/>
        <v>0</v>
      </c>
      <c r="Z3071" s="168">
        <f t="shared" si="9"/>
        <v>0</v>
      </c>
    </row>
    <row r="3072" ht="15.0" customHeight="1">
      <c r="A3072" s="157" t="s">
        <v>3643</v>
      </c>
      <c r="B3072" s="158" t="s">
        <v>27</v>
      </c>
      <c r="C3072" s="158" t="s">
        <v>3642</v>
      </c>
      <c r="D3072" s="159">
        <v>44636.0</v>
      </c>
      <c r="E3072" s="157" t="s">
        <v>731</v>
      </c>
      <c r="F3072" s="160">
        <v>37.15</v>
      </c>
      <c r="G3072" s="160">
        <v>5.94</v>
      </c>
      <c r="H3072" s="160">
        <f t="shared" si="84"/>
        <v>43.09</v>
      </c>
      <c r="I3072" s="160"/>
      <c r="J3072" s="161"/>
      <c r="K3072" s="160"/>
      <c r="L3072" s="160">
        <f>+'FACP$'!$H3072-'FACP$'!$I3072-'FACP$'!$K3072</f>
        <v>43.09</v>
      </c>
      <c r="M3072" s="162" t="s">
        <v>158</v>
      </c>
      <c r="N3072" s="162" t="s">
        <v>554</v>
      </c>
      <c r="O3072" s="164">
        <v>44753.0</v>
      </c>
      <c r="P3072" s="164">
        <f t="array" ref="P3072">XLOOKUP('FACP$'!$B3072,'perfil de pagos'!A:A,'perfil de pagos'!B:B)+'FACP$'!$D3072</f>
        <v>44666</v>
      </c>
      <c r="Q3072" s="165">
        <f t="shared" si="2"/>
        <v>0</v>
      </c>
      <c r="R3072" s="167"/>
      <c r="S3072" s="167"/>
      <c r="T3072" s="168">
        <f t="shared" si="3"/>
        <v>43.09</v>
      </c>
      <c r="U3072" s="168">
        <f t="shared" si="4"/>
        <v>0</v>
      </c>
      <c r="V3072" s="168">
        <f t="shared" si="5"/>
        <v>0</v>
      </c>
      <c r="W3072" s="168">
        <f t="shared" si="6"/>
        <v>0</v>
      </c>
      <c r="X3072" s="168">
        <f t="shared" si="7"/>
        <v>0</v>
      </c>
      <c r="Y3072" s="168">
        <f t="shared" si="8"/>
        <v>0</v>
      </c>
      <c r="Z3072" s="168">
        <f t="shared" si="9"/>
        <v>0</v>
      </c>
    </row>
    <row r="3073" ht="15.0" customHeight="1">
      <c r="A3073" s="157" t="s">
        <v>3644</v>
      </c>
      <c r="B3073" s="158" t="s">
        <v>33</v>
      </c>
      <c r="C3073" s="158" t="s">
        <v>3642</v>
      </c>
      <c r="D3073" s="159">
        <v>44636.0</v>
      </c>
      <c r="E3073" s="157" t="s">
        <v>731</v>
      </c>
      <c r="F3073" s="160">
        <v>17714.58</v>
      </c>
      <c r="G3073" s="160">
        <v>2834.33</v>
      </c>
      <c r="H3073" s="160">
        <f t="shared" si="84"/>
        <v>20548.91</v>
      </c>
      <c r="I3073" s="160"/>
      <c r="J3073" s="161"/>
      <c r="K3073" s="160"/>
      <c r="L3073" s="160">
        <f>+'FACP$'!$H3073-'FACP$'!$I3073-'FACP$'!$K3073</f>
        <v>20548.91</v>
      </c>
      <c r="M3073" s="162" t="s">
        <v>958</v>
      </c>
      <c r="N3073" s="162" t="s">
        <v>554</v>
      </c>
      <c r="O3073" s="164">
        <v>44659.0</v>
      </c>
      <c r="P3073" s="164">
        <f t="array" ref="P3073">XLOOKUP('FACP$'!$B3073,'perfil de pagos'!A:A,'perfil de pagos'!B:B)+'FACP$'!$D3073</f>
        <v>44646</v>
      </c>
      <c r="Q3073" s="165">
        <f t="shared" si="2"/>
        <v>0</v>
      </c>
      <c r="R3073" s="167"/>
      <c r="S3073" s="167"/>
      <c r="T3073" s="168">
        <f t="shared" si="3"/>
        <v>20548.91</v>
      </c>
      <c r="U3073" s="168">
        <f t="shared" si="4"/>
        <v>0</v>
      </c>
      <c r="V3073" s="168">
        <f t="shared" si="5"/>
        <v>0</v>
      </c>
      <c r="W3073" s="168">
        <f t="shared" si="6"/>
        <v>0</v>
      </c>
      <c r="X3073" s="168">
        <f t="shared" si="7"/>
        <v>0</v>
      </c>
      <c r="Y3073" s="168">
        <f t="shared" si="8"/>
        <v>0</v>
      </c>
      <c r="Z3073" s="168">
        <f t="shared" si="9"/>
        <v>0</v>
      </c>
    </row>
    <row r="3074" ht="15.0" customHeight="1">
      <c r="A3074" s="157" t="s">
        <v>3645</v>
      </c>
      <c r="B3074" s="158" t="s">
        <v>35</v>
      </c>
      <c r="C3074" s="158" t="s">
        <v>3642</v>
      </c>
      <c r="D3074" s="159">
        <v>44636.0</v>
      </c>
      <c r="E3074" s="157" t="s">
        <v>731</v>
      </c>
      <c r="F3074" s="160">
        <v>42750.72</v>
      </c>
      <c r="G3074" s="160">
        <v>6840.12</v>
      </c>
      <c r="H3074" s="160">
        <f t="shared" si="84"/>
        <v>49590.84</v>
      </c>
      <c r="I3074" s="160"/>
      <c r="J3074" s="161"/>
      <c r="K3074" s="160"/>
      <c r="L3074" s="160">
        <f>+'FACP$'!$H3074-'FACP$'!$I3074-'FACP$'!$K3074</f>
        <v>49590.84</v>
      </c>
      <c r="M3074" s="162" t="s">
        <v>276</v>
      </c>
      <c r="N3074" s="162" t="s">
        <v>554</v>
      </c>
      <c r="O3074" s="164">
        <v>44664.0</v>
      </c>
      <c r="P3074" s="164">
        <f t="array" ref="P3074">XLOOKUP('FACP$'!$B3074,'perfil de pagos'!A:A,'perfil de pagos'!B:B)+'FACP$'!$D3074</f>
        <v>44646</v>
      </c>
      <c r="Q3074" s="165">
        <f t="shared" si="2"/>
        <v>0</v>
      </c>
      <c r="R3074" s="272"/>
      <c r="S3074" s="167">
        <v>1353.0</v>
      </c>
      <c r="T3074" s="168">
        <f t="shared" si="3"/>
        <v>49590.84</v>
      </c>
      <c r="U3074" s="168">
        <f t="shared" si="4"/>
        <v>0</v>
      </c>
      <c r="V3074" s="168">
        <f t="shared" si="5"/>
        <v>0</v>
      </c>
      <c r="W3074" s="168">
        <f t="shared" si="6"/>
        <v>0</v>
      </c>
      <c r="X3074" s="168">
        <f t="shared" si="7"/>
        <v>0</v>
      </c>
      <c r="Y3074" s="168">
        <f t="shared" si="8"/>
        <v>0</v>
      </c>
      <c r="Z3074" s="168">
        <f t="shared" si="9"/>
        <v>0</v>
      </c>
    </row>
    <row r="3075" ht="15.0" customHeight="1">
      <c r="A3075" s="157" t="s">
        <v>3646</v>
      </c>
      <c r="B3075" s="158" t="s">
        <v>36</v>
      </c>
      <c r="C3075" s="158" t="s">
        <v>3642</v>
      </c>
      <c r="D3075" s="159">
        <v>44636.0</v>
      </c>
      <c r="E3075" s="157" t="s">
        <v>731</v>
      </c>
      <c r="F3075" s="160">
        <v>18823.21</v>
      </c>
      <c r="G3075" s="160">
        <v>3011.71</v>
      </c>
      <c r="H3075" s="160">
        <f t="shared" si="84"/>
        <v>21834.92</v>
      </c>
      <c r="I3075" s="160"/>
      <c r="J3075" s="161"/>
      <c r="K3075" s="160"/>
      <c r="L3075" s="160">
        <f>+'FACP$'!$H3075-'FACP$'!$I3075-'FACP$'!$K3075</f>
        <v>21834.92</v>
      </c>
      <c r="M3075" s="162" t="s">
        <v>278</v>
      </c>
      <c r="N3075" s="162" t="s">
        <v>554</v>
      </c>
      <c r="O3075" s="164">
        <v>44656.0</v>
      </c>
      <c r="P3075" s="164">
        <f t="array" ref="P3075">XLOOKUP('FACP$'!$B3075,'perfil de pagos'!A:A,'perfil de pagos'!B:B)+'FACP$'!$D3075</f>
        <v>44646</v>
      </c>
      <c r="Q3075" s="165">
        <f t="shared" si="2"/>
        <v>0</v>
      </c>
      <c r="R3075" s="167"/>
      <c r="S3075" s="167"/>
      <c r="T3075" s="168">
        <f t="shared" si="3"/>
        <v>21834.92</v>
      </c>
      <c r="U3075" s="168">
        <f t="shared" si="4"/>
        <v>0</v>
      </c>
      <c r="V3075" s="168">
        <f t="shared" si="5"/>
        <v>0</v>
      </c>
      <c r="W3075" s="168">
        <f t="shared" si="6"/>
        <v>0</v>
      </c>
      <c r="X3075" s="168">
        <f t="shared" si="7"/>
        <v>0</v>
      </c>
      <c r="Y3075" s="168">
        <f t="shared" si="8"/>
        <v>0</v>
      </c>
      <c r="Z3075" s="168">
        <f t="shared" si="9"/>
        <v>0</v>
      </c>
    </row>
    <row r="3076" ht="15.0" customHeight="1">
      <c r="A3076" s="157" t="s">
        <v>3647</v>
      </c>
      <c r="B3076" s="209" t="s">
        <v>31</v>
      </c>
      <c r="C3076" s="209" t="s">
        <v>3642</v>
      </c>
      <c r="D3076" s="186">
        <v>44636.0</v>
      </c>
      <c r="E3076" s="210" t="s">
        <v>731</v>
      </c>
      <c r="F3076" s="211">
        <v>167.14</v>
      </c>
      <c r="G3076" s="211">
        <v>26.74</v>
      </c>
      <c r="H3076" s="160">
        <f>F3076+G3076-193.88</f>
        <v>0</v>
      </c>
      <c r="I3076" s="267"/>
      <c r="J3076" s="268"/>
      <c r="K3076" s="267"/>
      <c r="L3076" s="211">
        <f>+'FACP$'!$H3076-'FACP$'!$I3076-'FACP$'!$K3076</f>
        <v>0</v>
      </c>
      <c r="M3076" s="227" t="s">
        <v>3183</v>
      </c>
      <c r="N3076" s="227" t="s">
        <v>127</v>
      </c>
      <c r="O3076" s="245"/>
      <c r="P3076" s="164">
        <f t="array" ref="P3076">XLOOKUP('FACP$'!$B3076,'perfil de pagos'!A:A,'perfil de pagos'!B:B)+'FACP$'!$D3076</f>
        <v>44639</v>
      </c>
      <c r="Q3076" s="246">
        <f t="shared" si="2"/>
        <v>0</v>
      </c>
      <c r="R3076" s="223" t="s">
        <v>3648</v>
      </c>
      <c r="S3076" s="223"/>
      <c r="T3076" s="168">
        <f t="shared" si="3"/>
        <v>0</v>
      </c>
      <c r="U3076" s="168">
        <f t="shared" si="4"/>
        <v>0</v>
      </c>
      <c r="V3076" s="168">
        <f t="shared" si="5"/>
        <v>0</v>
      </c>
      <c r="W3076" s="168">
        <f t="shared" si="6"/>
        <v>0</v>
      </c>
      <c r="X3076" s="168">
        <f t="shared" si="7"/>
        <v>0</v>
      </c>
      <c r="Y3076" s="168">
        <f t="shared" si="8"/>
        <v>0</v>
      </c>
      <c r="Z3076" s="168">
        <f t="shared" si="9"/>
        <v>0</v>
      </c>
    </row>
    <row r="3077" ht="15.0" customHeight="1">
      <c r="A3077" s="157" t="s">
        <v>3649</v>
      </c>
      <c r="B3077" s="158" t="s">
        <v>43</v>
      </c>
      <c r="C3077" s="158" t="s">
        <v>3642</v>
      </c>
      <c r="D3077" s="159">
        <v>44636.0</v>
      </c>
      <c r="E3077" s="157" t="s">
        <v>731</v>
      </c>
      <c r="F3077" s="160">
        <v>333145.4</v>
      </c>
      <c r="G3077" s="160">
        <v>53303.26</v>
      </c>
      <c r="H3077" s="160">
        <f>F3077+G3077-200000-'NCP$'!H224</f>
        <v>86448.656</v>
      </c>
      <c r="I3077" s="160"/>
      <c r="J3077" s="161"/>
      <c r="K3077" s="160"/>
      <c r="L3077" s="160">
        <f>+'FACP$'!$H3077-'FACP$'!$I3077-'FACP$'!$K3077</f>
        <v>86448.656</v>
      </c>
      <c r="M3077" s="162" t="s">
        <v>43</v>
      </c>
      <c r="N3077" s="162" t="s">
        <v>554</v>
      </c>
      <c r="O3077" s="164">
        <v>45212.0</v>
      </c>
      <c r="P3077" s="164">
        <f t="array" ref="P3077">XLOOKUP('FACP$'!$B3077,'perfil de pagos'!A:A,'perfil de pagos'!B:B)+'FACP$'!$D3077</f>
        <v>44661</v>
      </c>
      <c r="Q3077" s="165">
        <f t="shared" si="2"/>
        <v>0</v>
      </c>
      <c r="R3077" s="220" t="s">
        <v>3650</v>
      </c>
      <c r="S3077" s="167" t="s">
        <v>3651</v>
      </c>
      <c r="T3077" s="168">
        <f t="shared" si="3"/>
        <v>86448.656</v>
      </c>
      <c r="U3077" s="168">
        <f t="shared" si="4"/>
        <v>0</v>
      </c>
      <c r="V3077" s="168">
        <f t="shared" si="5"/>
        <v>0</v>
      </c>
      <c r="W3077" s="168">
        <f t="shared" si="6"/>
        <v>0</v>
      </c>
      <c r="X3077" s="168">
        <f t="shared" si="7"/>
        <v>0</v>
      </c>
      <c r="Y3077" s="168">
        <f t="shared" si="8"/>
        <v>0</v>
      </c>
      <c r="Z3077" s="168">
        <f t="shared" si="9"/>
        <v>0</v>
      </c>
    </row>
    <row r="3078" ht="15.0" customHeight="1">
      <c r="A3078" s="157" t="s">
        <v>3652</v>
      </c>
      <c r="B3078" s="158" t="s">
        <v>27</v>
      </c>
      <c r="C3078" s="158" t="s">
        <v>3642</v>
      </c>
      <c r="D3078" s="159">
        <v>44636.0</v>
      </c>
      <c r="E3078" s="157" t="s">
        <v>731</v>
      </c>
      <c r="F3078" s="160">
        <v>36334.12</v>
      </c>
      <c r="G3078" s="160">
        <v>5813.46</v>
      </c>
      <c r="H3078" s="160">
        <f t="shared" ref="H3078:H3080" si="85">F3078+G3078</f>
        <v>42147.58</v>
      </c>
      <c r="I3078" s="160"/>
      <c r="J3078" s="161"/>
      <c r="K3078" s="160"/>
      <c r="L3078" s="160">
        <f>+'FACP$'!$H3078-'FACP$'!$I3078-'FACP$'!$K3078</f>
        <v>42147.58</v>
      </c>
      <c r="M3078" s="162" t="s">
        <v>151</v>
      </c>
      <c r="N3078" s="162" t="s">
        <v>554</v>
      </c>
      <c r="O3078" s="164">
        <v>44753.0</v>
      </c>
      <c r="P3078" s="164">
        <f t="array" ref="P3078">XLOOKUP('FACP$'!$B3078,'perfil de pagos'!A:A,'perfil de pagos'!B:B)+'FACP$'!$D3078</f>
        <v>44666</v>
      </c>
      <c r="Q3078" s="165">
        <f t="shared" si="2"/>
        <v>0</v>
      </c>
      <c r="R3078" s="167"/>
      <c r="S3078" s="167"/>
      <c r="T3078" s="168">
        <f t="shared" si="3"/>
        <v>42147.58</v>
      </c>
      <c r="U3078" s="168">
        <f t="shared" si="4"/>
        <v>0</v>
      </c>
      <c r="V3078" s="168">
        <f t="shared" si="5"/>
        <v>0</v>
      </c>
      <c r="W3078" s="168">
        <f t="shared" si="6"/>
        <v>0</v>
      </c>
      <c r="X3078" s="168">
        <f t="shared" si="7"/>
        <v>0</v>
      </c>
      <c r="Y3078" s="168">
        <f t="shared" si="8"/>
        <v>0</v>
      </c>
      <c r="Z3078" s="168">
        <f t="shared" si="9"/>
        <v>0</v>
      </c>
    </row>
    <row r="3079" ht="15.0" customHeight="1">
      <c r="A3079" s="157" t="s">
        <v>3653</v>
      </c>
      <c r="B3079" s="158" t="s">
        <v>27</v>
      </c>
      <c r="C3079" s="158" t="s">
        <v>3654</v>
      </c>
      <c r="D3079" s="159">
        <v>44638.0</v>
      </c>
      <c r="E3079" s="157" t="s">
        <v>731</v>
      </c>
      <c r="F3079" s="160">
        <v>419940.76</v>
      </c>
      <c r="G3079" s="160">
        <v>67190.52</v>
      </c>
      <c r="H3079" s="160">
        <f t="shared" si="85"/>
        <v>487131.28</v>
      </c>
      <c r="I3079" s="160"/>
      <c r="J3079" s="161"/>
      <c r="K3079" s="160"/>
      <c r="L3079" s="160">
        <f>+'FACP$'!$H3079-'FACP$'!$I3079-'FACP$'!$K3079</f>
        <v>487131.28</v>
      </c>
      <c r="M3079" s="162" t="s">
        <v>158</v>
      </c>
      <c r="N3079" s="162" t="s">
        <v>554</v>
      </c>
      <c r="O3079" s="164">
        <v>44678.0</v>
      </c>
      <c r="P3079" s="164">
        <f t="array" ref="P3079">XLOOKUP('FACP$'!$B3079,'perfil de pagos'!A:A,'perfil de pagos'!B:B)+'FACP$'!$D3079</f>
        <v>44668</v>
      </c>
      <c r="Q3079" s="165">
        <f t="shared" si="2"/>
        <v>0</v>
      </c>
      <c r="R3079" s="167"/>
      <c r="S3079" s="167">
        <v>1362.0</v>
      </c>
      <c r="T3079" s="168">
        <f t="shared" si="3"/>
        <v>487131.28</v>
      </c>
      <c r="U3079" s="168">
        <f t="shared" si="4"/>
        <v>0</v>
      </c>
      <c r="V3079" s="168">
        <f t="shared" si="5"/>
        <v>0</v>
      </c>
      <c r="W3079" s="168">
        <f t="shared" si="6"/>
        <v>0</v>
      </c>
      <c r="X3079" s="168">
        <f t="shared" si="7"/>
        <v>0</v>
      </c>
      <c r="Y3079" s="168">
        <f t="shared" si="8"/>
        <v>0</v>
      </c>
      <c r="Z3079" s="168">
        <f t="shared" si="9"/>
        <v>0</v>
      </c>
    </row>
    <row r="3080" ht="15.0" customHeight="1">
      <c r="A3080" s="157" t="s">
        <v>3655</v>
      </c>
      <c r="B3080" s="158" t="s">
        <v>27</v>
      </c>
      <c r="C3080" s="158" t="s">
        <v>3656</v>
      </c>
      <c r="D3080" s="159">
        <v>44638.0</v>
      </c>
      <c r="E3080" s="157" t="s">
        <v>731</v>
      </c>
      <c r="F3080" s="160">
        <v>214688.89</v>
      </c>
      <c r="G3080" s="160">
        <v>34350.22</v>
      </c>
      <c r="H3080" s="160">
        <f t="shared" si="85"/>
        <v>249039.11</v>
      </c>
      <c r="I3080" s="160"/>
      <c r="J3080" s="161"/>
      <c r="K3080" s="160"/>
      <c r="L3080" s="160">
        <f>+'FACP$'!$H3080-'FACP$'!$I3080-'FACP$'!$K3080</f>
        <v>249039.11</v>
      </c>
      <c r="M3080" s="162" t="s">
        <v>158</v>
      </c>
      <c r="N3080" s="162" t="s">
        <v>554</v>
      </c>
      <c r="O3080" s="164">
        <v>44678.0</v>
      </c>
      <c r="P3080" s="164">
        <f t="array" ref="P3080">XLOOKUP('FACP$'!$B3080,'perfil de pagos'!A:A,'perfil de pagos'!B:B)+'FACP$'!$D3080</f>
        <v>44668</v>
      </c>
      <c r="Q3080" s="165">
        <f t="shared" si="2"/>
        <v>0</v>
      </c>
      <c r="R3080" s="167"/>
      <c r="S3080" s="167">
        <v>1362.0</v>
      </c>
      <c r="T3080" s="168">
        <f t="shared" si="3"/>
        <v>249039.11</v>
      </c>
      <c r="U3080" s="168">
        <f t="shared" si="4"/>
        <v>0</v>
      </c>
      <c r="V3080" s="168">
        <f t="shared" si="5"/>
        <v>0</v>
      </c>
      <c r="W3080" s="168">
        <f t="shared" si="6"/>
        <v>0</v>
      </c>
      <c r="X3080" s="168">
        <f t="shared" si="7"/>
        <v>0</v>
      </c>
      <c r="Y3080" s="168">
        <f t="shared" si="8"/>
        <v>0</v>
      </c>
      <c r="Z3080" s="168">
        <f t="shared" si="9"/>
        <v>0</v>
      </c>
    </row>
    <row r="3081" ht="15.0" customHeight="1">
      <c r="A3081" s="157" t="s">
        <v>3657</v>
      </c>
      <c r="B3081" s="158" t="s">
        <v>27</v>
      </c>
      <c r="C3081" s="158" t="s">
        <v>3654</v>
      </c>
      <c r="D3081" s="159">
        <v>44638.0</v>
      </c>
      <c r="E3081" s="157" t="s">
        <v>731</v>
      </c>
      <c r="F3081" s="160">
        <v>504687.0</v>
      </c>
      <c r="G3081" s="160">
        <v>80749.92</v>
      </c>
      <c r="H3081" s="160">
        <f>F3081+G3081-1222.05</f>
        <v>584214.87</v>
      </c>
      <c r="I3081" s="160"/>
      <c r="J3081" s="161"/>
      <c r="K3081" s="160"/>
      <c r="L3081" s="160">
        <f>+'FACP$'!$H3081-'FACP$'!$I3081-'FACP$'!$K3081</f>
        <v>584214.87</v>
      </c>
      <c r="M3081" s="162" t="s">
        <v>151</v>
      </c>
      <c r="N3081" s="162" t="s">
        <v>554</v>
      </c>
      <c r="O3081" s="164">
        <v>44671.0</v>
      </c>
      <c r="P3081" s="164">
        <f t="array" ref="P3081">XLOOKUP('FACP$'!$B3081,'perfil de pagos'!A:A,'perfil de pagos'!B:B)+'FACP$'!$D3081</f>
        <v>44668</v>
      </c>
      <c r="Q3081" s="165">
        <f t="shared" si="2"/>
        <v>0</v>
      </c>
      <c r="R3081" s="167" t="s">
        <v>3658</v>
      </c>
      <c r="S3081" s="167">
        <v>1360.0</v>
      </c>
      <c r="T3081" s="168">
        <f t="shared" si="3"/>
        <v>584214.87</v>
      </c>
      <c r="U3081" s="168">
        <f t="shared" si="4"/>
        <v>0</v>
      </c>
      <c r="V3081" s="168">
        <f t="shared" si="5"/>
        <v>0</v>
      </c>
      <c r="W3081" s="168">
        <f t="shared" si="6"/>
        <v>0</v>
      </c>
      <c r="X3081" s="168">
        <f t="shared" si="7"/>
        <v>0</v>
      </c>
      <c r="Y3081" s="168">
        <f t="shared" si="8"/>
        <v>0</v>
      </c>
      <c r="Z3081" s="168">
        <f t="shared" si="9"/>
        <v>0</v>
      </c>
    </row>
    <row r="3082" ht="15.0" customHeight="1">
      <c r="A3082" s="157" t="s">
        <v>3659</v>
      </c>
      <c r="B3082" s="158" t="s">
        <v>27</v>
      </c>
      <c r="C3082" s="158" t="s">
        <v>3656</v>
      </c>
      <c r="D3082" s="159">
        <v>44638.0</v>
      </c>
      <c r="E3082" s="157" t="s">
        <v>731</v>
      </c>
      <c r="F3082" s="160">
        <v>231378.61</v>
      </c>
      <c r="G3082" s="160">
        <v>37020.58</v>
      </c>
      <c r="H3082" s="160">
        <f>F3082+G3082-560.99</f>
        <v>267838.2</v>
      </c>
      <c r="I3082" s="160"/>
      <c r="J3082" s="161"/>
      <c r="K3082" s="160"/>
      <c r="L3082" s="160">
        <f>+'FACP$'!$H3082-'FACP$'!$I3082-'FACP$'!$K3082</f>
        <v>267838.2</v>
      </c>
      <c r="M3082" s="162" t="s">
        <v>151</v>
      </c>
      <c r="N3082" s="162" t="s">
        <v>554</v>
      </c>
      <c r="O3082" s="164">
        <v>44671.0</v>
      </c>
      <c r="P3082" s="164">
        <f t="array" ref="P3082">XLOOKUP('FACP$'!$B3082,'perfil de pagos'!A:A,'perfil de pagos'!B:B)+'FACP$'!$D3082</f>
        <v>44668</v>
      </c>
      <c r="Q3082" s="165">
        <f t="shared" si="2"/>
        <v>0</v>
      </c>
      <c r="R3082" s="167" t="s">
        <v>3660</v>
      </c>
      <c r="S3082" s="167">
        <v>1360.0</v>
      </c>
      <c r="T3082" s="168">
        <f t="shared" si="3"/>
        <v>267838.2</v>
      </c>
      <c r="U3082" s="168">
        <f t="shared" si="4"/>
        <v>0</v>
      </c>
      <c r="V3082" s="168">
        <f t="shared" si="5"/>
        <v>0</v>
      </c>
      <c r="W3082" s="168">
        <f t="shared" si="6"/>
        <v>0</v>
      </c>
      <c r="X3082" s="168">
        <f t="shared" si="7"/>
        <v>0</v>
      </c>
      <c r="Y3082" s="168">
        <f t="shared" si="8"/>
        <v>0</v>
      </c>
      <c r="Z3082" s="168">
        <f t="shared" si="9"/>
        <v>0</v>
      </c>
    </row>
    <row r="3083" ht="15.0" customHeight="1">
      <c r="A3083" s="157" t="s">
        <v>3661</v>
      </c>
      <c r="B3083" s="158" t="s">
        <v>27</v>
      </c>
      <c r="C3083" s="158" t="s">
        <v>3662</v>
      </c>
      <c r="D3083" s="159">
        <v>44638.0</v>
      </c>
      <c r="E3083" s="157" t="s">
        <v>731</v>
      </c>
      <c r="F3083" s="160">
        <v>28186.52</v>
      </c>
      <c r="G3083" s="160">
        <v>4509.84</v>
      </c>
      <c r="H3083" s="160">
        <f t="shared" ref="H3083:H3089" si="86">F3083+G3083</f>
        <v>32696.36</v>
      </c>
      <c r="I3083" s="160"/>
      <c r="J3083" s="161"/>
      <c r="K3083" s="160"/>
      <c r="L3083" s="160">
        <f>+'FACP$'!$H3083-'FACP$'!$I3083-'FACP$'!$K3083</f>
        <v>32696.36</v>
      </c>
      <c r="M3083" s="162" t="s">
        <v>151</v>
      </c>
      <c r="N3083" s="162" t="s">
        <v>554</v>
      </c>
      <c r="O3083" s="164">
        <v>44678.0</v>
      </c>
      <c r="P3083" s="164">
        <f t="array" ref="P3083">XLOOKUP('FACP$'!$B3083,'perfil de pagos'!A:A,'perfil de pagos'!B:B)+'FACP$'!$D3083</f>
        <v>44668</v>
      </c>
      <c r="Q3083" s="165">
        <f t="shared" si="2"/>
        <v>0</v>
      </c>
      <c r="R3083" s="167"/>
      <c r="S3083" s="167">
        <v>1364.0</v>
      </c>
      <c r="T3083" s="168">
        <f t="shared" si="3"/>
        <v>32696.36</v>
      </c>
      <c r="U3083" s="168">
        <f t="shared" si="4"/>
        <v>0</v>
      </c>
      <c r="V3083" s="168">
        <f t="shared" si="5"/>
        <v>0</v>
      </c>
      <c r="W3083" s="168">
        <f t="shared" si="6"/>
        <v>0</v>
      </c>
      <c r="X3083" s="168">
        <f t="shared" si="7"/>
        <v>0</v>
      </c>
      <c r="Y3083" s="168">
        <f t="shared" si="8"/>
        <v>0</v>
      </c>
      <c r="Z3083" s="168">
        <f t="shared" si="9"/>
        <v>0</v>
      </c>
    </row>
    <row r="3084" ht="15.0" customHeight="1">
      <c r="A3084" s="157" t="s">
        <v>3663</v>
      </c>
      <c r="B3084" s="158" t="s">
        <v>27</v>
      </c>
      <c r="C3084" s="158" t="s">
        <v>3664</v>
      </c>
      <c r="D3084" s="159">
        <v>44638.0</v>
      </c>
      <c r="E3084" s="157" t="s">
        <v>731</v>
      </c>
      <c r="F3084" s="160">
        <v>12922.38</v>
      </c>
      <c r="G3084" s="160">
        <v>2067.58</v>
      </c>
      <c r="H3084" s="160">
        <f t="shared" si="86"/>
        <v>14989.96</v>
      </c>
      <c r="I3084" s="160"/>
      <c r="J3084" s="161"/>
      <c r="K3084" s="160"/>
      <c r="L3084" s="160">
        <f>+'FACP$'!$H3084-'FACP$'!$I3084-'FACP$'!$K3084</f>
        <v>14989.96</v>
      </c>
      <c r="M3084" s="162" t="s">
        <v>151</v>
      </c>
      <c r="N3084" s="162" t="s">
        <v>554</v>
      </c>
      <c r="O3084" s="164">
        <v>44678.0</v>
      </c>
      <c r="P3084" s="164">
        <f t="array" ref="P3084">XLOOKUP('FACP$'!$B3084,'perfil de pagos'!A:A,'perfil de pagos'!B:B)+'FACP$'!$D3084</f>
        <v>44668</v>
      </c>
      <c r="Q3084" s="165">
        <f t="shared" si="2"/>
        <v>0</v>
      </c>
      <c r="R3084" s="167"/>
      <c r="S3084" s="167">
        <v>1364.0</v>
      </c>
      <c r="T3084" s="168">
        <f t="shared" si="3"/>
        <v>14989.96</v>
      </c>
      <c r="U3084" s="168">
        <f t="shared" si="4"/>
        <v>0</v>
      </c>
      <c r="V3084" s="168">
        <f t="shared" si="5"/>
        <v>0</v>
      </c>
      <c r="W3084" s="168">
        <f t="shared" si="6"/>
        <v>0</v>
      </c>
      <c r="X3084" s="168">
        <f t="shared" si="7"/>
        <v>0</v>
      </c>
      <c r="Y3084" s="168">
        <f t="shared" si="8"/>
        <v>0</v>
      </c>
      <c r="Z3084" s="168">
        <f t="shared" si="9"/>
        <v>0</v>
      </c>
    </row>
    <row r="3085" ht="15.0" customHeight="1">
      <c r="A3085" s="157" t="s">
        <v>3665</v>
      </c>
      <c r="B3085" s="158" t="s">
        <v>35</v>
      </c>
      <c r="C3085" s="158" t="s">
        <v>3666</v>
      </c>
      <c r="D3085" s="159">
        <v>44638.0</v>
      </c>
      <c r="E3085" s="157" t="s">
        <v>731</v>
      </c>
      <c r="F3085" s="160">
        <v>586638.22</v>
      </c>
      <c r="G3085" s="160">
        <v>93862.12</v>
      </c>
      <c r="H3085" s="160">
        <f t="shared" si="86"/>
        <v>680500.34</v>
      </c>
      <c r="I3085" s="160"/>
      <c r="J3085" s="161"/>
      <c r="K3085" s="160"/>
      <c r="L3085" s="160">
        <f>+'FACP$'!$H3085-'FACP$'!$I3085-'FACP$'!$K3085</f>
        <v>680500.34</v>
      </c>
      <c r="M3085" s="162" t="s">
        <v>276</v>
      </c>
      <c r="N3085" s="162" t="s">
        <v>554</v>
      </c>
      <c r="O3085" s="164">
        <v>44664.0</v>
      </c>
      <c r="P3085" s="164">
        <f t="array" ref="P3085">XLOOKUP('FACP$'!$B3085,'perfil de pagos'!A:A,'perfil de pagos'!B:B)+'FACP$'!$D3085</f>
        <v>44648</v>
      </c>
      <c r="Q3085" s="165">
        <f t="shared" si="2"/>
        <v>0</v>
      </c>
      <c r="R3085" s="167"/>
      <c r="S3085" s="167">
        <v>1353.0</v>
      </c>
      <c r="T3085" s="168">
        <f t="shared" si="3"/>
        <v>680500.34</v>
      </c>
      <c r="U3085" s="168">
        <f t="shared" si="4"/>
        <v>0</v>
      </c>
      <c r="V3085" s="168">
        <f t="shared" si="5"/>
        <v>0</v>
      </c>
      <c r="W3085" s="168">
        <f t="shared" si="6"/>
        <v>0</v>
      </c>
      <c r="X3085" s="168">
        <f t="shared" si="7"/>
        <v>0</v>
      </c>
      <c r="Y3085" s="168">
        <f t="shared" si="8"/>
        <v>0</v>
      </c>
      <c r="Z3085" s="168">
        <f t="shared" si="9"/>
        <v>0</v>
      </c>
    </row>
    <row r="3086" ht="15.0" customHeight="1">
      <c r="A3086" s="157" t="s">
        <v>3667</v>
      </c>
      <c r="B3086" s="158" t="s">
        <v>33</v>
      </c>
      <c r="C3086" s="158" t="s">
        <v>3666</v>
      </c>
      <c r="D3086" s="159">
        <v>44638.0</v>
      </c>
      <c r="E3086" s="157" t="s">
        <v>731</v>
      </c>
      <c r="F3086" s="160">
        <v>1268588.92</v>
      </c>
      <c r="G3086" s="160">
        <v>202974.23</v>
      </c>
      <c r="H3086" s="160">
        <f t="shared" si="86"/>
        <v>1471563.15</v>
      </c>
      <c r="I3086" s="160"/>
      <c r="J3086" s="161"/>
      <c r="K3086" s="160"/>
      <c r="L3086" s="160">
        <f>+'FACP$'!$H3086-'FACP$'!$I3086-'FACP$'!$K3086</f>
        <v>1471563.15</v>
      </c>
      <c r="M3086" s="162" t="s">
        <v>958</v>
      </c>
      <c r="N3086" s="162" t="s">
        <v>554</v>
      </c>
      <c r="O3086" s="164">
        <v>44652.0</v>
      </c>
      <c r="P3086" s="164">
        <f t="array" ref="P3086">XLOOKUP('FACP$'!$B3086,'perfil de pagos'!A:A,'perfil de pagos'!B:B)+'FACP$'!$D3086</f>
        <v>44648</v>
      </c>
      <c r="Q3086" s="165">
        <f t="shared" si="2"/>
        <v>0</v>
      </c>
      <c r="R3086" s="167"/>
      <c r="S3086" s="167">
        <v>1346.0</v>
      </c>
      <c r="T3086" s="168">
        <f t="shared" si="3"/>
        <v>1471563.15</v>
      </c>
      <c r="U3086" s="168">
        <f t="shared" si="4"/>
        <v>0</v>
      </c>
      <c r="V3086" s="168">
        <f t="shared" si="5"/>
        <v>0</v>
      </c>
      <c r="W3086" s="168">
        <f t="shared" si="6"/>
        <v>0</v>
      </c>
      <c r="X3086" s="168">
        <f t="shared" si="7"/>
        <v>0</v>
      </c>
      <c r="Y3086" s="168">
        <f t="shared" si="8"/>
        <v>0</v>
      </c>
      <c r="Z3086" s="168">
        <f t="shared" si="9"/>
        <v>0</v>
      </c>
    </row>
    <row r="3087" ht="15.0" customHeight="1">
      <c r="A3087" s="157" t="s">
        <v>3668</v>
      </c>
      <c r="B3087" s="158" t="s">
        <v>36</v>
      </c>
      <c r="C3087" s="158" t="s">
        <v>3666</v>
      </c>
      <c r="D3087" s="159">
        <v>44638.0</v>
      </c>
      <c r="E3087" s="157" t="s">
        <v>731</v>
      </c>
      <c r="F3087" s="160">
        <v>66928.09</v>
      </c>
      <c r="G3087" s="160">
        <v>10708.49</v>
      </c>
      <c r="H3087" s="160">
        <f t="shared" si="86"/>
        <v>77636.58</v>
      </c>
      <c r="I3087" s="160"/>
      <c r="J3087" s="161"/>
      <c r="K3087" s="160"/>
      <c r="L3087" s="160">
        <f>+'FACP$'!$H3087-'FACP$'!$I3087-'FACP$'!$K3087</f>
        <v>77636.58</v>
      </c>
      <c r="M3087" s="162" t="s">
        <v>278</v>
      </c>
      <c r="N3087" s="162" t="s">
        <v>554</v>
      </c>
      <c r="O3087" s="164">
        <v>44656.0</v>
      </c>
      <c r="P3087" s="164">
        <f t="array" ref="P3087">XLOOKUP('FACP$'!$B3087,'perfil de pagos'!A:A,'perfil de pagos'!B:B)+'FACP$'!$D3087</f>
        <v>44648</v>
      </c>
      <c r="Q3087" s="165">
        <f t="shared" si="2"/>
        <v>0</v>
      </c>
      <c r="R3087" s="167"/>
      <c r="S3087" s="167"/>
      <c r="T3087" s="168">
        <f t="shared" si="3"/>
        <v>77636.58</v>
      </c>
      <c r="U3087" s="168">
        <f t="shared" si="4"/>
        <v>0</v>
      </c>
      <c r="V3087" s="168">
        <f t="shared" si="5"/>
        <v>0</v>
      </c>
      <c r="W3087" s="168">
        <f t="shared" si="6"/>
        <v>0</v>
      </c>
      <c r="X3087" s="168">
        <f t="shared" si="7"/>
        <v>0</v>
      </c>
      <c r="Y3087" s="168">
        <f t="shared" si="8"/>
        <v>0</v>
      </c>
      <c r="Z3087" s="168">
        <f t="shared" si="9"/>
        <v>0</v>
      </c>
    </row>
    <row r="3088" ht="15.0" customHeight="1">
      <c r="A3088" s="157" t="s">
        <v>3669</v>
      </c>
      <c r="B3088" s="158" t="s">
        <v>31</v>
      </c>
      <c r="C3088" s="158" t="s">
        <v>3670</v>
      </c>
      <c r="D3088" s="159">
        <v>44638.0</v>
      </c>
      <c r="E3088" s="157" t="s">
        <v>731</v>
      </c>
      <c r="F3088" s="160">
        <v>76497.72</v>
      </c>
      <c r="G3088" s="160">
        <v>12239.64</v>
      </c>
      <c r="H3088" s="160">
        <f t="shared" si="86"/>
        <v>88737.36</v>
      </c>
      <c r="I3088" s="252"/>
      <c r="J3088" s="253"/>
      <c r="K3088" s="252"/>
      <c r="L3088" s="160">
        <f>+'FACP$'!$H3088-'FACP$'!$I3088-'FACP$'!$K3088</f>
        <v>88737.36</v>
      </c>
      <c r="M3088" s="162" t="s">
        <v>3183</v>
      </c>
      <c r="N3088" s="162" t="s">
        <v>554</v>
      </c>
      <c r="O3088" s="164">
        <v>44574.0</v>
      </c>
      <c r="P3088" s="164">
        <f t="array" ref="P3088">XLOOKUP('FACP$'!$B3088,'perfil de pagos'!A:A,'perfil de pagos'!B:B)+'FACP$'!$D3088</f>
        <v>44641</v>
      </c>
      <c r="Q3088" s="165">
        <f t="shared" si="2"/>
        <v>0</v>
      </c>
      <c r="R3088" s="167" t="s">
        <v>3671</v>
      </c>
      <c r="S3088" s="167"/>
      <c r="T3088" s="168">
        <f t="shared" si="3"/>
        <v>88737.36</v>
      </c>
      <c r="U3088" s="168">
        <f t="shared" si="4"/>
        <v>0</v>
      </c>
      <c r="V3088" s="168">
        <f t="shared" si="5"/>
        <v>0</v>
      </c>
      <c r="W3088" s="168">
        <f t="shared" si="6"/>
        <v>0</v>
      </c>
      <c r="X3088" s="168">
        <f t="shared" si="7"/>
        <v>0</v>
      </c>
      <c r="Y3088" s="168">
        <f t="shared" si="8"/>
        <v>0</v>
      </c>
      <c r="Z3088" s="168">
        <f t="shared" si="9"/>
        <v>0</v>
      </c>
    </row>
    <row r="3089" ht="15.0" customHeight="1">
      <c r="A3089" s="157" t="s">
        <v>3672</v>
      </c>
      <c r="B3089" s="158" t="s">
        <v>41</v>
      </c>
      <c r="C3089" s="158" t="s">
        <v>3666</v>
      </c>
      <c r="D3089" s="159">
        <v>44638.0</v>
      </c>
      <c r="E3089" s="157" t="s">
        <v>731</v>
      </c>
      <c r="F3089" s="160">
        <v>562166.51</v>
      </c>
      <c r="G3089" s="160">
        <v>89946.64</v>
      </c>
      <c r="H3089" s="160">
        <f t="shared" si="86"/>
        <v>652113.15</v>
      </c>
      <c r="I3089" s="160"/>
      <c r="J3089" s="161"/>
      <c r="K3089" s="160"/>
      <c r="L3089" s="160">
        <f>+'FACP$'!$H3089-'FACP$'!$I3089-'FACP$'!$K3089</f>
        <v>652113.15</v>
      </c>
      <c r="M3089" s="162" t="s">
        <v>121</v>
      </c>
      <c r="N3089" s="162" t="s">
        <v>554</v>
      </c>
      <c r="O3089" s="164">
        <v>44704.0</v>
      </c>
      <c r="P3089" s="164">
        <f t="array" ref="P3089">XLOOKUP('FACP$'!$B3089,'perfil de pagos'!A:A,'perfil de pagos'!B:B)+'FACP$'!$D3089</f>
        <v>44648</v>
      </c>
      <c r="Q3089" s="165">
        <f t="shared" si="2"/>
        <v>0</v>
      </c>
      <c r="R3089" s="167"/>
      <c r="S3089" s="167"/>
      <c r="T3089" s="168">
        <f t="shared" si="3"/>
        <v>652113.15</v>
      </c>
      <c r="U3089" s="168">
        <f t="shared" si="4"/>
        <v>0</v>
      </c>
      <c r="V3089" s="168">
        <f t="shared" si="5"/>
        <v>0</v>
      </c>
      <c r="W3089" s="168">
        <f t="shared" si="6"/>
        <v>0</v>
      </c>
      <c r="X3089" s="168">
        <f t="shared" si="7"/>
        <v>0</v>
      </c>
      <c r="Y3089" s="168">
        <f t="shared" si="8"/>
        <v>0</v>
      </c>
      <c r="Z3089" s="168">
        <f t="shared" si="9"/>
        <v>0</v>
      </c>
    </row>
    <row r="3090" ht="15.0" customHeight="1">
      <c r="A3090" s="157" t="s">
        <v>3673</v>
      </c>
      <c r="B3090" s="158" t="s">
        <v>43</v>
      </c>
      <c r="C3090" s="158" t="s">
        <v>3666</v>
      </c>
      <c r="D3090" s="159">
        <v>44638.0</v>
      </c>
      <c r="E3090" s="157" t="s">
        <v>731</v>
      </c>
      <c r="F3090" s="160">
        <v>1341624.21</v>
      </c>
      <c r="G3090" s="160">
        <v>214659.87</v>
      </c>
      <c r="H3090" s="160">
        <f>F3090+G3090-23323.39</f>
        <v>1532960.69</v>
      </c>
      <c r="I3090" s="160"/>
      <c r="J3090" s="161"/>
      <c r="K3090" s="160"/>
      <c r="L3090" s="160">
        <f>+'FACP$'!$H3090-'FACP$'!$I3090-'FACP$'!$K3090</f>
        <v>1532960.69</v>
      </c>
      <c r="M3090" s="162" t="s">
        <v>43</v>
      </c>
      <c r="N3090" s="162" t="s">
        <v>554</v>
      </c>
      <c r="O3090" s="164">
        <v>44680.0</v>
      </c>
      <c r="P3090" s="164">
        <f t="array" ref="P3090">XLOOKUP('FACP$'!$B3090,'perfil de pagos'!A:A,'perfil de pagos'!B:B)+'FACP$'!$D3090</f>
        <v>44663</v>
      </c>
      <c r="Q3090" s="165">
        <f t="shared" si="2"/>
        <v>0</v>
      </c>
      <c r="R3090" s="220" t="s">
        <v>3674</v>
      </c>
      <c r="S3090" s="167"/>
      <c r="T3090" s="168">
        <f t="shared" si="3"/>
        <v>1532960.69</v>
      </c>
      <c r="U3090" s="168">
        <f t="shared" si="4"/>
        <v>0</v>
      </c>
      <c r="V3090" s="168">
        <f t="shared" si="5"/>
        <v>0</v>
      </c>
      <c r="W3090" s="168">
        <f t="shared" si="6"/>
        <v>0</v>
      </c>
      <c r="X3090" s="168">
        <f t="shared" si="7"/>
        <v>0</v>
      </c>
      <c r="Y3090" s="168">
        <f t="shared" si="8"/>
        <v>0</v>
      </c>
      <c r="Z3090" s="168">
        <f t="shared" si="9"/>
        <v>0</v>
      </c>
    </row>
    <row r="3091" ht="15.75" customHeight="1">
      <c r="A3091" s="157" t="s">
        <v>3675</v>
      </c>
      <c r="B3091" s="158" t="s">
        <v>16</v>
      </c>
      <c r="C3091" s="158" t="s">
        <v>3666</v>
      </c>
      <c r="D3091" s="159">
        <v>44645.0</v>
      </c>
      <c r="E3091" s="157" t="s">
        <v>731</v>
      </c>
      <c r="F3091" s="160">
        <v>406783.93</v>
      </c>
      <c r="G3091" s="160">
        <v>65085.43</v>
      </c>
      <c r="H3091" s="160">
        <f t="shared" ref="H3091:H3098" si="87">F3091+G3091</f>
        <v>471869.36</v>
      </c>
      <c r="I3091" s="160"/>
      <c r="J3091" s="161"/>
      <c r="K3091" s="160"/>
      <c r="L3091" s="160">
        <f>+'FACP$'!$H3091-'FACP$'!$I3091-'FACP$'!$K3091</f>
        <v>471869.36</v>
      </c>
      <c r="M3091" s="162" t="s">
        <v>985</v>
      </c>
      <c r="N3091" s="162" t="s">
        <v>554</v>
      </c>
      <c r="O3091" s="164">
        <v>44658.0</v>
      </c>
      <c r="P3091" s="164">
        <f t="array" ref="P3091">XLOOKUP('FACP$'!$B3091,'perfil de pagos'!A:A,'perfil de pagos'!B:B)+'FACP$'!$D3091</f>
        <v>44655</v>
      </c>
      <c r="Q3091" s="165">
        <f t="shared" si="2"/>
        <v>0</v>
      </c>
      <c r="R3091" s="167"/>
      <c r="S3091" s="167"/>
      <c r="T3091" s="168">
        <f t="shared" si="3"/>
        <v>471869.36</v>
      </c>
      <c r="U3091" s="168">
        <f t="shared" si="4"/>
        <v>0</v>
      </c>
      <c r="V3091" s="168">
        <f t="shared" si="5"/>
        <v>0</v>
      </c>
      <c r="W3091" s="168">
        <f t="shared" si="6"/>
        <v>0</v>
      </c>
      <c r="X3091" s="168">
        <f t="shared" si="7"/>
        <v>0</v>
      </c>
      <c r="Y3091" s="168">
        <f t="shared" si="8"/>
        <v>0</v>
      </c>
      <c r="Z3091" s="168">
        <f t="shared" si="9"/>
        <v>0</v>
      </c>
    </row>
    <row r="3092" ht="15.0" customHeight="1">
      <c r="A3092" s="157" t="s">
        <v>3676</v>
      </c>
      <c r="B3092" s="158" t="s">
        <v>16</v>
      </c>
      <c r="C3092" s="158" t="s">
        <v>3677</v>
      </c>
      <c r="D3092" s="159">
        <v>44645.0</v>
      </c>
      <c r="E3092" s="157" t="s">
        <v>731</v>
      </c>
      <c r="F3092" s="160">
        <v>347389.37</v>
      </c>
      <c r="G3092" s="160">
        <v>55582.3</v>
      </c>
      <c r="H3092" s="160">
        <f t="shared" si="87"/>
        <v>402971.67</v>
      </c>
      <c r="I3092" s="160"/>
      <c r="J3092" s="161"/>
      <c r="K3092" s="160"/>
      <c r="L3092" s="160">
        <f>+'FACP$'!$H3092-'FACP$'!$I3092-'FACP$'!$K3092</f>
        <v>402971.67</v>
      </c>
      <c r="M3092" s="162" t="s">
        <v>985</v>
      </c>
      <c r="N3092" s="162" t="s">
        <v>554</v>
      </c>
      <c r="O3092" s="164">
        <v>44658.0</v>
      </c>
      <c r="P3092" s="164">
        <f t="array" ref="P3092">XLOOKUP('FACP$'!$B3092,'perfil de pagos'!A:A,'perfil de pagos'!B:B)+'FACP$'!$D3092</f>
        <v>44655</v>
      </c>
      <c r="Q3092" s="165">
        <f t="shared" si="2"/>
        <v>0</v>
      </c>
      <c r="R3092" s="167"/>
      <c r="S3092" s="167"/>
      <c r="T3092" s="168">
        <f t="shared" si="3"/>
        <v>402971.67</v>
      </c>
      <c r="U3092" s="168">
        <f t="shared" si="4"/>
        <v>0</v>
      </c>
      <c r="V3092" s="168">
        <f t="shared" si="5"/>
        <v>0</v>
      </c>
      <c r="W3092" s="168">
        <f t="shared" si="6"/>
        <v>0</v>
      </c>
      <c r="X3092" s="168">
        <f t="shared" si="7"/>
        <v>0</v>
      </c>
      <c r="Y3092" s="168">
        <f t="shared" si="8"/>
        <v>0</v>
      </c>
      <c r="Z3092" s="168">
        <f t="shared" si="9"/>
        <v>0</v>
      </c>
    </row>
    <row r="3093" ht="15.0" customHeight="1">
      <c r="A3093" s="157" t="s">
        <v>3678</v>
      </c>
      <c r="B3093" s="158" t="s">
        <v>18</v>
      </c>
      <c r="C3093" s="158" t="s">
        <v>3666</v>
      </c>
      <c r="D3093" s="159">
        <v>44645.0</v>
      </c>
      <c r="E3093" s="157" t="s">
        <v>731</v>
      </c>
      <c r="F3093" s="160">
        <v>162969.52</v>
      </c>
      <c r="G3093" s="160">
        <v>26075.12</v>
      </c>
      <c r="H3093" s="160">
        <f t="shared" si="87"/>
        <v>189044.64</v>
      </c>
      <c r="I3093" s="160"/>
      <c r="J3093" s="161"/>
      <c r="K3093" s="160"/>
      <c r="L3093" s="160">
        <f>+'FACP$'!$H3093-'FACP$'!$I3093-'FACP$'!$K3093</f>
        <v>189044.64</v>
      </c>
      <c r="M3093" s="162" t="s">
        <v>586</v>
      </c>
      <c r="N3093" s="162" t="s">
        <v>554</v>
      </c>
      <c r="O3093" s="164">
        <v>44669.0</v>
      </c>
      <c r="P3093" s="164">
        <f t="array" ref="P3093">XLOOKUP('FACP$'!$B3093,'perfil de pagos'!A:A,'perfil de pagos'!B:B)+'FACP$'!$D3093</f>
        <v>44655</v>
      </c>
      <c r="Q3093" s="165">
        <f t="shared" si="2"/>
        <v>0</v>
      </c>
      <c r="R3093" s="167"/>
      <c r="S3093" s="167">
        <v>1359.0</v>
      </c>
      <c r="T3093" s="168">
        <f t="shared" si="3"/>
        <v>189044.64</v>
      </c>
      <c r="U3093" s="168">
        <f t="shared" si="4"/>
        <v>0</v>
      </c>
      <c r="V3093" s="168">
        <f t="shared" si="5"/>
        <v>0</v>
      </c>
      <c r="W3093" s="168">
        <f t="shared" si="6"/>
        <v>0</v>
      </c>
      <c r="X3093" s="168">
        <f t="shared" si="7"/>
        <v>0</v>
      </c>
      <c r="Y3093" s="168">
        <f t="shared" si="8"/>
        <v>0</v>
      </c>
      <c r="Z3093" s="168">
        <f t="shared" si="9"/>
        <v>0</v>
      </c>
    </row>
    <row r="3094" ht="15.0" customHeight="1">
      <c r="A3094" s="157" t="s">
        <v>3679</v>
      </c>
      <c r="B3094" s="158" t="s">
        <v>19</v>
      </c>
      <c r="C3094" s="158" t="s">
        <v>3666</v>
      </c>
      <c r="D3094" s="159">
        <v>44645.0</v>
      </c>
      <c r="E3094" s="157" t="s">
        <v>731</v>
      </c>
      <c r="F3094" s="160">
        <v>174583.29</v>
      </c>
      <c r="G3094" s="160">
        <v>27933.33</v>
      </c>
      <c r="H3094" s="160">
        <f t="shared" si="87"/>
        <v>202516.62</v>
      </c>
      <c r="I3094" s="160"/>
      <c r="J3094" s="161"/>
      <c r="K3094" s="160"/>
      <c r="L3094" s="160">
        <f>+'FACP$'!$H3094-'FACP$'!$I3094-'FACP$'!$K3094</f>
        <v>202516.62</v>
      </c>
      <c r="M3094" s="162" t="s">
        <v>732</v>
      </c>
      <c r="N3094" s="162" t="s">
        <v>554</v>
      </c>
      <c r="O3094" s="164">
        <v>44669.0</v>
      </c>
      <c r="P3094" s="164">
        <f t="array" ref="P3094">XLOOKUP('FACP$'!$B3094,'perfil de pagos'!A:A,'perfil de pagos'!B:B)+'FACP$'!$D3094</f>
        <v>44655</v>
      </c>
      <c r="Q3094" s="165">
        <f t="shared" si="2"/>
        <v>0</v>
      </c>
      <c r="R3094" s="167"/>
      <c r="S3094" s="167">
        <v>1359.0</v>
      </c>
      <c r="T3094" s="168">
        <f t="shared" si="3"/>
        <v>202516.62</v>
      </c>
      <c r="U3094" s="168">
        <f t="shared" si="4"/>
        <v>0</v>
      </c>
      <c r="V3094" s="168">
        <f t="shared" si="5"/>
        <v>0</v>
      </c>
      <c r="W3094" s="168">
        <f t="shared" si="6"/>
        <v>0</v>
      </c>
      <c r="X3094" s="168">
        <f t="shared" si="7"/>
        <v>0</v>
      </c>
      <c r="Y3094" s="168">
        <f t="shared" si="8"/>
        <v>0</v>
      </c>
      <c r="Z3094" s="168">
        <f t="shared" si="9"/>
        <v>0</v>
      </c>
    </row>
    <row r="3095" ht="15.0" customHeight="1">
      <c r="A3095" s="157" t="s">
        <v>3680</v>
      </c>
      <c r="B3095" s="158" t="s">
        <v>22</v>
      </c>
      <c r="C3095" s="158" t="s">
        <v>3666</v>
      </c>
      <c r="D3095" s="159">
        <v>44645.0</v>
      </c>
      <c r="E3095" s="157" t="s">
        <v>731</v>
      </c>
      <c r="F3095" s="160">
        <v>111189.08</v>
      </c>
      <c r="G3095" s="160">
        <v>17790.25</v>
      </c>
      <c r="H3095" s="160">
        <f t="shared" si="87"/>
        <v>128979.33</v>
      </c>
      <c r="I3095" s="160"/>
      <c r="J3095" s="161"/>
      <c r="K3095" s="160"/>
      <c r="L3095" s="160">
        <f>+'FACP$'!$H3095-'FACP$'!$I3095-'FACP$'!$K3095</f>
        <v>128979.33</v>
      </c>
      <c r="M3095" s="162" t="s">
        <v>220</v>
      </c>
      <c r="N3095" s="162" t="s">
        <v>554</v>
      </c>
      <c r="O3095" s="164">
        <v>44662.0</v>
      </c>
      <c r="P3095" s="164">
        <f t="array" ref="P3095">XLOOKUP('FACP$'!$B3095,'perfil de pagos'!A:A,'perfil de pagos'!B:B)+'FACP$'!$D3095</f>
        <v>44655</v>
      </c>
      <c r="Q3095" s="165">
        <f t="shared" si="2"/>
        <v>0</v>
      </c>
      <c r="R3095" s="167"/>
      <c r="S3095" s="167">
        <v>1350.0</v>
      </c>
      <c r="T3095" s="168">
        <f t="shared" si="3"/>
        <v>128979.33</v>
      </c>
      <c r="U3095" s="168">
        <f t="shared" si="4"/>
        <v>0</v>
      </c>
      <c r="V3095" s="168">
        <f t="shared" si="5"/>
        <v>0</v>
      </c>
      <c r="W3095" s="168">
        <f t="shared" si="6"/>
        <v>0</v>
      </c>
      <c r="X3095" s="168">
        <f t="shared" si="7"/>
        <v>0</v>
      </c>
      <c r="Y3095" s="168">
        <f t="shared" si="8"/>
        <v>0</v>
      </c>
      <c r="Z3095" s="168">
        <f t="shared" si="9"/>
        <v>0</v>
      </c>
    </row>
    <row r="3096" ht="15.0" customHeight="1">
      <c r="A3096" s="157" t="s">
        <v>3681</v>
      </c>
      <c r="B3096" s="158" t="s">
        <v>29</v>
      </c>
      <c r="C3096" s="158" t="s">
        <v>3666</v>
      </c>
      <c r="D3096" s="159">
        <v>44645.0</v>
      </c>
      <c r="E3096" s="157" t="s">
        <v>731</v>
      </c>
      <c r="F3096" s="160">
        <v>366706.47</v>
      </c>
      <c r="G3096" s="160">
        <v>58673.04</v>
      </c>
      <c r="H3096" s="160">
        <f t="shared" si="87"/>
        <v>425379.51</v>
      </c>
      <c r="I3096" s="160"/>
      <c r="J3096" s="161"/>
      <c r="K3096" s="160"/>
      <c r="L3096" s="160">
        <f>+'FACP$'!$H3096-'FACP$'!$I3096-'FACP$'!$K3096</f>
        <v>425379.51</v>
      </c>
      <c r="M3096" s="162" t="s">
        <v>130</v>
      </c>
      <c r="N3096" s="162" t="s">
        <v>554</v>
      </c>
      <c r="O3096" s="164">
        <v>44663.0</v>
      </c>
      <c r="P3096" s="164">
        <f t="array" ref="P3096">XLOOKUP('FACP$'!$B3096,'perfil de pagos'!A:A,'perfil de pagos'!B:B)+'FACP$'!$D3096</f>
        <v>44655</v>
      </c>
      <c r="Q3096" s="165">
        <f t="shared" si="2"/>
        <v>0</v>
      </c>
      <c r="R3096" s="167"/>
      <c r="S3096" s="167"/>
      <c r="T3096" s="168">
        <f t="shared" si="3"/>
        <v>425379.51</v>
      </c>
      <c r="U3096" s="168">
        <f t="shared" si="4"/>
        <v>0</v>
      </c>
      <c r="V3096" s="168">
        <f t="shared" si="5"/>
        <v>0</v>
      </c>
      <c r="W3096" s="168">
        <f t="shared" si="6"/>
        <v>0</v>
      </c>
      <c r="X3096" s="168">
        <f t="shared" si="7"/>
        <v>0</v>
      </c>
      <c r="Y3096" s="168">
        <f t="shared" si="8"/>
        <v>0</v>
      </c>
      <c r="Z3096" s="168">
        <f t="shared" si="9"/>
        <v>0</v>
      </c>
    </row>
    <row r="3097" ht="15.0" customHeight="1">
      <c r="A3097" s="157" t="s">
        <v>3682</v>
      </c>
      <c r="B3097" s="158" t="s">
        <v>29</v>
      </c>
      <c r="C3097" s="158" t="s">
        <v>3677</v>
      </c>
      <c r="D3097" s="159">
        <v>44645.0</v>
      </c>
      <c r="E3097" s="157" t="s">
        <v>731</v>
      </c>
      <c r="F3097" s="160">
        <v>343491.65</v>
      </c>
      <c r="G3097" s="160">
        <v>54958.66</v>
      </c>
      <c r="H3097" s="160">
        <f t="shared" si="87"/>
        <v>398450.31</v>
      </c>
      <c r="I3097" s="160"/>
      <c r="J3097" s="161"/>
      <c r="K3097" s="160"/>
      <c r="L3097" s="160">
        <f>+'FACP$'!$H3097-'FACP$'!$I3097-'FACP$'!$K3097</f>
        <v>398450.31</v>
      </c>
      <c r="M3097" s="162" t="s">
        <v>130</v>
      </c>
      <c r="N3097" s="162" t="s">
        <v>554</v>
      </c>
      <c r="O3097" s="164">
        <v>44662.0</v>
      </c>
      <c r="P3097" s="164">
        <f t="array" ref="P3097">XLOOKUP('FACP$'!$B3097,'perfil de pagos'!A:A,'perfil de pagos'!B:B)+'FACP$'!$D3097</f>
        <v>44655</v>
      </c>
      <c r="Q3097" s="165">
        <f t="shared" si="2"/>
        <v>0</v>
      </c>
      <c r="R3097" s="167"/>
      <c r="S3097" s="167"/>
      <c r="T3097" s="168">
        <f t="shared" si="3"/>
        <v>398450.31</v>
      </c>
      <c r="U3097" s="168">
        <f t="shared" si="4"/>
        <v>0</v>
      </c>
      <c r="V3097" s="168">
        <f t="shared" si="5"/>
        <v>0</v>
      </c>
      <c r="W3097" s="168">
        <f t="shared" si="6"/>
        <v>0</v>
      </c>
      <c r="X3097" s="168">
        <f t="shared" si="7"/>
        <v>0</v>
      </c>
      <c r="Y3097" s="168">
        <f t="shared" si="8"/>
        <v>0</v>
      </c>
      <c r="Z3097" s="168">
        <f t="shared" si="9"/>
        <v>0</v>
      </c>
    </row>
    <row r="3098" ht="15.0" customHeight="1">
      <c r="A3098" s="157" t="s">
        <v>3683</v>
      </c>
      <c r="B3098" s="158" t="s">
        <v>37</v>
      </c>
      <c r="C3098" s="158" t="s">
        <v>3666</v>
      </c>
      <c r="D3098" s="159">
        <v>44645.0</v>
      </c>
      <c r="E3098" s="157" t="s">
        <v>731</v>
      </c>
      <c r="F3098" s="160">
        <v>1770047.97</v>
      </c>
      <c r="G3098" s="160">
        <v>283207.68</v>
      </c>
      <c r="H3098" s="160">
        <f t="shared" si="87"/>
        <v>2053255.65</v>
      </c>
      <c r="I3098" s="160"/>
      <c r="J3098" s="161"/>
      <c r="K3098" s="160"/>
      <c r="L3098" s="160">
        <f>+'FACP$'!$H3098-'FACP$'!$I3098-'FACP$'!$K3098</f>
        <v>2053255.65</v>
      </c>
      <c r="M3098" s="162" t="s">
        <v>116</v>
      </c>
      <c r="N3098" s="162" t="s">
        <v>554</v>
      </c>
      <c r="O3098" s="164">
        <v>44662.0</v>
      </c>
      <c r="P3098" s="164">
        <f t="array" ref="P3098">XLOOKUP('FACP$'!$B3098,'perfil de pagos'!A:A,'perfil de pagos'!B:B)+'FACP$'!$D3098</f>
        <v>44655</v>
      </c>
      <c r="Q3098" s="165">
        <f t="shared" si="2"/>
        <v>0</v>
      </c>
      <c r="R3098" s="167"/>
      <c r="S3098" s="167"/>
      <c r="T3098" s="168">
        <f t="shared" si="3"/>
        <v>2053255.65</v>
      </c>
      <c r="U3098" s="168">
        <f t="shared" si="4"/>
        <v>0</v>
      </c>
      <c r="V3098" s="168">
        <f t="shared" si="5"/>
        <v>0</v>
      </c>
      <c r="W3098" s="168">
        <f t="shared" si="6"/>
        <v>0</v>
      </c>
      <c r="X3098" s="168">
        <f t="shared" si="7"/>
        <v>0</v>
      </c>
      <c r="Y3098" s="168">
        <f t="shared" si="8"/>
        <v>0</v>
      </c>
      <c r="Z3098" s="168">
        <f t="shared" si="9"/>
        <v>0</v>
      </c>
    </row>
    <row r="3099" ht="15.0" customHeight="1">
      <c r="A3099" s="157" t="s">
        <v>3684</v>
      </c>
      <c r="B3099" s="158" t="s">
        <v>26</v>
      </c>
      <c r="C3099" s="158" t="s">
        <v>3666</v>
      </c>
      <c r="D3099" s="159">
        <v>44645.0</v>
      </c>
      <c r="E3099" s="157" t="s">
        <v>731</v>
      </c>
      <c r="F3099" s="160">
        <v>97771.59</v>
      </c>
      <c r="G3099" s="160">
        <v>15643.45</v>
      </c>
      <c r="H3099" s="160">
        <f>F3099+G3099-47096.51</f>
        <v>66318.53</v>
      </c>
      <c r="I3099" s="160"/>
      <c r="J3099" s="161"/>
      <c r="K3099" s="160"/>
      <c r="L3099" s="160">
        <f>+'FACP$'!$H3099-'FACP$'!$I3099-'FACP$'!$K3099</f>
        <v>66318.53</v>
      </c>
      <c r="M3099" s="162" t="s">
        <v>2386</v>
      </c>
      <c r="N3099" s="162" t="s">
        <v>554</v>
      </c>
      <c r="O3099" s="164">
        <v>44736.0</v>
      </c>
      <c r="P3099" s="164">
        <f t="array" ref="P3099">XLOOKUP('FACP$'!$B3099,'perfil de pagos'!A:A,'perfil de pagos'!B:B)+'FACP$'!$D3099</f>
        <v>44655</v>
      </c>
      <c r="Q3099" s="165">
        <f t="shared" si="2"/>
        <v>0</v>
      </c>
      <c r="R3099" s="220" t="s">
        <v>3685</v>
      </c>
      <c r="S3099" s="167" t="s">
        <v>3686</v>
      </c>
      <c r="T3099" s="168">
        <f t="shared" si="3"/>
        <v>66318.53</v>
      </c>
      <c r="U3099" s="168">
        <f t="shared" si="4"/>
        <v>0</v>
      </c>
      <c r="V3099" s="168">
        <f t="shared" si="5"/>
        <v>0</v>
      </c>
      <c r="W3099" s="168">
        <f t="shared" si="6"/>
        <v>0</v>
      </c>
      <c r="X3099" s="168">
        <f t="shared" si="7"/>
        <v>0</v>
      </c>
      <c r="Y3099" s="168">
        <f t="shared" si="8"/>
        <v>0</v>
      </c>
      <c r="Z3099" s="168">
        <f t="shared" si="9"/>
        <v>0</v>
      </c>
    </row>
    <row r="3100" ht="15.0" customHeight="1">
      <c r="A3100" s="157" t="s">
        <v>3687</v>
      </c>
      <c r="B3100" s="158" t="s">
        <v>38</v>
      </c>
      <c r="C3100" s="158" t="s">
        <v>3666</v>
      </c>
      <c r="D3100" s="159">
        <v>44645.0</v>
      </c>
      <c r="E3100" s="157" t="s">
        <v>731</v>
      </c>
      <c r="F3100" s="160">
        <v>752193.72</v>
      </c>
      <c r="G3100" s="160">
        <v>120351.0</v>
      </c>
      <c r="H3100" s="160">
        <f>F3100+G3100</f>
        <v>872544.72</v>
      </c>
      <c r="I3100" s="160"/>
      <c r="J3100" s="161"/>
      <c r="K3100" s="160"/>
      <c r="L3100" s="160">
        <f>+'FACP$'!$H3100-'FACP$'!$I3100-'FACP$'!$K3100</f>
        <v>872544.72</v>
      </c>
      <c r="M3100" s="162" t="s">
        <v>145</v>
      </c>
      <c r="N3100" s="162" t="s">
        <v>554</v>
      </c>
      <c r="O3100" s="164">
        <v>44687.0</v>
      </c>
      <c r="P3100" s="164">
        <f t="array" ref="P3100">XLOOKUP('FACP$'!$B3100,'perfil de pagos'!A:A,'perfil de pagos'!B:B)+'FACP$'!$D3100</f>
        <v>44675</v>
      </c>
      <c r="Q3100" s="165">
        <f t="shared" si="2"/>
        <v>0</v>
      </c>
      <c r="R3100" s="167"/>
      <c r="S3100" s="167"/>
      <c r="T3100" s="168">
        <f t="shared" si="3"/>
        <v>872544.72</v>
      </c>
      <c r="U3100" s="168">
        <f t="shared" si="4"/>
        <v>0</v>
      </c>
      <c r="V3100" s="168">
        <f t="shared" si="5"/>
        <v>0</v>
      </c>
      <c r="W3100" s="168">
        <f t="shared" si="6"/>
        <v>0</v>
      </c>
      <c r="X3100" s="168">
        <f t="shared" si="7"/>
        <v>0</v>
      </c>
      <c r="Y3100" s="168">
        <f t="shared" si="8"/>
        <v>0</v>
      </c>
      <c r="Z3100" s="168">
        <f t="shared" si="9"/>
        <v>0</v>
      </c>
    </row>
    <row r="3101" ht="15.0" customHeight="1">
      <c r="A3101" s="157" t="s">
        <v>3688</v>
      </c>
      <c r="B3101" s="273" t="s">
        <v>27</v>
      </c>
      <c r="C3101" s="158" t="s">
        <v>3689</v>
      </c>
      <c r="D3101" s="159">
        <v>44651.0</v>
      </c>
      <c r="E3101" s="157" t="s">
        <v>731</v>
      </c>
      <c r="F3101" s="160">
        <v>433577.08</v>
      </c>
      <c r="G3101" s="160">
        <v>69372.33</v>
      </c>
      <c r="H3101" s="160">
        <f>F3101+G3101-5182.74</f>
        <v>497766.67</v>
      </c>
      <c r="I3101" s="160"/>
      <c r="J3101" s="161"/>
      <c r="K3101" s="160"/>
      <c r="L3101" s="160">
        <f>+'FACP$'!$H3101-'FACP$'!$I3101-'FACP$'!$K3101</f>
        <v>497766.67</v>
      </c>
      <c r="M3101" s="162" t="s">
        <v>158</v>
      </c>
      <c r="N3101" s="162" t="s">
        <v>554</v>
      </c>
      <c r="O3101" s="164">
        <v>44693.0</v>
      </c>
      <c r="P3101" s="164">
        <f t="array" ref="P3101">XLOOKUP('FACP$'!$B3101,'perfil de pagos'!A:A,'perfil de pagos'!B:B)+'FACP$'!$D3101</f>
        <v>44681</v>
      </c>
      <c r="Q3101" s="165">
        <f t="shared" si="2"/>
        <v>0</v>
      </c>
      <c r="R3101" s="167" t="s">
        <v>3690</v>
      </c>
      <c r="S3101" s="167">
        <v>1373.0</v>
      </c>
      <c r="T3101" s="168">
        <f t="shared" si="3"/>
        <v>497766.67</v>
      </c>
      <c r="U3101" s="168">
        <f t="shared" si="4"/>
        <v>0</v>
      </c>
      <c r="V3101" s="168">
        <f t="shared" si="5"/>
        <v>0</v>
      </c>
      <c r="W3101" s="168">
        <f t="shared" si="6"/>
        <v>0</v>
      </c>
      <c r="X3101" s="168">
        <f t="shared" si="7"/>
        <v>0</v>
      </c>
      <c r="Y3101" s="168">
        <f t="shared" si="8"/>
        <v>0</v>
      </c>
      <c r="Z3101" s="168">
        <f t="shared" si="9"/>
        <v>0</v>
      </c>
    </row>
    <row r="3102" ht="15.0" customHeight="1">
      <c r="A3102" s="157" t="s">
        <v>3691</v>
      </c>
      <c r="B3102" s="273" t="s">
        <v>27</v>
      </c>
      <c r="C3102" s="158" t="s">
        <v>3692</v>
      </c>
      <c r="D3102" s="159">
        <v>44651.0</v>
      </c>
      <c r="E3102" s="157" t="s">
        <v>731</v>
      </c>
      <c r="F3102" s="160">
        <v>219506.3</v>
      </c>
      <c r="G3102" s="160">
        <v>35121.01</v>
      </c>
      <c r="H3102" s="160">
        <f>F3102+G3102-2638.33</f>
        <v>251988.98</v>
      </c>
      <c r="I3102" s="160"/>
      <c r="J3102" s="161"/>
      <c r="K3102" s="160"/>
      <c r="L3102" s="160">
        <f>+'FACP$'!$H3102-'FACP$'!$I3102-'FACP$'!$K3102</f>
        <v>251988.98</v>
      </c>
      <c r="M3102" s="162" t="s">
        <v>158</v>
      </c>
      <c r="N3102" s="162" t="s">
        <v>554</v>
      </c>
      <c r="O3102" s="164">
        <v>44693.0</v>
      </c>
      <c r="P3102" s="164">
        <f t="array" ref="P3102">XLOOKUP('FACP$'!$B3102,'perfil de pagos'!A:A,'perfil de pagos'!B:B)+'FACP$'!$D3102</f>
        <v>44681</v>
      </c>
      <c r="Q3102" s="165">
        <f t="shared" si="2"/>
        <v>0</v>
      </c>
      <c r="R3102" s="167" t="s">
        <v>3693</v>
      </c>
      <c r="S3102" s="167">
        <v>1373.0</v>
      </c>
      <c r="T3102" s="168">
        <f t="shared" si="3"/>
        <v>251988.98</v>
      </c>
      <c r="U3102" s="168">
        <f t="shared" si="4"/>
        <v>0</v>
      </c>
      <c r="V3102" s="168">
        <f t="shared" si="5"/>
        <v>0</v>
      </c>
      <c r="W3102" s="168">
        <f t="shared" si="6"/>
        <v>0</v>
      </c>
      <c r="X3102" s="168">
        <f t="shared" si="7"/>
        <v>0</v>
      </c>
      <c r="Y3102" s="168">
        <f t="shared" si="8"/>
        <v>0</v>
      </c>
      <c r="Z3102" s="168">
        <f t="shared" si="9"/>
        <v>0</v>
      </c>
    </row>
    <row r="3103" ht="15.0" customHeight="1">
      <c r="A3103" s="157" t="s">
        <v>3694</v>
      </c>
      <c r="B3103" s="273" t="s">
        <v>27</v>
      </c>
      <c r="C3103" s="158" t="s">
        <v>3689</v>
      </c>
      <c r="D3103" s="159">
        <v>44651.0</v>
      </c>
      <c r="E3103" s="157" t="s">
        <v>731</v>
      </c>
      <c r="F3103" s="160">
        <v>708010.16</v>
      </c>
      <c r="G3103" s="160">
        <v>113281.63</v>
      </c>
      <c r="H3103" s="160">
        <f>F3103+G3103-28799.27</f>
        <v>792492.52</v>
      </c>
      <c r="I3103" s="160"/>
      <c r="J3103" s="161"/>
      <c r="K3103" s="160"/>
      <c r="L3103" s="160">
        <f>+'FACP$'!$H3103-'FACP$'!$I3103-'FACP$'!$K3103</f>
        <v>792492.52</v>
      </c>
      <c r="M3103" s="162" t="s">
        <v>151</v>
      </c>
      <c r="N3103" s="162" t="s">
        <v>554</v>
      </c>
      <c r="O3103" s="164">
        <v>44656.0</v>
      </c>
      <c r="P3103" s="164">
        <f t="array" ref="P3103">XLOOKUP('FACP$'!$B3103,'perfil de pagos'!A:A,'perfil de pagos'!B:B)+'FACP$'!$D3103</f>
        <v>44681</v>
      </c>
      <c r="Q3103" s="165">
        <f t="shared" si="2"/>
        <v>0</v>
      </c>
      <c r="R3103" s="167" t="s">
        <v>3695</v>
      </c>
      <c r="S3103" s="167"/>
      <c r="T3103" s="168">
        <f t="shared" si="3"/>
        <v>792492.52</v>
      </c>
      <c r="U3103" s="168">
        <f t="shared" si="4"/>
        <v>0</v>
      </c>
      <c r="V3103" s="168">
        <f t="shared" si="5"/>
        <v>0</v>
      </c>
      <c r="W3103" s="168">
        <f t="shared" si="6"/>
        <v>0</v>
      </c>
      <c r="X3103" s="168">
        <f t="shared" si="7"/>
        <v>0</v>
      </c>
      <c r="Y3103" s="168">
        <f t="shared" si="8"/>
        <v>0</v>
      </c>
      <c r="Z3103" s="168">
        <f t="shared" si="9"/>
        <v>0</v>
      </c>
    </row>
    <row r="3104" ht="15.0" customHeight="1">
      <c r="A3104" s="157" t="s">
        <v>3696</v>
      </c>
      <c r="B3104" s="273" t="s">
        <v>27</v>
      </c>
      <c r="C3104" s="158" t="s">
        <v>3692</v>
      </c>
      <c r="D3104" s="159">
        <v>44651.0</v>
      </c>
      <c r="E3104" s="157" t="s">
        <v>731</v>
      </c>
      <c r="F3104" s="160">
        <v>332144.44</v>
      </c>
      <c r="G3104" s="160">
        <v>53143.11</v>
      </c>
      <c r="H3104" s="160">
        <f>F3104+G3104</f>
        <v>385287.55</v>
      </c>
      <c r="I3104" s="160"/>
      <c r="J3104" s="161"/>
      <c r="K3104" s="160"/>
      <c r="L3104" s="160">
        <f>+'FACP$'!$H3104-'FACP$'!$I3104-'FACP$'!$K3104</f>
        <v>385287.55</v>
      </c>
      <c r="M3104" s="162" t="s">
        <v>151</v>
      </c>
      <c r="N3104" s="162" t="s">
        <v>554</v>
      </c>
      <c r="O3104" s="164">
        <v>44656.0</v>
      </c>
      <c r="P3104" s="164">
        <f t="array" ref="P3104">XLOOKUP('FACP$'!$B3104,'perfil de pagos'!A:A,'perfil de pagos'!B:B)+'FACP$'!$D3104</f>
        <v>44681</v>
      </c>
      <c r="Q3104" s="165">
        <f t="shared" si="2"/>
        <v>0</v>
      </c>
      <c r="R3104" s="167"/>
      <c r="S3104" s="167"/>
      <c r="T3104" s="168">
        <f t="shared" si="3"/>
        <v>385287.55</v>
      </c>
      <c r="U3104" s="168">
        <f t="shared" si="4"/>
        <v>0</v>
      </c>
      <c r="V3104" s="168">
        <f t="shared" si="5"/>
        <v>0</v>
      </c>
      <c r="W3104" s="168">
        <f t="shared" si="6"/>
        <v>0</v>
      </c>
      <c r="X3104" s="168">
        <f t="shared" si="7"/>
        <v>0</v>
      </c>
      <c r="Y3104" s="168">
        <f t="shared" si="8"/>
        <v>0</v>
      </c>
      <c r="Z3104" s="168">
        <f t="shared" si="9"/>
        <v>0</v>
      </c>
    </row>
    <row r="3105" ht="15.0" customHeight="1">
      <c r="A3105" s="157" t="s">
        <v>3697</v>
      </c>
      <c r="B3105" s="273" t="s">
        <v>27</v>
      </c>
      <c r="C3105" s="158" t="s">
        <v>3698</v>
      </c>
      <c r="D3105" s="159">
        <v>44651.0</v>
      </c>
      <c r="E3105" s="157" t="s">
        <v>731</v>
      </c>
      <c r="F3105" s="160">
        <v>36166.45</v>
      </c>
      <c r="G3105" s="160">
        <v>5786.63</v>
      </c>
      <c r="H3105" s="160">
        <f>F3105+G3105-1474.52</f>
        <v>40478.56</v>
      </c>
      <c r="I3105" s="160"/>
      <c r="J3105" s="161"/>
      <c r="K3105" s="160"/>
      <c r="L3105" s="160">
        <f>+'FACP$'!$H3105-'FACP$'!$I3105-'FACP$'!$K3105</f>
        <v>40478.56</v>
      </c>
      <c r="M3105" s="162" t="s">
        <v>151</v>
      </c>
      <c r="N3105" s="162" t="s">
        <v>554</v>
      </c>
      <c r="O3105" s="164">
        <v>44693.0</v>
      </c>
      <c r="P3105" s="164">
        <f t="array" ref="P3105">XLOOKUP('FACP$'!$B3105,'perfil de pagos'!A:A,'perfil de pagos'!B:B)+'FACP$'!$D3105</f>
        <v>44681</v>
      </c>
      <c r="Q3105" s="165">
        <f t="shared" si="2"/>
        <v>0</v>
      </c>
      <c r="R3105" s="167" t="s">
        <v>3699</v>
      </c>
      <c r="S3105" s="167">
        <v>1372.0</v>
      </c>
      <c r="T3105" s="168">
        <f t="shared" si="3"/>
        <v>40478.56</v>
      </c>
      <c r="U3105" s="168">
        <f t="shared" si="4"/>
        <v>0</v>
      </c>
      <c r="V3105" s="168">
        <f t="shared" si="5"/>
        <v>0</v>
      </c>
      <c r="W3105" s="168">
        <f t="shared" si="6"/>
        <v>0</v>
      </c>
      <c r="X3105" s="168">
        <f t="shared" si="7"/>
        <v>0</v>
      </c>
      <c r="Y3105" s="168">
        <f t="shared" si="8"/>
        <v>0</v>
      </c>
      <c r="Z3105" s="168">
        <f t="shared" si="9"/>
        <v>0</v>
      </c>
    </row>
    <row r="3106" ht="15.0" customHeight="1">
      <c r="A3106" s="157" t="s">
        <v>3700</v>
      </c>
      <c r="B3106" s="273" t="s">
        <v>27</v>
      </c>
      <c r="C3106" s="158" t="s">
        <v>3701</v>
      </c>
      <c r="D3106" s="159">
        <v>44651.0</v>
      </c>
      <c r="E3106" s="157" t="s">
        <v>731</v>
      </c>
      <c r="F3106" s="160">
        <v>16966.54</v>
      </c>
      <c r="G3106" s="160">
        <v>2714.65</v>
      </c>
      <c r="H3106" s="160">
        <f t="shared" ref="H3106:H3122" si="88">F3106+G3106</f>
        <v>19681.19</v>
      </c>
      <c r="I3106" s="160"/>
      <c r="J3106" s="161"/>
      <c r="K3106" s="160"/>
      <c r="L3106" s="160">
        <f>+'FACP$'!$H3106-'FACP$'!$I3106-'FACP$'!$K3106</f>
        <v>19681.19</v>
      </c>
      <c r="M3106" s="162" t="s">
        <v>151</v>
      </c>
      <c r="N3106" s="162" t="s">
        <v>554</v>
      </c>
      <c r="O3106" s="164">
        <v>44693.0</v>
      </c>
      <c r="P3106" s="164">
        <f t="array" ref="P3106">XLOOKUP('FACP$'!$B3106,'perfil de pagos'!A:A,'perfil de pagos'!B:B)+'FACP$'!$D3106</f>
        <v>44681</v>
      </c>
      <c r="Q3106" s="165">
        <f t="shared" si="2"/>
        <v>0</v>
      </c>
      <c r="R3106" s="167"/>
      <c r="S3106" s="167">
        <v>1372.0</v>
      </c>
      <c r="T3106" s="168">
        <f t="shared" si="3"/>
        <v>19681.19</v>
      </c>
      <c r="U3106" s="168">
        <f t="shared" si="4"/>
        <v>0</v>
      </c>
      <c r="V3106" s="168">
        <f t="shared" si="5"/>
        <v>0</v>
      </c>
      <c r="W3106" s="168">
        <f t="shared" si="6"/>
        <v>0</v>
      </c>
      <c r="X3106" s="168">
        <f t="shared" si="7"/>
        <v>0</v>
      </c>
      <c r="Y3106" s="168">
        <f t="shared" si="8"/>
        <v>0</v>
      </c>
      <c r="Z3106" s="168">
        <f t="shared" si="9"/>
        <v>0</v>
      </c>
    </row>
    <row r="3107" ht="15.0" customHeight="1">
      <c r="A3107" s="157" t="s">
        <v>3702</v>
      </c>
      <c r="B3107" s="158" t="s">
        <v>35</v>
      </c>
      <c r="C3107" s="158" t="s">
        <v>3703</v>
      </c>
      <c r="D3107" s="159">
        <v>44656.0</v>
      </c>
      <c r="E3107" s="157" t="s">
        <v>731</v>
      </c>
      <c r="F3107" s="160">
        <v>687292.32</v>
      </c>
      <c r="G3107" s="160">
        <v>109966.77</v>
      </c>
      <c r="H3107" s="160">
        <f t="shared" si="88"/>
        <v>797259.09</v>
      </c>
      <c r="I3107" s="160"/>
      <c r="J3107" s="161"/>
      <c r="K3107" s="160"/>
      <c r="L3107" s="160">
        <f>+'FACP$'!$H3107-'FACP$'!$I3107-'FACP$'!$K3107</f>
        <v>797259.09</v>
      </c>
      <c r="M3107" s="162" t="s">
        <v>276</v>
      </c>
      <c r="N3107" s="162" t="s">
        <v>554</v>
      </c>
      <c r="O3107" s="164">
        <v>44672.0</v>
      </c>
      <c r="P3107" s="164">
        <f t="array" ref="P3107">XLOOKUP('FACP$'!$B3107,'perfil de pagos'!A:A,'perfil de pagos'!B:B)+'FACP$'!$D3107</f>
        <v>44666</v>
      </c>
      <c r="Q3107" s="165">
        <f t="shared" si="2"/>
        <v>0</v>
      </c>
      <c r="R3107" s="167"/>
      <c r="S3107" s="167">
        <v>1355.0</v>
      </c>
      <c r="T3107" s="168">
        <f t="shared" si="3"/>
        <v>797259.09</v>
      </c>
      <c r="U3107" s="168">
        <f t="shared" si="4"/>
        <v>0</v>
      </c>
      <c r="V3107" s="168">
        <f t="shared" si="5"/>
        <v>0</v>
      </c>
      <c r="W3107" s="168">
        <f t="shared" si="6"/>
        <v>0</v>
      </c>
      <c r="X3107" s="168">
        <f t="shared" si="7"/>
        <v>0</v>
      </c>
      <c r="Y3107" s="168">
        <f t="shared" si="8"/>
        <v>0</v>
      </c>
      <c r="Z3107" s="168">
        <f t="shared" si="9"/>
        <v>0</v>
      </c>
    </row>
    <row r="3108" ht="15.0" customHeight="1">
      <c r="A3108" s="157" t="s">
        <v>3704</v>
      </c>
      <c r="B3108" s="158" t="s">
        <v>33</v>
      </c>
      <c r="C3108" s="158" t="s">
        <v>3703</v>
      </c>
      <c r="D3108" s="159">
        <v>44656.0</v>
      </c>
      <c r="E3108" s="157" t="s">
        <v>731</v>
      </c>
      <c r="F3108" s="160">
        <v>1523150.12</v>
      </c>
      <c r="G3108" s="160">
        <v>243704.02</v>
      </c>
      <c r="H3108" s="160">
        <f t="shared" si="88"/>
        <v>1766854.14</v>
      </c>
      <c r="I3108" s="160"/>
      <c r="J3108" s="161"/>
      <c r="K3108" s="160"/>
      <c r="L3108" s="160">
        <f>+'FACP$'!$H3108-'FACP$'!$I3108-'FACP$'!$K3108</f>
        <v>1766854.14</v>
      </c>
      <c r="M3108" s="162" t="s">
        <v>958</v>
      </c>
      <c r="N3108" s="162" t="s">
        <v>127</v>
      </c>
      <c r="O3108" s="164"/>
      <c r="P3108" s="164">
        <f t="array" ref="P3108">XLOOKUP('FACP$'!$B3108,'perfil de pagos'!A:A,'perfil de pagos'!B:B)+'FACP$'!$D3108</f>
        <v>44666</v>
      </c>
      <c r="Q3108" s="165">
        <f t="shared" si="2"/>
        <v>0</v>
      </c>
      <c r="R3108" s="167"/>
      <c r="S3108" s="167"/>
      <c r="T3108" s="168">
        <f t="shared" si="3"/>
        <v>1766854.14</v>
      </c>
      <c r="U3108" s="168">
        <f t="shared" si="4"/>
        <v>0</v>
      </c>
      <c r="V3108" s="168">
        <f t="shared" si="5"/>
        <v>0</v>
      </c>
      <c r="W3108" s="168">
        <f t="shared" si="6"/>
        <v>0</v>
      </c>
      <c r="X3108" s="168">
        <f t="shared" si="7"/>
        <v>0</v>
      </c>
      <c r="Y3108" s="168">
        <f t="shared" si="8"/>
        <v>0</v>
      </c>
      <c r="Z3108" s="168">
        <f t="shared" si="9"/>
        <v>0</v>
      </c>
    </row>
    <row r="3109" ht="15.0" customHeight="1">
      <c r="A3109" s="157" t="s">
        <v>3705</v>
      </c>
      <c r="B3109" s="158" t="s">
        <v>36</v>
      </c>
      <c r="C3109" s="158" t="s">
        <v>3703</v>
      </c>
      <c r="D3109" s="159">
        <v>44656.0</v>
      </c>
      <c r="E3109" s="157" t="s">
        <v>731</v>
      </c>
      <c r="F3109" s="160">
        <v>93989.09</v>
      </c>
      <c r="G3109" s="160">
        <v>15038.25</v>
      </c>
      <c r="H3109" s="160">
        <f t="shared" si="88"/>
        <v>109027.34</v>
      </c>
      <c r="I3109" s="160"/>
      <c r="J3109" s="161"/>
      <c r="K3109" s="160"/>
      <c r="L3109" s="160">
        <f>+'FACP$'!$H3109-'FACP$'!$I3109-'FACP$'!$K3109</f>
        <v>109027.34</v>
      </c>
      <c r="M3109" s="162" t="s">
        <v>278</v>
      </c>
      <c r="N3109" s="162" t="s">
        <v>554</v>
      </c>
      <c r="O3109" s="164">
        <v>44672.0</v>
      </c>
      <c r="P3109" s="164">
        <f t="array" ref="P3109">XLOOKUP('FACP$'!$B3109,'perfil de pagos'!A:A,'perfil de pagos'!B:B)+'FACP$'!$D3109</f>
        <v>44666</v>
      </c>
      <c r="Q3109" s="165">
        <f t="shared" si="2"/>
        <v>0</v>
      </c>
      <c r="R3109" s="167"/>
      <c r="S3109" s="167">
        <v>1405.0</v>
      </c>
      <c r="T3109" s="168">
        <f t="shared" si="3"/>
        <v>109027.34</v>
      </c>
      <c r="U3109" s="168">
        <f t="shared" si="4"/>
        <v>0</v>
      </c>
      <c r="V3109" s="168">
        <f t="shared" si="5"/>
        <v>0</v>
      </c>
      <c r="W3109" s="168">
        <f t="shared" si="6"/>
        <v>0</v>
      </c>
      <c r="X3109" s="168">
        <f t="shared" si="7"/>
        <v>0</v>
      </c>
      <c r="Y3109" s="168">
        <f t="shared" si="8"/>
        <v>0</v>
      </c>
      <c r="Z3109" s="168">
        <f t="shared" si="9"/>
        <v>0</v>
      </c>
    </row>
    <row r="3110" ht="15.0" customHeight="1">
      <c r="A3110" s="157" t="s">
        <v>3706</v>
      </c>
      <c r="B3110" s="158" t="s">
        <v>41</v>
      </c>
      <c r="C3110" s="158" t="s">
        <v>3703</v>
      </c>
      <c r="D3110" s="159">
        <v>44656.0</v>
      </c>
      <c r="E3110" s="157" t="s">
        <v>731</v>
      </c>
      <c r="F3110" s="160">
        <v>746908.19</v>
      </c>
      <c r="G3110" s="160">
        <v>119505.31</v>
      </c>
      <c r="H3110" s="160">
        <f t="shared" si="88"/>
        <v>866413.5</v>
      </c>
      <c r="I3110" s="160"/>
      <c r="J3110" s="161"/>
      <c r="K3110" s="160"/>
      <c r="L3110" s="160">
        <f>+'FACP$'!$H3110-'FACP$'!$I3110-'FACP$'!$K3110</f>
        <v>866413.5</v>
      </c>
      <c r="M3110" s="162" t="s">
        <v>121</v>
      </c>
      <c r="N3110" s="162" t="s">
        <v>554</v>
      </c>
      <c r="O3110" s="164">
        <v>44741.0</v>
      </c>
      <c r="P3110" s="164">
        <f t="array" ref="P3110">XLOOKUP('FACP$'!$B3110,'perfil de pagos'!A:A,'perfil de pagos'!B:B)+'FACP$'!$D3110</f>
        <v>44666</v>
      </c>
      <c r="Q3110" s="165">
        <f t="shared" si="2"/>
        <v>0</v>
      </c>
      <c r="R3110" s="167"/>
      <c r="S3110" s="167"/>
      <c r="T3110" s="168">
        <f t="shared" si="3"/>
        <v>866413.5</v>
      </c>
      <c r="U3110" s="168">
        <f t="shared" si="4"/>
        <v>0</v>
      </c>
      <c r="V3110" s="168">
        <f t="shared" si="5"/>
        <v>0</v>
      </c>
      <c r="W3110" s="168">
        <f t="shared" si="6"/>
        <v>0</v>
      </c>
      <c r="X3110" s="168">
        <f t="shared" si="7"/>
        <v>0</v>
      </c>
      <c r="Y3110" s="168">
        <f t="shared" si="8"/>
        <v>0</v>
      </c>
      <c r="Z3110" s="168">
        <f t="shared" si="9"/>
        <v>0</v>
      </c>
    </row>
    <row r="3111" ht="15.0" customHeight="1">
      <c r="A3111" s="157" t="s">
        <v>3707</v>
      </c>
      <c r="B3111" s="158" t="s">
        <v>43</v>
      </c>
      <c r="C3111" s="158" t="s">
        <v>3703</v>
      </c>
      <c r="D3111" s="159">
        <v>44656.0</v>
      </c>
      <c r="E3111" s="157" t="s">
        <v>731</v>
      </c>
      <c r="F3111" s="160">
        <v>1604066.32</v>
      </c>
      <c r="G3111" s="160">
        <v>256650.61</v>
      </c>
      <c r="H3111" s="160">
        <f t="shared" si="88"/>
        <v>1860716.93</v>
      </c>
      <c r="I3111" s="160"/>
      <c r="J3111" s="161"/>
      <c r="K3111" s="160"/>
      <c r="L3111" s="160">
        <f>+'FACP$'!$H3111-'FACP$'!$I3111-'FACP$'!$K3111</f>
        <v>1860716.93</v>
      </c>
      <c r="M3111" s="162" t="s">
        <v>43</v>
      </c>
      <c r="N3111" s="162" t="s">
        <v>554</v>
      </c>
      <c r="O3111" s="164">
        <v>44680.0</v>
      </c>
      <c r="P3111" s="164">
        <f t="array" ref="P3111">XLOOKUP('FACP$'!$B3111,'perfil de pagos'!A:A,'perfil de pagos'!B:B)+'FACP$'!$D3111</f>
        <v>44681</v>
      </c>
      <c r="Q3111" s="165">
        <f t="shared" si="2"/>
        <v>0</v>
      </c>
      <c r="R3111" s="167"/>
      <c r="S3111" s="167"/>
      <c r="T3111" s="168">
        <f t="shared" si="3"/>
        <v>1860716.93</v>
      </c>
      <c r="U3111" s="168">
        <f t="shared" si="4"/>
        <v>0</v>
      </c>
      <c r="V3111" s="168">
        <f t="shared" si="5"/>
        <v>0</v>
      </c>
      <c r="W3111" s="168">
        <f t="shared" si="6"/>
        <v>0</v>
      </c>
      <c r="X3111" s="168">
        <f t="shared" si="7"/>
        <v>0</v>
      </c>
      <c r="Y3111" s="168">
        <f t="shared" si="8"/>
        <v>0</v>
      </c>
      <c r="Z3111" s="168">
        <f t="shared" si="9"/>
        <v>0</v>
      </c>
    </row>
    <row r="3112" ht="15.0" customHeight="1">
      <c r="A3112" s="157" t="s">
        <v>3708</v>
      </c>
      <c r="B3112" s="158" t="s">
        <v>27</v>
      </c>
      <c r="C3112" s="158" t="s">
        <v>3709</v>
      </c>
      <c r="D3112" s="159">
        <v>44656.0</v>
      </c>
      <c r="E3112" s="157" t="s">
        <v>731</v>
      </c>
      <c r="F3112" s="160">
        <v>4204.03</v>
      </c>
      <c r="G3112" s="160">
        <v>672.64</v>
      </c>
      <c r="H3112" s="160">
        <f t="shared" si="88"/>
        <v>4876.67</v>
      </c>
      <c r="I3112" s="160"/>
      <c r="J3112" s="161"/>
      <c r="K3112" s="160"/>
      <c r="L3112" s="160">
        <f>+'FACP$'!$H3112-'FACP$'!$I3112-'FACP$'!$K3112</f>
        <v>4876.67</v>
      </c>
      <c r="M3112" s="162" t="s">
        <v>151</v>
      </c>
      <c r="N3112" s="162" t="s">
        <v>554</v>
      </c>
      <c r="O3112" s="164">
        <v>44693.0</v>
      </c>
      <c r="P3112" s="164">
        <f t="array" ref="P3112">XLOOKUP('FACP$'!$B3112,'perfil de pagos'!A:A,'perfil de pagos'!B:B)+'FACP$'!$D3112</f>
        <v>44686</v>
      </c>
      <c r="Q3112" s="165">
        <f t="shared" si="2"/>
        <v>0</v>
      </c>
      <c r="R3112" s="167"/>
      <c r="S3112" s="167">
        <v>1372.0</v>
      </c>
      <c r="T3112" s="168">
        <f t="shared" si="3"/>
        <v>4876.67</v>
      </c>
      <c r="U3112" s="168">
        <f t="shared" si="4"/>
        <v>0</v>
      </c>
      <c r="V3112" s="168">
        <f t="shared" si="5"/>
        <v>0</v>
      </c>
      <c r="W3112" s="168">
        <f t="shared" si="6"/>
        <v>0</v>
      </c>
      <c r="X3112" s="168">
        <f t="shared" si="7"/>
        <v>0</v>
      </c>
      <c r="Y3112" s="168">
        <f t="shared" si="8"/>
        <v>0</v>
      </c>
      <c r="Z3112" s="168">
        <f t="shared" si="9"/>
        <v>0</v>
      </c>
    </row>
    <row r="3113" ht="15.0" customHeight="1">
      <c r="A3113" s="157" t="s">
        <v>3710</v>
      </c>
      <c r="B3113" s="158" t="s">
        <v>27</v>
      </c>
      <c r="C3113" s="158" t="s">
        <v>3711</v>
      </c>
      <c r="D3113" s="159">
        <v>44656.0</v>
      </c>
      <c r="E3113" s="157" t="s">
        <v>731</v>
      </c>
      <c r="F3113" s="160">
        <v>1975.46</v>
      </c>
      <c r="G3113" s="160">
        <v>316.07</v>
      </c>
      <c r="H3113" s="160">
        <f t="shared" si="88"/>
        <v>2291.53</v>
      </c>
      <c r="I3113" s="160"/>
      <c r="J3113" s="161"/>
      <c r="K3113" s="160"/>
      <c r="L3113" s="160">
        <f>+'FACP$'!$H3113-'FACP$'!$I3113-'FACP$'!$K3113</f>
        <v>2291.53</v>
      </c>
      <c r="M3113" s="162" t="s">
        <v>151</v>
      </c>
      <c r="N3113" s="162" t="s">
        <v>554</v>
      </c>
      <c r="O3113" s="164">
        <v>44693.0</v>
      </c>
      <c r="P3113" s="164">
        <f t="array" ref="P3113">XLOOKUP('FACP$'!$B3113,'perfil de pagos'!A:A,'perfil de pagos'!B:B)+'FACP$'!$D3113</f>
        <v>44686</v>
      </c>
      <c r="Q3113" s="165">
        <f t="shared" si="2"/>
        <v>0</v>
      </c>
      <c r="R3113" s="167"/>
      <c r="S3113" s="167">
        <v>1372.0</v>
      </c>
      <c r="T3113" s="168">
        <f t="shared" si="3"/>
        <v>2291.53</v>
      </c>
      <c r="U3113" s="168">
        <f t="shared" si="4"/>
        <v>0</v>
      </c>
      <c r="V3113" s="168">
        <f t="shared" si="5"/>
        <v>0</v>
      </c>
      <c r="W3113" s="168">
        <f t="shared" si="6"/>
        <v>0</v>
      </c>
      <c r="X3113" s="168">
        <f t="shared" si="7"/>
        <v>0</v>
      </c>
      <c r="Y3113" s="168">
        <f t="shared" si="8"/>
        <v>0</v>
      </c>
      <c r="Z3113" s="168">
        <f t="shared" si="9"/>
        <v>0</v>
      </c>
    </row>
    <row r="3114" ht="15.0" customHeight="1">
      <c r="A3114" s="157" t="s">
        <v>3712</v>
      </c>
      <c r="B3114" s="158" t="s">
        <v>27</v>
      </c>
      <c r="C3114" s="158" t="s">
        <v>3713</v>
      </c>
      <c r="D3114" s="159">
        <v>44656.0</v>
      </c>
      <c r="E3114" s="157" t="s">
        <v>731</v>
      </c>
      <c r="F3114" s="160">
        <v>298.62</v>
      </c>
      <c r="G3114" s="160">
        <v>47.78</v>
      </c>
      <c r="H3114" s="160">
        <f t="shared" si="88"/>
        <v>346.4</v>
      </c>
      <c r="I3114" s="160"/>
      <c r="J3114" s="161"/>
      <c r="K3114" s="160"/>
      <c r="L3114" s="160">
        <f>+'FACP$'!$H3114-'FACP$'!$I3114-'FACP$'!$K3114</f>
        <v>346.4</v>
      </c>
      <c r="M3114" s="162" t="s">
        <v>151</v>
      </c>
      <c r="N3114" s="162" t="s">
        <v>554</v>
      </c>
      <c r="O3114" s="164">
        <v>44693.0</v>
      </c>
      <c r="P3114" s="164">
        <f t="array" ref="P3114">XLOOKUP('FACP$'!$B3114,'perfil de pagos'!A:A,'perfil de pagos'!B:B)+'FACP$'!$D3114</f>
        <v>44686</v>
      </c>
      <c r="Q3114" s="165">
        <f t="shared" si="2"/>
        <v>0</v>
      </c>
      <c r="R3114" s="167"/>
      <c r="S3114" s="167">
        <v>1372.0</v>
      </c>
      <c r="T3114" s="168">
        <f t="shared" si="3"/>
        <v>346.4</v>
      </c>
      <c r="U3114" s="168">
        <f t="shared" si="4"/>
        <v>0</v>
      </c>
      <c r="V3114" s="168">
        <f t="shared" si="5"/>
        <v>0</v>
      </c>
      <c r="W3114" s="168">
        <f t="shared" si="6"/>
        <v>0</v>
      </c>
      <c r="X3114" s="168">
        <f t="shared" si="7"/>
        <v>0</v>
      </c>
      <c r="Y3114" s="168">
        <f t="shared" si="8"/>
        <v>0</v>
      </c>
      <c r="Z3114" s="168">
        <f t="shared" si="9"/>
        <v>0</v>
      </c>
    </row>
    <row r="3115" ht="15.0" customHeight="1">
      <c r="A3115" s="157" t="s">
        <v>3714</v>
      </c>
      <c r="B3115" s="158" t="s">
        <v>27</v>
      </c>
      <c r="C3115" s="158" t="s">
        <v>3715</v>
      </c>
      <c r="D3115" s="159">
        <v>44656.0</v>
      </c>
      <c r="E3115" s="157" t="s">
        <v>731</v>
      </c>
      <c r="F3115" s="160">
        <v>140.34</v>
      </c>
      <c r="G3115" s="160">
        <v>22.45</v>
      </c>
      <c r="H3115" s="160">
        <f t="shared" si="88"/>
        <v>162.79</v>
      </c>
      <c r="I3115" s="160"/>
      <c r="J3115" s="161"/>
      <c r="K3115" s="160"/>
      <c r="L3115" s="160">
        <f>+'FACP$'!$H3115-'FACP$'!$I3115-'FACP$'!$K3115</f>
        <v>162.79</v>
      </c>
      <c r="M3115" s="162" t="s">
        <v>151</v>
      </c>
      <c r="N3115" s="162" t="s">
        <v>554</v>
      </c>
      <c r="O3115" s="164">
        <v>44693.0</v>
      </c>
      <c r="P3115" s="164">
        <f t="array" ref="P3115">XLOOKUP('FACP$'!$B3115,'perfil de pagos'!A:A,'perfil de pagos'!B:B)+'FACP$'!$D3115</f>
        <v>44686</v>
      </c>
      <c r="Q3115" s="165">
        <f t="shared" si="2"/>
        <v>0</v>
      </c>
      <c r="R3115" s="167"/>
      <c r="S3115" s="167">
        <v>1372.0</v>
      </c>
      <c r="T3115" s="168">
        <f t="shared" si="3"/>
        <v>162.79</v>
      </c>
      <c r="U3115" s="168">
        <f t="shared" si="4"/>
        <v>0</v>
      </c>
      <c r="V3115" s="168">
        <f t="shared" si="5"/>
        <v>0</v>
      </c>
      <c r="W3115" s="168">
        <f t="shared" si="6"/>
        <v>0</v>
      </c>
      <c r="X3115" s="168">
        <f t="shared" si="7"/>
        <v>0</v>
      </c>
      <c r="Y3115" s="168">
        <f t="shared" si="8"/>
        <v>0</v>
      </c>
      <c r="Z3115" s="168">
        <f t="shared" si="9"/>
        <v>0</v>
      </c>
    </row>
    <row r="3116" ht="15.0" customHeight="1">
      <c r="A3116" s="157" t="s">
        <v>3716</v>
      </c>
      <c r="B3116" s="209"/>
      <c r="C3116" s="209"/>
      <c r="D3116" s="186"/>
      <c r="E3116" s="210"/>
      <c r="F3116" s="211"/>
      <c r="G3116" s="211"/>
      <c r="H3116" s="160">
        <f t="shared" si="88"/>
        <v>0</v>
      </c>
      <c r="I3116" s="211"/>
      <c r="J3116" s="212"/>
      <c r="K3116" s="211"/>
      <c r="L3116" s="211">
        <f>+'FACP$'!$H3116-'FACP$'!$I3116-'FACP$'!$K3116</f>
        <v>0</v>
      </c>
      <c r="M3116" s="227"/>
      <c r="N3116" s="227" t="s">
        <v>127</v>
      </c>
      <c r="O3116" s="245"/>
      <c r="P3116" s="164" t="str">
        <f t="array" ref="P3116">XLOOKUP('FACP$'!$B3116,'perfil de pagos'!A:A,'perfil de pagos'!B:B)+'FACP$'!$D3116</f>
        <v>#N/A</v>
      </c>
      <c r="Q3116" s="246">
        <f t="shared" si="2"/>
        <v>0</v>
      </c>
      <c r="R3116" s="223"/>
      <c r="S3116" s="223"/>
      <c r="T3116" s="168">
        <f t="shared" si="3"/>
        <v>0</v>
      </c>
      <c r="U3116" s="168">
        <f t="shared" si="4"/>
        <v>0</v>
      </c>
      <c r="V3116" s="168">
        <f t="shared" si="5"/>
        <v>0</v>
      </c>
      <c r="W3116" s="168">
        <f t="shared" si="6"/>
        <v>0</v>
      </c>
      <c r="X3116" s="168">
        <f t="shared" si="7"/>
        <v>0</v>
      </c>
      <c r="Y3116" s="168">
        <f t="shared" si="8"/>
        <v>0</v>
      </c>
      <c r="Z3116" s="168">
        <f t="shared" si="9"/>
        <v>0</v>
      </c>
    </row>
    <row r="3117" ht="15.0" customHeight="1">
      <c r="A3117" s="157" t="s">
        <v>3717</v>
      </c>
      <c r="B3117" s="158" t="s">
        <v>33</v>
      </c>
      <c r="C3117" s="158" t="s">
        <v>3718</v>
      </c>
      <c r="D3117" s="159">
        <v>44657.0</v>
      </c>
      <c r="E3117" s="157" t="s">
        <v>731</v>
      </c>
      <c r="F3117" s="160">
        <v>1523150.12</v>
      </c>
      <c r="G3117" s="160">
        <v>243704.02</v>
      </c>
      <c r="H3117" s="160">
        <f t="shared" si="88"/>
        <v>1766854.14</v>
      </c>
      <c r="I3117" s="160"/>
      <c r="J3117" s="161"/>
      <c r="K3117" s="160"/>
      <c r="L3117" s="160">
        <f>+'FACP$'!$H3117-'FACP$'!$I3117-'FACP$'!$K3117</f>
        <v>1766854.14</v>
      </c>
      <c r="M3117" s="162" t="s">
        <v>958</v>
      </c>
      <c r="N3117" s="162" t="s">
        <v>127</v>
      </c>
      <c r="O3117" s="164">
        <v>44673.0</v>
      </c>
      <c r="P3117" s="164">
        <f t="array" ref="P3117">XLOOKUP('FACP$'!$B3117,'perfil de pagos'!A:A,'perfil de pagos'!B:B)+'FACP$'!$D3117</f>
        <v>44667</v>
      </c>
      <c r="Q3117" s="165">
        <f t="shared" si="2"/>
        <v>0</v>
      </c>
      <c r="R3117" s="167" t="s">
        <v>3719</v>
      </c>
      <c r="S3117" s="167"/>
      <c r="T3117" s="168">
        <f t="shared" si="3"/>
        <v>1766854.14</v>
      </c>
      <c r="U3117" s="168">
        <f t="shared" si="4"/>
        <v>0</v>
      </c>
      <c r="V3117" s="168">
        <f t="shared" si="5"/>
        <v>0</v>
      </c>
      <c r="W3117" s="168">
        <f t="shared" si="6"/>
        <v>0</v>
      </c>
      <c r="X3117" s="168">
        <f t="shared" si="7"/>
        <v>0</v>
      </c>
      <c r="Y3117" s="168">
        <f t="shared" si="8"/>
        <v>0</v>
      </c>
      <c r="Z3117" s="168">
        <f t="shared" si="9"/>
        <v>0</v>
      </c>
    </row>
    <row r="3118" ht="15.0" customHeight="1">
      <c r="A3118" s="157" t="s">
        <v>3720</v>
      </c>
      <c r="B3118" s="158" t="s">
        <v>16</v>
      </c>
      <c r="C3118" s="158" t="s">
        <v>3721</v>
      </c>
      <c r="D3118" s="159">
        <v>44657.0</v>
      </c>
      <c r="E3118" s="157" t="s">
        <v>731</v>
      </c>
      <c r="F3118" s="160">
        <v>467053.82</v>
      </c>
      <c r="G3118" s="160">
        <v>74728.61</v>
      </c>
      <c r="H3118" s="160">
        <f t="shared" si="88"/>
        <v>541782.43</v>
      </c>
      <c r="I3118" s="160"/>
      <c r="J3118" s="161"/>
      <c r="K3118" s="160"/>
      <c r="L3118" s="160">
        <f>+'FACP$'!$H3118-'FACP$'!$I3118-'FACP$'!$K3118</f>
        <v>541782.43</v>
      </c>
      <c r="M3118" s="162" t="s">
        <v>985</v>
      </c>
      <c r="N3118" s="162" t="s">
        <v>554</v>
      </c>
      <c r="O3118" s="164">
        <v>44672.0</v>
      </c>
      <c r="P3118" s="164">
        <f t="array" ref="P3118">XLOOKUP('FACP$'!$B3118,'perfil de pagos'!A:A,'perfil de pagos'!B:B)+'FACP$'!$D3118</f>
        <v>44667</v>
      </c>
      <c r="Q3118" s="165">
        <f t="shared" si="2"/>
        <v>0</v>
      </c>
      <c r="R3118" s="167"/>
      <c r="S3118" s="167"/>
      <c r="T3118" s="168">
        <f t="shared" si="3"/>
        <v>541782.43</v>
      </c>
      <c r="U3118" s="168">
        <f t="shared" si="4"/>
        <v>0</v>
      </c>
      <c r="V3118" s="168">
        <f t="shared" si="5"/>
        <v>0</v>
      </c>
      <c r="W3118" s="168">
        <f t="shared" si="6"/>
        <v>0</v>
      </c>
      <c r="X3118" s="168">
        <f t="shared" si="7"/>
        <v>0</v>
      </c>
      <c r="Y3118" s="168">
        <f t="shared" si="8"/>
        <v>0</v>
      </c>
      <c r="Z3118" s="168">
        <f t="shared" si="9"/>
        <v>0</v>
      </c>
    </row>
    <row r="3119" ht="15.0" customHeight="1">
      <c r="A3119" s="157" t="s">
        <v>3722</v>
      </c>
      <c r="B3119" s="158" t="s">
        <v>16</v>
      </c>
      <c r="C3119" s="158" t="s">
        <v>3723</v>
      </c>
      <c r="D3119" s="159">
        <v>44657.0</v>
      </c>
      <c r="E3119" s="157" t="s">
        <v>731</v>
      </c>
      <c r="F3119" s="160">
        <v>391150.22</v>
      </c>
      <c r="G3119" s="160">
        <v>62584.04</v>
      </c>
      <c r="H3119" s="160">
        <f t="shared" si="88"/>
        <v>453734.26</v>
      </c>
      <c r="I3119" s="160"/>
      <c r="J3119" s="161"/>
      <c r="K3119" s="160"/>
      <c r="L3119" s="160">
        <f>+'FACP$'!$H3119-'FACP$'!$I3119-'FACP$'!$K3119</f>
        <v>453734.26</v>
      </c>
      <c r="M3119" s="162" t="s">
        <v>985</v>
      </c>
      <c r="N3119" s="162" t="s">
        <v>554</v>
      </c>
      <c r="O3119" s="164">
        <v>44672.0</v>
      </c>
      <c r="P3119" s="164">
        <f t="array" ref="P3119">XLOOKUP('FACP$'!$B3119,'perfil de pagos'!A:A,'perfil de pagos'!B:B)+'FACP$'!$D3119</f>
        <v>44667</v>
      </c>
      <c r="Q3119" s="165">
        <f t="shared" si="2"/>
        <v>0</v>
      </c>
      <c r="R3119" s="167"/>
      <c r="S3119" s="167"/>
      <c r="T3119" s="168">
        <f t="shared" si="3"/>
        <v>453734.26</v>
      </c>
      <c r="U3119" s="168">
        <f t="shared" si="4"/>
        <v>0</v>
      </c>
      <c r="V3119" s="168">
        <f t="shared" si="5"/>
        <v>0</v>
      </c>
      <c r="W3119" s="168">
        <f t="shared" si="6"/>
        <v>0</v>
      </c>
      <c r="X3119" s="168">
        <f t="shared" si="7"/>
        <v>0</v>
      </c>
      <c r="Y3119" s="168">
        <f t="shared" si="8"/>
        <v>0</v>
      </c>
      <c r="Z3119" s="168">
        <f t="shared" si="9"/>
        <v>0</v>
      </c>
    </row>
    <row r="3120" ht="15.0" customHeight="1">
      <c r="A3120" s="157" t="s">
        <v>3724</v>
      </c>
      <c r="B3120" s="158" t="s">
        <v>18</v>
      </c>
      <c r="C3120" s="158" t="s">
        <v>3721</v>
      </c>
      <c r="D3120" s="159">
        <v>44657.0</v>
      </c>
      <c r="E3120" s="157" t="s">
        <v>731</v>
      </c>
      <c r="F3120" s="160">
        <v>202374.39</v>
      </c>
      <c r="G3120" s="160">
        <v>32379.9</v>
      </c>
      <c r="H3120" s="160">
        <f t="shared" si="88"/>
        <v>234754.29</v>
      </c>
      <c r="I3120" s="160"/>
      <c r="J3120" s="161"/>
      <c r="K3120" s="160"/>
      <c r="L3120" s="160">
        <f>+'FACP$'!$H3120-'FACP$'!$I3120-'FACP$'!$K3120</f>
        <v>234754.29</v>
      </c>
      <c r="M3120" s="162" t="s">
        <v>586</v>
      </c>
      <c r="N3120" s="162" t="s">
        <v>554</v>
      </c>
      <c r="O3120" s="164">
        <v>44669.0</v>
      </c>
      <c r="P3120" s="164">
        <f t="array" ref="P3120">XLOOKUP('FACP$'!$B3120,'perfil de pagos'!A:A,'perfil de pagos'!B:B)+'FACP$'!$D3120</f>
        <v>44667</v>
      </c>
      <c r="Q3120" s="165">
        <f t="shared" si="2"/>
        <v>0</v>
      </c>
      <c r="R3120" s="167"/>
      <c r="S3120" s="167">
        <v>1359.0</v>
      </c>
      <c r="T3120" s="168">
        <f t="shared" si="3"/>
        <v>234754.29</v>
      </c>
      <c r="U3120" s="168">
        <f t="shared" si="4"/>
        <v>0</v>
      </c>
      <c r="V3120" s="168">
        <f t="shared" si="5"/>
        <v>0</v>
      </c>
      <c r="W3120" s="168">
        <f t="shared" si="6"/>
        <v>0</v>
      </c>
      <c r="X3120" s="168">
        <f t="shared" si="7"/>
        <v>0</v>
      </c>
      <c r="Y3120" s="168">
        <f t="shared" si="8"/>
        <v>0</v>
      </c>
      <c r="Z3120" s="168">
        <f t="shared" si="9"/>
        <v>0</v>
      </c>
    </row>
    <row r="3121" ht="15.0" customHeight="1">
      <c r="A3121" s="157" t="s">
        <v>3725</v>
      </c>
      <c r="B3121" s="158" t="s">
        <v>19</v>
      </c>
      <c r="C3121" s="158" t="s">
        <v>3721</v>
      </c>
      <c r="D3121" s="159">
        <v>44657.0</v>
      </c>
      <c r="E3121" s="157" t="s">
        <v>731</v>
      </c>
      <c r="F3121" s="160">
        <v>235275.42</v>
      </c>
      <c r="G3121" s="160">
        <v>37644.07</v>
      </c>
      <c r="H3121" s="160">
        <f t="shared" si="88"/>
        <v>272919.49</v>
      </c>
      <c r="I3121" s="160"/>
      <c r="J3121" s="161"/>
      <c r="K3121" s="160"/>
      <c r="L3121" s="160">
        <f>+'FACP$'!$H3121-'FACP$'!$I3121-'FACP$'!$K3121</f>
        <v>272919.49</v>
      </c>
      <c r="M3121" s="162" t="s">
        <v>732</v>
      </c>
      <c r="N3121" s="162" t="s">
        <v>554</v>
      </c>
      <c r="O3121" s="164">
        <v>44669.0</v>
      </c>
      <c r="P3121" s="164">
        <f t="array" ref="P3121">XLOOKUP('FACP$'!$B3121,'perfil de pagos'!A:A,'perfil de pagos'!B:B)+'FACP$'!$D3121</f>
        <v>44667</v>
      </c>
      <c r="Q3121" s="165">
        <f t="shared" si="2"/>
        <v>0</v>
      </c>
      <c r="R3121" s="167"/>
      <c r="S3121" s="167">
        <v>1359.0</v>
      </c>
      <c r="T3121" s="168">
        <f t="shared" si="3"/>
        <v>272919.49</v>
      </c>
      <c r="U3121" s="168">
        <f t="shared" si="4"/>
        <v>0</v>
      </c>
      <c r="V3121" s="168">
        <f t="shared" si="5"/>
        <v>0</v>
      </c>
      <c r="W3121" s="168">
        <f t="shared" si="6"/>
        <v>0</v>
      </c>
      <c r="X3121" s="168">
        <f t="shared" si="7"/>
        <v>0</v>
      </c>
      <c r="Y3121" s="168">
        <f t="shared" si="8"/>
        <v>0</v>
      </c>
      <c r="Z3121" s="168">
        <f t="shared" si="9"/>
        <v>0</v>
      </c>
    </row>
    <row r="3122" ht="15.0" customHeight="1">
      <c r="A3122" s="157" t="s">
        <v>3726</v>
      </c>
      <c r="B3122" s="158" t="s">
        <v>22</v>
      </c>
      <c r="C3122" s="158" t="s">
        <v>3721</v>
      </c>
      <c r="D3122" s="159">
        <v>44657.0</v>
      </c>
      <c r="E3122" s="157" t="s">
        <v>731</v>
      </c>
      <c r="F3122" s="160">
        <v>134877.5</v>
      </c>
      <c r="G3122" s="160">
        <v>21580.4</v>
      </c>
      <c r="H3122" s="160">
        <f t="shared" si="88"/>
        <v>156457.9</v>
      </c>
      <c r="I3122" s="160"/>
      <c r="J3122" s="161"/>
      <c r="K3122" s="160"/>
      <c r="L3122" s="160">
        <f>+'FACP$'!$H3122-'FACP$'!$I3122-'FACP$'!$K3122</f>
        <v>156457.9</v>
      </c>
      <c r="M3122" s="162" t="s">
        <v>220</v>
      </c>
      <c r="N3122" s="162" t="s">
        <v>554</v>
      </c>
      <c r="O3122" s="164">
        <v>44697.0</v>
      </c>
      <c r="P3122" s="164">
        <f t="array" ref="P3122">XLOOKUP('FACP$'!$B3122,'perfil de pagos'!A:A,'perfil de pagos'!B:B)+'FACP$'!$D3122</f>
        <v>44667</v>
      </c>
      <c r="Q3122" s="165">
        <f t="shared" si="2"/>
        <v>0</v>
      </c>
      <c r="R3122" s="167"/>
      <c r="S3122" s="167">
        <v>1378.0</v>
      </c>
      <c r="T3122" s="168">
        <f t="shared" si="3"/>
        <v>156457.9</v>
      </c>
      <c r="U3122" s="168">
        <f t="shared" si="4"/>
        <v>0</v>
      </c>
      <c r="V3122" s="168">
        <f t="shared" si="5"/>
        <v>0</v>
      </c>
      <c r="W3122" s="168">
        <f t="shared" si="6"/>
        <v>0</v>
      </c>
      <c r="X3122" s="168">
        <f t="shared" si="7"/>
        <v>0</v>
      </c>
      <c r="Y3122" s="168">
        <f t="shared" si="8"/>
        <v>0</v>
      </c>
      <c r="Z3122" s="168">
        <f t="shared" si="9"/>
        <v>0</v>
      </c>
    </row>
    <row r="3123" ht="15.0" customHeight="1">
      <c r="A3123" s="157" t="s">
        <v>3727</v>
      </c>
      <c r="B3123" s="158" t="s">
        <v>26</v>
      </c>
      <c r="C3123" s="158" t="s">
        <v>3721</v>
      </c>
      <c r="D3123" s="159">
        <v>44657.0</v>
      </c>
      <c r="E3123" s="157" t="s">
        <v>731</v>
      </c>
      <c r="F3123" s="160">
        <v>65797.48</v>
      </c>
      <c r="G3123" s="160">
        <v>10527.6</v>
      </c>
      <c r="H3123" s="160">
        <f>F3123+G3123-33681.47</f>
        <v>42643.61</v>
      </c>
      <c r="I3123" s="160"/>
      <c r="J3123" s="161"/>
      <c r="K3123" s="160"/>
      <c r="L3123" s="160">
        <f>+'FACP$'!$H3123-'FACP$'!$I3123-'FACP$'!$K3123</f>
        <v>42643.61</v>
      </c>
      <c r="M3123" s="162" t="s">
        <v>2386</v>
      </c>
      <c r="N3123" s="162" t="s">
        <v>554</v>
      </c>
      <c r="O3123" s="164">
        <v>44757.0</v>
      </c>
      <c r="P3123" s="164">
        <f t="array" ref="P3123">XLOOKUP('FACP$'!$B3123,'perfil de pagos'!A:A,'perfil de pagos'!B:B)+'FACP$'!$D3123</f>
        <v>44667</v>
      </c>
      <c r="Q3123" s="165">
        <f t="shared" si="2"/>
        <v>0</v>
      </c>
      <c r="R3123" s="167" t="s">
        <v>3728</v>
      </c>
      <c r="S3123" s="167" t="s">
        <v>3729</v>
      </c>
      <c r="T3123" s="168">
        <f t="shared" si="3"/>
        <v>42643.61</v>
      </c>
      <c r="U3123" s="168">
        <f t="shared" si="4"/>
        <v>0</v>
      </c>
      <c r="V3123" s="168">
        <f t="shared" si="5"/>
        <v>0</v>
      </c>
      <c r="W3123" s="168">
        <f t="shared" si="6"/>
        <v>0</v>
      </c>
      <c r="X3123" s="168">
        <f t="shared" si="7"/>
        <v>0</v>
      </c>
      <c r="Y3123" s="168">
        <f t="shared" si="8"/>
        <v>0</v>
      </c>
      <c r="Z3123" s="168">
        <f t="shared" si="9"/>
        <v>0</v>
      </c>
    </row>
    <row r="3124" ht="15.0" customHeight="1">
      <c r="A3124" s="157" t="s">
        <v>3730</v>
      </c>
      <c r="B3124" s="158" t="s">
        <v>29</v>
      </c>
      <c r="C3124" s="158" t="s">
        <v>3721</v>
      </c>
      <c r="D3124" s="159">
        <v>44657.0</v>
      </c>
      <c r="E3124" s="157" t="s">
        <v>731</v>
      </c>
      <c r="F3124" s="160">
        <v>461559.36</v>
      </c>
      <c r="G3124" s="160">
        <v>73849.5</v>
      </c>
      <c r="H3124" s="160">
        <f t="shared" ref="H3124:H3130" si="89">F3124+G3124</f>
        <v>535408.86</v>
      </c>
      <c r="I3124" s="160"/>
      <c r="J3124" s="161"/>
      <c r="K3124" s="160"/>
      <c r="L3124" s="160">
        <f>+'FACP$'!$H3124-'FACP$'!$I3124-'FACP$'!$K3124</f>
        <v>535408.86</v>
      </c>
      <c r="M3124" s="162" t="s">
        <v>130</v>
      </c>
      <c r="N3124" s="162" t="s">
        <v>554</v>
      </c>
      <c r="O3124" s="164">
        <v>44663.0</v>
      </c>
      <c r="P3124" s="164">
        <f t="array" ref="P3124">XLOOKUP('FACP$'!$B3124,'perfil de pagos'!A:A,'perfil de pagos'!B:B)+'FACP$'!$D3124</f>
        <v>44667</v>
      </c>
      <c r="Q3124" s="165">
        <f t="shared" si="2"/>
        <v>0</v>
      </c>
      <c r="R3124" s="167"/>
      <c r="S3124" s="167"/>
      <c r="T3124" s="168">
        <f t="shared" si="3"/>
        <v>535408.86</v>
      </c>
      <c r="U3124" s="168">
        <f t="shared" si="4"/>
        <v>0</v>
      </c>
      <c r="V3124" s="168">
        <f t="shared" si="5"/>
        <v>0</v>
      </c>
      <c r="W3124" s="168">
        <f t="shared" si="6"/>
        <v>0</v>
      </c>
      <c r="X3124" s="168">
        <f t="shared" si="7"/>
        <v>0</v>
      </c>
      <c r="Y3124" s="168">
        <f t="shared" si="8"/>
        <v>0</v>
      </c>
      <c r="Z3124" s="168">
        <f t="shared" si="9"/>
        <v>0</v>
      </c>
    </row>
    <row r="3125" ht="15.0" customHeight="1">
      <c r="A3125" s="157" t="s">
        <v>3731</v>
      </c>
      <c r="B3125" s="158" t="s">
        <v>29</v>
      </c>
      <c r="C3125" s="158" t="s">
        <v>3723</v>
      </c>
      <c r="D3125" s="159">
        <v>44657.0</v>
      </c>
      <c r="E3125" s="157" t="s">
        <v>731</v>
      </c>
      <c r="F3125" s="160">
        <v>432872.88</v>
      </c>
      <c r="G3125" s="160">
        <v>69259.66</v>
      </c>
      <c r="H3125" s="160">
        <f t="shared" si="89"/>
        <v>502132.54</v>
      </c>
      <c r="I3125" s="160"/>
      <c r="J3125" s="161"/>
      <c r="K3125" s="160"/>
      <c r="L3125" s="160">
        <f>+'FACP$'!$H3125-'FACP$'!$I3125-'FACP$'!$K3125</f>
        <v>502132.54</v>
      </c>
      <c r="M3125" s="162" t="s">
        <v>130</v>
      </c>
      <c r="N3125" s="162" t="s">
        <v>554</v>
      </c>
      <c r="O3125" s="164">
        <v>44663.0</v>
      </c>
      <c r="P3125" s="164">
        <f t="array" ref="P3125">XLOOKUP('FACP$'!$B3125,'perfil de pagos'!A:A,'perfil de pagos'!B:B)+'FACP$'!$D3125</f>
        <v>44667</v>
      </c>
      <c r="Q3125" s="165">
        <f t="shared" si="2"/>
        <v>0</v>
      </c>
      <c r="R3125" s="167"/>
      <c r="S3125" s="167"/>
      <c r="T3125" s="168">
        <f t="shared" si="3"/>
        <v>502132.54</v>
      </c>
      <c r="U3125" s="168">
        <f t="shared" si="4"/>
        <v>0</v>
      </c>
      <c r="V3125" s="168">
        <f t="shared" si="5"/>
        <v>0</v>
      </c>
      <c r="W3125" s="168">
        <f t="shared" si="6"/>
        <v>0</v>
      </c>
      <c r="X3125" s="168">
        <f t="shared" si="7"/>
        <v>0</v>
      </c>
      <c r="Y3125" s="168">
        <f t="shared" si="8"/>
        <v>0</v>
      </c>
      <c r="Z3125" s="168">
        <f t="shared" si="9"/>
        <v>0</v>
      </c>
    </row>
    <row r="3126" ht="15.0" customHeight="1">
      <c r="A3126" s="157" t="s">
        <v>3732</v>
      </c>
      <c r="B3126" s="158" t="s">
        <v>37</v>
      </c>
      <c r="C3126" s="158" t="s">
        <v>3721</v>
      </c>
      <c r="D3126" s="159">
        <v>44657.0</v>
      </c>
      <c r="E3126" s="157" t="s">
        <v>731</v>
      </c>
      <c r="F3126" s="160">
        <v>1961485.34</v>
      </c>
      <c r="G3126" s="160">
        <v>313837.65</v>
      </c>
      <c r="H3126" s="160">
        <f t="shared" si="89"/>
        <v>2275322.99</v>
      </c>
      <c r="I3126" s="160"/>
      <c r="J3126" s="161"/>
      <c r="K3126" s="160"/>
      <c r="L3126" s="160">
        <f>+'FACP$'!$H3126-'FACP$'!$I3126-'FACP$'!$K3126</f>
        <v>2275322.99</v>
      </c>
      <c r="M3126" s="162" t="s">
        <v>116</v>
      </c>
      <c r="N3126" s="162" t="s">
        <v>554</v>
      </c>
      <c r="O3126" s="164">
        <v>44676.0</v>
      </c>
      <c r="P3126" s="164">
        <f t="array" ref="P3126">XLOOKUP('FACP$'!$B3126,'perfil de pagos'!A:A,'perfil de pagos'!B:B)+'FACP$'!$D3126</f>
        <v>44667</v>
      </c>
      <c r="Q3126" s="165">
        <f t="shared" si="2"/>
        <v>0</v>
      </c>
      <c r="R3126" s="167"/>
      <c r="S3126" s="167"/>
      <c r="T3126" s="168">
        <f t="shared" si="3"/>
        <v>2275322.99</v>
      </c>
      <c r="U3126" s="168">
        <f t="shared" si="4"/>
        <v>0</v>
      </c>
      <c r="V3126" s="168">
        <f t="shared" si="5"/>
        <v>0</v>
      </c>
      <c r="W3126" s="168">
        <f t="shared" si="6"/>
        <v>0</v>
      </c>
      <c r="X3126" s="168">
        <f t="shared" si="7"/>
        <v>0</v>
      </c>
      <c r="Y3126" s="168">
        <f t="shared" si="8"/>
        <v>0</v>
      </c>
      <c r="Z3126" s="168">
        <f t="shared" si="9"/>
        <v>0</v>
      </c>
    </row>
    <row r="3127" ht="15.0" customHeight="1">
      <c r="A3127" s="157" t="s">
        <v>3733</v>
      </c>
      <c r="B3127" s="158" t="s">
        <v>38</v>
      </c>
      <c r="C3127" s="158" t="s">
        <v>3721</v>
      </c>
      <c r="D3127" s="159">
        <v>44657.0</v>
      </c>
      <c r="E3127" s="157" t="s">
        <v>731</v>
      </c>
      <c r="F3127" s="160">
        <v>1129427.48</v>
      </c>
      <c r="G3127" s="160">
        <v>180708.4</v>
      </c>
      <c r="H3127" s="160">
        <f t="shared" si="89"/>
        <v>1310135.88</v>
      </c>
      <c r="I3127" s="160"/>
      <c r="J3127" s="161"/>
      <c r="K3127" s="160"/>
      <c r="L3127" s="160">
        <f>+'FACP$'!$H3127-'FACP$'!$I3127-'FACP$'!$K3127</f>
        <v>1310135.88</v>
      </c>
      <c r="M3127" s="162" t="s">
        <v>145</v>
      </c>
      <c r="N3127" s="162" t="s">
        <v>554</v>
      </c>
      <c r="O3127" s="164">
        <v>44711.0</v>
      </c>
      <c r="P3127" s="164">
        <f t="array" ref="P3127">XLOOKUP('FACP$'!$B3127,'perfil de pagos'!A:A,'perfil de pagos'!B:B)+'FACP$'!$D3127</f>
        <v>44687</v>
      </c>
      <c r="Q3127" s="165">
        <f t="shared" si="2"/>
        <v>0</v>
      </c>
      <c r="R3127" s="167"/>
      <c r="S3127" s="167"/>
      <c r="T3127" s="168">
        <f t="shared" si="3"/>
        <v>1310135.88</v>
      </c>
      <c r="U3127" s="168">
        <f t="shared" si="4"/>
        <v>0</v>
      </c>
      <c r="V3127" s="168">
        <f t="shared" si="5"/>
        <v>0</v>
      </c>
      <c r="W3127" s="168">
        <f t="shared" si="6"/>
        <v>0</v>
      </c>
      <c r="X3127" s="168">
        <f t="shared" si="7"/>
        <v>0</v>
      </c>
      <c r="Y3127" s="168">
        <f t="shared" si="8"/>
        <v>0</v>
      </c>
      <c r="Z3127" s="168">
        <f t="shared" si="9"/>
        <v>0</v>
      </c>
    </row>
    <row r="3128" ht="15.0" customHeight="1">
      <c r="A3128" s="157" t="s">
        <v>3734</v>
      </c>
      <c r="B3128" s="158" t="s">
        <v>37</v>
      </c>
      <c r="C3128" s="158" t="s">
        <v>3735</v>
      </c>
      <c r="D3128" s="159">
        <v>44659.0</v>
      </c>
      <c r="E3128" s="157" t="s">
        <v>731</v>
      </c>
      <c r="F3128" s="160">
        <v>446493.6</v>
      </c>
      <c r="G3128" s="160">
        <v>71438.98</v>
      </c>
      <c r="H3128" s="160">
        <f t="shared" si="89"/>
        <v>517932.58</v>
      </c>
      <c r="I3128" s="160"/>
      <c r="J3128" s="161"/>
      <c r="K3128" s="160"/>
      <c r="L3128" s="160">
        <f>+'FACP$'!$H3128-'FACP$'!$I3128-'FACP$'!$K3128</f>
        <v>517932.58</v>
      </c>
      <c r="M3128" s="162" t="s">
        <v>116</v>
      </c>
      <c r="N3128" s="162" t="s">
        <v>554</v>
      </c>
      <c r="O3128" s="164">
        <v>44676.0</v>
      </c>
      <c r="P3128" s="164">
        <f t="array" ref="P3128">XLOOKUP('FACP$'!$B3128,'perfil de pagos'!A:A,'perfil de pagos'!B:B)+'FACP$'!$D3128</f>
        <v>44669</v>
      </c>
      <c r="Q3128" s="165">
        <f t="shared" si="2"/>
        <v>0</v>
      </c>
      <c r="R3128" s="167"/>
      <c r="S3128" s="167"/>
      <c r="T3128" s="168">
        <f t="shared" si="3"/>
        <v>517932.58</v>
      </c>
      <c r="U3128" s="168">
        <f t="shared" si="4"/>
        <v>0</v>
      </c>
      <c r="V3128" s="168">
        <f t="shared" si="5"/>
        <v>0</v>
      </c>
      <c r="W3128" s="168">
        <f t="shared" si="6"/>
        <v>0</v>
      </c>
      <c r="X3128" s="168">
        <f t="shared" si="7"/>
        <v>0</v>
      </c>
      <c r="Y3128" s="168">
        <f t="shared" si="8"/>
        <v>0</v>
      </c>
      <c r="Z3128" s="168">
        <f t="shared" si="9"/>
        <v>0</v>
      </c>
      <c r="AA3128" s="81"/>
      <c r="AB3128" s="81"/>
      <c r="AC3128" s="81"/>
    </row>
    <row r="3129" ht="15.0" customHeight="1">
      <c r="A3129" s="157" t="s">
        <v>3736</v>
      </c>
      <c r="B3129" s="158" t="s">
        <v>27</v>
      </c>
      <c r="C3129" s="158" t="s">
        <v>3737</v>
      </c>
      <c r="D3129" s="159">
        <v>44670.0</v>
      </c>
      <c r="E3129" s="157" t="s">
        <v>731</v>
      </c>
      <c r="F3129" s="160">
        <v>4925.57</v>
      </c>
      <c r="G3129" s="160">
        <v>788.09</v>
      </c>
      <c r="H3129" s="160">
        <f t="shared" si="89"/>
        <v>5713.66</v>
      </c>
      <c r="I3129" s="160"/>
      <c r="J3129" s="161"/>
      <c r="K3129" s="160"/>
      <c r="L3129" s="160">
        <f>+'FACP$'!$H3129-'FACP$'!$I3129-'FACP$'!$K3129</f>
        <v>5713.66</v>
      </c>
      <c r="M3129" s="162" t="s">
        <v>158</v>
      </c>
      <c r="N3129" s="162" t="s">
        <v>554</v>
      </c>
      <c r="O3129" s="164">
        <v>44753.0</v>
      </c>
      <c r="P3129" s="164">
        <f t="array" ref="P3129">XLOOKUP('FACP$'!$B3129,'perfil de pagos'!A:A,'perfil de pagos'!B:B)+'FACP$'!$D3129</f>
        <v>44700</v>
      </c>
      <c r="Q3129" s="165">
        <f t="shared" si="2"/>
        <v>0</v>
      </c>
      <c r="R3129" s="167"/>
      <c r="S3129" s="167"/>
      <c r="T3129" s="168">
        <f t="shared" si="3"/>
        <v>5713.66</v>
      </c>
      <c r="U3129" s="168">
        <f t="shared" si="4"/>
        <v>0</v>
      </c>
      <c r="V3129" s="168">
        <f t="shared" si="5"/>
        <v>0</v>
      </c>
      <c r="W3129" s="168">
        <f t="shared" si="6"/>
        <v>0</v>
      </c>
      <c r="X3129" s="168">
        <f t="shared" si="7"/>
        <v>0</v>
      </c>
      <c r="Y3129" s="168">
        <f t="shared" si="8"/>
        <v>0</v>
      </c>
      <c r="Z3129" s="168">
        <f t="shared" si="9"/>
        <v>0</v>
      </c>
    </row>
    <row r="3130" ht="15.0" customHeight="1">
      <c r="A3130" s="157" t="s">
        <v>3738</v>
      </c>
      <c r="B3130" s="158" t="s">
        <v>27</v>
      </c>
      <c r="C3130" s="158" t="s">
        <v>3737</v>
      </c>
      <c r="D3130" s="159">
        <v>44670.0</v>
      </c>
      <c r="E3130" s="157" t="s">
        <v>731</v>
      </c>
      <c r="F3130" s="160">
        <v>93774.89</v>
      </c>
      <c r="G3130" s="160">
        <v>15003.98</v>
      </c>
      <c r="H3130" s="160">
        <f t="shared" si="89"/>
        <v>108778.87</v>
      </c>
      <c r="I3130" s="160"/>
      <c r="J3130" s="161"/>
      <c r="K3130" s="160"/>
      <c r="L3130" s="160">
        <f>+'FACP$'!$H3130-'FACP$'!$I3130-'FACP$'!$K3130</f>
        <v>108778.87</v>
      </c>
      <c r="M3130" s="162" t="s">
        <v>151</v>
      </c>
      <c r="N3130" s="162" t="s">
        <v>554</v>
      </c>
      <c r="O3130" s="164">
        <v>44753.0</v>
      </c>
      <c r="P3130" s="164">
        <f t="array" ref="P3130">XLOOKUP('FACP$'!$B3130,'perfil de pagos'!A:A,'perfil de pagos'!B:B)+'FACP$'!$D3130</f>
        <v>44700</v>
      </c>
      <c r="Q3130" s="165">
        <f t="shared" si="2"/>
        <v>0</v>
      </c>
      <c r="R3130" s="167"/>
      <c r="S3130" s="167"/>
      <c r="T3130" s="168">
        <f t="shared" si="3"/>
        <v>108778.87</v>
      </c>
      <c r="U3130" s="168">
        <f t="shared" si="4"/>
        <v>0</v>
      </c>
      <c r="V3130" s="168">
        <f t="shared" si="5"/>
        <v>0</v>
      </c>
      <c r="W3130" s="168">
        <f t="shared" si="6"/>
        <v>0</v>
      </c>
      <c r="X3130" s="168">
        <f t="shared" si="7"/>
        <v>0</v>
      </c>
      <c r="Y3130" s="168">
        <f t="shared" si="8"/>
        <v>0</v>
      </c>
      <c r="Z3130" s="168">
        <f t="shared" si="9"/>
        <v>0</v>
      </c>
    </row>
    <row r="3131" ht="15.0" customHeight="1">
      <c r="A3131" s="157" t="s">
        <v>3739</v>
      </c>
      <c r="B3131" s="209" t="s">
        <v>31</v>
      </c>
      <c r="C3131" s="209" t="s">
        <v>3737</v>
      </c>
      <c r="D3131" s="186">
        <v>44670.0</v>
      </c>
      <c r="E3131" s="210" t="s">
        <v>731</v>
      </c>
      <c r="F3131" s="211">
        <v>113850.0</v>
      </c>
      <c r="G3131" s="211">
        <v>18216.0</v>
      </c>
      <c r="H3131" s="160">
        <f>F3131+G3131-132066</f>
        <v>0</v>
      </c>
      <c r="I3131" s="267"/>
      <c r="J3131" s="268"/>
      <c r="K3131" s="267"/>
      <c r="L3131" s="211">
        <f>+'FACP$'!$H3131-'FACP$'!$I3131-'FACP$'!$K3131</f>
        <v>0</v>
      </c>
      <c r="M3131" s="227" t="s">
        <v>3183</v>
      </c>
      <c r="N3131" s="227" t="s">
        <v>127</v>
      </c>
      <c r="O3131" s="245"/>
      <c r="P3131" s="164">
        <f t="array" ref="P3131">XLOOKUP('FACP$'!$B3131,'perfil de pagos'!A:A,'perfil de pagos'!B:B)+'FACP$'!$D3131</f>
        <v>44673</v>
      </c>
      <c r="Q3131" s="246">
        <f t="shared" si="2"/>
        <v>0</v>
      </c>
      <c r="R3131" s="223" t="s">
        <v>3740</v>
      </c>
      <c r="S3131" s="223"/>
      <c r="T3131" s="168">
        <f t="shared" si="3"/>
        <v>0</v>
      </c>
      <c r="U3131" s="168">
        <f t="shared" si="4"/>
        <v>0</v>
      </c>
      <c r="V3131" s="168">
        <f t="shared" si="5"/>
        <v>0</v>
      </c>
      <c r="W3131" s="168">
        <f t="shared" si="6"/>
        <v>0</v>
      </c>
      <c r="X3131" s="168">
        <f t="shared" si="7"/>
        <v>0</v>
      </c>
      <c r="Y3131" s="168">
        <f t="shared" si="8"/>
        <v>0</v>
      </c>
      <c r="Z3131" s="168">
        <f t="shared" si="9"/>
        <v>0</v>
      </c>
    </row>
    <row r="3132" ht="15.0" customHeight="1">
      <c r="A3132" s="157" t="s">
        <v>3741</v>
      </c>
      <c r="B3132" s="158" t="s">
        <v>33</v>
      </c>
      <c r="C3132" s="158" t="s">
        <v>3737</v>
      </c>
      <c r="D3132" s="159">
        <v>44670.0</v>
      </c>
      <c r="E3132" s="157" t="s">
        <v>731</v>
      </c>
      <c r="F3132" s="160">
        <v>33357.04</v>
      </c>
      <c r="G3132" s="160">
        <v>5337.13</v>
      </c>
      <c r="H3132" s="160">
        <f t="shared" ref="H3132:H3151" si="90">F3132+G3132</f>
        <v>38694.17</v>
      </c>
      <c r="I3132" s="160"/>
      <c r="J3132" s="161"/>
      <c r="K3132" s="160"/>
      <c r="L3132" s="160">
        <f>+'FACP$'!$H3132-'FACP$'!$I3132-'FACP$'!$K3132</f>
        <v>38694.17</v>
      </c>
      <c r="M3132" s="162" t="s">
        <v>958</v>
      </c>
      <c r="N3132" s="162" t="s">
        <v>554</v>
      </c>
      <c r="O3132" s="164">
        <v>44679.0</v>
      </c>
      <c r="P3132" s="164">
        <f t="array" ref="P3132">XLOOKUP('FACP$'!$B3132,'perfil de pagos'!A:A,'perfil de pagos'!B:B)+'FACP$'!$D3132</f>
        <v>44680</v>
      </c>
      <c r="Q3132" s="165">
        <f t="shared" si="2"/>
        <v>0</v>
      </c>
      <c r="R3132" s="167"/>
      <c r="S3132" s="167"/>
      <c r="T3132" s="168">
        <f t="shared" si="3"/>
        <v>38694.17</v>
      </c>
      <c r="U3132" s="168">
        <f t="shared" si="4"/>
        <v>0</v>
      </c>
      <c r="V3132" s="168">
        <f t="shared" si="5"/>
        <v>0</v>
      </c>
      <c r="W3132" s="168">
        <f t="shared" si="6"/>
        <v>0</v>
      </c>
      <c r="X3132" s="168">
        <f t="shared" si="7"/>
        <v>0</v>
      </c>
      <c r="Y3132" s="168">
        <f t="shared" si="8"/>
        <v>0</v>
      </c>
      <c r="Z3132" s="168">
        <f t="shared" si="9"/>
        <v>0</v>
      </c>
    </row>
    <row r="3133" ht="15.0" customHeight="1">
      <c r="A3133" s="157" t="s">
        <v>3742</v>
      </c>
      <c r="B3133" s="158" t="s">
        <v>36</v>
      </c>
      <c r="C3133" s="158" t="s">
        <v>3737</v>
      </c>
      <c r="D3133" s="159">
        <v>44670.0</v>
      </c>
      <c r="E3133" s="157" t="s">
        <v>731</v>
      </c>
      <c r="F3133" s="160">
        <v>17452.21</v>
      </c>
      <c r="G3133" s="160">
        <v>2792.35</v>
      </c>
      <c r="H3133" s="160">
        <f t="shared" si="90"/>
        <v>20244.56</v>
      </c>
      <c r="I3133" s="160"/>
      <c r="J3133" s="161"/>
      <c r="K3133" s="160"/>
      <c r="L3133" s="160">
        <f>+'FACP$'!$H3133-'FACP$'!$I3133-'FACP$'!$K3133</f>
        <v>20244.56</v>
      </c>
      <c r="M3133" s="162" t="s">
        <v>278</v>
      </c>
      <c r="N3133" s="162" t="s">
        <v>554</v>
      </c>
      <c r="O3133" s="164">
        <v>44680.0</v>
      </c>
      <c r="P3133" s="164">
        <f t="array" ref="P3133">XLOOKUP('FACP$'!$B3133,'perfil de pagos'!A:A,'perfil de pagos'!B:B)+'FACP$'!$D3133</f>
        <v>44680</v>
      </c>
      <c r="Q3133" s="165">
        <f t="shared" si="2"/>
        <v>0</v>
      </c>
      <c r="R3133" s="167"/>
      <c r="S3133" s="167">
        <v>1403.0</v>
      </c>
      <c r="T3133" s="168">
        <f t="shared" si="3"/>
        <v>20244.56</v>
      </c>
      <c r="U3133" s="168">
        <f t="shared" si="4"/>
        <v>0</v>
      </c>
      <c r="V3133" s="168">
        <f t="shared" si="5"/>
        <v>0</v>
      </c>
      <c r="W3133" s="168">
        <f t="shared" si="6"/>
        <v>0</v>
      </c>
      <c r="X3133" s="168">
        <f t="shared" si="7"/>
        <v>0</v>
      </c>
      <c r="Y3133" s="168">
        <f t="shared" si="8"/>
        <v>0</v>
      </c>
      <c r="Z3133" s="168">
        <f t="shared" si="9"/>
        <v>0</v>
      </c>
    </row>
    <row r="3134" ht="15.0" customHeight="1">
      <c r="A3134" s="157" t="s">
        <v>3743</v>
      </c>
      <c r="B3134" s="158" t="s">
        <v>43</v>
      </c>
      <c r="C3134" s="158" t="s">
        <v>3737</v>
      </c>
      <c r="D3134" s="159">
        <v>44670.0</v>
      </c>
      <c r="E3134" s="157" t="s">
        <v>731</v>
      </c>
      <c r="F3134" s="160">
        <v>67736.32</v>
      </c>
      <c r="G3134" s="160">
        <v>10837.81</v>
      </c>
      <c r="H3134" s="160">
        <f t="shared" si="90"/>
        <v>78574.13</v>
      </c>
      <c r="I3134" s="160"/>
      <c r="J3134" s="161"/>
      <c r="K3134" s="160"/>
      <c r="L3134" s="160">
        <f>+'FACP$'!$H3134-'FACP$'!$I3134-'FACP$'!$K3134</f>
        <v>78574.13</v>
      </c>
      <c r="M3134" s="162" t="s">
        <v>43</v>
      </c>
      <c r="N3134" s="162" t="s">
        <v>554</v>
      </c>
      <c r="O3134" s="164">
        <v>44804.0</v>
      </c>
      <c r="P3134" s="164">
        <f t="array" ref="P3134">XLOOKUP('FACP$'!$B3134,'perfil de pagos'!A:A,'perfil de pagos'!B:B)+'FACP$'!$D3134</f>
        <v>44695</v>
      </c>
      <c r="Q3134" s="165">
        <f t="shared" si="2"/>
        <v>0</v>
      </c>
      <c r="R3134" s="167"/>
      <c r="S3134" s="167"/>
      <c r="T3134" s="168">
        <f t="shared" si="3"/>
        <v>78574.13</v>
      </c>
      <c r="U3134" s="168">
        <f t="shared" si="4"/>
        <v>0</v>
      </c>
      <c r="V3134" s="168">
        <f t="shared" si="5"/>
        <v>0</v>
      </c>
      <c r="W3134" s="168">
        <f t="shared" si="6"/>
        <v>0</v>
      </c>
      <c r="X3134" s="168">
        <f t="shared" si="7"/>
        <v>0</v>
      </c>
      <c r="Y3134" s="168">
        <f t="shared" si="8"/>
        <v>0</v>
      </c>
      <c r="Z3134" s="168">
        <f t="shared" si="9"/>
        <v>0</v>
      </c>
    </row>
    <row r="3135" ht="15.0" customHeight="1">
      <c r="A3135" s="157" t="s">
        <v>3744</v>
      </c>
      <c r="B3135" s="158" t="s">
        <v>41</v>
      </c>
      <c r="C3135" s="158" t="s">
        <v>3737</v>
      </c>
      <c r="D3135" s="159">
        <v>44670.0</v>
      </c>
      <c r="E3135" s="157" t="s">
        <v>731</v>
      </c>
      <c r="F3135" s="160">
        <v>371243.12</v>
      </c>
      <c r="G3135" s="160">
        <v>59398.9</v>
      </c>
      <c r="H3135" s="160">
        <f t="shared" si="90"/>
        <v>430642.02</v>
      </c>
      <c r="I3135" s="160"/>
      <c r="J3135" s="161"/>
      <c r="K3135" s="160"/>
      <c r="L3135" s="160">
        <f>+'FACP$'!$H3135-'FACP$'!$I3135-'FACP$'!$K3135</f>
        <v>430642.02</v>
      </c>
      <c r="M3135" s="162" t="s">
        <v>121</v>
      </c>
      <c r="N3135" s="162" t="s">
        <v>554</v>
      </c>
      <c r="O3135" s="164">
        <v>44749.0</v>
      </c>
      <c r="P3135" s="164">
        <f t="array" ref="P3135">XLOOKUP('FACP$'!$B3135,'perfil de pagos'!A:A,'perfil de pagos'!B:B)+'FACP$'!$D3135</f>
        <v>44680</v>
      </c>
      <c r="Q3135" s="165">
        <f t="shared" si="2"/>
        <v>0</v>
      </c>
      <c r="R3135" s="167" t="s">
        <v>3745</v>
      </c>
      <c r="S3135" s="167"/>
      <c r="T3135" s="168">
        <f t="shared" si="3"/>
        <v>430642.02</v>
      </c>
      <c r="U3135" s="168">
        <f t="shared" si="4"/>
        <v>0</v>
      </c>
      <c r="V3135" s="168">
        <f t="shared" si="5"/>
        <v>0</v>
      </c>
      <c r="W3135" s="168">
        <f t="shared" si="6"/>
        <v>0</v>
      </c>
      <c r="X3135" s="168">
        <f t="shared" si="7"/>
        <v>0</v>
      </c>
      <c r="Y3135" s="168">
        <f t="shared" si="8"/>
        <v>0</v>
      </c>
      <c r="Z3135" s="168">
        <f t="shared" si="9"/>
        <v>0</v>
      </c>
    </row>
    <row r="3136" ht="15.0" customHeight="1">
      <c r="A3136" s="157" t="s">
        <v>3746</v>
      </c>
      <c r="B3136" s="158" t="s">
        <v>27</v>
      </c>
      <c r="C3136" s="158" t="s">
        <v>3747</v>
      </c>
      <c r="D3136" s="159">
        <v>44671.0</v>
      </c>
      <c r="E3136" s="157" t="s">
        <v>731</v>
      </c>
      <c r="F3136" s="160">
        <v>458402.3</v>
      </c>
      <c r="G3136" s="160">
        <v>73344.37</v>
      </c>
      <c r="H3136" s="160">
        <f t="shared" si="90"/>
        <v>531746.67</v>
      </c>
      <c r="I3136" s="160"/>
      <c r="J3136" s="161"/>
      <c r="K3136" s="160"/>
      <c r="L3136" s="160">
        <f>+'FACP$'!$H3136-'FACP$'!$I3136-'FACP$'!$K3136</f>
        <v>531746.67</v>
      </c>
      <c r="M3136" s="162" t="s">
        <v>158</v>
      </c>
      <c r="N3136" s="162" t="s">
        <v>554</v>
      </c>
      <c r="O3136" s="164">
        <v>44712.0</v>
      </c>
      <c r="P3136" s="164">
        <f t="array" ref="P3136">XLOOKUP('FACP$'!$B3136,'perfil de pagos'!A:A,'perfil de pagos'!B:B)+'FACP$'!$D3136</f>
        <v>44701</v>
      </c>
      <c r="Q3136" s="165">
        <f t="shared" si="2"/>
        <v>0</v>
      </c>
      <c r="R3136" s="167"/>
      <c r="S3136" s="167"/>
      <c r="T3136" s="168">
        <f t="shared" si="3"/>
        <v>531746.67</v>
      </c>
      <c r="U3136" s="168">
        <f t="shared" si="4"/>
        <v>0</v>
      </c>
      <c r="V3136" s="168">
        <f t="shared" si="5"/>
        <v>0</v>
      </c>
      <c r="W3136" s="168">
        <f t="shared" si="6"/>
        <v>0</v>
      </c>
      <c r="X3136" s="168">
        <f t="shared" si="7"/>
        <v>0</v>
      </c>
      <c r="Y3136" s="168">
        <f t="shared" si="8"/>
        <v>0</v>
      </c>
      <c r="Z3136" s="168">
        <f t="shared" si="9"/>
        <v>0</v>
      </c>
    </row>
    <row r="3137" ht="15.0" customHeight="1">
      <c r="A3137" s="157" t="s">
        <v>3748</v>
      </c>
      <c r="B3137" s="158" t="s">
        <v>27</v>
      </c>
      <c r="C3137" s="158" t="s">
        <v>3749</v>
      </c>
      <c r="D3137" s="159">
        <v>44671.0</v>
      </c>
      <c r="E3137" s="157" t="s">
        <v>731</v>
      </c>
      <c r="F3137" s="160">
        <v>189366.22</v>
      </c>
      <c r="G3137" s="160">
        <v>30298.6</v>
      </c>
      <c r="H3137" s="160">
        <f t="shared" si="90"/>
        <v>219664.82</v>
      </c>
      <c r="I3137" s="160"/>
      <c r="J3137" s="161"/>
      <c r="K3137" s="160"/>
      <c r="L3137" s="160">
        <f>+'FACP$'!$H3137-'FACP$'!$I3137-'FACP$'!$K3137</f>
        <v>219664.82</v>
      </c>
      <c r="M3137" s="162" t="s">
        <v>158</v>
      </c>
      <c r="N3137" s="162" t="s">
        <v>554</v>
      </c>
      <c r="O3137" s="164">
        <v>44706.0</v>
      </c>
      <c r="P3137" s="164">
        <f t="array" ref="P3137">XLOOKUP('FACP$'!$B3137,'perfil de pagos'!A:A,'perfil de pagos'!B:B)+'FACP$'!$D3137</f>
        <v>44701</v>
      </c>
      <c r="Q3137" s="165">
        <f t="shared" si="2"/>
        <v>0</v>
      </c>
      <c r="R3137" s="167"/>
      <c r="S3137" s="167"/>
      <c r="T3137" s="168">
        <f t="shared" si="3"/>
        <v>219664.82</v>
      </c>
      <c r="U3137" s="168">
        <f t="shared" si="4"/>
        <v>0</v>
      </c>
      <c r="V3137" s="168">
        <f t="shared" si="5"/>
        <v>0</v>
      </c>
      <c r="W3137" s="168">
        <f t="shared" si="6"/>
        <v>0</v>
      </c>
      <c r="X3137" s="168">
        <f t="shared" si="7"/>
        <v>0</v>
      </c>
      <c r="Y3137" s="168">
        <f t="shared" si="8"/>
        <v>0</v>
      </c>
      <c r="Z3137" s="168">
        <f t="shared" si="9"/>
        <v>0</v>
      </c>
    </row>
    <row r="3138" ht="15.0" customHeight="1">
      <c r="A3138" s="157" t="s">
        <v>3750</v>
      </c>
      <c r="B3138" s="158" t="s">
        <v>27</v>
      </c>
      <c r="C3138" s="158" t="s">
        <v>3747</v>
      </c>
      <c r="D3138" s="159">
        <v>44671.0</v>
      </c>
      <c r="E3138" s="157" t="s">
        <v>731</v>
      </c>
      <c r="F3138" s="160">
        <v>638351.02</v>
      </c>
      <c r="G3138" s="160">
        <v>102136.16</v>
      </c>
      <c r="H3138" s="160">
        <f t="shared" si="90"/>
        <v>740487.18</v>
      </c>
      <c r="I3138" s="160"/>
      <c r="J3138" s="161"/>
      <c r="K3138" s="160"/>
      <c r="L3138" s="160">
        <f>+'FACP$'!$H3138-'FACP$'!$I3138-'FACP$'!$K3138</f>
        <v>740487.18</v>
      </c>
      <c r="M3138" s="162" t="s">
        <v>151</v>
      </c>
      <c r="N3138" s="162" t="s">
        <v>554</v>
      </c>
      <c r="O3138" s="164">
        <v>44699.0</v>
      </c>
      <c r="P3138" s="164">
        <f t="array" ref="P3138">XLOOKUP('FACP$'!$B3138,'perfil de pagos'!A:A,'perfil de pagos'!B:B)+'FACP$'!$D3138</f>
        <v>44701</v>
      </c>
      <c r="Q3138" s="165">
        <f t="shared" si="2"/>
        <v>0</v>
      </c>
      <c r="R3138" s="167"/>
      <c r="S3138" s="167">
        <v>1381.0</v>
      </c>
      <c r="T3138" s="168">
        <f t="shared" si="3"/>
        <v>740487.18</v>
      </c>
      <c r="U3138" s="168">
        <f t="shared" si="4"/>
        <v>0</v>
      </c>
      <c r="V3138" s="168">
        <f t="shared" si="5"/>
        <v>0</v>
      </c>
      <c r="W3138" s="168">
        <f t="shared" si="6"/>
        <v>0</v>
      </c>
      <c r="X3138" s="168">
        <f t="shared" si="7"/>
        <v>0</v>
      </c>
      <c r="Y3138" s="168">
        <f t="shared" si="8"/>
        <v>0</v>
      </c>
      <c r="Z3138" s="168">
        <f t="shared" si="9"/>
        <v>0</v>
      </c>
    </row>
    <row r="3139" ht="15.0" customHeight="1">
      <c r="A3139" s="157" t="s">
        <v>3751</v>
      </c>
      <c r="B3139" s="158" t="s">
        <v>27</v>
      </c>
      <c r="C3139" s="158" t="s">
        <v>3749</v>
      </c>
      <c r="D3139" s="159">
        <v>44671.0</v>
      </c>
      <c r="E3139" s="157" t="s">
        <v>731</v>
      </c>
      <c r="F3139" s="160">
        <v>262658.87</v>
      </c>
      <c r="G3139" s="160">
        <v>42025.42</v>
      </c>
      <c r="H3139" s="160">
        <f t="shared" si="90"/>
        <v>304684.29</v>
      </c>
      <c r="I3139" s="160"/>
      <c r="J3139" s="161"/>
      <c r="K3139" s="160"/>
      <c r="L3139" s="160">
        <f>+'FACP$'!$H3139-'FACP$'!$I3139-'FACP$'!$K3139</f>
        <v>304684.29</v>
      </c>
      <c r="M3139" s="162" t="s">
        <v>151</v>
      </c>
      <c r="N3139" s="162" t="s">
        <v>554</v>
      </c>
      <c r="O3139" s="164">
        <v>44699.0</v>
      </c>
      <c r="P3139" s="164">
        <f t="array" ref="P3139">XLOOKUP('FACP$'!$B3139,'perfil de pagos'!A:A,'perfil de pagos'!B:B)+'FACP$'!$D3139</f>
        <v>44701</v>
      </c>
      <c r="Q3139" s="165">
        <f t="shared" si="2"/>
        <v>0</v>
      </c>
      <c r="R3139" s="167"/>
      <c r="S3139" s="167">
        <v>1381.0</v>
      </c>
      <c r="T3139" s="168">
        <f t="shared" si="3"/>
        <v>304684.29</v>
      </c>
      <c r="U3139" s="168">
        <f t="shared" si="4"/>
        <v>0</v>
      </c>
      <c r="V3139" s="168">
        <f t="shared" si="5"/>
        <v>0</v>
      </c>
      <c r="W3139" s="168">
        <f t="shared" si="6"/>
        <v>0</v>
      </c>
      <c r="X3139" s="168">
        <f t="shared" si="7"/>
        <v>0</v>
      </c>
      <c r="Y3139" s="168">
        <f t="shared" si="8"/>
        <v>0</v>
      </c>
      <c r="Z3139" s="168">
        <f t="shared" si="9"/>
        <v>0</v>
      </c>
    </row>
    <row r="3140" ht="15.0" customHeight="1">
      <c r="A3140" s="157" t="s">
        <v>3752</v>
      </c>
      <c r="B3140" s="158" t="s">
        <v>27</v>
      </c>
      <c r="C3140" s="158" t="s">
        <v>3753</v>
      </c>
      <c r="D3140" s="159">
        <v>44671.0</v>
      </c>
      <c r="E3140" s="157" t="s">
        <v>731</v>
      </c>
      <c r="F3140" s="160">
        <v>36867.6</v>
      </c>
      <c r="G3140" s="160">
        <v>5898.82</v>
      </c>
      <c r="H3140" s="160">
        <f t="shared" si="90"/>
        <v>42766.42</v>
      </c>
      <c r="I3140" s="160"/>
      <c r="J3140" s="161"/>
      <c r="K3140" s="160"/>
      <c r="L3140" s="160">
        <f>+'FACP$'!$H3140-'FACP$'!$I3140-'FACP$'!$K3140</f>
        <v>42766.42</v>
      </c>
      <c r="M3140" s="162" t="s">
        <v>151</v>
      </c>
      <c r="N3140" s="162" t="s">
        <v>554</v>
      </c>
      <c r="O3140" s="164">
        <v>44706.0</v>
      </c>
      <c r="P3140" s="164">
        <f t="array" ref="P3140">XLOOKUP('FACP$'!$B3140,'perfil de pagos'!A:A,'perfil de pagos'!B:B)+'FACP$'!$D3140</f>
        <v>44701</v>
      </c>
      <c r="Q3140" s="165">
        <f t="shared" si="2"/>
        <v>0</v>
      </c>
      <c r="R3140" s="167"/>
      <c r="S3140" s="167"/>
      <c r="T3140" s="168">
        <f t="shared" si="3"/>
        <v>42766.42</v>
      </c>
      <c r="U3140" s="168">
        <f t="shared" si="4"/>
        <v>0</v>
      </c>
      <c r="V3140" s="168">
        <f t="shared" si="5"/>
        <v>0</v>
      </c>
      <c r="W3140" s="168">
        <f t="shared" si="6"/>
        <v>0</v>
      </c>
      <c r="X3140" s="168">
        <f t="shared" si="7"/>
        <v>0</v>
      </c>
      <c r="Y3140" s="168">
        <f t="shared" si="8"/>
        <v>0</v>
      </c>
      <c r="Z3140" s="168">
        <f t="shared" si="9"/>
        <v>0</v>
      </c>
    </row>
    <row r="3141" ht="15.0" customHeight="1">
      <c r="A3141" s="157" t="s">
        <v>3754</v>
      </c>
      <c r="B3141" s="158" t="s">
        <v>27</v>
      </c>
      <c r="C3141" s="158" t="s">
        <v>3755</v>
      </c>
      <c r="D3141" s="159">
        <v>44671.0</v>
      </c>
      <c r="E3141" s="157" t="s">
        <v>731</v>
      </c>
      <c r="F3141" s="160">
        <v>15169.7</v>
      </c>
      <c r="G3141" s="160">
        <v>2427.15</v>
      </c>
      <c r="H3141" s="160">
        <f t="shared" si="90"/>
        <v>17596.85</v>
      </c>
      <c r="I3141" s="160"/>
      <c r="J3141" s="161"/>
      <c r="K3141" s="160"/>
      <c r="L3141" s="160">
        <f>+'FACP$'!$H3141-'FACP$'!$I3141-'FACP$'!$K3141</f>
        <v>17596.85</v>
      </c>
      <c r="M3141" s="162" t="s">
        <v>151</v>
      </c>
      <c r="N3141" s="162" t="s">
        <v>554</v>
      </c>
      <c r="O3141" s="164">
        <v>44706.0</v>
      </c>
      <c r="P3141" s="164">
        <f t="array" ref="P3141">XLOOKUP('FACP$'!$B3141,'perfil de pagos'!A:A,'perfil de pagos'!B:B)+'FACP$'!$D3141</f>
        <v>44701</v>
      </c>
      <c r="Q3141" s="165">
        <f t="shared" si="2"/>
        <v>0</v>
      </c>
      <c r="R3141" s="167"/>
      <c r="S3141" s="167"/>
      <c r="T3141" s="168">
        <f t="shared" si="3"/>
        <v>17596.85</v>
      </c>
      <c r="U3141" s="168">
        <f t="shared" si="4"/>
        <v>0</v>
      </c>
      <c r="V3141" s="168">
        <f t="shared" si="5"/>
        <v>0</v>
      </c>
      <c r="W3141" s="168">
        <f t="shared" si="6"/>
        <v>0</v>
      </c>
      <c r="X3141" s="168">
        <f t="shared" si="7"/>
        <v>0</v>
      </c>
      <c r="Y3141" s="168">
        <f t="shared" si="8"/>
        <v>0</v>
      </c>
      <c r="Z3141" s="168">
        <f t="shared" si="9"/>
        <v>0</v>
      </c>
    </row>
    <row r="3142" ht="15.0" customHeight="1">
      <c r="A3142" s="157" t="s">
        <v>3756</v>
      </c>
      <c r="B3142" s="158" t="s">
        <v>35</v>
      </c>
      <c r="C3142" s="158" t="s">
        <v>3757</v>
      </c>
      <c r="D3142" s="159">
        <v>44671.0</v>
      </c>
      <c r="E3142" s="157" t="s">
        <v>731</v>
      </c>
      <c r="F3142" s="160">
        <v>459195.63</v>
      </c>
      <c r="G3142" s="160">
        <v>73471.3</v>
      </c>
      <c r="H3142" s="160">
        <f t="shared" si="90"/>
        <v>532666.93</v>
      </c>
      <c r="I3142" s="160"/>
      <c r="J3142" s="161"/>
      <c r="K3142" s="160"/>
      <c r="L3142" s="160">
        <f>+'FACP$'!$H3142-'FACP$'!$I3142-'FACP$'!$K3142</f>
        <v>532666.93</v>
      </c>
      <c r="M3142" s="162" t="s">
        <v>276</v>
      </c>
      <c r="N3142" s="162" t="s">
        <v>554</v>
      </c>
      <c r="O3142" s="164">
        <v>44687.0</v>
      </c>
      <c r="P3142" s="164">
        <f t="array" ref="P3142">XLOOKUP('FACP$'!$B3142,'perfil de pagos'!A:A,'perfil de pagos'!B:B)+'FACP$'!$D3142</f>
        <v>44681</v>
      </c>
      <c r="Q3142" s="165">
        <f t="shared" si="2"/>
        <v>0</v>
      </c>
      <c r="R3142" s="167"/>
      <c r="S3142" s="167">
        <v>1370.0</v>
      </c>
      <c r="T3142" s="168">
        <f t="shared" si="3"/>
        <v>532666.93</v>
      </c>
      <c r="U3142" s="168">
        <f t="shared" si="4"/>
        <v>0</v>
      </c>
      <c r="V3142" s="168">
        <f t="shared" si="5"/>
        <v>0</v>
      </c>
      <c r="W3142" s="168">
        <f t="shared" si="6"/>
        <v>0</v>
      </c>
      <c r="X3142" s="168">
        <f t="shared" si="7"/>
        <v>0</v>
      </c>
      <c r="Y3142" s="168">
        <f t="shared" si="8"/>
        <v>0</v>
      </c>
      <c r="Z3142" s="168">
        <f t="shared" si="9"/>
        <v>0</v>
      </c>
    </row>
    <row r="3143" ht="15.0" customHeight="1">
      <c r="A3143" s="157" t="s">
        <v>3758</v>
      </c>
      <c r="B3143" s="158" t="s">
        <v>33</v>
      </c>
      <c r="C3143" s="158" t="s">
        <v>3757</v>
      </c>
      <c r="D3143" s="159">
        <v>44671.0</v>
      </c>
      <c r="E3143" s="157" t="s">
        <v>731</v>
      </c>
      <c r="F3143" s="160">
        <v>1021480.1</v>
      </c>
      <c r="G3143" s="160">
        <v>163436.82</v>
      </c>
      <c r="H3143" s="160">
        <f t="shared" si="90"/>
        <v>1184916.92</v>
      </c>
      <c r="I3143" s="160"/>
      <c r="J3143" s="161"/>
      <c r="K3143" s="160"/>
      <c r="L3143" s="160">
        <f>+'FACP$'!$H3143-'FACP$'!$I3143-'FACP$'!$K3143</f>
        <v>1184916.92</v>
      </c>
      <c r="M3143" s="162" t="s">
        <v>958</v>
      </c>
      <c r="N3143" s="162" t="s">
        <v>554</v>
      </c>
      <c r="O3143" s="164">
        <v>44705.0</v>
      </c>
      <c r="P3143" s="164">
        <f t="array" ref="P3143">XLOOKUP('FACP$'!$B3143,'perfil de pagos'!A:A,'perfil de pagos'!B:B)+'FACP$'!$D3143</f>
        <v>44681</v>
      </c>
      <c r="Q3143" s="165">
        <f t="shared" si="2"/>
        <v>0</v>
      </c>
      <c r="R3143" s="167"/>
      <c r="S3143" s="167"/>
      <c r="T3143" s="168">
        <f t="shared" si="3"/>
        <v>1184916.92</v>
      </c>
      <c r="U3143" s="168">
        <f t="shared" si="4"/>
        <v>0</v>
      </c>
      <c r="V3143" s="168">
        <f t="shared" si="5"/>
        <v>0</v>
      </c>
      <c r="W3143" s="168">
        <f t="shared" si="6"/>
        <v>0</v>
      </c>
      <c r="X3143" s="168">
        <f t="shared" si="7"/>
        <v>0</v>
      </c>
      <c r="Y3143" s="168">
        <f t="shared" si="8"/>
        <v>0</v>
      </c>
      <c r="Z3143" s="168">
        <f t="shared" si="9"/>
        <v>0</v>
      </c>
    </row>
    <row r="3144" ht="15.0" customHeight="1">
      <c r="A3144" s="157" t="s">
        <v>3759</v>
      </c>
      <c r="B3144" s="158" t="s">
        <v>36</v>
      </c>
      <c r="C3144" s="158" t="s">
        <v>3757</v>
      </c>
      <c r="D3144" s="159">
        <v>44671.0</v>
      </c>
      <c r="E3144" s="157" t="s">
        <v>731</v>
      </c>
      <c r="F3144" s="160">
        <v>137154.71</v>
      </c>
      <c r="G3144" s="160">
        <v>21944.75</v>
      </c>
      <c r="H3144" s="160">
        <f t="shared" si="90"/>
        <v>159099.46</v>
      </c>
      <c r="I3144" s="160"/>
      <c r="J3144" s="161"/>
      <c r="K3144" s="160"/>
      <c r="L3144" s="160">
        <f>+'FACP$'!$H3144-'FACP$'!$I3144-'FACP$'!$K3144</f>
        <v>159099.46</v>
      </c>
      <c r="M3144" s="162" t="s">
        <v>278</v>
      </c>
      <c r="N3144" s="162" t="s">
        <v>554</v>
      </c>
      <c r="O3144" s="164">
        <v>44680.0</v>
      </c>
      <c r="P3144" s="164">
        <f t="array" ref="P3144">XLOOKUP('FACP$'!$B3144,'perfil de pagos'!A:A,'perfil de pagos'!B:B)+'FACP$'!$D3144</f>
        <v>44681</v>
      </c>
      <c r="Q3144" s="165">
        <f t="shared" si="2"/>
        <v>0</v>
      </c>
      <c r="R3144" s="167"/>
      <c r="S3144" s="167">
        <v>1402.0</v>
      </c>
      <c r="T3144" s="168">
        <f t="shared" si="3"/>
        <v>159099.46</v>
      </c>
      <c r="U3144" s="168">
        <f t="shared" si="4"/>
        <v>0</v>
      </c>
      <c r="V3144" s="168">
        <f t="shared" si="5"/>
        <v>0</v>
      </c>
      <c r="W3144" s="168">
        <f t="shared" si="6"/>
        <v>0</v>
      </c>
      <c r="X3144" s="168">
        <f t="shared" si="7"/>
        <v>0</v>
      </c>
      <c r="Y3144" s="168">
        <f t="shared" si="8"/>
        <v>0</v>
      </c>
      <c r="Z3144" s="168">
        <f t="shared" si="9"/>
        <v>0</v>
      </c>
    </row>
    <row r="3145" ht="15.0" customHeight="1">
      <c r="A3145" s="157" t="s">
        <v>3760</v>
      </c>
      <c r="B3145" s="158" t="s">
        <v>41</v>
      </c>
      <c r="C3145" s="158" t="s">
        <v>3757</v>
      </c>
      <c r="D3145" s="159">
        <v>44671.0</v>
      </c>
      <c r="E3145" s="157" t="s">
        <v>731</v>
      </c>
      <c r="F3145" s="160">
        <v>692638.87</v>
      </c>
      <c r="G3145" s="160">
        <v>110822.22</v>
      </c>
      <c r="H3145" s="160">
        <f t="shared" si="90"/>
        <v>803461.09</v>
      </c>
      <c r="I3145" s="160"/>
      <c r="J3145" s="161"/>
      <c r="K3145" s="160"/>
      <c r="L3145" s="160">
        <f>+'FACP$'!$H3145-'FACP$'!$I3145-'FACP$'!$K3145</f>
        <v>803461.09</v>
      </c>
      <c r="M3145" s="162" t="s">
        <v>121</v>
      </c>
      <c r="N3145" s="162" t="s">
        <v>554</v>
      </c>
      <c r="O3145" s="164">
        <v>44749.0</v>
      </c>
      <c r="P3145" s="164">
        <f t="array" ref="P3145">XLOOKUP('FACP$'!$B3145,'perfil de pagos'!A:A,'perfil de pagos'!B:B)+'FACP$'!$D3145</f>
        <v>44681</v>
      </c>
      <c r="Q3145" s="165">
        <f t="shared" si="2"/>
        <v>0</v>
      </c>
      <c r="R3145" s="167"/>
      <c r="S3145" s="167"/>
      <c r="T3145" s="168">
        <f t="shared" si="3"/>
        <v>803461.09</v>
      </c>
      <c r="U3145" s="168">
        <f t="shared" si="4"/>
        <v>0</v>
      </c>
      <c r="V3145" s="168">
        <f t="shared" si="5"/>
        <v>0</v>
      </c>
      <c r="W3145" s="168">
        <f t="shared" si="6"/>
        <v>0</v>
      </c>
      <c r="X3145" s="168">
        <f t="shared" si="7"/>
        <v>0</v>
      </c>
      <c r="Y3145" s="168">
        <f t="shared" si="8"/>
        <v>0</v>
      </c>
      <c r="Z3145" s="168">
        <f t="shared" si="9"/>
        <v>0</v>
      </c>
    </row>
    <row r="3146" ht="15.0" customHeight="1">
      <c r="A3146" s="157" t="s">
        <v>3761</v>
      </c>
      <c r="B3146" s="158" t="s">
        <v>43</v>
      </c>
      <c r="C3146" s="158" t="s">
        <v>3757</v>
      </c>
      <c r="D3146" s="159">
        <v>44671.0</v>
      </c>
      <c r="E3146" s="157" t="s">
        <v>731</v>
      </c>
      <c r="F3146" s="160">
        <v>814621.3</v>
      </c>
      <c r="G3146" s="160">
        <v>130339.41</v>
      </c>
      <c r="H3146" s="160">
        <f t="shared" si="90"/>
        <v>944960.71</v>
      </c>
      <c r="I3146" s="160"/>
      <c r="J3146" s="161"/>
      <c r="K3146" s="160"/>
      <c r="L3146" s="160">
        <f>+'FACP$'!$H3146-'FACP$'!$I3146-'FACP$'!$K3146</f>
        <v>944960.71</v>
      </c>
      <c r="M3146" s="162" t="s">
        <v>43</v>
      </c>
      <c r="N3146" s="162" t="s">
        <v>554</v>
      </c>
      <c r="O3146" s="164">
        <v>44680.0</v>
      </c>
      <c r="P3146" s="164">
        <f t="array" ref="P3146">XLOOKUP('FACP$'!$B3146,'perfil de pagos'!A:A,'perfil de pagos'!B:B)+'FACP$'!$D3146</f>
        <v>44696</v>
      </c>
      <c r="Q3146" s="165">
        <f t="shared" si="2"/>
        <v>0</v>
      </c>
      <c r="R3146" s="167"/>
      <c r="S3146" s="167"/>
      <c r="T3146" s="168">
        <f t="shared" si="3"/>
        <v>944960.71</v>
      </c>
      <c r="U3146" s="168">
        <f t="shared" si="4"/>
        <v>0</v>
      </c>
      <c r="V3146" s="168">
        <f t="shared" si="5"/>
        <v>0</v>
      </c>
      <c r="W3146" s="168">
        <f t="shared" si="6"/>
        <v>0</v>
      </c>
      <c r="X3146" s="168">
        <f t="shared" si="7"/>
        <v>0</v>
      </c>
      <c r="Y3146" s="168">
        <f t="shared" si="8"/>
        <v>0</v>
      </c>
      <c r="Z3146" s="168">
        <f t="shared" si="9"/>
        <v>0</v>
      </c>
    </row>
    <row r="3147" ht="15.0" customHeight="1">
      <c r="A3147" s="157" t="s">
        <v>3762</v>
      </c>
      <c r="B3147" s="158" t="s">
        <v>16</v>
      </c>
      <c r="C3147" s="158" t="s">
        <v>3763</v>
      </c>
      <c r="D3147" s="159">
        <v>44671.0</v>
      </c>
      <c r="E3147" s="157" t="s">
        <v>731</v>
      </c>
      <c r="F3147" s="160">
        <v>454122.1</v>
      </c>
      <c r="G3147" s="160">
        <v>72659.54</v>
      </c>
      <c r="H3147" s="160">
        <f t="shared" si="90"/>
        <v>526781.64</v>
      </c>
      <c r="I3147" s="160"/>
      <c r="J3147" s="161"/>
      <c r="K3147" s="160"/>
      <c r="L3147" s="160">
        <f>+'FACP$'!$H3147-'FACP$'!$I3147-'FACP$'!$K3147</f>
        <v>526781.64</v>
      </c>
      <c r="M3147" s="162" t="s">
        <v>985</v>
      </c>
      <c r="N3147" s="162" t="s">
        <v>554</v>
      </c>
      <c r="O3147" s="164">
        <v>44683.0</v>
      </c>
      <c r="P3147" s="164">
        <f t="array" ref="P3147">XLOOKUP('FACP$'!$B3147,'perfil de pagos'!A:A,'perfil de pagos'!B:B)+'FACP$'!$D3147</f>
        <v>44681</v>
      </c>
      <c r="Q3147" s="165">
        <f t="shared" si="2"/>
        <v>0</v>
      </c>
      <c r="R3147" s="167"/>
      <c r="S3147" s="167"/>
      <c r="T3147" s="168">
        <f t="shared" si="3"/>
        <v>526781.64</v>
      </c>
      <c r="U3147" s="168">
        <f t="shared" si="4"/>
        <v>0</v>
      </c>
      <c r="V3147" s="168">
        <f t="shared" si="5"/>
        <v>0</v>
      </c>
      <c r="W3147" s="168">
        <f t="shared" si="6"/>
        <v>0</v>
      </c>
      <c r="X3147" s="168">
        <f t="shared" si="7"/>
        <v>0</v>
      </c>
      <c r="Y3147" s="168">
        <f t="shared" si="8"/>
        <v>0</v>
      </c>
      <c r="Z3147" s="168">
        <f t="shared" si="9"/>
        <v>0</v>
      </c>
    </row>
    <row r="3148" ht="15.0" customHeight="1">
      <c r="A3148" s="157" t="s">
        <v>3764</v>
      </c>
      <c r="B3148" s="158" t="s">
        <v>16</v>
      </c>
      <c r="C3148" s="158" t="s">
        <v>3765</v>
      </c>
      <c r="D3148" s="159">
        <v>44671.0</v>
      </c>
      <c r="E3148" s="157" t="s">
        <v>731</v>
      </c>
      <c r="F3148" s="160">
        <v>319546.44</v>
      </c>
      <c r="G3148" s="160">
        <v>51127.43</v>
      </c>
      <c r="H3148" s="160">
        <f t="shared" si="90"/>
        <v>370673.87</v>
      </c>
      <c r="I3148" s="160"/>
      <c r="J3148" s="161"/>
      <c r="K3148" s="160"/>
      <c r="L3148" s="160">
        <f>+'FACP$'!$H3148-'FACP$'!$I3148-'FACP$'!$K3148</f>
        <v>370673.87</v>
      </c>
      <c r="M3148" s="162" t="s">
        <v>985</v>
      </c>
      <c r="N3148" s="162" t="s">
        <v>554</v>
      </c>
      <c r="O3148" s="164">
        <v>44683.0</v>
      </c>
      <c r="P3148" s="164">
        <f t="array" ref="P3148">XLOOKUP('FACP$'!$B3148,'perfil de pagos'!A:A,'perfil de pagos'!B:B)+'FACP$'!$D3148</f>
        <v>44681</v>
      </c>
      <c r="Q3148" s="165">
        <f t="shared" si="2"/>
        <v>0</v>
      </c>
      <c r="R3148" s="167"/>
      <c r="S3148" s="167"/>
      <c r="T3148" s="168">
        <f t="shared" si="3"/>
        <v>370673.87</v>
      </c>
      <c r="U3148" s="168">
        <f t="shared" si="4"/>
        <v>0</v>
      </c>
      <c r="V3148" s="168">
        <f t="shared" si="5"/>
        <v>0</v>
      </c>
      <c r="W3148" s="168">
        <f t="shared" si="6"/>
        <v>0</v>
      </c>
      <c r="X3148" s="168">
        <f t="shared" si="7"/>
        <v>0</v>
      </c>
      <c r="Y3148" s="168">
        <f t="shared" si="8"/>
        <v>0</v>
      </c>
      <c r="Z3148" s="168">
        <f t="shared" si="9"/>
        <v>0</v>
      </c>
    </row>
    <row r="3149" ht="15.0" customHeight="1">
      <c r="A3149" s="157" t="s">
        <v>3766</v>
      </c>
      <c r="B3149" s="158" t="s">
        <v>19</v>
      </c>
      <c r="C3149" s="158" t="s">
        <v>3763</v>
      </c>
      <c r="D3149" s="159">
        <v>44671.0</v>
      </c>
      <c r="E3149" s="157" t="s">
        <v>731</v>
      </c>
      <c r="F3149" s="160">
        <v>244381.41</v>
      </c>
      <c r="G3149" s="160">
        <v>39101.02</v>
      </c>
      <c r="H3149" s="160">
        <f t="shared" si="90"/>
        <v>283482.43</v>
      </c>
      <c r="I3149" s="160"/>
      <c r="J3149" s="161"/>
      <c r="K3149" s="160"/>
      <c r="L3149" s="160">
        <f>+'FACP$'!$H3149-'FACP$'!$I3149-'FACP$'!$K3149</f>
        <v>283482.43</v>
      </c>
      <c r="M3149" s="162" t="s">
        <v>732</v>
      </c>
      <c r="N3149" s="162" t="s">
        <v>554</v>
      </c>
      <c r="O3149" s="164">
        <v>44684.0</v>
      </c>
      <c r="P3149" s="164">
        <f t="array" ref="P3149">XLOOKUP('FACP$'!$B3149,'perfil de pagos'!A:A,'perfil de pagos'!B:B)+'FACP$'!$D3149</f>
        <v>44681</v>
      </c>
      <c r="Q3149" s="165">
        <f t="shared" si="2"/>
        <v>0</v>
      </c>
      <c r="R3149" s="167"/>
      <c r="S3149" s="167">
        <v>1365.0</v>
      </c>
      <c r="T3149" s="168">
        <f t="shared" si="3"/>
        <v>283482.43</v>
      </c>
      <c r="U3149" s="168">
        <f t="shared" si="4"/>
        <v>0</v>
      </c>
      <c r="V3149" s="168">
        <f t="shared" si="5"/>
        <v>0</v>
      </c>
      <c r="W3149" s="168">
        <f t="shared" si="6"/>
        <v>0</v>
      </c>
      <c r="X3149" s="168">
        <f t="shared" si="7"/>
        <v>0</v>
      </c>
      <c r="Y3149" s="168">
        <f t="shared" si="8"/>
        <v>0</v>
      </c>
      <c r="Z3149" s="168">
        <f t="shared" si="9"/>
        <v>0</v>
      </c>
    </row>
    <row r="3150" ht="15.0" customHeight="1">
      <c r="A3150" s="157" t="s">
        <v>3767</v>
      </c>
      <c r="B3150" s="158" t="s">
        <v>18</v>
      </c>
      <c r="C3150" s="158" t="s">
        <v>3763</v>
      </c>
      <c r="D3150" s="159">
        <v>44671.0</v>
      </c>
      <c r="E3150" s="157" t="s">
        <v>731</v>
      </c>
      <c r="F3150" s="160">
        <v>219103.75</v>
      </c>
      <c r="G3150" s="160">
        <v>35056.6</v>
      </c>
      <c r="H3150" s="160">
        <f t="shared" si="90"/>
        <v>254160.35</v>
      </c>
      <c r="I3150" s="160"/>
      <c r="J3150" s="161"/>
      <c r="K3150" s="160"/>
      <c r="L3150" s="160">
        <f>+'FACP$'!$H3150-'FACP$'!$I3150-'FACP$'!$K3150</f>
        <v>254160.35</v>
      </c>
      <c r="M3150" s="162" t="s">
        <v>586</v>
      </c>
      <c r="N3150" s="162" t="s">
        <v>554</v>
      </c>
      <c r="O3150" s="164">
        <v>44684.0</v>
      </c>
      <c r="P3150" s="164">
        <f t="array" ref="P3150">XLOOKUP('FACP$'!$B3150,'perfil de pagos'!A:A,'perfil de pagos'!B:B)+'FACP$'!$D3150</f>
        <v>44681</v>
      </c>
      <c r="Q3150" s="165">
        <f t="shared" si="2"/>
        <v>0</v>
      </c>
      <c r="R3150" s="167"/>
      <c r="S3150" s="167">
        <v>1365.0</v>
      </c>
      <c r="T3150" s="168">
        <f t="shared" si="3"/>
        <v>254160.35</v>
      </c>
      <c r="U3150" s="168">
        <f t="shared" si="4"/>
        <v>0</v>
      </c>
      <c r="V3150" s="168">
        <f t="shared" si="5"/>
        <v>0</v>
      </c>
      <c r="W3150" s="168">
        <f t="shared" si="6"/>
        <v>0</v>
      </c>
      <c r="X3150" s="168">
        <f t="shared" si="7"/>
        <v>0</v>
      </c>
      <c r="Y3150" s="168">
        <f t="shared" si="8"/>
        <v>0</v>
      </c>
      <c r="Z3150" s="168">
        <f t="shared" si="9"/>
        <v>0</v>
      </c>
    </row>
    <row r="3151" ht="15.0" customHeight="1">
      <c r="A3151" s="157" t="s">
        <v>3768</v>
      </c>
      <c r="B3151" s="158" t="s">
        <v>22</v>
      </c>
      <c r="C3151" s="158" t="s">
        <v>3763</v>
      </c>
      <c r="D3151" s="159">
        <v>44671.0</v>
      </c>
      <c r="E3151" s="157" t="s">
        <v>731</v>
      </c>
      <c r="F3151" s="160">
        <v>191133.8</v>
      </c>
      <c r="G3151" s="160">
        <v>30581.41</v>
      </c>
      <c r="H3151" s="160">
        <f t="shared" si="90"/>
        <v>221715.21</v>
      </c>
      <c r="I3151" s="160"/>
      <c r="J3151" s="161"/>
      <c r="K3151" s="160"/>
      <c r="L3151" s="160">
        <f>+'FACP$'!$H3151-'FACP$'!$I3151-'FACP$'!$K3151</f>
        <v>221715.21</v>
      </c>
      <c r="M3151" s="162" t="s">
        <v>220</v>
      </c>
      <c r="N3151" s="162" t="s">
        <v>554</v>
      </c>
      <c r="O3151" s="164">
        <v>44711.0</v>
      </c>
      <c r="P3151" s="164">
        <f t="array" ref="P3151">XLOOKUP('FACP$'!$B3151,'perfil de pagos'!A:A,'perfil de pagos'!B:B)+'FACP$'!$D3151</f>
        <v>44681</v>
      </c>
      <c r="Q3151" s="165">
        <f t="shared" si="2"/>
        <v>0</v>
      </c>
      <c r="R3151" s="167"/>
      <c r="S3151" s="167"/>
      <c r="T3151" s="168">
        <f t="shared" si="3"/>
        <v>221715.21</v>
      </c>
      <c r="U3151" s="168">
        <f t="shared" si="4"/>
        <v>0</v>
      </c>
      <c r="V3151" s="168">
        <f t="shared" si="5"/>
        <v>0</v>
      </c>
      <c r="W3151" s="168">
        <f t="shared" si="6"/>
        <v>0</v>
      </c>
      <c r="X3151" s="168">
        <f t="shared" si="7"/>
        <v>0</v>
      </c>
      <c r="Y3151" s="168">
        <f t="shared" si="8"/>
        <v>0</v>
      </c>
      <c r="Z3151" s="168">
        <f t="shared" si="9"/>
        <v>0</v>
      </c>
    </row>
    <row r="3152" ht="15.0" customHeight="1">
      <c r="A3152" s="157" t="s">
        <v>3769</v>
      </c>
      <c r="B3152" s="158" t="s">
        <v>26</v>
      </c>
      <c r="C3152" s="158" t="s">
        <v>3763</v>
      </c>
      <c r="D3152" s="159">
        <v>44671.0</v>
      </c>
      <c r="E3152" s="157" t="s">
        <v>731</v>
      </c>
      <c r="F3152" s="160">
        <v>142111.25</v>
      </c>
      <c r="G3152" s="160">
        <v>22737.8</v>
      </c>
      <c r="H3152" s="160">
        <f>F3152+G3152-157356.34</f>
        <v>7492.71</v>
      </c>
      <c r="I3152" s="160"/>
      <c r="J3152" s="161"/>
      <c r="K3152" s="160"/>
      <c r="L3152" s="160">
        <f>+'FACP$'!$H3152-'FACP$'!$I3152-'FACP$'!$K3152</f>
        <v>7492.71</v>
      </c>
      <c r="M3152" s="162" t="s">
        <v>2386</v>
      </c>
      <c r="N3152" s="162" t="s">
        <v>554</v>
      </c>
      <c r="O3152" s="164">
        <v>45175.0</v>
      </c>
      <c r="P3152" s="164">
        <f t="array" ref="P3152">XLOOKUP('FACP$'!$B3152,'perfil de pagos'!A:A,'perfil de pagos'!B:B)+'FACP$'!$D3152</f>
        <v>44681</v>
      </c>
      <c r="Q3152" s="165">
        <f t="shared" si="2"/>
        <v>0</v>
      </c>
      <c r="R3152" s="167" t="s">
        <v>3770</v>
      </c>
      <c r="S3152" s="167" t="s">
        <v>3771</v>
      </c>
      <c r="T3152" s="168">
        <f t="shared" si="3"/>
        <v>7492.71</v>
      </c>
      <c r="U3152" s="168">
        <f t="shared" si="4"/>
        <v>0</v>
      </c>
      <c r="V3152" s="168">
        <f t="shared" si="5"/>
        <v>0</v>
      </c>
      <c r="W3152" s="168">
        <f t="shared" si="6"/>
        <v>0</v>
      </c>
      <c r="X3152" s="168">
        <f t="shared" si="7"/>
        <v>0</v>
      </c>
      <c r="Y3152" s="168">
        <f t="shared" si="8"/>
        <v>0</v>
      </c>
      <c r="Z3152" s="168">
        <f t="shared" si="9"/>
        <v>0</v>
      </c>
    </row>
    <row r="3153" ht="15.0" customHeight="1">
      <c r="A3153" s="157" t="s">
        <v>3772</v>
      </c>
      <c r="B3153" s="158" t="s">
        <v>37</v>
      </c>
      <c r="C3153" s="158" t="s">
        <v>3763</v>
      </c>
      <c r="D3153" s="159">
        <v>44671.0</v>
      </c>
      <c r="E3153" s="157" t="s">
        <v>731</v>
      </c>
      <c r="F3153" s="160">
        <v>2558029.0</v>
      </c>
      <c r="G3153" s="160">
        <v>409284.64</v>
      </c>
      <c r="H3153" s="160">
        <f>F3153+G3158</f>
        <v>2590407.53</v>
      </c>
      <c r="I3153" s="160"/>
      <c r="J3153" s="161"/>
      <c r="K3153" s="160"/>
      <c r="L3153" s="160">
        <f>+'FACP$'!$H3153-'FACP$'!$I3153-'FACP$'!$K3153</f>
        <v>2590407.53</v>
      </c>
      <c r="M3153" s="162" t="s">
        <v>116</v>
      </c>
      <c r="N3153" s="162" t="s">
        <v>554</v>
      </c>
      <c r="O3153" s="164">
        <v>44690.0</v>
      </c>
      <c r="P3153" s="164">
        <f t="array" ref="P3153">XLOOKUP('FACP$'!$B3153,'perfil de pagos'!A:A,'perfil de pagos'!B:B)+'FACP$'!$D3153</f>
        <v>44681</v>
      </c>
      <c r="Q3153" s="165">
        <f t="shared" si="2"/>
        <v>0</v>
      </c>
      <c r="R3153" s="167"/>
      <c r="S3153" s="167"/>
      <c r="T3153" s="168">
        <f t="shared" si="3"/>
        <v>2590407.53</v>
      </c>
      <c r="U3153" s="168">
        <f t="shared" si="4"/>
        <v>0</v>
      </c>
      <c r="V3153" s="168">
        <f t="shared" si="5"/>
        <v>0</v>
      </c>
      <c r="W3153" s="168">
        <f t="shared" si="6"/>
        <v>0</v>
      </c>
      <c r="X3153" s="168">
        <f t="shared" si="7"/>
        <v>0</v>
      </c>
      <c r="Y3153" s="168">
        <f t="shared" si="8"/>
        <v>0</v>
      </c>
      <c r="Z3153" s="168">
        <f t="shared" si="9"/>
        <v>0</v>
      </c>
    </row>
    <row r="3154" ht="15.0" customHeight="1">
      <c r="A3154" s="157" t="s">
        <v>3773</v>
      </c>
      <c r="B3154" s="158" t="s">
        <v>38</v>
      </c>
      <c r="C3154" s="158" t="s">
        <v>3763</v>
      </c>
      <c r="D3154" s="159">
        <v>44671.0</v>
      </c>
      <c r="E3154" s="157" t="s">
        <v>731</v>
      </c>
      <c r="F3154" s="160">
        <v>861640.36</v>
      </c>
      <c r="G3154" s="160">
        <v>137862.46</v>
      </c>
      <c r="H3154" s="160">
        <f t="shared" ref="H3154:H3156" si="91">F3154+G3154</f>
        <v>999502.82</v>
      </c>
      <c r="I3154" s="160"/>
      <c r="J3154" s="161"/>
      <c r="K3154" s="160"/>
      <c r="L3154" s="160">
        <f>+'FACP$'!$H3154-'FACP$'!$I3154-'FACP$'!$K3154</f>
        <v>999502.82</v>
      </c>
      <c r="M3154" s="162" t="s">
        <v>145</v>
      </c>
      <c r="N3154" s="162" t="s">
        <v>554</v>
      </c>
      <c r="O3154" s="164">
        <v>44729.0</v>
      </c>
      <c r="P3154" s="164">
        <f t="array" ref="P3154">XLOOKUP('FACP$'!$B3154,'perfil de pagos'!A:A,'perfil de pagos'!B:B)+'FACP$'!$D3154</f>
        <v>44701</v>
      </c>
      <c r="Q3154" s="165">
        <f t="shared" si="2"/>
        <v>0</v>
      </c>
      <c r="R3154" s="167"/>
      <c r="S3154" s="167"/>
      <c r="T3154" s="168">
        <f t="shared" si="3"/>
        <v>999502.82</v>
      </c>
      <c r="U3154" s="168">
        <f t="shared" si="4"/>
        <v>0</v>
      </c>
      <c r="V3154" s="168">
        <f t="shared" si="5"/>
        <v>0</v>
      </c>
      <c r="W3154" s="168">
        <f t="shared" si="6"/>
        <v>0</v>
      </c>
      <c r="X3154" s="168">
        <f t="shared" si="7"/>
        <v>0</v>
      </c>
      <c r="Y3154" s="168">
        <f t="shared" si="8"/>
        <v>0</v>
      </c>
      <c r="Z3154" s="168">
        <f t="shared" si="9"/>
        <v>0</v>
      </c>
    </row>
    <row r="3155" ht="15.0" customHeight="1">
      <c r="A3155" s="157" t="s">
        <v>3774</v>
      </c>
      <c r="B3155" s="158" t="s">
        <v>29</v>
      </c>
      <c r="C3155" s="158" t="s">
        <v>3763</v>
      </c>
      <c r="D3155" s="159">
        <v>44672.0</v>
      </c>
      <c r="E3155" s="157" t="s">
        <v>731</v>
      </c>
      <c r="F3155" s="160">
        <v>424882.68</v>
      </c>
      <c r="G3155" s="160">
        <v>67981.23</v>
      </c>
      <c r="H3155" s="160">
        <f t="shared" si="91"/>
        <v>492863.91</v>
      </c>
      <c r="I3155" s="160"/>
      <c r="J3155" s="161"/>
      <c r="K3155" s="160"/>
      <c r="L3155" s="160">
        <f>+'FACP$'!$H3155-'FACP$'!$I3155-'FACP$'!$K3155</f>
        <v>492863.91</v>
      </c>
      <c r="M3155" s="162" t="s">
        <v>130</v>
      </c>
      <c r="N3155" s="162" t="s">
        <v>554</v>
      </c>
      <c r="O3155" s="164">
        <v>44683.0</v>
      </c>
      <c r="P3155" s="164">
        <f t="array" ref="P3155">XLOOKUP('FACP$'!$B3155,'perfil de pagos'!A:A,'perfil de pagos'!B:B)+'FACP$'!$D3155</f>
        <v>44682</v>
      </c>
      <c r="Q3155" s="165">
        <f t="shared" si="2"/>
        <v>0</v>
      </c>
      <c r="R3155" s="167"/>
      <c r="S3155" s="167"/>
      <c r="T3155" s="168">
        <f t="shared" si="3"/>
        <v>492863.91</v>
      </c>
      <c r="U3155" s="168">
        <f t="shared" si="4"/>
        <v>0</v>
      </c>
      <c r="V3155" s="168">
        <f t="shared" si="5"/>
        <v>0</v>
      </c>
      <c r="W3155" s="168">
        <f t="shared" si="6"/>
        <v>0</v>
      </c>
      <c r="X3155" s="168">
        <f t="shared" si="7"/>
        <v>0</v>
      </c>
      <c r="Y3155" s="168">
        <f t="shared" si="8"/>
        <v>0</v>
      </c>
      <c r="Z3155" s="168">
        <f t="shared" si="9"/>
        <v>0</v>
      </c>
    </row>
    <row r="3156" ht="15.0" customHeight="1">
      <c r="A3156" s="157" t="s">
        <v>3775</v>
      </c>
      <c r="B3156" s="158" t="s">
        <v>29</v>
      </c>
      <c r="C3156" s="158" t="s">
        <v>3765</v>
      </c>
      <c r="D3156" s="159">
        <v>44672.0</v>
      </c>
      <c r="E3156" s="157" t="s">
        <v>731</v>
      </c>
      <c r="F3156" s="160">
        <v>376507.19</v>
      </c>
      <c r="G3156" s="160">
        <v>60241.15</v>
      </c>
      <c r="H3156" s="160">
        <f t="shared" si="91"/>
        <v>436748.34</v>
      </c>
      <c r="I3156" s="160"/>
      <c r="J3156" s="161"/>
      <c r="K3156" s="160"/>
      <c r="L3156" s="160">
        <f>+'FACP$'!$H3156-'FACP$'!$I3156-'FACP$'!$K3156</f>
        <v>436748.34</v>
      </c>
      <c r="M3156" s="162" t="s">
        <v>130</v>
      </c>
      <c r="N3156" s="162" t="s">
        <v>554</v>
      </c>
      <c r="O3156" s="164">
        <v>44683.0</v>
      </c>
      <c r="P3156" s="164">
        <f t="array" ref="P3156">XLOOKUP('FACP$'!$B3156,'perfil de pagos'!A:A,'perfil de pagos'!B:B)+'FACP$'!$D3156</f>
        <v>44682</v>
      </c>
      <c r="Q3156" s="165">
        <f t="shared" si="2"/>
        <v>0</v>
      </c>
      <c r="R3156" s="167"/>
      <c r="S3156" s="167"/>
      <c r="T3156" s="168">
        <f t="shared" si="3"/>
        <v>436748.34</v>
      </c>
      <c r="U3156" s="168">
        <f t="shared" si="4"/>
        <v>0</v>
      </c>
      <c r="V3156" s="168">
        <f t="shared" si="5"/>
        <v>0</v>
      </c>
      <c r="W3156" s="168">
        <f t="shared" si="6"/>
        <v>0</v>
      </c>
      <c r="X3156" s="168">
        <f t="shared" si="7"/>
        <v>0</v>
      </c>
      <c r="Y3156" s="168">
        <f t="shared" si="8"/>
        <v>0</v>
      </c>
      <c r="Z3156" s="168">
        <f t="shared" si="9"/>
        <v>0</v>
      </c>
    </row>
    <row r="3157" ht="15.0" customHeight="1">
      <c r="A3157" s="157" t="s">
        <v>3776</v>
      </c>
      <c r="B3157" s="158" t="s">
        <v>27</v>
      </c>
      <c r="C3157" s="158" t="s">
        <v>3777</v>
      </c>
      <c r="D3157" s="159">
        <v>44681.0</v>
      </c>
      <c r="E3157" s="157" t="s">
        <v>731</v>
      </c>
      <c r="F3157" s="160">
        <v>551476.09</v>
      </c>
      <c r="G3157" s="160">
        <v>88236.17</v>
      </c>
      <c r="H3157" s="160">
        <f>F3157+G3157-27218.43</f>
        <v>612493.83</v>
      </c>
      <c r="I3157" s="160"/>
      <c r="J3157" s="161"/>
      <c r="K3157" s="160"/>
      <c r="L3157" s="160">
        <f>+'FACP$'!$H3157-'FACP$'!$I3157-'FACP$'!$K3157</f>
        <v>612493.83</v>
      </c>
      <c r="M3157" s="162" t="s">
        <v>151</v>
      </c>
      <c r="N3157" s="162" t="s">
        <v>554</v>
      </c>
      <c r="O3157" s="164">
        <v>44712.0</v>
      </c>
      <c r="P3157" s="164">
        <f t="array" ref="P3157">XLOOKUP('FACP$'!$B3157,'perfil de pagos'!A:A,'perfil de pagos'!B:B)+'FACP$'!$D3157</f>
        <v>44711</v>
      </c>
      <c r="Q3157" s="165">
        <f t="shared" si="2"/>
        <v>0</v>
      </c>
      <c r="R3157" s="220" t="s">
        <v>3778</v>
      </c>
      <c r="S3157" s="167"/>
      <c r="T3157" s="168">
        <f t="shared" si="3"/>
        <v>612493.83</v>
      </c>
      <c r="U3157" s="168">
        <f t="shared" si="4"/>
        <v>0</v>
      </c>
      <c r="V3157" s="168">
        <f t="shared" si="5"/>
        <v>0</v>
      </c>
      <c r="W3157" s="168">
        <f t="shared" si="6"/>
        <v>0</v>
      </c>
      <c r="X3157" s="168">
        <f t="shared" si="7"/>
        <v>0</v>
      </c>
      <c r="Y3157" s="168">
        <f t="shared" si="8"/>
        <v>0</v>
      </c>
      <c r="Z3157" s="168">
        <f t="shared" si="9"/>
        <v>0</v>
      </c>
    </row>
    <row r="3158" ht="15.0" customHeight="1">
      <c r="A3158" s="157" t="s">
        <v>3779</v>
      </c>
      <c r="B3158" s="158" t="s">
        <v>27</v>
      </c>
      <c r="C3158" s="158" t="s">
        <v>3780</v>
      </c>
      <c r="D3158" s="159">
        <v>44681.0</v>
      </c>
      <c r="E3158" s="157" t="s">
        <v>731</v>
      </c>
      <c r="F3158" s="160">
        <v>202365.82</v>
      </c>
      <c r="G3158" s="160">
        <v>32378.53</v>
      </c>
      <c r="H3158" s="160">
        <f>F3158+G3158-11848.79</f>
        <v>222895.56</v>
      </c>
      <c r="I3158" s="160"/>
      <c r="J3158" s="161"/>
      <c r="K3158" s="160"/>
      <c r="L3158" s="160">
        <f>+'FACP$'!$H3158-'FACP$'!$I3158-'FACP$'!$K3158</f>
        <v>222895.56</v>
      </c>
      <c r="M3158" s="162" t="s">
        <v>151</v>
      </c>
      <c r="N3158" s="162" t="s">
        <v>554</v>
      </c>
      <c r="O3158" s="164">
        <v>44712.0</v>
      </c>
      <c r="P3158" s="164">
        <f t="array" ref="P3158">XLOOKUP('FACP$'!$B3158,'perfil de pagos'!A:A,'perfil de pagos'!B:B)+'FACP$'!$D3158</f>
        <v>44711</v>
      </c>
      <c r="Q3158" s="165">
        <f t="shared" si="2"/>
        <v>0</v>
      </c>
      <c r="R3158" s="220" t="s">
        <v>3781</v>
      </c>
      <c r="S3158" s="167"/>
      <c r="T3158" s="168">
        <f t="shared" si="3"/>
        <v>222895.56</v>
      </c>
      <c r="U3158" s="168">
        <f t="shared" si="4"/>
        <v>0</v>
      </c>
      <c r="V3158" s="168">
        <f t="shared" si="5"/>
        <v>0</v>
      </c>
      <c r="W3158" s="168">
        <f t="shared" si="6"/>
        <v>0</v>
      </c>
      <c r="X3158" s="168">
        <f t="shared" si="7"/>
        <v>0</v>
      </c>
      <c r="Y3158" s="168">
        <f t="shared" si="8"/>
        <v>0</v>
      </c>
      <c r="Z3158" s="168">
        <f t="shared" si="9"/>
        <v>0</v>
      </c>
    </row>
    <row r="3159" ht="15.0" customHeight="1">
      <c r="A3159" s="157" t="s">
        <v>3782</v>
      </c>
      <c r="B3159" s="158" t="s">
        <v>27</v>
      </c>
      <c r="C3159" s="158" t="s">
        <v>3783</v>
      </c>
      <c r="D3159" s="159">
        <v>44681.0</v>
      </c>
      <c r="E3159" s="157" t="s">
        <v>731</v>
      </c>
      <c r="F3159" s="160">
        <v>34079.89</v>
      </c>
      <c r="G3159" s="160">
        <v>5452.78</v>
      </c>
      <c r="H3159" s="160">
        <f>F3159+G3159-649.95</f>
        <v>38882.72</v>
      </c>
      <c r="I3159" s="160"/>
      <c r="J3159" s="161"/>
      <c r="K3159" s="160"/>
      <c r="L3159" s="160">
        <f>+'FACP$'!$H3159-'FACP$'!$I3159-'FACP$'!$K3159</f>
        <v>38882.72</v>
      </c>
      <c r="M3159" s="162" t="s">
        <v>151</v>
      </c>
      <c r="N3159" s="162" t="s">
        <v>554</v>
      </c>
      <c r="O3159" s="164">
        <v>44720.0</v>
      </c>
      <c r="P3159" s="164">
        <f t="array" ref="P3159">XLOOKUP('FACP$'!$B3159,'perfil de pagos'!A:A,'perfil de pagos'!B:B)+'FACP$'!$D3159</f>
        <v>44711</v>
      </c>
      <c r="Q3159" s="165">
        <f t="shared" si="2"/>
        <v>0</v>
      </c>
      <c r="R3159" s="220" t="s">
        <v>3784</v>
      </c>
      <c r="S3159" s="167">
        <v>1391.0</v>
      </c>
      <c r="T3159" s="168">
        <f t="shared" si="3"/>
        <v>38882.72</v>
      </c>
      <c r="U3159" s="168">
        <f t="shared" si="4"/>
        <v>0</v>
      </c>
      <c r="V3159" s="168">
        <f t="shared" si="5"/>
        <v>0</v>
      </c>
      <c r="W3159" s="168">
        <f t="shared" si="6"/>
        <v>0</v>
      </c>
      <c r="X3159" s="168">
        <f t="shared" si="7"/>
        <v>0</v>
      </c>
      <c r="Y3159" s="168">
        <f t="shared" si="8"/>
        <v>0</v>
      </c>
      <c r="Z3159" s="168">
        <f t="shared" si="9"/>
        <v>0</v>
      </c>
    </row>
    <row r="3160" ht="15.0" customHeight="1">
      <c r="A3160" s="157" t="s">
        <v>3785</v>
      </c>
      <c r="B3160" s="158" t="s">
        <v>27</v>
      </c>
      <c r="C3160" s="158" t="s">
        <v>3786</v>
      </c>
      <c r="D3160" s="159">
        <v>44681.0</v>
      </c>
      <c r="E3160" s="157" t="s">
        <v>731</v>
      </c>
      <c r="F3160" s="160">
        <v>12505.72</v>
      </c>
      <c r="G3160" s="160">
        <v>2000.92</v>
      </c>
      <c r="H3160" s="160">
        <f>F3160+G3160-356.15</f>
        <v>14150.49</v>
      </c>
      <c r="I3160" s="160"/>
      <c r="J3160" s="161"/>
      <c r="K3160" s="160"/>
      <c r="L3160" s="160">
        <f>+'FACP$'!$H3160-'FACP$'!$I3160-'FACP$'!$K3160</f>
        <v>14150.49</v>
      </c>
      <c r="M3160" s="162" t="s">
        <v>151</v>
      </c>
      <c r="N3160" s="162" t="s">
        <v>554</v>
      </c>
      <c r="O3160" s="164">
        <v>44720.0</v>
      </c>
      <c r="P3160" s="164">
        <f t="array" ref="P3160">XLOOKUP('FACP$'!$B3160,'perfil de pagos'!A:A,'perfil de pagos'!B:B)+'FACP$'!$D3160</f>
        <v>44711</v>
      </c>
      <c r="Q3160" s="165">
        <f t="shared" si="2"/>
        <v>0</v>
      </c>
      <c r="R3160" s="220" t="s">
        <v>3787</v>
      </c>
      <c r="S3160" s="167">
        <v>1391.0</v>
      </c>
      <c r="T3160" s="168">
        <f t="shared" si="3"/>
        <v>14150.49</v>
      </c>
      <c r="U3160" s="168">
        <f t="shared" si="4"/>
        <v>0</v>
      </c>
      <c r="V3160" s="168">
        <f t="shared" si="5"/>
        <v>0</v>
      </c>
      <c r="W3160" s="168">
        <f t="shared" si="6"/>
        <v>0</v>
      </c>
      <c r="X3160" s="168">
        <f t="shared" si="7"/>
        <v>0</v>
      </c>
      <c r="Y3160" s="168">
        <f t="shared" si="8"/>
        <v>0</v>
      </c>
      <c r="Z3160" s="168">
        <f t="shared" si="9"/>
        <v>0</v>
      </c>
    </row>
    <row r="3161" ht="15.0" customHeight="1">
      <c r="A3161" s="157" t="s">
        <v>3788</v>
      </c>
      <c r="B3161" s="158" t="s">
        <v>27</v>
      </c>
      <c r="C3161" s="158" t="s">
        <v>3777</v>
      </c>
      <c r="D3161" s="159">
        <v>44681.0</v>
      </c>
      <c r="E3161" s="157" t="s">
        <v>731</v>
      </c>
      <c r="F3161" s="160">
        <v>508911.47</v>
      </c>
      <c r="G3161" s="160">
        <v>81425.84</v>
      </c>
      <c r="H3161" s="160">
        <f t="shared" ref="H3161:H3189" si="92">F3161+G3161</f>
        <v>590337.31</v>
      </c>
      <c r="I3161" s="160"/>
      <c r="J3161" s="161"/>
      <c r="K3161" s="160"/>
      <c r="L3161" s="160">
        <f>+'FACP$'!$H3161-'FACP$'!$I3161-'FACP$'!$K3161</f>
        <v>590337.31</v>
      </c>
      <c r="M3161" s="162" t="s">
        <v>158</v>
      </c>
      <c r="N3161" s="162" t="s">
        <v>554</v>
      </c>
      <c r="O3161" s="164">
        <v>44720.0</v>
      </c>
      <c r="P3161" s="164">
        <f t="array" ref="P3161">XLOOKUP('FACP$'!$B3161,'perfil de pagos'!A:A,'perfil de pagos'!B:B)+'FACP$'!$D3161</f>
        <v>44711</v>
      </c>
      <c r="Q3161" s="165">
        <f t="shared" si="2"/>
        <v>0</v>
      </c>
      <c r="R3161" s="167"/>
      <c r="S3161" s="167">
        <v>1390.0</v>
      </c>
      <c r="T3161" s="168">
        <f t="shared" si="3"/>
        <v>590337.31</v>
      </c>
      <c r="U3161" s="168">
        <f t="shared" si="4"/>
        <v>0</v>
      </c>
      <c r="V3161" s="168">
        <f t="shared" si="5"/>
        <v>0</v>
      </c>
      <c r="W3161" s="168">
        <f t="shared" si="6"/>
        <v>0</v>
      </c>
      <c r="X3161" s="168">
        <f t="shared" si="7"/>
        <v>0</v>
      </c>
      <c r="Y3161" s="168">
        <f t="shared" si="8"/>
        <v>0</v>
      </c>
      <c r="Z3161" s="168">
        <f t="shared" si="9"/>
        <v>0</v>
      </c>
    </row>
    <row r="3162" ht="15.0" customHeight="1">
      <c r="A3162" s="157" t="s">
        <v>3789</v>
      </c>
      <c r="B3162" s="158" t="s">
        <v>27</v>
      </c>
      <c r="C3162" s="158" t="s">
        <v>3780</v>
      </c>
      <c r="D3162" s="159">
        <v>44681.0</v>
      </c>
      <c r="E3162" s="157" t="s">
        <v>731</v>
      </c>
      <c r="F3162" s="160">
        <v>192180.82</v>
      </c>
      <c r="G3162" s="160">
        <v>30748.93</v>
      </c>
      <c r="H3162" s="160">
        <f t="shared" si="92"/>
        <v>222929.75</v>
      </c>
      <c r="I3162" s="160"/>
      <c r="J3162" s="161"/>
      <c r="K3162" s="160"/>
      <c r="L3162" s="160">
        <f>+'FACP$'!$H3162-'FACP$'!$I3162-'FACP$'!$K3162</f>
        <v>222929.75</v>
      </c>
      <c r="M3162" s="162" t="s">
        <v>158</v>
      </c>
      <c r="N3162" s="162" t="s">
        <v>554</v>
      </c>
      <c r="O3162" s="164">
        <v>44720.0</v>
      </c>
      <c r="P3162" s="164">
        <f t="array" ref="P3162">XLOOKUP('FACP$'!$B3162,'perfil de pagos'!A:A,'perfil de pagos'!B:B)+'FACP$'!$D3162</f>
        <v>44711</v>
      </c>
      <c r="Q3162" s="165">
        <f t="shared" si="2"/>
        <v>0</v>
      </c>
      <c r="R3162" s="167"/>
      <c r="S3162" s="167">
        <v>1390.0</v>
      </c>
      <c r="T3162" s="168">
        <f t="shared" si="3"/>
        <v>222929.75</v>
      </c>
      <c r="U3162" s="168">
        <f t="shared" si="4"/>
        <v>0</v>
      </c>
      <c r="V3162" s="168">
        <f t="shared" si="5"/>
        <v>0</v>
      </c>
      <c r="W3162" s="168">
        <f t="shared" si="6"/>
        <v>0</v>
      </c>
      <c r="X3162" s="168">
        <f t="shared" si="7"/>
        <v>0</v>
      </c>
      <c r="Y3162" s="168">
        <f t="shared" si="8"/>
        <v>0</v>
      </c>
      <c r="Z3162" s="168">
        <f t="shared" si="9"/>
        <v>0</v>
      </c>
    </row>
    <row r="3163" ht="15.0" customHeight="1">
      <c r="A3163" s="157" t="s">
        <v>3790</v>
      </c>
      <c r="B3163" s="274" t="s">
        <v>33</v>
      </c>
      <c r="C3163" s="274" t="s">
        <v>3791</v>
      </c>
      <c r="D3163" s="159">
        <v>44681.0</v>
      </c>
      <c r="E3163" s="157" t="s">
        <v>731</v>
      </c>
      <c r="F3163" s="160">
        <v>1523150.12</v>
      </c>
      <c r="G3163" s="160">
        <v>243704.02</v>
      </c>
      <c r="H3163" s="160">
        <f t="shared" si="92"/>
        <v>1766854.14</v>
      </c>
      <c r="I3163" s="160"/>
      <c r="J3163" s="161"/>
      <c r="K3163" s="160"/>
      <c r="L3163" s="160">
        <f>+'FACP$'!$H3163-'FACP$'!$I3163-'FACP$'!$K3163</f>
        <v>1766854.14</v>
      </c>
      <c r="M3163" s="162" t="s">
        <v>958</v>
      </c>
      <c r="N3163" s="162" t="s">
        <v>554</v>
      </c>
      <c r="O3163" s="164">
        <v>44673.0</v>
      </c>
      <c r="P3163" s="164">
        <f t="array" ref="P3163">XLOOKUP('FACP$'!$B3163,'perfil de pagos'!A:A,'perfil de pagos'!B:B)+'FACP$'!$D3163</f>
        <v>44691</v>
      </c>
      <c r="Q3163" s="165">
        <f t="shared" si="2"/>
        <v>0</v>
      </c>
      <c r="R3163" s="167"/>
      <c r="S3163" s="167"/>
      <c r="T3163" s="168">
        <f t="shared" si="3"/>
        <v>1766854.14</v>
      </c>
      <c r="U3163" s="168">
        <f t="shared" si="4"/>
        <v>0</v>
      </c>
      <c r="V3163" s="168">
        <f t="shared" si="5"/>
        <v>0</v>
      </c>
      <c r="W3163" s="168">
        <f t="shared" si="6"/>
        <v>0</v>
      </c>
      <c r="X3163" s="168">
        <f t="shared" si="7"/>
        <v>0</v>
      </c>
      <c r="Y3163" s="168">
        <f t="shared" si="8"/>
        <v>0</v>
      </c>
      <c r="Z3163" s="168">
        <f t="shared" si="9"/>
        <v>0</v>
      </c>
    </row>
    <row r="3164" ht="15.0" customHeight="1">
      <c r="A3164" s="157" t="s">
        <v>3792</v>
      </c>
      <c r="B3164" s="158" t="s">
        <v>35</v>
      </c>
      <c r="C3164" s="158" t="s">
        <v>3793</v>
      </c>
      <c r="D3164" s="159">
        <v>44684.0</v>
      </c>
      <c r="E3164" s="157" t="s">
        <v>731</v>
      </c>
      <c r="F3164" s="160">
        <v>434823.21</v>
      </c>
      <c r="G3164" s="160">
        <v>69571.71</v>
      </c>
      <c r="H3164" s="160">
        <f t="shared" si="92"/>
        <v>504394.92</v>
      </c>
      <c r="I3164" s="160"/>
      <c r="J3164" s="161"/>
      <c r="K3164" s="160"/>
      <c r="L3164" s="160">
        <f>+'FACP$'!$H3164-'FACP$'!$I3164-'FACP$'!$K3164</f>
        <v>504394.92</v>
      </c>
      <c r="M3164" s="162" t="s">
        <v>276</v>
      </c>
      <c r="N3164" s="162" t="s">
        <v>554</v>
      </c>
      <c r="O3164" s="164">
        <v>44700.0</v>
      </c>
      <c r="P3164" s="164">
        <f t="array" ref="P3164">XLOOKUP('FACP$'!$B3164,'perfil de pagos'!A:A,'perfil de pagos'!B:B)+'FACP$'!$D3164</f>
        <v>44694</v>
      </c>
      <c r="Q3164" s="165">
        <f t="shared" si="2"/>
        <v>0</v>
      </c>
      <c r="R3164" s="167"/>
      <c r="S3164" s="167"/>
      <c r="T3164" s="168">
        <f t="shared" si="3"/>
        <v>504394.92</v>
      </c>
      <c r="U3164" s="168">
        <f t="shared" si="4"/>
        <v>0</v>
      </c>
      <c r="V3164" s="168">
        <f t="shared" si="5"/>
        <v>0</v>
      </c>
      <c r="W3164" s="168">
        <f t="shared" si="6"/>
        <v>0</v>
      </c>
      <c r="X3164" s="168">
        <f t="shared" si="7"/>
        <v>0</v>
      </c>
      <c r="Y3164" s="168">
        <f t="shared" si="8"/>
        <v>0</v>
      </c>
      <c r="Z3164" s="168">
        <f t="shared" si="9"/>
        <v>0</v>
      </c>
    </row>
    <row r="3165" ht="15.0" customHeight="1">
      <c r="A3165" s="157" t="s">
        <v>3794</v>
      </c>
      <c r="B3165" s="158" t="s">
        <v>36</v>
      </c>
      <c r="C3165" s="158" t="s">
        <v>3793</v>
      </c>
      <c r="D3165" s="159">
        <v>44684.0</v>
      </c>
      <c r="E3165" s="157" t="s">
        <v>731</v>
      </c>
      <c r="F3165" s="160">
        <v>162404.19</v>
      </c>
      <c r="G3165" s="160">
        <v>25984.67</v>
      </c>
      <c r="H3165" s="160">
        <f t="shared" si="92"/>
        <v>188388.86</v>
      </c>
      <c r="I3165" s="160"/>
      <c r="J3165" s="161"/>
      <c r="K3165" s="160"/>
      <c r="L3165" s="160">
        <f>+'FACP$'!$H3165-'FACP$'!$I3165-'FACP$'!$K3165</f>
        <v>188388.86</v>
      </c>
      <c r="M3165" s="162" t="s">
        <v>278</v>
      </c>
      <c r="N3165" s="162" t="s">
        <v>554</v>
      </c>
      <c r="O3165" s="164">
        <v>44701.0</v>
      </c>
      <c r="P3165" s="164">
        <f t="array" ref="P3165">XLOOKUP('FACP$'!$B3165,'perfil de pagos'!A:A,'perfil de pagos'!B:B)+'FACP$'!$D3165</f>
        <v>44694</v>
      </c>
      <c r="Q3165" s="165">
        <f t="shared" si="2"/>
        <v>0</v>
      </c>
      <c r="R3165" s="167"/>
      <c r="S3165" s="167">
        <v>1396.0</v>
      </c>
      <c r="T3165" s="168">
        <f t="shared" si="3"/>
        <v>188388.86</v>
      </c>
      <c r="U3165" s="168">
        <f t="shared" si="4"/>
        <v>0</v>
      </c>
      <c r="V3165" s="168">
        <f t="shared" si="5"/>
        <v>0</v>
      </c>
      <c r="W3165" s="168">
        <f t="shared" si="6"/>
        <v>0</v>
      </c>
      <c r="X3165" s="168">
        <f t="shared" si="7"/>
        <v>0</v>
      </c>
      <c r="Y3165" s="168">
        <f t="shared" si="8"/>
        <v>0</v>
      </c>
      <c r="Z3165" s="168">
        <f t="shared" si="9"/>
        <v>0</v>
      </c>
    </row>
    <row r="3166" ht="15.0" customHeight="1">
      <c r="A3166" s="157" t="s">
        <v>3795</v>
      </c>
      <c r="B3166" s="158" t="s">
        <v>41</v>
      </c>
      <c r="C3166" s="158" t="s">
        <v>3793</v>
      </c>
      <c r="D3166" s="159">
        <v>44684.0</v>
      </c>
      <c r="E3166" s="157" t="s">
        <v>731</v>
      </c>
      <c r="F3166" s="160">
        <v>517112.75</v>
      </c>
      <c r="G3166" s="160">
        <v>82738.04</v>
      </c>
      <c r="H3166" s="160">
        <f t="shared" si="92"/>
        <v>599850.79</v>
      </c>
      <c r="I3166" s="160"/>
      <c r="J3166" s="161"/>
      <c r="K3166" s="160"/>
      <c r="L3166" s="160">
        <f>+'FACP$'!$H3166-'FACP$'!$I3166-'FACP$'!$K3166</f>
        <v>599850.79</v>
      </c>
      <c r="M3166" s="162" t="s">
        <v>121</v>
      </c>
      <c r="N3166" s="162" t="s">
        <v>554</v>
      </c>
      <c r="O3166" s="164">
        <v>44763.0</v>
      </c>
      <c r="P3166" s="164">
        <f t="array" ref="P3166">XLOOKUP('FACP$'!$B3166,'perfil de pagos'!A:A,'perfil de pagos'!B:B)+'FACP$'!$D3166</f>
        <v>44694</v>
      </c>
      <c r="Q3166" s="165">
        <f t="shared" si="2"/>
        <v>0</v>
      </c>
      <c r="R3166" s="167"/>
      <c r="S3166" s="167">
        <v>1498.0</v>
      </c>
      <c r="T3166" s="168">
        <f t="shared" si="3"/>
        <v>599850.79</v>
      </c>
      <c r="U3166" s="168">
        <f t="shared" si="4"/>
        <v>0</v>
      </c>
      <c r="V3166" s="168">
        <f t="shared" si="5"/>
        <v>0</v>
      </c>
      <c r="W3166" s="168">
        <f t="shared" si="6"/>
        <v>0</v>
      </c>
      <c r="X3166" s="168">
        <f t="shared" si="7"/>
        <v>0</v>
      </c>
      <c r="Y3166" s="168">
        <f t="shared" si="8"/>
        <v>0</v>
      </c>
      <c r="Z3166" s="168">
        <f t="shared" si="9"/>
        <v>0</v>
      </c>
    </row>
    <row r="3167" ht="15.0" customHeight="1">
      <c r="A3167" s="157" t="s">
        <v>3796</v>
      </c>
      <c r="B3167" s="158" t="s">
        <v>43</v>
      </c>
      <c r="C3167" s="158" t="s">
        <v>3793</v>
      </c>
      <c r="D3167" s="159">
        <v>44684.0</v>
      </c>
      <c r="E3167" s="157" t="s">
        <v>731</v>
      </c>
      <c r="F3167" s="160">
        <v>968877.99</v>
      </c>
      <c r="G3167" s="160">
        <v>155020.48</v>
      </c>
      <c r="H3167" s="160">
        <f t="shared" si="92"/>
        <v>1123898.47</v>
      </c>
      <c r="I3167" s="160"/>
      <c r="J3167" s="161"/>
      <c r="K3167" s="160"/>
      <c r="L3167" s="160">
        <f>+'FACP$'!$H3167-'FACP$'!$I3167-'FACP$'!$K3167</f>
        <v>1123898.47</v>
      </c>
      <c r="M3167" s="162" t="s">
        <v>43</v>
      </c>
      <c r="N3167" s="162" t="s">
        <v>554</v>
      </c>
      <c r="O3167" s="164">
        <v>44712.0</v>
      </c>
      <c r="P3167" s="164">
        <f t="array" ref="P3167">XLOOKUP('FACP$'!$B3167,'perfil de pagos'!A:A,'perfil de pagos'!B:B)+'FACP$'!$D3167</f>
        <v>44709</v>
      </c>
      <c r="Q3167" s="165">
        <f t="shared" si="2"/>
        <v>0</v>
      </c>
      <c r="R3167" s="167"/>
      <c r="S3167" s="167"/>
      <c r="T3167" s="168">
        <f t="shared" si="3"/>
        <v>1123898.47</v>
      </c>
      <c r="U3167" s="168">
        <f t="shared" si="4"/>
        <v>0</v>
      </c>
      <c r="V3167" s="168">
        <f t="shared" si="5"/>
        <v>0</v>
      </c>
      <c r="W3167" s="168">
        <f t="shared" si="6"/>
        <v>0</v>
      </c>
      <c r="X3167" s="168">
        <f t="shared" si="7"/>
        <v>0</v>
      </c>
      <c r="Y3167" s="168">
        <f t="shared" si="8"/>
        <v>0</v>
      </c>
      <c r="Z3167" s="168">
        <f t="shared" si="9"/>
        <v>0</v>
      </c>
    </row>
    <row r="3168" ht="15.0" customHeight="1">
      <c r="A3168" s="157" t="s">
        <v>3797</v>
      </c>
      <c r="B3168" s="158" t="s">
        <v>16</v>
      </c>
      <c r="C3168" s="158" t="s">
        <v>3793</v>
      </c>
      <c r="D3168" s="159">
        <v>44686.0</v>
      </c>
      <c r="E3168" s="157" t="s">
        <v>731</v>
      </c>
      <c r="F3168" s="160">
        <v>593363.27</v>
      </c>
      <c r="G3168" s="160">
        <v>94938.12</v>
      </c>
      <c r="H3168" s="160">
        <f t="shared" si="92"/>
        <v>688301.39</v>
      </c>
      <c r="I3168" s="160"/>
      <c r="J3168" s="161"/>
      <c r="K3168" s="160"/>
      <c r="L3168" s="160">
        <f>+'FACP$'!$H3168-'FACP$'!$I3168-'FACP$'!$K3168</f>
        <v>688301.39</v>
      </c>
      <c r="M3168" s="162" t="s">
        <v>985</v>
      </c>
      <c r="N3168" s="162" t="s">
        <v>554</v>
      </c>
      <c r="O3168" s="164">
        <v>44725.0</v>
      </c>
      <c r="P3168" s="164">
        <f t="array" ref="P3168">XLOOKUP('FACP$'!$B3168,'perfil de pagos'!A:A,'perfil de pagos'!B:B)+'FACP$'!$D3168</f>
        <v>44696</v>
      </c>
      <c r="Q3168" s="165">
        <f t="shared" si="2"/>
        <v>0</v>
      </c>
      <c r="R3168" s="167"/>
      <c r="S3168" s="167"/>
      <c r="T3168" s="168">
        <f t="shared" si="3"/>
        <v>688301.39</v>
      </c>
      <c r="U3168" s="168">
        <f t="shared" si="4"/>
        <v>0</v>
      </c>
      <c r="V3168" s="168">
        <f t="shared" si="5"/>
        <v>0</v>
      </c>
      <c r="W3168" s="168">
        <f t="shared" si="6"/>
        <v>0</v>
      </c>
      <c r="X3168" s="168">
        <f t="shared" si="7"/>
        <v>0</v>
      </c>
      <c r="Y3168" s="168">
        <f t="shared" si="8"/>
        <v>0</v>
      </c>
      <c r="Z3168" s="168">
        <f t="shared" si="9"/>
        <v>0</v>
      </c>
    </row>
    <row r="3169" ht="15.0" customHeight="1">
      <c r="A3169" s="157" t="s">
        <v>3798</v>
      </c>
      <c r="B3169" s="158" t="s">
        <v>16</v>
      </c>
      <c r="C3169" s="158" t="s">
        <v>3799</v>
      </c>
      <c r="D3169" s="159">
        <v>44686.0</v>
      </c>
      <c r="E3169" s="157" t="s">
        <v>731</v>
      </c>
      <c r="F3169" s="160">
        <v>374584.04</v>
      </c>
      <c r="G3169" s="160">
        <v>59933.45</v>
      </c>
      <c r="H3169" s="160">
        <f t="shared" si="92"/>
        <v>434517.49</v>
      </c>
      <c r="I3169" s="160"/>
      <c r="J3169" s="161"/>
      <c r="K3169" s="160"/>
      <c r="L3169" s="160">
        <f>+'FACP$'!$H3169-'FACP$'!$I3169-'FACP$'!$K3169</f>
        <v>434517.49</v>
      </c>
      <c r="M3169" s="162" t="s">
        <v>985</v>
      </c>
      <c r="N3169" s="162" t="s">
        <v>554</v>
      </c>
      <c r="O3169" s="164">
        <v>44725.0</v>
      </c>
      <c r="P3169" s="164">
        <f t="array" ref="P3169">XLOOKUP('FACP$'!$B3169,'perfil de pagos'!A:A,'perfil de pagos'!B:B)+'FACP$'!$D3169</f>
        <v>44696</v>
      </c>
      <c r="Q3169" s="165">
        <f t="shared" si="2"/>
        <v>0</v>
      </c>
      <c r="R3169" s="167"/>
      <c r="S3169" s="167"/>
      <c r="T3169" s="168">
        <f t="shared" si="3"/>
        <v>434517.49</v>
      </c>
      <c r="U3169" s="168">
        <f t="shared" si="4"/>
        <v>0</v>
      </c>
      <c r="V3169" s="168">
        <f t="shared" si="5"/>
        <v>0</v>
      </c>
      <c r="W3169" s="168">
        <f t="shared" si="6"/>
        <v>0</v>
      </c>
      <c r="X3169" s="168">
        <f t="shared" si="7"/>
        <v>0</v>
      </c>
      <c r="Y3169" s="168">
        <f t="shared" si="8"/>
        <v>0</v>
      </c>
      <c r="Z3169" s="168">
        <f t="shared" si="9"/>
        <v>0</v>
      </c>
    </row>
    <row r="3170" ht="15.0" customHeight="1">
      <c r="A3170" s="157" t="s">
        <v>3800</v>
      </c>
      <c r="B3170" s="158" t="s">
        <v>18</v>
      </c>
      <c r="C3170" s="158" t="s">
        <v>3793</v>
      </c>
      <c r="D3170" s="159">
        <v>44686.0</v>
      </c>
      <c r="E3170" s="157" t="s">
        <v>731</v>
      </c>
      <c r="F3170" s="160">
        <v>241167.3</v>
      </c>
      <c r="G3170" s="160">
        <v>38586.77</v>
      </c>
      <c r="H3170" s="160">
        <f t="shared" si="92"/>
        <v>279754.07</v>
      </c>
      <c r="I3170" s="160"/>
      <c r="J3170" s="161"/>
      <c r="K3170" s="160"/>
      <c r="L3170" s="160">
        <f>+'FACP$'!$H3170-'FACP$'!$I3170-'FACP$'!$K3170</f>
        <v>279754.07</v>
      </c>
      <c r="M3170" s="162" t="s">
        <v>586</v>
      </c>
      <c r="N3170" s="162" t="s">
        <v>554</v>
      </c>
      <c r="O3170" s="164">
        <v>44704.0</v>
      </c>
      <c r="P3170" s="164">
        <f t="array" ref="P3170">XLOOKUP('FACP$'!$B3170,'perfil de pagos'!A:A,'perfil de pagos'!B:B)+'FACP$'!$D3170</f>
        <v>44696</v>
      </c>
      <c r="Q3170" s="165">
        <f t="shared" si="2"/>
        <v>0</v>
      </c>
      <c r="R3170" s="167"/>
      <c r="S3170" s="167">
        <v>1384.0</v>
      </c>
      <c r="T3170" s="168">
        <f t="shared" si="3"/>
        <v>279754.07</v>
      </c>
      <c r="U3170" s="168">
        <f t="shared" si="4"/>
        <v>0</v>
      </c>
      <c r="V3170" s="168">
        <f t="shared" si="5"/>
        <v>0</v>
      </c>
      <c r="W3170" s="168">
        <f t="shared" si="6"/>
        <v>0</v>
      </c>
      <c r="X3170" s="168">
        <f t="shared" si="7"/>
        <v>0</v>
      </c>
      <c r="Y3170" s="168">
        <f t="shared" si="8"/>
        <v>0</v>
      </c>
      <c r="Z3170" s="168">
        <f t="shared" si="9"/>
        <v>0</v>
      </c>
    </row>
    <row r="3171" ht="15.0" customHeight="1">
      <c r="A3171" s="157" t="s">
        <v>3801</v>
      </c>
      <c r="B3171" s="158" t="s">
        <v>19</v>
      </c>
      <c r="C3171" s="158" t="s">
        <v>3793</v>
      </c>
      <c r="D3171" s="159">
        <v>44686.0</v>
      </c>
      <c r="E3171" s="157" t="s">
        <v>731</v>
      </c>
      <c r="F3171" s="160">
        <v>246212.75</v>
      </c>
      <c r="G3171" s="160">
        <v>39394.04</v>
      </c>
      <c r="H3171" s="160">
        <f t="shared" si="92"/>
        <v>285606.79</v>
      </c>
      <c r="I3171" s="160"/>
      <c r="J3171" s="161"/>
      <c r="K3171" s="160"/>
      <c r="L3171" s="160">
        <f>+'FACP$'!$H3171-'FACP$'!$I3171-'FACP$'!$K3171</f>
        <v>285606.79</v>
      </c>
      <c r="M3171" s="162" t="s">
        <v>732</v>
      </c>
      <c r="N3171" s="162" t="s">
        <v>554</v>
      </c>
      <c r="O3171" s="164">
        <v>44704.0</v>
      </c>
      <c r="P3171" s="164">
        <f t="array" ref="P3171">XLOOKUP('FACP$'!$B3171,'perfil de pagos'!A:A,'perfil de pagos'!B:B)+'FACP$'!$D3171</f>
        <v>44696</v>
      </c>
      <c r="Q3171" s="165">
        <f t="shared" si="2"/>
        <v>0</v>
      </c>
      <c r="R3171" s="167"/>
      <c r="S3171" s="167">
        <v>1384.0</v>
      </c>
      <c r="T3171" s="168">
        <f t="shared" si="3"/>
        <v>285606.79</v>
      </c>
      <c r="U3171" s="168">
        <f t="shared" si="4"/>
        <v>0</v>
      </c>
      <c r="V3171" s="168">
        <f t="shared" si="5"/>
        <v>0</v>
      </c>
      <c r="W3171" s="168">
        <f t="shared" si="6"/>
        <v>0</v>
      </c>
      <c r="X3171" s="168">
        <f t="shared" si="7"/>
        <v>0</v>
      </c>
      <c r="Y3171" s="168">
        <f t="shared" si="8"/>
        <v>0</v>
      </c>
      <c r="Z3171" s="168">
        <f t="shared" si="9"/>
        <v>0</v>
      </c>
    </row>
    <row r="3172" ht="15.0" customHeight="1">
      <c r="A3172" s="157" t="s">
        <v>3802</v>
      </c>
      <c r="B3172" s="158" t="s">
        <v>22</v>
      </c>
      <c r="C3172" s="158" t="s">
        <v>3793</v>
      </c>
      <c r="D3172" s="159">
        <v>44686.0</v>
      </c>
      <c r="E3172" s="157" t="s">
        <v>731</v>
      </c>
      <c r="F3172" s="160">
        <v>211496.88</v>
      </c>
      <c r="G3172" s="160">
        <v>33839.5</v>
      </c>
      <c r="H3172" s="160">
        <f t="shared" si="92"/>
        <v>245336.38</v>
      </c>
      <c r="I3172" s="160"/>
      <c r="J3172" s="161"/>
      <c r="K3172" s="160"/>
      <c r="L3172" s="160">
        <f>+'FACP$'!$H3172-'FACP$'!$I3172-'FACP$'!$K3172</f>
        <v>245336.38</v>
      </c>
      <c r="M3172" s="162" t="s">
        <v>220</v>
      </c>
      <c r="N3172" s="162" t="s">
        <v>554</v>
      </c>
      <c r="O3172" s="164">
        <v>44711.0</v>
      </c>
      <c r="P3172" s="164">
        <f t="array" ref="P3172">XLOOKUP('FACP$'!$B3172,'perfil de pagos'!A:A,'perfil de pagos'!B:B)+'FACP$'!$D3172</f>
        <v>44696</v>
      </c>
      <c r="Q3172" s="165">
        <f t="shared" si="2"/>
        <v>0</v>
      </c>
      <c r="R3172" s="167"/>
      <c r="S3172" s="167"/>
      <c r="T3172" s="168">
        <f t="shared" si="3"/>
        <v>245336.38</v>
      </c>
      <c r="U3172" s="168">
        <f t="shared" si="4"/>
        <v>0</v>
      </c>
      <c r="V3172" s="168">
        <f t="shared" si="5"/>
        <v>0</v>
      </c>
      <c r="W3172" s="168">
        <f t="shared" si="6"/>
        <v>0</v>
      </c>
      <c r="X3172" s="168">
        <f t="shared" si="7"/>
        <v>0</v>
      </c>
      <c r="Y3172" s="168">
        <f t="shared" si="8"/>
        <v>0</v>
      </c>
      <c r="Z3172" s="168">
        <f t="shared" si="9"/>
        <v>0</v>
      </c>
    </row>
    <row r="3173" ht="15.0" customHeight="1">
      <c r="A3173" s="157" t="s">
        <v>3803</v>
      </c>
      <c r="B3173" s="158" t="s">
        <v>26</v>
      </c>
      <c r="C3173" s="158" t="s">
        <v>3793</v>
      </c>
      <c r="D3173" s="159">
        <v>44686.0</v>
      </c>
      <c r="E3173" s="157" t="s">
        <v>731</v>
      </c>
      <c r="F3173" s="160">
        <v>122641.89</v>
      </c>
      <c r="G3173" s="160">
        <v>19622.7</v>
      </c>
      <c r="H3173" s="160">
        <f t="shared" si="92"/>
        <v>142264.59</v>
      </c>
      <c r="I3173" s="160"/>
      <c r="J3173" s="161"/>
      <c r="K3173" s="160"/>
      <c r="L3173" s="160">
        <f>+'FACP$'!$H3173-'FACP$'!$I3173-'FACP$'!$K3173</f>
        <v>142264.59</v>
      </c>
      <c r="M3173" s="162" t="s">
        <v>2386</v>
      </c>
      <c r="N3173" s="162" t="s">
        <v>554</v>
      </c>
      <c r="O3173" s="164">
        <v>45175.0</v>
      </c>
      <c r="P3173" s="164">
        <f t="array" ref="P3173">XLOOKUP('FACP$'!$B3173,'perfil de pagos'!A:A,'perfil de pagos'!B:B)+'FACP$'!$D3173</f>
        <v>44696</v>
      </c>
      <c r="Q3173" s="165">
        <f t="shared" si="2"/>
        <v>0</v>
      </c>
      <c r="R3173" s="167"/>
      <c r="S3173" s="167">
        <v>2442.0</v>
      </c>
      <c r="T3173" s="168">
        <f t="shared" si="3"/>
        <v>142264.59</v>
      </c>
      <c r="U3173" s="168">
        <f t="shared" si="4"/>
        <v>0</v>
      </c>
      <c r="V3173" s="168">
        <f t="shared" si="5"/>
        <v>0</v>
      </c>
      <c r="W3173" s="168">
        <f t="shared" si="6"/>
        <v>0</v>
      </c>
      <c r="X3173" s="168">
        <f t="shared" si="7"/>
        <v>0</v>
      </c>
      <c r="Y3173" s="168">
        <f t="shared" si="8"/>
        <v>0</v>
      </c>
      <c r="Z3173" s="168">
        <f t="shared" si="9"/>
        <v>0</v>
      </c>
    </row>
    <row r="3174" ht="15.0" customHeight="1">
      <c r="A3174" s="157" t="s">
        <v>3804</v>
      </c>
      <c r="B3174" s="158" t="s">
        <v>37</v>
      </c>
      <c r="C3174" s="158" t="s">
        <v>3793</v>
      </c>
      <c r="D3174" s="159">
        <v>44686.0</v>
      </c>
      <c r="E3174" s="157" t="s">
        <v>731</v>
      </c>
      <c r="F3174" s="160">
        <v>3007413.69</v>
      </c>
      <c r="G3174" s="160">
        <v>481186.19</v>
      </c>
      <c r="H3174" s="160">
        <f t="shared" si="92"/>
        <v>3488599.88</v>
      </c>
      <c r="I3174" s="160"/>
      <c r="J3174" s="161"/>
      <c r="K3174" s="160"/>
      <c r="L3174" s="160">
        <f>+'FACP$'!$H3174-'FACP$'!$I3174-'FACP$'!$K3174</f>
        <v>3488599.88</v>
      </c>
      <c r="M3174" s="162" t="s">
        <v>116</v>
      </c>
      <c r="N3174" s="162" t="s">
        <v>554</v>
      </c>
      <c r="O3174" s="164">
        <v>44704.0</v>
      </c>
      <c r="P3174" s="164">
        <f t="array" ref="P3174">XLOOKUP('FACP$'!$B3174,'perfil de pagos'!A:A,'perfil de pagos'!B:B)+'FACP$'!$D3174</f>
        <v>44696</v>
      </c>
      <c r="Q3174" s="165">
        <f t="shared" si="2"/>
        <v>0</v>
      </c>
      <c r="R3174" s="167"/>
      <c r="S3174" s="167"/>
      <c r="T3174" s="168">
        <f t="shared" si="3"/>
        <v>3488599.88</v>
      </c>
      <c r="U3174" s="168">
        <f t="shared" si="4"/>
        <v>0</v>
      </c>
      <c r="V3174" s="168">
        <f t="shared" si="5"/>
        <v>0</v>
      </c>
      <c r="W3174" s="168">
        <f t="shared" si="6"/>
        <v>0</v>
      </c>
      <c r="X3174" s="168">
        <f t="shared" si="7"/>
        <v>0</v>
      </c>
      <c r="Y3174" s="168">
        <f t="shared" si="8"/>
        <v>0</v>
      </c>
      <c r="Z3174" s="168">
        <f t="shared" si="9"/>
        <v>0</v>
      </c>
    </row>
    <row r="3175" ht="15.0" customHeight="1">
      <c r="A3175" s="157" t="s">
        <v>3805</v>
      </c>
      <c r="B3175" s="158" t="s">
        <v>38</v>
      </c>
      <c r="C3175" s="158" t="s">
        <v>3793</v>
      </c>
      <c r="D3175" s="159">
        <v>44686.0</v>
      </c>
      <c r="E3175" s="157" t="s">
        <v>731</v>
      </c>
      <c r="F3175" s="160">
        <v>1130189.8</v>
      </c>
      <c r="G3175" s="160">
        <v>180830.37</v>
      </c>
      <c r="H3175" s="160">
        <f t="shared" si="92"/>
        <v>1311020.17</v>
      </c>
      <c r="I3175" s="160"/>
      <c r="J3175" s="161"/>
      <c r="K3175" s="160"/>
      <c r="L3175" s="160">
        <f>+'FACP$'!$H3175-'FACP$'!$I3175-'FACP$'!$K3175</f>
        <v>1311020.17</v>
      </c>
      <c r="M3175" s="162" t="s">
        <v>145</v>
      </c>
      <c r="N3175" s="162" t="s">
        <v>554</v>
      </c>
      <c r="O3175" s="164">
        <v>44750.0</v>
      </c>
      <c r="P3175" s="164">
        <f t="array" ref="P3175">XLOOKUP('FACP$'!$B3175,'perfil de pagos'!A:A,'perfil de pagos'!B:B)+'FACP$'!$D3175</f>
        <v>44716</v>
      </c>
      <c r="Q3175" s="165">
        <f t="shared" si="2"/>
        <v>0</v>
      </c>
      <c r="R3175" s="220" t="s">
        <v>3806</v>
      </c>
      <c r="S3175" s="167"/>
      <c r="T3175" s="168">
        <f t="shared" si="3"/>
        <v>1311020.17</v>
      </c>
      <c r="U3175" s="168">
        <f t="shared" si="4"/>
        <v>0</v>
      </c>
      <c r="V3175" s="168">
        <f t="shared" si="5"/>
        <v>0</v>
      </c>
      <c r="W3175" s="168">
        <f t="shared" si="6"/>
        <v>0</v>
      </c>
      <c r="X3175" s="168">
        <f t="shared" si="7"/>
        <v>0</v>
      </c>
      <c r="Y3175" s="168">
        <f t="shared" si="8"/>
        <v>0</v>
      </c>
      <c r="Z3175" s="168">
        <f t="shared" si="9"/>
        <v>0</v>
      </c>
    </row>
    <row r="3176" ht="15.0" customHeight="1">
      <c r="A3176" s="157" t="s">
        <v>3807</v>
      </c>
      <c r="B3176" s="158" t="s">
        <v>29</v>
      </c>
      <c r="C3176" s="158" t="s">
        <v>3793</v>
      </c>
      <c r="D3176" s="159">
        <v>44686.0</v>
      </c>
      <c r="E3176" s="157" t="s">
        <v>731</v>
      </c>
      <c r="F3176" s="160">
        <v>625143.68</v>
      </c>
      <c r="G3176" s="160">
        <v>100022.99</v>
      </c>
      <c r="H3176" s="160">
        <f t="shared" si="92"/>
        <v>725166.67</v>
      </c>
      <c r="I3176" s="160"/>
      <c r="J3176" s="161"/>
      <c r="K3176" s="160"/>
      <c r="L3176" s="160">
        <f>+'FACP$'!$H3176-'FACP$'!$I3176-'FACP$'!$K3176</f>
        <v>725166.67</v>
      </c>
      <c r="M3176" s="162" t="s">
        <v>130</v>
      </c>
      <c r="N3176" s="162" t="s">
        <v>554</v>
      </c>
      <c r="O3176" s="164">
        <v>44704.0</v>
      </c>
      <c r="P3176" s="164">
        <f t="array" ref="P3176">XLOOKUP('FACP$'!$B3176,'perfil de pagos'!A:A,'perfil de pagos'!B:B)+'FACP$'!$D3176</f>
        <v>44696</v>
      </c>
      <c r="Q3176" s="165">
        <f t="shared" si="2"/>
        <v>0</v>
      </c>
      <c r="R3176" s="167"/>
      <c r="S3176" s="167"/>
      <c r="T3176" s="168">
        <f t="shared" si="3"/>
        <v>725166.67</v>
      </c>
      <c r="U3176" s="168">
        <f t="shared" si="4"/>
        <v>0</v>
      </c>
      <c r="V3176" s="168">
        <f t="shared" si="5"/>
        <v>0</v>
      </c>
      <c r="W3176" s="168">
        <f t="shared" si="6"/>
        <v>0</v>
      </c>
      <c r="X3176" s="168">
        <f t="shared" si="7"/>
        <v>0</v>
      </c>
      <c r="Y3176" s="168">
        <f t="shared" si="8"/>
        <v>0</v>
      </c>
      <c r="Z3176" s="168">
        <f t="shared" si="9"/>
        <v>0</v>
      </c>
    </row>
    <row r="3177" ht="15.0" customHeight="1">
      <c r="A3177" s="157" t="s">
        <v>3808</v>
      </c>
      <c r="B3177" s="158" t="s">
        <v>29</v>
      </c>
      <c r="C3177" s="158" t="s">
        <v>3799</v>
      </c>
      <c r="D3177" s="159">
        <v>44686.0</v>
      </c>
      <c r="E3177" s="157" t="s">
        <v>731</v>
      </c>
      <c r="F3177" s="160">
        <v>440214.39</v>
      </c>
      <c r="G3177" s="160">
        <v>70434.3</v>
      </c>
      <c r="H3177" s="160">
        <f t="shared" si="92"/>
        <v>510648.69</v>
      </c>
      <c r="I3177" s="160"/>
      <c r="J3177" s="161"/>
      <c r="K3177" s="160"/>
      <c r="L3177" s="160">
        <f>+'FACP$'!$H3177-'FACP$'!$I3177-'FACP$'!$K3177</f>
        <v>510648.69</v>
      </c>
      <c r="M3177" s="162" t="s">
        <v>130</v>
      </c>
      <c r="N3177" s="162" t="s">
        <v>554</v>
      </c>
      <c r="O3177" s="164">
        <v>44704.0</v>
      </c>
      <c r="P3177" s="164">
        <f t="array" ref="P3177">XLOOKUP('FACP$'!$B3177,'perfil de pagos'!A:A,'perfil de pagos'!B:B)+'FACP$'!$D3177</f>
        <v>44696</v>
      </c>
      <c r="Q3177" s="165">
        <f t="shared" si="2"/>
        <v>0</v>
      </c>
      <c r="R3177" s="167"/>
      <c r="S3177" s="167"/>
      <c r="T3177" s="168">
        <f t="shared" si="3"/>
        <v>510648.69</v>
      </c>
      <c r="U3177" s="168">
        <f t="shared" si="4"/>
        <v>0</v>
      </c>
      <c r="V3177" s="168">
        <f t="shared" si="5"/>
        <v>0</v>
      </c>
      <c r="W3177" s="168">
        <f t="shared" si="6"/>
        <v>0</v>
      </c>
      <c r="X3177" s="168">
        <f t="shared" si="7"/>
        <v>0</v>
      </c>
      <c r="Y3177" s="168">
        <f t="shared" si="8"/>
        <v>0</v>
      </c>
      <c r="Z3177" s="168">
        <f t="shared" si="9"/>
        <v>0</v>
      </c>
    </row>
    <row r="3178" ht="15.0" customHeight="1">
      <c r="A3178" s="157" t="s">
        <v>3809</v>
      </c>
      <c r="B3178" s="158" t="s">
        <v>33</v>
      </c>
      <c r="C3178" s="158" t="s">
        <v>3810</v>
      </c>
      <c r="D3178" s="159">
        <v>44690.0</v>
      </c>
      <c r="E3178" s="157" t="s">
        <v>731</v>
      </c>
      <c r="F3178" s="160">
        <v>10476.99</v>
      </c>
      <c r="G3178" s="160">
        <v>1676.32</v>
      </c>
      <c r="H3178" s="160">
        <f t="shared" si="92"/>
        <v>12153.31</v>
      </c>
      <c r="I3178" s="160"/>
      <c r="J3178" s="161"/>
      <c r="K3178" s="160"/>
      <c r="L3178" s="160">
        <f>+'FACP$'!$H3178-'FACP$'!$I3178-'FACP$'!$K3178</f>
        <v>12153.31</v>
      </c>
      <c r="M3178" s="162" t="s">
        <v>958</v>
      </c>
      <c r="N3178" s="162" t="s">
        <v>127</v>
      </c>
      <c r="O3178" s="164"/>
      <c r="P3178" s="164">
        <f t="array" ref="P3178">XLOOKUP('FACP$'!$B3178,'perfil de pagos'!A:A,'perfil de pagos'!B:B)+'FACP$'!$D3178</f>
        <v>44700</v>
      </c>
      <c r="Q3178" s="165">
        <f t="shared" si="2"/>
        <v>0</v>
      </c>
      <c r="R3178" s="220" t="s">
        <v>3811</v>
      </c>
      <c r="S3178" s="167"/>
      <c r="T3178" s="168">
        <f t="shared" si="3"/>
        <v>12153.31</v>
      </c>
      <c r="U3178" s="168">
        <f t="shared" si="4"/>
        <v>0</v>
      </c>
      <c r="V3178" s="168">
        <f t="shared" si="5"/>
        <v>0</v>
      </c>
      <c r="W3178" s="168">
        <f t="shared" si="6"/>
        <v>0</v>
      </c>
      <c r="X3178" s="168">
        <f t="shared" si="7"/>
        <v>0</v>
      </c>
      <c r="Y3178" s="168">
        <f t="shared" si="8"/>
        <v>0</v>
      </c>
      <c r="Z3178" s="168">
        <f t="shared" si="9"/>
        <v>0</v>
      </c>
    </row>
    <row r="3179" ht="15.0" customHeight="1">
      <c r="A3179" s="157" t="s">
        <v>3812</v>
      </c>
      <c r="B3179" s="158" t="s">
        <v>35</v>
      </c>
      <c r="C3179" s="158" t="s">
        <v>3810</v>
      </c>
      <c r="D3179" s="159">
        <v>44690.0</v>
      </c>
      <c r="E3179" s="157" t="s">
        <v>731</v>
      </c>
      <c r="F3179" s="160">
        <v>112903.79</v>
      </c>
      <c r="G3179" s="160">
        <v>18064.61</v>
      </c>
      <c r="H3179" s="160">
        <f t="shared" si="92"/>
        <v>130968.4</v>
      </c>
      <c r="I3179" s="160"/>
      <c r="J3179" s="161"/>
      <c r="K3179" s="160"/>
      <c r="L3179" s="160">
        <f>+'FACP$'!$H3179-'FACP$'!$I3179-'FACP$'!$K3179</f>
        <v>130968.4</v>
      </c>
      <c r="M3179" s="162" t="s">
        <v>276</v>
      </c>
      <c r="N3179" s="162" t="s">
        <v>554</v>
      </c>
      <c r="O3179" s="164">
        <v>44708.0</v>
      </c>
      <c r="P3179" s="164">
        <f t="array" ref="P3179">XLOOKUP('FACP$'!$B3179,'perfil de pagos'!A:A,'perfil de pagos'!B:B)+'FACP$'!$D3179</f>
        <v>44700</v>
      </c>
      <c r="Q3179" s="165">
        <f t="shared" si="2"/>
        <v>0</v>
      </c>
      <c r="R3179" s="167"/>
      <c r="S3179" s="167"/>
      <c r="T3179" s="168">
        <f t="shared" si="3"/>
        <v>130968.4</v>
      </c>
      <c r="U3179" s="168">
        <f t="shared" si="4"/>
        <v>0</v>
      </c>
      <c r="V3179" s="168">
        <f t="shared" si="5"/>
        <v>0</v>
      </c>
      <c r="W3179" s="168">
        <f t="shared" si="6"/>
        <v>0</v>
      </c>
      <c r="X3179" s="168">
        <f t="shared" si="7"/>
        <v>0</v>
      </c>
      <c r="Y3179" s="168">
        <f t="shared" si="8"/>
        <v>0</v>
      </c>
      <c r="Z3179" s="168">
        <f t="shared" si="9"/>
        <v>0</v>
      </c>
    </row>
    <row r="3180" ht="15.0" customHeight="1">
      <c r="A3180" s="157" t="s">
        <v>3813</v>
      </c>
      <c r="B3180" s="158" t="s">
        <v>41</v>
      </c>
      <c r="C3180" s="158" t="s">
        <v>3810</v>
      </c>
      <c r="D3180" s="159">
        <v>44690.0</v>
      </c>
      <c r="E3180" s="157" t="s">
        <v>731</v>
      </c>
      <c r="F3180" s="160">
        <v>18142.01</v>
      </c>
      <c r="G3180" s="160">
        <v>2902.72</v>
      </c>
      <c r="H3180" s="160">
        <f t="shared" si="92"/>
        <v>21044.73</v>
      </c>
      <c r="I3180" s="160"/>
      <c r="J3180" s="161"/>
      <c r="K3180" s="160"/>
      <c r="L3180" s="160">
        <f>+'FACP$'!$H3180-'FACP$'!$I3180-'FACP$'!$K3180</f>
        <v>21044.73</v>
      </c>
      <c r="M3180" s="162" t="s">
        <v>121</v>
      </c>
      <c r="N3180" s="162" t="s">
        <v>554</v>
      </c>
      <c r="O3180" s="164">
        <v>44741.0</v>
      </c>
      <c r="P3180" s="164">
        <f t="array" ref="P3180">XLOOKUP('FACP$'!$B3180,'perfil de pagos'!A:A,'perfil de pagos'!B:B)+'FACP$'!$D3180</f>
        <v>44700</v>
      </c>
      <c r="Q3180" s="165">
        <f t="shared" si="2"/>
        <v>0</v>
      </c>
      <c r="R3180" s="167"/>
      <c r="S3180" s="167"/>
      <c r="T3180" s="168">
        <f t="shared" si="3"/>
        <v>21044.73</v>
      </c>
      <c r="U3180" s="168">
        <f t="shared" si="4"/>
        <v>0</v>
      </c>
      <c r="V3180" s="168">
        <f t="shared" si="5"/>
        <v>0</v>
      </c>
      <c r="W3180" s="168">
        <f t="shared" si="6"/>
        <v>0</v>
      </c>
      <c r="X3180" s="168">
        <f t="shared" si="7"/>
        <v>0</v>
      </c>
      <c r="Y3180" s="168">
        <f t="shared" si="8"/>
        <v>0</v>
      </c>
      <c r="Z3180" s="168">
        <f t="shared" si="9"/>
        <v>0</v>
      </c>
    </row>
    <row r="3181" ht="15.0" customHeight="1">
      <c r="A3181" s="157" t="s">
        <v>3814</v>
      </c>
      <c r="B3181" s="158" t="s">
        <v>43</v>
      </c>
      <c r="C3181" s="158" t="s">
        <v>3810</v>
      </c>
      <c r="D3181" s="159">
        <v>44690.0</v>
      </c>
      <c r="E3181" s="157" t="s">
        <v>731</v>
      </c>
      <c r="F3181" s="160">
        <v>65585.02</v>
      </c>
      <c r="G3181" s="160">
        <v>10493.6</v>
      </c>
      <c r="H3181" s="160">
        <f t="shared" si="92"/>
        <v>76078.62</v>
      </c>
      <c r="I3181" s="160"/>
      <c r="J3181" s="161"/>
      <c r="K3181" s="160"/>
      <c r="L3181" s="160">
        <f>+'FACP$'!$H3181-'FACP$'!$I3181-'FACP$'!$K3181</f>
        <v>76078.62</v>
      </c>
      <c r="M3181" s="162" t="s">
        <v>43</v>
      </c>
      <c r="N3181" s="162" t="s">
        <v>554</v>
      </c>
      <c r="O3181" s="164">
        <v>44809.0</v>
      </c>
      <c r="P3181" s="164">
        <f t="array" ref="P3181">XLOOKUP('FACP$'!$B3181,'perfil de pagos'!A:A,'perfil de pagos'!B:B)+'FACP$'!$D3181</f>
        <v>44715</v>
      </c>
      <c r="Q3181" s="165">
        <f t="shared" si="2"/>
        <v>0</v>
      </c>
      <c r="R3181" s="167"/>
      <c r="S3181" s="167"/>
      <c r="T3181" s="168">
        <f t="shared" si="3"/>
        <v>76078.62</v>
      </c>
      <c r="U3181" s="168">
        <f t="shared" si="4"/>
        <v>0</v>
      </c>
      <c r="V3181" s="168">
        <f t="shared" si="5"/>
        <v>0</v>
      </c>
      <c r="W3181" s="168">
        <f t="shared" si="6"/>
        <v>0</v>
      </c>
      <c r="X3181" s="168">
        <f t="shared" si="7"/>
        <v>0</v>
      </c>
      <c r="Y3181" s="168">
        <f t="shared" si="8"/>
        <v>0</v>
      </c>
      <c r="Z3181" s="168">
        <f t="shared" si="9"/>
        <v>0</v>
      </c>
    </row>
    <row r="3182" ht="15.0" customHeight="1">
      <c r="A3182" s="157" t="s">
        <v>3815</v>
      </c>
      <c r="B3182" s="158" t="s">
        <v>27</v>
      </c>
      <c r="C3182" s="158" t="s">
        <v>3816</v>
      </c>
      <c r="D3182" s="159">
        <v>44692.0</v>
      </c>
      <c r="E3182" s="157" t="s">
        <v>731</v>
      </c>
      <c r="F3182" s="160">
        <v>715.07</v>
      </c>
      <c r="G3182" s="160">
        <v>114.41</v>
      </c>
      <c r="H3182" s="160">
        <f t="shared" si="92"/>
        <v>829.48</v>
      </c>
      <c r="I3182" s="160"/>
      <c r="J3182" s="161"/>
      <c r="K3182" s="160"/>
      <c r="L3182" s="160">
        <f>+'FACP$'!$H3182-'FACP$'!$I3182-'FACP$'!$K3182</f>
        <v>829.48</v>
      </c>
      <c r="M3182" s="162" t="s">
        <v>158</v>
      </c>
      <c r="N3182" s="162" t="s">
        <v>554</v>
      </c>
      <c r="O3182" s="164">
        <v>44720.0</v>
      </c>
      <c r="P3182" s="164">
        <f t="array" ref="P3182">XLOOKUP('FACP$'!$B3182,'perfil de pagos'!A:A,'perfil de pagos'!B:B)+'FACP$'!$D3182</f>
        <v>44722</v>
      </c>
      <c r="Q3182" s="165">
        <f t="shared" si="2"/>
        <v>0</v>
      </c>
      <c r="R3182" s="167"/>
      <c r="S3182" s="167">
        <v>1390.0</v>
      </c>
      <c r="T3182" s="168">
        <f t="shared" si="3"/>
        <v>829.48</v>
      </c>
      <c r="U3182" s="168">
        <f t="shared" si="4"/>
        <v>0</v>
      </c>
      <c r="V3182" s="168">
        <f t="shared" si="5"/>
        <v>0</v>
      </c>
      <c r="W3182" s="168">
        <f t="shared" si="6"/>
        <v>0</v>
      </c>
      <c r="X3182" s="168">
        <f t="shared" si="7"/>
        <v>0</v>
      </c>
      <c r="Y3182" s="168">
        <f t="shared" si="8"/>
        <v>0</v>
      </c>
      <c r="Z3182" s="168">
        <f t="shared" si="9"/>
        <v>0</v>
      </c>
    </row>
    <row r="3183" ht="15.0" customHeight="1">
      <c r="A3183" s="157" t="s">
        <v>3817</v>
      </c>
      <c r="B3183" s="158" t="s">
        <v>27</v>
      </c>
      <c r="C3183" s="158" t="s">
        <v>3818</v>
      </c>
      <c r="D3183" s="159">
        <v>44692.0</v>
      </c>
      <c r="E3183" s="157" t="s">
        <v>731</v>
      </c>
      <c r="F3183" s="160">
        <v>273.17</v>
      </c>
      <c r="G3183" s="160">
        <v>43.71</v>
      </c>
      <c r="H3183" s="160">
        <f t="shared" si="92"/>
        <v>316.88</v>
      </c>
      <c r="I3183" s="160"/>
      <c r="J3183" s="161"/>
      <c r="K3183" s="160"/>
      <c r="L3183" s="160">
        <f>+'FACP$'!$H3183-'FACP$'!$I3183-'FACP$'!$K3183</f>
        <v>316.88</v>
      </c>
      <c r="M3183" s="162" t="s">
        <v>158</v>
      </c>
      <c r="N3183" s="162" t="s">
        <v>554</v>
      </c>
      <c r="O3183" s="164">
        <v>44720.0</v>
      </c>
      <c r="P3183" s="164">
        <f t="array" ref="P3183">XLOOKUP('FACP$'!$B3183,'perfil de pagos'!A:A,'perfil de pagos'!B:B)+'FACP$'!$D3183</f>
        <v>44722</v>
      </c>
      <c r="Q3183" s="165">
        <f t="shared" si="2"/>
        <v>0</v>
      </c>
      <c r="R3183" s="167"/>
      <c r="S3183" s="167">
        <v>1390.0</v>
      </c>
      <c r="T3183" s="168">
        <f t="shared" si="3"/>
        <v>316.88</v>
      </c>
      <c r="U3183" s="168">
        <f t="shared" si="4"/>
        <v>0</v>
      </c>
      <c r="V3183" s="168">
        <f t="shared" si="5"/>
        <v>0</v>
      </c>
      <c r="W3183" s="168">
        <f t="shared" si="6"/>
        <v>0</v>
      </c>
      <c r="X3183" s="168">
        <f t="shared" si="7"/>
        <v>0</v>
      </c>
      <c r="Y3183" s="168">
        <f t="shared" si="8"/>
        <v>0</v>
      </c>
      <c r="Z3183" s="168">
        <f t="shared" si="9"/>
        <v>0</v>
      </c>
    </row>
    <row r="3184" ht="15.0" customHeight="1">
      <c r="A3184" s="157" t="s">
        <v>3819</v>
      </c>
      <c r="B3184" s="158" t="s">
        <v>27</v>
      </c>
      <c r="C3184" s="158" t="s">
        <v>3820</v>
      </c>
      <c r="D3184" s="159">
        <v>44692.0</v>
      </c>
      <c r="E3184" s="157" t="s">
        <v>731</v>
      </c>
      <c r="F3184" s="160">
        <v>31123.3</v>
      </c>
      <c r="G3184" s="160">
        <v>4979.73</v>
      </c>
      <c r="H3184" s="160">
        <f t="shared" si="92"/>
        <v>36103.03</v>
      </c>
      <c r="I3184" s="160"/>
      <c r="J3184" s="161"/>
      <c r="K3184" s="160"/>
      <c r="L3184" s="160">
        <f>+'FACP$'!$H3184-'FACP$'!$I3184-'FACP$'!$K3184</f>
        <v>36103.03</v>
      </c>
      <c r="M3184" s="162" t="s">
        <v>158</v>
      </c>
      <c r="N3184" s="162" t="s">
        <v>554</v>
      </c>
      <c r="O3184" s="164">
        <v>44753.0</v>
      </c>
      <c r="P3184" s="164">
        <f t="array" ref="P3184">XLOOKUP('FACP$'!$B3184,'perfil de pagos'!A:A,'perfil de pagos'!B:B)+'FACP$'!$D3184</f>
        <v>44722</v>
      </c>
      <c r="Q3184" s="165">
        <f t="shared" si="2"/>
        <v>0</v>
      </c>
      <c r="R3184" s="167"/>
      <c r="S3184" s="167"/>
      <c r="T3184" s="168">
        <f t="shared" si="3"/>
        <v>36103.03</v>
      </c>
      <c r="U3184" s="168">
        <f t="shared" si="4"/>
        <v>0</v>
      </c>
      <c r="V3184" s="168">
        <f t="shared" si="5"/>
        <v>0</v>
      </c>
      <c r="W3184" s="168">
        <f t="shared" si="6"/>
        <v>0</v>
      </c>
      <c r="X3184" s="168">
        <f t="shared" si="7"/>
        <v>0</v>
      </c>
      <c r="Y3184" s="168">
        <f t="shared" si="8"/>
        <v>0</v>
      </c>
      <c r="Z3184" s="168">
        <f t="shared" si="9"/>
        <v>0</v>
      </c>
    </row>
    <row r="3185" ht="15.0" customHeight="1">
      <c r="A3185" s="157" t="s">
        <v>3821</v>
      </c>
      <c r="B3185" s="158" t="s">
        <v>27</v>
      </c>
      <c r="C3185" s="158" t="s">
        <v>3820</v>
      </c>
      <c r="D3185" s="159">
        <v>44692.0</v>
      </c>
      <c r="E3185" s="157" t="s">
        <v>731</v>
      </c>
      <c r="F3185" s="160">
        <v>32550.0</v>
      </c>
      <c r="G3185" s="160">
        <v>5208.0</v>
      </c>
      <c r="H3185" s="160">
        <f t="shared" si="92"/>
        <v>37758</v>
      </c>
      <c r="I3185" s="160"/>
      <c r="J3185" s="161"/>
      <c r="K3185" s="160"/>
      <c r="L3185" s="160">
        <f>+'FACP$'!$H3185-'FACP$'!$I3185-'FACP$'!$K3185</f>
        <v>37758</v>
      </c>
      <c r="M3185" s="162" t="s">
        <v>151</v>
      </c>
      <c r="N3185" s="162" t="s">
        <v>554</v>
      </c>
      <c r="O3185" s="164">
        <v>44753.0</v>
      </c>
      <c r="P3185" s="164">
        <f t="array" ref="P3185">XLOOKUP('FACP$'!$B3185,'perfil de pagos'!A:A,'perfil de pagos'!B:B)+'FACP$'!$D3185</f>
        <v>44722</v>
      </c>
      <c r="Q3185" s="165">
        <f t="shared" si="2"/>
        <v>0</v>
      </c>
      <c r="R3185" s="167"/>
      <c r="S3185" s="167"/>
      <c r="T3185" s="168">
        <f t="shared" si="3"/>
        <v>37758</v>
      </c>
      <c r="U3185" s="168">
        <f t="shared" si="4"/>
        <v>0</v>
      </c>
      <c r="V3185" s="168">
        <f t="shared" si="5"/>
        <v>0</v>
      </c>
      <c r="W3185" s="168">
        <f t="shared" si="6"/>
        <v>0</v>
      </c>
      <c r="X3185" s="168">
        <f t="shared" si="7"/>
        <v>0</v>
      </c>
      <c r="Y3185" s="168">
        <f t="shared" si="8"/>
        <v>0</v>
      </c>
      <c r="Z3185" s="168">
        <f t="shared" si="9"/>
        <v>0</v>
      </c>
    </row>
    <row r="3186" ht="15.0" customHeight="1">
      <c r="A3186" s="157" t="s">
        <v>3822</v>
      </c>
      <c r="B3186" s="158" t="s">
        <v>36</v>
      </c>
      <c r="C3186" s="158" t="s">
        <v>3820</v>
      </c>
      <c r="D3186" s="159">
        <v>44692.0</v>
      </c>
      <c r="E3186" s="157" t="s">
        <v>731</v>
      </c>
      <c r="F3186" s="160">
        <v>3105.07</v>
      </c>
      <c r="G3186" s="160">
        <v>496.81</v>
      </c>
      <c r="H3186" s="160">
        <f t="shared" si="92"/>
        <v>3601.88</v>
      </c>
      <c r="I3186" s="160"/>
      <c r="J3186" s="161"/>
      <c r="K3186" s="160"/>
      <c r="L3186" s="160">
        <f>+'FACP$'!$H3186-'FACP$'!$I3186-'FACP$'!$K3186</f>
        <v>3601.88</v>
      </c>
      <c r="M3186" s="162" t="s">
        <v>278</v>
      </c>
      <c r="N3186" s="162" t="s">
        <v>554</v>
      </c>
      <c r="O3186" s="164">
        <v>44720.0</v>
      </c>
      <c r="P3186" s="164">
        <f t="array" ref="P3186">XLOOKUP('FACP$'!$B3186,'perfil de pagos'!A:A,'perfil de pagos'!B:B)+'FACP$'!$D3186</f>
        <v>44702</v>
      </c>
      <c r="Q3186" s="165">
        <f t="shared" si="2"/>
        <v>0</v>
      </c>
      <c r="R3186" s="167"/>
      <c r="S3186" s="167">
        <v>1393.0</v>
      </c>
      <c r="T3186" s="168">
        <f t="shared" si="3"/>
        <v>3601.88</v>
      </c>
      <c r="U3186" s="168">
        <f t="shared" si="4"/>
        <v>0</v>
      </c>
      <c r="V3186" s="168">
        <f t="shared" si="5"/>
        <v>0</v>
      </c>
      <c r="W3186" s="168">
        <f t="shared" si="6"/>
        <v>0</v>
      </c>
      <c r="X3186" s="168">
        <f t="shared" si="7"/>
        <v>0</v>
      </c>
      <c r="Y3186" s="168">
        <f t="shared" si="8"/>
        <v>0</v>
      </c>
      <c r="Z3186" s="168">
        <f t="shared" si="9"/>
        <v>0</v>
      </c>
    </row>
    <row r="3187" ht="15.0" customHeight="1">
      <c r="A3187" s="157" t="s">
        <v>3823</v>
      </c>
      <c r="B3187" s="158" t="s">
        <v>35</v>
      </c>
      <c r="C3187" s="158" t="s">
        <v>3824</v>
      </c>
      <c r="D3187" s="159">
        <v>44704.0</v>
      </c>
      <c r="E3187" s="157" t="s">
        <v>731</v>
      </c>
      <c r="F3187" s="160">
        <v>263204.7</v>
      </c>
      <c r="G3187" s="160">
        <v>42112.75</v>
      </c>
      <c r="H3187" s="160">
        <f t="shared" si="92"/>
        <v>305317.45</v>
      </c>
      <c r="I3187" s="160"/>
      <c r="J3187" s="161"/>
      <c r="K3187" s="160"/>
      <c r="L3187" s="160">
        <f>+'FACP$'!$H3187-'FACP$'!$I3187-'FACP$'!$K3187</f>
        <v>305317.45</v>
      </c>
      <c r="M3187" s="162" t="s">
        <v>276</v>
      </c>
      <c r="N3187" s="162" t="s">
        <v>554</v>
      </c>
      <c r="O3187" s="164">
        <v>44722.0</v>
      </c>
      <c r="P3187" s="164">
        <f t="array" ref="P3187">XLOOKUP('FACP$'!$B3187,'perfil de pagos'!A:A,'perfil de pagos'!B:B)+'FACP$'!$D3187</f>
        <v>44714</v>
      </c>
      <c r="Q3187" s="165">
        <f t="shared" si="2"/>
        <v>0</v>
      </c>
      <c r="R3187" s="167"/>
      <c r="S3187" s="167"/>
      <c r="T3187" s="168">
        <f t="shared" si="3"/>
        <v>305317.45</v>
      </c>
      <c r="U3187" s="168">
        <f t="shared" si="4"/>
        <v>0</v>
      </c>
      <c r="V3187" s="168">
        <f t="shared" si="5"/>
        <v>0</v>
      </c>
      <c r="W3187" s="168">
        <f t="shared" si="6"/>
        <v>0</v>
      </c>
      <c r="X3187" s="168">
        <f t="shared" si="7"/>
        <v>0</v>
      </c>
      <c r="Y3187" s="168">
        <f t="shared" si="8"/>
        <v>0</v>
      </c>
      <c r="Z3187" s="168">
        <f t="shared" si="9"/>
        <v>0</v>
      </c>
    </row>
    <row r="3188" ht="15.0" customHeight="1">
      <c r="A3188" s="157" t="s">
        <v>3825</v>
      </c>
      <c r="B3188" s="158" t="s">
        <v>41</v>
      </c>
      <c r="C3188" s="158" t="s">
        <v>3824</v>
      </c>
      <c r="D3188" s="159">
        <v>44704.0</v>
      </c>
      <c r="E3188" s="157" t="s">
        <v>731</v>
      </c>
      <c r="F3188" s="160">
        <v>532044.86</v>
      </c>
      <c r="G3188" s="160">
        <v>85127.18</v>
      </c>
      <c r="H3188" s="160">
        <f t="shared" si="92"/>
        <v>617172.04</v>
      </c>
      <c r="I3188" s="160"/>
      <c r="J3188" s="161"/>
      <c r="K3188" s="160"/>
      <c r="L3188" s="160">
        <f>+'FACP$'!$H3188-'FACP$'!$I3188-'FACP$'!$K3188</f>
        <v>617172.04</v>
      </c>
      <c r="M3188" s="162" t="s">
        <v>121</v>
      </c>
      <c r="N3188" s="162" t="s">
        <v>554</v>
      </c>
      <c r="O3188" s="164">
        <v>44762.0</v>
      </c>
      <c r="P3188" s="164">
        <f t="array" ref="P3188">XLOOKUP('FACP$'!$B3188,'perfil de pagos'!A:A,'perfil de pagos'!B:B)+'FACP$'!$D3188</f>
        <v>44714</v>
      </c>
      <c r="Q3188" s="165">
        <f t="shared" si="2"/>
        <v>0</v>
      </c>
      <c r="R3188" s="167"/>
      <c r="S3188" s="167">
        <v>1498.0</v>
      </c>
      <c r="T3188" s="168">
        <f t="shared" si="3"/>
        <v>617172.04</v>
      </c>
      <c r="U3188" s="168">
        <f t="shared" si="4"/>
        <v>0</v>
      </c>
      <c r="V3188" s="168">
        <f t="shared" si="5"/>
        <v>0</v>
      </c>
      <c r="W3188" s="168">
        <f t="shared" si="6"/>
        <v>0</v>
      </c>
      <c r="X3188" s="168">
        <f t="shared" si="7"/>
        <v>0</v>
      </c>
      <c r="Y3188" s="168">
        <f t="shared" si="8"/>
        <v>0</v>
      </c>
      <c r="Z3188" s="168">
        <f t="shared" si="9"/>
        <v>0</v>
      </c>
    </row>
    <row r="3189" ht="15.0" customHeight="1">
      <c r="A3189" s="157" t="s">
        <v>3826</v>
      </c>
      <c r="B3189" s="158" t="s">
        <v>36</v>
      </c>
      <c r="C3189" s="158" t="s">
        <v>3824</v>
      </c>
      <c r="D3189" s="159">
        <v>44704.0</v>
      </c>
      <c r="E3189" s="157" t="s">
        <v>731</v>
      </c>
      <c r="F3189" s="160">
        <v>127635.41</v>
      </c>
      <c r="G3189" s="160">
        <v>20421.67</v>
      </c>
      <c r="H3189" s="160">
        <f t="shared" si="92"/>
        <v>148057.08</v>
      </c>
      <c r="I3189" s="160"/>
      <c r="J3189" s="161"/>
      <c r="K3189" s="160"/>
      <c r="L3189" s="160">
        <f>+'FACP$'!$H3189-'FACP$'!$I3189-'FACP$'!$K3189</f>
        <v>148057.08</v>
      </c>
      <c r="M3189" s="162" t="s">
        <v>278</v>
      </c>
      <c r="N3189" s="162" t="s">
        <v>554</v>
      </c>
      <c r="O3189" s="164">
        <v>44720.0</v>
      </c>
      <c r="P3189" s="164">
        <f t="array" ref="P3189">XLOOKUP('FACP$'!$B3189,'perfil de pagos'!A:A,'perfil de pagos'!B:B)+'FACP$'!$D3189</f>
        <v>44714</v>
      </c>
      <c r="Q3189" s="165">
        <f t="shared" si="2"/>
        <v>0</v>
      </c>
      <c r="R3189" s="167"/>
      <c r="S3189" s="167">
        <v>1394.0</v>
      </c>
      <c r="T3189" s="168">
        <f t="shared" si="3"/>
        <v>148057.08</v>
      </c>
      <c r="U3189" s="168">
        <f t="shared" si="4"/>
        <v>0</v>
      </c>
      <c r="V3189" s="168">
        <f t="shared" si="5"/>
        <v>0</v>
      </c>
      <c r="W3189" s="168">
        <f t="shared" si="6"/>
        <v>0</v>
      </c>
      <c r="X3189" s="168">
        <f t="shared" si="7"/>
        <v>0</v>
      </c>
      <c r="Y3189" s="168">
        <f t="shared" si="8"/>
        <v>0</v>
      </c>
      <c r="Z3189" s="168">
        <f t="shared" si="9"/>
        <v>0</v>
      </c>
    </row>
    <row r="3190" ht="15.0" customHeight="1">
      <c r="A3190" s="157" t="s">
        <v>3827</v>
      </c>
      <c r="B3190" s="158" t="s">
        <v>43</v>
      </c>
      <c r="C3190" s="158" t="s">
        <v>3824</v>
      </c>
      <c r="D3190" s="159">
        <v>44704.0</v>
      </c>
      <c r="E3190" s="157" t="s">
        <v>731</v>
      </c>
      <c r="F3190" s="160">
        <v>680647.27</v>
      </c>
      <c r="G3190" s="160">
        <v>108903.56</v>
      </c>
      <c r="H3190" s="160">
        <f>F3190+G3190-474.35</f>
        <v>789076.48</v>
      </c>
      <c r="I3190" s="160"/>
      <c r="J3190" s="161"/>
      <c r="K3190" s="160"/>
      <c r="L3190" s="160">
        <f>+'FACP$'!$H3190-'FACP$'!$I3190-'FACP$'!$K3190</f>
        <v>789076.48</v>
      </c>
      <c r="M3190" s="162" t="s">
        <v>43</v>
      </c>
      <c r="N3190" s="162" t="s">
        <v>554</v>
      </c>
      <c r="O3190" s="164">
        <v>44757.0</v>
      </c>
      <c r="P3190" s="164">
        <f t="array" ref="P3190">XLOOKUP('FACP$'!$B3190,'perfil de pagos'!A:A,'perfil de pagos'!B:B)+'FACP$'!$D3190</f>
        <v>44729</v>
      </c>
      <c r="Q3190" s="165">
        <f t="shared" si="2"/>
        <v>0</v>
      </c>
      <c r="R3190" s="167" t="s">
        <v>3828</v>
      </c>
      <c r="S3190" s="167"/>
      <c r="T3190" s="168">
        <f t="shared" si="3"/>
        <v>789076.48</v>
      </c>
      <c r="U3190" s="168">
        <f t="shared" si="4"/>
        <v>0</v>
      </c>
      <c r="V3190" s="168">
        <f t="shared" si="5"/>
        <v>0</v>
      </c>
      <c r="W3190" s="168">
        <f t="shared" si="6"/>
        <v>0</v>
      </c>
      <c r="X3190" s="168">
        <f t="shared" si="7"/>
        <v>0</v>
      </c>
      <c r="Y3190" s="168">
        <f t="shared" si="8"/>
        <v>0</v>
      </c>
      <c r="Z3190" s="168">
        <f t="shared" si="9"/>
        <v>0</v>
      </c>
    </row>
    <row r="3191" ht="15.0" customHeight="1">
      <c r="A3191" s="157" t="s">
        <v>3829</v>
      </c>
      <c r="B3191" s="158" t="s">
        <v>27</v>
      </c>
      <c r="C3191" s="158" t="s">
        <v>3830</v>
      </c>
      <c r="D3191" s="159">
        <v>44704.0</v>
      </c>
      <c r="E3191" s="157" t="s">
        <v>731</v>
      </c>
      <c r="F3191" s="160">
        <v>590958.69</v>
      </c>
      <c r="G3191" s="160">
        <v>94553.39</v>
      </c>
      <c r="H3191" s="160">
        <f>F3191+G3191-4400.74</f>
        <v>681111.34</v>
      </c>
      <c r="I3191" s="160"/>
      <c r="J3191" s="161"/>
      <c r="K3191" s="160"/>
      <c r="L3191" s="160">
        <f>+'FACP$'!$H3191-'FACP$'!$I3191-'FACP$'!$K3191</f>
        <v>681111.34</v>
      </c>
      <c r="M3191" s="162" t="s">
        <v>158</v>
      </c>
      <c r="N3191" s="162" t="s">
        <v>554</v>
      </c>
      <c r="O3191" s="164">
        <v>44753.0</v>
      </c>
      <c r="P3191" s="164">
        <f t="array" ref="P3191">XLOOKUP('FACP$'!$B3191,'perfil de pagos'!A:A,'perfil de pagos'!B:B)+'FACP$'!$D3191</f>
        <v>44734</v>
      </c>
      <c r="Q3191" s="165">
        <f t="shared" si="2"/>
        <v>0</v>
      </c>
      <c r="R3191" s="220" t="s">
        <v>3831</v>
      </c>
      <c r="S3191" s="167"/>
      <c r="T3191" s="168">
        <f t="shared" si="3"/>
        <v>681111.34</v>
      </c>
      <c r="U3191" s="168">
        <f t="shared" si="4"/>
        <v>0</v>
      </c>
      <c r="V3191" s="168">
        <f t="shared" si="5"/>
        <v>0</v>
      </c>
      <c r="W3191" s="168">
        <f t="shared" si="6"/>
        <v>0</v>
      </c>
      <c r="X3191" s="168">
        <f t="shared" si="7"/>
        <v>0</v>
      </c>
      <c r="Y3191" s="168">
        <f t="shared" si="8"/>
        <v>0</v>
      </c>
      <c r="Z3191" s="168">
        <f t="shared" si="9"/>
        <v>0</v>
      </c>
    </row>
    <row r="3192" ht="15.0" customHeight="1">
      <c r="A3192" s="157" t="s">
        <v>3832</v>
      </c>
      <c r="B3192" s="158" t="s">
        <v>27</v>
      </c>
      <c r="C3192" s="158" t="s">
        <v>3833</v>
      </c>
      <c r="D3192" s="159">
        <v>44704.0</v>
      </c>
      <c r="E3192" s="157" t="s">
        <v>731</v>
      </c>
      <c r="F3192" s="160">
        <v>208107.2</v>
      </c>
      <c r="G3192" s="160">
        <v>33297.15</v>
      </c>
      <c r="H3192" s="160">
        <f>F3192+G3192-12699.55-1788.71</f>
        <v>226916.09</v>
      </c>
      <c r="I3192" s="160"/>
      <c r="J3192" s="161"/>
      <c r="K3192" s="160"/>
      <c r="L3192" s="160">
        <f>+'FACP$'!$H3192-'FACP$'!$I3192-'FACP$'!$K3192</f>
        <v>226916.09</v>
      </c>
      <c r="M3192" s="162" t="s">
        <v>158</v>
      </c>
      <c r="N3192" s="162" t="s">
        <v>554</v>
      </c>
      <c r="O3192" s="164">
        <v>44753.0</v>
      </c>
      <c r="P3192" s="164">
        <f t="array" ref="P3192">XLOOKUP('FACP$'!$B3192,'perfil de pagos'!A:A,'perfil de pagos'!B:B)+'FACP$'!$D3192</f>
        <v>44734</v>
      </c>
      <c r="Q3192" s="165">
        <f t="shared" si="2"/>
        <v>0</v>
      </c>
      <c r="R3192" s="220" t="s">
        <v>3834</v>
      </c>
      <c r="S3192" s="167"/>
      <c r="T3192" s="168">
        <f t="shared" si="3"/>
        <v>226916.09</v>
      </c>
      <c r="U3192" s="168">
        <f t="shared" si="4"/>
        <v>0</v>
      </c>
      <c r="V3192" s="168">
        <f t="shared" si="5"/>
        <v>0</v>
      </c>
      <c r="W3192" s="168">
        <f t="shared" si="6"/>
        <v>0</v>
      </c>
      <c r="X3192" s="168">
        <f t="shared" si="7"/>
        <v>0</v>
      </c>
      <c r="Y3192" s="168">
        <f t="shared" si="8"/>
        <v>0</v>
      </c>
      <c r="Z3192" s="168">
        <f t="shared" si="9"/>
        <v>0</v>
      </c>
    </row>
    <row r="3193" ht="15.0" customHeight="1">
      <c r="A3193" s="157" t="s">
        <v>3835</v>
      </c>
      <c r="B3193" s="158" t="s">
        <v>27</v>
      </c>
      <c r="C3193" s="158" t="s">
        <v>3830</v>
      </c>
      <c r="D3193" s="159">
        <v>44704.0</v>
      </c>
      <c r="E3193" s="157" t="s">
        <v>731</v>
      </c>
      <c r="F3193" s="160">
        <v>461481.57</v>
      </c>
      <c r="G3193" s="160">
        <v>73837.05</v>
      </c>
      <c r="H3193" s="160">
        <f>F3193+G3193-3671.6</f>
        <v>531647.02</v>
      </c>
      <c r="I3193" s="160"/>
      <c r="J3193" s="161"/>
      <c r="K3193" s="160"/>
      <c r="L3193" s="160">
        <f>+'FACP$'!$H3193-'FACP$'!$I3193-'FACP$'!$K3193</f>
        <v>531647.02</v>
      </c>
      <c r="M3193" s="162" t="s">
        <v>151</v>
      </c>
      <c r="N3193" s="162" t="s">
        <v>554</v>
      </c>
      <c r="O3193" s="164">
        <v>44741.0</v>
      </c>
      <c r="P3193" s="164">
        <f t="array" ref="P3193">XLOOKUP('FACP$'!$B3193,'perfil de pagos'!A:A,'perfil de pagos'!B:B)+'FACP$'!$D3193</f>
        <v>44734</v>
      </c>
      <c r="Q3193" s="165">
        <f t="shared" si="2"/>
        <v>0</v>
      </c>
      <c r="R3193" s="167" t="s">
        <v>3836</v>
      </c>
      <c r="S3193" s="167"/>
      <c r="T3193" s="168">
        <f t="shared" si="3"/>
        <v>531647.02</v>
      </c>
      <c r="U3193" s="168">
        <f t="shared" si="4"/>
        <v>0</v>
      </c>
      <c r="V3193" s="168">
        <f t="shared" si="5"/>
        <v>0</v>
      </c>
      <c r="W3193" s="168">
        <f t="shared" si="6"/>
        <v>0</v>
      </c>
      <c r="X3193" s="168">
        <f t="shared" si="7"/>
        <v>0</v>
      </c>
      <c r="Y3193" s="168">
        <f t="shared" si="8"/>
        <v>0</v>
      </c>
      <c r="Z3193" s="168">
        <f t="shared" si="9"/>
        <v>0</v>
      </c>
    </row>
    <row r="3194" ht="15.0" customHeight="1">
      <c r="A3194" s="157" t="s">
        <v>3837</v>
      </c>
      <c r="B3194" s="158" t="s">
        <v>27</v>
      </c>
      <c r="C3194" s="158" t="s">
        <v>3833</v>
      </c>
      <c r="D3194" s="159">
        <v>44704.0</v>
      </c>
      <c r="E3194" s="157" t="s">
        <v>731</v>
      </c>
      <c r="F3194" s="160">
        <v>144239.72</v>
      </c>
      <c r="G3194" s="160">
        <v>23078.36</v>
      </c>
      <c r="H3194" s="160">
        <f>F3194+G3194-8811.85</f>
        <v>158506.23</v>
      </c>
      <c r="I3194" s="160"/>
      <c r="J3194" s="161"/>
      <c r="K3194" s="160"/>
      <c r="L3194" s="160">
        <f>+'FACP$'!$H3194-'FACP$'!$I3194-'FACP$'!$K3194</f>
        <v>158506.23</v>
      </c>
      <c r="M3194" s="162" t="s">
        <v>151</v>
      </c>
      <c r="N3194" s="162" t="s">
        <v>554</v>
      </c>
      <c r="O3194" s="164">
        <v>44741.0</v>
      </c>
      <c r="P3194" s="164">
        <f t="array" ref="P3194">XLOOKUP('FACP$'!$B3194,'perfil de pagos'!A:A,'perfil de pagos'!B:B)+'FACP$'!$D3194</f>
        <v>44734</v>
      </c>
      <c r="Q3194" s="165">
        <f t="shared" si="2"/>
        <v>0</v>
      </c>
      <c r="R3194" s="167" t="s">
        <v>3838</v>
      </c>
      <c r="S3194" s="167"/>
      <c r="T3194" s="168">
        <f t="shared" si="3"/>
        <v>158506.23</v>
      </c>
      <c r="U3194" s="168">
        <f t="shared" si="4"/>
        <v>0</v>
      </c>
      <c r="V3194" s="168">
        <f t="shared" si="5"/>
        <v>0</v>
      </c>
      <c r="W3194" s="168">
        <f t="shared" si="6"/>
        <v>0</v>
      </c>
      <c r="X3194" s="168">
        <f t="shared" si="7"/>
        <v>0</v>
      </c>
      <c r="Y3194" s="168">
        <f t="shared" si="8"/>
        <v>0</v>
      </c>
      <c r="Z3194" s="168">
        <f t="shared" si="9"/>
        <v>0</v>
      </c>
    </row>
    <row r="3195" ht="15.0" customHeight="1">
      <c r="A3195" s="157" t="s">
        <v>3839</v>
      </c>
      <c r="B3195" s="158" t="s">
        <v>27</v>
      </c>
      <c r="C3195" s="158" t="s">
        <v>3840</v>
      </c>
      <c r="D3195" s="159">
        <v>44704.0</v>
      </c>
      <c r="E3195" s="157" t="s">
        <v>731</v>
      </c>
      <c r="F3195" s="160">
        <v>26373.03</v>
      </c>
      <c r="G3195" s="160">
        <v>4219.69</v>
      </c>
      <c r="H3195" s="160">
        <f>F3195+G3195-209.83</f>
        <v>30382.89</v>
      </c>
      <c r="I3195" s="160"/>
      <c r="J3195" s="161"/>
      <c r="K3195" s="160"/>
      <c r="L3195" s="160">
        <f>+'FACP$'!$H3195-'FACP$'!$I3195-'FACP$'!$K3195</f>
        <v>30382.89</v>
      </c>
      <c r="M3195" s="162" t="s">
        <v>151</v>
      </c>
      <c r="N3195" s="162" t="s">
        <v>554</v>
      </c>
      <c r="O3195" s="164">
        <v>44741.0</v>
      </c>
      <c r="P3195" s="164">
        <f t="array" ref="P3195">XLOOKUP('FACP$'!$B3195,'perfil de pagos'!A:A,'perfil de pagos'!B:B)+'FACP$'!$D3195</f>
        <v>44734</v>
      </c>
      <c r="Q3195" s="165">
        <f t="shared" si="2"/>
        <v>0</v>
      </c>
      <c r="R3195" s="167" t="s">
        <v>3841</v>
      </c>
      <c r="S3195" s="167"/>
      <c r="T3195" s="168">
        <f t="shared" si="3"/>
        <v>30382.89</v>
      </c>
      <c r="U3195" s="168">
        <f t="shared" si="4"/>
        <v>0</v>
      </c>
      <c r="V3195" s="168">
        <f t="shared" si="5"/>
        <v>0</v>
      </c>
      <c r="W3195" s="168">
        <f t="shared" si="6"/>
        <v>0</v>
      </c>
      <c r="X3195" s="168">
        <f t="shared" si="7"/>
        <v>0</v>
      </c>
      <c r="Y3195" s="168">
        <f t="shared" si="8"/>
        <v>0</v>
      </c>
      <c r="Z3195" s="168">
        <f t="shared" si="9"/>
        <v>0</v>
      </c>
    </row>
    <row r="3196" ht="15.0" customHeight="1">
      <c r="A3196" s="157" t="s">
        <v>3842</v>
      </c>
      <c r="B3196" s="158" t="s">
        <v>27</v>
      </c>
      <c r="C3196" s="158" t="s">
        <v>3843</v>
      </c>
      <c r="D3196" s="159">
        <v>44704.0</v>
      </c>
      <c r="E3196" s="157" t="s">
        <v>731</v>
      </c>
      <c r="F3196" s="160">
        <v>8243.1</v>
      </c>
      <c r="G3196" s="160">
        <v>1318.9</v>
      </c>
      <c r="H3196" s="160">
        <f>F3196+G3196-503.59</f>
        <v>9058.41</v>
      </c>
      <c r="I3196" s="160"/>
      <c r="J3196" s="161"/>
      <c r="K3196" s="160"/>
      <c r="L3196" s="160">
        <f>+'FACP$'!$H3196-'FACP$'!$I3196-'FACP$'!$K3196</f>
        <v>9058.41</v>
      </c>
      <c r="M3196" s="162" t="s">
        <v>151</v>
      </c>
      <c r="N3196" s="162" t="s">
        <v>554</v>
      </c>
      <c r="O3196" s="164">
        <v>44741.0</v>
      </c>
      <c r="P3196" s="164">
        <f t="array" ref="P3196">XLOOKUP('FACP$'!$B3196,'perfil de pagos'!A:A,'perfil de pagos'!B:B)+'FACP$'!$D3196</f>
        <v>44734</v>
      </c>
      <c r="Q3196" s="165">
        <f t="shared" si="2"/>
        <v>0</v>
      </c>
      <c r="R3196" s="167" t="s">
        <v>3844</v>
      </c>
      <c r="S3196" s="167"/>
      <c r="T3196" s="168">
        <f t="shared" si="3"/>
        <v>9058.41</v>
      </c>
      <c r="U3196" s="168">
        <f t="shared" si="4"/>
        <v>0</v>
      </c>
      <c r="V3196" s="168">
        <f t="shared" si="5"/>
        <v>0</v>
      </c>
      <c r="W3196" s="168">
        <f t="shared" si="6"/>
        <v>0</v>
      </c>
      <c r="X3196" s="168">
        <f t="shared" si="7"/>
        <v>0</v>
      </c>
      <c r="Y3196" s="168">
        <f t="shared" si="8"/>
        <v>0</v>
      </c>
      <c r="Z3196" s="168">
        <f t="shared" si="9"/>
        <v>0</v>
      </c>
    </row>
    <row r="3197" ht="15.0" customHeight="1">
      <c r="A3197" s="157" t="s">
        <v>3845</v>
      </c>
      <c r="B3197" s="158" t="s">
        <v>26</v>
      </c>
      <c r="C3197" s="158" t="s">
        <v>3824</v>
      </c>
      <c r="D3197" s="159">
        <v>44705.0</v>
      </c>
      <c r="E3197" s="157" t="s">
        <v>731</v>
      </c>
      <c r="F3197" s="160">
        <v>147366.98</v>
      </c>
      <c r="G3197" s="160">
        <v>23578.72</v>
      </c>
      <c r="H3197" s="160">
        <f t="shared" ref="H3197:H3198" si="93">F3197+G3197</f>
        <v>170945.7</v>
      </c>
      <c r="I3197" s="167">
        <v>50242.7</v>
      </c>
      <c r="J3197" s="161"/>
      <c r="K3197" s="160"/>
      <c r="L3197" s="160">
        <f>+'FACP$'!$H3197-'FACP$'!$I3197-'FACP$'!$K3197</f>
        <v>120703</v>
      </c>
      <c r="M3197" s="162" t="s">
        <v>2386</v>
      </c>
      <c r="N3197" s="162" t="s">
        <v>554</v>
      </c>
      <c r="O3197" s="164">
        <v>45181.0</v>
      </c>
      <c r="P3197" s="164">
        <f t="array" ref="P3197">XLOOKUP('FACP$'!$B3197,'perfil de pagos'!A:A,'perfil de pagos'!B:B)+'FACP$'!$D3197</f>
        <v>44715</v>
      </c>
      <c r="Q3197" s="165">
        <f t="shared" si="2"/>
        <v>0</v>
      </c>
      <c r="R3197" s="220" t="s">
        <v>3846</v>
      </c>
      <c r="S3197" s="167" t="s">
        <v>3847</v>
      </c>
      <c r="T3197" s="168">
        <f t="shared" si="3"/>
        <v>120703</v>
      </c>
      <c r="U3197" s="168">
        <f t="shared" si="4"/>
        <v>0</v>
      </c>
      <c r="V3197" s="168">
        <f t="shared" si="5"/>
        <v>0</v>
      </c>
      <c r="W3197" s="168">
        <f t="shared" si="6"/>
        <v>0</v>
      </c>
      <c r="X3197" s="168">
        <f t="shared" si="7"/>
        <v>0</v>
      </c>
      <c r="Y3197" s="168">
        <f t="shared" si="8"/>
        <v>0</v>
      </c>
      <c r="Z3197" s="168">
        <f t="shared" si="9"/>
        <v>0</v>
      </c>
    </row>
    <row r="3198" ht="15.0" customHeight="1">
      <c r="A3198" s="157" t="s">
        <v>3848</v>
      </c>
      <c r="B3198" s="158" t="s">
        <v>37</v>
      </c>
      <c r="C3198" s="158" t="s">
        <v>3824</v>
      </c>
      <c r="D3198" s="159">
        <v>44705.0</v>
      </c>
      <c r="E3198" s="157" t="s">
        <v>731</v>
      </c>
      <c r="F3198" s="160">
        <v>3070225.55</v>
      </c>
      <c r="G3198" s="160">
        <v>491236.09</v>
      </c>
      <c r="H3198" s="160">
        <f t="shared" si="93"/>
        <v>3561461.64</v>
      </c>
      <c r="I3198" s="160"/>
      <c r="J3198" s="161"/>
      <c r="K3198" s="160"/>
      <c r="L3198" s="160">
        <f>+'FACP$'!$H3198-'FACP$'!$I3198-'FACP$'!$K3198</f>
        <v>3561461.64</v>
      </c>
      <c r="M3198" s="162" t="s">
        <v>116</v>
      </c>
      <c r="N3198" s="162" t="s">
        <v>554</v>
      </c>
      <c r="O3198" s="164">
        <v>44725.0</v>
      </c>
      <c r="P3198" s="164">
        <f t="array" ref="P3198">XLOOKUP('FACP$'!$B3198,'perfil de pagos'!A:A,'perfil de pagos'!B:B)+'FACP$'!$D3198</f>
        <v>44715</v>
      </c>
      <c r="Q3198" s="165">
        <f t="shared" si="2"/>
        <v>0</v>
      </c>
      <c r="R3198" s="167"/>
      <c r="S3198" s="167"/>
      <c r="T3198" s="168">
        <f t="shared" si="3"/>
        <v>3561461.64</v>
      </c>
      <c r="U3198" s="168">
        <f t="shared" si="4"/>
        <v>0</v>
      </c>
      <c r="V3198" s="168">
        <f t="shared" si="5"/>
        <v>0</v>
      </c>
      <c r="W3198" s="168">
        <f t="shared" si="6"/>
        <v>0</v>
      </c>
      <c r="X3198" s="168">
        <f t="shared" si="7"/>
        <v>0</v>
      </c>
      <c r="Y3198" s="168">
        <f t="shared" si="8"/>
        <v>0</v>
      </c>
      <c r="Z3198" s="168">
        <f t="shared" si="9"/>
        <v>0</v>
      </c>
    </row>
    <row r="3199" ht="15.0" customHeight="1">
      <c r="A3199" s="157" t="s">
        <v>3849</v>
      </c>
      <c r="B3199" s="158" t="s">
        <v>38</v>
      </c>
      <c r="C3199" s="158" t="s">
        <v>3824</v>
      </c>
      <c r="D3199" s="159">
        <v>44705.0</v>
      </c>
      <c r="E3199" s="157" t="s">
        <v>731</v>
      </c>
      <c r="F3199" s="160">
        <v>1205622.48</v>
      </c>
      <c r="G3199" s="160">
        <v>192899.6</v>
      </c>
      <c r="H3199" s="160">
        <f>F3199+G3199-19642.16</f>
        <v>1378879.92</v>
      </c>
      <c r="I3199" s="160"/>
      <c r="J3199" s="161"/>
      <c r="K3199" s="160"/>
      <c r="L3199" s="160">
        <f>+'FACP$'!$H3199-'FACP$'!$I3199-'FACP$'!$K3199</f>
        <v>1378879.92</v>
      </c>
      <c r="M3199" s="162" t="s">
        <v>145</v>
      </c>
      <c r="N3199" s="162" t="s">
        <v>554</v>
      </c>
      <c r="O3199" s="164">
        <v>44771.0</v>
      </c>
      <c r="P3199" s="164">
        <f t="array" ref="P3199">XLOOKUP('FACP$'!$B3199,'perfil de pagos'!A:A,'perfil de pagos'!B:B)+'FACP$'!$D3199</f>
        <v>44735</v>
      </c>
      <c r="Q3199" s="165">
        <f t="shared" si="2"/>
        <v>0</v>
      </c>
      <c r="R3199" s="167" t="s">
        <v>3850</v>
      </c>
      <c r="S3199" s="167">
        <v>1508.0</v>
      </c>
      <c r="T3199" s="168">
        <f t="shared" si="3"/>
        <v>1378879.92</v>
      </c>
      <c r="U3199" s="168">
        <f t="shared" si="4"/>
        <v>0</v>
      </c>
      <c r="V3199" s="168">
        <f t="shared" si="5"/>
        <v>0</v>
      </c>
      <c r="W3199" s="168">
        <f t="shared" si="6"/>
        <v>0</v>
      </c>
      <c r="X3199" s="168">
        <f t="shared" si="7"/>
        <v>0</v>
      </c>
      <c r="Y3199" s="168">
        <f t="shared" si="8"/>
        <v>0</v>
      </c>
      <c r="Z3199" s="168">
        <f t="shared" si="9"/>
        <v>0</v>
      </c>
      <c r="AA3199" s="147"/>
      <c r="AB3199" s="147"/>
      <c r="AC3199" s="147"/>
    </row>
    <row r="3200" ht="15.0" customHeight="1">
      <c r="A3200" s="157" t="s">
        <v>3851</v>
      </c>
      <c r="B3200" s="158" t="s">
        <v>18</v>
      </c>
      <c r="C3200" s="158" t="s">
        <v>3824</v>
      </c>
      <c r="D3200" s="159">
        <v>44705.0</v>
      </c>
      <c r="E3200" s="157" t="s">
        <v>731</v>
      </c>
      <c r="F3200" s="160">
        <v>212370.8</v>
      </c>
      <c r="G3200" s="160">
        <v>33979.33</v>
      </c>
      <c r="H3200" s="160">
        <f t="shared" ref="H3200:H3214" si="94">F3200+G3200</f>
        <v>246350.13</v>
      </c>
      <c r="I3200" s="160"/>
      <c r="J3200" s="161"/>
      <c r="K3200" s="160"/>
      <c r="L3200" s="160">
        <f>+'FACP$'!$H3200-'FACP$'!$I3200-'FACP$'!$K3200</f>
        <v>246350.13</v>
      </c>
      <c r="M3200" s="162" t="s">
        <v>586</v>
      </c>
      <c r="N3200" s="162" t="s">
        <v>554</v>
      </c>
      <c r="O3200" s="164">
        <v>44719.0</v>
      </c>
      <c r="P3200" s="164">
        <f t="array" ref="P3200">XLOOKUP('FACP$'!$B3200,'perfil de pagos'!A:A,'perfil de pagos'!B:B)+'FACP$'!$D3200</f>
        <v>44715</v>
      </c>
      <c r="Q3200" s="165">
        <f t="shared" si="2"/>
        <v>0</v>
      </c>
      <c r="R3200" s="167"/>
      <c r="S3200" s="167">
        <v>1411.0</v>
      </c>
      <c r="T3200" s="168">
        <f t="shared" si="3"/>
        <v>246350.13</v>
      </c>
      <c r="U3200" s="168">
        <f t="shared" si="4"/>
        <v>0</v>
      </c>
      <c r="V3200" s="168">
        <f t="shared" si="5"/>
        <v>0</v>
      </c>
      <c r="W3200" s="168">
        <f t="shared" si="6"/>
        <v>0</v>
      </c>
      <c r="X3200" s="168">
        <f t="shared" si="7"/>
        <v>0</v>
      </c>
      <c r="Y3200" s="168">
        <f t="shared" si="8"/>
        <v>0</v>
      </c>
      <c r="Z3200" s="168">
        <f t="shared" si="9"/>
        <v>0</v>
      </c>
    </row>
    <row r="3201" ht="15.0" customHeight="1">
      <c r="A3201" s="157" t="s">
        <v>3852</v>
      </c>
      <c r="B3201" s="158" t="s">
        <v>19</v>
      </c>
      <c r="C3201" s="158" t="s">
        <v>3824</v>
      </c>
      <c r="D3201" s="159">
        <v>44705.0</v>
      </c>
      <c r="E3201" s="157" t="s">
        <v>731</v>
      </c>
      <c r="F3201" s="160">
        <v>240106.51</v>
      </c>
      <c r="G3201" s="160">
        <v>38417.04</v>
      </c>
      <c r="H3201" s="160">
        <f t="shared" si="94"/>
        <v>278523.55</v>
      </c>
      <c r="I3201" s="160"/>
      <c r="J3201" s="161"/>
      <c r="K3201" s="160"/>
      <c r="L3201" s="160">
        <f>+'FACP$'!$H3201-'FACP$'!$I3201-'FACP$'!$K3201</f>
        <v>278523.55</v>
      </c>
      <c r="M3201" s="162" t="s">
        <v>732</v>
      </c>
      <c r="N3201" s="162" t="s">
        <v>554</v>
      </c>
      <c r="O3201" s="164">
        <v>44719.0</v>
      </c>
      <c r="P3201" s="164">
        <f t="array" ref="P3201">XLOOKUP('FACP$'!$B3201,'perfil de pagos'!A:A,'perfil de pagos'!B:B)+'FACP$'!$D3201</f>
        <v>44715</v>
      </c>
      <c r="Q3201" s="165">
        <f t="shared" si="2"/>
        <v>0</v>
      </c>
      <c r="R3201" s="167"/>
      <c r="S3201" s="167">
        <v>1411.0</v>
      </c>
      <c r="T3201" s="168">
        <f t="shared" si="3"/>
        <v>278523.55</v>
      </c>
      <c r="U3201" s="168">
        <f t="shared" si="4"/>
        <v>0</v>
      </c>
      <c r="V3201" s="168">
        <f t="shared" si="5"/>
        <v>0</v>
      </c>
      <c r="W3201" s="168">
        <f t="shared" si="6"/>
        <v>0</v>
      </c>
      <c r="X3201" s="168">
        <f t="shared" si="7"/>
        <v>0</v>
      </c>
      <c r="Y3201" s="168">
        <f t="shared" si="8"/>
        <v>0</v>
      </c>
      <c r="Z3201" s="168">
        <f t="shared" si="9"/>
        <v>0</v>
      </c>
    </row>
    <row r="3202" ht="15.0" customHeight="1">
      <c r="A3202" s="157" t="s">
        <v>3853</v>
      </c>
      <c r="B3202" s="158" t="s">
        <v>22</v>
      </c>
      <c r="C3202" s="158" t="s">
        <v>3824</v>
      </c>
      <c r="D3202" s="159">
        <v>44705.0</v>
      </c>
      <c r="E3202" s="157" t="s">
        <v>731</v>
      </c>
      <c r="F3202" s="160">
        <v>248950.52</v>
      </c>
      <c r="G3202" s="160">
        <v>39832.08</v>
      </c>
      <c r="H3202" s="160">
        <f t="shared" si="94"/>
        <v>288782.6</v>
      </c>
      <c r="I3202" s="160"/>
      <c r="J3202" s="161"/>
      <c r="K3202" s="160"/>
      <c r="L3202" s="160">
        <f>+'FACP$'!$H3202-'FACP$'!$I3202-'FACP$'!$K3202</f>
        <v>288782.6</v>
      </c>
      <c r="M3202" s="162" t="s">
        <v>220</v>
      </c>
      <c r="N3202" s="162" t="s">
        <v>554</v>
      </c>
      <c r="O3202" s="164">
        <v>44748.0</v>
      </c>
      <c r="P3202" s="164">
        <f t="array" ref="P3202">XLOOKUP('FACP$'!$B3202,'perfil de pagos'!A:A,'perfil de pagos'!B:B)+'FACP$'!$D3202</f>
        <v>44715</v>
      </c>
      <c r="Q3202" s="165">
        <f t="shared" si="2"/>
        <v>0</v>
      </c>
      <c r="R3202" s="167"/>
      <c r="S3202" s="167"/>
      <c r="T3202" s="168">
        <f t="shared" si="3"/>
        <v>288782.6</v>
      </c>
      <c r="U3202" s="168">
        <f t="shared" si="4"/>
        <v>0</v>
      </c>
      <c r="V3202" s="168">
        <f t="shared" si="5"/>
        <v>0</v>
      </c>
      <c r="W3202" s="168">
        <f t="shared" si="6"/>
        <v>0</v>
      </c>
      <c r="X3202" s="168">
        <f t="shared" si="7"/>
        <v>0</v>
      </c>
      <c r="Y3202" s="168">
        <f t="shared" si="8"/>
        <v>0</v>
      </c>
      <c r="Z3202" s="168">
        <f t="shared" si="9"/>
        <v>0</v>
      </c>
    </row>
    <row r="3203" ht="15.0" customHeight="1">
      <c r="A3203" s="157" t="s">
        <v>3854</v>
      </c>
      <c r="B3203" s="158" t="s">
        <v>29</v>
      </c>
      <c r="C3203" s="158" t="s">
        <v>3824</v>
      </c>
      <c r="D3203" s="159">
        <v>44705.0</v>
      </c>
      <c r="E3203" s="157" t="s">
        <v>731</v>
      </c>
      <c r="F3203" s="160">
        <v>572446.32</v>
      </c>
      <c r="G3203" s="160">
        <v>91591.41</v>
      </c>
      <c r="H3203" s="160">
        <f t="shared" si="94"/>
        <v>664037.73</v>
      </c>
      <c r="I3203" s="160"/>
      <c r="J3203" s="161"/>
      <c r="K3203" s="160"/>
      <c r="L3203" s="160">
        <f>+'FACP$'!$H3203-'FACP$'!$I3203-'FACP$'!$K3203</f>
        <v>664037.73</v>
      </c>
      <c r="M3203" s="162" t="s">
        <v>130</v>
      </c>
      <c r="N3203" s="162" t="s">
        <v>554</v>
      </c>
      <c r="O3203" s="164">
        <v>44719.0</v>
      </c>
      <c r="P3203" s="164">
        <f t="array" ref="P3203">XLOOKUP('FACP$'!$B3203,'perfil de pagos'!A:A,'perfil de pagos'!B:B)+'FACP$'!$D3203</f>
        <v>44715</v>
      </c>
      <c r="Q3203" s="165">
        <f t="shared" si="2"/>
        <v>0</v>
      </c>
      <c r="R3203" s="167"/>
      <c r="S3203" s="167"/>
      <c r="T3203" s="168">
        <f t="shared" si="3"/>
        <v>664037.73</v>
      </c>
      <c r="U3203" s="168">
        <f t="shared" si="4"/>
        <v>0</v>
      </c>
      <c r="V3203" s="168">
        <f t="shared" si="5"/>
        <v>0</v>
      </c>
      <c r="W3203" s="168">
        <f t="shared" si="6"/>
        <v>0</v>
      </c>
      <c r="X3203" s="168">
        <f t="shared" si="7"/>
        <v>0</v>
      </c>
      <c r="Y3203" s="168">
        <f t="shared" si="8"/>
        <v>0</v>
      </c>
      <c r="Z3203" s="168">
        <f t="shared" si="9"/>
        <v>0</v>
      </c>
    </row>
    <row r="3204" ht="15.0" customHeight="1">
      <c r="A3204" s="157" t="s">
        <v>3855</v>
      </c>
      <c r="B3204" s="158" t="s">
        <v>29</v>
      </c>
      <c r="C3204" s="158" t="s">
        <v>3856</v>
      </c>
      <c r="D3204" s="159">
        <v>44705.0</v>
      </c>
      <c r="E3204" s="157" t="s">
        <v>731</v>
      </c>
      <c r="F3204" s="160">
        <v>369800.92</v>
      </c>
      <c r="G3204" s="160">
        <v>59168.15</v>
      </c>
      <c r="H3204" s="160">
        <f t="shared" si="94"/>
        <v>428969.07</v>
      </c>
      <c r="I3204" s="160"/>
      <c r="J3204" s="161"/>
      <c r="K3204" s="160"/>
      <c r="L3204" s="160">
        <f>+'FACP$'!$H3204-'FACP$'!$I3204-'FACP$'!$K3204</f>
        <v>428969.07</v>
      </c>
      <c r="M3204" s="162" t="s">
        <v>130</v>
      </c>
      <c r="N3204" s="162" t="s">
        <v>554</v>
      </c>
      <c r="O3204" s="164">
        <v>44687.0</v>
      </c>
      <c r="P3204" s="164">
        <f t="array" ref="P3204">XLOOKUP('FACP$'!$B3204,'perfil de pagos'!A:A,'perfil de pagos'!B:B)+'FACP$'!$D3204</f>
        <v>44715</v>
      </c>
      <c r="Q3204" s="165">
        <f t="shared" si="2"/>
        <v>0</v>
      </c>
      <c r="R3204" s="167"/>
      <c r="S3204" s="167"/>
      <c r="T3204" s="168">
        <f t="shared" si="3"/>
        <v>428969.07</v>
      </c>
      <c r="U3204" s="168">
        <f t="shared" si="4"/>
        <v>0</v>
      </c>
      <c r="V3204" s="168">
        <f t="shared" si="5"/>
        <v>0</v>
      </c>
      <c r="W3204" s="168">
        <f t="shared" si="6"/>
        <v>0</v>
      </c>
      <c r="X3204" s="168">
        <f t="shared" si="7"/>
        <v>0</v>
      </c>
      <c r="Y3204" s="168">
        <f t="shared" si="8"/>
        <v>0</v>
      </c>
      <c r="Z3204" s="168">
        <f t="shared" si="9"/>
        <v>0</v>
      </c>
    </row>
    <row r="3205" ht="15.0" customHeight="1">
      <c r="A3205" s="157" t="s">
        <v>3857</v>
      </c>
      <c r="B3205" s="158" t="s">
        <v>16</v>
      </c>
      <c r="C3205" s="158" t="s">
        <v>3824</v>
      </c>
      <c r="D3205" s="159">
        <v>44705.0</v>
      </c>
      <c r="E3205" s="157" t="s">
        <v>731</v>
      </c>
      <c r="F3205" s="160">
        <v>536999.93</v>
      </c>
      <c r="G3205" s="160">
        <v>85919.99</v>
      </c>
      <c r="H3205" s="160">
        <f t="shared" si="94"/>
        <v>622919.92</v>
      </c>
      <c r="I3205" s="160"/>
      <c r="J3205" s="161"/>
      <c r="K3205" s="160"/>
      <c r="L3205" s="160">
        <f>+'FACP$'!$H3205-'FACP$'!$I3205-'FACP$'!$K3205</f>
        <v>622919.92</v>
      </c>
      <c r="M3205" s="162" t="s">
        <v>985</v>
      </c>
      <c r="N3205" s="162" t="s">
        <v>554</v>
      </c>
      <c r="O3205" s="164">
        <v>44725.0</v>
      </c>
      <c r="P3205" s="164">
        <f t="array" ref="P3205">XLOOKUP('FACP$'!$B3205,'perfil de pagos'!A:A,'perfil de pagos'!B:B)+'FACP$'!$D3205</f>
        <v>44715</v>
      </c>
      <c r="Q3205" s="165">
        <f t="shared" si="2"/>
        <v>0</v>
      </c>
      <c r="R3205" s="167"/>
      <c r="S3205" s="167"/>
      <c r="T3205" s="168">
        <f t="shared" si="3"/>
        <v>622919.92</v>
      </c>
      <c r="U3205" s="168">
        <f t="shared" si="4"/>
        <v>0</v>
      </c>
      <c r="V3205" s="168">
        <f t="shared" si="5"/>
        <v>0</v>
      </c>
      <c r="W3205" s="168">
        <f t="shared" si="6"/>
        <v>0</v>
      </c>
      <c r="X3205" s="168">
        <f t="shared" si="7"/>
        <v>0</v>
      </c>
      <c r="Y3205" s="168">
        <f t="shared" si="8"/>
        <v>0</v>
      </c>
      <c r="Z3205" s="168">
        <f t="shared" si="9"/>
        <v>0</v>
      </c>
      <c r="AA3205" s="81"/>
      <c r="AB3205" s="81"/>
      <c r="AC3205" s="81"/>
    </row>
    <row r="3206" ht="15.0" customHeight="1">
      <c r="A3206" s="157" t="s">
        <v>3858</v>
      </c>
      <c r="B3206" s="158" t="s">
        <v>16</v>
      </c>
      <c r="C3206" s="158" t="s">
        <v>3856</v>
      </c>
      <c r="D3206" s="159">
        <v>44705.0</v>
      </c>
      <c r="E3206" s="157" t="s">
        <v>731</v>
      </c>
      <c r="F3206" s="160">
        <v>322148.77</v>
      </c>
      <c r="G3206" s="160">
        <v>51543.8</v>
      </c>
      <c r="H3206" s="160">
        <f t="shared" si="94"/>
        <v>373692.57</v>
      </c>
      <c r="I3206" s="160"/>
      <c r="J3206" s="161"/>
      <c r="K3206" s="160"/>
      <c r="L3206" s="160">
        <f>+'FACP$'!$H3206-'FACP$'!$I3206-'FACP$'!$K3206</f>
        <v>373692.57</v>
      </c>
      <c r="M3206" s="162" t="s">
        <v>985</v>
      </c>
      <c r="N3206" s="162" t="s">
        <v>554</v>
      </c>
      <c r="O3206" s="164">
        <v>44725.0</v>
      </c>
      <c r="P3206" s="164">
        <f t="array" ref="P3206">XLOOKUP('FACP$'!$B3206,'perfil de pagos'!A:A,'perfil de pagos'!B:B)+'FACP$'!$D3206</f>
        <v>44715</v>
      </c>
      <c r="Q3206" s="165">
        <f t="shared" si="2"/>
        <v>0</v>
      </c>
      <c r="R3206" s="167"/>
      <c r="S3206" s="167"/>
      <c r="T3206" s="168">
        <f t="shared" si="3"/>
        <v>373692.57</v>
      </c>
      <c r="U3206" s="168">
        <f t="shared" si="4"/>
        <v>0</v>
      </c>
      <c r="V3206" s="168">
        <f t="shared" si="5"/>
        <v>0</v>
      </c>
      <c r="W3206" s="168">
        <f t="shared" si="6"/>
        <v>0</v>
      </c>
      <c r="X3206" s="168">
        <f t="shared" si="7"/>
        <v>0</v>
      </c>
      <c r="Y3206" s="168">
        <f t="shared" si="8"/>
        <v>0</v>
      </c>
      <c r="Z3206" s="168">
        <f t="shared" si="9"/>
        <v>0</v>
      </c>
    </row>
    <row r="3207" ht="15.0" customHeight="1">
      <c r="A3207" s="157" t="s">
        <v>3859</v>
      </c>
      <c r="B3207" s="158" t="s">
        <v>16</v>
      </c>
      <c r="C3207" s="158" t="s">
        <v>3860</v>
      </c>
      <c r="D3207" s="159">
        <v>44708.0</v>
      </c>
      <c r="E3207" s="157" t="s">
        <v>731</v>
      </c>
      <c r="F3207" s="160">
        <v>30186.39</v>
      </c>
      <c r="G3207" s="160">
        <v>4829.82</v>
      </c>
      <c r="H3207" s="160">
        <f t="shared" si="94"/>
        <v>35016.21</v>
      </c>
      <c r="I3207" s="160"/>
      <c r="J3207" s="161"/>
      <c r="K3207" s="160"/>
      <c r="L3207" s="160">
        <f>+'FACP$'!$H3207-'FACP$'!$I3207-'FACP$'!$K3207</f>
        <v>35016.21</v>
      </c>
      <c r="M3207" s="162" t="s">
        <v>985</v>
      </c>
      <c r="N3207" s="162" t="s">
        <v>554</v>
      </c>
      <c r="O3207" s="164">
        <v>44725.0</v>
      </c>
      <c r="P3207" s="164">
        <f t="array" ref="P3207">XLOOKUP('FACP$'!$B3207,'perfil de pagos'!A:A,'perfil de pagos'!B:B)+'FACP$'!$D3207</f>
        <v>44718</v>
      </c>
      <c r="Q3207" s="165">
        <f t="shared" si="2"/>
        <v>0</v>
      </c>
      <c r="R3207" s="167"/>
      <c r="S3207" s="167"/>
      <c r="T3207" s="168">
        <f t="shared" si="3"/>
        <v>35016.21</v>
      </c>
      <c r="U3207" s="168">
        <f t="shared" si="4"/>
        <v>0</v>
      </c>
      <c r="V3207" s="168">
        <f t="shared" si="5"/>
        <v>0</v>
      </c>
      <c r="W3207" s="168">
        <f t="shared" si="6"/>
        <v>0</v>
      </c>
      <c r="X3207" s="168">
        <f t="shared" si="7"/>
        <v>0</v>
      </c>
      <c r="Y3207" s="168">
        <f t="shared" si="8"/>
        <v>0</v>
      </c>
      <c r="Z3207" s="168">
        <f t="shared" si="9"/>
        <v>0</v>
      </c>
    </row>
    <row r="3208" ht="15.0" customHeight="1">
      <c r="A3208" s="157" t="s">
        <v>3861</v>
      </c>
      <c r="B3208" s="158" t="s">
        <v>18</v>
      </c>
      <c r="C3208" s="158" t="s">
        <v>3862</v>
      </c>
      <c r="D3208" s="159">
        <v>44708.0</v>
      </c>
      <c r="E3208" s="157" t="s">
        <v>731</v>
      </c>
      <c r="F3208" s="160">
        <v>12492.4</v>
      </c>
      <c r="G3208" s="160">
        <v>1998.78</v>
      </c>
      <c r="H3208" s="160">
        <f t="shared" si="94"/>
        <v>14491.18</v>
      </c>
      <c r="I3208" s="160"/>
      <c r="J3208" s="161"/>
      <c r="K3208" s="160"/>
      <c r="L3208" s="160">
        <f>+'FACP$'!$H3208-'FACP$'!$I3208-'FACP$'!$K3208</f>
        <v>14491.18</v>
      </c>
      <c r="M3208" s="162" t="s">
        <v>586</v>
      </c>
      <c r="N3208" s="162" t="s">
        <v>554</v>
      </c>
      <c r="O3208" s="164">
        <v>44719.0</v>
      </c>
      <c r="P3208" s="164">
        <f t="array" ref="P3208">XLOOKUP('FACP$'!$B3208,'perfil de pagos'!A:A,'perfil de pagos'!B:B)+'FACP$'!$D3208</f>
        <v>44718</v>
      </c>
      <c r="Q3208" s="165">
        <f t="shared" si="2"/>
        <v>0</v>
      </c>
      <c r="R3208" s="167"/>
      <c r="S3208" s="167">
        <v>1411.0</v>
      </c>
      <c r="T3208" s="168">
        <f t="shared" si="3"/>
        <v>14491.18</v>
      </c>
      <c r="U3208" s="168">
        <f t="shared" si="4"/>
        <v>0</v>
      </c>
      <c r="V3208" s="168">
        <f t="shared" si="5"/>
        <v>0</v>
      </c>
      <c r="W3208" s="168">
        <f t="shared" si="6"/>
        <v>0</v>
      </c>
      <c r="X3208" s="168">
        <f t="shared" si="7"/>
        <v>0</v>
      </c>
      <c r="Y3208" s="168">
        <f t="shared" si="8"/>
        <v>0</v>
      </c>
      <c r="Z3208" s="168">
        <f t="shared" si="9"/>
        <v>0</v>
      </c>
    </row>
    <row r="3209" ht="15.0" customHeight="1">
      <c r="A3209" s="157" t="s">
        <v>3863</v>
      </c>
      <c r="B3209" s="158" t="s">
        <v>19</v>
      </c>
      <c r="C3209" s="158" t="s">
        <v>3864</v>
      </c>
      <c r="D3209" s="159">
        <v>44708.0</v>
      </c>
      <c r="E3209" s="157" t="s">
        <v>731</v>
      </c>
      <c r="F3209" s="160">
        <v>13761.76</v>
      </c>
      <c r="G3209" s="160">
        <v>2201.88</v>
      </c>
      <c r="H3209" s="160">
        <f t="shared" si="94"/>
        <v>15963.64</v>
      </c>
      <c r="I3209" s="160"/>
      <c r="J3209" s="161"/>
      <c r="K3209" s="160"/>
      <c r="L3209" s="160">
        <f>+'FACP$'!$H3209-'FACP$'!$I3209-'FACP$'!$K3209</f>
        <v>15963.64</v>
      </c>
      <c r="M3209" s="162" t="s">
        <v>732</v>
      </c>
      <c r="N3209" s="162" t="s">
        <v>554</v>
      </c>
      <c r="O3209" s="164">
        <v>44719.0</v>
      </c>
      <c r="P3209" s="164">
        <f t="array" ref="P3209">XLOOKUP('FACP$'!$B3209,'perfil de pagos'!A:A,'perfil de pagos'!B:B)+'FACP$'!$D3209</f>
        <v>44718</v>
      </c>
      <c r="Q3209" s="165">
        <f t="shared" si="2"/>
        <v>0</v>
      </c>
      <c r="R3209" s="167"/>
      <c r="S3209" s="167">
        <v>1411.0</v>
      </c>
      <c r="T3209" s="168">
        <f t="shared" si="3"/>
        <v>15963.64</v>
      </c>
      <c r="U3209" s="168">
        <f t="shared" si="4"/>
        <v>0</v>
      </c>
      <c r="V3209" s="168">
        <f t="shared" si="5"/>
        <v>0</v>
      </c>
      <c r="W3209" s="168">
        <f t="shared" si="6"/>
        <v>0</v>
      </c>
      <c r="X3209" s="168">
        <f t="shared" si="7"/>
        <v>0</v>
      </c>
      <c r="Y3209" s="168">
        <f t="shared" si="8"/>
        <v>0</v>
      </c>
      <c r="Z3209" s="168">
        <f t="shared" si="9"/>
        <v>0</v>
      </c>
    </row>
    <row r="3210" ht="15.0" customHeight="1">
      <c r="A3210" s="157" t="s">
        <v>3865</v>
      </c>
      <c r="B3210" s="158" t="s">
        <v>22</v>
      </c>
      <c r="C3210" s="158" t="s">
        <v>3866</v>
      </c>
      <c r="D3210" s="159">
        <v>44708.0</v>
      </c>
      <c r="E3210" s="157" t="s">
        <v>731</v>
      </c>
      <c r="F3210" s="160">
        <v>13994.26</v>
      </c>
      <c r="G3210" s="160">
        <v>2239.08</v>
      </c>
      <c r="H3210" s="160">
        <f t="shared" si="94"/>
        <v>16233.34</v>
      </c>
      <c r="I3210" s="160"/>
      <c r="J3210" s="161"/>
      <c r="K3210" s="160"/>
      <c r="L3210" s="160">
        <f>+'FACP$'!$H3210-'FACP$'!$I3210-'FACP$'!$K3210</f>
        <v>16233.34</v>
      </c>
      <c r="M3210" s="162" t="s">
        <v>220</v>
      </c>
      <c r="N3210" s="162" t="s">
        <v>554</v>
      </c>
      <c r="O3210" s="164">
        <v>44768.0</v>
      </c>
      <c r="P3210" s="164">
        <f t="array" ref="P3210">XLOOKUP('FACP$'!$B3210,'perfil de pagos'!A:A,'perfil de pagos'!B:B)+'FACP$'!$D3210</f>
        <v>44718</v>
      </c>
      <c r="Q3210" s="165">
        <f t="shared" si="2"/>
        <v>0</v>
      </c>
      <c r="R3210" s="167"/>
      <c r="S3210" s="167">
        <v>1500.0</v>
      </c>
      <c r="T3210" s="168">
        <f t="shared" si="3"/>
        <v>16233.34</v>
      </c>
      <c r="U3210" s="168">
        <f t="shared" si="4"/>
        <v>0</v>
      </c>
      <c r="V3210" s="168">
        <f t="shared" si="5"/>
        <v>0</v>
      </c>
      <c r="W3210" s="168">
        <f t="shared" si="6"/>
        <v>0</v>
      </c>
      <c r="X3210" s="168">
        <f t="shared" si="7"/>
        <v>0</v>
      </c>
      <c r="Y3210" s="168">
        <f t="shared" si="8"/>
        <v>0</v>
      </c>
      <c r="Z3210" s="168">
        <f t="shared" si="9"/>
        <v>0</v>
      </c>
    </row>
    <row r="3211" ht="15.0" customHeight="1">
      <c r="A3211" s="157" t="s">
        <v>3867</v>
      </c>
      <c r="B3211" s="158" t="s">
        <v>26</v>
      </c>
      <c r="C3211" s="158" t="s">
        <v>3868</v>
      </c>
      <c r="D3211" s="159">
        <v>44708.0</v>
      </c>
      <c r="E3211" s="157" t="s">
        <v>731</v>
      </c>
      <c r="F3211" s="160">
        <v>8837.6</v>
      </c>
      <c r="G3211" s="160">
        <v>1414.02</v>
      </c>
      <c r="H3211" s="160">
        <f t="shared" si="94"/>
        <v>10251.62</v>
      </c>
      <c r="I3211" s="160"/>
      <c r="J3211" s="161"/>
      <c r="K3211" s="160"/>
      <c r="L3211" s="160">
        <f>+'FACP$'!$H3211-'FACP$'!$I3211-'FACP$'!$K3211</f>
        <v>10251.62</v>
      </c>
      <c r="M3211" s="162" t="s">
        <v>2386</v>
      </c>
      <c r="N3211" s="162" t="s">
        <v>554</v>
      </c>
      <c r="O3211" s="164">
        <v>45181.0</v>
      </c>
      <c r="P3211" s="164">
        <f t="array" ref="P3211">XLOOKUP('FACP$'!$B3211,'perfil de pagos'!A:A,'perfil de pagos'!B:B)+'FACP$'!$D3211</f>
        <v>44718</v>
      </c>
      <c r="Q3211" s="165">
        <f t="shared" si="2"/>
        <v>0</v>
      </c>
      <c r="R3211" s="167"/>
      <c r="S3211" s="167">
        <v>2443.0</v>
      </c>
      <c r="T3211" s="168">
        <f t="shared" si="3"/>
        <v>10251.62</v>
      </c>
      <c r="U3211" s="168">
        <f t="shared" si="4"/>
        <v>0</v>
      </c>
      <c r="V3211" s="168">
        <f t="shared" si="5"/>
        <v>0</v>
      </c>
      <c r="W3211" s="168">
        <f t="shared" si="6"/>
        <v>0</v>
      </c>
      <c r="X3211" s="168">
        <f t="shared" si="7"/>
        <v>0</v>
      </c>
      <c r="Y3211" s="168">
        <f t="shared" si="8"/>
        <v>0</v>
      </c>
      <c r="Z3211" s="168">
        <f t="shared" si="9"/>
        <v>0</v>
      </c>
    </row>
    <row r="3212" ht="15.0" customHeight="1">
      <c r="A3212" s="157" t="s">
        <v>3869</v>
      </c>
      <c r="B3212" s="158" t="s">
        <v>29</v>
      </c>
      <c r="C3212" s="158" t="s">
        <v>3870</v>
      </c>
      <c r="D3212" s="159">
        <v>44708.0</v>
      </c>
      <c r="E3212" s="157" t="s">
        <v>731</v>
      </c>
      <c r="F3212" s="160">
        <v>38001.38</v>
      </c>
      <c r="G3212" s="160">
        <v>6080.22</v>
      </c>
      <c r="H3212" s="160">
        <f t="shared" si="94"/>
        <v>44081.6</v>
      </c>
      <c r="I3212" s="160"/>
      <c r="J3212" s="161"/>
      <c r="K3212" s="160"/>
      <c r="L3212" s="160">
        <f>+'FACP$'!$H3212-'FACP$'!$I3212-'FACP$'!$K3212</f>
        <v>44081.6</v>
      </c>
      <c r="M3212" s="162" t="s">
        <v>130</v>
      </c>
      <c r="N3212" s="162" t="s">
        <v>554</v>
      </c>
      <c r="O3212" s="164">
        <v>44893.0</v>
      </c>
      <c r="P3212" s="164">
        <f t="array" ref="P3212">XLOOKUP('FACP$'!$B3212,'perfil de pagos'!A:A,'perfil de pagos'!B:B)+'FACP$'!$D3212</f>
        <v>44718</v>
      </c>
      <c r="Q3212" s="165">
        <f t="shared" si="2"/>
        <v>0</v>
      </c>
      <c r="R3212" s="167"/>
      <c r="S3212" s="167">
        <v>1759.0</v>
      </c>
      <c r="T3212" s="168">
        <f t="shared" si="3"/>
        <v>44081.6</v>
      </c>
      <c r="U3212" s="168">
        <f t="shared" si="4"/>
        <v>0</v>
      </c>
      <c r="V3212" s="168">
        <f t="shared" si="5"/>
        <v>0</v>
      </c>
      <c r="W3212" s="168">
        <f t="shared" si="6"/>
        <v>0</v>
      </c>
      <c r="X3212" s="168">
        <f t="shared" si="7"/>
        <v>0</v>
      </c>
      <c r="Y3212" s="168">
        <f t="shared" si="8"/>
        <v>0</v>
      </c>
      <c r="Z3212" s="168">
        <f t="shared" si="9"/>
        <v>0</v>
      </c>
      <c r="AA3212" s="81"/>
      <c r="AB3212" s="81"/>
      <c r="AC3212" s="81"/>
    </row>
    <row r="3213" ht="15.0" customHeight="1">
      <c r="A3213" s="157" t="s">
        <v>3871</v>
      </c>
      <c r="B3213" s="158" t="s">
        <v>37</v>
      </c>
      <c r="C3213" s="158" t="s">
        <v>3872</v>
      </c>
      <c r="D3213" s="159">
        <v>44708.0</v>
      </c>
      <c r="E3213" s="157" t="s">
        <v>731</v>
      </c>
      <c r="F3213" s="160">
        <v>191628.73</v>
      </c>
      <c r="G3213" s="160">
        <v>30660.6</v>
      </c>
      <c r="H3213" s="160">
        <f t="shared" si="94"/>
        <v>222289.33</v>
      </c>
      <c r="I3213" s="160"/>
      <c r="J3213" s="161"/>
      <c r="K3213" s="160"/>
      <c r="L3213" s="160">
        <f>+'FACP$'!$H3213-'FACP$'!$I3213-'FACP$'!$K3213</f>
        <v>222289.33</v>
      </c>
      <c r="M3213" s="162" t="s">
        <v>116</v>
      </c>
      <c r="N3213" s="162" t="s">
        <v>554</v>
      </c>
      <c r="O3213" s="164">
        <v>44701.0</v>
      </c>
      <c r="P3213" s="164">
        <f t="array" ref="P3213">XLOOKUP('FACP$'!$B3213,'perfil de pagos'!A:A,'perfil de pagos'!B:B)+'FACP$'!$D3213</f>
        <v>44718</v>
      </c>
      <c r="Q3213" s="165">
        <f t="shared" si="2"/>
        <v>0</v>
      </c>
      <c r="R3213" s="167"/>
      <c r="S3213" s="167"/>
      <c r="T3213" s="168">
        <f t="shared" si="3"/>
        <v>222289.33</v>
      </c>
      <c r="U3213" s="168">
        <f t="shared" si="4"/>
        <v>0</v>
      </c>
      <c r="V3213" s="168">
        <f t="shared" si="5"/>
        <v>0</v>
      </c>
      <c r="W3213" s="168">
        <f t="shared" si="6"/>
        <v>0</v>
      </c>
      <c r="X3213" s="168">
        <f t="shared" si="7"/>
        <v>0</v>
      </c>
      <c r="Y3213" s="168">
        <f t="shared" si="8"/>
        <v>0</v>
      </c>
      <c r="Z3213" s="168">
        <f t="shared" si="9"/>
        <v>0</v>
      </c>
    </row>
    <row r="3214" ht="15.0" customHeight="1">
      <c r="A3214" s="157" t="s">
        <v>3873</v>
      </c>
      <c r="B3214" s="158" t="s">
        <v>38</v>
      </c>
      <c r="C3214" s="158" t="s">
        <v>3874</v>
      </c>
      <c r="D3214" s="159">
        <v>44708.0</v>
      </c>
      <c r="E3214" s="157" t="s">
        <v>731</v>
      </c>
      <c r="F3214" s="160">
        <v>82971.21</v>
      </c>
      <c r="G3214" s="160">
        <v>13275.39</v>
      </c>
      <c r="H3214" s="160">
        <f t="shared" si="94"/>
        <v>96246.6</v>
      </c>
      <c r="I3214" s="160"/>
      <c r="J3214" s="161"/>
      <c r="K3214" s="160"/>
      <c r="L3214" s="160">
        <f>+'FACP$'!$H3214-'FACP$'!$I3214-'FACP$'!$K3214</f>
        <v>96246.6</v>
      </c>
      <c r="M3214" s="162" t="s">
        <v>145</v>
      </c>
      <c r="N3214" s="162" t="s">
        <v>554</v>
      </c>
      <c r="O3214" s="164">
        <v>44953.0</v>
      </c>
      <c r="P3214" s="164">
        <f t="array" ref="P3214">XLOOKUP('FACP$'!$B3214,'perfil de pagos'!A:A,'perfil de pagos'!B:B)+'FACP$'!$D3214</f>
        <v>44738</v>
      </c>
      <c r="Q3214" s="165">
        <f t="shared" si="2"/>
        <v>0</v>
      </c>
      <c r="R3214" s="167"/>
      <c r="S3214" s="167"/>
      <c r="T3214" s="168">
        <f t="shared" si="3"/>
        <v>96246.6</v>
      </c>
      <c r="U3214" s="168">
        <f t="shared" si="4"/>
        <v>0</v>
      </c>
      <c r="V3214" s="168">
        <f t="shared" si="5"/>
        <v>0</v>
      </c>
      <c r="W3214" s="168">
        <f t="shared" si="6"/>
        <v>0</v>
      </c>
      <c r="X3214" s="168">
        <f t="shared" si="7"/>
        <v>0</v>
      </c>
      <c r="Y3214" s="168">
        <f t="shared" si="8"/>
        <v>0</v>
      </c>
      <c r="Z3214" s="168">
        <f t="shared" si="9"/>
        <v>0</v>
      </c>
    </row>
    <row r="3215" ht="15.0" customHeight="1">
      <c r="A3215" s="157" t="s">
        <v>3875</v>
      </c>
      <c r="B3215" s="158" t="s">
        <v>27</v>
      </c>
      <c r="C3215" s="158" t="s">
        <v>3876</v>
      </c>
      <c r="D3215" s="159">
        <v>44712.0</v>
      </c>
      <c r="E3215" s="157" t="s">
        <v>731</v>
      </c>
      <c r="F3215" s="160">
        <v>662432.88</v>
      </c>
      <c r="G3215" s="160">
        <v>105989.26</v>
      </c>
      <c r="H3215" s="160">
        <f>F3215+G3215-192.57</f>
        <v>768229.57</v>
      </c>
      <c r="I3215" s="160"/>
      <c r="J3215" s="161"/>
      <c r="K3215" s="160"/>
      <c r="L3215" s="160">
        <f>+'FACP$'!$H3215-'FACP$'!$I3215-'FACP$'!$K3215</f>
        <v>768229.57</v>
      </c>
      <c r="M3215" s="162" t="s">
        <v>158</v>
      </c>
      <c r="N3215" s="162" t="s">
        <v>554</v>
      </c>
      <c r="O3215" s="164">
        <v>44760.0</v>
      </c>
      <c r="P3215" s="164">
        <f t="array" ref="P3215">XLOOKUP('FACP$'!$B3215,'perfil de pagos'!A:A,'perfil de pagos'!B:B)+'FACP$'!$D3215</f>
        <v>44742</v>
      </c>
      <c r="Q3215" s="165">
        <f t="shared" si="2"/>
        <v>0</v>
      </c>
      <c r="R3215" s="167" t="s">
        <v>3877</v>
      </c>
      <c r="S3215" s="167">
        <v>1480.0</v>
      </c>
      <c r="T3215" s="168">
        <f t="shared" si="3"/>
        <v>768229.57</v>
      </c>
      <c r="U3215" s="168">
        <f t="shared" si="4"/>
        <v>0</v>
      </c>
      <c r="V3215" s="168">
        <f t="shared" si="5"/>
        <v>0</v>
      </c>
      <c r="W3215" s="168">
        <f t="shared" si="6"/>
        <v>0</v>
      </c>
      <c r="X3215" s="168">
        <f t="shared" si="7"/>
        <v>0</v>
      </c>
      <c r="Y3215" s="168">
        <f t="shared" si="8"/>
        <v>0</v>
      </c>
      <c r="Z3215" s="168">
        <f t="shared" si="9"/>
        <v>0</v>
      </c>
    </row>
    <row r="3216" ht="15.0" customHeight="1">
      <c r="A3216" s="157" t="s">
        <v>3878</v>
      </c>
      <c r="B3216" s="158" t="s">
        <v>27</v>
      </c>
      <c r="C3216" s="158" t="s">
        <v>3879</v>
      </c>
      <c r="D3216" s="159">
        <v>44712.0</v>
      </c>
      <c r="E3216" s="157" t="s">
        <v>731</v>
      </c>
      <c r="F3216" s="160">
        <v>222209.09</v>
      </c>
      <c r="G3216" s="160">
        <v>35553.45</v>
      </c>
      <c r="H3216" s="160">
        <f>F3216+G3216-13947.57</f>
        <v>243814.97</v>
      </c>
      <c r="I3216" s="160"/>
      <c r="J3216" s="161"/>
      <c r="K3216" s="160"/>
      <c r="L3216" s="160">
        <f>+'FACP$'!$H3216-'FACP$'!$I3216-'FACP$'!$K3216</f>
        <v>243814.97</v>
      </c>
      <c r="M3216" s="162" t="s">
        <v>158</v>
      </c>
      <c r="N3216" s="162" t="s">
        <v>554</v>
      </c>
      <c r="O3216" s="164">
        <v>44760.0</v>
      </c>
      <c r="P3216" s="164">
        <f t="array" ref="P3216">XLOOKUP('FACP$'!$B3216,'perfil de pagos'!A:A,'perfil de pagos'!B:B)+'FACP$'!$D3216</f>
        <v>44742</v>
      </c>
      <c r="Q3216" s="165">
        <f t="shared" si="2"/>
        <v>0</v>
      </c>
      <c r="R3216" s="167" t="s">
        <v>3880</v>
      </c>
      <c r="S3216" s="167">
        <v>1480.0</v>
      </c>
      <c r="T3216" s="168">
        <f t="shared" si="3"/>
        <v>243814.97</v>
      </c>
      <c r="U3216" s="168">
        <f t="shared" si="4"/>
        <v>0</v>
      </c>
      <c r="V3216" s="168">
        <f t="shared" si="5"/>
        <v>0</v>
      </c>
      <c r="W3216" s="168">
        <f t="shared" si="6"/>
        <v>0</v>
      </c>
      <c r="X3216" s="168">
        <f t="shared" si="7"/>
        <v>0</v>
      </c>
      <c r="Y3216" s="168">
        <f t="shared" si="8"/>
        <v>0</v>
      </c>
      <c r="Z3216" s="168">
        <f t="shared" si="9"/>
        <v>0</v>
      </c>
    </row>
    <row r="3217" ht="15.0" customHeight="1">
      <c r="A3217" s="157" t="s">
        <v>3881</v>
      </c>
      <c r="B3217" s="158" t="s">
        <v>27</v>
      </c>
      <c r="C3217" s="158" t="s">
        <v>3876</v>
      </c>
      <c r="D3217" s="159">
        <v>44712.0</v>
      </c>
      <c r="E3217" s="157" t="s">
        <v>731</v>
      </c>
      <c r="F3217" s="160">
        <v>513841.94</v>
      </c>
      <c r="G3217" s="160">
        <v>82214.71</v>
      </c>
      <c r="H3217" s="160">
        <f>F3217+G3217-516.28</f>
        <v>595540.37</v>
      </c>
      <c r="I3217" s="160"/>
      <c r="J3217" s="161"/>
      <c r="K3217" s="160"/>
      <c r="L3217" s="160">
        <f>+'FACP$'!$H3217-'FACP$'!$I3217-'FACP$'!$K3217</f>
        <v>595540.37</v>
      </c>
      <c r="M3217" s="162" t="s">
        <v>151</v>
      </c>
      <c r="N3217" s="162" t="s">
        <v>554</v>
      </c>
      <c r="O3217" s="164">
        <v>44760.0</v>
      </c>
      <c r="P3217" s="164">
        <f t="array" ref="P3217">XLOOKUP('FACP$'!$B3217,'perfil de pagos'!A:A,'perfil de pagos'!B:B)+'FACP$'!$D3217</f>
        <v>44742</v>
      </c>
      <c r="Q3217" s="165">
        <f t="shared" si="2"/>
        <v>0</v>
      </c>
      <c r="R3217" s="167" t="s">
        <v>3882</v>
      </c>
      <c r="S3217" s="167">
        <v>1483.0</v>
      </c>
      <c r="T3217" s="168">
        <f t="shared" si="3"/>
        <v>595540.37</v>
      </c>
      <c r="U3217" s="168">
        <f t="shared" si="4"/>
        <v>0</v>
      </c>
      <c r="V3217" s="168">
        <f t="shared" si="5"/>
        <v>0</v>
      </c>
      <c r="W3217" s="168">
        <f t="shared" si="6"/>
        <v>0</v>
      </c>
      <c r="X3217" s="168">
        <f t="shared" si="7"/>
        <v>0</v>
      </c>
      <c r="Y3217" s="168">
        <f t="shared" si="8"/>
        <v>0</v>
      </c>
      <c r="Z3217" s="168">
        <f t="shared" si="9"/>
        <v>0</v>
      </c>
    </row>
    <row r="3218" ht="15.0" customHeight="1">
      <c r="A3218" s="157" t="s">
        <v>3883</v>
      </c>
      <c r="B3218" s="158" t="s">
        <v>27</v>
      </c>
      <c r="C3218" s="158" t="s">
        <v>3879</v>
      </c>
      <c r="D3218" s="159">
        <v>44712.0</v>
      </c>
      <c r="E3218" s="157" t="s">
        <v>731</v>
      </c>
      <c r="F3218" s="160">
        <v>161154.01</v>
      </c>
      <c r="G3218" s="160">
        <v>25784.64</v>
      </c>
      <c r="H3218" s="160">
        <f>F3218+G3218-10123.27</f>
        <v>176815.38</v>
      </c>
      <c r="I3218" s="160"/>
      <c r="J3218" s="161"/>
      <c r="K3218" s="160"/>
      <c r="L3218" s="160">
        <f>+'FACP$'!$H3218-'FACP$'!$I3218-'FACP$'!$K3218</f>
        <v>176815.38</v>
      </c>
      <c r="M3218" s="162" t="s">
        <v>151</v>
      </c>
      <c r="N3218" s="162" t="s">
        <v>554</v>
      </c>
      <c r="O3218" s="164">
        <v>44760.0</v>
      </c>
      <c r="P3218" s="164">
        <f t="array" ref="P3218">XLOOKUP('FACP$'!$B3218,'perfil de pagos'!A:A,'perfil de pagos'!B:B)+'FACP$'!$D3218</f>
        <v>44742</v>
      </c>
      <c r="Q3218" s="165">
        <f t="shared" si="2"/>
        <v>0</v>
      </c>
      <c r="R3218" s="167" t="s">
        <v>3884</v>
      </c>
      <c r="S3218" s="167">
        <v>1483.0</v>
      </c>
      <c r="T3218" s="168">
        <f t="shared" si="3"/>
        <v>176815.38</v>
      </c>
      <c r="U3218" s="168">
        <f t="shared" si="4"/>
        <v>0</v>
      </c>
      <c r="V3218" s="168">
        <f t="shared" si="5"/>
        <v>0</v>
      </c>
      <c r="W3218" s="168">
        <f t="shared" si="6"/>
        <v>0</v>
      </c>
      <c r="X3218" s="168">
        <f t="shared" si="7"/>
        <v>0</v>
      </c>
      <c r="Y3218" s="168">
        <f t="shared" si="8"/>
        <v>0</v>
      </c>
      <c r="Z3218" s="168">
        <f t="shared" si="9"/>
        <v>0</v>
      </c>
    </row>
    <row r="3219" ht="15.0" customHeight="1">
      <c r="A3219" s="157" t="s">
        <v>3885</v>
      </c>
      <c r="B3219" s="158" t="s">
        <v>27</v>
      </c>
      <c r="C3219" s="158" t="s">
        <v>3886</v>
      </c>
      <c r="D3219" s="159">
        <v>44712.0</v>
      </c>
      <c r="E3219" s="157" t="s">
        <v>731</v>
      </c>
      <c r="F3219" s="160">
        <v>29138.48</v>
      </c>
      <c r="G3219" s="160">
        <v>4662.16</v>
      </c>
      <c r="H3219" s="160">
        <f>F3219+G3219</f>
        <v>33800.64</v>
      </c>
      <c r="I3219" s="160"/>
      <c r="J3219" s="161"/>
      <c r="K3219" s="160"/>
      <c r="L3219" s="160">
        <f>+'FACP$'!$H3219-'FACP$'!$I3219-'FACP$'!$K3219</f>
        <v>33800.64</v>
      </c>
      <c r="M3219" s="162" t="s">
        <v>151</v>
      </c>
      <c r="N3219" s="162" t="s">
        <v>554</v>
      </c>
      <c r="O3219" s="164">
        <v>44760.0</v>
      </c>
      <c r="P3219" s="164">
        <f t="array" ref="P3219">XLOOKUP('FACP$'!$B3219,'perfil de pagos'!A:A,'perfil de pagos'!B:B)+'FACP$'!$D3219</f>
        <v>44742</v>
      </c>
      <c r="Q3219" s="165">
        <f t="shared" si="2"/>
        <v>0</v>
      </c>
      <c r="R3219" s="167"/>
      <c r="S3219" s="167">
        <v>1483.0</v>
      </c>
      <c r="T3219" s="168">
        <f t="shared" si="3"/>
        <v>33800.64</v>
      </c>
      <c r="U3219" s="168">
        <f t="shared" si="4"/>
        <v>0</v>
      </c>
      <c r="V3219" s="168">
        <f t="shared" si="5"/>
        <v>0</v>
      </c>
      <c r="W3219" s="168">
        <f t="shared" si="6"/>
        <v>0</v>
      </c>
      <c r="X3219" s="168">
        <f t="shared" si="7"/>
        <v>0</v>
      </c>
      <c r="Y3219" s="168">
        <f t="shared" si="8"/>
        <v>0</v>
      </c>
      <c r="Z3219" s="168">
        <f t="shared" si="9"/>
        <v>0</v>
      </c>
    </row>
    <row r="3220" ht="15.0" customHeight="1">
      <c r="A3220" s="157" t="s">
        <v>3887</v>
      </c>
      <c r="B3220" s="158" t="s">
        <v>27</v>
      </c>
      <c r="C3220" s="158" t="s">
        <v>3888</v>
      </c>
      <c r="D3220" s="159">
        <v>44712.0</v>
      </c>
      <c r="E3220" s="157" t="s">
        <v>731</v>
      </c>
      <c r="F3220" s="160">
        <v>9138.57</v>
      </c>
      <c r="G3220" s="160">
        <v>1462.17</v>
      </c>
      <c r="H3220" s="160">
        <f>F3220+G3220-564.63</f>
        <v>10036.11</v>
      </c>
      <c r="I3220" s="160"/>
      <c r="J3220" s="161"/>
      <c r="K3220" s="160"/>
      <c r="L3220" s="160">
        <f>+'FACP$'!$H3220-'FACP$'!$I3220-'FACP$'!$K3220</f>
        <v>10036.11</v>
      </c>
      <c r="M3220" s="162" t="s">
        <v>151</v>
      </c>
      <c r="N3220" s="162" t="s">
        <v>554</v>
      </c>
      <c r="O3220" s="164">
        <v>44760.0</v>
      </c>
      <c r="P3220" s="164">
        <f t="array" ref="P3220">XLOOKUP('FACP$'!$B3220,'perfil de pagos'!A:A,'perfil de pagos'!B:B)+'FACP$'!$D3220</f>
        <v>44742</v>
      </c>
      <c r="Q3220" s="165">
        <f t="shared" si="2"/>
        <v>0</v>
      </c>
      <c r="R3220" s="167" t="s">
        <v>3889</v>
      </c>
      <c r="S3220" s="167">
        <v>1483.0</v>
      </c>
      <c r="T3220" s="168">
        <f t="shared" si="3"/>
        <v>10036.11</v>
      </c>
      <c r="U3220" s="168">
        <f t="shared" si="4"/>
        <v>0</v>
      </c>
      <c r="V3220" s="168">
        <f t="shared" si="5"/>
        <v>0</v>
      </c>
      <c r="W3220" s="168">
        <f t="shared" si="6"/>
        <v>0</v>
      </c>
      <c r="X3220" s="168">
        <f t="shared" si="7"/>
        <v>0</v>
      </c>
      <c r="Y3220" s="168">
        <f t="shared" si="8"/>
        <v>0</v>
      </c>
      <c r="Z3220" s="168">
        <f t="shared" si="9"/>
        <v>0</v>
      </c>
    </row>
    <row r="3221" ht="15.0" customHeight="1">
      <c r="A3221" s="157" t="s">
        <v>3890</v>
      </c>
      <c r="B3221" s="158" t="s">
        <v>16</v>
      </c>
      <c r="C3221" s="158" t="s">
        <v>3891</v>
      </c>
      <c r="D3221" s="159">
        <v>44719.0</v>
      </c>
      <c r="E3221" s="157" t="s">
        <v>731</v>
      </c>
      <c r="F3221" s="160">
        <v>611729.56</v>
      </c>
      <c r="G3221" s="160">
        <v>97876.73</v>
      </c>
      <c r="H3221" s="160">
        <f>F3221+G3221-29.34</f>
        <v>709576.95</v>
      </c>
      <c r="I3221" s="160"/>
      <c r="J3221" s="161"/>
      <c r="K3221" s="160"/>
      <c r="L3221" s="160">
        <f>+'FACP$'!$H3221-'FACP$'!$I3221-'FACP$'!$K3221</f>
        <v>709576.95</v>
      </c>
      <c r="M3221" s="162" t="s">
        <v>985</v>
      </c>
      <c r="N3221" s="162" t="s">
        <v>554</v>
      </c>
      <c r="O3221" s="164">
        <v>44742.0</v>
      </c>
      <c r="P3221" s="164">
        <f t="array" ref="P3221">XLOOKUP('FACP$'!$B3221,'perfil de pagos'!A:A,'perfil de pagos'!B:B)+'FACP$'!$D3221</f>
        <v>44729</v>
      </c>
      <c r="Q3221" s="165">
        <f t="shared" si="2"/>
        <v>0</v>
      </c>
      <c r="R3221" s="167" t="s">
        <v>3892</v>
      </c>
      <c r="S3221" s="167"/>
      <c r="T3221" s="168">
        <f t="shared" si="3"/>
        <v>709576.95</v>
      </c>
      <c r="U3221" s="168">
        <f t="shared" si="4"/>
        <v>0</v>
      </c>
      <c r="V3221" s="168">
        <f t="shared" si="5"/>
        <v>0</v>
      </c>
      <c r="W3221" s="168">
        <f t="shared" si="6"/>
        <v>0</v>
      </c>
      <c r="X3221" s="168">
        <f t="shared" si="7"/>
        <v>0</v>
      </c>
      <c r="Y3221" s="168">
        <f t="shared" si="8"/>
        <v>0</v>
      </c>
      <c r="Z3221" s="168">
        <f t="shared" si="9"/>
        <v>0</v>
      </c>
    </row>
    <row r="3222" ht="15.0" customHeight="1">
      <c r="A3222" s="157" t="s">
        <v>3893</v>
      </c>
      <c r="B3222" s="158" t="s">
        <v>16</v>
      </c>
      <c r="C3222" s="158" t="s">
        <v>3894</v>
      </c>
      <c r="D3222" s="159">
        <v>44719.0</v>
      </c>
      <c r="E3222" s="157" t="s">
        <v>731</v>
      </c>
      <c r="F3222" s="160">
        <v>331456.97</v>
      </c>
      <c r="G3222" s="160">
        <v>53033.12</v>
      </c>
      <c r="H3222" s="160">
        <f>F3222+G3222</f>
        <v>384490.09</v>
      </c>
      <c r="I3222" s="160"/>
      <c r="J3222" s="161"/>
      <c r="K3222" s="160"/>
      <c r="L3222" s="160">
        <f>+'FACP$'!$H3222-'FACP$'!$I3222-'FACP$'!$K3222</f>
        <v>384490.09</v>
      </c>
      <c r="M3222" s="162" t="s">
        <v>985</v>
      </c>
      <c r="N3222" s="162" t="s">
        <v>554</v>
      </c>
      <c r="O3222" s="164">
        <v>44742.0</v>
      </c>
      <c r="P3222" s="164">
        <f t="array" ref="P3222">XLOOKUP('FACP$'!$B3222,'perfil de pagos'!A:A,'perfil de pagos'!B:B)+'FACP$'!$D3222</f>
        <v>44729</v>
      </c>
      <c r="Q3222" s="165">
        <f t="shared" si="2"/>
        <v>0</v>
      </c>
      <c r="R3222" s="167"/>
      <c r="S3222" s="167"/>
      <c r="T3222" s="168">
        <f t="shared" si="3"/>
        <v>384490.09</v>
      </c>
      <c r="U3222" s="168">
        <f t="shared" si="4"/>
        <v>0</v>
      </c>
      <c r="V3222" s="168">
        <f t="shared" si="5"/>
        <v>0</v>
      </c>
      <c r="W3222" s="168">
        <f t="shared" si="6"/>
        <v>0</v>
      </c>
      <c r="X3222" s="168">
        <f t="shared" si="7"/>
        <v>0</v>
      </c>
      <c r="Y3222" s="168">
        <f t="shared" si="8"/>
        <v>0</v>
      </c>
      <c r="Z3222" s="168">
        <f t="shared" si="9"/>
        <v>0</v>
      </c>
    </row>
    <row r="3223" ht="15.0" customHeight="1">
      <c r="A3223" s="157" t="s">
        <v>3895</v>
      </c>
      <c r="B3223" s="158" t="s">
        <v>18</v>
      </c>
      <c r="C3223" s="158" t="s">
        <v>3896</v>
      </c>
      <c r="D3223" s="159">
        <v>44719.0</v>
      </c>
      <c r="E3223" s="157" t="s">
        <v>731</v>
      </c>
      <c r="F3223" s="160">
        <v>299265.54</v>
      </c>
      <c r="G3223" s="160">
        <v>47882.49</v>
      </c>
      <c r="H3223" s="160">
        <f>F3223+G3223-29.92</f>
        <v>347118.11</v>
      </c>
      <c r="I3223" s="160"/>
      <c r="J3223" s="161"/>
      <c r="K3223" s="160"/>
      <c r="L3223" s="160">
        <f>+'FACP$'!$H3223-'FACP$'!$I3223-'FACP$'!$K3223</f>
        <v>347118.11</v>
      </c>
      <c r="M3223" s="162" t="s">
        <v>586</v>
      </c>
      <c r="N3223" s="162" t="s">
        <v>554</v>
      </c>
      <c r="O3223" s="164">
        <v>44735.0</v>
      </c>
      <c r="P3223" s="164">
        <f t="array" ref="P3223">XLOOKUP('FACP$'!$B3223,'perfil de pagos'!A:A,'perfil de pagos'!B:B)+'FACP$'!$D3223</f>
        <v>44729</v>
      </c>
      <c r="Q3223" s="165">
        <f t="shared" si="2"/>
        <v>0</v>
      </c>
      <c r="R3223" s="167" t="s">
        <v>3897</v>
      </c>
      <c r="S3223" s="167"/>
      <c r="T3223" s="168">
        <f t="shared" si="3"/>
        <v>347118.11</v>
      </c>
      <c r="U3223" s="168">
        <f t="shared" si="4"/>
        <v>0</v>
      </c>
      <c r="V3223" s="168">
        <f t="shared" si="5"/>
        <v>0</v>
      </c>
      <c r="W3223" s="168">
        <f t="shared" si="6"/>
        <v>0</v>
      </c>
      <c r="X3223" s="168">
        <f t="shared" si="7"/>
        <v>0</v>
      </c>
      <c r="Y3223" s="168">
        <f t="shared" si="8"/>
        <v>0</v>
      </c>
      <c r="Z3223" s="168">
        <f t="shared" si="9"/>
        <v>0</v>
      </c>
    </row>
    <row r="3224" ht="15.0" customHeight="1">
      <c r="A3224" s="157" t="s">
        <v>3898</v>
      </c>
      <c r="B3224" s="158" t="s">
        <v>19</v>
      </c>
      <c r="C3224" s="158" t="s">
        <v>3896</v>
      </c>
      <c r="D3224" s="159">
        <v>44719.0</v>
      </c>
      <c r="E3224" s="157" t="s">
        <v>731</v>
      </c>
      <c r="F3224" s="160">
        <v>327724.01</v>
      </c>
      <c r="G3224" s="160">
        <v>52435.84</v>
      </c>
      <c r="H3224" s="160">
        <f>F3224+G3224-17.74</f>
        <v>380142.11</v>
      </c>
      <c r="I3224" s="160"/>
      <c r="J3224" s="161"/>
      <c r="K3224" s="160"/>
      <c r="L3224" s="160">
        <f>+'FACP$'!$H3224-'FACP$'!$I3224-'FACP$'!$K3224</f>
        <v>380142.11</v>
      </c>
      <c r="M3224" s="162" t="s">
        <v>732</v>
      </c>
      <c r="N3224" s="162" t="s">
        <v>554</v>
      </c>
      <c r="O3224" s="164">
        <v>44735.0</v>
      </c>
      <c r="P3224" s="164">
        <f t="array" ref="P3224">XLOOKUP('FACP$'!$B3224,'perfil de pagos'!A:A,'perfil de pagos'!B:B)+'FACP$'!$D3224</f>
        <v>44729</v>
      </c>
      <c r="Q3224" s="165">
        <f t="shared" si="2"/>
        <v>0</v>
      </c>
      <c r="R3224" s="167" t="s">
        <v>3899</v>
      </c>
      <c r="S3224" s="167"/>
      <c r="T3224" s="168">
        <f t="shared" si="3"/>
        <v>380142.11</v>
      </c>
      <c r="U3224" s="168">
        <f t="shared" si="4"/>
        <v>0</v>
      </c>
      <c r="V3224" s="168">
        <f t="shared" si="5"/>
        <v>0</v>
      </c>
      <c r="W3224" s="168">
        <f t="shared" si="6"/>
        <v>0</v>
      </c>
      <c r="X3224" s="168">
        <f t="shared" si="7"/>
        <v>0</v>
      </c>
      <c r="Y3224" s="168">
        <f t="shared" si="8"/>
        <v>0</v>
      </c>
      <c r="Z3224" s="168">
        <f t="shared" si="9"/>
        <v>0</v>
      </c>
    </row>
    <row r="3225" ht="15.0" customHeight="1">
      <c r="A3225" s="157" t="s">
        <v>3900</v>
      </c>
      <c r="B3225" s="158" t="s">
        <v>22</v>
      </c>
      <c r="C3225" s="158" t="s">
        <v>3896</v>
      </c>
      <c r="D3225" s="159">
        <v>44719.0</v>
      </c>
      <c r="E3225" s="157" t="s">
        <v>731</v>
      </c>
      <c r="F3225" s="160">
        <v>402686.62</v>
      </c>
      <c r="G3225" s="160">
        <v>64429.86</v>
      </c>
      <c r="H3225" s="160">
        <f>F3225+G3225-13.24</f>
        <v>467103.24</v>
      </c>
      <c r="I3225" s="160"/>
      <c r="J3225" s="161"/>
      <c r="K3225" s="160"/>
      <c r="L3225" s="160">
        <f>+'FACP$'!$H3225-'FACP$'!$I3225-'FACP$'!$K3225</f>
        <v>467103.24</v>
      </c>
      <c r="M3225" s="162" t="s">
        <v>220</v>
      </c>
      <c r="N3225" s="162" t="s">
        <v>554</v>
      </c>
      <c r="O3225" s="164">
        <v>44748.0</v>
      </c>
      <c r="P3225" s="164">
        <f t="array" ref="P3225">XLOOKUP('FACP$'!$B3225,'perfil de pagos'!A:A,'perfil de pagos'!B:B)+'FACP$'!$D3225</f>
        <v>44729</v>
      </c>
      <c r="Q3225" s="165">
        <f t="shared" si="2"/>
        <v>0</v>
      </c>
      <c r="R3225" s="167" t="s">
        <v>3901</v>
      </c>
      <c r="S3225" s="167"/>
      <c r="T3225" s="168">
        <f t="shared" si="3"/>
        <v>467103.24</v>
      </c>
      <c r="U3225" s="168">
        <f t="shared" si="4"/>
        <v>0</v>
      </c>
      <c r="V3225" s="168">
        <f t="shared" si="5"/>
        <v>0</v>
      </c>
      <c r="W3225" s="168">
        <f t="shared" si="6"/>
        <v>0</v>
      </c>
      <c r="X3225" s="168">
        <f t="shared" si="7"/>
        <v>0</v>
      </c>
      <c r="Y3225" s="168">
        <f t="shared" si="8"/>
        <v>0</v>
      </c>
      <c r="Z3225" s="168">
        <f t="shared" si="9"/>
        <v>0</v>
      </c>
    </row>
    <row r="3226" ht="15.0" customHeight="1">
      <c r="A3226" s="157" t="s">
        <v>3902</v>
      </c>
      <c r="B3226" s="209" t="s">
        <v>26</v>
      </c>
      <c r="C3226" s="209" t="s">
        <v>3896</v>
      </c>
      <c r="D3226" s="186">
        <v>44719.0</v>
      </c>
      <c r="E3226" s="210" t="s">
        <v>731</v>
      </c>
      <c r="F3226" s="211">
        <v>170471.21</v>
      </c>
      <c r="G3226" s="211">
        <v>27275.39</v>
      </c>
      <c r="H3226" s="160">
        <f>F3226+G3226</f>
        <v>197746.6</v>
      </c>
      <c r="I3226" s="211"/>
      <c r="J3226" s="212"/>
      <c r="K3226" s="211"/>
      <c r="L3226" s="211">
        <f>+'FACP$'!$H3226-'FACP$'!$I3226-'FACP$'!$K3226</f>
        <v>197746.6</v>
      </c>
      <c r="M3226" s="227" t="s">
        <v>2386</v>
      </c>
      <c r="N3226" s="227" t="s">
        <v>127</v>
      </c>
      <c r="O3226" s="245"/>
      <c r="P3226" s="164">
        <f t="array" ref="P3226">XLOOKUP('FACP$'!$B3226,'perfil de pagos'!A:A,'perfil de pagos'!B:B)+'FACP$'!$D3226</f>
        <v>44729</v>
      </c>
      <c r="Q3226" s="246">
        <f t="shared" si="2"/>
        <v>0</v>
      </c>
      <c r="R3226" s="223"/>
      <c r="S3226" s="223"/>
      <c r="T3226" s="168">
        <f t="shared" si="3"/>
        <v>197746.6</v>
      </c>
      <c r="U3226" s="168">
        <f t="shared" si="4"/>
        <v>0</v>
      </c>
      <c r="V3226" s="168">
        <f t="shared" si="5"/>
        <v>0</v>
      </c>
      <c r="W3226" s="168">
        <f t="shared" si="6"/>
        <v>0</v>
      </c>
      <c r="X3226" s="168">
        <f t="shared" si="7"/>
        <v>0</v>
      </c>
      <c r="Y3226" s="168">
        <f t="shared" si="8"/>
        <v>0</v>
      </c>
      <c r="Z3226" s="168">
        <f t="shared" si="9"/>
        <v>0</v>
      </c>
    </row>
    <row r="3227" ht="15.0" customHeight="1">
      <c r="A3227" s="157" t="s">
        <v>3903</v>
      </c>
      <c r="B3227" s="158" t="s">
        <v>29</v>
      </c>
      <c r="C3227" s="158" t="s">
        <v>3896</v>
      </c>
      <c r="D3227" s="159">
        <v>44719.0</v>
      </c>
      <c r="E3227" s="157" t="s">
        <v>731</v>
      </c>
      <c r="F3227" s="160">
        <v>751429.92</v>
      </c>
      <c r="G3227" s="160">
        <v>120228.79</v>
      </c>
      <c r="H3227" s="160">
        <f>F3227+G3227-160.92</f>
        <v>871497.79</v>
      </c>
      <c r="I3227" s="160"/>
      <c r="J3227" s="161"/>
      <c r="K3227" s="160"/>
      <c r="L3227" s="160">
        <f>+'FACP$'!$H3227-'FACP$'!$I3227-'FACP$'!$K3227</f>
        <v>871497.79</v>
      </c>
      <c r="M3227" s="162" t="s">
        <v>130</v>
      </c>
      <c r="N3227" s="162" t="s">
        <v>554</v>
      </c>
      <c r="O3227" s="164">
        <v>44754.0</v>
      </c>
      <c r="P3227" s="164">
        <f t="array" ref="P3227">XLOOKUP('FACP$'!$B3227,'perfil de pagos'!A:A,'perfil de pagos'!B:B)+'FACP$'!$D3227</f>
        <v>44729</v>
      </c>
      <c r="Q3227" s="165">
        <f t="shared" si="2"/>
        <v>0</v>
      </c>
      <c r="R3227" s="220" t="s">
        <v>3904</v>
      </c>
      <c r="S3227" s="167"/>
      <c r="T3227" s="168">
        <f t="shared" si="3"/>
        <v>871497.79</v>
      </c>
      <c r="U3227" s="168">
        <f t="shared" si="4"/>
        <v>0</v>
      </c>
      <c r="V3227" s="168">
        <f t="shared" si="5"/>
        <v>0</v>
      </c>
      <c r="W3227" s="168">
        <f t="shared" si="6"/>
        <v>0</v>
      </c>
      <c r="X3227" s="168">
        <f t="shared" si="7"/>
        <v>0</v>
      </c>
      <c r="Y3227" s="168">
        <f t="shared" si="8"/>
        <v>0</v>
      </c>
      <c r="Z3227" s="168">
        <f t="shared" si="9"/>
        <v>0</v>
      </c>
    </row>
    <row r="3228" ht="15.0" customHeight="1">
      <c r="A3228" s="157" t="s">
        <v>3905</v>
      </c>
      <c r="B3228" s="158" t="s">
        <v>29</v>
      </c>
      <c r="C3228" s="158" t="s">
        <v>3894</v>
      </c>
      <c r="D3228" s="159">
        <v>44719.0</v>
      </c>
      <c r="E3228" s="157" t="s">
        <v>731</v>
      </c>
      <c r="F3228" s="160">
        <v>401161.01</v>
      </c>
      <c r="G3228" s="160">
        <v>64185.76</v>
      </c>
      <c r="H3228" s="160">
        <f>F3228+G3228</f>
        <v>465346.77</v>
      </c>
      <c r="I3228" s="160"/>
      <c r="J3228" s="161"/>
      <c r="K3228" s="160"/>
      <c r="L3228" s="160">
        <f>+'FACP$'!$H3228-'FACP$'!$I3228-'FACP$'!$K3228</f>
        <v>465346.77</v>
      </c>
      <c r="M3228" s="162" t="s">
        <v>130</v>
      </c>
      <c r="N3228" s="162" t="s">
        <v>554</v>
      </c>
      <c r="O3228" s="164">
        <v>44732.0</v>
      </c>
      <c r="P3228" s="164">
        <f t="array" ref="P3228">XLOOKUP('FACP$'!$B3228,'perfil de pagos'!A:A,'perfil de pagos'!B:B)+'FACP$'!$D3228</f>
        <v>44729</v>
      </c>
      <c r="Q3228" s="165">
        <f t="shared" si="2"/>
        <v>0</v>
      </c>
      <c r="R3228" s="167"/>
      <c r="S3228" s="167"/>
      <c r="T3228" s="168">
        <f t="shared" si="3"/>
        <v>465346.77</v>
      </c>
      <c r="U3228" s="168">
        <f t="shared" si="4"/>
        <v>0</v>
      </c>
      <c r="V3228" s="168">
        <f t="shared" si="5"/>
        <v>0</v>
      </c>
      <c r="W3228" s="168">
        <f t="shared" si="6"/>
        <v>0</v>
      </c>
      <c r="X3228" s="168">
        <f t="shared" si="7"/>
        <v>0</v>
      </c>
      <c r="Y3228" s="168">
        <f t="shared" si="8"/>
        <v>0</v>
      </c>
      <c r="Z3228" s="168">
        <f t="shared" si="9"/>
        <v>0</v>
      </c>
    </row>
    <row r="3229" ht="15.0" customHeight="1">
      <c r="A3229" s="157" t="s">
        <v>3906</v>
      </c>
      <c r="B3229" s="158" t="s">
        <v>37</v>
      </c>
      <c r="C3229" s="158" t="s">
        <v>3896</v>
      </c>
      <c r="D3229" s="159">
        <v>44719.0</v>
      </c>
      <c r="E3229" s="157" t="s">
        <v>731</v>
      </c>
      <c r="F3229" s="160">
        <v>4282434.7</v>
      </c>
      <c r="G3229" s="160">
        <v>685189.55</v>
      </c>
      <c r="H3229" s="160">
        <f>F3229+G3229-665.2</f>
        <v>4966959.05</v>
      </c>
      <c r="I3229" s="160"/>
      <c r="J3229" s="161"/>
      <c r="K3229" s="160"/>
      <c r="L3229" s="160">
        <f>+'FACP$'!$H3229-'FACP$'!$I3229-'FACP$'!$K3229</f>
        <v>4966959.05</v>
      </c>
      <c r="M3229" s="162" t="s">
        <v>116</v>
      </c>
      <c r="N3229" s="162" t="s">
        <v>554</v>
      </c>
      <c r="O3229" s="164">
        <v>44701.0</v>
      </c>
      <c r="P3229" s="164">
        <f t="array" ref="P3229">XLOOKUP('FACP$'!$B3229,'perfil de pagos'!A:A,'perfil de pagos'!B:B)+'FACP$'!$D3229</f>
        <v>44729</v>
      </c>
      <c r="Q3229" s="165">
        <f t="shared" si="2"/>
        <v>0</v>
      </c>
      <c r="R3229" s="167" t="s">
        <v>3907</v>
      </c>
      <c r="S3229" s="167"/>
      <c r="T3229" s="168">
        <f t="shared" si="3"/>
        <v>4966959.05</v>
      </c>
      <c r="U3229" s="168">
        <f t="shared" si="4"/>
        <v>0</v>
      </c>
      <c r="V3229" s="168">
        <f t="shared" si="5"/>
        <v>0</v>
      </c>
      <c r="W3229" s="168">
        <f t="shared" si="6"/>
        <v>0</v>
      </c>
      <c r="X3229" s="168">
        <f t="shared" si="7"/>
        <v>0</v>
      </c>
      <c r="Y3229" s="168">
        <f t="shared" si="8"/>
        <v>0</v>
      </c>
      <c r="Z3229" s="168">
        <f t="shared" si="9"/>
        <v>0</v>
      </c>
    </row>
    <row r="3230" ht="15.0" customHeight="1">
      <c r="A3230" s="157" t="s">
        <v>3908</v>
      </c>
      <c r="B3230" s="158" t="s">
        <v>35</v>
      </c>
      <c r="C3230" s="158" t="s">
        <v>3896</v>
      </c>
      <c r="D3230" s="159">
        <v>44719.0</v>
      </c>
      <c r="E3230" s="157" t="s">
        <v>731</v>
      </c>
      <c r="F3230" s="160">
        <v>196133.08</v>
      </c>
      <c r="G3230" s="160">
        <v>31381.29</v>
      </c>
      <c r="H3230" s="160">
        <f>F3230+G3230-13.94</f>
        <v>227500.43</v>
      </c>
      <c r="I3230" s="160"/>
      <c r="J3230" s="161"/>
      <c r="K3230" s="160"/>
      <c r="L3230" s="160">
        <f>+'FACP$'!$H3230-'FACP$'!$I3230-'FACP$'!$K3230</f>
        <v>227500.43</v>
      </c>
      <c r="M3230" s="162" t="s">
        <v>276</v>
      </c>
      <c r="N3230" s="162" t="s">
        <v>554</v>
      </c>
      <c r="O3230" s="164">
        <v>44736.0</v>
      </c>
      <c r="P3230" s="164">
        <f t="array" ref="P3230">XLOOKUP('FACP$'!$B3230,'perfil de pagos'!A:A,'perfil de pagos'!B:B)+'FACP$'!$D3230</f>
        <v>44729</v>
      </c>
      <c r="Q3230" s="165">
        <f t="shared" si="2"/>
        <v>0</v>
      </c>
      <c r="R3230" s="167" t="s">
        <v>3909</v>
      </c>
      <c r="S3230" s="167"/>
      <c r="T3230" s="168">
        <f t="shared" si="3"/>
        <v>227500.43</v>
      </c>
      <c r="U3230" s="168">
        <f t="shared" si="4"/>
        <v>0</v>
      </c>
      <c r="V3230" s="168">
        <f t="shared" si="5"/>
        <v>0</v>
      </c>
      <c r="W3230" s="168">
        <f t="shared" si="6"/>
        <v>0</v>
      </c>
      <c r="X3230" s="168">
        <f t="shared" si="7"/>
        <v>0</v>
      </c>
      <c r="Y3230" s="168">
        <f t="shared" si="8"/>
        <v>0</v>
      </c>
      <c r="Z3230" s="168">
        <f t="shared" si="9"/>
        <v>0</v>
      </c>
    </row>
    <row r="3231" ht="15.0" customHeight="1">
      <c r="A3231" s="157" t="s">
        <v>3910</v>
      </c>
      <c r="B3231" s="158" t="s">
        <v>36</v>
      </c>
      <c r="C3231" s="158" t="s">
        <v>3896</v>
      </c>
      <c r="D3231" s="159">
        <v>44719.0</v>
      </c>
      <c r="E3231" s="157" t="s">
        <v>731</v>
      </c>
      <c r="F3231" s="160">
        <v>189159.15</v>
      </c>
      <c r="G3231" s="160">
        <v>30265.46</v>
      </c>
      <c r="H3231" s="160">
        <f>F3231+G3231-3.32</f>
        <v>219421.29</v>
      </c>
      <c r="I3231" s="160"/>
      <c r="J3231" s="161"/>
      <c r="K3231" s="160"/>
      <c r="L3231" s="160">
        <f>+'FACP$'!$H3231-'FACP$'!$I3231-'FACP$'!$K3231</f>
        <v>219421.29</v>
      </c>
      <c r="M3231" s="162" t="s">
        <v>278</v>
      </c>
      <c r="N3231" s="162" t="s">
        <v>554</v>
      </c>
      <c r="O3231" s="164">
        <v>44740.0</v>
      </c>
      <c r="P3231" s="164">
        <f t="array" ref="P3231">XLOOKUP('FACP$'!$B3231,'perfil de pagos'!A:A,'perfil de pagos'!B:B)+'FACP$'!$D3231</f>
        <v>44729</v>
      </c>
      <c r="Q3231" s="165">
        <f t="shared" si="2"/>
        <v>0</v>
      </c>
      <c r="R3231" s="220" t="s">
        <v>3911</v>
      </c>
      <c r="S3231" s="167"/>
      <c r="T3231" s="168">
        <f t="shared" si="3"/>
        <v>219421.29</v>
      </c>
      <c r="U3231" s="168">
        <f t="shared" si="4"/>
        <v>0</v>
      </c>
      <c r="V3231" s="168">
        <f t="shared" si="5"/>
        <v>0</v>
      </c>
      <c r="W3231" s="168">
        <f t="shared" si="6"/>
        <v>0</v>
      </c>
      <c r="X3231" s="168">
        <f t="shared" si="7"/>
        <v>0</v>
      </c>
      <c r="Y3231" s="168">
        <f t="shared" si="8"/>
        <v>0</v>
      </c>
      <c r="Z3231" s="168">
        <f t="shared" si="9"/>
        <v>0</v>
      </c>
    </row>
    <row r="3232" ht="15.0" customHeight="1">
      <c r="A3232" s="157" t="s">
        <v>3912</v>
      </c>
      <c r="B3232" s="158" t="s">
        <v>41</v>
      </c>
      <c r="C3232" s="158" t="s">
        <v>3896</v>
      </c>
      <c r="D3232" s="159">
        <v>44719.0</v>
      </c>
      <c r="E3232" s="157" t="s">
        <v>731</v>
      </c>
      <c r="F3232" s="160">
        <v>468527.23</v>
      </c>
      <c r="G3232" s="160">
        <v>74964.36</v>
      </c>
      <c r="H3232" s="160">
        <f>F3232+G3232-17.84</f>
        <v>543473.75</v>
      </c>
      <c r="I3232" s="160"/>
      <c r="J3232" s="161"/>
      <c r="K3232" s="160"/>
      <c r="L3232" s="160">
        <f>+'FACP$'!$H3232-'FACP$'!$I3232-'FACP$'!$K3232</f>
        <v>543473.75</v>
      </c>
      <c r="M3232" s="162" t="s">
        <v>121</v>
      </c>
      <c r="N3232" s="162" t="s">
        <v>554</v>
      </c>
      <c r="O3232" s="164">
        <v>44775.0</v>
      </c>
      <c r="P3232" s="164">
        <f t="array" ref="P3232">XLOOKUP('FACP$'!$B3232,'perfil de pagos'!A:A,'perfil de pagos'!B:B)+'FACP$'!$D3232</f>
        <v>44729</v>
      </c>
      <c r="Q3232" s="165">
        <f t="shared" si="2"/>
        <v>0</v>
      </c>
      <c r="R3232" s="167" t="s">
        <v>3913</v>
      </c>
      <c r="S3232" s="167">
        <v>1515.0</v>
      </c>
      <c r="T3232" s="168">
        <f t="shared" si="3"/>
        <v>543473.75</v>
      </c>
      <c r="U3232" s="168">
        <f t="shared" si="4"/>
        <v>0</v>
      </c>
      <c r="V3232" s="168">
        <f t="shared" si="5"/>
        <v>0</v>
      </c>
      <c r="W3232" s="168">
        <f t="shared" si="6"/>
        <v>0</v>
      </c>
      <c r="X3232" s="168">
        <f t="shared" si="7"/>
        <v>0</v>
      </c>
      <c r="Y3232" s="168">
        <f t="shared" si="8"/>
        <v>0</v>
      </c>
      <c r="Z3232" s="168">
        <f t="shared" si="9"/>
        <v>0</v>
      </c>
    </row>
    <row r="3233" ht="15.0" customHeight="1">
      <c r="A3233" s="157" t="s">
        <v>3914</v>
      </c>
      <c r="B3233" s="158" t="s">
        <v>43</v>
      </c>
      <c r="C3233" s="158" t="s">
        <v>3896</v>
      </c>
      <c r="D3233" s="159">
        <v>44719.0</v>
      </c>
      <c r="E3233" s="157" t="s">
        <v>731</v>
      </c>
      <c r="F3233" s="160">
        <v>714283.33</v>
      </c>
      <c r="G3233" s="160">
        <v>114285.33</v>
      </c>
      <c r="H3233" s="160">
        <f>F3233+G3233-47.46</f>
        <v>828521.2</v>
      </c>
      <c r="I3233" s="160"/>
      <c r="J3233" s="161"/>
      <c r="K3233" s="160"/>
      <c r="L3233" s="160">
        <f>+'FACP$'!$H3233-'FACP$'!$I3233-'FACP$'!$K3233</f>
        <v>828521.2</v>
      </c>
      <c r="M3233" s="162" t="s">
        <v>43</v>
      </c>
      <c r="N3233" s="162" t="s">
        <v>554</v>
      </c>
      <c r="O3233" s="164">
        <v>44771.0</v>
      </c>
      <c r="P3233" s="164">
        <f t="array" ref="P3233">XLOOKUP('FACP$'!$B3233,'perfil de pagos'!A:A,'perfil de pagos'!B:B)+'FACP$'!$D3233</f>
        <v>44744</v>
      </c>
      <c r="Q3233" s="165">
        <f t="shared" si="2"/>
        <v>0</v>
      </c>
      <c r="R3233" s="167" t="s">
        <v>3915</v>
      </c>
      <c r="S3233" s="167">
        <v>1504.0</v>
      </c>
      <c r="T3233" s="168">
        <f t="shared" si="3"/>
        <v>828521.2</v>
      </c>
      <c r="U3233" s="168">
        <f t="shared" si="4"/>
        <v>0</v>
      </c>
      <c r="V3233" s="168">
        <f t="shared" si="5"/>
        <v>0</v>
      </c>
      <c r="W3233" s="168">
        <f t="shared" si="6"/>
        <v>0</v>
      </c>
      <c r="X3233" s="168">
        <f t="shared" si="7"/>
        <v>0</v>
      </c>
      <c r="Y3233" s="168">
        <f t="shared" si="8"/>
        <v>0</v>
      </c>
      <c r="Z3233" s="168">
        <f t="shared" si="9"/>
        <v>0</v>
      </c>
    </row>
    <row r="3234" ht="15.0" customHeight="1">
      <c r="A3234" s="157" t="s">
        <v>3916</v>
      </c>
      <c r="B3234" s="158" t="s">
        <v>27</v>
      </c>
      <c r="C3234" s="158" t="s">
        <v>3917</v>
      </c>
      <c r="D3234" s="159">
        <v>44719.0</v>
      </c>
      <c r="E3234" s="157" t="s">
        <v>731</v>
      </c>
      <c r="F3234" s="160">
        <v>5410.35</v>
      </c>
      <c r="G3234" s="160">
        <v>865.66</v>
      </c>
      <c r="H3234" s="160">
        <f t="shared" ref="H3234:H3241" si="95">F3234+G3234</f>
        <v>6276.01</v>
      </c>
      <c r="I3234" s="160"/>
      <c r="J3234" s="161"/>
      <c r="K3234" s="160"/>
      <c r="L3234" s="160">
        <f>+'FACP$'!$H3234-'FACP$'!$I3234-'FACP$'!$K3234</f>
        <v>6276.01</v>
      </c>
      <c r="M3234" s="162" t="s">
        <v>158</v>
      </c>
      <c r="N3234" s="162" t="s">
        <v>554</v>
      </c>
      <c r="O3234" s="164">
        <v>44768.0</v>
      </c>
      <c r="P3234" s="164">
        <f t="array" ref="P3234">XLOOKUP('FACP$'!$B3234,'perfil de pagos'!A:A,'perfil de pagos'!B:B)+'FACP$'!$D3234</f>
        <v>44749</v>
      </c>
      <c r="Q3234" s="165">
        <f t="shared" si="2"/>
        <v>0</v>
      </c>
      <c r="R3234" s="167"/>
      <c r="S3234" s="167"/>
      <c r="T3234" s="168">
        <f t="shared" si="3"/>
        <v>6276.01</v>
      </c>
      <c r="U3234" s="168">
        <f t="shared" si="4"/>
        <v>0</v>
      </c>
      <c r="V3234" s="168">
        <f t="shared" si="5"/>
        <v>0</v>
      </c>
      <c r="W3234" s="168">
        <f t="shared" si="6"/>
        <v>0</v>
      </c>
      <c r="X3234" s="168">
        <f t="shared" si="7"/>
        <v>0</v>
      </c>
      <c r="Y3234" s="168">
        <f t="shared" si="8"/>
        <v>0</v>
      </c>
      <c r="Z3234" s="168">
        <f t="shared" si="9"/>
        <v>0</v>
      </c>
    </row>
    <row r="3235" ht="15.0" customHeight="1">
      <c r="A3235" s="157" t="s">
        <v>3918</v>
      </c>
      <c r="B3235" s="158" t="s">
        <v>27</v>
      </c>
      <c r="C3235" s="158" t="s">
        <v>3919</v>
      </c>
      <c r="D3235" s="159">
        <v>44719.0</v>
      </c>
      <c r="E3235" s="157" t="s">
        <v>731</v>
      </c>
      <c r="F3235" s="160">
        <v>3026.62</v>
      </c>
      <c r="G3235" s="160">
        <v>484.26</v>
      </c>
      <c r="H3235" s="160">
        <f t="shared" si="95"/>
        <v>3510.88</v>
      </c>
      <c r="I3235" s="160"/>
      <c r="J3235" s="161"/>
      <c r="K3235" s="160"/>
      <c r="L3235" s="160">
        <f>+'FACP$'!$H3235-'FACP$'!$I3235-'FACP$'!$K3235</f>
        <v>3510.88</v>
      </c>
      <c r="M3235" s="162" t="s">
        <v>158</v>
      </c>
      <c r="N3235" s="162" t="s">
        <v>554</v>
      </c>
      <c r="O3235" s="164">
        <v>44768.0</v>
      </c>
      <c r="P3235" s="164">
        <f t="array" ref="P3235">XLOOKUP('FACP$'!$B3235,'perfil de pagos'!A:A,'perfil de pagos'!B:B)+'FACP$'!$D3235</f>
        <v>44749</v>
      </c>
      <c r="Q3235" s="165">
        <f t="shared" si="2"/>
        <v>0</v>
      </c>
      <c r="R3235" s="167"/>
      <c r="S3235" s="167"/>
      <c r="T3235" s="168">
        <f t="shared" si="3"/>
        <v>3510.88</v>
      </c>
      <c r="U3235" s="168">
        <f t="shared" si="4"/>
        <v>0</v>
      </c>
      <c r="V3235" s="168">
        <f t="shared" si="5"/>
        <v>0</v>
      </c>
      <c r="W3235" s="168">
        <f t="shared" si="6"/>
        <v>0</v>
      </c>
      <c r="X3235" s="168">
        <f t="shared" si="7"/>
        <v>0</v>
      </c>
      <c r="Y3235" s="168">
        <f t="shared" si="8"/>
        <v>0</v>
      </c>
      <c r="Z3235" s="168">
        <f t="shared" si="9"/>
        <v>0</v>
      </c>
    </row>
    <row r="3236" ht="15.0" customHeight="1">
      <c r="A3236" s="157" t="s">
        <v>3920</v>
      </c>
      <c r="B3236" s="158" t="s">
        <v>27</v>
      </c>
      <c r="C3236" s="158" t="s">
        <v>3917</v>
      </c>
      <c r="D3236" s="159">
        <v>44719.0</v>
      </c>
      <c r="E3236" s="157" t="s">
        <v>731</v>
      </c>
      <c r="F3236" s="160">
        <v>11958.66</v>
      </c>
      <c r="G3236" s="160">
        <v>1913.39</v>
      </c>
      <c r="H3236" s="160">
        <f t="shared" si="95"/>
        <v>13872.05</v>
      </c>
      <c r="I3236" s="160"/>
      <c r="J3236" s="161"/>
      <c r="K3236" s="160"/>
      <c r="L3236" s="160">
        <f>+'FACP$'!$H3236-'FACP$'!$I3236-'FACP$'!$K3236</f>
        <v>13872.05</v>
      </c>
      <c r="M3236" s="162" t="s">
        <v>151</v>
      </c>
      <c r="N3236" s="162" t="s">
        <v>554</v>
      </c>
      <c r="O3236" s="164">
        <v>44768.0</v>
      </c>
      <c r="P3236" s="164">
        <f t="array" ref="P3236">XLOOKUP('FACP$'!$B3236,'perfil de pagos'!A:A,'perfil de pagos'!B:B)+'FACP$'!$D3236</f>
        <v>44749</v>
      </c>
      <c r="Q3236" s="165">
        <f t="shared" si="2"/>
        <v>0</v>
      </c>
      <c r="R3236" s="167"/>
      <c r="S3236" s="167"/>
      <c r="T3236" s="168">
        <f t="shared" si="3"/>
        <v>13872.05</v>
      </c>
      <c r="U3236" s="168">
        <f t="shared" si="4"/>
        <v>0</v>
      </c>
      <c r="V3236" s="168">
        <f t="shared" si="5"/>
        <v>0</v>
      </c>
      <c r="W3236" s="168">
        <f t="shared" si="6"/>
        <v>0</v>
      </c>
      <c r="X3236" s="168">
        <f t="shared" si="7"/>
        <v>0</v>
      </c>
      <c r="Y3236" s="168">
        <f t="shared" si="8"/>
        <v>0</v>
      </c>
      <c r="Z3236" s="168">
        <f t="shared" si="9"/>
        <v>0</v>
      </c>
    </row>
    <row r="3237" ht="15.0" customHeight="1">
      <c r="A3237" s="157" t="s">
        <v>3921</v>
      </c>
      <c r="B3237" s="158" t="s">
        <v>27</v>
      </c>
      <c r="C3237" s="158" t="s">
        <v>3919</v>
      </c>
      <c r="D3237" s="159">
        <v>44719.0</v>
      </c>
      <c r="E3237" s="157" t="s">
        <v>731</v>
      </c>
      <c r="F3237" s="160">
        <v>4304.55</v>
      </c>
      <c r="G3237" s="160">
        <v>688.73</v>
      </c>
      <c r="H3237" s="160">
        <f t="shared" si="95"/>
        <v>4993.28</v>
      </c>
      <c r="I3237" s="160"/>
      <c r="J3237" s="161"/>
      <c r="K3237" s="160"/>
      <c r="L3237" s="160">
        <f>+'FACP$'!$H3237-'FACP$'!$I3237-'FACP$'!$K3237</f>
        <v>4993.28</v>
      </c>
      <c r="M3237" s="162" t="s">
        <v>151</v>
      </c>
      <c r="N3237" s="162" t="s">
        <v>554</v>
      </c>
      <c r="O3237" s="164">
        <v>44768.0</v>
      </c>
      <c r="P3237" s="164">
        <f t="array" ref="P3237">XLOOKUP('FACP$'!$B3237,'perfil de pagos'!A:A,'perfil de pagos'!B:B)+'FACP$'!$D3237</f>
        <v>44749</v>
      </c>
      <c r="Q3237" s="165">
        <f t="shared" si="2"/>
        <v>0</v>
      </c>
      <c r="R3237" s="167"/>
      <c r="S3237" s="167"/>
      <c r="T3237" s="168">
        <f t="shared" si="3"/>
        <v>4993.28</v>
      </c>
      <c r="U3237" s="168">
        <f t="shared" si="4"/>
        <v>0</v>
      </c>
      <c r="V3237" s="168">
        <f t="shared" si="5"/>
        <v>0</v>
      </c>
      <c r="W3237" s="168">
        <f t="shared" si="6"/>
        <v>0</v>
      </c>
      <c r="X3237" s="168">
        <f t="shared" si="7"/>
        <v>0</v>
      </c>
      <c r="Y3237" s="168">
        <f t="shared" si="8"/>
        <v>0</v>
      </c>
      <c r="Z3237" s="168">
        <f t="shared" si="9"/>
        <v>0</v>
      </c>
    </row>
    <row r="3238" ht="15.0" customHeight="1">
      <c r="A3238" s="157" t="s">
        <v>3922</v>
      </c>
      <c r="B3238" s="158" t="s">
        <v>27</v>
      </c>
      <c r="C3238" s="158" t="s">
        <v>3923</v>
      </c>
      <c r="D3238" s="159">
        <v>44719.0</v>
      </c>
      <c r="E3238" s="157" t="s">
        <v>731</v>
      </c>
      <c r="F3238" s="160">
        <v>188.6</v>
      </c>
      <c r="G3238" s="160">
        <v>30.18</v>
      </c>
      <c r="H3238" s="160">
        <f t="shared" si="95"/>
        <v>218.78</v>
      </c>
      <c r="I3238" s="160"/>
      <c r="J3238" s="161"/>
      <c r="K3238" s="160"/>
      <c r="L3238" s="160">
        <f>+'FACP$'!$H3238-'FACP$'!$I3238-'FACP$'!$K3238</f>
        <v>218.78</v>
      </c>
      <c r="M3238" s="162" t="s">
        <v>151</v>
      </c>
      <c r="N3238" s="162" t="s">
        <v>554</v>
      </c>
      <c r="O3238" s="164">
        <v>44768.0</v>
      </c>
      <c r="P3238" s="164">
        <f t="array" ref="P3238">XLOOKUP('FACP$'!$B3238,'perfil de pagos'!A:A,'perfil de pagos'!B:B)+'FACP$'!$D3238</f>
        <v>44749</v>
      </c>
      <c r="Q3238" s="165">
        <f t="shared" si="2"/>
        <v>0</v>
      </c>
      <c r="R3238" s="167"/>
      <c r="S3238" s="167"/>
      <c r="T3238" s="168">
        <f t="shared" si="3"/>
        <v>218.78</v>
      </c>
      <c r="U3238" s="168">
        <f t="shared" si="4"/>
        <v>0</v>
      </c>
      <c r="V3238" s="168">
        <f t="shared" si="5"/>
        <v>0</v>
      </c>
      <c r="W3238" s="168">
        <f t="shared" si="6"/>
        <v>0</v>
      </c>
      <c r="X3238" s="168">
        <f t="shared" si="7"/>
        <v>0</v>
      </c>
      <c r="Y3238" s="168">
        <f t="shared" si="8"/>
        <v>0</v>
      </c>
      <c r="Z3238" s="168">
        <f t="shared" si="9"/>
        <v>0</v>
      </c>
    </row>
    <row r="3239" ht="15.0" customHeight="1">
      <c r="A3239" s="157" t="s">
        <v>3924</v>
      </c>
      <c r="B3239" s="158" t="s">
        <v>27</v>
      </c>
      <c r="C3239" s="158" t="s">
        <v>3925</v>
      </c>
      <c r="D3239" s="159">
        <v>44719.0</v>
      </c>
      <c r="E3239" s="157" t="s">
        <v>731</v>
      </c>
      <c r="F3239" s="160">
        <v>90.05</v>
      </c>
      <c r="G3239" s="160">
        <v>14.41</v>
      </c>
      <c r="H3239" s="160">
        <f t="shared" si="95"/>
        <v>104.46</v>
      </c>
      <c r="I3239" s="160"/>
      <c r="J3239" s="161"/>
      <c r="K3239" s="160"/>
      <c r="L3239" s="160">
        <f>+'FACP$'!$H3239-'FACP$'!$I3239-'FACP$'!$K3239</f>
        <v>104.46</v>
      </c>
      <c r="M3239" s="162" t="s">
        <v>151</v>
      </c>
      <c r="N3239" s="162" t="s">
        <v>554</v>
      </c>
      <c r="O3239" s="164">
        <v>44768.0</v>
      </c>
      <c r="P3239" s="164">
        <f t="array" ref="P3239">XLOOKUP('FACP$'!$B3239,'perfil de pagos'!A:A,'perfil de pagos'!B:B)+'FACP$'!$D3239</f>
        <v>44749</v>
      </c>
      <c r="Q3239" s="165">
        <f t="shared" si="2"/>
        <v>0</v>
      </c>
      <c r="R3239" s="167"/>
      <c r="S3239" s="167"/>
      <c r="T3239" s="168">
        <f t="shared" si="3"/>
        <v>104.46</v>
      </c>
      <c r="U3239" s="168">
        <f t="shared" si="4"/>
        <v>0</v>
      </c>
      <c r="V3239" s="168">
        <f t="shared" si="5"/>
        <v>0</v>
      </c>
      <c r="W3239" s="168">
        <f t="shared" si="6"/>
        <v>0</v>
      </c>
      <c r="X3239" s="168">
        <f t="shared" si="7"/>
        <v>0</v>
      </c>
      <c r="Y3239" s="168">
        <f t="shared" si="8"/>
        <v>0</v>
      </c>
      <c r="Z3239" s="168">
        <f t="shared" si="9"/>
        <v>0</v>
      </c>
    </row>
    <row r="3240" ht="15.0" customHeight="1">
      <c r="A3240" s="157" t="s">
        <v>3926</v>
      </c>
      <c r="B3240" s="158" t="s">
        <v>3927</v>
      </c>
      <c r="C3240" s="158" t="s">
        <v>3928</v>
      </c>
      <c r="D3240" s="159">
        <v>44720.0</v>
      </c>
      <c r="E3240" s="157" t="s">
        <v>731</v>
      </c>
      <c r="F3240" s="160">
        <v>34482.76</v>
      </c>
      <c r="G3240" s="160">
        <f>'FACP$'!$F3240*0.16</f>
        <v>5517.2416</v>
      </c>
      <c r="H3240" s="160">
        <f t="shared" si="95"/>
        <v>40000.0016</v>
      </c>
      <c r="I3240" s="160"/>
      <c r="J3240" s="161"/>
      <c r="K3240" s="160"/>
      <c r="L3240" s="160">
        <f>+'FACP$'!$H3240-'FACP$'!$I3240-'FACP$'!$K3240</f>
        <v>40000.0016</v>
      </c>
      <c r="M3240" s="162"/>
      <c r="N3240" s="162" t="s">
        <v>554</v>
      </c>
      <c r="O3240" s="164"/>
      <c r="P3240" s="164">
        <f>D3240+10</f>
        <v>44730</v>
      </c>
      <c r="Q3240" s="165">
        <f t="shared" si="2"/>
        <v>0</v>
      </c>
      <c r="R3240" s="167"/>
      <c r="S3240" s="167"/>
      <c r="T3240" s="168">
        <f t="shared" si="3"/>
        <v>40000.0016</v>
      </c>
      <c r="U3240" s="168">
        <f t="shared" si="4"/>
        <v>0</v>
      </c>
      <c r="V3240" s="168">
        <f t="shared" si="5"/>
        <v>0</v>
      </c>
      <c r="W3240" s="168">
        <f t="shared" si="6"/>
        <v>0</v>
      </c>
      <c r="X3240" s="168">
        <f t="shared" si="7"/>
        <v>0</v>
      </c>
      <c r="Y3240" s="168">
        <f t="shared" si="8"/>
        <v>0</v>
      </c>
      <c r="Z3240" s="168">
        <f t="shared" si="9"/>
        <v>0</v>
      </c>
    </row>
    <row r="3241" ht="15.0" customHeight="1">
      <c r="A3241" s="157" t="s">
        <v>3929</v>
      </c>
      <c r="B3241" s="158" t="s">
        <v>29</v>
      </c>
      <c r="C3241" s="158" t="s">
        <v>3930</v>
      </c>
      <c r="D3241" s="159">
        <v>44720.0</v>
      </c>
      <c r="E3241" s="157" t="s">
        <v>731</v>
      </c>
      <c r="F3241" s="160">
        <v>57036.78</v>
      </c>
      <c r="G3241" s="160">
        <v>9125.88</v>
      </c>
      <c r="H3241" s="160">
        <f t="shared" si="95"/>
        <v>66162.66</v>
      </c>
      <c r="I3241" s="160"/>
      <c r="J3241" s="161"/>
      <c r="K3241" s="160"/>
      <c r="L3241" s="160">
        <f>+'FACP$'!$H3241-'FACP$'!$I3241-'FACP$'!$K3241</f>
        <v>66162.66</v>
      </c>
      <c r="M3241" s="162" t="s">
        <v>130</v>
      </c>
      <c r="N3241" s="162" t="s">
        <v>554</v>
      </c>
      <c r="O3241" s="164">
        <v>44890.0</v>
      </c>
      <c r="P3241" s="164">
        <f t="array" ref="P3241">XLOOKUP('FACP$'!$B3241,'perfil de pagos'!A:A,'perfil de pagos'!B:B)+'FACP$'!$D3241</f>
        <v>44730</v>
      </c>
      <c r="Q3241" s="165">
        <f t="shared" si="2"/>
        <v>0</v>
      </c>
      <c r="R3241" s="167"/>
      <c r="S3241" s="167">
        <v>1759.0</v>
      </c>
      <c r="T3241" s="168">
        <f t="shared" si="3"/>
        <v>66162.66</v>
      </c>
      <c r="U3241" s="168">
        <f t="shared" si="4"/>
        <v>0</v>
      </c>
      <c r="V3241" s="168">
        <f t="shared" si="5"/>
        <v>0</v>
      </c>
      <c r="W3241" s="168">
        <f t="shared" si="6"/>
        <v>0</v>
      </c>
      <c r="X3241" s="168">
        <f t="shared" si="7"/>
        <v>0</v>
      </c>
      <c r="Y3241" s="168">
        <f t="shared" si="8"/>
        <v>0</v>
      </c>
      <c r="Z3241" s="168">
        <f t="shared" si="9"/>
        <v>0</v>
      </c>
    </row>
    <row r="3242" ht="15.0" customHeight="1">
      <c r="A3242" s="157" t="s">
        <v>3931</v>
      </c>
      <c r="B3242" s="158" t="s">
        <v>38</v>
      </c>
      <c r="C3242" s="158" t="s">
        <v>3932</v>
      </c>
      <c r="D3242" s="159">
        <v>44721.0</v>
      </c>
      <c r="E3242" s="157" t="s">
        <v>731</v>
      </c>
      <c r="F3242" s="160">
        <v>1504368.68</v>
      </c>
      <c r="G3242" s="160">
        <v>240698.99</v>
      </c>
      <c r="H3242" s="160">
        <f>F3242+G3242-392.4</f>
        <v>1744675.27</v>
      </c>
      <c r="I3242" s="160"/>
      <c r="J3242" s="161"/>
      <c r="K3242" s="160"/>
      <c r="L3242" s="160">
        <f>+'FACP$'!$H3242-'FACP$'!$I3242-'FACP$'!$K3242</f>
        <v>1744675.27</v>
      </c>
      <c r="M3242" s="162" t="s">
        <v>145</v>
      </c>
      <c r="N3242" s="162" t="s">
        <v>554</v>
      </c>
      <c r="O3242" s="164">
        <v>44790.0</v>
      </c>
      <c r="P3242" s="164">
        <f t="array" ref="P3242">XLOOKUP('FACP$'!$B3242,'perfil de pagos'!A:A,'perfil de pagos'!B:B)+'FACP$'!$D3242</f>
        <v>44751</v>
      </c>
      <c r="Q3242" s="165">
        <f t="shared" si="2"/>
        <v>0</v>
      </c>
      <c r="R3242" s="167" t="s">
        <v>3933</v>
      </c>
      <c r="S3242" s="167">
        <v>1529.0</v>
      </c>
      <c r="T3242" s="168">
        <f t="shared" si="3"/>
        <v>1744675.27</v>
      </c>
      <c r="U3242" s="168">
        <f t="shared" si="4"/>
        <v>0</v>
      </c>
      <c r="V3242" s="168">
        <f t="shared" si="5"/>
        <v>0</v>
      </c>
      <c r="W3242" s="168">
        <f t="shared" si="6"/>
        <v>0</v>
      </c>
      <c r="X3242" s="168">
        <f t="shared" si="7"/>
        <v>0</v>
      </c>
      <c r="Y3242" s="168">
        <f t="shared" si="8"/>
        <v>0</v>
      </c>
      <c r="Z3242" s="168">
        <f t="shared" si="9"/>
        <v>0</v>
      </c>
    </row>
    <row r="3243" ht="15.0" customHeight="1">
      <c r="A3243" s="157" t="s">
        <v>3934</v>
      </c>
      <c r="B3243" s="158" t="s">
        <v>27</v>
      </c>
      <c r="C3243" s="158" t="s">
        <v>3935</v>
      </c>
      <c r="D3243" s="159">
        <v>44721.0</v>
      </c>
      <c r="E3243" s="157" t="s">
        <v>731</v>
      </c>
      <c r="F3243" s="160">
        <v>28024.0</v>
      </c>
      <c r="G3243" s="160">
        <v>4483.84</v>
      </c>
      <c r="H3243" s="160">
        <f t="shared" ref="H3243:H3271" si="96">F3243+G3243</f>
        <v>32507.84</v>
      </c>
      <c r="I3243" s="160"/>
      <c r="J3243" s="161"/>
      <c r="K3243" s="160"/>
      <c r="L3243" s="160">
        <f>+'FACP$'!$H3243-'FACP$'!$I3243-'FACP$'!$K3243</f>
        <v>32507.84</v>
      </c>
      <c r="M3243" s="162" t="s">
        <v>158</v>
      </c>
      <c r="N3243" s="162" t="s">
        <v>554</v>
      </c>
      <c r="O3243" s="164">
        <v>44851.0</v>
      </c>
      <c r="P3243" s="164">
        <f t="array" ref="P3243">XLOOKUP('FACP$'!$B3243,'perfil de pagos'!A:A,'perfil de pagos'!B:B)+'FACP$'!$D3243</f>
        <v>44751</v>
      </c>
      <c r="Q3243" s="165">
        <f t="shared" si="2"/>
        <v>0</v>
      </c>
      <c r="R3243" s="167"/>
      <c r="S3243" s="167">
        <v>1638.0</v>
      </c>
      <c r="T3243" s="168">
        <f t="shared" si="3"/>
        <v>32507.84</v>
      </c>
      <c r="U3243" s="168">
        <f t="shared" si="4"/>
        <v>0</v>
      </c>
      <c r="V3243" s="168">
        <f t="shared" si="5"/>
        <v>0</v>
      </c>
      <c r="W3243" s="168">
        <f t="shared" si="6"/>
        <v>0</v>
      </c>
      <c r="X3243" s="168">
        <f t="shared" si="7"/>
        <v>0</v>
      </c>
      <c r="Y3243" s="168">
        <f t="shared" si="8"/>
        <v>0</v>
      </c>
      <c r="Z3243" s="168">
        <f t="shared" si="9"/>
        <v>0</v>
      </c>
    </row>
    <row r="3244" ht="15.0" customHeight="1">
      <c r="A3244" s="157" t="s">
        <v>3936</v>
      </c>
      <c r="B3244" s="158" t="s">
        <v>27</v>
      </c>
      <c r="C3244" s="158" t="s">
        <v>3935</v>
      </c>
      <c r="D3244" s="159">
        <v>44721.0</v>
      </c>
      <c r="E3244" s="157" t="s">
        <v>731</v>
      </c>
      <c r="F3244" s="160">
        <v>23956.0</v>
      </c>
      <c r="G3244" s="160">
        <v>3832.96</v>
      </c>
      <c r="H3244" s="160">
        <f t="shared" si="96"/>
        <v>27788.96</v>
      </c>
      <c r="I3244" s="160"/>
      <c r="J3244" s="161"/>
      <c r="K3244" s="160"/>
      <c r="L3244" s="160">
        <f>+'FACP$'!$H3244-'FACP$'!$I3244-'FACP$'!$K3244</f>
        <v>27788.96</v>
      </c>
      <c r="M3244" s="162" t="s">
        <v>151</v>
      </c>
      <c r="N3244" s="162" t="s">
        <v>554</v>
      </c>
      <c r="O3244" s="164">
        <v>44851.0</v>
      </c>
      <c r="P3244" s="164">
        <f t="array" ref="P3244">XLOOKUP('FACP$'!$B3244,'perfil de pagos'!A:A,'perfil de pagos'!B:B)+'FACP$'!$D3244</f>
        <v>44751</v>
      </c>
      <c r="Q3244" s="165">
        <f t="shared" si="2"/>
        <v>0</v>
      </c>
      <c r="R3244" s="167"/>
      <c r="S3244" s="167">
        <v>1637.0</v>
      </c>
      <c r="T3244" s="168">
        <f t="shared" si="3"/>
        <v>27788.96</v>
      </c>
      <c r="U3244" s="168">
        <f t="shared" si="4"/>
        <v>0</v>
      </c>
      <c r="V3244" s="168">
        <f t="shared" si="5"/>
        <v>0</v>
      </c>
      <c r="W3244" s="168">
        <f t="shared" si="6"/>
        <v>0</v>
      </c>
      <c r="X3244" s="168">
        <f t="shared" si="7"/>
        <v>0</v>
      </c>
      <c r="Y3244" s="168">
        <f t="shared" si="8"/>
        <v>0</v>
      </c>
      <c r="Z3244" s="168">
        <f t="shared" si="9"/>
        <v>0</v>
      </c>
    </row>
    <row r="3245" ht="15.0" customHeight="1">
      <c r="A3245" s="157" t="s">
        <v>3937</v>
      </c>
      <c r="B3245" s="158" t="s">
        <v>41</v>
      </c>
      <c r="C3245" s="158" t="s">
        <v>3935</v>
      </c>
      <c r="D3245" s="159">
        <v>44721.0</v>
      </c>
      <c r="E3245" s="157" t="s">
        <v>731</v>
      </c>
      <c r="F3245" s="160">
        <v>31111.21</v>
      </c>
      <c r="G3245" s="160">
        <v>4977.79</v>
      </c>
      <c r="H3245" s="160">
        <f t="shared" si="96"/>
        <v>36089</v>
      </c>
      <c r="I3245" s="160"/>
      <c r="J3245" s="161"/>
      <c r="K3245" s="160"/>
      <c r="L3245" s="160">
        <f>+'FACP$'!$H3245-'FACP$'!$I3245-'FACP$'!$K3245</f>
        <v>36089</v>
      </c>
      <c r="M3245" s="162" t="s">
        <v>121</v>
      </c>
      <c r="N3245" s="162" t="s">
        <v>554</v>
      </c>
      <c r="O3245" s="164">
        <v>44775.0</v>
      </c>
      <c r="P3245" s="164">
        <f t="array" ref="P3245">XLOOKUP('FACP$'!$B3245,'perfil de pagos'!A:A,'perfil de pagos'!B:B)+'FACP$'!$D3245</f>
        <v>44731</v>
      </c>
      <c r="Q3245" s="165">
        <f t="shared" si="2"/>
        <v>0</v>
      </c>
      <c r="R3245" s="167"/>
      <c r="S3245" s="167">
        <v>1515.0</v>
      </c>
      <c r="T3245" s="168">
        <f t="shared" si="3"/>
        <v>36089</v>
      </c>
      <c r="U3245" s="168">
        <f t="shared" si="4"/>
        <v>0</v>
      </c>
      <c r="V3245" s="168">
        <f t="shared" si="5"/>
        <v>0</v>
      </c>
      <c r="W3245" s="168">
        <f t="shared" si="6"/>
        <v>0</v>
      </c>
      <c r="X3245" s="168">
        <f t="shared" si="7"/>
        <v>0</v>
      </c>
      <c r="Y3245" s="168">
        <f t="shared" si="8"/>
        <v>0</v>
      </c>
      <c r="Z3245" s="168">
        <f t="shared" si="9"/>
        <v>0</v>
      </c>
    </row>
    <row r="3246" ht="15.0" customHeight="1">
      <c r="A3246" s="157" t="s">
        <v>3938</v>
      </c>
      <c r="B3246" s="158" t="s">
        <v>43</v>
      </c>
      <c r="C3246" s="158" t="s">
        <v>3935</v>
      </c>
      <c r="D3246" s="159">
        <v>44721.0</v>
      </c>
      <c r="E3246" s="157" t="s">
        <v>731</v>
      </c>
      <c r="F3246" s="160">
        <v>98787.76</v>
      </c>
      <c r="G3246" s="160">
        <v>15806.04</v>
      </c>
      <c r="H3246" s="160">
        <f t="shared" si="96"/>
        <v>114593.8</v>
      </c>
      <c r="I3246" s="160"/>
      <c r="J3246" s="161"/>
      <c r="K3246" s="160"/>
      <c r="L3246" s="160">
        <f>+'FACP$'!$H3246-'FACP$'!$I3246-'FACP$'!$K3246</f>
        <v>114593.8</v>
      </c>
      <c r="M3246" s="162" t="s">
        <v>43</v>
      </c>
      <c r="N3246" s="162" t="s">
        <v>554</v>
      </c>
      <c r="O3246" s="164">
        <v>44809.0</v>
      </c>
      <c r="P3246" s="164">
        <f t="array" ref="P3246">XLOOKUP('FACP$'!$B3246,'perfil de pagos'!A:A,'perfil de pagos'!B:B)+'FACP$'!$D3246</f>
        <v>44746</v>
      </c>
      <c r="Q3246" s="165">
        <f t="shared" si="2"/>
        <v>0</v>
      </c>
      <c r="R3246" s="167"/>
      <c r="S3246" s="167"/>
      <c r="T3246" s="168">
        <f t="shared" si="3"/>
        <v>114593.8</v>
      </c>
      <c r="U3246" s="168">
        <f t="shared" si="4"/>
        <v>0</v>
      </c>
      <c r="V3246" s="168">
        <f t="shared" si="5"/>
        <v>0</v>
      </c>
      <c r="W3246" s="168">
        <f t="shared" si="6"/>
        <v>0</v>
      </c>
      <c r="X3246" s="168">
        <f t="shared" si="7"/>
        <v>0</v>
      </c>
      <c r="Y3246" s="168">
        <f t="shared" si="8"/>
        <v>0</v>
      </c>
      <c r="Z3246" s="168">
        <f t="shared" si="9"/>
        <v>0</v>
      </c>
    </row>
    <row r="3247" ht="15.0" customHeight="1">
      <c r="A3247" s="157" t="s">
        <v>3939</v>
      </c>
      <c r="B3247" s="209" t="s">
        <v>38</v>
      </c>
      <c r="C3247" s="209" t="s">
        <v>3940</v>
      </c>
      <c r="D3247" s="186">
        <v>44722.0</v>
      </c>
      <c r="E3247" s="210" t="s">
        <v>731</v>
      </c>
      <c r="F3247" s="211">
        <v>42069.0</v>
      </c>
      <c r="G3247" s="211">
        <v>6731.04</v>
      </c>
      <c r="H3247" s="160">
        <f t="shared" si="96"/>
        <v>48800.04</v>
      </c>
      <c r="I3247" s="211"/>
      <c r="J3247" s="212"/>
      <c r="K3247" s="211"/>
      <c r="L3247" s="211">
        <f>+'FACP$'!$H3247-'FACP$'!$I3247-'FACP$'!$K3247</f>
        <v>48800.04</v>
      </c>
      <c r="M3247" s="227" t="s">
        <v>145</v>
      </c>
      <c r="N3247" s="227" t="s">
        <v>554</v>
      </c>
      <c r="O3247" s="245"/>
      <c r="P3247" s="245">
        <f t="array" ref="P3247">XLOOKUP('FACP$'!$B3247,'perfil de pagos'!A:A,'perfil de pagos'!B:B)+'FACP$'!$D3247</f>
        <v>44752</v>
      </c>
      <c r="Q3247" s="246">
        <f t="shared" si="2"/>
        <v>0</v>
      </c>
      <c r="R3247" s="223" t="s">
        <v>3941</v>
      </c>
      <c r="S3247" s="223"/>
      <c r="T3247" s="168">
        <f t="shared" si="3"/>
        <v>48800.04</v>
      </c>
      <c r="U3247" s="168">
        <f t="shared" si="4"/>
        <v>0</v>
      </c>
      <c r="V3247" s="168">
        <f t="shared" si="5"/>
        <v>0</v>
      </c>
      <c r="W3247" s="168">
        <f t="shared" si="6"/>
        <v>0</v>
      </c>
      <c r="X3247" s="168">
        <f t="shared" si="7"/>
        <v>0</v>
      </c>
      <c r="Y3247" s="168">
        <f t="shared" si="8"/>
        <v>0</v>
      </c>
      <c r="Z3247" s="168">
        <f t="shared" si="9"/>
        <v>0</v>
      </c>
    </row>
    <row r="3248" ht="15.0" customHeight="1">
      <c r="A3248" s="157" t="s">
        <v>3942</v>
      </c>
      <c r="B3248" s="209" t="s">
        <v>38</v>
      </c>
      <c r="C3248" s="209" t="s">
        <v>3943</v>
      </c>
      <c r="D3248" s="186">
        <v>44722.0</v>
      </c>
      <c r="E3248" s="210" t="s">
        <v>731</v>
      </c>
      <c r="F3248" s="211">
        <v>62170.32</v>
      </c>
      <c r="G3248" s="211">
        <v>9947.25</v>
      </c>
      <c r="H3248" s="160">
        <f t="shared" si="96"/>
        <v>72117.57</v>
      </c>
      <c r="I3248" s="211"/>
      <c r="J3248" s="212"/>
      <c r="K3248" s="211"/>
      <c r="L3248" s="211">
        <f>+'FACP$'!$H3248-'FACP$'!$I3248-'FACP$'!$K3248</f>
        <v>72117.57</v>
      </c>
      <c r="M3248" s="227" t="s">
        <v>145</v>
      </c>
      <c r="N3248" s="227" t="s">
        <v>554</v>
      </c>
      <c r="O3248" s="245"/>
      <c r="P3248" s="245">
        <f t="array" ref="P3248">XLOOKUP('FACP$'!$B3248,'perfil de pagos'!A:A,'perfil de pagos'!B:B)+'FACP$'!$D3248</f>
        <v>44752</v>
      </c>
      <c r="Q3248" s="246">
        <f t="shared" si="2"/>
        <v>0</v>
      </c>
      <c r="R3248" s="223" t="s">
        <v>3944</v>
      </c>
      <c r="S3248" s="223"/>
      <c r="T3248" s="168">
        <f t="shared" si="3"/>
        <v>72117.57</v>
      </c>
      <c r="U3248" s="168">
        <f t="shared" si="4"/>
        <v>0</v>
      </c>
      <c r="V3248" s="168">
        <f t="shared" si="5"/>
        <v>0</v>
      </c>
      <c r="W3248" s="168">
        <f t="shared" si="6"/>
        <v>0</v>
      </c>
      <c r="X3248" s="168">
        <f t="shared" si="7"/>
        <v>0</v>
      </c>
      <c r="Y3248" s="168">
        <f t="shared" si="8"/>
        <v>0</v>
      </c>
      <c r="Z3248" s="168">
        <f t="shared" si="9"/>
        <v>0</v>
      </c>
    </row>
    <row r="3249" ht="15.0" customHeight="1">
      <c r="A3249" s="157" t="s">
        <v>3945</v>
      </c>
      <c r="B3249" s="209" t="s">
        <v>38</v>
      </c>
      <c r="C3249" s="209" t="s">
        <v>3946</v>
      </c>
      <c r="D3249" s="186">
        <v>44722.0</v>
      </c>
      <c r="E3249" s="210" t="s">
        <v>731</v>
      </c>
      <c r="F3249" s="211">
        <v>46743.6</v>
      </c>
      <c r="G3249" s="211">
        <v>7478.98</v>
      </c>
      <c r="H3249" s="160">
        <f t="shared" si="96"/>
        <v>54222.58</v>
      </c>
      <c r="I3249" s="211"/>
      <c r="J3249" s="212"/>
      <c r="K3249" s="211"/>
      <c r="L3249" s="211">
        <f>+'FACP$'!$H3249-'FACP$'!$I3249-'FACP$'!$K3249</f>
        <v>54222.58</v>
      </c>
      <c r="M3249" s="227" t="s">
        <v>145</v>
      </c>
      <c r="N3249" s="227" t="s">
        <v>554</v>
      </c>
      <c r="O3249" s="245"/>
      <c r="P3249" s="245">
        <f t="array" ref="P3249">XLOOKUP('FACP$'!$B3249,'perfil de pagos'!A:A,'perfil de pagos'!B:B)+'FACP$'!$D3249</f>
        <v>44752</v>
      </c>
      <c r="Q3249" s="246">
        <f t="shared" si="2"/>
        <v>0</v>
      </c>
      <c r="R3249" s="223" t="s">
        <v>3947</v>
      </c>
      <c r="S3249" s="223"/>
      <c r="T3249" s="168">
        <f t="shared" si="3"/>
        <v>54222.58</v>
      </c>
      <c r="U3249" s="168">
        <f t="shared" si="4"/>
        <v>0</v>
      </c>
      <c r="V3249" s="168">
        <f t="shared" si="5"/>
        <v>0</v>
      </c>
      <c r="W3249" s="168">
        <f t="shared" si="6"/>
        <v>0</v>
      </c>
      <c r="X3249" s="168">
        <f t="shared" si="7"/>
        <v>0</v>
      </c>
      <c r="Y3249" s="168">
        <f t="shared" si="8"/>
        <v>0</v>
      </c>
      <c r="Z3249" s="168">
        <f t="shared" si="9"/>
        <v>0</v>
      </c>
    </row>
    <row r="3250" ht="15.0" customHeight="1">
      <c r="A3250" s="157" t="s">
        <v>3948</v>
      </c>
      <c r="B3250" s="209" t="s">
        <v>38</v>
      </c>
      <c r="C3250" s="209" t="s">
        <v>3949</v>
      </c>
      <c r="D3250" s="186">
        <v>44722.0</v>
      </c>
      <c r="E3250" s="210" t="s">
        <v>731</v>
      </c>
      <c r="F3250" s="211">
        <v>62583.8</v>
      </c>
      <c r="G3250" s="211">
        <v>10013.41</v>
      </c>
      <c r="H3250" s="160">
        <f t="shared" si="96"/>
        <v>72597.21</v>
      </c>
      <c r="I3250" s="211"/>
      <c r="J3250" s="212"/>
      <c r="K3250" s="211"/>
      <c r="L3250" s="211">
        <f>+'FACP$'!$H3250-'FACP$'!$I3250-'FACP$'!$K3250</f>
        <v>72597.21</v>
      </c>
      <c r="M3250" s="227" t="s">
        <v>145</v>
      </c>
      <c r="N3250" s="227" t="s">
        <v>554</v>
      </c>
      <c r="O3250" s="245"/>
      <c r="P3250" s="245">
        <f t="array" ref="P3250">XLOOKUP('FACP$'!$B3250,'perfil de pagos'!A:A,'perfil de pagos'!B:B)+'FACP$'!$D3250</f>
        <v>44752</v>
      </c>
      <c r="Q3250" s="246">
        <f t="shared" si="2"/>
        <v>0</v>
      </c>
      <c r="R3250" s="223" t="s">
        <v>3950</v>
      </c>
      <c r="S3250" s="223"/>
      <c r="T3250" s="168">
        <f t="shared" si="3"/>
        <v>72597.21</v>
      </c>
      <c r="U3250" s="168">
        <f t="shared" si="4"/>
        <v>0</v>
      </c>
      <c r="V3250" s="168">
        <f t="shared" si="5"/>
        <v>0</v>
      </c>
      <c r="W3250" s="168">
        <f t="shared" si="6"/>
        <v>0</v>
      </c>
      <c r="X3250" s="168">
        <f t="shared" si="7"/>
        <v>0</v>
      </c>
      <c r="Y3250" s="168">
        <f t="shared" si="8"/>
        <v>0</v>
      </c>
      <c r="Z3250" s="168">
        <f t="shared" si="9"/>
        <v>0</v>
      </c>
    </row>
    <row r="3251" ht="15.0" customHeight="1">
      <c r="A3251" s="157" t="s">
        <v>3951</v>
      </c>
      <c r="B3251" s="158" t="s">
        <v>27</v>
      </c>
      <c r="C3251" s="158" t="s">
        <v>3952</v>
      </c>
      <c r="D3251" s="159">
        <v>44727.0</v>
      </c>
      <c r="E3251" s="157" t="s">
        <v>731</v>
      </c>
      <c r="F3251" s="160">
        <v>17453.95</v>
      </c>
      <c r="G3251" s="160">
        <v>2792.63</v>
      </c>
      <c r="H3251" s="160">
        <f t="shared" si="96"/>
        <v>20246.58</v>
      </c>
      <c r="I3251" s="160"/>
      <c r="J3251" s="161"/>
      <c r="K3251" s="160"/>
      <c r="L3251" s="160">
        <f>+'FACP$'!$H3251-'FACP$'!$I3251-'FACP$'!$K3251</f>
        <v>20246.58</v>
      </c>
      <c r="M3251" s="162" t="s">
        <v>151</v>
      </c>
      <c r="N3251" s="162" t="s">
        <v>554</v>
      </c>
      <c r="O3251" s="164">
        <v>44851.0</v>
      </c>
      <c r="P3251" s="164">
        <f t="array" ref="P3251">XLOOKUP('FACP$'!$B3251,'perfil de pagos'!A:A,'perfil de pagos'!B:B)+'FACP$'!$D3251</f>
        <v>44757</v>
      </c>
      <c r="Q3251" s="165">
        <f t="shared" si="2"/>
        <v>0</v>
      </c>
      <c r="R3251" s="167"/>
      <c r="S3251" s="167">
        <v>1637.0</v>
      </c>
      <c r="T3251" s="168">
        <f t="shared" si="3"/>
        <v>20246.58</v>
      </c>
      <c r="U3251" s="168">
        <f t="shared" si="4"/>
        <v>0</v>
      </c>
      <c r="V3251" s="168">
        <f t="shared" si="5"/>
        <v>0</v>
      </c>
      <c r="W3251" s="168">
        <f t="shared" si="6"/>
        <v>0</v>
      </c>
      <c r="X3251" s="168">
        <f t="shared" si="7"/>
        <v>0</v>
      </c>
      <c r="Y3251" s="168">
        <f t="shared" si="8"/>
        <v>0</v>
      </c>
      <c r="Z3251" s="168">
        <f t="shared" si="9"/>
        <v>0</v>
      </c>
    </row>
    <row r="3252" ht="15.75" customHeight="1">
      <c r="A3252" s="157" t="s">
        <v>3953</v>
      </c>
      <c r="B3252" s="158" t="s">
        <v>27</v>
      </c>
      <c r="C3252" s="158" t="s">
        <v>3954</v>
      </c>
      <c r="D3252" s="159">
        <v>44727.0</v>
      </c>
      <c r="E3252" s="157" t="s">
        <v>731</v>
      </c>
      <c r="F3252" s="160">
        <v>973.51</v>
      </c>
      <c r="G3252" s="160">
        <v>155.76</v>
      </c>
      <c r="H3252" s="160">
        <f t="shared" si="96"/>
        <v>1129.27</v>
      </c>
      <c r="I3252" s="160"/>
      <c r="J3252" s="161"/>
      <c r="K3252" s="160"/>
      <c r="L3252" s="160">
        <f>+'FACP$'!$H3252-'FACP$'!$I3252-'FACP$'!$K3252</f>
        <v>1129.27</v>
      </c>
      <c r="M3252" s="162" t="s">
        <v>151</v>
      </c>
      <c r="N3252" s="162" t="s">
        <v>554</v>
      </c>
      <c r="O3252" s="164">
        <v>44851.0</v>
      </c>
      <c r="P3252" s="164">
        <f t="array" ref="P3252">XLOOKUP('FACP$'!$B3252,'perfil de pagos'!A:A,'perfil de pagos'!B:B)+'FACP$'!$D3252</f>
        <v>44757</v>
      </c>
      <c r="Q3252" s="165">
        <f t="shared" si="2"/>
        <v>0</v>
      </c>
      <c r="R3252" s="167"/>
      <c r="S3252" s="167">
        <v>1637.0</v>
      </c>
      <c r="T3252" s="168">
        <f t="shared" si="3"/>
        <v>1129.27</v>
      </c>
      <c r="U3252" s="168">
        <f t="shared" si="4"/>
        <v>0</v>
      </c>
      <c r="V3252" s="168">
        <f t="shared" si="5"/>
        <v>0</v>
      </c>
      <c r="W3252" s="168">
        <f t="shared" si="6"/>
        <v>0</v>
      </c>
      <c r="X3252" s="168">
        <f t="shared" si="7"/>
        <v>0</v>
      </c>
      <c r="Y3252" s="168">
        <f t="shared" si="8"/>
        <v>0</v>
      </c>
      <c r="Z3252" s="168">
        <f t="shared" si="9"/>
        <v>0</v>
      </c>
      <c r="AA3252" s="81"/>
      <c r="AB3252" s="81"/>
      <c r="AC3252" s="81"/>
    </row>
    <row r="3253" ht="15.0" customHeight="1">
      <c r="A3253" s="157" t="s">
        <v>3955</v>
      </c>
      <c r="B3253" s="158" t="s">
        <v>26</v>
      </c>
      <c r="C3253" s="158" t="s">
        <v>3896</v>
      </c>
      <c r="D3253" s="159">
        <v>44728.0</v>
      </c>
      <c r="E3253" s="157" t="s">
        <v>731</v>
      </c>
      <c r="F3253" s="160">
        <v>169611.33</v>
      </c>
      <c r="G3253" s="160">
        <v>27137.81</v>
      </c>
      <c r="H3253" s="160">
        <f t="shared" si="96"/>
        <v>196749.14</v>
      </c>
      <c r="I3253" s="168">
        <f>19045.38+100000</f>
        <v>119045.38</v>
      </c>
      <c r="J3253" s="161"/>
      <c r="K3253" s="160"/>
      <c r="L3253" s="160">
        <f>+'FACP$'!$H3253-'FACP$'!$I3253-'FACP$'!$K3253</f>
        <v>77703.76</v>
      </c>
      <c r="M3253" s="162" t="s">
        <v>2386</v>
      </c>
      <c r="N3253" s="162" t="s">
        <v>554</v>
      </c>
      <c r="O3253" s="164">
        <v>45223.0</v>
      </c>
      <c r="P3253" s="164">
        <f t="array" ref="P3253">XLOOKUP('FACP$'!$B3253,'perfil de pagos'!A:A,'perfil de pagos'!B:B)+'FACP$'!$D3253</f>
        <v>44738</v>
      </c>
      <c r="Q3253" s="165">
        <f t="shared" si="2"/>
        <v>0</v>
      </c>
      <c r="R3253" s="220" t="s">
        <v>3956</v>
      </c>
      <c r="S3253" s="167">
        <v>2524.0</v>
      </c>
      <c r="T3253" s="168">
        <f t="shared" si="3"/>
        <v>77703.76</v>
      </c>
      <c r="U3253" s="168">
        <f t="shared" si="4"/>
        <v>0</v>
      </c>
      <c r="V3253" s="168">
        <f t="shared" si="5"/>
        <v>0</v>
      </c>
      <c r="W3253" s="168">
        <f t="shared" si="6"/>
        <v>0</v>
      </c>
      <c r="X3253" s="168">
        <f t="shared" si="7"/>
        <v>0</v>
      </c>
      <c r="Y3253" s="168">
        <f t="shared" si="8"/>
        <v>0</v>
      </c>
      <c r="Z3253" s="168">
        <f t="shared" si="9"/>
        <v>0</v>
      </c>
    </row>
    <row r="3254" ht="15.0" customHeight="1">
      <c r="A3254" s="157" t="s">
        <v>3957</v>
      </c>
      <c r="B3254" s="158" t="s">
        <v>36</v>
      </c>
      <c r="C3254" s="158" t="s">
        <v>3958</v>
      </c>
      <c r="D3254" s="159">
        <v>44729.0</v>
      </c>
      <c r="E3254" s="157" t="s">
        <v>731</v>
      </c>
      <c r="F3254" s="160">
        <v>132596.24</v>
      </c>
      <c r="G3254" s="160">
        <v>21215.4</v>
      </c>
      <c r="H3254" s="160">
        <f t="shared" si="96"/>
        <v>153811.64</v>
      </c>
      <c r="I3254" s="160"/>
      <c r="J3254" s="161"/>
      <c r="K3254" s="160"/>
      <c r="L3254" s="160">
        <f>+'FACP$'!$H3254-'FACP$'!$I3254-'FACP$'!$K3254</f>
        <v>153811.64</v>
      </c>
      <c r="M3254" s="162" t="s">
        <v>278</v>
      </c>
      <c r="N3254" s="162" t="s">
        <v>554</v>
      </c>
      <c r="O3254" s="164">
        <v>44740.0</v>
      </c>
      <c r="P3254" s="164">
        <f t="array" ref="P3254">XLOOKUP('FACP$'!$B3254,'perfil de pagos'!A:A,'perfil de pagos'!B:B)+'FACP$'!$D3254</f>
        <v>44739</v>
      </c>
      <c r="Q3254" s="165">
        <f t="shared" si="2"/>
        <v>0</v>
      </c>
      <c r="R3254" s="167"/>
      <c r="S3254" s="167"/>
      <c r="T3254" s="168">
        <f t="shared" si="3"/>
        <v>153811.64</v>
      </c>
      <c r="U3254" s="168">
        <f t="shared" si="4"/>
        <v>0</v>
      </c>
      <c r="V3254" s="168">
        <f t="shared" si="5"/>
        <v>0</v>
      </c>
      <c r="W3254" s="168">
        <f t="shared" si="6"/>
        <v>0</v>
      </c>
      <c r="X3254" s="168">
        <f t="shared" si="7"/>
        <v>0</v>
      </c>
      <c r="Y3254" s="168">
        <f t="shared" si="8"/>
        <v>0</v>
      </c>
      <c r="Z3254" s="168">
        <f t="shared" si="9"/>
        <v>0</v>
      </c>
    </row>
    <row r="3255" ht="15.0" customHeight="1">
      <c r="A3255" s="157" t="s">
        <v>3959</v>
      </c>
      <c r="B3255" s="158" t="s">
        <v>41</v>
      </c>
      <c r="C3255" s="158" t="s">
        <v>3958</v>
      </c>
      <c r="D3255" s="159">
        <v>44729.0</v>
      </c>
      <c r="E3255" s="157" t="s">
        <v>731</v>
      </c>
      <c r="F3255" s="160">
        <v>427512.61</v>
      </c>
      <c r="G3255" s="160">
        <v>68402.02</v>
      </c>
      <c r="H3255" s="160">
        <f t="shared" si="96"/>
        <v>495914.63</v>
      </c>
      <c r="I3255" s="160"/>
      <c r="J3255" s="161"/>
      <c r="K3255" s="160"/>
      <c r="L3255" s="160">
        <f>+'FACP$'!$H3255-'FACP$'!$I3255-'FACP$'!$K3255</f>
        <v>495914.63</v>
      </c>
      <c r="M3255" s="162" t="s">
        <v>121</v>
      </c>
      <c r="N3255" s="162" t="s">
        <v>554</v>
      </c>
      <c r="O3255" s="164">
        <v>44775.0</v>
      </c>
      <c r="P3255" s="164">
        <f t="array" ref="P3255">XLOOKUP('FACP$'!$B3255,'perfil de pagos'!A:A,'perfil de pagos'!B:B)+'FACP$'!$D3255</f>
        <v>44739</v>
      </c>
      <c r="Q3255" s="165">
        <f t="shared" si="2"/>
        <v>0</v>
      </c>
      <c r="R3255" s="167"/>
      <c r="S3255" s="167">
        <v>1515.0</v>
      </c>
      <c r="T3255" s="168">
        <f t="shared" si="3"/>
        <v>495914.63</v>
      </c>
      <c r="U3255" s="168">
        <f t="shared" si="4"/>
        <v>0</v>
      </c>
      <c r="V3255" s="168">
        <f t="shared" si="5"/>
        <v>0</v>
      </c>
      <c r="W3255" s="168">
        <f t="shared" si="6"/>
        <v>0</v>
      </c>
      <c r="X3255" s="168">
        <f t="shared" si="7"/>
        <v>0</v>
      </c>
      <c r="Y3255" s="168">
        <f t="shared" si="8"/>
        <v>0</v>
      </c>
      <c r="Z3255" s="168">
        <f t="shared" si="9"/>
        <v>0</v>
      </c>
    </row>
    <row r="3256" ht="15.0" customHeight="1">
      <c r="A3256" s="157" t="s">
        <v>3960</v>
      </c>
      <c r="B3256" s="158" t="s">
        <v>27</v>
      </c>
      <c r="C3256" s="158" t="s">
        <v>3961</v>
      </c>
      <c r="D3256" s="159">
        <v>44733.0</v>
      </c>
      <c r="E3256" s="157" t="s">
        <v>731</v>
      </c>
      <c r="F3256" s="160">
        <v>653047.4</v>
      </c>
      <c r="G3256" s="160">
        <v>104487.58</v>
      </c>
      <c r="H3256" s="160">
        <f t="shared" si="96"/>
        <v>757534.98</v>
      </c>
      <c r="I3256" s="160"/>
      <c r="J3256" s="161"/>
      <c r="K3256" s="160"/>
      <c r="L3256" s="160">
        <f>+'FACP$'!$H3256-'FACP$'!$I3256-'FACP$'!$K3256</f>
        <v>757534.98</v>
      </c>
      <c r="M3256" s="162" t="s">
        <v>158</v>
      </c>
      <c r="N3256" s="162" t="s">
        <v>554</v>
      </c>
      <c r="O3256" s="164">
        <v>44768.0</v>
      </c>
      <c r="P3256" s="164">
        <f t="array" ref="P3256">XLOOKUP('FACP$'!$B3256,'perfil de pagos'!A:A,'perfil de pagos'!B:B)+'FACP$'!$D3256</f>
        <v>44763</v>
      </c>
      <c r="Q3256" s="165">
        <f t="shared" si="2"/>
        <v>0</v>
      </c>
      <c r="R3256" s="167"/>
      <c r="S3256" s="167"/>
      <c r="T3256" s="168">
        <f t="shared" si="3"/>
        <v>757534.98</v>
      </c>
      <c r="U3256" s="168">
        <f t="shared" si="4"/>
        <v>0</v>
      </c>
      <c r="V3256" s="168">
        <f t="shared" si="5"/>
        <v>0</v>
      </c>
      <c r="W3256" s="168">
        <f t="shared" si="6"/>
        <v>0</v>
      </c>
      <c r="X3256" s="168">
        <f t="shared" si="7"/>
        <v>0</v>
      </c>
      <c r="Y3256" s="168">
        <f t="shared" si="8"/>
        <v>0</v>
      </c>
      <c r="Z3256" s="168">
        <f t="shared" si="9"/>
        <v>0</v>
      </c>
    </row>
    <row r="3257" ht="15.0" customHeight="1">
      <c r="A3257" s="157" t="s">
        <v>3962</v>
      </c>
      <c r="B3257" s="158" t="s">
        <v>27</v>
      </c>
      <c r="C3257" s="158" t="s">
        <v>3963</v>
      </c>
      <c r="D3257" s="159">
        <v>44733.0</v>
      </c>
      <c r="E3257" s="157" t="s">
        <v>731</v>
      </c>
      <c r="F3257" s="160">
        <v>204708.06</v>
      </c>
      <c r="G3257" s="160">
        <v>32753.29</v>
      </c>
      <c r="H3257" s="160">
        <f t="shared" si="96"/>
        <v>237461.35</v>
      </c>
      <c r="I3257" s="160"/>
      <c r="J3257" s="161"/>
      <c r="K3257" s="160"/>
      <c r="L3257" s="160">
        <f>+'FACP$'!$H3257-'FACP$'!$I3257-'FACP$'!$K3257</f>
        <v>237461.35</v>
      </c>
      <c r="M3257" s="162" t="s">
        <v>158</v>
      </c>
      <c r="N3257" s="162" t="s">
        <v>554</v>
      </c>
      <c r="O3257" s="164">
        <v>44774.0</v>
      </c>
      <c r="P3257" s="164">
        <f t="array" ref="P3257">XLOOKUP('FACP$'!$B3257,'perfil de pagos'!A:A,'perfil de pagos'!B:B)+'FACP$'!$D3257</f>
        <v>44763</v>
      </c>
      <c r="Q3257" s="165">
        <f t="shared" si="2"/>
        <v>0</v>
      </c>
      <c r="R3257" s="167"/>
      <c r="S3257" s="167">
        <v>1556.0</v>
      </c>
      <c r="T3257" s="168">
        <f t="shared" si="3"/>
        <v>237461.35</v>
      </c>
      <c r="U3257" s="168">
        <f t="shared" si="4"/>
        <v>0</v>
      </c>
      <c r="V3257" s="168">
        <f t="shared" si="5"/>
        <v>0</v>
      </c>
      <c r="W3257" s="168">
        <f t="shared" si="6"/>
        <v>0</v>
      </c>
      <c r="X3257" s="168">
        <f t="shared" si="7"/>
        <v>0</v>
      </c>
      <c r="Y3257" s="168">
        <f t="shared" si="8"/>
        <v>0</v>
      </c>
      <c r="Z3257" s="168">
        <f t="shared" si="9"/>
        <v>0</v>
      </c>
    </row>
    <row r="3258" ht="15.0" customHeight="1">
      <c r="A3258" s="157" t="s">
        <v>3964</v>
      </c>
      <c r="B3258" s="158" t="s">
        <v>27</v>
      </c>
      <c r="C3258" s="158" t="s">
        <v>3961</v>
      </c>
      <c r="D3258" s="159">
        <v>44733.0</v>
      </c>
      <c r="E3258" s="157" t="s">
        <v>731</v>
      </c>
      <c r="F3258" s="160">
        <v>521890.83</v>
      </c>
      <c r="G3258" s="160">
        <v>83502.53</v>
      </c>
      <c r="H3258" s="160">
        <f t="shared" si="96"/>
        <v>605393.36</v>
      </c>
      <c r="I3258" s="160"/>
      <c r="J3258" s="161"/>
      <c r="K3258" s="160"/>
      <c r="L3258" s="160">
        <f>+'FACP$'!$H3258-'FACP$'!$I3258-'FACP$'!$K3258</f>
        <v>605393.36</v>
      </c>
      <c r="M3258" s="162" t="s">
        <v>151</v>
      </c>
      <c r="N3258" s="162" t="s">
        <v>554</v>
      </c>
      <c r="O3258" s="164">
        <v>44767.0</v>
      </c>
      <c r="P3258" s="164">
        <f t="array" ref="P3258">XLOOKUP('FACP$'!$B3258,'perfil de pagos'!A:A,'perfil de pagos'!B:B)+'FACP$'!$D3258</f>
        <v>44763</v>
      </c>
      <c r="Q3258" s="165">
        <f t="shared" si="2"/>
        <v>0</v>
      </c>
      <c r="R3258" s="167"/>
      <c r="S3258" s="167"/>
      <c r="T3258" s="168">
        <f t="shared" si="3"/>
        <v>605393.36</v>
      </c>
      <c r="U3258" s="168">
        <f t="shared" si="4"/>
        <v>0</v>
      </c>
      <c r="V3258" s="168">
        <f t="shared" si="5"/>
        <v>0</v>
      </c>
      <c r="W3258" s="168">
        <f t="shared" si="6"/>
        <v>0</v>
      </c>
      <c r="X3258" s="168">
        <f t="shared" si="7"/>
        <v>0</v>
      </c>
      <c r="Y3258" s="168">
        <f t="shared" si="8"/>
        <v>0</v>
      </c>
      <c r="Z3258" s="168">
        <f t="shared" si="9"/>
        <v>0</v>
      </c>
    </row>
    <row r="3259" ht="15.0" customHeight="1">
      <c r="A3259" s="157" t="s">
        <v>3965</v>
      </c>
      <c r="B3259" s="158" t="s">
        <v>27</v>
      </c>
      <c r="C3259" s="158" t="s">
        <v>3963</v>
      </c>
      <c r="D3259" s="159">
        <v>44733.0</v>
      </c>
      <c r="E3259" s="157" t="s">
        <v>731</v>
      </c>
      <c r="F3259" s="160">
        <v>155955.42</v>
      </c>
      <c r="G3259" s="160">
        <v>24952.87</v>
      </c>
      <c r="H3259" s="160">
        <f t="shared" si="96"/>
        <v>180908.29</v>
      </c>
      <c r="I3259" s="160"/>
      <c r="J3259" s="161"/>
      <c r="K3259" s="160"/>
      <c r="L3259" s="160">
        <f>+'FACP$'!$H3259-'FACP$'!$I3259-'FACP$'!$K3259</f>
        <v>180908.29</v>
      </c>
      <c r="M3259" s="162" t="s">
        <v>151</v>
      </c>
      <c r="N3259" s="162" t="s">
        <v>554</v>
      </c>
      <c r="O3259" s="164">
        <v>44774.0</v>
      </c>
      <c r="P3259" s="164">
        <f t="array" ref="P3259">XLOOKUP('FACP$'!$B3259,'perfil de pagos'!A:A,'perfil de pagos'!B:B)+'FACP$'!$D3259</f>
        <v>44763</v>
      </c>
      <c r="Q3259" s="165">
        <f t="shared" si="2"/>
        <v>0</v>
      </c>
      <c r="R3259" s="167"/>
      <c r="S3259" s="167">
        <v>1555.0</v>
      </c>
      <c r="T3259" s="168">
        <f t="shared" si="3"/>
        <v>180908.29</v>
      </c>
      <c r="U3259" s="168">
        <f t="shared" si="4"/>
        <v>0</v>
      </c>
      <c r="V3259" s="168">
        <f t="shared" si="5"/>
        <v>0</v>
      </c>
      <c r="W3259" s="168">
        <f t="shared" si="6"/>
        <v>0</v>
      </c>
      <c r="X3259" s="168">
        <f t="shared" si="7"/>
        <v>0</v>
      </c>
      <c r="Y3259" s="168">
        <f t="shared" si="8"/>
        <v>0</v>
      </c>
      <c r="Z3259" s="168">
        <f t="shared" si="9"/>
        <v>0</v>
      </c>
    </row>
    <row r="3260" ht="15.0" customHeight="1">
      <c r="A3260" s="157" t="s">
        <v>3966</v>
      </c>
      <c r="B3260" s="209" t="s">
        <v>127</v>
      </c>
      <c r="C3260" s="209"/>
      <c r="D3260" s="186"/>
      <c r="E3260" s="210"/>
      <c r="F3260" s="211"/>
      <c r="G3260" s="211"/>
      <c r="H3260" s="160">
        <f t="shared" si="96"/>
        <v>0</v>
      </c>
      <c r="I3260" s="211"/>
      <c r="J3260" s="212"/>
      <c r="K3260" s="211"/>
      <c r="L3260" s="211">
        <f>+'FACP$'!$H3260-'FACP$'!$I3260-'FACP$'!$K3260</f>
        <v>0</v>
      </c>
      <c r="M3260" s="227"/>
      <c r="N3260" s="227" t="s">
        <v>554</v>
      </c>
      <c r="O3260" s="245"/>
      <c r="P3260" s="245">
        <f>D3260+10</f>
        <v>10</v>
      </c>
      <c r="Q3260" s="246">
        <f t="shared" si="2"/>
        <v>0</v>
      </c>
      <c r="R3260" s="223"/>
      <c r="S3260" s="223"/>
      <c r="T3260" s="168">
        <f t="shared" si="3"/>
        <v>0</v>
      </c>
      <c r="U3260" s="168">
        <f t="shared" si="4"/>
        <v>0</v>
      </c>
      <c r="V3260" s="168">
        <f t="shared" si="5"/>
        <v>0</v>
      </c>
      <c r="W3260" s="168">
        <f t="shared" si="6"/>
        <v>0</v>
      </c>
      <c r="X3260" s="168">
        <f t="shared" si="7"/>
        <v>0</v>
      </c>
      <c r="Y3260" s="168">
        <f t="shared" si="8"/>
        <v>0</v>
      </c>
      <c r="Z3260" s="168">
        <f t="shared" si="9"/>
        <v>0</v>
      </c>
    </row>
    <row r="3261" ht="15.0" customHeight="1">
      <c r="A3261" s="157" t="s">
        <v>3967</v>
      </c>
      <c r="B3261" s="158" t="s">
        <v>27</v>
      </c>
      <c r="C3261" s="158" t="s">
        <v>3968</v>
      </c>
      <c r="D3261" s="159">
        <v>44733.0</v>
      </c>
      <c r="E3261" s="157" t="s">
        <v>731</v>
      </c>
      <c r="F3261" s="160">
        <v>8061.13</v>
      </c>
      <c r="G3261" s="160">
        <v>1289.78</v>
      </c>
      <c r="H3261" s="160">
        <f t="shared" si="96"/>
        <v>9350.91</v>
      </c>
      <c r="I3261" s="160"/>
      <c r="J3261" s="161"/>
      <c r="K3261" s="160"/>
      <c r="L3261" s="160">
        <f>+'FACP$'!$H3261-'FACP$'!$I3261-'FACP$'!$K3261</f>
        <v>9350.91</v>
      </c>
      <c r="M3261" s="162" t="s">
        <v>151</v>
      </c>
      <c r="N3261" s="162" t="s">
        <v>554</v>
      </c>
      <c r="O3261" s="164">
        <v>44774.0</v>
      </c>
      <c r="P3261" s="164">
        <f t="array" ref="P3261">XLOOKUP('FACP$'!$B3261,'perfil de pagos'!A:A,'perfil de pagos'!B:B)+'FACP$'!$D3261</f>
        <v>44763</v>
      </c>
      <c r="Q3261" s="165">
        <f t="shared" si="2"/>
        <v>0</v>
      </c>
      <c r="R3261" s="167"/>
      <c r="S3261" s="167">
        <v>1555.0</v>
      </c>
      <c r="T3261" s="168">
        <f t="shared" si="3"/>
        <v>9350.91</v>
      </c>
      <c r="U3261" s="168">
        <f t="shared" si="4"/>
        <v>0</v>
      </c>
      <c r="V3261" s="168">
        <f t="shared" si="5"/>
        <v>0</v>
      </c>
      <c r="W3261" s="168">
        <f t="shared" si="6"/>
        <v>0</v>
      </c>
      <c r="X3261" s="168">
        <f t="shared" si="7"/>
        <v>0</v>
      </c>
      <c r="Y3261" s="168">
        <f t="shared" si="8"/>
        <v>0</v>
      </c>
      <c r="Z3261" s="168">
        <f t="shared" si="9"/>
        <v>0</v>
      </c>
    </row>
    <row r="3262" ht="15.0" customHeight="1">
      <c r="A3262" s="157" t="s">
        <v>3969</v>
      </c>
      <c r="B3262" s="158" t="s">
        <v>27</v>
      </c>
      <c r="C3262" s="158" t="s">
        <v>3970</v>
      </c>
      <c r="D3262" s="159">
        <v>44733.0</v>
      </c>
      <c r="E3262" s="157" t="s">
        <v>731</v>
      </c>
      <c r="F3262" s="160">
        <v>26975.85</v>
      </c>
      <c r="G3262" s="160">
        <v>4316.14</v>
      </c>
      <c r="H3262" s="160">
        <f t="shared" si="96"/>
        <v>31291.99</v>
      </c>
      <c r="I3262" s="160"/>
      <c r="J3262" s="161"/>
      <c r="K3262" s="160"/>
      <c r="L3262" s="160">
        <f>+'FACP$'!$H3262-'FACP$'!$I3262-'FACP$'!$K3262</f>
        <v>31291.99</v>
      </c>
      <c r="M3262" s="162" t="s">
        <v>151</v>
      </c>
      <c r="N3262" s="162" t="s">
        <v>554</v>
      </c>
      <c r="O3262" s="164">
        <v>44774.0</v>
      </c>
      <c r="P3262" s="164">
        <f t="array" ref="P3262">XLOOKUP('FACP$'!$B3262,'perfil de pagos'!A:A,'perfil de pagos'!B:B)+'FACP$'!$D3262</f>
        <v>44763</v>
      </c>
      <c r="Q3262" s="165">
        <f t="shared" si="2"/>
        <v>0</v>
      </c>
      <c r="R3262" s="167"/>
      <c r="S3262" s="167">
        <v>1555.0</v>
      </c>
      <c r="T3262" s="168">
        <f t="shared" si="3"/>
        <v>31291.99</v>
      </c>
      <c r="U3262" s="168">
        <f t="shared" si="4"/>
        <v>0</v>
      </c>
      <c r="V3262" s="168">
        <f t="shared" si="5"/>
        <v>0</v>
      </c>
      <c r="W3262" s="168">
        <f t="shared" si="6"/>
        <v>0</v>
      </c>
      <c r="X3262" s="168">
        <f t="shared" si="7"/>
        <v>0</v>
      </c>
      <c r="Y3262" s="168">
        <f t="shared" si="8"/>
        <v>0</v>
      </c>
      <c r="Z3262" s="168">
        <f t="shared" si="9"/>
        <v>0</v>
      </c>
    </row>
    <row r="3263" ht="15.0" customHeight="1">
      <c r="A3263" s="157" t="s">
        <v>3971</v>
      </c>
      <c r="B3263" s="158" t="s">
        <v>22</v>
      </c>
      <c r="C3263" s="158" t="s">
        <v>3958</v>
      </c>
      <c r="D3263" s="159">
        <v>44740.0</v>
      </c>
      <c r="E3263" s="157" t="s">
        <v>731</v>
      </c>
      <c r="F3263" s="160">
        <v>351863.62</v>
      </c>
      <c r="G3263" s="160">
        <v>56298.18</v>
      </c>
      <c r="H3263" s="160">
        <f t="shared" si="96"/>
        <v>408161.8</v>
      </c>
      <c r="I3263" s="160"/>
      <c r="J3263" s="161"/>
      <c r="K3263" s="160"/>
      <c r="L3263" s="160">
        <f>+'FACP$'!$H3263-'FACP$'!$I3263-'FACP$'!$K3263</f>
        <v>408161.8</v>
      </c>
      <c r="M3263" s="162" t="s">
        <v>220</v>
      </c>
      <c r="N3263" s="162" t="s">
        <v>554</v>
      </c>
      <c r="O3263" s="164">
        <v>44775.0</v>
      </c>
      <c r="P3263" s="164">
        <f t="array" ref="P3263">XLOOKUP('FACP$'!$B3263,'perfil de pagos'!A:A,'perfil de pagos'!B:B)+'FACP$'!$D3263</f>
        <v>44750</v>
      </c>
      <c r="Q3263" s="165">
        <f t="shared" si="2"/>
        <v>0</v>
      </c>
      <c r="R3263" s="167"/>
      <c r="S3263" s="167">
        <v>1513.0</v>
      </c>
      <c r="T3263" s="168">
        <f t="shared" si="3"/>
        <v>408161.8</v>
      </c>
      <c r="U3263" s="168">
        <f t="shared" si="4"/>
        <v>0</v>
      </c>
      <c r="V3263" s="168">
        <f t="shared" si="5"/>
        <v>0</v>
      </c>
      <c r="W3263" s="168">
        <f t="shared" si="6"/>
        <v>0</v>
      </c>
      <c r="X3263" s="168">
        <f t="shared" si="7"/>
        <v>0</v>
      </c>
      <c r="Y3263" s="168">
        <f t="shared" si="8"/>
        <v>0</v>
      </c>
      <c r="Z3263" s="168">
        <f t="shared" si="9"/>
        <v>0</v>
      </c>
    </row>
    <row r="3264" ht="15.0" customHeight="1">
      <c r="A3264" s="157" t="s">
        <v>3972</v>
      </c>
      <c r="B3264" s="158" t="s">
        <v>16</v>
      </c>
      <c r="C3264" s="158" t="s">
        <v>3958</v>
      </c>
      <c r="D3264" s="159">
        <v>44740.0</v>
      </c>
      <c r="E3264" s="157" t="s">
        <v>731</v>
      </c>
      <c r="F3264" s="160">
        <v>645695.76</v>
      </c>
      <c r="G3264" s="160">
        <v>103311.32</v>
      </c>
      <c r="H3264" s="160">
        <f t="shared" si="96"/>
        <v>749007.08</v>
      </c>
      <c r="I3264" s="160"/>
      <c r="J3264" s="161"/>
      <c r="K3264" s="160"/>
      <c r="L3264" s="160">
        <f>+'FACP$'!$H3264-'FACP$'!$I3264-'FACP$'!$K3264</f>
        <v>749007.08</v>
      </c>
      <c r="M3264" s="162" t="s">
        <v>985</v>
      </c>
      <c r="N3264" s="162" t="s">
        <v>554</v>
      </c>
      <c r="O3264" s="164">
        <v>44771.0</v>
      </c>
      <c r="P3264" s="164">
        <f t="array" ref="P3264">XLOOKUP('FACP$'!$B3264,'perfil de pagos'!A:A,'perfil de pagos'!B:B)+'FACP$'!$D3264</f>
        <v>44750</v>
      </c>
      <c r="Q3264" s="165">
        <f t="shared" si="2"/>
        <v>0</v>
      </c>
      <c r="R3264" s="167"/>
      <c r="S3264" s="167">
        <v>1503.0</v>
      </c>
      <c r="T3264" s="168">
        <f t="shared" si="3"/>
        <v>749007.08</v>
      </c>
      <c r="U3264" s="168">
        <f t="shared" si="4"/>
        <v>0</v>
      </c>
      <c r="V3264" s="168">
        <f t="shared" si="5"/>
        <v>0</v>
      </c>
      <c r="W3264" s="168">
        <f t="shared" si="6"/>
        <v>0</v>
      </c>
      <c r="X3264" s="168">
        <f t="shared" si="7"/>
        <v>0</v>
      </c>
      <c r="Y3264" s="168">
        <f t="shared" si="8"/>
        <v>0</v>
      </c>
      <c r="Z3264" s="168">
        <f t="shared" si="9"/>
        <v>0</v>
      </c>
    </row>
    <row r="3265" ht="15.0" customHeight="1">
      <c r="A3265" s="157" t="s">
        <v>3973</v>
      </c>
      <c r="B3265" s="158" t="s">
        <v>16</v>
      </c>
      <c r="C3265" s="158" t="s">
        <v>3974</v>
      </c>
      <c r="D3265" s="159">
        <v>44740.0</v>
      </c>
      <c r="E3265" s="157" t="s">
        <v>731</v>
      </c>
      <c r="F3265" s="160">
        <v>340495.32</v>
      </c>
      <c r="G3265" s="160">
        <v>54479.25</v>
      </c>
      <c r="H3265" s="160">
        <f t="shared" si="96"/>
        <v>394974.57</v>
      </c>
      <c r="I3265" s="160"/>
      <c r="J3265" s="161"/>
      <c r="K3265" s="160"/>
      <c r="L3265" s="160">
        <f>+'FACP$'!$H3265-'FACP$'!$I3265-'FACP$'!$K3265</f>
        <v>394974.57</v>
      </c>
      <c r="M3265" s="162" t="s">
        <v>985</v>
      </c>
      <c r="N3265" s="162" t="s">
        <v>554</v>
      </c>
      <c r="O3265" s="164">
        <v>44771.0</v>
      </c>
      <c r="P3265" s="164">
        <f t="array" ref="P3265">XLOOKUP('FACP$'!$B3265,'perfil de pagos'!A:A,'perfil de pagos'!B:B)+'FACP$'!$D3265</f>
        <v>44750</v>
      </c>
      <c r="Q3265" s="165">
        <f t="shared" si="2"/>
        <v>0</v>
      </c>
      <c r="R3265" s="167"/>
      <c r="S3265" s="167">
        <v>1503.0</v>
      </c>
      <c r="T3265" s="168">
        <f t="shared" si="3"/>
        <v>394974.57</v>
      </c>
      <c r="U3265" s="168">
        <f t="shared" si="4"/>
        <v>0</v>
      </c>
      <c r="V3265" s="168">
        <f t="shared" si="5"/>
        <v>0</v>
      </c>
      <c r="W3265" s="168">
        <f t="shared" si="6"/>
        <v>0</v>
      </c>
      <c r="X3265" s="168">
        <f t="shared" si="7"/>
        <v>0</v>
      </c>
      <c r="Y3265" s="168">
        <f t="shared" si="8"/>
        <v>0</v>
      </c>
      <c r="Z3265" s="168">
        <f t="shared" si="9"/>
        <v>0</v>
      </c>
    </row>
    <row r="3266" ht="15.0" customHeight="1">
      <c r="A3266" s="157" t="s">
        <v>3975</v>
      </c>
      <c r="B3266" s="158" t="s">
        <v>18</v>
      </c>
      <c r="C3266" s="158" t="s">
        <v>3958</v>
      </c>
      <c r="D3266" s="159">
        <v>44740.0</v>
      </c>
      <c r="E3266" s="157" t="s">
        <v>731</v>
      </c>
      <c r="F3266" s="160">
        <v>264760.72</v>
      </c>
      <c r="G3266" s="160">
        <v>42361.72</v>
      </c>
      <c r="H3266" s="160">
        <f t="shared" si="96"/>
        <v>307122.44</v>
      </c>
      <c r="I3266" s="160"/>
      <c r="J3266" s="161"/>
      <c r="K3266" s="160"/>
      <c r="L3266" s="160">
        <f>+'FACP$'!$H3266-'FACP$'!$I3266-'FACP$'!$K3266</f>
        <v>307122.44</v>
      </c>
      <c r="M3266" s="162" t="s">
        <v>586</v>
      </c>
      <c r="N3266" s="162" t="s">
        <v>554</v>
      </c>
      <c r="O3266" s="164">
        <v>44785.0</v>
      </c>
      <c r="P3266" s="164">
        <f t="array" ref="P3266">XLOOKUP('FACP$'!$B3266,'perfil de pagos'!A:A,'perfil de pagos'!B:B)+'FACP$'!$D3266</f>
        <v>44750</v>
      </c>
      <c r="Q3266" s="165">
        <f t="shared" si="2"/>
        <v>0</v>
      </c>
      <c r="R3266" s="167"/>
      <c r="S3266" s="167">
        <v>1526.0</v>
      </c>
      <c r="T3266" s="168">
        <f t="shared" si="3"/>
        <v>307122.44</v>
      </c>
      <c r="U3266" s="168">
        <f t="shared" si="4"/>
        <v>0</v>
      </c>
      <c r="V3266" s="168">
        <f t="shared" si="5"/>
        <v>0</v>
      </c>
      <c r="W3266" s="168">
        <f t="shared" si="6"/>
        <v>0</v>
      </c>
      <c r="X3266" s="168">
        <f t="shared" si="7"/>
        <v>0</v>
      </c>
      <c r="Y3266" s="168">
        <f t="shared" si="8"/>
        <v>0</v>
      </c>
      <c r="Z3266" s="168">
        <f t="shared" si="9"/>
        <v>0</v>
      </c>
    </row>
    <row r="3267" ht="15.0" customHeight="1">
      <c r="A3267" s="157" t="s">
        <v>3976</v>
      </c>
      <c r="B3267" s="158" t="s">
        <v>19</v>
      </c>
      <c r="C3267" s="158" t="s">
        <v>3958</v>
      </c>
      <c r="D3267" s="159">
        <v>44740.0</v>
      </c>
      <c r="E3267" s="157" t="s">
        <v>731</v>
      </c>
      <c r="F3267" s="160">
        <v>382366.54</v>
      </c>
      <c r="G3267" s="160">
        <v>61178.65</v>
      </c>
      <c r="H3267" s="160">
        <f t="shared" si="96"/>
        <v>443545.19</v>
      </c>
      <c r="I3267" s="160"/>
      <c r="J3267" s="161"/>
      <c r="K3267" s="160"/>
      <c r="L3267" s="160">
        <f>+'FACP$'!$H3267-'FACP$'!$I3267-'FACP$'!$K3267</f>
        <v>443545.19</v>
      </c>
      <c r="M3267" s="162" t="s">
        <v>732</v>
      </c>
      <c r="N3267" s="162" t="s">
        <v>554</v>
      </c>
      <c r="O3267" s="164">
        <v>44741.0</v>
      </c>
      <c r="P3267" s="164">
        <f t="array" ref="P3267">XLOOKUP('FACP$'!$B3267,'perfil de pagos'!A:A,'perfil de pagos'!B:B)+'FACP$'!$D3267</f>
        <v>44750</v>
      </c>
      <c r="Q3267" s="165">
        <f t="shared" si="2"/>
        <v>0</v>
      </c>
      <c r="R3267" s="167"/>
      <c r="S3267" s="167"/>
      <c r="T3267" s="168">
        <f t="shared" si="3"/>
        <v>443545.19</v>
      </c>
      <c r="U3267" s="168">
        <f t="shared" si="4"/>
        <v>0</v>
      </c>
      <c r="V3267" s="168">
        <f t="shared" si="5"/>
        <v>0</v>
      </c>
      <c r="W3267" s="168">
        <f t="shared" si="6"/>
        <v>0</v>
      </c>
      <c r="X3267" s="168">
        <f t="shared" si="7"/>
        <v>0</v>
      </c>
      <c r="Y3267" s="168">
        <f t="shared" si="8"/>
        <v>0</v>
      </c>
      <c r="Z3267" s="168">
        <f t="shared" si="9"/>
        <v>0</v>
      </c>
      <c r="AA3267" s="81"/>
      <c r="AB3267" s="81"/>
      <c r="AC3267" s="81"/>
    </row>
    <row r="3268" ht="15.0" customHeight="1">
      <c r="A3268" s="157" t="s">
        <v>3977</v>
      </c>
      <c r="B3268" s="158" t="s">
        <v>26</v>
      </c>
      <c r="C3268" s="158" t="s">
        <v>3958</v>
      </c>
      <c r="D3268" s="159">
        <v>44740.0</v>
      </c>
      <c r="E3268" s="157" t="s">
        <v>731</v>
      </c>
      <c r="F3268" s="160">
        <v>144890.7</v>
      </c>
      <c r="G3268" s="160">
        <v>23182.51</v>
      </c>
      <c r="H3268" s="160">
        <f t="shared" si="96"/>
        <v>168073.21</v>
      </c>
      <c r="I3268" s="160">
        <v>72296.24000000002</v>
      </c>
      <c r="J3268" s="161"/>
      <c r="K3268" s="160"/>
      <c r="L3268" s="160">
        <f>+'FACP$'!$H3268-'FACP$'!$I3268-'FACP$'!$K3268</f>
        <v>95776.97</v>
      </c>
      <c r="M3268" s="162" t="s">
        <v>2386</v>
      </c>
      <c r="N3268" s="162" t="s">
        <v>554</v>
      </c>
      <c r="O3268" s="164">
        <v>45238.0</v>
      </c>
      <c r="P3268" s="164">
        <f t="array" ref="P3268">XLOOKUP('FACP$'!$B3268,'perfil de pagos'!A:A,'perfil de pagos'!B:B)+'FACP$'!$D3268</f>
        <v>44750</v>
      </c>
      <c r="Q3268" s="165">
        <f t="shared" si="2"/>
        <v>0</v>
      </c>
      <c r="R3268" s="167" t="s">
        <v>3978</v>
      </c>
      <c r="S3268" s="220" t="s">
        <v>3979</v>
      </c>
      <c r="T3268" s="168">
        <f t="shared" si="3"/>
        <v>95776.97</v>
      </c>
      <c r="U3268" s="168">
        <f t="shared" si="4"/>
        <v>0</v>
      </c>
      <c r="V3268" s="168">
        <f t="shared" si="5"/>
        <v>0</v>
      </c>
      <c r="W3268" s="168">
        <f t="shared" si="6"/>
        <v>0</v>
      </c>
      <c r="X3268" s="168">
        <f t="shared" si="7"/>
        <v>0</v>
      </c>
      <c r="Y3268" s="168">
        <f t="shared" si="8"/>
        <v>0</v>
      </c>
      <c r="Z3268" s="168">
        <f t="shared" si="9"/>
        <v>0</v>
      </c>
    </row>
    <row r="3269" ht="15.0" customHeight="1">
      <c r="A3269" s="157" t="s">
        <v>3980</v>
      </c>
      <c r="B3269" s="158" t="s">
        <v>29</v>
      </c>
      <c r="C3269" s="158" t="s">
        <v>3958</v>
      </c>
      <c r="D3269" s="159">
        <v>44740.0</v>
      </c>
      <c r="E3269" s="157" t="s">
        <v>731</v>
      </c>
      <c r="F3269" s="160">
        <v>713861.35</v>
      </c>
      <c r="G3269" s="160">
        <v>114217.82</v>
      </c>
      <c r="H3269" s="160">
        <f t="shared" si="96"/>
        <v>828079.17</v>
      </c>
      <c r="I3269" s="160"/>
      <c r="J3269" s="161"/>
      <c r="K3269" s="160"/>
      <c r="L3269" s="160">
        <f>+'FACP$'!$H3269-'FACP$'!$I3269-'FACP$'!$K3269</f>
        <v>828079.17</v>
      </c>
      <c r="M3269" s="162" t="s">
        <v>130</v>
      </c>
      <c r="N3269" s="162" t="s">
        <v>554</v>
      </c>
      <c r="O3269" s="164">
        <v>44760.0</v>
      </c>
      <c r="P3269" s="164">
        <f t="array" ref="P3269">XLOOKUP('FACP$'!$B3269,'perfil de pagos'!A:A,'perfil de pagos'!B:B)+'FACP$'!$D3269</f>
        <v>44750</v>
      </c>
      <c r="Q3269" s="165">
        <f t="shared" si="2"/>
        <v>0</v>
      </c>
      <c r="R3269" s="167"/>
      <c r="S3269" s="167"/>
      <c r="T3269" s="168">
        <f t="shared" si="3"/>
        <v>828079.17</v>
      </c>
      <c r="U3269" s="168">
        <f t="shared" si="4"/>
        <v>0</v>
      </c>
      <c r="V3269" s="168">
        <f t="shared" si="5"/>
        <v>0</v>
      </c>
      <c r="W3269" s="168">
        <f t="shared" si="6"/>
        <v>0</v>
      </c>
      <c r="X3269" s="168">
        <f t="shared" si="7"/>
        <v>0</v>
      </c>
      <c r="Y3269" s="168">
        <f t="shared" si="8"/>
        <v>0</v>
      </c>
      <c r="Z3269" s="168">
        <f t="shared" si="9"/>
        <v>0</v>
      </c>
    </row>
    <row r="3270" ht="15.0" customHeight="1">
      <c r="A3270" s="157" t="s">
        <v>3981</v>
      </c>
      <c r="B3270" s="158" t="s">
        <v>29</v>
      </c>
      <c r="C3270" s="158" t="s">
        <v>3974</v>
      </c>
      <c r="D3270" s="159">
        <v>44740.0</v>
      </c>
      <c r="E3270" s="157" t="s">
        <v>731</v>
      </c>
      <c r="F3270" s="160">
        <v>376718.88</v>
      </c>
      <c r="G3270" s="160">
        <v>60275.02</v>
      </c>
      <c r="H3270" s="160">
        <f t="shared" si="96"/>
        <v>436993.9</v>
      </c>
      <c r="I3270" s="160"/>
      <c r="J3270" s="161"/>
      <c r="K3270" s="160"/>
      <c r="L3270" s="160">
        <f>+'FACP$'!$H3270-'FACP$'!$I3270-'FACP$'!$K3270</f>
        <v>436993.9</v>
      </c>
      <c r="M3270" s="162" t="s">
        <v>130</v>
      </c>
      <c r="N3270" s="162" t="s">
        <v>554</v>
      </c>
      <c r="O3270" s="164">
        <v>44757.0</v>
      </c>
      <c r="P3270" s="164">
        <f t="array" ref="P3270">XLOOKUP('FACP$'!$B3270,'perfil de pagos'!A:A,'perfil de pagos'!B:B)+'FACP$'!$D3270</f>
        <v>44750</v>
      </c>
      <c r="Q3270" s="165">
        <f t="shared" si="2"/>
        <v>0</v>
      </c>
      <c r="R3270" s="167"/>
      <c r="S3270" s="167"/>
      <c r="T3270" s="168">
        <f t="shared" si="3"/>
        <v>436993.9</v>
      </c>
      <c r="U3270" s="168">
        <f t="shared" si="4"/>
        <v>0</v>
      </c>
      <c r="V3270" s="168">
        <f t="shared" si="5"/>
        <v>0</v>
      </c>
      <c r="W3270" s="168">
        <f t="shared" si="6"/>
        <v>0</v>
      </c>
      <c r="X3270" s="168">
        <f t="shared" si="7"/>
        <v>0</v>
      </c>
      <c r="Y3270" s="168">
        <f t="shared" si="8"/>
        <v>0</v>
      </c>
      <c r="Z3270" s="168">
        <f t="shared" si="9"/>
        <v>0</v>
      </c>
    </row>
    <row r="3271" ht="15.0" customHeight="1">
      <c r="A3271" s="157" t="s">
        <v>3982</v>
      </c>
      <c r="B3271" s="158" t="s">
        <v>37</v>
      </c>
      <c r="C3271" s="158" t="s">
        <v>3958</v>
      </c>
      <c r="D3271" s="159">
        <v>44740.0</v>
      </c>
      <c r="E3271" s="157" t="s">
        <v>731</v>
      </c>
      <c r="F3271" s="160">
        <v>3799764.61</v>
      </c>
      <c r="G3271" s="160">
        <v>607962.34</v>
      </c>
      <c r="H3271" s="160">
        <f t="shared" si="96"/>
        <v>4407726.95</v>
      </c>
      <c r="I3271" s="160"/>
      <c r="J3271" s="161"/>
      <c r="K3271" s="160"/>
      <c r="L3271" s="160">
        <f>+'FACP$'!$H3271-'FACP$'!$I3271-'FACP$'!$K3271</f>
        <v>4407726.95</v>
      </c>
      <c r="M3271" s="162" t="s">
        <v>116</v>
      </c>
      <c r="N3271" s="162" t="s">
        <v>554</v>
      </c>
      <c r="O3271" s="164">
        <v>44760.0</v>
      </c>
      <c r="P3271" s="164">
        <f t="array" ref="P3271">XLOOKUP('FACP$'!$B3271,'perfil de pagos'!A:A,'perfil de pagos'!B:B)+'FACP$'!$D3271</f>
        <v>44750</v>
      </c>
      <c r="Q3271" s="165">
        <f t="shared" si="2"/>
        <v>0</v>
      </c>
      <c r="R3271" s="167"/>
      <c r="S3271" s="167"/>
      <c r="T3271" s="168">
        <f t="shared" si="3"/>
        <v>4407726.95</v>
      </c>
      <c r="U3271" s="168">
        <f t="shared" si="4"/>
        <v>0</v>
      </c>
      <c r="V3271" s="168">
        <f t="shared" si="5"/>
        <v>0</v>
      </c>
      <c r="W3271" s="168">
        <f t="shared" si="6"/>
        <v>0</v>
      </c>
      <c r="X3271" s="168">
        <f t="shared" si="7"/>
        <v>0</v>
      </c>
      <c r="Y3271" s="168">
        <f t="shared" si="8"/>
        <v>0</v>
      </c>
      <c r="Z3271" s="168">
        <f t="shared" si="9"/>
        <v>0</v>
      </c>
    </row>
    <row r="3272" ht="15.0" customHeight="1">
      <c r="A3272" s="157" t="s">
        <v>3983</v>
      </c>
      <c r="B3272" s="158" t="s">
        <v>38</v>
      </c>
      <c r="C3272" s="158" t="s">
        <v>3958</v>
      </c>
      <c r="D3272" s="159">
        <v>44740.0</v>
      </c>
      <c r="E3272" s="157" t="s">
        <v>731</v>
      </c>
      <c r="F3272" s="160">
        <v>1558433.82</v>
      </c>
      <c r="G3272" s="160">
        <v>249349.41</v>
      </c>
      <c r="H3272" s="160">
        <f>F3272+G3272-31207.11</f>
        <v>1776576.12</v>
      </c>
      <c r="I3272" s="160"/>
      <c r="J3272" s="161"/>
      <c r="K3272" s="160"/>
      <c r="L3272" s="160">
        <f>+'FACP$'!$H3272-'FACP$'!$I3272-'FACP$'!$K3272</f>
        <v>1776576.12</v>
      </c>
      <c r="M3272" s="162" t="s">
        <v>145</v>
      </c>
      <c r="N3272" s="162" t="s">
        <v>127</v>
      </c>
      <c r="O3272" s="164"/>
      <c r="P3272" s="164">
        <f t="array" ref="P3272">XLOOKUP('FACP$'!$B3272,'perfil de pagos'!A:A,'perfil de pagos'!B:B)+'FACP$'!$D3272</f>
        <v>44770</v>
      </c>
      <c r="Q3272" s="165">
        <f t="shared" si="2"/>
        <v>0</v>
      </c>
      <c r="R3272" s="220" t="s">
        <v>3984</v>
      </c>
      <c r="S3272" s="167"/>
      <c r="T3272" s="168">
        <f t="shared" si="3"/>
        <v>1776576.12</v>
      </c>
      <c r="U3272" s="168">
        <f t="shared" si="4"/>
        <v>0</v>
      </c>
      <c r="V3272" s="168">
        <f t="shared" si="5"/>
        <v>0</v>
      </c>
      <c r="W3272" s="168">
        <f t="shared" si="6"/>
        <v>0</v>
      </c>
      <c r="X3272" s="168">
        <f t="shared" si="7"/>
        <v>0</v>
      </c>
      <c r="Y3272" s="168">
        <f t="shared" si="8"/>
        <v>0</v>
      </c>
      <c r="Z3272" s="168">
        <f t="shared" si="9"/>
        <v>0</v>
      </c>
    </row>
    <row r="3273" ht="15.0" customHeight="1">
      <c r="A3273" s="157" t="s">
        <v>3985</v>
      </c>
      <c r="B3273" s="158" t="s">
        <v>27</v>
      </c>
      <c r="C3273" s="158" t="s">
        <v>3986</v>
      </c>
      <c r="D3273" s="159">
        <v>44742.0</v>
      </c>
      <c r="E3273" s="157" t="s">
        <v>731</v>
      </c>
      <c r="F3273" s="160">
        <v>516811.02</v>
      </c>
      <c r="G3273" s="160">
        <v>82689.76</v>
      </c>
      <c r="H3273" s="160">
        <f t="shared" ref="H3273:H3298" si="97">F3273+G3273</f>
        <v>599500.78</v>
      </c>
      <c r="I3273" s="160"/>
      <c r="J3273" s="161"/>
      <c r="K3273" s="160"/>
      <c r="L3273" s="160">
        <f>+'FACP$'!$H3273-'FACP$'!$I3273-'FACP$'!$K3273</f>
        <v>599500.78</v>
      </c>
      <c r="M3273" s="162" t="s">
        <v>158</v>
      </c>
      <c r="N3273" s="162" t="s">
        <v>554</v>
      </c>
      <c r="O3273" s="164">
        <v>44777.0</v>
      </c>
      <c r="P3273" s="164">
        <f t="array" ref="P3273">XLOOKUP('FACP$'!$B3273,'perfil de pagos'!A:A,'perfil de pagos'!B:B)+'FACP$'!$D3273</f>
        <v>44772</v>
      </c>
      <c r="Q3273" s="165">
        <f t="shared" si="2"/>
        <v>0</v>
      </c>
      <c r="R3273" s="167"/>
      <c r="S3273" s="167">
        <v>1519.0</v>
      </c>
      <c r="T3273" s="168">
        <f t="shared" si="3"/>
        <v>599500.78</v>
      </c>
      <c r="U3273" s="168">
        <f t="shared" si="4"/>
        <v>0</v>
      </c>
      <c r="V3273" s="168">
        <f t="shared" si="5"/>
        <v>0</v>
      </c>
      <c r="W3273" s="168">
        <f t="shared" si="6"/>
        <v>0</v>
      </c>
      <c r="X3273" s="168">
        <f t="shared" si="7"/>
        <v>0</v>
      </c>
      <c r="Y3273" s="168">
        <f t="shared" si="8"/>
        <v>0</v>
      </c>
      <c r="Z3273" s="168">
        <f t="shared" si="9"/>
        <v>0</v>
      </c>
    </row>
    <row r="3274" ht="15.0" customHeight="1">
      <c r="A3274" s="157" t="s">
        <v>3987</v>
      </c>
      <c r="B3274" s="158" t="s">
        <v>27</v>
      </c>
      <c r="C3274" s="158" t="s">
        <v>3988</v>
      </c>
      <c r="D3274" s="159">
        <v>44742.0</v>
      </c>
      <c r="E3274" s="157" t="s">
        <v>731</v>
      </c>
      <c r="F3274" s="160">
        <v>197834.5</v>
      </c>
      <c r="G3274" s="160">
        <v>31653.52</v>
      </c>
      <c r="H3274" s="160">
        <f t="shared" si="97"/>
        <v>229488.02</v>
      </c>
      <c r="I3274" s="160"/>
      <c r="J3274" s="161"/>
      <c r="K3274" s="160"/>
      <c r="L3274" s="160">
        <f>+'FACP$'!$H3274-'FACP$'!$I3274-'FACP$'!$K3274</f>
        <v>229488.02</v>
      </c>
      <c r="M3274" s="162" t="s">
        <v>158</v>
      </c>
      <c r="N3274" s="162" t="s">
        <v>554</v>
      </c>
      <c r="O3274" s="164">
        <v>44783.0</v>
      </c>
      <c r="P3274" s="164">
        <f t="array" ref="P3274">XLOOKUP('FACP$'!$B3274,'perfil de pagos'!A:A,'perfil de pagos'!B:B)+'FACP$'!$D3274</f>
        <v>44772</v>
      </c>
      <c r="Q3274" s="165">
        <f t="shared" si="2"/>
        <v>0</v>
      </c>
      <c r="R3274" s="167"/>
      <c r="S3274" s="167">
        <v>1512.0</v>
      </c>
      <c r="T3274" s="168">
        <f t="shared" si="3"/>
        <v>229488.02</v>
      </c>
      <c r="U3274" s="168">
        <f t="shared" si="4"/>
        <v>0</v>
      </c>
      <c r="V3274" s="168">
        <f t="shared" si="5"/>
        <v>0</v>
      </c>
      <c r="W3274" s="168">
        <f t="shared" si="6"/>
        <v>0</v>
      </c>
      <c r="X3274" s="168">
        <f t="shared" si="7"/>
        <v>0</v>
      </c>
      <c r="Y3274" s="168">
        <f t="shared" si="8"/>
        <v>0</v>
      </c>
      <c r="Z3274" s="168">
        <f t="shared" si="9"/>
        <v>0</v>
      </c>
    </row>
    <row r="3275" ht="15.0" customHeight="1">
      <c r="A3275" s="157" t="s">
        <v>3989</v>
      </c>
      <c r="B3275" s="158" t="s">
        <v>27</v>
      </c>
      <c r="C3275" s="158" t="s">
        <v>3986</v>
      </c>
      <c r="D3275" s="159">
        <v>44742.0</v>
      </c>
      <c r="E3275" s="157" t="s">
        <v>731</v>
      </c>
      <c r="F3275" s="160">
        <v>383180.22</v>
      </c>
      <c r="G3275" s="160">
        <v>61308.83</v>
      </c>
      <c r="H3275" s="160">
        <f t="shared" si="97"/>
        <v>444489.05</v>
      </c>
      <c r="I3275" s="160"/>
      <c r="J3275" s="161"/>
      <c r="K3275" s="160"/>
      <c r="L3275" s="160">
        <f>+'FACP$'!$H3275-'FACP$'!$I3275-'FACP$'!$K3275</f>
        <v>444489.05</v>
      </c>
      <c r="M3275" s="162" t="s">
        <v>151</v>
      </c>
      <c r="N3275" s="162" t="s">
        <v>554</v>
      </c>
      <c r="O3275" s="164">
        <v>44783.0</v>
      </c>
      <c r="P3275" s="164">
        <f t="array" ref="P3275">XLOOKUP('FACP$'!$B3275,'perfil de pagos'!A:A,'perfil de pagos'!B:B)+'FACP$'!$D3275</f>
        <v>44772</v>
      </c>
      <c r="Q3275" s="165">
        <f t="shared" si="2"/>
        <v>0</v>
      </c>
      <c r="R3275" s="167"/>
      <c r="S3275" s="167">
        <v>1511.0</v>
      </c>
      <c r="T3275" s="168">
        <f t="shared" si="3"/>
        <v>444489.05</v>
      </c>
      <c r="U3275" s="168">
        <f t="shared" si="4"/>
        <v>0</v>
      </c>
      <c r="V3275" s="168">
        <f t="shared" si="5"/>
        <v>0</v>
      </c>
      <c r="W3275" s="168">
        <f t="shared" si="6"/>
        <v>0</v>
      </c>
      <c r="X3275" s="168">
        <f t="shared" si="7"/>
        <v>0</v>
      </c>
      <c r="Y3275" s="168">
        <f t="shared" si="8"/>
        <v>0</v>
      </c>
      <c r="Z3275" s="168">
        <f t="shared" si="9"/>
        <v>0</v>
      </c>
    </row>
    <row r="3276" ht="15.0" customHeight="1">
      <c r="A3276" s="157" t="s">
        <v>3990</v>
      </c>
      <c r="B3276" s="158" t="s">
        <v>27</v>
      </c>
      <c r="C3276" s="158" t="s">
        <v>3991</v>
      </c>
      <c r="D3276" s="159">
        <v>44742.0</v>
      </c>
      <c r="E3276" s="157" t="s">
        <v>731</v>
      </c>
      <c r="F3276" s="160">
        <v>135099.71</v>
      </c>
      <c r="G3276" s="160">
        <v>21615.95</v>
      </c>
      <c r="H3276" s="160">
        <f t="shared" si="97"/>
        <v>156715.66</v>
      </c>
      <c r="I3276" s="160"/>
      <c r="J3276" s="161"/>
      <c r="K3276" s="160"/>
      <c r="L3276" s="160">
        <f>+'FACP$'!$H3276-'FACP$'!$I3276-'FACP$'!$K3276</f>
        <v>156715.66</v>
      </c>
      <c r="M3276" s="162" t="s">
        <v>151</v>
      </c>
      <c r="N3276" s="162" t="s">
        <v>554</v>
      </c>
      <c r="O3276" s="164">
        <v>44783.0</v>
      </c>
      <c r="P3276" s="164">
        <f t="array" ref="P3276">XLOOKUP('FACP$'!$B3276,'perfil de pagos'!A:A,'perfil de pagos'!B:B)+'FACP$'!$D3276</f>
        <v>44772</v>
      </c>
      <c r="Q3276" s="165">
        <f t="shared" si="2"/>
        <v>0</v>
      </c>
      <c r="R3276" s="167"/>
      <c r="S3276" s="167">
        <v>1511.0</v>
      </c>
      <c r="T3276" s="168">
        <f t="shared" si="3"/>
        <v>156715.66</v>
      </c>
      <c r="U3276" s="168">
        <f t="shared" si="4"/>
        <v>0</v>
      </c>
      <c r="V3276" s="168">
        <f t="shared" si="5"/>
        <v>0</v>
      </c>
      <c r="W3276" s="168">
        <f t="shared" si="6"/>
        <v>0</v>
      </c>
      <c r="X3276" s="168">
        <f t="shared" si="7"/>
        <v>0</v>
      </c>
      <c r="Y3276" s="168">
        <f t="shared" si="8"/>
        <v>0</v>
      </c>
      <c r="Z3276" s="168">
        <f t="shared" si="9"/>
        <v>0</v>
      </c>
    </row>
    <row r="3277" ht="15.0" customHeight="1">
      <c r="A3277" s="157" t="s">
        <v>3992</v>
      </c>
      <c r="B3277" s="158" t="s">
        <v>27</v>
      </c>
      <c r="C3277" s="158" t="s">
        <v>3993</v>
      </c>
      <c r="D3277" s="159">
        <v>44742.0</v>
      </c>
      <c r="E3277" s="157" t="s">
        <v>731</v>
      </c>
      <c r="F3277" s="160">
        <v>21083.78</v>
      </c>
      <c r="G3277" s="160">
        <v>3373.4</v>
      </c>
      <c r="H3277" s="160">
        <f t="shared" si="97"/>
        <v>24457.18</v>
      </c>
      <c r="I3277" s="160"/>
      <c r="J3277" s="161"/>
      <c r="K3277" s="160"/>
      <c r="L3277" s="160">
        <f>+'FACP$'!$H3277-'FACP$'!$I3277-'FACP$'!$K3277</f>
        <v>24457.18</v>
      </c>
      <c r="M3277" s="162" t="s">
        <v>151</v>
      </c>
      <c r="N3277" s="162" t="s">
        <v>554</v>
      </c>
      <c r="O3277" s="164">
        <v>44783.0</v>
      </c>
      <c r="P3277" s="164">
        <f t="array" ref="P3277">XLOOKUP('FACP$'!$B3277,'perfil de pagos'!A:A,'perfil de pagos'!B:B)+'FACP$'!$D3277</f>
        <v>44772</v>
      </c>
      <c r="Q3277" s="165">
        <f t="shared" si="2"/>
        <v>0</v>
      </c>
      <c r="R3277" s="167"/>
      <c r="S3277" s="167">
        <v>1511.0</v>
      </c>
      <c r="T3277" s="168">
        <f t="shared" si="3"/>
        <v>24457.18</v>
      </c>
      <c r="U3277" s="168">
        <f t="shared" si="4"/>
        <v>0</v>
      </c>
      <c r="V3277" s="168">
        <f t="shared" si="5"/>
        <v>0</v>
      </c>
      <c r="W3277" s="168">
        <f t="shared" si="6"/>
        <v>0</v>
      </c>
      <c r="X3277" s="168">
        <f t="shared" si="7"/>
        <v>0</v>
      </c>
      <c r="Y3277" s="168">
        <f t="shared" si="8"/>
        <v>0</v>
      </c>
      <c r="Z3277" s="168">
        <f t="shared" si="9"/>
        <v>0</v>
      </c>
    </row>
    <row r="3278" ht="15.0" customHeight="1">
      <c r="A3278" s="157" t="s">
        <v>3994</v>
      </c>
      <c r="B3278" s="158" t="s">
        <v>27</v>
      </c>
      <c r="C3278" s="158" t="s">
        <v>3995</v>
      </c>
      <c r="D3278" s="159">
        <v>44742.0</v>
      </c>
      <c r="E3278" s="157" t="s">
        <v>731</v>
      </c>
      <c r="F3278" s="160">
        <v>7433.61</v>
      </c>
      <c r="G3278" s="160">
        <v>1189.38</v>
      </c>
      <c r="H3278" s="160">
        <f t="shared" si="97"/>
        <v>8622.99</v>
      </c>
      <c r="I3278" s="160"/>
      <c r="J3278" s="161"/>
      <c r="K3278" s="160"/>
      <c r="L3278" s="160">
        <f>+'FACP$'!$H3278-'FACP$'!$I3278-'FACP$'!$K3278</f>
        <v>8622.99</v>
      </c>
      <c r="M3278" s="162" t="s">
        <v>151</v>
      </c>
      <c r="N3278" s="162" t="s">
        <v>554</v>
      </c>
      <c r="O3278" s="164">
        <v>44783.0</v>
      </c>
      <c r="P3278" s="164">
        <f t="array" ref="P3278">XLOOKUP('FACP$'!$B3278,'perfil de pagos'!A:A,'perfil de pagos'!B:B)+'FACP$'!$D3278</f>
        <v>44772</v>
      </c>
      <c r="Q3278" s="165">
        <f t="shared" si="2"/>
        <v>0</v>
      </c>
      <c r="R3278" s="167"/>
      <c r="S3278" s="167">
        <v>1511.0</v>
      </c>
      <c r="T3278" s="168">
        <f t="shared" si="3"/>
        <v>8622.99</v>
      </c>
      <c r="U3278" s="168">
        <f t="shared" si="4"/>
        <v>0</v>
      </c>
      <c r="V3278" s="168">
        <f t="shared" si="5"/>
        <v>0</v>
      </c>
      <c r="W3278" s="168">
        <f t="shared" si="6"/>
        <v>0</v>
      </c>
      <c r="X3278" s="168">
        <f t="shared" si="7"/>
        <v>0</v>
      </c>
      <c r="Y3278" s="168">
        <f t="shared" si="8"/>
        <v>0</v>
      </c>
      <c r="Z3278" s="168">
        <f t="shared" si="9"/>
        <v>0</v>
      </c>
    </row>
    <row r="3279" ht="15.0" customHeight="1">
      <c r="A3279" s="157" t="s">
        <v>3996</v>
      </c>
      <c r="B3279" s="158" t="s">
        <v>41</v>
      </c>
      <c r="C3279" s="158" t="s">
        <v>3997</v>
      </c>
      <c r="D3279" s="159">
        <v>44747.0</v>
      </c>
      <c r="E3279" s="157" t="s">
        <v>731</v>
      </c>
      <c r="F3279" s="160">
        <v>386855.42</v>
      </c>
      <c r="G3279" s="160">
        <v>61896.87</v>
      </c>
      <c r="H3279" s="160">
        <f t="shared" si="97"/>
        <v>448752.29</v>
      </c>
      <c r="I3279" s="160"/>
      <c r="J3279" s="161"/>
      <c r="K3279" s="160"/>
      <c r="L3279" s="160">
        <f>+'FACP$'!$H3279-'FACP$'!$I3279-'FACP$'!$K3279</f>
        <v>448752.29</v>
      </c>
      <c r="M3279" s="162" t="s">
        <v>121</v>
      </c>
      <c r="N3279" s="162" t="s">
        <v>554</v>
      </c>
      <c r="O3279" s="164">
        <v>44819.0</v>
      </c>
      <c r="P3279" s="164">
        <f t="array" ref="P3279">XLOOKUP('FACP$'!$B3279,'perfil de pagos'!A:A,'perfil de pagos'!B:B)+'FACP$'!$D3279</f>
        <v>44757</v>
      </c>
      <c r="Q3279" s="165">
        <f t="shared" si="2"/>
        <v>0</v>
      </c>
      <c r="R3279" s="167"/>
      <c r="S3279" s="167">
        <v>1573.0</v>
      </c>
      <c r="T3279" s="168">
        <f t="shared" si="3"/>
        <v>448752.29</v>
      </c>
      <c r="U3279" s="168">
        <f t="shared" si="4"/>
        <v>0</v>
      </c>
      <c r="V3279" s="168">
        <f t="shared" si="5"/>
        <v>0</v>
      </c>
      <c r="W3279" s="168">
        <f t="shared" si="6"/>
        <v>0</v>
      </c>
      <c r="X3279" s="168">
        <f t="shared" si="7"/>
        <v>0</v>
      </c>
      <c r="Y3279" s="168">
        <f t="shared" si="8"/>
        <v>0</v>
      </c>
      <c r="Z3279" s="168">
        <f t="shared" si="9"/>
        <v>0</v>
      </c>
    </row>
    <row r="3280" ht="15.0" customHeight="1">
      <c r="A3280" s="157" t="s">
        <v>3998</v>
      </c>
      <c r="B3280" s="158" t="s">
        <v>36</v>
      </c>
      <c r="C3280" s="158" t="s">
        <v>3997</v>
      </c>
      <c r="D3280" s="159">
        <v>44747.0</v>
      </c>
      <c r="E3280" s="157" t="s">
        <v>731</v>
      </c>
      <c r="F3280" s="160">
        <v>154315.42</v>
      </c>
      <c r="G3280" s="160">
        <v>24690.47</v>
      </c>
      <c r="H3280" s="160">
        <f t="shared" si="97"/>
        <v>179005.89</v>
      </c>
      <c r="I3280" s="160"/>
      <c r="J3280" s="161"/>
      <c r="K3280" s="160"/>
      <c r="L3280" s="160">
        <f>+'FACP$'!$H3280-'FACP$'!$I3280-'FACP$'!$K3280</f>
        <v>179005.89</v>
      </c>
      <c r="M3280" s="162" t="s">
        <v>278</v>
      </c>
      <c r="N3280" s="162" t="s">
        <v>554</v>
      </c>
      <c r="O3280" s="164">
        <v>44755.0</v>
      </c>
      <c r="P3280" s="164">
        <f t="array" ref="P3280">XLOOKUP('FACP$'!$B3280,'perfil de pagos'!A:A,'perfil de pagos'!B:B)+'FACP$'!$D3280</f>
        <v>44757</v>
      </c>
      <c r="Q3280" s="165">
        <f t="shared" si="2"/>
        <v>0</v>
      </c>
      <c r="R3280" s="167"/>
      <c r="S3280" s="167"/>
      <c r="T3280" s="168">
        <f t="shared" si="3"/>
        <v>179005.89</v>
      </c>
      <c r="U3280" s="168">
        <f t="shared" si="4"/>
        <v>0</v>
      </c>
      <c r="V3280" s="168">
        <f t="shared" si="5"/>
        <v>0</v>
      </c>
      <c r="W3280" s="168">
        <f t="shared" si="6"/>
        <v>0</v>
      </c>
      <c r="X3280" s="168">
        <f t="shared" si="7"/>
        <v>0</v>
      </c>
      <c r="Y3280" s="168">
        <f t="shared" si="8"/>
        <v>0</v>
      </c>
      <c r="Z3280" s="168">
        <f t="shared" si="9"/>
        <v>0</v>
      </c>
    </row>
    <row r="3281" ht="15.0" customHeight="1">
      <c r="A3281" s="157" t="s">
        <v>3999</v>
      </c>
      <c r="B3281" s="158" t="s">
        <v>27</v>
      </c>
      <c r="C3281" s="158" t="s">
        <v>4000</v>
      </c>
      <c r="D3281" s="159">
        <v>44747.0</v>
      </c>
      <c r="E3281" s="157" t="s">
        <v>731</v>
      </c>
      <c r="F3281" s="160">
        <v>16683.62</v>
      </c>
      <c r="G3281" s="160">
        <v>2669.38</v>
      </c>
      <c r="H3281" s="160">
        <f t="shared" si="97"/>
        <v>19353</v>
      </c>
      <c r="I3281" s="160"/>
      <c r="J3281" s="161"/>
      <c r="K3281" s="160"/>
      <c r="L3281" s="160">
        <f>+'FACP$'!$H3281-'FACP$'!$I3281-'FACP$'!$K3281</f>
        <v>19353</v>
      </c>
      <c r="M3281" s="162" t="s">
        <v>158</v>
      </c>
      <c r="N3281" s="162" t="s">
        <v>554</v>
      </c>
      <c r="O3281" s="164">
        <v>44798.0</v>
      </c>
      <c r="P3281" s="164">
        <f t="array" ref="P3281">XLOOKUP('FACP$'!$B3281,'perfil de pagos'!A:A,'perfil de pagos'!B:B)+'FACP$'!$D3281</f>
        <v>44777</v>
      </c>
      <c r="Q3281" s="165">
        <f t="shared" si="2"/>
        <v>0</v>
      </c>
      <c r="R3281" s="167"/>
      <c r="S3281" s="167"/>
      <c r="T3281" s="168">
        <f t="shared" si="3"/>
        <v>19353</v>
      </c>
      <c r="U3281" s="168">
        <f t="shared" si="4"/>
        <v>0</v>
      </c>
      <c r="V3281" s="168">
        <f t="shared" si="5"/>
        <v>0</v>
      </c>
      <c r="W3281" s="168">
        <f t="shared" si="6"/>
        <v>0</v>
      </c>
      <c r="X3281" s="168">
        <f t="shared" si="7"/>
        <v>0</v>
      </c>
      <c r="Y3281" s="168">
        <f t="shared" si="8"/>
        <v>0</v>
      </c>
      <c r="Z3281" s="168">
        <f t="shared" si="9"/>
        <v>0</v>
      </c>
    </row>
    <row r="3282" ht="15.0" customHeight="1">
      <c r="A3282" s="157" t="s">
        <v>4001</v>
      </c>
      <c r="B3282" s="158" t="s">
        <v>27</v>
      </c>
      <c r="C3282" s="158" t="s">
        <v>4002</v>
      </c>
      <c r="D3282" s="159">
        <v>44747.0</v>
      </c>
      <c r="E3282" s="157" t="s">
        <v>731</v>
      </c>
      <c r="F3282" s="160">
        <v>5003.09</v>
      </c>
      <c r="G3282" s="160">
        <v>800.49</v>
      </c>
      <c r="H3282" s="160">
        <f t="shared" si="97"/>
        <v>5803.58</v>
      </c>
      <c r="I3282" s="160"/>
      <c r="J3282" s="161"/>
      <c r="K3282" s="160"/>
      <c r="L3282" s="160">
        <f>+'FACP$'!$H3282-'FACP$'!$I3282-'FACP$'!$K3282</f>
        <v>5803.58</v>
      </c>
      <c r="M3282" s="162" t="s">
        <v>158</v>
      </c>
      <c r="N3282" s="162" t="s">
        <v>554</v>
      </c>
      <c r="O3282" s="164">
        <v>44813.0</v>
      </c>
      <c r="P3282" s="164">
        <f t="array" ref="P3282">XLOOKUP('FACP$'!$B3282,'perfil de pagos'!A:A,'perfil de pagos'!B:B)+'FACP$'!$D3282</f>
        <v>44777</v>
      </c>
      <c r="Q3282" s="165">
        <f t="shared" si="2"/>
        <v>0</v>
      </c>
      <c r="R3282" s="167"/>
      <c r="S3282" s="167">
        <v>1545.0</v>
      </c>
      <c r="T3282" s="168">
        <f t="shared" si="3"/>
        <v>5803.58</v>
      </c>
      <c r="U3282" s="168">
        <f t="shared" si="4"/>
        <v>0</v>
      </c>
      <c r="V3282" s="168">
        <f t="shared" si="5"/>
        <v>0</v>
      </c>
      <c r="W3282" s="168">
        <f t="shared" si="6"/>
        <v>0</v>
      </c>
      <c r="X3282" s="168">
        <f t="shared" si="7"/>
        <v>0</v>
      </c>
      <c r="Y3282" s="168">
        <f t="shared" si="8"/>
        <v>0</v>
      </c>
      <c r="Z3282" s="168">
        <f t="shared" si="9"/>
        <v>0</v>
      </c>
    </row>
    <row r="3283" ht="15.0" customHeight="1">
      <c r="A3283" s="157" t="s">
        <v>4003</v>
      </c>
      <c r="B3283" s="158" t="s">
        <v>27</v>
      </c>
      <c r="C3283" s="158" t="s">
        <v>4000</v>
      </c>
      <c r="D3283" s="159">
        <v>44747.0</v>
      </c>
      <c r="E3283" s="157" t="s">
        <v>731</v>
      </c>
      <c r="F3283" s="160">
        <v>20791.2</v>
      </c>
      <c r="G3283" s="160">
        <v>3326.59</v>
      </c>
      <c r="H3283" s="160">
        <f t="shared" si="97"/>
        <v>24117.79</v>
      </c>
      <c r="I3283" s="160"/>
      <c r="J3283" s="161"/>
      <c r="K3283" s="160"/>
      <c r="L3283" s="160">
        <f>+'FACP$'!$H3283-'FACP$'!$I3283-'FACP$'!$K3283</f>
        <v>24117.79</v>
      </c>
      <c r="M3283" s="162" t="s">
        <v>151</v>
      </c>
      <c r="N3283" s="162" t="s">
        <v>554</v>
      </c>
      <c r="O3283" s="164">
        <v>44798.0</v>
      </c>
      <c r="P3283" s="164">
        <f t="array" ref="P3283">XLOOKUP('FACP$'!$B3283,'perfil de pagos'!A:A,'perfil de pagos'!B:B)+'FACP$'!$D3283</f>
        <v>44777</v>
      </c>
      <c r="Q3283" s="165">
        <f t="shared" si="2"/>
        <v>0</v>
      </c>
      <c r="R3283" s="167"/>
      <c r="S3283" s="167"/>
      <c r="T3283" s="168">
        <f t="shared" si="3"/>
        <v>24117.79</v>
      </c>
      <c r="U3283" s="168">
        <f t="shared" si="4"/>
        <v>0</v>
      </c>
      <c r="V3283" s="168">
        <f t="shared" si="5"/>
        <v>0</v>
      </c>
      <c r="W3283" s="168">
        <f t="shared" si="6"/>
        <v>0</v>
      </c>
      <c r="X3283" s="168">
        <f t="shared" si="7"/>
        <v>0</v>
      </c>
      <c r="Y3283" s="168">
        <f t="shared" si="8"/>
        <v>0</v>
      </c>
      <c r="Z3283" s="168">
        <f t="shared" si="9"/>
        <v>0</v>
      </c>
    </row>
    <row r="3284" ht="15.0" customHeight="1">
      <c r="A3284" s="157" t="s">
        <v>4004</v>
      </c>
      <c r="B3284" s="158" t="s">
        <v>27</v>
      </c>
      <c r="C3284" s="158" t="s">
        <v>4002</v>
      </c>
      <c r="D3284" s="159">
        <v>44747.0</v>
      </c>
      <c r="E3284" s="157" t="s">
        <v>731</v>
      </c>
      <c r="F3284" s="160">
        <v>7700.22</v>
      </c>
      <c r="G3284" s="160">
        <v>1232.04</v>
      </c>
      <c r="H3284" s="160">
        <f t="shared" si="97"/>
        <v>8932.26</v>
      </c>
      <c r="I3284" s="160"/>
      <c r="J3284" s="161"/>
      <c r="K3284" s="160"/>
      <c r="L3284" s="160">
        <f>+'FACP$'!$H3284-'FACP$'!$I3284-'FACP$'!$K3284</f>
        <v>8932.26</v>
      </c>
      <c r="M3284" s="162" t="s">
        <v>151</v>
      </c>
      <c r="N3284" s="162" t="s">
        <v>554</v>
      </c>
      <c r="O3284" s="164">
        <v>44813.0</v>
      </c>
      <c r="P3284" s="164">
        <f t="array" ref="P3284">XLOOKUP('FACP$'!$B3284,'perfil de pagos'!A:A,'perfil de pagos'!B:B)+'FACP$'!$D3284</f>
        <v>44777</v>
      </c>
      <c r="Q3284" s="165">
        <f t="shared" si="2"/>
        <v>0</v>
      </c>
      <c r="R3284" s="167"/>
      <c r="S3284" s="167"/>
      <c r="T3284" s="168">
        <f t="shared" si="3"/>
        <v>8932.26</v>
      </c>
      <c r="U3284" s="168">
        <f t="shared" si="4"/>
        <v>0</v>
      </c>
      <c r="V3284" s="168">
        <f t="shared" si="5"/>
        <v>0</v>
      </c>
      <c r="W3284" s="168">
        <f t="shared" si="6"/>
        <v>0</v>
      </c>
      <c r="X3284" s="168">
        <f t="shared" si="7"/>
        <v>0</v>
      </c>
      <c r="Y3284" s="168">
        <f t="shared" si="8"/>
        <v>0</v>
      </c>
      <c r="Z3284" s="168">
        <f t="shared" si="9"/>
        <v>0</v>
      </c>
    </row>
    <row r="3285" ht="15.0" customHeight="1">
      <c r="A3285" s="157" t="s">
        <v>4005</v>
      </c>
      <c r="B3285" s="158" t="s">
        <v>27</v>
      </c>
      <c r="C3285" s="158" t="s">
        <v>4006</v>
      </c>
      <c r="D3285" s="159">
        <v>44747.0</v>
      </c>
      <c r="E3285" s="157" t="s">
        <v>731</v>
      </c>
      <c r="F3285" s="160">
        <v>915.2</v>
      </c>
      <c r="G3285" s="160">
        <v>146.43</v>
      </c>
      <c r="H3285" s="160">
        <f t="shared" si="97"/>
        <v>1061.63</v>
      </c>
      <c r="I3285" s="160"/>
      <c r="J3285" s="161"/>
      <c r="K3285" s="160"/>
      <c r="L3285" s="160">
        <f>+'FACP$'!$H3285-'FACP$'!$I3285-'FACP$'!$K3285</f>
        <v>1061.63</v>
      </c>
      <c r="M3285" s="162" t="s">
        <v>151</v>
      </c>
      <c r="N3285" s="162" t="s">
        <v>554</v>
      </c>
      <c r="O3285" s="164">
        <v>44798.0</v>
      </c>
      <c r="P3285" s="164">
        <f t="array" ref="P3285">XLOOKUP('FACP$'!$B3285,'perfil de pagos'!A:A,'perfil de pagos'!B:B)+'FACP$'!$D3285</f>
        <v>44777</v>
      </c>
      <c r="Q3285" s="165">
        <f t="shared" si="2"/>
        <v>0</v>
      </c>
      <c r="R3285" s="167"/>
      <c r="S3285" s="167">
        <v>1545.0</v>
      </c>
      <c r="T3285" s="168">
        <f t="shared" si="3"/>
        <v>1061.63</v>
      </c>
      <c r="U3285" s="168">
        <f t="shared" si="4"/>
        <v>0</v>
      </c>
      <c r="V3285" s="168">
        <f t="shared" si="5"/>
        <v>0</v>
      </c>
      <c r="W3285" s="168">
        <f t="shared" si="6"/>
        <v>0</v>
      </c>
      <c r="X3285" s="168">
        <f t="shared" si="7"/>
        <v>0</v>
      </c>
      <c r="Y3285" s="168">
        <f t="shared" si="8"/>
        <v>0</v>
      </c>
      <c r="Z3285" s="168">
        <f t="shared" si="9"/>
        <v>0</v>
      </c>
    </row>
    <row r="3286" ht="15.0" customHeight="1">
      <c r="A3286" s="157" t="s">
        <v>4007</v>
      </c>
      <c r="B3286" s="158" t="s">
        <v>27</v>
      </c>
      <c r="C3286" s="158" t="s">
        <v>4008</v>
      </c>
      <c r="D3286" s="159">
        <v>44747.0</v>
      </c>
      <c r="E3286" s="157" t="s">
        <v>731</v>
      </c>
      <c r="F3286" s="160">
        <v>342.78</v>
      </c>
      <c r="G3286" s="160">
        <v>54.84</v>
      </c>
      <c r="H3286" s="160">
        <f t="shared" si="97"/>
        <v>397.62</v>
      </c>
      <c r="I3286" s="160"/>
      <c r="J3286" s="161"/>
      <c r="K3286" s="160"/>
      <c r="L3286" s="160">
        <f>+'FACP$'!$H3286-'FACP$'!$I3286-'FACP$'!$K3286</f>
        <v>397.62</v>
      </c>
      <c r="M3286" s="162" t="s">
        <v>151</v>
      </c>
      <c r="N3286" s="162" t="s">
        <v>554</v>
      </c>
      <c r="O3286" s="164">
        <v>44813.0</v>
      </c>
      <c r="P3286" s="164">
        <f t="array" ref="P3286">XLOOKUP('FACP$'!$B3286,'perfil de pagos'!A:A,'perfil de pagos'!B:B)+'FACP$'!$D3286</f>
        <v>44777</v>
      </c>
      <c r="Q3286" s="165">
        <f t="shared" si="2"/>
        <v>0</v>
      </c>
      <c r="R3286" s="167"/>
      <c r="S3286" s="167">
        <v>1545.0</v>
      </c>
      <c r="T3286" s="168">
        <f t="shared" si="3"/>
        <v>397.62</v>
      </c>
      <c r="U3286" s="168">
        <f t="shared" si="4"/>
        <v>0</v>
      </c>
      <c r="V3286" s="168">
        <f t="shared" si="5"/>
        <v>0</v>
      </c>
      <c r="W3286" s="168">
        <f t="shared" si="6"/>
        <v>0</v>
      </c>
      <c r="X3286" s="168">
        <f t="shared" si="7"/>
        <v>0</v>
      </c>
      <c r="Y3286" s="168">
        <f t="shared" si="8"/>
        <v>0</v>
      </c>
      <c r="Z3286" s="168">
        <f t="shared" si="9"/>
        <v>0</v>
      </c>
    </row>
    <row r="3287" ht="15.0" customHeight="1">
      <c r="A3287" s="157" t="s">
        <v>4009</v>
      </c>
      <c r="B3287" s="158" t="s">
        <v>16</v>
      </c>
      <c r="C3287" s="158" t="s">
        <v>3997</v>
      </c>
      <c r="D3287" s="159">
        <v>44749.0</v>
      </c>
      <c r="E3287" s="157" t="s">
        <v>731</v>
      </c>
      <c r="F3287" s="160">
        <v>602566.31</v>
      </c>
      <c r="G3287" s="160">
        <v>96410.61</v>
      </c>
      <c r="H3287" s="160">
        <f t="shared" si="97"/>
        <v>698976.92</v>
      </c>
      <c r="I3287" s="160"/>
      <c r="J3287" s="161"/>
      <c r="K3287" s="160"/>
      <c r="L3287" s="160">
        <f>+'FACP$'!$H3287-'FACP$'!$I3287-'FACP$'!$K3287</f>
        <v>698976.92</v>
      </c>
      <c r="M3287" s="162" t="s">
        <v>985</v>
      </c>
      <c r="N3287" s="162" t="s">
        <v>554</v>
      </c>
      <c r="O3287" s="164">
        <v>44771.0</v>
      </c>
      <c r="P3287" s="164">
        <f t="array" ref="P3287">XLOOKUP('FACP$'!$B3287,'perfil de pagos'!A:A,'perfil de pagos'!B:B)+'FACP$'!$D3287</f>
        <v>44759</v>
      </c>
      <c r="Q3287" s="165">
        <f t="shared" si="2"/>
        <v>0</v>
      </c>
      <c r="R3287" s="167"/>
      <c r="S3287" s="167">
        <v>1503.0</v>
      </c>
      <c r="T3287" s="168">
        <f t="shared" si="3"/>
        <v>698976.92</v>
      </c>
      <c r="U3287" s="168">
        <f t="shared" si="4"/>
        <v>0</v>
      </c>
      <c r="V3287" s="168">
        <f t="shared" si="5"/>
        <v>0</v>
      </c>
      <c r="W3287" s="168">
        <f t="shared" si="6"/>
        <v>0</v>
      </c>
      <c r="X3287" s="168">
        <f t="shared" si="7"/>
        <v>0</v>
      </c>
      <c r="Y3287" s="168">
        <f t="shared" si="8"/>
        <v>0</v>
      </c>
      <c r="Z3287" s="168">
        <f t="shared" si="9"/>
        <v>0</v>
      </c>
    </row>
    <row r="3288" ht="15.0" customHeight="1">
      <c r="A3288" s="157" t="s">
        <v>4010</v>
      </c>
      <c r="B3288" s="158" t="s">
        <v>16</v>
      </c>
      <c r="C3288" s="158" t="s">
        <v>4011</v>
      </c>
      <c r="D3288" s="159">
        <v>44749.0</v>
      </c>
      <c r="E3288" s="157" t="s">
        <v>731</v>
      </c>
      <c r="F3288" s="160">
        <v>381284.74</v>
      </c>
      <c r="G3288" s="160">
        <v>61005.56</v>
      </c>
      <c r="H3288" s="160">
        <f t="shared" si="97"/>
        <v>442290.3</v>
      </c>
      <c r="I3288" s="160"/>
      <c r="J3288" s="161"/>
      <c r="K3288" s="160"/>
      <c r="L3288" s="160">
        <f>+'FACP$'!$H3288-'FACP$'!$I3288-'FACP$'!$K3288</f>
        <v>442290.3</v>
      </c>
      <c r="M3288" s="162" t="s">
        <v>985</v>
      </c>
      <c r="N3288" s="162" t="s">
        <v>554</v>
      </c>
      <c r="O3288" s="164">
        <v>44771.0</v>
      </c>
      <c r="P3288" s="164">
        <f t="array" ref="P3288">XLOOKUP('FACP$'!$B3288,'perfil de pagos'!A:A,'perfil de pagos'!B:B)+'FACP$'!$D3288</f>
        <v>44759</v>
      </c>
      <c r="Q3288" s="165">
        <f t="shared" si="2"/>
        <v>0</v>
      </c>
      <c r="R3288" s="167"/>
      <c r="S3288" s="167">
        <v>1503.0</v>
      </c>
      <c r="T3288" s="168">
        <f t="shared" si="3"/>
        <v>442290.3</v>
      </c>
      <c r="U3288" s="168">
        <f t="shared" si="4"/>
        <v>0</v>
      </c>
      <c r="V3288" s="168">
        <f t="shared" si="5"/>
        <v>0</v>
      </c>
      <c r="W3288" s="168">
        <f t="shared" si="6"/>
        <v>0</v>
      </c>
      <c r="X3288" s="168">
        <f t="shared" si="7"/>
        <v>0</v>
      </c>
      <c r="Y3288" s="168">
        <f t="shared" si="8"/>
        <v>0</v>
      </c>
      <c r="Z3288" s="168">
        <f t="shared" si="9"/>
        <v>0</v>
      </c>
    </row>
    <row r="3289" ht="15.0" customHeight="1">
      <c r="A3289" s="157" t="s">
        <v>4012</v>
      </c>
      <c r="B3289" s="158" t="s">
        <v>18</v>
      </c>
      <c r="C3289" s="158" t="s">
        <v>3997</v>
      </c>
      <c r="D3289" s="159">
        <v>44749.0</v>
      </c>
      <c r="E3289" s="157" t="s">
        <v>731</v>
      </c>
      <c r="F3289" s="160">
        <v>246221.25</v>
      </c>
      <c r="G3289" s="160">
        <v>39395.4</v>
      </c>
      <c r="H3289" s="160">
        <f t="shared" si="97"/>
        <v>285616.65</v>
      </c>
      <c r="I3289" s="160"/>
      <c r="J3289" s="161"/>
      <c r="K3289" s="160"/>
      <c r="L3289" s="160">
        <f>+'FACP$'!$H3289-'FACP$'!$I3289-'FACP$'!$K3289</f>
        <v>285616.65</v>
      </c>
      <c r="M3289" s="162" t="s">
        <v>586</v>
      </c>
      <c r="N3289" s="162" t="s">
        <v>554</v>
      </c>
      <c r="O3289" s="164">
        <v>44832.0</v>
      </c>
      <c r="P3289" s="164">
        <f t="array" ref="P3289">XLOOKUP('FACP$'!$B3289,'perfil de pagos'!A:A,'perfil de pagos'!B:B)+'FACP$'!$D3289</f>
        <v>44759</v>
      </c>
      <c r="Q3289" s="165">
        <f t="shared" si="2"/>
        <v>0</v>
      </c>
      <c r="R3289" s="167"/>
      <c r="S3289" s="167">
        <v>1584.0</v>
      </c>
      <c r="T3289" s="168">
        <f t="shared" si="3"/>
        <v>285616.65</v>
      </c>
      <c r="U3289" s="168">
        <f t="shared" si="4"/>
        <v>0</v>
      </c>
      <c r="V3289" s="168">
        <f t="shared" si="5"/>
        <v>0</v>
      </c>
      <c r="W3289" s="168">
        <f t="shared" si="6"/>
        <v>0</v>
      </c>
      <c r="X3289" s="168">
        <f t="shared" si="7"/>
        <v>0</v>
      </c>
      <c r="Y3289" s="168">
        <f t="shared" si="8"/>
        <v>0</v>
      </c>
      <c r="Z3289" s="168">
        <f t="shared" si="9"/>
        <v>0</v>
      </c>
    </row>
    <row r="3290" ht="15.0" customHeight="1">
      <c r="A3290" s="157" t="s">
        <v>4013</v>
      </c>
      <c r="B3290" s="158" t="s">
        <v>19</v>
      </c>
      <c r="C3290" s="158" t="s">
        <v>3997</v>
      </c>
      <c r="D3290" s="159">
        <v>44749.0</v>
      </c>
      <c r="E3290" s="157" t="s">
        <v>731</v>
      </c>
      <c r="F3290" s="160">
        <v>340284.06</v>
      </c>
      <c r="G3290" s="160">
        <v>54445.45</v>
      </c>
      <c r="H3290" s="160">
        <f t="shared" si="97"/>
        <v>394729.51</v>
      </c>
      <c r="I3290" s="160"/>
      <c r="J3290" s="161"/>
      <c r="K3290" s="160"/>
      <c r="L3290" s="160">
        <f>+'FACP$'!$H3290-'FACP$'!$I3290-'FACP$'!$K3290</f>
        <v>394729.51</v>
      </c>
      <c r="M3290" s="162" t="s">
        <v>732</v>
      </c>
      <c r="N3290" s="162" t="s">
        <v>554</v>
      </c>
      <c r="O3290" s="164">
        <v>44832.0</v>
      </c>
      <c r="P3290" s="164">
        <f t="array" ref="P3290">XLOOKUP('FACP$'!$B3290,'perfil de pagos'!A:A,'perfil de pagos'!B:B)+'FACP$'!$D3290</f>
        <v>44759</v>
      </c>
      <c r="Q3290" s="165">
        <f t="shared" si="2"/>
        <v>0</v>
      </c>
      <c r="R3290" s="167"/>
      <c r="S3290" s="167">
        <v>1584.0</v>
      </c>
      <c r="T3290" s="168">
        <f t="shared" si="3"/>
        <v>394729.51</v>
      </c>
      <c r="U3290" s="168">
        <f t="shared" si="4"/>
        <v>0</v>
      </c>
      <c r="V3290" s="168">
        <f t="shared" si="5"/>
        <v>0</v>
      </c>
      <c r="W3290" s="168">
        <f t="shared" si="6"/>
        <v>0</v>
      </c>
      <c r="X3290" s="168">
        <f t="shared" si="7"/>
        <v>0</v>
      </c>
      <c r="Y3290" s="168">
        <f t="shared" si="8"/>
        <v>0</v>
      </c>
      <c r="Z3290" s="168">
        <f t="shared" si="9"/>
        <v>0</v>
      </c>
    </row>
    <row r="3291" ht="15.0" customHeight="1">
      <c r="A3291" s="157" t="s">
        <v>4014</v>
      </c>
      <c r="B3291" s="158" t="s">
        <v>22</v>
      </c>
      <c r="C3291" s="158" t="s">
        <v>3997</v>
      </c>
      <c r="D3291" s="159">
        <v>44749.0</v>
      </c>
      <c r="E3291" s="157" t="s">
        <v>731</v>
      </c>
      <c r="F3291" s="160">
        <v>411717.07</v>
      </c>
      <c r="G3291" s="160">
        <v>65874.73</v>
      </c>
      <c r="H3291" s="160">
        <f t="shared" si="97"/>
        <v>477591.8</v>
      </c>
      <c r="I3291" s="160"/>
      <c r="J3291" s="161"/>
      <c r="K3291" s="160"/>
      <c r="L3291" s="160">
        <f>+'FACP$'!$H3291-'FACP$'!$I3291-'FACP$'!$K3291</f>
        <v>477591.8</v>
      </c>
      <c r="M3291" s="162" t="s">
        <v>220</v>
      </c>
      <c r="N3291" s="162" t="s">
        <v>554</v>
      </c>
      <c r="O3291" s="164">
        <v>44796.0</v>
      </c>
      <c r="P3291" s="164">
        <f t="array" ref="P3291">XLOOKUP('FACP$'!$B3291,'perfil de pagos'!A:A,'perfil de pagos'!B:B)+'FACP$'!$D3291</f>
        <v>44759</v>
      </c>
      <c r="Q3291" s="165">
        <f t="shared" si="2"/>
        <v>0</v>
      </c>
      <c r="R3291" s="167"/>
      <c r="S3291" s="167" t="s">
        <v>4015</v>
      </c>
      <c r="T3291" s="168">
        <f t="shared" si="3"/>
        <v>477591.8</v>
      </c>
      <c r="U3291" s="168">
        <f t="shared" si="4"/>
        <v>0</v>
      </c>
      <c r="V3291" s="168">
        <f t="shared" si="5"/>
        <v>0</v>
      </c>
      <c r="W3291" s="168">
        <f t="shared" si="6"/>
        <v>0</v>
      </c>
      <c r="X3291" s="168">
        <f t="shared" si="7"/>
        <v>0</v>
      </c>
      <c r="Y3291" s="168">
        <f t="shared" si="8"/>
        <v>0</v>
      </c>
      <c r="Z3291" s="168">
        <f t="shared" si="9"/>
        <v>0</v>
      </c>
    </row>
    <row r="3292" ht="15.0" customHeight="1">
      <c r="A3292" s="157" t="s">
        <v>4016</v>
      </c>
      <c r="B3292" s="158" t="s">
        <v>26</v>
      </c>
      <c r="C3292" s="158" t="s">
        <v>3997</v>
      </c>
      <c r="D3292" s="159">
        <v>44749.0</v>
      </c>
      <c r="E3292" s="157" t="s">
        <v>731</v>
      </c>
      <c r="F3292" s="160">
        <v>97845.3</v>
      </c>
      <c r="G3292" s="160">
        <v>15655.25</v>
      </c>
      <c r="H3292" s="160">
        <f t="shared" si="97"/>
        <v>113500.55</v>
      </c>
      <c r="I3292" s="160">
        <v>29223.03</v>
      </c>
      <c r="J3292" s="161"/>
      <c r="K3292" s="160"/>
      <c r="L3292" s="160">
        <f>+'FACP$'!$H3292-'FACP$'!$I3292-'FACP$'!$K3292</f>
        <v>84277.52</v>
      </c>
      <c r="M3292" s="162" t="s">
        <v>2386</v>
      </c>
      <c r="N3292" s="162" t="s">
        <v>554</v>
      </c>
      <c r="O3292" s="164">
        <v>45245.0</v>
      </c>
      <c r="P3292" s="164">
        <f t="array" ref="P3292">XLOOKUP('FACP$'!$B3292,'perfil de pagos'!A:A,'perfil de pagos'!B:B)+'FACP$'!$D3292</f>
        <v>44759</v>
      </c>
      <c r="Q3292" s="165">
        <f t="shared" si="2"/>
        <v>0</v>
      </c>
      <c r="R3292" s="167" t="s">
        <v>4017</v>
      </c>
      <c r="S3292" s="167" t="s">
        <v>4018</v>
      </c>
      <c r="T3292" s="168">
        <f t="shared" si="3"/>
        <v>84277.52</v>
      </c>
      <c r="U3292" s="168">
        <f t="shared" si="4"/>
        <v>0</v>
      </c>
      <c r="V3292" s="168">
        <f t="shared" si="5"/>
        <v>0</v>
      </c>
      <c r="W3292" s="168">
        <f t="shared" si="6"/>
        <v>0</v>
      </c>
      <c r="X3292" s="168">
        <f t="shared" si="7"/>
        <v>0</v>
      </c>
      <c r="Y3292" s="168">
        <f t="shared" si="8"/>
        <v>0</v>
      </c>
      <c r="Z3292" s="168">
        <f t="shared" si="9"/>
        <v>0</v>
      </c>
    </row>
    <row r="3293" ht="15.0" customHeight="1">
      <c r="A3293" s="157" t="s">
        <v>4019</v>
      </c>
      <c r="B3293" s="158" t="s">
        <v>29</v>
      </c>
      <c r="C3293" s="158" t="s">
        <v>3997</v>
      </c>
      <c r="D3293" s="159">
        <v>44749.0</v>
      </c>
      <c r="E3293" s="157" t="s">
        <v>731</v>
      </c>
      <c r="F3293" s="160">
        <v>626214.36</v>
      </c>
      <c r="G3293" s="160">
        <v>100194.3</v>
      </c>
      <c r="H3293" s="160">
        <f t="shared" si="97"/>
        <v>726408.66</v>
      </c>
      <c r="I3293" s="160"/>
      <c r="J3293" s="161"/>
      <c r="K3293" s="160"/>
      <c r="L3293" s="160">
        <f>+'FACP$'!$H3293-'FACP$'!$I3293-'FACP$'!$K3293</f>
        <v>726408.66</v>
      </c>
      <c r="M3293" s="162" t="s">
        <v>130</v>
      </c>
      <c r="N3293" s="162" t="s">
        <v>554</v>
      </c>
      <c r="O3293" s="164">
        <v>44760.0</v>
      </c>
      <c r="P3293" s="164">
        <f t="array" ref="P3293">XLOOKUP('FACP$'!$B3293,'perfil de pagos'!A:A,'perfil de pagos'!B:B)+'FACP$'!$D3293</f>
        <v>44759</v>
      </c>
      <c r="Q3293" s="165">
        <f t="shared" si="2"/>
        <v>0</v>
      </c>
      <c r="R3293" s="167"/>
      <c r="S3293" s="167"/>
      <c r="T3293" s="168">
        <f t="shared" si="3"/>
        <v>726408.66</v>
      </c>
      <c r="U3293" s="168">
        <f t="shared" si="4"/>
        <v>0</v>
      </c>
      <c r="V3293" s="168">
        <f t="shared" si="5"/>
        <v>0</v>
      </c>
      <c r="W3293" s="168">
        <f t="shared" si="6"/>
        <v>0</v>
      </c>
      <c r="X3293" s="168">
        <f t="shared" si="7"/>
        <v>0</v>
      </c>
      <c r="Y3293" s="168">
        <f t="shared" si="8"/>
        <v>0</v>
      </c>
      <c r="Z3293" s="168">
        <f t="shared" si="9"/>
        <v>0</v>
      </c>
    </row>
    <row r="3294" ht="15.0" customHeight="1">
      <c r="A3294" s="157" t="s">
        <v>4020</v>
      </c>
      <c r="B3294" s="158" t="s">
        <v>29</v>
      </c>
      <c r="C3294" s="158" t="s">
        <v>4011</v>
      </c>
      <c r="D3294" s="159">
        <v>44749.0</v>
      </c>
      <c r="E3294" s="157" t="s">
        <v>731</v>
      </c>
      <c r="F3294" s="160">
        <v>424293.99</v>
      </c>
      <c r="G3294" s="160">
        <v>67887.04</v>
      </c>
      <c r="H3294" s="160">
        <f t="shared" si="97"/>
        <v>492181.03</v>
      </c>
      <c r="I3294" s="160"/>
      <c r="J3294" s="161"/>
      <c r="K3294" s="160"/>
      <c r="L3294" s="160">
        <f>+'FACP$'!$H3294-'FACP$'!$I3294-'FACP$'!$K3294</f>
        <v>492181.03</v>
      </c>
      <c r="M3294" s="162" t="s">
        <v>130</v>
      </c>
      <c r="N3294" s="162" t="s">
        <v>554</v>
      </c>
      <c r="O3294" s="164">
        <v>44761.0</v>
      </c>
      <c r="P3294" s="164">
        <f t="array" ref="P3294">XLOOKUP('FACP$'!$B3294,'perfil de pagos'!A:A,'perfil de pagos'!B:B)+'FACP$'!$D3294</f>
        <v>44759</v>
      </c>
      <c r="Q3294" s="165">
        <f t="shared" si="2"/>
        <v>0</v>
      </c>
      <c r="R3294" s="167"/>
      <c r="S3294" s="167">
        <v>1497.0</v>
      </c>
      <c r="T3294" s="168">
        <f t="shared" si="3"/>
        <v>492181.03</v>
      </c>
      <c r="U3294" s="168">
        <f t="shared" si="4"/>
        <v>0</v>
      </c>
      <c r="V3294" s="168">
        <f t="shared" si="5"/>
        <v>0</v>
      </c>
      <c r="W3294" s="168">
        <f t="shared" si="6"/>
        <v>0</v>
      </c>
      <c r="X3294" s="168">
        <f t="shared" si="7"/>
        <v>0</v>
      </c>
      <c r="Y3294" s="168">
        <f t="shared" si="8"/>
        <v>0</v>
      </c>
      <c r="Z3294" s="168">
        <f t="shared" si="9"/>
        <v>0</v>
      </c>
    </row>
    <row r="3295" ht="15.0" customHeight="1">
      <c r="A3295" s="157" t="s">
        <v>4021</v>
      </c>
      <c r="B3295" s="158" t="s">
        <v>37</v>
      </c>
      <c r="C3295" s="158" t="s">
        <v>3997</v>
      </c>
      <c r="D3295" s="159">
        <v>44749.0</v>
      </c>
      <c r="E3295" s="157" t="s">
        <v>731</v>
      </c>
      <c r="F3295" s="160">
        <v>3287132.18</v>
      </c>
      <c r="G3295" s="160">
        <v>525941.15</v>
      </c>
      <c r="H3295" s="160">
        <f t="shared" si="97"/>
        <v>3813073.33</v>
      </c>
      <c r="I3295" s="160"/>
      <c r="J3295" s="161"/>
      <c r="K3295" s="160"/>
      <c r="L3295" s="160">
        <f>+'FACP$'!$H3295-'FACP$'!$I3295-'FACP$'!$K3295</f>
        <v>3813073.33</v>
      </c>
      <c r="M3295" s="162" t="s">
        <v>116</v>
      </c>
      <c r="N3295" s="162" t="s">
        <v>554</v>
      </c>
      <c r="O3295" s="164">
        <v>44767.0</v>
      </c>
      <c r="P3295" s="164">
        <f t="array" ref="P3295">XLOOKUP('FACP$'!$B3295,'perfil de pagos'!A:A,'perfil de pagos'!B:B)+'FACP$'!$D3295</f>
        <v>44759</v>
      </c>
      <c r="Q3295" s="165">
        <f t="shared" si="2"/>
        <v>0</v>
      </c>
      <c r="R3295" s="167"/>
      <c r="S3295" s="167"/>
      <c r="T3295" s="168">
        <f t="shared" si="3"/>
        <v>3813073.33</v>
      </c>
      <c r="U3295" s="168">
        <f t="shared" si="4"/>
        <v>0</v>
      </c>
      <c r="V3295" s="168">
        <f t="shared" si="5"/>
        <v>0</v>
      </c>
      <c r="W3295" s="168">
        <f t="shared" si="6"/>
        <v>0</v>
      </c>
      <c r="X3295" s="168">
        <f t="shared" si="7"/>
        <v>0</v>
      </c>
      <c r="Y3295" s="168">
        <f t="shared" si="8"/>
        <v>0</v>
      </c>
      <c r="Z3295" s="168">
        <f t="shared" si="9"/>
        <v>0</v>
      </c>
    </row>
    <row r="3296" ht="15.0" customHeight="1">
      <c r="A3296" s="157" t="s">
        <v>4022</v>
      </c>
      <c r="B3296" s="158" t="s">
        <v>38</v>
      </c>
      <c r="C3296" s="158" t="s">
        <v>3997</v>
      </c>
      <c r="D3296" s="159">
        <v>44749.0</v>
      </c>
      <c r="E3296" s="157" t="s">
        <v>731</v>
      </c>
      <c r="F3296" s="160">
        <v>1503261.57</v>
      </c>
      <c r="G3296" s="160">
        <v>240521.85</v>
      </c>
      <c r="H3296" s="160">
        <f t="shared" si="97"/>
        <v>1743783.42</v>
      </c>
      <c r="I3296" s="160"/>
      <c r="J3296" s="161"/>
      <c r="K3296" s="160"/>
      <c r="L3296" s="160">
        <f>+'FACP$'!$H3296-'FACP$'!$I3296-'FACP$'!$K3296</f>
        <v>1743783.42</v>
      </c>
      <c r="M3296" s="162" t="s">
        <v>145</v>
      </c>
      <c r="N3296" s="162" t="s">
        <v>127</v>
      </c>
      <c r="O3296" s="164"/>
      <c r="P3296" s="164">
        <f t="array" ref="P3296">XLOOKUP('FACP$'!$B3296,'perfil de pagos'!A:A,'perfil de pagos'!B:B)+'FACP$'!$D3296</f>
        <v>44779</v>
      </c>
      <c r="Q3296" s="165">
        <f t="shared" si="2"/>
        <v>0</v>
      </c>
      <c r="R3296" s="220" t="s">
        <v>4023</v>
      </c>
      <c r="S3296" s="167"/>
      <c r="T3296" s="168">
        <f t="shared" si="3"/>
        <v>1743783.42</v>
      </c>
      <c r="U3296" s="168">
        <f t="shared" si="4"/>
        <v>0</v>
      </c>
      <c r="V3296" s="168">
        <f t="shared" si="5"/>
        <v>0</v>
      </c>
      <c r="W3296" s="168">
        <f t="shared" si="6"/>
        <v>0</v>
      </c>
      <c r="X3296" s="168">
        <f t="shared" si="7"/>
        <v>0</v>
      </c>
      <c r="Y3296" s="168">
        <f t="shared" si="8"/>
        <v>0</v>
      </c>
      <c r="Z3296" s="168">
        <f t="shared" si="9"/>
        <v>0</v>
      </c>
    </row>
    <row r="3297" ht="15.0" customHeight="1">
      <c r="A3297" s="157" t="s">
        <v>4024</v>
      </c>
      <c r="B3297" s="158" t="s">
        <v>38</v>
      </c>
      <c r="C3297" s="158" t="s">
        <v>4025</v>
      </c>
      <c r="D3297" s="159">
        <v>44755.0</v>
      </c>
      <c r="E3297" s="157" t="s">
        <v>731</v>
      </c>
      <c r="F3297" s="160">
        <v>26215.54</v>
      </c>
      <c r="G3297" s="160">
        <f>'FACP$'!$F3297*0.16</f>
        <v>4194.4864</v>
      </c>
      <c r="H3297" s="160">
        <f t="shared" si="97"/>
        <v>30410.0264</v>
      </c>
      <c r="I3297" s="160"/>
      <c r="J3297" s="161"/>
      <c r="K3297" s="160"/>
      <c r="L3297" s="160">
        <f>+'FACP$'!$H3297-'FACP$'!$I3297-'FACP$'!$K3297</f>
        <v>30410.0264</v>
      </c>
      <c r="M3297" s="157" t="s">
        <v>145</v>
      </c>
      <c r="N3297" s="162" t="s">
        <v>554</v>
      </c>
      <c r="O3297" s="164">
        <v>44953.0</v>
      </c>
      <c r="P3297" s="164">
        <f t="array" ref="P3297">XLOOKUP('FACP$'!$B3297,'perfil de pagos'!A:A,'perfil de pagos'!B:B)+'FACP$'!$D3297</f>
        <v>44785</v>
      </c>
      <c r="Q3297" s="165">
        <f t="shared" si="2"/>
        <v>0</v>
      </c>
      <c r="R3297" s="167"/>
      <c r="S3297" s="167"/>
      <c r="T3297" s="168">
        <f t="shared" si="3"/>
        <v>30410.0264</v>
      </c>
      <c r="U3297" s="168">
        <f t="shared" si="4"/>
        <v>0</v>
      </c>
      <c r="V3297" s="168">
        <f t="shared" si="5"/>
        <v>0</v>
      </c>
      <c r="W3297" s="168">
        <f t="shared" si="6"/>
        <v>0</v>
      </c>
      <c r="X3297" s="168">
        <f t="shared" si="7"/>
        <v>0</v>
      </c>
      <c r="Y3297" s="168">
        <f t="shared" si="8"/>
        <v>0</v>
      </c>
      <c r="Z3297" s="168">
        <f t="shared" si="9"/>
        <v>0</v>
      </c>
    </row>
    <row r="3298" ht="15.0" customHeight="1">
      <c r="A3298" s="157" t="s">
        <v>4026</v>
      </c>
      <c r="B3298" s="158" t="s">
        <v>38</v>
      </c>
      <c r="C3298" s="158" t="s">
        <v>3940</v>
      </c>
      <c r="D3298" s="159">
        <v>44755.0</v>
      </c>
      <c r="E3298" s="157" t="s">
        <v>731</v>
      </c>
      <c r="F3298" s="160">
        <v>42069.0</v>
      </c>
      <c r="G3298" s="160">
        <f>'FACP$'!$F3298*0.16</f>
        <v>6731.04</v>
      </c>
      <c r="H3298" s="160">
        <f t="shared" si="97"/>
        <v>48800.04</v>
      </c>
      <c r="I3298" s="160"/>
      <c r="J3298" s="161"/>
      <c r="K3298" s="160"/>
      <c r="L3298" s="160">
        <f>+'FACP$'!$H3298-'FACP$'!$I3298-'FACP$'!$K3298</f>
        <v>48800.04</v>
      </c>
      <c r="M3298" s="162" t="s">
        <v>145</v>
      </c>
      <c r="N3298" s="162" t="s">
        <v>554</v>
      </c>
      <c r="O3298" s="164">
        <v>44827.0</v>
      </c>
      <c r="P3298" s="164">
        <f t="array" ref="P3298">XLOOKUP('FACP$'!$B3298,'perfil de pagos'!A:A,'perfil de pagos'!B:B)+'FACP$'!$D3298</f>
        <v>44785</v>
      </c>
      <c r="Q3298" s="165">
        <f t="shared" si="2"/>
        <v>0</v>
      </c>
      <c r="R3298" s="167"/>
      <c r="S3298" s="167">
        <v>1567.0</v>
      </c>
      <c r="T3298" s="168">
        <f t="shared" si="3"/>
        <v>48800.04</v>
      </c>
      <c r="U3298" s="168">
        <f t="shared" si="4"/>
        <v>0</v>
      </c>
      <c r="V3298" s="168">
        <f t="shared" si="5"/>
        <v>0</v>
      </c>
      <c r="W3298" s="168">
        <f t="shared" si="6"/>
        <v>0</v>
      </c>
      <c r="X3298" s="168">
        <f t="shared" si="7"/>
        <v>0</v>
      </c>
      <c r="Y3298" s="168">
        <f t="shared" si="8"/>
        <v>0</v>
      </c>
      <c r="Z3298" s="168">
        <f t="shared" si="9"/>
        <v>0</v>
      </c>
    </row>
    <row r="3299" ht="15.0" customHeight="1">
      <c r="A3299" s="157" t="s">
        <v>4027</v>
      </c>
      <c r="B3299" s="158" t="s">
        <v>38</v>
      </c>
      <c r="C3299" s="158" t="s">
        <v>3943</v>
      </c>
      <c r="D3299" s="159">
        <v>44755.0</v>
      </c>
      <c r="E3299" s="157" t="s">
        <v>731</v>
      </c>
      <c r="F3299" s="160">
        <v>62170.32</v>
      </c>
      <c r="G3299" s="160">
        <f>'FACP$'!$F3299*0.16</f>
        <v>9947.2512</v>
      </c>
      <c r="H3299" s="160">
        <f>F3299+G3299-'NCP$'!H194</f>
        <v>55119.9752</v>
      </c>
      <c r="I3299" s="160"/>
      <c r="J3299" s="161"/>
      <c r="K3299" s="160"/>
      <c r="L3299" s="160">
        <f>+'FACP$'!$H3299-'FACP$'!$I3299-'FACP$'!$K3299</f>
        <v>55119.9752</v>
      </c>
      <c r="M3299" s="162" t="s">
        <v>145</v>
      </c>
      <c r="N3299" s="162" t="s">
        <v>554</v>
      </c>
      <c r="O3299" s="164">
        <v>44827.0</v>
      </c>
      <c r="P3299" s="164">
        <f t="array" ref="P3299">XLOOKUP('FACP$'!$B3299,'perfil de pagos'!A:A,'perfil de pagos'!B:B)+'FACP$'!$D3299</f>
        <v>44785</v>
      </c>
      <c r="Q3299" s="165">
        <f t="shared" si="2"/>
        <v>0</v>
      </c>
      <c r="R3299" s="167" t="s">
        <v>4028</v>
      </c>
      <c r="S3299" s="167">
        <v>1567.0</v>
      </c>
      <c r="T3299" s="168">
        <f t="shared" si="3"/>
        <v>55119.9752</v>
      </c>
      <c r="U3299" s="168">
        <f t="shared" si="4"/>
        <v>0</v>
      </c>
      <c r="V3299" s="168">
        <f t="shared" si="5"/>
        <v>0</v>
      </c>
      <c r="W3299" s="168">
        <f t="shared" si="6"/>
        <v>0</v>
      </c>
      <c r="X3299" s="168">
        <f t="shared" si="7"/>
        <v>0</v>
      </c>
      <c r="Y3299" s="168">
        <f t="shared" si="8"/>
        <v>0</v>
      </c>
      <c r="Z3299" s="168">
        <f t="shared" si="9"/>
        <v>0</v>
      </c>
    </row>
    <row r="3300" ht="15.0" customHeight="1">
      <c r="A3300" s="157" t="s">
        <v>4029</v>
      </c>
      <c r="B3300" s="158" t="s">
        <v>38</v>
      </c>
      <c r="C3300" s="158" t="s">
        <v>3946</v>
      </c>
      <c r="D3300" s="159">
        <v>44755.0</v>
      </c>
      <c r="E3300" s="157" t="s">
        <v>731</v>
      </c>
      <c r="F3300" s="160">
        <v>46743.6</v>
      </c>
      <c r="G3300" s="160">
        <f>'FACP$'!$F3300*0.16</f>
        <v>7478.976</v>
      </c>
      <c r="H3300" s="160">
        <f t="shared" ref="H3300:H3305" si="98">F3300+G3300</f>
        <v>54222.576</v>
      </c>
      <c r="I3300" s="160"/>
      <c r="J3300" s="161"/>
      <c r="K3300" s="160"/>
      <c r="L3300" s="160">
        <f>+'FACP$'!$H3300-'FACP$'!$I3300-'FACP$'!$K3300</f>
        <v>54222.576</v>
      </c>
      <c r="M3300" s="162" t="s">
        <v>145</v>
      </c>
      <c r="N3300" s="162" t="s">
        <v>554</v>
      </c>
      <c r="O3300" s="164">
        <v>44827.0</v>
      </c>
      <c r="P3300" s="164">
        <f t="array" ref="P3300">XLOOKUP('FACP$'!$B3300,'perfil de pagos'!A:A,'perfil de pagos'!B:B)+'FACP$'!$D3300</f>
        <v>44785</v>
      </c>
      <c r="Q3300" s="165">
        <f t="shared" si="2"/>
        <v>0</v>
      </c>
      <c r="R3300" s="167"/>
      <c r="S3300" s="167">
        <v>1567.0</v>
      </c>
      <c r="T3300" s="168">
        <f t="shared" si="3"/>
        <v>54222.576</v>
      </c>
      <c r="U3300" s="168">
        <f t="shared" si="4"/>
        <v>0</v>
      </c>
      <c r="V3300" s="168">
        <f t="shared" si="5"/>
        <v>0</v>
      </c>
      <c r="W3300" s="168">
        <f t="shared" si="6"/>
        <v>0</v>
      </c>
      <c r="X3300" s="168">
        <f t="shared" si="7"/>
        <v>0</v>
      </c>
      <c r="Y3300" s="168">
        <f t="shared" si="8"/>
        <v>0</v>
      </c>
      <c r="Z3300" s="168">
        <f t="shared" si="9"/>
        <v>0</v>
      </c>
    </row>
    <row r="3301" ht="15.0" customHeight="1">
      <c r="A3301" s="157" t="s">
        <v>4030</v>
      </c>
      <c r="B3301" s="158" t="s">
        <v>38</v>
      </c>
      <c r="C3301" s="158" t="s">
        <v>3949</v>
      </c>
      <c r="D3301" s="159">
        <v>44755.0</v>
      </c>
      <c r="E3301" s="157" t="s">
        <v>731</v>
      </c>
      <c r="F3301" s="160">
        <v>62583.8</v>
      </c>
      <c r="G3301" s="160">
        <f>'FACP$'!$F3301*0.16</f>
        <v>10013.408</v>
      </c>
      <c r="H3301" s="160">
        <f t="shared" si="98"/>
        <v>72597.208</v>
      </c>
      <c r="I3301" s="160"/>
      <c r="J3301" s="161"/>
      <c r="K3301" s="160"/>
      <c r="L3301" s="160">
        <f>+'FACP$'!$H3301-'FACP$'!$I3301-'FACP$'!$K3301</f>
        <v>72597.208</v>
      </c>
      <c r="M3301" s="162" t="s">
        <v>145</v>
      </c>
      <c r="N3301" s="162" t="s">
        <v>554</v>
      </c>
      <c r="O3301" s="164">
        <v>44827.0</v>
      </c>
      <c r="P3301" s="164">
        <f t="array" ref="P3301">XLOOKUP('FACP$'!$B3301,'perfil de pagos'!A:A,'perfil de pagos'!B:B)+'FACP$'!$D3301</f>
        <v>44785</v>
      </c>
      <c r="Q3301" s="165">
        <f t="shared" si="2"/>
        <v>0</v>
      </c>
      <c r="R3301" s="167"/>
      <c r="S3301" s="167">
        <v>1567.0</v>
      </c>
      <c r="T3301" s="168">
        <f t="shared" si="3"/>
        <v>72597.208</v>
      </c>
      <c r="U3301" s="168">
        <f t="shared" si="4"/>
        <v>0</v>
      </c>
      <c r="V3301" s="168">
        <f t="shared" si="5"/>
        <v>0</v>
      </c>
      <c r="W3301" s="168">
        <f t="shared" si="6"/>
        <v>0</v>
      </c>
      <c r="X3301" s="168">
        <f t="shared" si="7"/>
        <v>0</v>
      </c>
      <c r="Y3301" s="168">
        <f t="shared" si="8"/>
        <v>0</v>
      </c>
      <c r="Z3301" s="168">
        <f t="shared" si="9"/>
        <v>0</v>
      </c>
    </row>
    <row r="3302" ht="15.0" customHeight="1">
      <c r="A3302" s="157" t="s">
        <v>4031</v>
      </c>
      <c r="B3302" s="158" t="s">
        <v>36</v>
      </c>
      <c r="C3302" s="158" t="s">
        <v>4032</v>
      </c>
      <c r="D3302" s="159">
        <v>44760.0</v>
      </c>
      <c r="E3302" s="157" t="s">
        <v>731</v>
      </c>
      <c r="F3302" s="160">
        <v>135391.3</v>
      </c>
      <c r="G3302" s="160">
        <f>'FACP$'!$F3302*0.16</f>
        <v>21662.608</v>
      </c>
      <c r="H3302" s="160">
        <f t="shared" si="98"/>
        <v>157053.908</v>
      </c>
      <c r="I3302" s="160"/>
      <c r="J3302" s="161"/>
      <c r="K3302" s="160"/>
      <c r="L3302" s="160">
        <f>+'FACP$'!$H3302-'FACP$'!$I3302-'FACP$'!$K3302</f>
        <v>157053.908</v>
      </c>
      <c r="M3302" s="162" t="s">
        <v>278</v>
      </c>
      <c r="N3302" s="162" t="s">
        <v>554</v>
      </c>
      <c r="O3302" s="164">
        <v>44767.0</v>
      </c>
      <c r="P3302" s="164">
        <f t="array" ref="P3302">XLOOKUP('FACP$'!$B3302,'perfil de pagos'!A:A,'perfil de pagos'!B:B)+'FACP$'!$D3302</f>
        <v>44770</v>
      </c>
      <c r="Q3302" s="165">
        <f t="shared" si="2"/>
        <v>0</v>
      </c>
      <c r="R3302" s="167"/>
      <c r="S3302" s="167"/>
      <c r="T3302" s="168">
        <f t="shared" si="3"/>
        <v>157053.908</v>
      </c>
      <c r="U3302" s="168">
        <f t="shared" si="4"/>
        <v>0</v>
      </c>
      <c r="V3302" s="168">
        <f t="shared" si="5"/>
        <v>0</v>
      </c>
      <c r="W3302" s="168">
        <f t="shared" si="6"/>
        <v>0</v>
      </c>
      <c r="X3302" s="168">
        <f t="shared" si="7"/>
        <v>0</v>
      </c>
      <c r="Y3302" s="168">
        <f t="shared" si="8"/>
        <v>0</v>
      </c>
      <c r="Z3302" s="168">
        <f t="shared" si="9"/>
        <v>0</v>
      </c>
    </row>
    <row r="3303" ht="15.0" customHeight="1">
      <c r="A3303" s="157" t="s">
        <v>4033</v>
      </c>
      <c r="B3303" s="158" t="s">
        <v>41</v>
      </c>
      <c r="C3303" s="158" t="s">
        <v>4032</v>
      </c>
      <c r="D3303" s="159">
        <v>44760.0</v>
      </c>
      <c r="E3303" s="157" t="s">
        <v>731</v>
      </c>
      <c r="F3303" s="160">
        <v>405047.81</v>
      </c>
      <c r="G3303" s="160">
        <f>'FACP$'!$F3303*0.16</f>
        <v>64807.6496</v>
      </c>
      <c r="H3303" s="160">
        <f t="shared" si="98"/>
        <v>469855.4596</v>
      </c>
      <c r="I3303" s="160"/>
      <c r="J3303" s="161"/>
      <c r="K3303" s="160"/>
      <c r="L3303" s="160">
        <f>+'FACP$'!$H3303-'FACP$'!$I3303-'FACP$'!$K3303</f>
        <v>469855.4596</v>
      </c>
      <c r="M3303" s="162" t="s">
        <v>121</v>
      </c>
      <c r="N3303" s="162" t="s">
        <v>554</v>
      </c>
      <c r="O3303" s="164">
        <v>44844.0</v>
      </c>
      <c r="P3303" s="164">
        <f t="array" ref="P3303">XLOOKUP('FACP$'!$B3303,'perfil de pagos'!A:A,'perfil de pagos'!B:B)+'FACP$'!$D3303</f>
        <v>44770</v>
      </c>
      <c r="Q3303" s="165">
        <f t="shared" si="2"/>
        <v>0</v>
      </c>
      <c r="R3303" s="167"/>
      <c r="S3303" s="167">
        <v>1615.0</v>
      </c>
      <c r="T3303" s="168">
        <f t="shared" si="3"/>
        <v>469855.4596</v>
      </c>
      <c r="U3303" s="168">
        <f t="shared" si="4"/>
        <v>0</v>
      </c>
      <c r="V3303" s="168">
        <f t="shared" si="5"/>
        <v>0</v>
      </c>
      <c r="W3303" s="168">
        <f t="shared" si="6"/>
        <v>0</v>
      </c>
      <c r="X3303" s="168">
        <f t="shared" si="7"/>
        <v>0</v>
      </c>
      <c r="Y3303" s="168">
        <f t="shared" si="8"/>
        <v>0</v>
      </c>
      <c r="Z3303" s="168">
        <f t="shared" si="9"/>
        <v>0</v>
      </c>
    </row>
    <row r="3304" ht="15.0" customHeight="1">
      <c r="A3304" s="157" t="s">
        <v>4034</v>
      </c>
      <c r="B3304" s="158" t="s">
        <v>27</v>
      </c>
      <c r="C3304" s="158" t="s">
        <v>4035</v>
      </c>
      <c r="D3304" s="159">
        <v>44760.0</v>
      </c>
      <c r="E3304" s="157" t="s">
        <v>731</v>
      </c>
      <c r="F3304" s="160">
        <v>492451.38</v>
      </c>
      <c r="G3304" s="160">
        <f>'FACP$'!$F3304*0.16</f>
        <v>78792.2208</v>
      </c>
      <c r="H3304" s="160">
        <f t="shared" si="98"/>
        <v>571243.6008</v>
      </c>
      <c r="I3304" s="160"/>
      <c r="J3304" s="161"/>
      <c r="K3304" s="160"/>
      <c r="L3304" s="160">
        <f>+'FACP$'!$H3304-'FACP$'!$I3304-'FACP$'!$K3304</f>
        <v>571243.6008</v>
      </c>
      <c r="M3304" s="162" t="s">
        <v>158</v>
      </c>
      <c r="N3304" s="162" t="s">
        <v>554</v>
      </c>
      <c r="O3304" s="164">
        <v>44798.0</v>
      </c>
      <c r="P3304" s="164">
        <f t="array" ref="P3304">XLOOKUP('FACP$'!$B3304,'perfil de pagos'!A:A,'perfil de pagos'!B:B)+'FACP$'!$D3304</f>
        <v>44790</v>
      </c>
      <c r="Q3304" s="165">
        <f t="shared" si="2"/>
        <v>0</v>
      </c>
      <c r="R3304" s="167"/>
      <c r="S3304" s="167"/>
      <c r="T3304" s="168">
        <f t="shared" si="3"/>
        <v>571243.6008</v>
      </c>
      <c r="U3304" s="168">
        <f t="shared" si="4"/>
        <v>0</v>
      </c>
      <c r="V3304" s="168">
        <f t="shared" si="5"/>
        <v>0</v>
      </c>
      <c r="W3304" s="168">
        <f t="shared" si="6"/>
        <v>0</v>
      </c>
      <c r="X3304" s="168">
        <f t="shared" si="7"/>
        <v>0</v>
      </c>
      <c r="Y3304" s="168">
        <f t="shared" si="8"/>
        <v>0</v>
      </c>
      <c r="Z3304" s="168">
        <f t="shared" si="9"/>
        <v>0</v>
      </c>
    </row>
    <row r="3305" ht="15.0" customHeight="1">
      <c r="A3305" s="157" t="s">
        <v>4036</v>
      </c>
      <c r="B3305" s="158" t="s">
        <v>27</v>
      </c>
      <c r="C3305" s="158" t="s">
        <v>4037</v>
      </c>
      <c r="D3305" s="159">
        <v>44760.0</v>
      </c>
      <c r="E3305" s="157" t="s">
        <v>731</v>
      </c>
      <c r="F3305" s="160">
        <v>199716.39</v>
      </c>
      <c r="G3305" s="160">
        <f>'FACP$'!$F3305*0.16</f>
        <v>31954.6224</v>
      </c>
      <c r="H3305" s="160">
        <f t="shared" si="98"/>
        <v>231671.0124</v>
      </c>
      <c r="I3305" s="160"/>
      <c r="J3305" s="161"/>
      <c r="K3305" s="160"/>
      <c r="L3305" s="160">
        <f>+'FACP$'!$H3305-'FACP$'!$I3305-'FACP$'!$K3305</f>
        <v>231671.0124</v>
      </c>
      <c r="M3305" s="162" t="s">
        <v>158</v>
      </c>
      <c r="N3305" s="162" t="s">
        <v>554</v>
      </c>
      <c r="O3305" s="164">
        <v>44798.0</v>
      </c>
      <c r="P3305" s="164">
        <f t="array" ref="P3305">XLOOKUP('FACP$'!$B3305,'perfil de pagos'!A:A,'perfil de pagos'!B:B)+'FACP$'!$D3305</f>
        <v>44790</v>
      </c>
      <c r="Q3305" s="165">
        <f t="shared" si="2"/>
        <v>0</v>
      </c>
      <c r="R3305" s="167"/>
      <c r="S3305" s="167"/>
      <c r="T3305" s="168">
        <f t="shared" si="3"/>
        <v>231671.0124</v>
      </c>
      <c r="U3305" s="168">
        <f t="shared" si="4"/>
        <v>0</v>
      </c>
      <c r="V3305" s="168">
        <f t="shared" si="5"/>
        <v>0</v>
      </c>
      <c r="W3305" s="168">
        <f t="shared" si="6"/>
        <v>0</v>
      </c>
      <c r="X3305" s="168">
        <f t="shared" si="7"/>
        <v>0</v>
      </c>
      <c r="Y3305" s="168">
        <f t="shared" si="8"/>
        <v>0</v>
      </c>
      <c r="Z3305" s="168">
        <f t="shared" si="9"/>
        <v>0</v>
      </c>
    </row>
    <row r="3306" ht="15.0" customHeight="1">
      <c r="A3306" s="157" t="s">
        <v>4038</v>
      </c>
      <c r="B3306" s="158" t="s">
        <v>27</v>
      </c>
      <c r="C3306" s="158" t="s">
        <v>4035</v>
      </c>
      <c r="D3306" s="159">
        <v>44760.0</v>
      </c>
      <c r="E3306" s="157" t="s">
        <v>731</v>
      </c>
      <c r="F3306" s="160">
        <v>433574.46</v>
      </c>
      <c r="G3306" s="160">
        <f>'FACP$'!$F3306*0.16</f>
        <v>69371.9136</v>
      </c>
      <c r="H3306" s="160">
        <f>F3306+G3306-'NCP$'!H190</f>
        <v>476385.32</v>
      </c>
      <c r="I3306" s="160"/>
      <c r="J3306" s="161"/>
      <c r="K3306" s="160"/>
      <c r="L3306" s="160">
        <f>+'FACP$'!$H3306-'FACP$'!$I3306-'FACP$'!$K3306</f>
        <v>476385.32</v>
      </c>
      <c r="M3306" s="162" t="s">
        <v>151</v>
      </c>
      <c r="N3306" s="162" t="s">
        <v>554</v>
      </c>
      <c r="O3306" s="164">
        <v>44813.0</v>
      </c>
      <c r="P3306" s="164">
        <f t="array" ref="P3306">XLOOKUP('FACP$'!$B3306,'perfil de pagos'!A:A,'perfil de pagos'!B:B)+'FACP$'!$D3306</f>
        <v>44790</v>
      </c>
      <c r="Q3306" s="165">
        <f t="shared" si="2"/>
        <v>0</v>
      </c>
      <c r="R3306" s="220" t="s">
        <v>4039</v>
      </c>
      <c r="S3306" s="167">
        <v>1545.0</v>
      </c>
      <c r="T3306" s="168">
        <f t="shared" si="3"/>
        <v>476385.32</v>
      </c>
      <c r="U3306" s="168">
        <f t="shared" si="4"/>
        <v>0</v>
      </c>
      <c r="V3306" s="168">
        <f t="shared" si="5"/>
        <v>0</v>
      </c>
      <c r="W3306" s="168">
        <f t="shared" si="6"/>
        <v>0</v>
      </c>
      <c r="X3306" s="168">
        <f t="shared" si="7"/>
        <v>0</v>
      </c>
      <c r="Y3306" s="168">
        <f t="shared" si="8"/>
        <v>0</v>
      </c>
      <c r="Z3306" s="168">
        <f t="shared" si="9"/>
        <v>0</v>
      </c>
    </row>
    <row r="3307" ht="15.0" customHeight="1">
      <c r="A3307" s="157" t="s">
        <v>4040</v>
      </c>
      <c r="B3307" s="158" t="s">
        <v>27</v>
      </c>
      <c r="C3307" s="158" t="s">
        <v>4037</v>
      </c>
      <c r="D3307" s="159">
        <v>44760.0</v>
      </c>
      <c r="E3307" s="157" t="s">
        <v>731</v>
      </c>
      <c r="F3307" s="160">
        <v>159791.79</v>
      </c>
      <c r="G3307" s="160">
        <f>'FACP$'!$F3307*0.16</f>
        <v>25566.6864</v>
      </c>
      <c r="H3307" s="160">
        <f>F3307+G3307</f>
        <v>185358.4764</v>
      </c>
      <c r="I3307" s="160"/>
      <c r="J3307" s="161"/>
      <c r="K3307" s="160"/>
      <c r="L3307" s="160">
        <f>+'FACP$'!$H3307-'FACP$'!$I3307-'FACP$'!$K3307</f>
        <v>185358.4764</v>
      </c>
      <c r="M3307" s="162" t="s">
        <v>151</v>
      </c>
      <c r="N3307" s="162" t="s">
        <v>554</v>
      </c>
      <c r="O3307" s="164">
        <v>44798.0</v>
      </c>
      <c r="P3307" s="164">
        <f t="array" ref="P3307">XLOOKUP('FACP$'!$B3307,'perfil de pagos'!A:A,'perfil de pagos'!B:B)+'FACP$'!$D3307</f>
        <v>44790</v>
      </c>
      <c r="Q3307" s="165">
        <f t="shared" si="2"/>
        <v>0</v>
      </c>
      <c r="R3307" s="167"/>
      <c r="S3307" s="167"/>
      <c r="T3307" s="168">
        <f t="shared" si="3"/>
        <v>185358.4764</v>
      </c>
      <c r="U3307" s="168">
        <f t="shared" si="4"/>
        <v>0</v>
      </c>
      <c r="V3307" s="168">
        <f t="shared" si="5"/>
        <v>0</v>
      </c>
      <c r="W3307" s="168">
        <f t="shared" si="6"/>
        <v>0</v>
      </c>
      <c r="X3307" s="168">
        <f t="shared" si="7"/>
        <v>0</v>
      </c>
      <c r="Y3307" s="168">
        <f t="shared" si="8"/>
        <v>0</v>
      </c>
      <c r="Z3307" s="168">
        <f t="shared" si="9"/>
        <v>0</v>
      </c>
    </row>
    <row r="3308" ht="15.0" customHeight="1">
      <c r="A3308" s="157" t="s">
        <v>4041</v>
      </c>
      <c r="B3308" s="158" t="s">
        <v>27</v>
      </c>
      <c r="C3308" s="158" t="s">
        <v>4042</v>
      </c>
      <c r="D3308" s="159">
        <v>44760.0</v>
      </c>
      <c r="E3308" s="157" t="s">
        <v>731</v>
      </c>
      <c r="F3308" s="160">
        <v>22034.81</v>
      </c>
      <c r="G3308" s="160">
        <f>'FACP$'!$F3308*0.16</f>
        <v>3525.5696</v>
      </c>
      <c r="H3308" s="160">
        <f>F3308+G3308-'NCP$'!H191</f>
        <v>24210.5108</v>
      </c>
      <c r="I3308" s="160"/>
      <c r="J3308" s="161"/>
      <c r="K3308" s="160"/>
      <c r="L3308" s="160">
        <f>+'FACP$'!$H3308-'FACP$'!$I3308-'FACP$'!$K3308</f>
        <v>24210.5108</v>
      </c>
      <c r="M3308" s="162" t="s">
        <v>151</v>
      </c>
      <c r="N3308" s="162" t="s">
        <v>554</v>
      </c>
      <c r="O3308" s="164">
        <v>44813.0</v>
      </c>
      <c r="P3308" s="164">
        <f t="array" ref="P3308">XLOOKUP('FACP$'!$B3308,'perfil de pagos'!A:A,'perfil de pagos'!B:B)+'FACP$'!$D3308</f>
        <v>44790</v>
      </c>
      <c r="Q3308" s="165">
        <f t="shared" si="2"/>
        <v>0</v>
      </c>
      <c r="R3308" s="220" t="s">
        <v>4043</v>
      </c>
      <c r="S3308" s="167">
        <v>1545.0</v>
      </c>
      <c r="T3308" s="168">
        <f t="shared" si="3"/>
        <v>24210.5108</v>
      </c>
      <c r="U3308" s="168">
        <f t="shared" si="4"/>
        <v>0</v>
      </c>
      <c r="V3308" s="168">
        <f t="shared" si="5"/>
        <v>0</v>
      </c>
      <c r="W3308" s="168">
        <f t="shared" si="6"/>
        <v>0</v>
      </c>
      <c r="X3308" s="168">
        <f t="shared" si="7"/>
        <v>0</v>
      </c>
      <c r="Y3308" s="168">
        <f t="shared" si="8"/>
        <v>0</v>
      </c>
      <c r="Z3308" s="168">
        <f t="shared" si="9"/>
        <v>0</v>
      </c>
    </row>
    <row r="3309" ht="15.0" customHeight="1">
      <c r="A3309" s="157" t="s">
        <v>4044</v>
      </c>
      <c r="B3309" s="158" t="s">
        <v>27</v>
      </c>
      <c r="C3309" s="158" t="s">
        <v>4045</v>
      </c>
      <c r="D3309" s="159">
        <v>44760.0</v>
      </c>
      <c r="E3309" s="157" t="s">
        <v>731</v>
      </c>
      <c r="F3309" s="160">
        <v>8119.74</v>
      </c>
      <c r="G3309" s="160">
        <f>'FACP$'!$F3309*0.16</f>
        <v>1299.1584</v>
      </c>
      <c r="H3309" s="160">
        <f t="shared" ref="H3309:H3318" si="99">F3309+G3309</f>
        <v>9418.8984</v>
      </c>
      <c r="I3309" s="160"/>
      <c r="J3309" s="161"/>
      <c r="K3309" s="160"/>
      <c r="L3309" s="160">
        <f>+'FACP$'!$H3309-'FACP$'!$I3309-'FACP$'!$K3309</f>
        <v>9418.8984</v>
      </c>
      <c r="M3309" s="162" t="s">
        <v>151</v>
      </c>
      <c r="N3309" s="162" t="s">
        <v>554</v>
      </c>
      <c r="O3309" s="164">
        <v>44798.0</v>
      </c>
      <c r="P3309" s="164">
        <f t="array" ref="P3309">XLOOKUP('FACP$'!$B3309,'perfil de pagos'!A:A,'perfil de pagos'!B:B)+'FACP$'!$D3309</f>
        <v>44790</v>
      </c>
      <c r="Q3309" s="165">
        <f t="shared" si="2"/>
        <v>0</v>
      </c>
      <c r="R3309" s="167"/>
      <c r="S3309" s="167"/>
      <c r="T3309" s="168">
        <f t="shared" si="3"/>
        <v>9418.8984</v>
      </c>
      <c r="U3309" s="168">
        <f t="shared" si="4"/>
        <v>0</v>
      </c>
      <c r="V3309" s="168">
        <f t="shared" si="5"/>
        <v>0</v>
      </c>
      <c r="W3309" s="168">
        <f t="shared" si="6"/>
        <v>0</v>
      </c>
      <c r="X3309" s="168">
        <f t="shared" si="7"/>
        <v>0</v>
      </c>
      <c r="Y3309" s="168">
        <f t="shared" si="8"/>
        <v>0</v>
      </c>
      <c r="Z3309" s="168">
        <f t="shared" si="9"/>
        <v>0</v>
      </c>
    </row>
    <row r="3310" ht="15.0" customHeight="1">
      <c r="A3310" s="157" t="s">
        <v>4046</v>
      </c>
      <c r="B3310" s="158" t="s">
        <v>16</v>
      </c>
      <c r="C3310" s="158" t="s">
        <v>4032</v>
      </c>
      <c r="D3310" s="159">
        <v>44764.0</v>
      </c>
      <c r="E3310" s="157" t="s">
        <v>731</v>
      </c>
      <c r="F3310" s="160">
        <v>489464.26</v>
      </c>
      <c r="G3310" s="160">
        <f>'FACP$'!$F3310*0.16</f>
        <v>78314.2816</v>
      </c>
      <c r="H3310" s="160">
        <f t="shared" si="99"/>
        <v>567778.5416</v>
      </c>
      <c r="I3310" s="160"/>
      <c r="J3310" s="161"/>
      <c r="K3310" s="160"/>
      <c r="L3310" s="160">
        <f>+'FACP$'!$H3310-'FACP$'!$I3310-'FACP$'!$K3310</f>
        <v>567778.5416</v>
      </c>
      <c r="M3310" s="162" t="s">
        <v>985</v>
      </c>
      <c r="N3310" s="162" t="s">
        <v>554</v>
      </c>
      <c r="O3310" s="164">
        <v>44792.0</v>
      </c>
      <c r="P3310" s="164">
        <f t="array" ref="P3310">XLOOKUP('FACP$'!$B3310,'perfil de pagos'!A:A,'perfil de pagos'!B:B)+'FACP$'!$D3310</f>
        <v>44774</v>
      </c>
      <c r="Q3310" s="165">
        <f t="shared" si="2"/>
        <v>0</v>
      </c>
      <c r="R3310" s="167"/>
      <c r="S3310" s="167">
        <v>1531.0</v>
      </c>
      <c r="T3310" s="168">
        <f t="shared" si="3"/>
        <v>567778.5416</v>
      </c>
      <c r="U3310" s="168">
        <f t="shared" si="4"/>
        <v>0</v>
      </c>
      <c r="V3310" s="168">
        <f t="shared" si="5"/>
        <v>0</v>
      </c>
      <c r="W3310" s="168">
        <f t="shared" si="6"/>
        <v>0</v>
      </c>
      <c r="X3310" s="168">
        <f t="shared" si="7"/>
        <v>0</v>
      </c>
      <c r="Y3310" s="168">
        <f t="shared" si="8"/>
        <v>0</v>
      </c>
      <c r="Z3310" s="168">
        <f t="shared" si="9"/>
        <v>0</v>
      </c>
    </row>
    <row r="3311" ht="15.0" customHeight="1">
      <c r="A3311" s="157" t="s">
        <v>4047</v>
      </c>
      <c r="B3311" s="158" t="s">
        <v>16</v>
      </c>
      <c r="C3311" s="158" t="s">
        <v>4048</v>
      </c>
      <c r="D3311" s="159">
        <v>44764.0</v>
      </c>
      <c r="E3311" s="157" t="s">
        <v>731</v>
      </c>
      <c r="F3311" s="160">
        <v>363019.93</v>
      </c>
      <c r="G3311" s="160">
        <f>'FACP$'!$F3311*0.16</f>
        <v>58083.1888</v>
      </c>
      <c r="H3311" s="160">
        <f t="shared" si="99"/>
        <v>421103.1188</v>
      </c>
      <c r="I3311" s="160"/>
      <c r="J3311" s="161"/>
      <c r="K3311" s="160"/>
      <c r="L3311" s="160">
        <f>+'FACP$'!$H3311-'FACP$'!$I3311-'FACP$'!$K3311</f>
        <v>421103.1188</v>
      </c>
      <c r="M3311" s="162" t="s">
        <v>985</v>
      </c>
      <c r="N3311" s="162" t="s">
        <v>554</v>
      </c>
      <c r="O3311" s="164">
        <v>44792.0</v>
      </c>
      <c r="P3311" s="164">
        <f t="array" ref="P3311">XLOOKUP('FACP$'!$B3311,'perfil de pagos'!A:A,'perfil de pagos'!B:B)+'FACP$'!$D3311</f>
        <v>44774</v>
      </c>
      <c r="Q3311" s="165">
        <f t="shared" si="2"/>
        <v>0</v>
      </c>
      <c r="R3311" s="167"/>
      <c r="S3311" s="167">
        <v>1531.0</v>
      </c>
      <c r="T3311" s="168">
        <f t="shared" si="3"/>
        <v>421103.1188</v>
      </c>
      <c r="U3311" s="168">
        <f t="shared" si="4"/>
        <v>0</v>
      </c>
      <c r="V3311" s="168">
        <f t="shared" si="5"/>
        <v>0</v>
      </c>
      <c r="W3311" s="168">
        <f t="shared" si="6"/>
        <v>0</v>
      </c>
      <c r="X3311" s="168">
        <f t="shared" si="7"/>
        <v>0</v>
      </c>
      <c r="Y3311" s="168">
        <f t="shared" si="8"/>
        <v>0</v>
      </c>
      <c r="Z3311" s="168">
        <f t="shared" si="9"/>
        <v>0</v>
      </c>
    </row>
    <row r="3312" ht="15.0" customHeight="1">
      <c r="A3312" s="157" t="s">
        <v>4049</v>
      </c>
      <c r="B3312" s="158" t="s">
        <v>18</v>
      </c>
      <c r="C3312" s="158" t="s">
        <v>4032</v>
      </c>
      <c r="D3312" s="159">
        <v>44764.0</v>
      </c>
      <c r="E3312" s="157" t="s">
        <v>731</v>
      </c>
      <c r="F3312" s="160">
        <v>185672.34</v>
      </c>
      <c r="G3312" s="160">
        <f>'FACP$'!$F3312*0.16</f>
        <v>29707.5744</v>
      </c>
      <c r="H3312" s="160">
        <f t="shared" si="99"/>
        <v>215379.9144</v>
      </c>
      <c r="I3312" s="160"/>
      <c r="J3312" s="161"/>
      <c r="K3312" s="160"/>
      <c r="L3312" s="160">
        <f>+'FACP$'!$H3312-'FACP$'!$I3312-'FACP$'!$K3312</f>
        <v>215379.9144</v>
      </c>
      <c r="M3312" s="162" t="s">
        <v>586</v>
      </c>
      <c r="N3312" s="162" t="s">
        <v>554</v>
      </c>
      <c r="O3312" s="164">
        <v>44832.0</v>
      </c>
      <c r="P3312" s="164">
        <f t="array" ref="P3312">XLOOKUP('FACP$'!$B3312,'perfil de pagos'!A:A,'perfil de pagos'!B:B)+'FACP$'!$D3312</f>
        <v>44774</v>
      </c>
      <c r="Q3312" s="165">
        <f t="shared" si="2"/>
        <v>0</v>
      </c>
      <c r="R3312" s="167"/>
      <c r="S3312" s="167">
        <v>1584.0</v>
      </c>
      <c r="T3312" s="168">
        <f t="shared" si="3"/>
        <v>215379.9144</v>
      </c>
      <c r="U3312" s="168">
        <f t="shared" si="4"/>
        <v>0</v>
      </c>
      <c r="V3312" s="168">
        <f t="shared" si="5"/>
        <v>0</v>
      </c>
      <c r="W3312" s="168">
        <f t="shared" si="6"/>
        <v>0</v>
      </c>
      <c r="X3312" s="168">
        <f t="shared" si="7"/>
        <v>0</v>
      </c>
      <c r="Y3312" s="168">
        <f t="shared" si="8"/>
        <v>0</v>
      </c>
      <c r="Z3312" s="168">
        <f t="shared" si="9"/>
        <v>0</v>
      </c>
    </row>
    <row r="3313" ht="15.0" customHeight="1">
      <c r="A3313" s="157" t="s">
        <v>4050</v>
      </c>
      <c r="B3313" s="158" t="s">
        <v>19</v>
      </c>
      <c r="C3313" s="158" t="s">
        <v>4032</v>
      </c>
      <c r="D3313" s="159">
        <v>44764.0</v>
      </c>
      <c r="E3313" s="157" t="s">
        <v>731</v>
      </c>
      <c r="F3313" s="160">
        <v>330424.22</v>
      </c>
      <c r="G3313" s="160">
        <f>'FACP$'!$F3313*0.16</f>
        <v>52867.8752</v>
      </c>
      <c r="H3313" s="160">
        <f t="shared" si="99"/>
        <v>383292.0952</v>
      </c>
      <c r="I3313" s="160"/>
      <c r="J3313" s="161"/>
      <c r="K3313" s="160"/>
      <c r="L3313" s="160">
        <f>+'FACP$'!$H3313-'FACP$'!$I3313-'FACP$'!$K3313</f>
        <v>383292.0952</v>
      </c>
      <c r="M3313" s="162" t="s">
        <v>732</v>
      </c>
      <c r="N3313" s="162" t="s">
        <v>554</v>
      </c>
      <c r="O3313" s="164">
        <v>44832.0</v>
      </c>
      <c r="P3313" s="164">
        <f t="array" ref="P3313">XLOOKUP('FACP$'!$B3313,'perfil de pagos'!A:A,'perfil de pagos'!B:B)+'FACP$'!$D3313</f>
        <v>44774</v>
      </c>
      <c r="Q3313" s="165">
        <f t="shared" si="2"/>
        <v>0</v>
      </c>
      <c r="R3313" s="167"/>
      <c r="S3313" s="167">
        <v>1584.0</v>
      </c>
      <c r="T3313" s="168">
        <f t="shared" si="3"/>
        <v>383292.0952</v>
      </c>
      <c r="U3313" s="168">
        <f t="shared" si="4"/>
        <v>0</v>
      </c>
      <c r="V3313" s="168">
        <f t="shared" si="5"/>
        <v>0</v>
      </c>
      <c r="W3313" s="168">
        <f t="shared" si="6"/>
        <v>0</v>
      </c>
      <c r="X3313" s="168">
        <f t="shared" si="7"/>
        <v>0</v>
      </c>
      <c r="Y3313" s="168">
        <f t="shared" si="8"/>
        <v>0</v>
      </c>
      <c r="Z3313" s="168">
        <f t="shared" si="9"/>
        <v>0</v>
      </c>
    </row>
    <row r="3314" ht="15.0" customHeight="1">
      <c r="A3314" s="157" t="s">
        <v>4051</v>
      </c>
      <c r="B3314" s="158" t="s">
        <v>26</v>
      </c>
      <c r="C3314" s="158" t="s">
        <v>4032</v>
      </c>
      <c r="D3314" s="159">
        <v>44764.0</v>
      </c>
      <c r="E3314" s="157" t="s">
        <v>731</v>
      </c>
      <c r="F3314" s="160">
        <v>161050.41</v>
      </c>
      <c r="G3314" s="160">
        <f>'FACP$'!$F3314*0.16</f>
        <v>25768.0656</v>
      </c>
      <c r="H3314" s="160">
        <f t="shared" si="99"/>
        <v>186818.4756</v>
      </c>
      <c r="I3314" s="160">
        <v>115722.48</v>
      </c>
      <c r="J3314" s="161"/>
      <c r="K3314" s="160"/>
      <c r="L3314" s="160">
        <f>+'FACP$'!$H3314-'FACP$'!$I3314-'FACP$'!$K3314</f>
        <v>71095.9956</v>
      </c>
      <c r="M3314" s="162" t="s">
        <v>2386</v>
      </c>
      <c r="N3314" s="162" t="s">
        <v>554</v>
      </c>
      <c r="O3314" s="164">
        <v>45267.0</v>
      </c>
      <c r="P3314" s="164">
        <f t="array" ref="P3314">XLOOKUP('FACP$'!$B3314,'perfil de pagos'!A:A,'perfil de pagos'!B:B)+'FACP$'!$D3314</f>
        <v>44774</v>
      </c>
      <c r="Q3314" s="165">
        <f t="shared" si="2"/>
        <v>0</v>
      </c>
      <c r="R3314" s="220" t="s">
        <v>4052</v>
      </c>
      <c r="S3314" s="167" t="s">
        <v>4053</v>
      </c>
      <c r="T3314" s="168">
        <f t="shared" si="3"/>
        <v>71095.9956</v>
      </c>
      <c r="U3314" s="168">
        <f t="shared" si="4"/>
        <v>0</v>
      </c>
      <c r="V3314" s="168">
        <f t="shared" si="5"/>
        <v>0</v>
      </c>
      <c r="W3314" s="168">
        <f t="shared" si="6"/>
        <v>0</v>
      </c>
      <c r="X3314" s="168">
        <f t="shared" si="7"/>
        <v>0</v>
      </c>
      <c r="Y3314" s="168">
        <f t="shared" si="8"/>
        <v>0</v>
      </c>
      <c r="Z3314" s="168">
        <f t="shared" si="9"/>
        <v>0</v>
      </c>
    </row>
    <row r="3315" ht="15.0" customHeight="1">
      <c r="A3315" s="157" t="s">
        <v>4054</v>
      </c>
      <c r="B3315" s="158" t="s">
        <v>37</v>
      </c>
      <c r="C3315" s="158" t="s">
        <v>4032</v>
      </c>
      <c r="D3315" s="159">
        <v>44764.0</v>
      </c>
      <c r="E3315" s="157" t="s">
        <v>731</v>
      </c>
      <c r="F3315" s="160">
        <v>2831471.03</v>
      </c>
      <c r="G3315" s="160">
        <f>'FACP$'!$F3315*0.16</f>
        <v>453035.3648</v>
      </c>
      <c r="H3315" s="160">
        <f t="shared" si="99"/>
        <v>3284506.395</v>
      </c>
      <c r="I3315" s="160"/>
      <c r="J3315" s="161"/>
      <c r="K3315" s="160"/>
      <c r="L3315" s="160">
        <f>+'FACP$'!$H3315-'FACP$'!$I3315-'FACP$'!$K3315</f>
        <v>3284506.395</v>
      </c>
      <c r="M3315" s="162" t="s">
        <v>116</v>
      </c>
      <c r="N3315" s="162" t="s">
        <v>554</v>
      </c>
      <c r="O3315" s="164">
        <v>44775.0</v>
      </c>
      <c r="P3315" s="164">
        <f t="array" ref="P3315">XLOOKUP('FACP$'!$B3315,'perfil de pagos'!A:A,'perfil de pagos'!B:B)+'FACP$'!$D3315</f>
        <v>44774</v>
      </c>
      <c r="Q3315" s="165">
        <f t="shared" si="2"/>
        <v>0</v>
      </c>
      <c r="R3315" s="167"/>
      <c r="S3315" s="167">
        <v>1516.0</v>
      </c>
      <c r="T3315" s="168">
        <f t="shared" si="3"/>
        <v>3284506.395</v>
      </c>
      <c r="U3315" s="168">
        <f t="shared" si="4"/>
        <v>0</v>
      </c>
      <c r="V3315" s="168">
        <f t="shared" si="5"/>
        <v>0</v>
      </c>
      <c r="W3315" s="168">
        <f t="shared" si="6"/>
        <v>0</v>
      </c>
      <c r="X3315" s="168">
        <f t="shared" si="7"/>
        <v>0</v>
      </c>
      <c r="Y3315" s="168">
        <f t="shared" si="8"/>
        <v>0</v>
      </c>
      <c r="Z3315" s="168">
        <f t="shared" si="9"/>
        <v>0</v>
      </c>
    </row>
    <row r="3316" ht="15.0" customHeight="1">
      <c r="A3316" s="157" t="s">
        <v>4055</v>
      </c>
      <c r="B3316" s="158" t="s">
        <v>38</v>
      </c>
      <c r="C3316" s="158" t="s">
        <v>4032</v>
      </c>
      <c r="D3316" s="159">
        <v>44764.0</v>
      </c>
      <c r="E3316" s="157" t="s">
        <v>731</v>
      </c>
      <c r="F3316" s="160">
        <v>1172077.92</v>
      </c>
      <c r="G3316" s="160">
        <f>'FACP$'!$F3316*0.16</f>
        <v>187532.4672</v>
      </c>
      <c r="H3316" s="160">
        <f t="shared" si="99"/>
        <v>1359610.387</v>
      </c>
      <c r="I3316" s="160"/>
      <c r="J3316" s="161"/>
      <c r="K3316" s="160"/>
      <c r="L3316" s="160">
        <f>+'FACP$'!$H3316-'FACP$'!$I3316-'FACP$'!$K3316</f>
        <v>1359610.387</v>
      </c>
      <c r="M3316" s="162" t="s">
        <v>145</v>
      </c>
      <c r="N3316" s="162" t="s">
        <v>127</v>
      </c>
      <c r="O3316" s="164"/>
      <c r="P3316" s="164">
        <f t="array" ref="P3316">XLOOKUP('FACP$'!$B3316,'perfil de pagos'!A:A,'perfil de pagos'!B:B)+'FACP$'!$D3316</f>
        <v>44794</v>
      </c>
      <c r="Q3316" s="165">
        <f t="shared" si="2"/>
        <v>0</v>
      </c>
      <c r="R3316" s="167" t="s">
        <v>4023</v>
      </c>
      <c r="S3316" s="167"/>
      <c r="T3316" s="168">
        <f t="shared" si="3"/>
        <v>1359610.387</v>
      </c>
      <c r="U3316" s="168">
        <f t="shared" si="4"/>
        <v>0</v>
      </c>
      <c r="V3316" s="168">
        <f t="shared" si="5"/>
        <v>0</v>
      </c>
      <c r="W3316" s="168">
        <f t="shared" si="6"/>
        <v>0</v>
      </c>
      <c r="X3316" s="168">
        <f t="shared" si="7"/>
        <v>0</v>
      </c>
      <c r="Y3316" s="168">
        <f t="shared" si="8"/>
        <v>0</v>
      </c>
      <c r="Z3316" s="168">
        <f t="shared" si="9"/>
        <v>0</v>
      </c>
    </row>
    <row r="3317" ht="15.0" customHeight="1">
      <c r="A3317" s="157" t="s">
        <v>4056</v>
      </c>
      <c r="B3317" s="158" t="s">
        <v>29</v>
      </c>
      <c r="C3317" s="158" t="s">
        <v>4032</v>
      </c>
      <c r="D3317" s="159">
        <v>44764.0</v>
      </c>
      <c r="E3317" s="157" t="s">
        <v>731</v>
      </c>
      <c r="F3317" s="160">
        <v>232145.76</v>
      </c>
      <c r="G3317" s="160">
        <f>'FACP$'!$F3317*0.16</f>
        <v>37143.3216</v>
      </c>
      <c r="H3317" s="160">
        <f t="shared" si="99"/>
        <v>269289.0816</v>
      </c>
      <c r="I3317" s="160"/>
      <c r="J3317" s="161"/>
      <c r="K3317" s="160"/>
      <c r="L3317" s="160">
        <f>+'FACP$'!$H3317-'FACP$'!$I3317-'FACP$'!$K3317</f>
        <v>269289.0816</v>
      </c>
      <c r="M3317" s="162" t="s">
        <v>130</v>
      </c>
      <c r="N3317" s="162" t="s">
        <v>554</v>
      </c>
      <c r="O3317" s="164">
        <v>44795.0</v>
      </c>
      <c r="P3317" s="164">
        <f t="array" ref="P3317">XLOOKUP('FACP$'!$B3317,'perfil de pagos'!A:A,'perfil de pagos'!B:B)+'FACP$'!$D3317</f>
        <v>44774</v>
      </c>
      <c r="Q3317" s="165">
        <f t="shared" si="2"/>
        <v>0</v>
      </c>
      <c r="R3317" s="167"/>
      <c r="S3317" s="167">
        <v>1532.0</v>
      </c>
      <c r="T3317" s="168">
        <f t="shared" si="3"/>
        <v>269289.0816</v>
      </c>
      <c r="U3317" s="168">
        <f t="shared" si="4"/>
        <v>0</v>
      </c>
      <c r="V3317" s="168">
        <f t="shared" si="5"/>
        <v>0</v>
      </c>
      <c r="W3317" s="168">
        <f t="shared" si="6"/>
        <v>0</v>
      </c>
      <c r="X3317" s="168">
        <f t="shared" si="7"/>
        <v>0</v>
      </c>
      <c r="Y3317" s="168">
        <f t="shared" si="8"/>
        <v>0</v>
      </c>
      <c r="Z3317" s="168">
        <f t="shared" si="9"/>
        <v>0</v>
      </c>
    </row>
    <row r="3318" ht="15.0" customHeight="1">
      <c r="A3318" s="157" t="s">
        <v>4057</v>
      </c>
      <c r="B3318" s="158" t="s">
        <v>29</v>
      </c>
      <c r="C3318" s="158" t="s">
        <v>4048</v>
      </c>
      <c r="D3318" s="159">
        <v>44764.0</v>
      </c>
      <c r="E3318" s="157" t="s">
        <v>731</v>
      </c>
      <c r="F3318" s="160">
        <v>189923.77</v>
      </c>
      <c r="G3318" s="160">
        <f>'FACP$'!$F3318*0.16</f>
        <v>30387.8032</v>
      </c>
      <c r="H3318" s="160">
        <f t="shared" si="99"/>
        <v>220311.5732</v>
      </c>
      <c r="I3318" s="160"/>
      <c r="J3318" s="161"/>
      <c r="K3318" s="160"/>
      <c r="L3318" s="160">
        <f>+'FACP$'!$H3318-'FACP$'!$I3318-'FACP$'!$K3318</f>
        <v>220311.5732</v>
      </c>
      <c r="M3318" s="162" t="s">
        <v>130</v>
      </c>
      <c r="N3318" s="162" t="s">
        <v>554</v>
      </c>
      <c r="O3318" s="164">
        <v>44775.0</v>
      </c>
      <c r="P3318" s="164">
        <f t="array" ref="P3318">XLOOKUP('FACP$'!$B3318,'perfil de pagos'!A:A,'perfil de pagos'!B:B)+'FACP$'!$D3318</f>
        <v>44774</v>
      </c>
      <c r="Q3318" s="165">
        <f t="shared" si="2"/>
        <v>0</v>
      </c>
      <c r="R3318" s="167"/>
      <c r="S3318" s="167">
        <v>1518.0</v>
      </c>
      <c r="T3318" s="168">
        <f t="shared" si="3"/>
        <v>220311.5732</v>
      </c>
      <c r="U3318" s="168">
        <f t="shared" si="4"/>
        <v>0</v>
      </c>
      <c r="V3318" s="168">
        <f t="shared" si="5"/>
        <v>0</v>
      </c>
      <c r="W3318" s="168">
        <f t="shared" si="6"/>
        <v>0</v>
      </c>
      <c r="X3318" s="168">
        <f t="shared" si="7"/>
        <v>0</v>
      </c>
      <c r="Y3318" s="168">
        <f t="shared" si="8"/>
        <v>0</v>
      </c>
      <c r="Z3318" s="168">
        <f t="shared" si="9"/>
        <v>0</v>
      </c>
    </row>
    <row r="3319" ht="15.0" customHeight="1">
      <c r="A3319" s="157" t="s">
        <v>4058</v>
      </c>
      <c r="B3319" s="158" t="s">
        <v>22</v>
      </c>
      <c r="C3319" s="158" t="s">
        <v>4032</v>
      </c>
      <c r="D3319" s="159">
        <v>44764.0</v>
      </c>
      <c r="E3319" s="157" t="s">
        <v>731</v>
      </c>
      <c r="F3319" s="160">
        <v>280209.6</v>
      </c>
      <c r="G3319" s="160">
        <f>'FACP$'!$F3319*0.16</f>
        <v>44833.536</v>
      </c>
      <c r="H3319" s="160">
        <f>F3319+G3319-95550.97</f>
        <v>229492.166</v>
      </c>
      <c r="I3319" s="160"/>
      <c r="J3319" s="161"/>
      <c r="K3319" s="160"/>
      <c r="L3319" s="160">
        <f>+'FACP$'!$H3319-'FACP$'!$I3319-'FACP$'!$K3319</f>
        <v>229492.166</v>
      </c>
      <c r="M3319" s="162" t="s">
        <v>220</v>
      </c>
      <c r="N3319" s="162" t="s">
        <v>554</v>
      </c>
      <c r="O3319" s="164">
        <v>44803.0</v>
      </c>
      <c r="P3319" s="164">
        <f t="array" ref="P3319">XLOOKUP('FACP$'!$B3319,'perfil de pagos'!A:A,'perfil de pagos'!B:B)+'FACP$'!$D3319</f>
        <v>44774</v>
      </c>
      <c r="Q3319" s="165">
        <f t="shared" si="2"/>
        <v>0</v>
      </c>
      <c r="R3319" s="220" t="s">
        <v>4059</v>
      </c>
      <c r="S3319" s="167">
        <v>1540.0</v>
      </c>
      <c r="T3319" s="168">
        <f t="shared" si="3"/>
        <v>229492.166</v>
      </c>
      <c r="U3319" s="168">
        <f t="shared" si="4"/>
        <v>0</v>
      </c>
      <c r="V3319" s="168">
        <f t="shared" si="5"/>
        <v>0</v>
      </c>
      <c r="W3319" s="168">
        <f t="shared" si="6"/>
        <v>0</v>
      </c>
      <c r="X3319" s="168">
        <f t="shared" si="7"/>
        <v>0</v>
      </c>
      <c r="Y3319" s="168">
        <f t="shared" si="8"/>
        <v>0</v>
      </c>
      <c r="Z3319" s="168">
        <f t="shared" si="9"/>
        <v>0</v>
      </c>
    </row>
    <row r="3320" ht="15.0" customHeight="1">
      <c r="A3320" s="157" t="s">
        <v>4060</v>
      </c>
      <c r="B3320" s="158" t="s">
        <v>27</v>
      </c>
      <c r="C3320" s="158" t="s">
        <v>4061</v>
      </c>
      <c r="D3320" s="159">
        <v>44771.0</v>
      </c>
      <c r="E3320" s="157" t="s">
        <v>731</v>
      </c>
      <c r="F3320" s="160">
        <v>612571.17</v>
      </c>
      <c r="G3320" s="160">
        <f>'FACP$'!$F3320*0.16</f>
        <v>98011.3872</v>
      </c>
      <c r="H3320" s="160">
        <f>F3320+G3320</f>
        <v>710582.5572</v>
      </c>
      <c r="I3320" s="160"/>
      <c r="J3320" s="161"/>
      <c r="K3320" s="160"/>
      <c r="L3320" s="160">
        <f>+'FACP$'!$H3320-'FACP$'!$I3320-'FACP$'!$K3320</f>
        <v>710582.5572</v>
      </c>
      <c r="M3320" s="162" t="s">
        <v>158</v>
      </c>
      <c r="N3320" s="162" t="s">
        <v>554</v>
      </c>
      <c r="O3320" s="164">
        <v>44804.0</v>
      </c>
      <c r="P3320" s="164">
        <f t="array" ref="P3320">XLOOKUP('FACP$'!$B3320,'perfil de pagos'!A:A,'perfil de pagos'!B:B)+'FACP$'!$D3320</f>
        <v>44801</v>
      </c>
      <c r="Q3320" s="165">
        <f t="shared" si="2"/>
        <v>0</v>
      </c>
      <c r="R3320" s="167"/>
      <c r="S3320" s="167">
        <v>1543.0</v>
      </c>
      <c r="T3320" s="168">
        <f t="shared" si="3"/>
        <v>710582.5572</v>
      </c>
      <c r="U3320" s="168">
        <f t="shared" si="4"/>
        <v>0</v>
      </c>
      <c r="V3320" s="168">
        <f t="shared" si="5"/>
        <v>0</v>
      </c>
      <c r="W3320" s="168">
        <f t="shared" si="6"/>
        <v>0</v>
      </c>
      <c r="X3320" s="168">
        <f t="shared" si="7"/>
        <v>0</v>
      </c>
      <c r="Y3320" s="168">
        <f t="shared" si="8"/>
        <v>0</v>
      </c>
      <c r="Z3320" s="168">
        <f t="shared" si="9"/>
        <v>0</v>
      </c>
    </row>
    <row r="3321" ht="15.0" customHeight="1">
      <c r="A3321" s="157" t="s">
        <v>4062</v>
      </c>
      <c r="B3321" s="158" t="s">
        <v>27</v>
      </c>
      <c r="C3321" s="158" t="s">
        <v>4063</v>
      </c>
      <c r="D3321" s="159">
        <v>44771.0</v>
      </c>
      <c r="E3321" s="157" t="s">
        <v>731</v>
      </c>
      <c r="F3321" s="160">
        <v>206111.23</v>
      </c>
      <c r="G3321" s="160">
        <f>'FACP$'!$F3321*0.16</f>
        <v>32977.7968</v>
      </c>
      <c r="H3321" s="160">
        <f>F3321+G3321-'NCP$'!H184</f>
        <v>234559.2268</v>
      </c>
      <c r="I3321" s="160"/>
      <c r="J3321" s="161"/>
      <c r="K3321" s="160"/>
      <c r="L3321" s="160">
        <f>+'FACP$'!$H3321-'FACP$'!$I3321-'FACP$'!$K3321</f>
        <v>234559.2268</v>
      </c>
      <c r="M3321" s="162" t="s">
        <v>158</v>
      </c>
      <c r="N3321" s="162" t="s">
        <v>554</v>
      </c>
      <c r="O3321" s="164">
        <v>44813.0</v>
      </c>
      <c r="P3321" s="164">
        <f t="array" ref="P3321">XLOOKUP('FACP$'!$B3321,'perfil de pagos'!A:A,'perfil de pagos'!B:B)+'FACP$'!$D3321</f>
        <v>44801</v>
      </c>
      <c r="Q3321" s="165">
        <f t="shared" si="2"/>
        <v>0</v>
      </c>
      <c r="R3321" s="220" t="s">
        <v>4064</v>
      </c>
      <c r="S3321" s="167">
        <v>1545.0</v>
      </c>
      <c r="T3321" s="168">
        <f t="shared" si="3"/>
        <v>234559.2268</v>
      </c>
      <c r="U3321" s="168">
        <f t="shared" si="4"/>
        <v>0</v>
      </c>
      <c r="V3321" s="168">
        <f t="shared" si="5"/>
        <v>0</v>
      </c>
      <c r="W3321" s="168">
        <f t="shared" si="6"/>
        <v>0</v>
      </c>
      <c r="X3321" s="168">
        <f t="shared" si="7"/>
        <v>0</v>
      </c>
      <c r="Y3321" s="168">
        <f t="shared" si="8"/>
        <v>0</v>
      </c>
      <c r="Z3321" s="168">
        <f t="shared" si="9"/>
        <v>0</v>
      </c>
    </row>
    <row r="3322" ht="15.0" customHeight="1">
      <c r="A3322" s="157" t="s">
        <v>4065</v>
      </c>
      <c r="B3322" s="158" t="s">
        <v>27</v>
      </c>
      <c r="C3322" s="158" t="s">
        <v>4061</v>
      </c>
      <c r="D3322" s="159">
        <v>44771.0</v>
      </c>
      <c r="E3322" s="157" t="s">
        <v>731</v>
      </c>
      <c r="F3322" s="160">
        <v>585542.5</v>
      </c>
      <c r="G3322" s="160">
        <f>'FACP$'!$F3322*0.16</f>
        <v>93686.8</v>
      </c>
      <c r="H3322" s="160">
        <f>F3322+G3322-'NCP$'!H188</f>
        <v>657038.5696</v>
      </c>
      <c r="I3322" s="160"/>
      <c r="J3322" s="161"/>
      <c r="K3322" s="160"/>
      <c r="L3322" s="160">
        <f>+'FACP$'!$H3322-'FACP$'!$I3322-'FACP$'!$K3322</f>
        <v>657038.5696</v>
      </c>
      <c r="M3322" s="162" t="s">
        <v>151</v>
      </c>
      <c r="N3322" s="162" t="s">
        <v>554</v>
      </c>
      <c r="O3322" s="164">
        <v>44813.0</v>
      </c>
      <c r="P3322" s="164">
        <f t="array" ref="P3322">XLOOKUP('FACP$'!$B3322,'perfil de pagos'!A:A,'perfil de pagos'!B:B)+'FACP$'!$D3322</f>
        <v>44801</v>
      </c>
      <c r="Q3322" s="165">
        <f t="shared" si="2"/>
        <v>0</v>
      </c>
      <c r="R3322" s="220" t="s">
        <v>4066</v>
      </c>
      <c r="S3322" s="167">
        <v>1545.0</v>
      </c>
      <c r="T3322" s="168">
        <f t="shared" si="3"/>
        <v>657038.5696</v>
      </c>
      <c r="U3322" s="168">
        <f t="shared" si="4"/>
        <v>0</v>
      </c>
      <c r="V3322" s="168">
        <f t="shared" si="5"/>
        <v>0</v>
      </c>
      <c r="W3322" s="168">
        <f t="shared" si="6"/>
        <v>0</v>
      </c>
      <c r="X3322" s="168">
        <f t="shared" si="7"/>
        <v>0</v>
      </c>
      <c r="Y3322" s="168">
        <f t="shared" si="8"/>
        <v>0</v>
      </c>
      <c r="Z3322" s="168">
        <f t="shared" si="9"/>
        <v>0</v>
      </c>
    </row>
    <row r="3323" ht="15.0" customHeight="1">
      <c r="A3323" s="157" t="s">
        <v>4067</v>
      </c>
      <c r="B3323" s="158" t="s">
        <v>27</v>
      </c>
      <c r="C3323" s="158" t="s">
        <v>4063</v>
      </c>
      <c r="D3323" s="159">
        <v>44771.0</v>
      </c>
      <c r="E3323" s="157" t="s">
        <v>731</v>
      </c>
      <c r="F3323" s="160">
        <v>179073.15</v>
      </c>
      <c r="G3323" s="160">
        <f>'FACP$'!$F3323*0.16</f>
        <v>28651.704</v>
      </c>
      <c r="H3323" s="160">
        <f>F3323+G3323</f>
        <v>207724.854</v>
      </c>
      <c r="I3323" s="160"/>
      <c r="J3323" s="161"/>
      <c r="K3323" s="160"/>
      <c r="L3323" s="160">
        <f>+'FACP$'!$H3323-'FACP$'!$I3323-'FACP$'!$K3323</f>
        <v>207724.854</v>
      </c>
      <c r="M3323" s="162" t="s">
        <v>151</v>
      </c>
      <c r="N3323" s="162" t="s">
        <v>554</v>
      </c>
      <c r="O3323" s="164">
        <v>44804.0</v>
      </c>
      <c r="P3323" s="164">
        <f t="array" ref="P3323">XLOOKUP('FACP$'!$B3323,'perfil de pagos'!A:A,'perfil de pagos'!B:B)+'FACP$'!$D3323</f>
        <v>44801</v>
      </c>
      <c r="Q3323" s="165">
        <f t="shared" si="2"/>
        <v>0</v>
      </c>
      <c r="R3323" s="167"/>
      <c r="S3323" s="167">
        <v>1557.0</v>
      </c>
      <c r="T3323" s="168">
        <f t="shared" si="3"/>
        <v>207724.854</v>
      </c>
      <c r="U3323" s="168">
        <f t="shared" si="4"/>
        <v>0</v>
      </c>
      <c r="V3323" s="168">
        <f t="shared" si="5"/>
        <v>0</v>
      </c>
      <c r="W3323" s="168">
        <f t="shared" si="6"/>
        <v>0</v>
      </c>
      <c r="X3323" s="168">
        <f t="shared" si="7"/>
        <v>0</v>
      </c>
      <c r="Y3323" s="168">
        <f t="shared" si="8"/>
        <v>0</v>
      </c>
      <c r="Z3323" s="168">
        <f t="shared" si="9"/>
        <v>0</v>
      </c>
    </row>
    <row r="3324" ht="15.0" customHeight="1">
      <c r="A3324" s="157" t="s">
        <v>4068</v>
      </c>
      <c r="B3324" s="158" t="s">
        <v>27</v>
      </c>
      <c r="C3324" s="158" t="s">
        <v>4069</v>
      </c>
      <c r="D3324" s="159">
        <v>44771.0</v>
      </c>
      <c r="E3324" s="157" t="s">
        <v>731</v>
      </c>
      <c r="F3324" s="160">
        <v>32501.57</v>
      </c>
      <c r="G3324" s="160">
        <f>'FACP$'!$F3324*0.16</f>
        <v>5200.2512</v>
      </c>
      <c r="H3324" s="160">
        <f>F3324+G3324-53.61-'NCP$'!H189</f>
        <v>36416.4768</v>
      </c>
      <c r="I3324" s="160"/>
      <c r="J3324" s="161"/>
      <c r="K3324" s="160"/>
      <c r="L3324" s="160">
        <f>+'FACP$'!$H3324-'FACP$'!$I3324-'FACP$'!$K3324</f>
        <v>36416.4768</v>
      </c>
      <c r="M3324" s="162" t="s">
        <v>151</v>
      </c>
      <c r="N3324" s="162" t="s">
        <v>554</v>
      </c>
      <c r="O3324" s="164">
        <v>44813.0</v>
      </c>
      <c r="P3324" s="164">
        <f t="array" ref="P3324">XLOOKUP('FACP$'!$B3324,'perfil de pagos'!A:A,'perfil de pagos'!B:B)+'FACP$'!$D3324</f>
        <v>44801</v>
      </c>
      <c r="Q3324" s="165">
        <f t="shared" si="2"/>
        <v>0</v>
      </c>
      <c r="R3324" s="220" t="s">
        <v>4070</v>
      </c>
      <c r="S3324" s="167">
        <v>1545.0</v>
      </c>
      <c r="T3324" s="168">
        <f t="shared" si="3"/>
        <v>36416.4768</v>
      </c>
      <c r="U3324" s="168">
        <f t="shared" si="4"/>
        <v>0</v>
      </c>
      <c r="V3324" s="168">
        <f t="shared" si="5"/>
        <v>0</v>
      </c>
      <c r="W3324" s="168">
        <f t="shared" si="6"/>
        <v>0</v>
      </c>
      <c r="X3324" s="168">
        <f t="shared" si="7"/>
        <v>0</v>
      </c>
      <c r="Y3324" s="168">
        <f t="shared" si="8"/>
        <v>0</v>
      </c>
      <c r="Z3324" s="168">
        <f t="shared" si="9"/>
        <v>0</v>
      </c>
    </row>
    <row r="3325" ht="15.0" customHeight="1">
      <c r="A3325" s="157" t="s">
        <v>4071</v>
      </c>
      <c r="B3325" s="158" t="s">
        <v>27</v>
      </c>
      <c r="C3325" s="158" t="s">
        <v>4072</v>
      </c>
      <c r="D3325" s="159">
        <v>44771.0</v>
      </c>
      <c r="E3325" s="157" t="s">
        <v>731</v>
      </c>
      <c r="F3325" s="160">
        <v>9939.77</v>
      </c>
      <c r="G3325" s="160">
        <f>'FACP$'!$F3325*0.16</f>
        <v>1590.3632</v>
      </c>
      <c r="H3325" s="160">
        <f>F3325+G3325-177.9</f>
        <v>11352.2332</v>
      </c>
      <c r="I3325" s="160"/>
      <c r="J3325" s="161"/>
      <c r="K3325" s="160"/>
      <c r="L3325" s="160">
        <f>+'FACP$'!$H3325-'FACP$'!$I3325-'FACP$'!$K3325</f>
        <v>11352.2332</v>
      </c>
      <c r="M3325" s="162" t="s">
        <v>151</v>
      </c>
      <c r="N3325" s="162" t="s">
        <v>554</v>
      </c>
      <c r="O3325" s="164">
        <v>44804.0</v>
      </c>
      <c r="P3325" s="164">
        <f t="array" ref="P3325">XLOOKUP('FACP$'!$B3325,'perfil de pagos'!A:A,'perfil de pagos'!B:B)+'FACP$'!$D3325</f>
        <v>44801</v>
      </c>
      <c r="Q3325" s="165">
        <f t="shared" si="2"/>
        <v>0</v>
      </c>
      <c r="R3325" s="167" t="s">
        <v>4073</v>
      </c>
      <c r="S3325" s="167">
        <v>1557.0</v>
      </c>
      <c r="T3325" s="168">
        <f t="shared" si="3"/>
        <v>11352.2332</v>
      </c>
      <c r="U3325" s="168">
        <f t="shared" si="4"/>
        <v>0</v>
      </c>
      <c r="V3325" s="168">
        <f t="shared" si="5"/>
        <v>0</v>
      </c>
      <c r="W3325" s="168">
        <f t="shared" si="6"/>
        <v>0</v>
      </c>
      <c r="X3325" s="168">
        <f t="shared" si="7"/>
        <v>0</v>
      </c>
      <c r="Y3325" s="168">
        <f t="shared" si="8"/>
        <v>0</v>
      </c>
      <c r="Z3325" s="168">
        <f t="shared" si="9"/>
        <v>0</v>
      </c>
    </row>
    <row r="3326" ht="15.0" customHeight="1">
      <c r="A3326" s="157" t="s">
        <v>4074</v>
      </c>
      <c r="B3326" s="158" t="s">
        <v>37</v>
      </c>
      <c r="C3326" s="158" t="s">
        <v>4075</v>
      </c>
      <c r="D3326" s="159">
        <v>44774.0</v>
      </c>
      <c r="E3326" s="157" t="s">
        <v>731</v>
      </c>
      <c r="F3326" s="160">
        <v>180043.14</v>
      </c>
      <c r="G3326" s="160">
        <f>'FACP$'!$F3326*0.16</f>
        <v>28806.9024</v>
      </c>
      <c r="H3326" s="160">
        <f t="shared" ref="H3326:H3332" si="100">F3326+G3326</f>
        <v>208850.0424</v>
      </c>
      <c r="I3326" s="160"/>
      <c r="J3326" s="161"/>
      <c r="K3326" s="160"/>
      <c r="L3326" s="160">
        <f>+'FACP$'!$H3326-'FACP$'!$I3326-'FACP$'!$K3326</f>
        <v>208850.0424</v>
      </c>
      <c r="M3326" s="162" t="s">
        <v>116</v>
      </c>
      <c r="N3326" s="224" t="s">
        <v>554</v>
      </c>
      <c r="O3326" s="164">
        <v>44795.0</v>
      </c>
      <c r="P3326" s="164">
        <f t="array" ref="P3326">XLOOKUP('FACP$'!$B3326,'perfil de pagos'!A:A,'perfil de pagos'!B:B)+'FACP$'!$D3326</f>
        <v>44784</v>
      </c>
      <c r="Q3326" s="165">
        <f t="shared" si="2"/>
        <v>0</v>
      </c>
      <c r="R3326" s="167"/>
      <c r="S3326" s="167">
        <v>1534.0</v>
      </c>
      <c r="T3326" s="168">
        <f t="shared" si="3"/>
        <v>208850.0424</v>
      </c>
      <c r="U3326" s="168">
        <f t="shared" si="4"/>
        <v>0</v>
      </c>
      <c r="V3326" s="168">
        <f t="shared" si="5"/>
        <v>0</v>
      </c>
      <c r="W3326" s="168">
        <f t="shared" si="6"/>
        <v>0</v>
      </c>
      <c r="X3326" s="168">
        <f t="shared" si="7"/>
        <v>0</v>
      </c>
      <c r="Y3326" s="168">
        <f t="shared" si="8"/>
        <v>0</v>
      </c>
      <c r="Z3326" s="168">
        <f t="shared" si="9"/>
        <v>0</v>
      </c>
    </row>
    <row r="3327" ht="15.0" customHeight="1">
      <c r="A3327" s="157" t="s">
        <v>4076</v>
      </c>
      <c r="B3327" s="158" t="s">
        <v>37</v>
      </c>
      <c r="C3327" s="158" t="s">
        <v>4077</v>
      </c>
      <c r="D3327" s="159">
        <v>44774.0</v>
      </c>
      <c r="E3327" s="157" t="s">
        <v>731</v>
      </c>
      <c r="F3327" s="160">
        <v>206603.23</v>
      </c>
      <c r="G3327" s="160">
        <f>'FACP$'!$F3327*0.16</f>
        <v>33056.5168</v>
      </c>
      <c r="H3327" s="160">
        <f t="shared" si="100"/>
        <v>239659.7468</v>
      </c>
      <c r="I3327" s="160"/>
      <c r="J3327" s="161"/>
      <c r="K3327" s="160"/>
      <c r="L3327" s="160">
        <f>+'FACP$'!$H3327-'FACP$'!$I3327-'FACP$'!$K3327</f>
        <v>239659.7468</v>
      </c>
      <c r="M3327" s="162" t="s">
        <v>116</v>
      </c>
      <c r="N3327" s="224" t="s">
        <v>554</v>
      </c>
      <c r="O3327" s="164">
        <v>44795.0</v>
      </c>
      <c r="P3327" s="164">
        <f t="array" ref="P3327">XLOOKUP('FACP$'!$B3327,'perfil de pagos'!A:A,'perfil de pagos'!B:B)+'FACP$'!$D3327</f>
        <v>44784</v>
      </c>
      <c r="Q3327" s="165">
        <f t="shared" si="2"/>
        <v>0</v>
      </c>
      <c r="R3327" s="167"/>
      <c r="S3327" s="167">
        <v>1534.0</v>
      </c>
      <c r="T3327" s="168">
        <f t="shared" si="3"/>
        <v>239659.7468</v>
      </c>
      <c r="U3327" s="168">
        <f t="shared" si="4"/>
        <v>0</v>
      </c>
      <c r="V3327" s="168">
        <f t="shared" si="5"/>
        <v>0</v>
      </c>
      <c r="W3327" s="168">
        <f t="shared" si="6"/>
        <v>0</v>
      </c>
      <c r="X3327" s="168">
        <f t="shared" si="7"/>
        <v>0</v>
      </c>
      <c r="Y3327" s="168">
        <f t="shared" si="8"/>
        <v>0</v>
      </c>
      <c r="Z3327" s="168">
        <f t="shared" si="9"/>
        <v>0</v>
      </c>
    </row>
    <row r="3328" ht="15.0" customHeight="1">
      <c r="A3328" s="157" t="s">
        <v>4078</v>
      </c>
      <c r="B3328" s="158" t="s">
        <v>37</v>
      </c>
      <c r="C3328" s="158" t="s">
        <v>4079</v>
      </c>
      <c r="D3328" s="159">
        <v>44774.0</v>
      </c>
      <c r="E3328" s="157" t="s">
        <v>731</v>
      </c>
      <c r="F3328" s="160">
        <v>367736.96</v>
      </c>
      <c r="G3328" s="160">
        <f>'FACP$'!$F3328*0.16</f>
        <v>58837.9136</v>
      </c>
      <c r="H3328" s="160">
        <f t="shared" si="100"/>
        <v>426574.8736</v>
      </c>
      <c r="I3328" s="160"/>
      <c r="J3328" s="161"/>
      <c r="K3328" s="160"/>
      <c r="L3328" s="160">
        <f>+'FACP$'!$H3328-'FACP$'!$I3328-'FACP$'!$K3328</f>
        <v>426574.8736</v>
      </c>
      <c r="M3328" s="162" t="s">
        <v>116</v>
      </c>
      <c r="N3328" s="224" t="s">
        <v>554</v>
      </c>
      <c r="O3328" s="164">
        <v>44795.0</v>
      </c>
      <c r="P3328" s="164">
        <f t="array" ref="P3328">XLOOKUP('FACP$'!$B3328,'perfil de pagos'!A:A,'perfil de pagos'!B:B)+'FACP$'!$D3328</f>
        <v>44784</v>
      </c>
      <c r="Q3328" s="165">
        <f t="shared" si="2"/>
        <v>0</v>
      </c>
      <c r="R3328" s="167"/>
      <c r="S3328" s="167">
        <v>1534.0</v>
      </c>
      <c r="T3328" s="168">
        <f t="shared" si="3"/>
        <v>426574.8736</v>
      </c>
      <c r="U3328" s="168">
        <f t="shared" si="4"/>
        <v>0</v>
      </c>
      <c r="V3328" s="168">
        <f t="shared" si="5"/>
        <v>0</v>
      </c>
      <c r="W3328" s="168">
        <f t="shared" si="6"/>
        <v>0</v>
      </c>
      <c r="X3328" s="168">
        <f t="shared" si="7"/>
        <v>0</v>
      </c>
      <c r="Y3328" s="168">
        <f t="shared" si="8"/>
        <v>0</v>
      </c>
      <c r="Z3328" s="168">
        <f t="shared" si="9"/>
        <v>0</v>
      </c>
    </row>
    <row r="3329" ht="15.0" customHeight="1">
      <c r="A3329" s="157" t="s">
        <v>4080</v>
      </c>
      <c r="B3329" s="158" t="s">
        <v>41</v>
      </c>
      <c r="C3329" s="158" t="s">
        <v>4081</v>
      </c>
      <c r="D3329" s="159">
        <v>44775.0</v>
      </c>
      <c r="E3329" s="157" t="s">
        <v>731</v>
      </c>
      <c r="F3329" s="160">
        <v>604576.98</v>
      </c>
      <c r="G3329" s="160">
        <f>'FACP$'!$F3329*0.16</f>
        <v>96732.3168</v>
      </c>
      <c r="H3329" s="160">
        <f t="shared" si="100"/>
        <v>701309.2968</v>
      </c>
      <c r="I3329" s="160"/>
      <c r="J3329" s="161"/>
      <c r="K3329" s="160"/>
      <c r="L3329" s="160">
        <f>+'FACP$'!$H3329-'FACP$'!$I3329-'FACP$'!$K3329</f>
        <v>701309.2968</v>
      </c>
      <c r="M3329" s="162" t="s">
        <v>121</v>
      </c>
      <c r="N3329" s="162" t="s">
        <v>554</v>
      </c>
      <c r="O3329" s="164">
        <v>44844.0</v>
      </c>
      <c r="P3329" s="164">
        <f t="array" ref="P3329">XLOOKUP('FACP$'!$B3329,'perfil de pagos'!A:A,'perfil de pagos'!B:B)+'FACP$'!$D3329</f>
        <v>44785</v>
      </c>
      <c r="Q3329" s="165">
        <f t="shared" si="2"/>
        <v>0</v>
      </c>
      <c r="R3329" s="167"/>
      <c r="S3329" s="167">
        <v>1615.0</v>
      </c>
      <c r="T3329" s="168">
        <f t="shared" si="3"/>
        <v>701309.2968</v>
      </c>
      <c r="U3329" s="168">
        <f t="shared" si="4"/>
        <v>0</v>
      </c>
      <c r="V3329" s="168">
        <f t="shared" si="5"/>
        <v>0</v>
      </c>
      <c r="W3329" s="168">
        <f t="shared" si="6"/>
        <v>0</v>
      </c>
      <c r="X3329" s="168">
        <f t="shared" si="7"/>
        <v>0</v>
      </c>
      <c r="Y3329" s="168">
        <f t="shared" si="8"/>
        <v>0</v>
      </c>
      <c r="Z3329" s="168">
        <f t="shared" si="9"/>
        <v>0</v>
      </c>
    </row>
    <row r="3330" ht="15.0" customHeight="1">
      <c r="A3330" s="157" t="s">
        <v>4082</v>
      </c>
      <c r="B3330" s="158" t="s">
        <v>36</v>
      </c>
      <c r="C3330" s="158" t="s">
        <v>4081</v>
      </c>
      <c r="D3330" s="159">
        <v>44775.0</v>
      </c>
      <c r="E3330" s="157" t="s">
        <v>731</v>
      </c>
      <c r="F3330" s="160">
        <v>192993.94</v>
      </c>
      <c r="G3330" s="160">
        <f>'FACP$'!$F3330*0.16</f>
        <v>30879.0304</v>
      </c>
      <c r="H3330" s="160">
        <f t="shared" si="100"/>
        <v>223872.9704</v>
      </c>
      <c r="I3330" s="160"/>
      <c r="J3330" s="161"/>
      <c r="K3330" s="160"/>
      <c r="L3330" s="160">
        <f>+'FACP$'!$H3330-'FACP$'!$I3330-'FACP$'!$K3330</f>
        <v>223872.9704</v>
      </c>
      <c r="M3330" s="162" t="s">
        <v>278</v>
      </c>
      <c r="N3330" s="162" t="s">
        <v>554</v>
      </c>
      <c r="O3330" s="164"/>
      <c r="P3330" s="164">
        <f t="array" ref="P3330">XLOOKUP('FACP$'!$B3330,'perfil de pagos'!A:A,'perfil de pagos'!B:B)+'FACP$'!$D3330</f>
        <v>44785</v>
      </c>
      <c r="Q3330" s="165">
        <f t="shared" si="2"/>
        <v>0</v>
      </c>
      <c r="R3330" s="167"/>
      <c r="S3330" s="167">
        <v>1533.0</v>
      </c>
      <c r="T3330" s="168">
        <f t="shared" si="3"/>
        <v>223872.9704</v>
      </c>
      <c r="U3330" s="168">
        <f t="shared" si="4"/>
        <v>0</v>
      </c>
      <c r="V3330" s="168">
        <f t="shared" si="5"/>
        <v>0</v>
      </c>
      <c r="W3330" s="168">
        <f t="shared" si="6"/>
        <v>0</v>
      </c>
      <c r="X3330" s="168">
        <f t="shared" si="7"/>
        <v>0</v>
      </c>
      <c r="Y3330" s="168">
        <f t="shared" si="8"/>
        <v>0</v>
      </c>
      <c r="Z3330" s="168">
        <f t="shared" si="9"/>
        <v>0</v>
      </c>
    </row>
    <row r="3331" ht="15.0" customHeight="1">
      <c r="A3331" s="157" t="s">
        <v>4083</v>
      </c>
      <c r="B3331" s="158" t="s">
        <v>27</v>
      </c>
      <c r="C3331" s="158" t="s">
        <v>4084</v>
      </c>
      <c r="D3331" s="159">
        <v>44775.0</v>
      </c>
      <c r="E3331" s="157" t="s">
        <v>731</v>
      </c>
      <c r="F3331" s="160">
        <v>16455.95</v>
      </c>
      <c r="G3331" s="160">
        <f>'FACP$'!$F3331*0.16</f>
        <v>2632.952</v>
      </c>
      <c r="H3331" s="160">
        <f t="shared" si="100"/>
        <v>19088.902</v>
      </c>
      <c r="I3331" s="160"/>
      <c r="J3331" s="161"/>
      <c r="K3331" s="160"/>
      <c r="L3331" s="160">
        <f>+'FACP$'!$H3331-'FACP$'!$I3331-'FACP$'!$K3331</f>
        <v>19088.902</v>
      </c>
      <c r="M3331" s="162" t="s">
        <v>158</v>
      </c>
      <c r="N3331" s="162" t="s">
        <v>554</v>
      </c>
      <c r="O3331" s="164">
        <v>44804.0</v>
      </c>
      <c r="P3331" s="164">
        <f t="array" ref="P3331">XLOOKUP('FACP$'!$B3331,'perfil de pagos'!A:A,'perfil de pagos'!B:B)+'FACP$'!$D3331</f>
        <v>44805</v>
      </c>
      <c r="Q3331" s="165">
        <f t="shared" si="2"/>
        <v>0</v>
      </c>
      <c r="R3331" s="167"/>
      <c r="S3331" s="167">
        <v>1543.0</v>
      </c>
      <c r="T3331" s="168">
        <f t="shared" si="3"/>
        <v>19088.902</v>
      </c>
      <c r="U3331" s="168">
        <f t="shared" si="4"/>
        <v>0</v>
      </c>
      <c r="V3331" s="168">
        <f t="shared" si="5"/>
        <v>0</v>
      </c>
      <c r="W3331" s="168">
        <f t="shared" si="6"/>
        <v>0</v>
      </c>
      <c r="X3331" s="168">
        <f t="shared" si="7"/>
        <v>0</v>
      </c>
      <c r="Y3331" s="168">
        <f t="shared" si="8"/>
        <v>0</v>
      </c>
      <c r="Z3331" s="168">
        <f t="shared" si="9"/>
        <v>0</v>
      </c>
    </row>
    <row r="3332" ht="15.0" customHeight="1">
      <c r="A3332" s="157" t="s">
        <v>4085</v>
      </c>
      <c r="B3332" s="158" t="s">
        <v>27</v>
      </c>
      <c r="C3332" s="158" t="s">
        <v>4086</v>
      </c>
      <c r="D3332" s="159">
        <v>44775.0</v>
      </c>
      <c r="E3332" s="157" t="s">
        <v>731</v>
      </c>
      <c r="F3332" s="160">
        <v>4424.69</v>
      </c>
      <c r="G3332" s="160">
        <f>'FACP$'!$F3332*0.16</f>
        <v>707.9504</v>
      </c>
      <c r="H3332" s="160">
        <f t="shared" si="100"/>
        <v>5132.6404</v>
      </c>
      <c r="I3332" s="160"/>
      <c r="J3332" s="161"/>
      <c r="K3332" s="160"/>
      <c r="L3332" s="160">
        <f>+'FACP$'!$H3332-'FACP$'!$I3332-'FACP$'!$K3332</f>
        <v>5132.6404</v>
      </c>
      <c r="M3332" s="162" t="s">
        <v>158</v>
      </c>
      <c r="N3332" s="162" t="s">
        <v>127</v>
      </c>
      <c r="O3332" s="164"/>
      <c r="P3332" s="164">
        <f t="array" ref="P3332">XLOOKUP('FACP$'!$B3332,'perfil de pagos'!A:A,'perfil de pagos'!B:B)+'FACP$'!$D3332</f>
        <v>44805</v>
      </c>
      <c r="Q3332" s="165">
        <f t="shared" si="2"/>
        <v>0</v>
      </c>
      <c r="R3332" s="220" t="s">
        <v>4087</v>
      </c>
      <c r="S3332" s="167"/>
      <c r="T3332" s="168">
        <f t="shared" si="3"/>
        <v>5132.6404</v>
      </c>
      <c r="U3332" s="168">
        <f t="shared" si="4"/>
        <v>0</v>
      </c>
      <c r="V3332" s="168">
        <f t="shared" si="5"/>
        <v>0</v>
      </c>
      <c r="W3332" s="168">
        <f t="shared" si="6"/>
        <v>0</v>
      </c>
      <c r="X3332" s="168">
        <f t="shared" si="7"/>
        <v>0</v>
      </c>
      <c r="Y3332" s="168">
        <f t="shared" si="8"/>
        <v>0</v>
      </c>
      <c r="Z3332" s="168">
        <f t="shared" si="9"/>
        <v>0</v>
      </c>
    </row>
    <row r="3333" ht="15.0" customHeight="1">
      <c r="A3333" s="157" t="s">
        <v>4088</v>
      </c>
      <c r="B3333" s="158" t="s">
        <v>27</v>
      </c>
      <c r="C3333" s="158" t="s">
        <v>4084</v>
      </c>
      <c r="D3333" s="159">
        <v>44775.0</v>
      </c>
      <c r="E3333" s="157" t="s">
        <v>731</v>
      </c>
      <c r="F3333" s="160">
        <v>16739.66</v>
      </c>
      <c r="G3333" s="160">
        <f>'FACP$'!$F3333*0.16</f>
        <v>2678.3456</v>
      </c>
      <c r="H3333" s="160">
        <f>F3333+G3333-'NCP$'!H186</f>
        <v>1806.3288</v>
      </c>
      <c r="I3333" s="160"/>
      <c r="J3333" s="161"/>
      <c r="K3333" s="160"/>
      <c r="L3333" s="160">
        <f>+'FACP$'!$H3333-'FACP$'!$I3333-'FACP$'!$K3333</f>
        <v>1806.3288</v>
      </c>
      <c r="M3333" s="162" t="s">
        <v>151</v>
      </c>
      <c r="N3333" s="162" t="s">
        <v>554</v>
      </c>
      <c r="O3333" s="164">
        <v>44813.0</v>
      </c>
      <c r="P3333" s="164">
        <f t="array" ref="P3333">XLOOKUP('FACP$'!$B3333,'perfil de pagos'!A:A,'perfil de pagos'!B:B)+'FACP$'!$D3333</f>
        <v>44805</v>
      </c>
      <c r="Q3333" s="165">
        <f t="shared" si="2"/>
        <v>0</v>
      </c>
      <c r="R3333" s="275" t="s">
        <v>4089</v>
      </c>
      <c r="S3333" s="167">
        <v>1545.0</v>
      </c>
      <c r="T3333" s="168">
        <f t="shared" si="3"/>
        <v>1806.3288</v>
      </c>
      <c r="U3333" s="168">
        <f t="shared" si="4"/>
        <v>0</v>
      </c>
      <c r="V3333" s="168">
        <f t="shared" si="5"/>
        <v>0</v>
      </c>
      <c r="W3333" s="168">
        <f t="shared" si="6"/>
        <v>0</v>
      </c>
      <c r="X3333" s="168">
        <f t="shared" si="7"/>
        <v>0</v>
      </c>
      <c r="Y3333" s="168">
        <f t="shared" si="8"/>
        <v>0</v>
      </c>
      <c r="Z3333" s="168">
        <f t="shared" si="9"/>
        <v>0</v>
      </c>
    </row>
    <row r="3334" ht="15.0" customHeight="1">
      <c r="A3334" s="157" t="s">
        <v>4090</v>
      </c>
      <c r="B3334" s="158" t="s">
        <v>27</v>
      </c>
      <c r="C3334" s="158" t="s">
        <v>4086</v>
      </c>
      <c r="D3334" s="159">
        <v>44775.0</v>
      </c>
      <c r="E3334" s="157" t="s">
        <v>731</v>
      </c>
      <c r="F3334" s="160">
        <v>2534.61</v>
      </c>
      <c r="G3334" s="160">
        <f>'FACP$'!$F3334*0.16</f>
        <v>405.5376</v>
      </c>
      <c r="H3334" s="160">
        <f t="shared" ref="H3334:H3366" si="101">F3334+G3334</f>
        <v>2940.1476</v>
      </c>
      <c r="I3334" s="160"/>
      <c r="J3334" s="161"/>
      <c r="K3334" s="160"/>
      <c r="L3334" s="160">
        <f>+'FACP$'!$H3334-'FACP$'!$I3334-'FACP$'!$K3334</f>
        <v>2940.1476</v>
      </c>
      <c r="M3334" s="162" t="s">
        <v>151</v>
      </c>
      <c r="N3334" s="162" t="s">
        <v>554</v>
      </c>
      <c r="O3334" s="164">
        <v>44804.0</v>
      </c>
      <c r="P3334" s="164">
        <f t="array" ref="P3334">XLOOKUP('FACP$'!$B3334,'perfil de pagos'!A:A,'perfil de pagos'!B:B)+'FACP$'!$D3334</f>
        <v>44805</v>
      </c>
      <c r="Q3334" s="165">
        <f t="shared" si="2"/>
        <v>0</v>
      </c>
      <c r="R3334" s="167"/>
      <c r="S3334" s="167">
        <v>1557.0</v>
      </c>
      <c r="T3334" s="168">
        <f t="shared" si="3"/>
        <v>2940.1476</v>
      </c>
      <c r="U3334" s="168">
        <f t="shared" si="4"/>
        <v>0</v>
      </c>
      <c r="V3334" s="168">
        <f t="shared" si="5"/>
        <v>0</v>
      </c>
      <c r="W3334" s="168">
        <f t="shared" si="6"/>
        <v>0</v>
      </c>
      <c r="X3334" s="168">
        <f t="shared" si="7"/>
        <v>0</v>
      </c>
      <c r="Y3334" s="168">
        <f t="shared" si="8"/>
        <v>0</v>
      </c>
      <c r="Z3334" s="168">
        <f t="shared" si="9"/>
        <v>0</v>
      </c>
    </row>
    <row r="3335" ht="15.0" customHeight="1">
      <c r="A3335" s="157" t="s">
        <v>4091</v>
      </c>
      <c r="B3335" s="209" t="s">
        <v>27</v>
      </c>
      <c r="C3335" s="209" t="s">
        <v>4084</v>
      </c>
      <c r="D3335" s="186">
        <v>44775.0</v>
      </c>
      <c r="E3335" s="210" t="s">
        <v>731</v>
      </c>
      <c r="F3335" s="211"/>
      <c r="G3335" s="211"/>
      <c r="H3335" s="160">
        <f t="shared" si="101"/>
        <v>0</v>
      </c>
      <c r="I3335" s="211"/>
      <c r="J3335" s="212"/>
      <c r="K3335" s="211"/>
      <c r="L3335" s="211">
        <f>+'FACP$'!$H3335-'FACP$'!$I3335-'FACP$'!$K3335</f>
        <v>0</v>
      </c>
      <c r="M3335" s="227" t="s">
        <v>151</v>
      </c>
      <c r="N3335" s="227" t="s">
        <v>127</v>
      </c>
      <c r="O3335" s="245"/>
      <c r="P3335" s="245">
        <f t="array" ref="P3335">XLOOKUP('FACP$'!$B3335,'perfil de pagos'!A:A,'perfil de pagos'!B:B)+'FACP$'!$D3335</f>
        <v>44805</v>
      </c>
      <c r="Q3335" s="246">
        <f t="shared" si="2"/>
        <v>0</v>
      </c>
      <c r="R3335" s="223" t="s">
        <v>4092</v>
      </c>
      <c r="S3335" s="223"/>
      <c r="T3335" s="168">
        <f t="shared" si="3"/>
        <v>0</v>
      </c>
      <c r="U3335" s="168">
        <f t="shared" si="4"/>
        <v>0</v>
      </c>
      <c r="V3335" s="168">
        <f t="shared" si="5"/>
        <v>0</v>
      </c>
      <c r="W3335" s="168">
        <f t="shared" si="6"/>
        <v>0</v>
      </c>
      <c r="X3335" s="168">
        <f t="shared" si="7"/>
        <v>0</v>
      </c>
      <c r="Y3335" s="168">
        <f t="shared" si="8"/>
        <v>0</v>
      </c>
      <c r="Z3335" s="168">
        <f t="shared" si="9"/>
        <v>0</v>
      </c>
    </row>
    <row r="3336" ht="15.0" customHeight="1">
      <c r="A3336" s="157" t="s">
        <v>4093</v>
      </c>
      <c r="B3336" s="209" t="s">
        <v>27</v>
      </c>
      <c r="C3336" s="209" t="s">
        <v>4086</v>
      </c>
      <c r="D3336" s="186">
        <v>44775.0</v>
      </c>
      <c r="E3336" s="210" t="s">
        <v>731</v>
      </c>
      <c r="F3336" s="211"/>
      <c r="G3336" s="211">
        <f>'FACP$'!$F3336*0.16</f>
        <v>0</v>
      </c>
      <c r="H3336" s="160">
        <f t="shared" si="101"/>
        <v>0</v>
      </c>
      <c r="I3336" s="211"/>
      <c r="J3336" s="212"/>
      <c r="K3336" s="211"/>
      <c r="L3336" s="211">
        <f>+'FACP$'!$H3336-'FACP$'!$I3336-'FACP$'!$K3336</f>
        <v>0</v>
      </c>
      <c r="M3336" s="227" t="s">
        <v>151</v>
      </c>
      <c r="N3336" s="227" t="s">
        <v>127</v>
      </c>
      <c r="O3336" s="245"/>
      <c r="P3336" s="245">
        <f t="array" ref="P3336">XLOOKUP('FACP$'!$B3336,'perfil de pagos'!A:A,'perfil de pagos'!B:B)+'FACP$'!$D3336</f>
        <v>44805</v>
      </c>
      <c r="Q3336" s="246">
        <f t="shared" si="2"/>
        <v>0</v>
      </c>
      <c r="R3336" s="223" t="s">
        <v>4092</v>
      </c>
      <c r="S3336" s="223"/>
      <c r="T3336" s="168">
        <f t="shared" si="3"/>
        <v>0</v>
      </c>
      <c r="U3336" s="168">
        <f t="shared" si="4"/>
        <v>0</v>
      </c>
      <c r="V3336" s="168">
        <f t="shared" si="5"/>
        <v>0</v>
      </c>
      <c r="W3336" s="168">
        <f t="shared" si="6"/>
        <v>0</v>
      </c>
      <c r="X3336" s="168">
        <f t="shared" si="7"/>
        <v>0</v>
      </c>
      <c r="Y3336" s="168">
        <f t="shared" si="8"/>
        <v>0</v>
      </c>
      <c r="Z3336" s="168">
        <f t="shared" si="9"/>
        <v>0</v>
      </c>
    </row>
    <row r="3337" ht="15.0" customHeight="1">
      <c r="A3337" s="157" t="s">
        <v>4094</v>
      </c>
      <c r="B3337" s="158" t="s">
        <v>16</v>
      </c>
      <c r="C3337" s="158" t="s">
        <v>4081</v>
      </c>
      <c r="D3337" s="159">
        <v>44778.0</v>
      </c>
      <c r="E3337" s="157" t="s">
        <v>731</v>
      </c>
      <c r="F3337" s="160">
        <v>721700.28</v>
      </c>
      <c r="G3337" s="160">
        <f>'FACP$'!$F3337*0.16</f>
        <v>115472.0448</v>
      </c>
      <c r="H3337" s="160">
        <f t="shared" si="101"/>
        <v>837172.3248</v>
      </c>
      <c r="I3337" s="160"/>
      <c r="J3337" s="161"/>
      <c r="K3337" s="160"/>
      <c r="L3337" s="160">
        <f>+'FACP$'!$H3337-'FACP$'!$I3337-'FACP$'!$K3337</f>
        <v>837172.3248</v>
      </c>
      <c r="M3337" s="162" t="s">
        <v>985</v>
      </c>
      <c r="N3337" s="162" t="s">
        <v>554</v>
      </c>
      <c r="O3337" s="164">
        <v>44792.0</v>
      </c>
      <c r="P3337" s="164">
        <f t="array" ref="P3337">XLOOKUP('FACP$'!$B3337,'perfil de pagos'!A:A,'perfil de pagos'!B:B)+'FACP$'!$D3337</f>
        <v>44788</v>
      </c>
      <c r="Q3337" s="165">
        <f t="shared" si="2"/>
        <v>0</v>
      </c>
      <c r="R3337" s="167"/>
      <c r="S3337" s="167">
        <v>1531.0</v>
      </c>
      <c r="T3337" s="168">
        <f t="shared" si="3"/>
        <v>837172.3248</v>
      </c>
      <c r="U3337" s="168">
        <f t="shared" si="4"/>
        <v>0</v>
      </c>
      <c r="V3337" s="168">
        <f t="shared" si="5"/>
        <v>0</v>
      </c>
      <c r="W3337" s="168">
        <f t="shared" si="6"/>
        <v>0</v>
      </c>
      <c r="X3337" s="168">
        <f t="shared" si="7"/>
        <v>0</v>
      </c>
      <c r="Y3337" s="168">
        <f t="shared" si="8"/>
        <v>0</v>
      </c>
      <c r="Z3337" s="168">
        <f t="shared" si="9"/>
        <v>0</v>
      </c>
    </row>
    <row r="3338" ht="15.0" customHeight="1">
      <c r="A3338" s="157" t="s">
        <v>4095</v>
      </c>
      <c r="B3338" s="158" t="s">
        <v>16</v>
      </c>
      <c r="C3338" s="158" t="s">
        <v>4096</v>
      </c>
      <c r="D3338" s="159">
        <v>44778.0</v>
      </c>
      <c r="E3338" s="157" t="s">
        <v>731</v>
      </c>
      <c r="F3338" s="160">
        <v>437836.59</v>
      </c>
      <c r="G3338" s="160">
        <f>'FACP$'!$F3338*0.16</f>
        <v>70053.8544</v>
      </c>
      <c r="H3338" s="160">
        <f t="shared" si="101"/>
        <v>507890.4444</v>
      </c>
      <c r="I3338" s="160"/>
      <c r="J3338" s="161"/>
      <c r="K3338" s="160"/>
      <c r="L3338" s="160">
        <f>+'FACP$'!$H3338-'FACP$'!$I3338-'FACP$'!$K3338</f>
        <v>507890.4444</v>
      </c>
      <c r="M3338" s="162" t="s">
        <v>985</v>
      </c>
      <c r="N3338" s="162" t="s">
        <v>554</v>
      </c>
      <c r="O3338" s="164">
        <v>44792.0</v>
      </c>
      <c r="P3338" s="164">
        <f t="array" ref="P3338">XLOOKUP('FACP$'!$B3338,'perfil de pagos'!A:A,'perfil de pagos'!B:B)+'FACP$'!$D3338</f>
        <v>44788</v>
      </c>
      <c r="Q3338" s="165">
        <f t="shared" si="2"/>
        <v>0</v>
      </c>
      <c r="R3338" s="167"/>
      <c r="S3338" s="167">
        <v>1531.0</v>
      </c>
      <c r="T3338" s="168">
        <f t="shared" si="3"/>
        <v>507890.4444</v>
      </c>
      <c r="U3338" s="168">
        <f t="shared" si="4"/>
        <v>0</v>
      </c>
      <c r="V3338" s="168">
        <f t="shared" si="5"/>
        <v>0</v>
      </c>
      <c r="W3338" s="168">
        <f t="shared" si="6"/>
        <v>0</v>
      </c>
      <c r="X3338" s="168">
        <f t="shared" si="7"/>
        <v>0</v>
      </c>
      <c r="Y3338" s="168">
        <f t="shared" si="8"/>
        <v>0</v>
      </c>
      <c r="Z3338" s="168">
        <f t="shared" si="9"/>
        <v>0</v>
      </c>
    </row>
    <row r="3339" ht="15.0" customHeight="1">
      <c r="A3339" s="157" t="s">
        <v>4097</v>
      </c>
      <c r="B3339" s="158" t="s">
        <v>18</v>
      </c>
      <c r="C3339" s="158" t="s">
        <v>4081</v>
      </c>
      <c r="D3339" s="159">
        <v>44778.0</v>
      </c>
      <c r="E3339" s="157" t="s">
        <v>731</v>
      </c>
      <c r="F3339" s="160">
        <v>280161.35</v>
      </c>
      <c r="G3339" s="160">
        <f>'FACP$'!$F3339*0.16</f>
        <v>44825.816</v>
      </c>
      <c r="H3339" s="160">
        <f t="shared" si="101"/>
        <v>324987.166</v>
      </c>
      <c r="I3339" s="160"/>
      <c r="J3339" s="161"/>
      <c r="K3339" s="160"/>
      <c r="L3339" s="160">
        <f>+'FACP$'!$H3339-'FACP$'!$I3339-'FACP$'!$K3339</f>
        <v>324987.166</v>
      </c>
      <c r="M3339" s="162" t="s">
        <v>586</v>
      </c>
      <c r="N3339" s="162" t="s">
        <v>554</v>
      </c>
      <c r="O3339" s="164">
        <v>44832.0</v>
      </c>
      <c r="P3339" s="164">
        <f t="array" ref="P3339">XLOOKUP('FACP$'!$B3339,'perfil de pagos'!A:A,'perfil de pagos'!B:B)+'FACP$'!$D3339</f>
        <v>44788</v>
      </c>
      <c r="Q3339" s="165">
        <f t="shared" si="2"/>
        <v>0</v>
      </c>
      <c r="R3339" s="167"/>
      <c r="S3339" s="167">
        <v>1584.0</v>
      </c>
      <c r="T3339" s="168">
        <f t="shared" si="3"/>
        <v>324987.166</v>
      </c>
      <c r="U3339" s="168">
        <f t="shared" si="4"/>
        <v>0</v>
      </c>
      <c r="V3339" s="168">
        <f t="shared" si="5"/>
        <v>0</v>
      </c>
      <c r="W3339" s="168">
        <f t="shared" si="6"/>
        <v>0</v>
      </c>
      <c r="X3339" s="168">
        <f t="shared" si="7"/>
        <v>0</v>
      </c>
      <c r="Y3339" s="168">
        <f t="shared" si="8"/>
        <v>0</v>
      </c>
      <c r="Z3339" s="168">
        <f t="shared" si="9"/>
        <v>0</v>
      </c>
    </row>
    <row r="3340" ht="15.0" customHeight="1">
      <c r="A3340" s="157" t="s">
        <v>4098</v>
      </c>
      <c r="B3340" s="158" t="s">
        <v>19</v>
      </c>
      <c r="C3340" s="158" t="s">
        <v>4081</v>
      </c>
      <c r="D3340" s="159">
        <v>44778.0</v>
      </c>
      <c r="E3340" s="157" t="s">
        <v>731</v>
      </c>
      <c r="F3340" s="160">
        <v>479963.6</v>
      </c>
      <c r="G3340" s="160">
        <f>'FACP$'!$F3340*0.16</f>
        <v>76794.176</v>
      </c>
      <c r="H3340" s="160">
        <f t="shared" si="101"/>
        <v>556757.776</v>
      </c>
      <c r="I3340" s="160"/>
      <c r="J3340" s="161"/>
      <c r="K3340" s="160"/>
      <c r="L3340" s="160">
        <f>+'FACP$'!$H3340-'FACP$'!$I3340-'FACP$'!$K3340</f>
        <v>556757.776</v>
      </c>
      <c r="M3340" s="162" t="s">
        <v>732</v>
      </c>
      <c r="N3340" s="162" t="s">
        <v>554</v>
      </c>
      <c r="O3340" s="164">
        <v>44832.0</v>
      </c>
      <c r="P3340" s="164">
        <f t="array" ref="P3340">XLOOKUP('FACP$'!$B3340,'perfil de pagos'!A:A,'perfil de pagos'!B:B)+'FACP$'!$D3340</f>
        <v>44788</v>
      </c>
      <c r="Q3340" s="165">
        <f t="shared" si="2"/>
        <v>0</v>
      </c>
      <c r="R3340" s="167"/>
      <c r="S3340" s="167">
        <v>1584.0</v>
      </c>
      <c r="T3340" s="168">
        <f t="shared" si="3"/>
        <v>556757.776</v>
      </c>
      <c r="U3340" s="168">
        <f t="shared" si="4"/>
        <v>0</v>
      </c>
      <c r="V3340" s="168">
        <f t="shared" si="5"/>
        <v>0</v>
      </c>
      <c r="W3340" s="168">
        <f t="shared" si="6"/>
        <v>0</v>
      </c>
      <c r="X3340" s="168">
        <f t="shared" si="7"/>
        <v>0</v>
      </c>
      <c r="Y3340" s="168">
        <f t="shared" si="8"/>
        <v>0</v>
      </c>
      <c r="Z3340" s="168">
        <f t="shared" si="9"/>
        <v>0</v>
      </c>
    </row>
    <row r="3341" ht="15.0" customHeight="1">
      <c r="A3341" s="157" t="s">
        <v>4099</v>
      </c>
      <c r="B3341" s="158" t="s">
        <v>22</v>
      </c>
      <c r="C3341" s="158" t="s">
        <v>4081</v>
      </c>
      <c r="D3341" s="159">
        <v>44778.0</v>
      </c>
      <c r="E3341" s="157" t="s">
        <v>731</v>
      </c>
      <c r="F3341" s="160">
        <v>393385.71</v>
      </c>
      <c r="G3341" s="160">
        <f>'FACP$'!$F3341*0.16</f>
        <v>62941.7136</v>
      </c>
      <c r="H3341" s="160">
        <f t="shared" si="101"/>
        <v>456327.4236</v>
      </c>
      <c r="I3341" s="160"/>
      <c r="J3341" s="161"/>
      <c r="K3341" s="160"/>
      <c r="L3341" s="160">
        <f>+'FACP$'!$H3341-'FACP$'!$I3341-'FACP$'!$K3341</f>
        <v>456327.4236</v>
      </c>
      <c r="M3341" s="162" t="s">
        <v>220</v>
      </c>
      <c r="N3341" s="162" t="s">
        <v>554</v>
      </c>
      <c r="O3341" s="164">
        <v>44816.0</v>
      </c>
      <c r="P3341" s="164">
        <f t="array" ref="P3341">XLOOKUP('FACP$'!$B3341,'perfil de pagos'!A:A,'perfil de pagos'!B:B)+'FACP$'!$D3341</f>
        <v>44788</v>
      </c>
      <c r="Q3341" s="165">
        <f t="shared" si="2"/>
        <v>0</v>
      </c>
      <c r="R3341" s="167"/>
      <c r="S3341" s="167"/>
      <c r="T3341" s="168">
        <f t="shared" si="3"/>
        <v>456327.4236</v>
      </c>
      <c r="U3341" s="168">
        <f t="shared" si="4"/>
        <v>0</v>
      </c>
      <c r="V3341" s="168">
        <f t="shared" si="5"/>
        <v>0</v>
      </c>
      <c r="W3341" s="168">
        <f t="shared" si="6"/>
        <v>0</v>
      </c>
      <c r="X3341" s="168">
        <f t="shared" si="7"/>
        <v>0</v>
      </c>
      <c r="Y3341" s="168">
        <f t="shared" si="8"/>
        <v>0</v>
      </c>
      <c r="Z3341" s="168">
        <f t="shared" si="9"/>
        <v>0</v>
      </c>
    </row>
    <row r="3342" ht="15.0" customHeight="1">
      <c r="A3342" s="157" t="s">
        <v>4100</v>
      </c>
      <c r="B3342" s="158" t="s">
        <v>26</v>
      </c>
      <c r="C3342" s="158" t="s">
        <v>4081</v>
      </c>
      <c r="D3342" s="159">
        <v>44778.0</v>
      </c>
      <c r="E3342" s="157" t="s">
        <v>731</v>
      </c>
      <c r="F3342" s="160">
        <v>181699.91</v>
      </c>
      <c r="G3342" s="160">
        <f>'FACP$'!$F3342*0.16</f>
        <v>29071.9856</v>
      </c>
      <c r="H3342" s="160">
        <f t="shared" si="101"/>
        <v>210771.8956</v>
      </c>
      <c r="I3342" s="160">
        <v>178904.00439999998</v>
      </c>
      <c r="J3342" s="161"/>
      <c r="K3342" s="160"/>
      <c r="L3342" s="160">
        <f>+'FACP$'!$H3342-'FACP$'!$I3342-'FACP$'!$K3342</f>
        <v>31867.8912</v>
      </c>
      <c r="M3342" s="162" t="s">
        <v>2386</v>
      </c>
      <c r="N3342" s="162" t="s">
        <v>554</v>
      </c>
      <c r="O3342" s="164">
        <v>45282.0</v>
      </c>
      <c r="P3342" s="164">
        <f t="array" ref="P3342">XLOOKUP('FACP$'!$B3342,'perfil de pagos'!A:A,'perfil de pagos'!B:B)+'FACP$'!$D3342</f>
        <v>44788</v>
      </c>
      <c r="Q3342" s="165">
        <f t="shared" si="2"/>
        <v>0</v>
      </c>
      <c r="R3342" s="220" t="s">
        <v>4101</v>
      </c>
      <c r="S3342" s="167">
        <v>2639.0</v>
      </c>
      <c r="T3342" s="168">
        <f t="shared" si="3"/>
        <v>31867.8912</v>
      </c>
      <c r="U3342" s="168">
        <f t="shared" si="4"/>
        <v>0</v>
      </c>
      <c r="V3342" s="168">
        <f t="shared" si="5"/>
        <v>0</v>
      </c>
      <c r="W3342" s="168">
        <f t="shared" si="6"/>
        <v>0</v>
      </c>
      <c r="X3342" s="168">
        <f t="shared" si="7"/>
        <v>0</v>
      </c>
      <c r="Y3342" s="168">
        <f t="shared" si="8"/>
        <v>0</v>
      </c>
      <c r="Z3342" s="168">
        <f t="shared" si="9"/>
        <v>0</v>
      </c>
    </row>
    <row r="3343" ht="15.0" customHeight="1">
      <c r="A3343" s="157" t="s">
        <v>4102</v>
      </c>
      <c r="B3343" s="158" t="s">
        <v>29</v>
      </c>
      <c r="C3343" s="158" t="s">
        <v>4081</v>
      </c>
      <c r="D3343" s="159">
        <v>44778.0</v>
      </c>
      <c r="E3343" s="157" t="s">
        <v>731</v>
      </c>
      <c r="F3343" s="160">
        <v>686138.08</v>
      </c>
      <c r="G3343" s="160">
        <f>'FACP$'!$F3343*0.16</f>
        <v>109782.0928</v>
      </c>
      <c r="H3343" s="160">
        <f t="shared" si="101"/>
        <v>795920.1728</v>
      </c>
      <c r="I3343" s="160"/>
      <c r="J3343" s="161"/>
      <c r="K3343" s="160"/>
      <c r="L3343" s="160">
        <f>+'FACP$'!$H3343-'FACP$'!$I3343-'FACP$'!$K3343</f>
        <v>795920.1728</v>
      </c>
      <c r="M3343" s="162" t="s">
        <v>130</v>
      </c>
      <c r="N3343" s="162" t="s">
        <v>554</v>
      </c>
      <c r="O3343" s="164">
        <v>44789.0</v>
      </c>
      <c r="P3343" s="164">
        <f t="array" ref="P3343">XLOOKUP('FACP$'!$B3343,'perfil de pagos'!A:A,'perfil de pagos'!B:B)+'FACP$'!$D3343</f>
        <v>44788</v>
      </c>
      <c r="Q3343" s="165">
        <f t="shared" si="2"/>
        <v>0</v>
      </c>
      <c r="R3343" s="167"/>
      <c r="S3343" s="167">
        <v>1528.0</v>
      </c>
      <c r="T3343" s="168">
        <f t="shared" si="3"/>
        <v>795920.1728</v>
      </c>
      <c r="U3343" s="168">
        <f t="shared" si="4"/>
        <v>0</v>
      </c>
      <c r="V3343" s="168">
        <f t="shared" si="5"/>
        <v>0</v>
      </c>
      <c r="W3343" s="168">
        <f t="shared" si="6"/>
        <v>0</v>
      </c>
      <c r="X3343" s="168">
        <f t="shared" si="7"/>
        <v>0</v>
      </c>
      <c r="Y3343" s="168">
        <f t="shared" si="8"/>
        <v>0</v>
      </c>
      <c r="Z3343" s="168">
        <f t="shared" si="9"/>
        <v>0</v>
      </c>
    </row>
    <row r="3344" ht="15.0" customHeight="1">
      <c r="A3344" s="157" t="s">
        <v>4103</v>
      </c>
      <c r="B3344" s="158" t="s">
        <v>29</v>
      </c>
      <c r="C3344" s="158" t="s">
        <v>4096</v>
      </c>
      <c r="D3344" s="159">
        <v>44778.0</v>
      </c>
      <c r="E3344" s="157" t="s">
        <v>731</v>
      </c>
      <c r="F3344" s="160">
        <v>420886.16</v>
      </c>
      <c r="G3344" s="160">
        <f>'FACP$'!$F3344*0.16</f>
        <v>67341.7856</v>
      </c>
      <c r="H3344" s="160">
        <f t="shared" si="101"/>
        <v>488227.9456</v>
      </c>
      <c r="I3344" s="160"/>
      <c r="J3344" s="161"/>
      <c r="K3344" s="160"/>
      <c r="L3344" s="160">
        <f>+'FACP$'!$H3344-'FACP$'!$I3344-'FACP$'!$K3344</f>
        <v>488227.9456</v>
      </c>
      <c r="M3344" s="162" t="s">
        <v>130</v>
      </c>
      <c r="N3344" s="162" t="s">
        <v>554</v>
      </c>
      <c r="O3344" s="164">
        <v>44789.0</v>
      </c>
      <c r="P3344" s="164">
        <f t="array" ref="P3344">XLOOKUP('FACP$'!$B3344,'perfil de pagos'!A:A,'perfil de pagos'!B:B)+'FACP$'!$D3344</f>
        <v>44788</v>
      </c>
      <c r="Q3344" s="165">
        <f t="shared" si="2"/>
        <v>0</v>
      </c>
      <c r="R3344" s="167"/>
      <c r="S3344" s="167">
        <v>1530.0</v>
      </c>
      <c r="T3344" s="168">
        <f t="shared" si="3"/>
        <v>488227.9456</v>
      </c>
      <c r="U3344" s="168">
        <f t="shared" si="4"/>
        <v>0</v>
      </c>
      <c r="V3344" s="168">
        <f t="shared" si="5"/>
        <v>0</v>
      </c>
      <c r="W3344" s="168">
        <f t="shared" si="6"/>
        <v>0</v>
      </c>
      <c r="X3344" s="168">
        <f t="shared" si="7"/>
        <v>0</v>
      </c>
      <c r="Y3344" s="168">
        <f t="shared" si="8"/>
        <v>0</v>
      </c>
      <c r="Z3344" s="168">
        <f t="shared" si="9"/>
        <v>0</v>
      </c>
    </row>
    <row r="3345" ht="15.0" customHeight="1">
      <c r="A3345" s="157" t="s">
        <v>4104</v>
      </c>
      <c r="B3345" s="158" t="s">
        <v>37</v>
      </c>
      <c r="C3345" s="158" t="s">
        <v>4081</v>
      </c>
      <c r="D3345" s="159">
        <v>44778.0</v>
      </c>
      <c r="E3345" s="157" t="s">
        <v>731</v>
      </c>
      <c r="F3345" s="160">
        <v>4047131.24</v>
      </c>
      <c r="G3345" s="160">
        <f>'FACP$'!$F3345*0.16</f>
        <v>647540.9984</v>
      </c>
      <c r="H3345" s="160">
        <f t="shared" si="101"/>
        <v>4694672.238</v>
      </c>
      <c r="I3345" s="160"/>
      <c r="J3345" s="161"/>
      <c r="K3345" s="160"/>
      <c r="L3345" s="160">
        <f>+'FACP$'!$H3345-'FACP$'!$I3345-'FACP$'!$K3345</f>
        <v>4694672.238</v>
      </c>
      <c r="M3345" s="162" t="s">
        <v>116</v>
      </c>
      <c r="N3345" s="162" t="s">
        <v>554</v>
      </c>
      <c r="O3345" s="164">
        <v>44795.0</v>
      </c>
      <c r="P3345" s="164">
        <f t="array" ref="P3345">XLOOKUP('FACP$'!$B3345,'perfil de pagos'!A:A,'perfil de pagos'!B:B)+'FACP$'!$D3345</f>
        <v>44788</v>
      </c>
      <c r="Q3345" s="165">
        <f t="shared" si="2"/>
        <v>0</v>
      </c>
      <c r="R3345" s="167"/>
      <c r="S3345" s="167">
        <v>1534.0</v>
      </c>
      <c r="T3345" s="168">
        <f t="shared" si="3"/>
        <v>4694672.238</v>
      </c>
      <c r="U3345" s="168">
        <f t="shared" si="4"/>
        <v>0</v>
      </c>
      <c r="V3345" s="168">
        <f t="shared" si="5"/>
        <v>0</v>
      </c>
      <c r="W3345" s="168">
        <f t="shared" si="6"/>
        <v>0</v>
      </c>
      <c r="X3345" s="168">
        <f t="shared" si="7"/>
        <v>0</v>
      </c>
      <c r="Y3345" s="168">
        <f t="shared" si="8"/>
        <v>0</v>
      </c>
      <c r="Z3345" s="168">
        <f t="shared" si="9"/>
        <v>0</v>
      </c>
    </row>
    <row r="3346" ht="15.0" customHeight="1">
      <c r="A3346" s="157" t="s">
        <v>4105</v>
      </c>
      <c r="B3346" s="158" t="s">
        <v>38</v>
      </c>
      <c r="C3346" s="158" t="s">
        <v>4081</v>
      </c>
      <c r="D3346" s="159">
        <v>44778.0</v>
      </c>
      <c r="E3346" s="157" t="s">
        <v>731</v>
      </c>
      <c r="F3346" s="160">
        <v>1641319.38</v>
      </c>
      <c r="G3346" s="160">
        <f>'FACP$'!$F3346*0.16</f>
        <v>262611.1008</v>
      </c>
      <c r="H3346" s="160">
        <f t="shared" si="101"/>
        <v>1903930.481</v>
      </c>
      <c r="I3346" s="160"/>
      <c r="J3346" s="161"/>
      <c r="K3346" s="160"/>
      <c r="L3346" s="160">
        <f>+'FACP$'!$H3346-'FACP$'!$I3346-'FACP$'!$K3346</f>
        <v>1903930.481</v>
      </c>
      <c r="M3346" s="162" t="s">
        <v>145</v>
      </c>
      <c r="N3346" s="162" t="s">
        <v>127</v>
      </c>
      <c r="O3346" s="164"/>
      <c r="P3346" s="164">
        <f t="array" ref="P3346">XLOOKUP('FACP$'!$B3346,'perfil de pagos'!A:A,'perfil de pagos'!B:B)+'FACP$'!$D3346</f>
        <v>44808</v>
      </c>
      <c r="Q3346" s="165">
        <f t="shared" si="2"/>
        <v>0</v>
      </c>
      <c r="R3346" s="167"/>
      <c r="S3346" s="167"/>
      <c r="T3346" s="168">
        <f t="shared" si="3"/>
        <v>1903930.481</v>
      </c>
      <c r="U3346" s="168">
        <f t="shared" si="4"/>
        <v>0</v>
      </c>
      <c r="V3346" s="168">
        <f t="shared" si="5"/>
        <v>0</v>
      </c>
      <c r="W3346" s="168">
        <f t="shared" si="6"/>
        <v>0</v>
      </c>
      <c r="X3346" s="168">
        <f t="shared" si="7"/>
        <v>0</v>
      </c>
      <c r="Y3346" s="168">
        <f t="shared" si="8"/>
        <v>0</v>
      </c>
      <c r="Z3346" s="168">
        <f t="shared" si="9"/>
        <v>0</v>
      </c>
    </row>
    <row r="3347" ht="15.0" customHeight="1">
      <c r="A3347" s="157" t="s">
        <v>4106</v>
      </c>
      <c r="B3347" s="158" t="s">
        <v>27</v>
      </c>
      <c r="C3347" s="158" t="s">
        <v>4107</v>
      </c>
      <c r="D3347" s="159">
        <v>44791.0</v>
      </c>
      <c r="E3347" s="157" t="s">
        <v>731</v>
      </c>
      <c r="F3347" s="160">
        <v>617814.26</v>
      </c>
      <c r="G3347" s="160">
        <f>'FACP$'!$F3347*0.16</f>
        <v>98850.2816</v>
      </c>
      <c r="H3347" s="160">
        <f t="shared" si="101"/>
        <v>716664.5416</v>
      </c>
      <c r="I3347" s="160"/>
      <c r="J3347" s="161"/>
      <c r="K3347" s="160"/>
      <c r="L3347" s="160">
        <f>+'FACP$'!$H3347-'FACP$'!$I3347-'FACP$'!$K3347</f>
        <v>716664.5416</v>
      </c>
      <c r="M3347" s="162" t="s">
        <v>158</v>
      </c>
      <c r="N3347" s="162" t="s">
        <v>554</v>
      </c>
      <c r="O3347" s="164">
        <v>44818.0</v>
      </c>
      <c r="P3347" s="164">
        <f t="array" ref="P3347">XLOOKUP('FACP$'!$B3347,'perfil de pagos'!A:A,'perfil de pagos'!B:B)+'FACP$'!$D3347</f>
        <v>44821</v>
      </c>
      <c r="Q3347" s="165">
        <f t="shared" si="2"/>
        <v>0</v>
      </c>
      <c r="R3347" s="167"/>
      <c r="S3347" s="167">
        <v>1571.0</v>
      </c>
      <c r="T3347" s="168">
        <f t="shared" si="3"/>
        <v>716664.5416</v>
      </c>
      <c r="U3347" s="168">
        <f t="shared" si="4"/>
        <v>0</v>
      </c>
      <c r="V3347" s="168">
        <f t="shared" si="5"/>
        <v>0</v>
      </c>
      <c r="W3347" s="168">
        <f t="shared" si="6"/>
        <v>0</v>
      </c>
      <c r="X3347" s="168">
        <f t="shared" si="7"/>
        <v>0</v>
      </c>
      <c r="Y3347" s="168">
        <f t="shared" si="8"/>
        <v>0</v>
      </c>
      <c r="Z3347" s="168">
        <f t="shared" si="9"/>
        <v>0</v>
      </c>
    </row>
    <row r="3348" ht="15.0" customHeight="1">
      <c r="A3348" s="157" t="s">
        <v>4108</v>
      </c>
      <c r="B3348" s="158" t="s">
        <v>27</v>
      </c>
      <c r="C3348" s="158" t="s">
        <v>4109</v>
      </c>
      <c r="D3348" s="159">
        <v>44791.0</v>
      </c>
      <c r="E3348" s="157" t="s">
        <v>731</v>
      </c>
      <c r="F3348" s="160">
        <v>203460.63</v>
      </c>
      <c r="G3348" s="160">
        <f>'FACP$'!$F3348*0.16</f>
        <v>32553.7008</v>
      </c>
      <c r="H3348" s="160">
        <f t="shared" si="101"/>
        <v>236014.3308</v>
      </c>
      <c r="I3348" s="160"/>
      <c r="J3348" s="161"/>
      <c r="K3348" s="160"/>
      <c r="L3348" s="160">
        <f>+'FACP$'!$H3348-'FACP$'!$I3348-'FACP$'!$K3348</f>
        <v>236014.3308</v>
      </c>
      <c r="M3348" s="162" t="s">
        <v>158</v>
      </c>
      <c r="N3348" s="162" t="s">
        <v>554</v>
      </c>
      <c r="O3348" s="164">
        <v>44824.0</v>
      </c>
      <c r="P3348" s="164">
        <f t="array" ref="P3348">XLOOKUP('FACP$'!$B3348,'perfil de pagos'!A:A,'perfil de pagos'!B:B)+'FACP$'!$D3348</f>
        <v>44821</v>
      </c>
      <c r="Q3348" s="165">
        <f t="shared" si="2"/>
        <v>0</v>
      </c>
      <c r="R3348" s="167"/>
      <c r="S3348" s="167">
        <v>1559.0</v>
      </c>
      <c r="T3348" s="168">
        <f t="shared" si="3"/>
        <v>236014.3308</v>
      </c>
      <c r="U3348" s="168">
        <f t="shared" si="4"/>
        <v>0</v>
      </c>
      <c r="V3348" s="168">
        <f t="shared" si="5"/>
        <v>0</v>
      </c>
      <c r="W3348" s="168">
        <f t="shared" si="6"/>
        <v>0</v>
      </c>
      <c r="X3348" s="168">
        <f t="shared" si="7"/>
        <v>0</v>
      </c>
      <c r="Y3348" s="168">
        <f t="shared" si="8"/>
        <v>0</v>
      </c>
      <c r="Z3348" s="168">
        <f t="shared" si="9"/>
        <v>0</v>
      </c>
    </row>
    <row r="3349" ht="15.0" customHeight="1">
      <c r="A3349" s="157" t="s">
        <v>4110</v>
      </c>
      <c r="B3349" s="158" t="s">
        <v>27</v>
      </c>
      <c r="C3349" s="158" t="s">
        <v>4107</v>
      </c>
      <c r="D3349" s="159">
        <v>44791.0</v>
      </c>
      <c r="E3349" s="157" t="s">
        <v>731</v>
      </c>
      <c r="F3349" s="160">
        <v>588012.71</v>
      </c>
      <c r="G3349" s="160">
        <f>'FACP$'!$F3349*0.16</f>
        <v>94082.0336</v>
      </c>
      <c r="H3349" s="160">
        <f t="shared" si="101"/>
        <v>682094.7436</v>
      </c>
      <c r="I3349" s="160"/>
      <c r="J3349" s="161"/>
      <c r="K3349" s="160"/>
      <c r="L3349" s="160">
        <f>+'FACP$'!$H3349-'FACP$'!$I3349-'FACP$'!$K3349</f>
        <v>682094.7436</v>
      </c>
      <c r="M3349" s="162" t="s">
        <v>151</v>
      </c>
      <c r="N3349" s="162" t="s">
        <v>554</v>
      </c>
      <c r="O3349" s="164">
        <v>44818.0</v>
      </c>
      <c r="P3349" s="164">
        <f t="array" ref="P3349">XLOOKUP('FACP$'!$B3349,'perfil de pagos'!A:A,'perfil de pagos'!B:B)+'FACP$'!$D3349</f>
        <v>44821</v>
      </c>
      <c r="Q3349" s="165">
        <f t="shared" si="2"/>
        <v>0</v>
      </c>
      <c r="R3349" s="167"/>
      <c r="S3349" s="167">
        <v>1570.0</v>
      </c>
      <c r="T3349" s="168">
        <f t="shared" si="3"/>
        <v>682094.7436</v>
      </c>
      <c r="U3349" s="168">
        <f t="shared" si="4"/>
        <v>0</v>
      </c>
      <c r="V3349" s="168">
        <f t="shared" si="5"/>
        <v>0</v>
      </c>
      <c r="W3349" s="168">
        <f t="shared" si="6"/>
        <v>0</v>
      </c>
      <c r="X3349" s="168">
        <f t="shared" si="7"/>
        <v>0</v>
      </c>
      <c r="Y3349" s="168">
        <f t="shared" si="8"/>
        <v>0</v>
      </c>
      <c r="Z3349" s="168">
        <f t="shared" si="9"/>
        <v>0</v>
      </c>
    </row>
    <row r="3350" ht="15.0" customHeight="1">
      <c r="A3350" s="157" t="s">
        <v>4111</v>
      </c>
      <c r="B3350" s="158" t="s">
        <v>27</v>
      </c>
      <c r="C3350" s="158" t="s">
        <v>4109</v>
      </c>
      <c r="D3350" s="159">
        <v>44791.0</v>
      </c>
      <c r="E3350" s="157" t="s">
        <v>731</v>
      </c>
      <c r="F3350" s="160">
        <v>187098.31</v>
      </c>
      <c r="G3350" s="160">
        <f>'FACP$'!$F3350*0.16</f>
        <v>29935.7296</v>
      </c>
      <c r="H3350" s="160">
        <f t="shared" si="101"/>
        <v>217034.0396</v>
      </c>
      <c r="I3350" s="160"/>
      <c r="J3350" s="161"/>
      <c r="K3350" s="160"/>
      <c r="L3350" s="160">
        <f>+'FACP$'!$H3350-'FACP$'!$I3350-'FACP$'!$K3350</f>
        <v>217034.0396</v>
      </c>
      <c r="M3350" s="162" t="s">
        <v>151</v>
      </c>
      <c r="N3350" s="162" t="s">
        <v>554</v>
      </c>
      <c r="O3350" s="164">
        <v>44824.0</v>
      </c>
      <c r="P3350" s="164">
        <f t="array" ref="P3350">XLOOKUP('FACP$'!$B3350,'perfil de pagos'!A:A,'perfil de pagos'!B:B)+'FACP$'!$D3350</f>
        <v>44821</v>
      </c>
      <c r="Q3350" s="165">
        <f t="shared" si="2"/>
        <v>0</v>
      </c>
      <c r="R3350" s="167"/>
      <c r="S3350" s="167">
        <v>1558.0</v>
      </c>
      <c r="T3350" s="168">
        <f t="shared" si="3"/>
        <v>217034.0396</v>
      </c>
      <c r="U3350" s="168">
        <f t="shared" si="4"/>
        <v>0</v>
      </c>
      <c r="V3350" s="168">
        <f t="shared" si="5"/>
        <v>0</v>
      </c>
      <c r="W3350" s="168">
        <f t="shared" si="6"/>
        <v>0</v>
      </c>
      <c r="X3350" s="168">
        <f t="shared" si="7"/>
        <v>0</v>
      </c>
      <c r="Y3350" s="168">
        <f t="shared" si="8"/>
        <v>0</v>
      </c>
      <c r="Z3350" s="168">
        <f t="shared" si="9"/>
        <v>0</v>
      </c>
    </row>
    <row r="3351" ht="15.0" customHeight="1">
      <c r="A3351" s="157" t="s">
        <v>4112</v>
      </c>
      <c r="B3351" s="158" t="s">
        <v>27</v>
      </c>
      <c r="C3351" s="158" t="s">
        <v>4113</v>
      </c>
      <c r="D3351" s="159">
        <v>44791.0</v>
      </c>
      <c r="E3351" s="157" t="s">
        <v>731</v>
      </c>
      <c r="F3351" s="160">
        <v>29573.17</v>
      </c>
      <c r="G3351" s="160">
        <f>'FACP$'!$F3351*0.16</f>
        <v>4731.7072</v>
      </c>
      <c r="H3351" s="160">
        <f t="shared" si="101"/>
        <v>34304.8772</v>
      </c>
      <c r="I3351" s="160"/>
      <c r="J3351" s="161"/>
      <c r="K3351" s="160"/>
      <c r="L3351" s="160">
        <f>+'FACP$'!$H3351-'FACP$'!$I3351-'FACP$'!$K3351</f>
        <v>34304.8772</v>
      </c>
      <c r="M3351" s="162" t="s">
        <v>151</v>
      </c>
      <c r="N3351" s="162" t="s">
        <v>554</v>
      </c>
      <c r="O3351" s="164">
        <v>44818.0</v>
      </c>
      <c r="P3351" s="164">
        <f t="array" ref="P3351">XLOOKUP('FACP$'!$B3351,'perfil de pagos'!A:A,'perfil de pagos'!B:B)+'FACP$'!$D3351</f>
        <v>44821</v>
      </c>
      <c r="Q3351" s="165">
        <f t="shared" si="2"/>
        <v>0</v>
      </c>
      <c r="R3351" s="167"/>
      <c r="S3351" s="167">
        <v>1572.0</v>
      </c>
      <c r="T3351" s="168">
        <f t="shared" si="3"/>
        <v>34304.8772</v>
      </c>
      <c r="U3351" s="168">
        <f t="shared" si="4"/>
        <v>0</v>
      </c>
      <c r="V3351" s="168">
        <f t="shared" si="5"/>
        <v>0</v>
      </c>
      <c r="W3351" s="168">
        <f t="shared" si="6"/>
        <v>0</v>
      </c>
      <c r="X3351" s="168">
        <f t="shared" si="7"/>
        <v>0</v>
      </c>
      <c r="Y3351" s="168">
        <f t="shared" si="8"/>
        <v>0</v>
      </c>
      <c r="Z3351" s="168">
        <f t="shared" si="9"/>
        <v>0</v>
      </c>
    </row>
    <row r="3352" ht="15.0" customHeight="1">
      <c r="A3352" s="157" t="s">
        <v>4114</v>
      </c>
      <c r="B3352" s="158" t="s">
        <v>27</v>
      </c>
      <c r="C3352" s="158" t="s">
        <v>4115</v>
      </c>
      <c r="D3352" s="159">
        <v>44791.0</v>
      </c>
      <c r="E3352" s="157" t="s">
        <v>731</v>
      </c>
      <c r="F3352" s="160">
        <v>9409.87</v>
      </c>
      <c r="G3352" s="160">
        <f>'FACP$'!$F3352*0.16</f>
        <v>1505.5792</v>
      </c>
      <c r="H3352" s="160">
        <f t="shared" si="101"/>
        <v>10915.4492</v>
      </c>
      <c r="I3352" s="160"/>
      <c r="J3352" s="161"/>
      <c r="K3352" s="160"/>
      <c r="L3352" s="160">
        <f>+'FACP$'!$H3352-'FACP$'!$I3352-'FACP$'!$K3352</f>
        <v>10915.4492</v>
      </c>
      <c r="M3352" s="162" t="s">
        <v>151</v>
      </c>
      <c r="N3352" s="162" t="s">
        <v>554</v>
      </c>
      <c r="O3352" s="164">
        <v>44824.0</v>
      </c>
      <c r="P3352" s="164">
        <f t="array" ref="P3352">XLOOKUP('FACP$'!$B3352,'perfil de pagos'!A:A,'perfil de pagos'!B:B)+'FACP$'!$D3352</f>
        <v>44821</v>
      </c>
      <c r="Q3352" s="165">
        <f t="shared" si="2"/>
        <v>0</v>
      </c>
      <c r="R3352" s="167"/>
      <c r="S3352" s="167">
        <v>1558.0</v>
      </c>
      <c r="T3352" s="168">
        <f t="shared" si="3"/>
        <v>10915.4492</v>
      </c>
      <c r="U3352" s="168">
        <f t="shared" si="4"/>
        <v>0</v>
      </c>
      <c r="V3352" s="168">
        <f t="shared" si="5"/>
        <v>0</v>
      </c>
      <c r="W3352" s="168">
        <f t="shared" si="6"/>
        <v>0</v>
      </c>
      <c r="X3352" s="168">
        <f t="shared" si="7"/>
        <v>0</v>
      </c>
      <c r="Y3352" s="168">
        <f t="shared" si="8"/>
        <v>0</v>
      </c>
      <c r="Z3352" s="168">
        <f t="shared" si="9"/>
        <v>0</v>
      </c>
    </row>
    <row r="3353" ht="15.0" customHeight="1">
      <c r="A3353" s="157" t="s">
        <v>4116</v>
      </c>
      <c r="B3353" s="158" t="s">
        <v>36</v>
      </c>
      <c r="C3353" s="158" t="s">
        <v>4117</v>
      </c>
      <c r="D3353" s="159">
        <v>44791.0</v>
      </c>
      <c r="E3353" s="157" t="s">
        <v>731</v>
      </c>
      <c r="F3353" s="160">
        <v>138978.67</v>
      </c>
      <c r="G3353" s="160">
        <f>'FACP$'!$F3353*0.16</f>
        <v>22236.5872</v>
      </c>
      <c r="H3353" s="160">
        <f t="shared" si="101"/>
        <v>161215.2572</v>
      </c>
      <c r="I3353" s="160"/>
      <c r="J3353" s="161"/>
      <c r="K3353" s="160"/>
      <c r="L3353" s="160">
        <f>+'FACP$'!$H3353-'FACP$'!$I3353-'FACP$'!$K3353</f>
        <v>161215.2572</v>
      </c>
      <c r="M3353" s="162" t="s">
        <v>278</v>
      </c>
      <c r="N3353" s="162" t="s">
        <v>554</v>
      </c>
      <c r="O3353" s="164">
        <v>44817.0</v>
      </c>
      <c r="P3353" s="164">
        <f t="array" ref="P3353">XLOOKUP('FACP$'!$B3353,'perfil de pagos'!A:A,'perfil de pagos'!B:B)+'FACP$'!$D3353</f>
        <v>44801</v>
      </c>
      <c r="Q3353" s="165">
        <f t="shared" si="2"/>
        <v>0</v>
      </c>
      <c r="R3353" s="167"/>
      <c r="S3353" s="167">
        <v>1554.0</v>
      </c>
      <c r="T3353" s="168">
        <f t="shared" si="3"/>
        <v>161215.2572</v>
      </c>
      <c r="U3353" s="168">
        <f t="shared" si="4"/>
        <v>0</v>
      </c>
      <c r="V3353" s="168">
        <f t="shared" si="5"/>
        <v>0</v>
      </c>
      <c r="W3353" s="168">
        <f t="shared" si="6"/>
        <v>0</v>
      </c>
      <c r="X3353" s="168">
        <f t="shared" si="7"/>
        <v>0</v>
      </c>
      <c r="Y3353" s="168">
        <f t="shared" si="8"/>
        <v>0</v>
      </c>
      <c r="Z3353" s="168">
        <f t="shared" si="9"/>
        <v>0</v>
      </c>
    </row>
    <row r="3354" ht="15.0" customHeight="1">
      <c r="A3354" s="157" t="s">
        <v>4118</v>
      </c>
      <c r="B3354" s="158" t="s">
        <v>41</v>
      </c>
      <c r="C3354" s="158" t="s">
        <v>4117</v>
      </c>
      <c r="D3354" s="159">
        <v>44791.0</v>
      </c>
      <c r="E3354" s="157" t="s">
        <v>731</v>
      </c>
      <c r="F3354" s="160">
        <v>458030.32</v>
      </c>
      <c r="G3354" s="160">
        <f>'FACP$'!$F3354*0.16</f>
        <v>73284.8512</v>
      </c>
      <c r="H3354" s="160">
        <f t="shared" si="101"/>
        <v>531315.1712</v>
      </c>
      <c r="I3354" s="160"/>
      <c r="J3354" s="161"/>
      <c r="K3354" s="160"/>
      <c r="L3354" s="160">
        <f>+'FACP$'!$H3354-'FACP$'!$I3354-'FACP$'!$K3354</f>
        <v>531315.1712</v>
      </c>
      <c r="M3354" s="162" t="s">
        <v>121</v>
      </c>
      <c r="N3354" s="162" t="s">
        <v>554</v>
      </c>
      <c r="O3354" s="164">
        <v>44844.0</v>
      </c>
      <c r="P3354" s="164">
        <f t="array" ref="P3354">XLOOKUP('FACP$'!$B3354,'perfil de pagos'!A:A,'perfil de pagos'!B:B)+'FACP$'!$D3354</f>
        <v>44801</v>
      </c>
      <c r="Q3354" s="165">
        <f t="shared" si="2"/>
        <v>0</v>
      </c>
      <c r="R3354" s="167"/>
      <c r="S3354" s="167">
        <v>1615.0</v>
      </c>
      <c r="T3354" s="168">
        <f t="shared" si="3"/>
        <v>531315.1712</v>
      </c>
      <c r="U3354" s="168">
        <f t="shared" si="4"/>
        <v>0</v>
      </c>
      <c r="V3354" s="168">
        <f t="shared" si="5"/>
        <v>0</v>
      </c>
      <c r="W3354" s="168">
        <f t="shared" si="6"/>
        <v>0</v>
      </c>
      <c r="X3354" s="168">
        <f t="shared" si="7"/>
        <v>0</v>
      </c>
      <c r="Y3354" s="168">
        <f t="shared" si="8"/>
        <v>0</v>
      </c>
      <c r="Z3354" s="168">
        <f t="shared" si="9"/>
        <v>0</v>
      </c>
    </row>
    <row r="3355" ht="15.0" customHeight="1">
      <c r="A3355" s="157" t="s">
        <v>4119</v>
      </c>
      <c r="B3355" s="158" t="s">
        <v>21</v>
      </c>
      <c r="C3355" s="158" t="s">
        <v>4117</v>
      </c>
      <c r="D3355" s="159">
        <v>44791.0</v>
      </c>
      <c r="E3355" s="157" t="s">
        <v>731</v>
      </c>
      <c r="F3355" s="160">
        <v>102792.55</v>
      </c>
      <c r="G3355" s="160">
        <f>'FACP$'!$F3355*0.16</f>
        <v>16446.808</v>
      </c>
      <c r="H3355" s="160">
        <f t="shared" si="101"/>
        <v>119239.358</v>
      </c>
      <c r="I3355" s="160"/>
      <c r="J3355" s="161"/>
      <c r="K3355" s="160"/>
      <c r="L3355" s="160">
        <f>+'FACP$'!$H3355-'FACP$'!$I3355-'FACP$'!$K3355</f>
        <v>119239.358</v>
      </c>
      <c r="M3355" s="162" t="s">
        <v>2263</v>
      </c>
      <c r="N3355" s="162" t="s">
        <v>127</v>
      </c>
      <c r="O3355" s="164"/>
      <c r="P3355" s="164">
        <f t="array" ref="P3355">XLOOKUP('FACP$'!$B3355,'perfil de pagos'!A:A,'perfil de pagos'!B:B)+'FACP$'!$D3355</f>
        <v>44801</v>
      </c>
      <c r="Q3355" s="165">
        <f t="shared" si="2"/>
        <v>0</v>
      </c>
      <c r="R3355" s="167" t="s">
        <v>4120</v>
      </c>
      <c r="S3355" s="167"/>
      <c r="T3355" s="168">
        <f t="shared" si="3"/>
        <v>119239.358</v>
      </c>
      <c r="U3355" s="168">
        <f t="shared" si="4"/>
        <v>0</v>
      </c>
      <c r="V3355" s="168">
        <f t="shared" si="5"/>
        <v>0</v>
      </c>
      <c r="W3355" s="168">
        <f t="shared" si="6"/>
        <v>0</v>
      </c>
      <c r="X3355" s="168">
        <f t="shared" si="7"/>
        <v>0</v>
      </c>
      <c r="Y3355" s="168">
        <f t="shared" si="8"/>
        <v>0</v>
      </c>
      <c r="Z3355" s="168">
        <f t="shared" si="9"/>
        <v>0</v>
      </c>
    </row>
    <row r="3356" ht="15.0" customHeight="1">
      <c r="A3356" s="157" t="s">
        <v>4121</v>
      </c>
      <c r="B3356" s="158" t="s">
        <v>3927</v>
      </c>
      <c r="C3356" s="158" t="s">
        <v>3928</v>
      </c>
      <c r="D3356" s="159">
        <v>44795.0</v>
      </c>
      <c r="E3356" s="157" t="s">
        <v>731</v>
      </c>
      <c r="F3356" s="160">
        <v>40000.0</v>
      </c>
      <c r="G3356" s="160">
        <f>'FACP$'!$F3356*0.16</f>
        <v>6400</v>
      </c>
      <c r="H3356" s="160">
        <f t="shared" si="101"/>
        <v>46400</v>
      </c>
      <c r="I3356" s="160"/>
      <c r="J3356" s="161"/>
      <c r="K3356" s="160"/>
      <c r="L3356" s="160">
        <f>+'FACP$'!$H3356-'FACP$'!$I3356-'FACP$'!$K3356</f>
        <v>46400</v>
      </c>
      <c r="M3356" s="162"/>
      <c r="N3356" s="162" t="s">
        <v>554</v>
      </c>
      <c r="O3356" s="164"/>
      <c r="P3356" s="164">
        <f t="shared" ref="P3356:P3357" si="102">D3356+10</f>
        <v>44805</v>
      </c>
      <c r="Q3356" s="165">
        <f t="shared" si="2"/>
        <v>0</v>
      </c>
      <c r="R3356" s="167"/>
      <c r="S3356" s="167"/>
      <c r="T3356" s="168">
        <f t="shared" si="3"/>
        <v>46400</v>
      </c>
      <c r="U3356" s="168">
        <f t="shared" si="4"/>
        <v>0</v>
      </c>
      <c r="V3356" s="168">
        <f t="shared" si="5"/>
        <v>0</v>
      </c>
      <c r="W3356" s="168">
        <f t="shared" si="6"/>
        <v>0</v>
      </c>
      <c r="X3356" s="168">
        <f t="shared" si="7"/>
        <v>0</v>
      </c>
      <c r="Y3356" s="168">
        <f t="shared" si="8"/>
        <v>0</v>
      </c>
      <c r="Z3356" s="168">
        <f t="shared" si="9"/>
        <v>0</v>
      </c>
    </row>
    <row r="3357" ht="15.0" customHeight="1">
      <c r="A3357" s="157" t="s">
        <v>4122</v>
      </c>
      <c r="B3357" s="158" t="s">
        <v>3927</v>
      </c>
      <c r="C3357" s="158" t="s">
        <v>3928</v>
      </c>
      <c r="D3357" s="159">
        <v>44795.0</v>
      </c>
      <c r="E3357" s="157" t="s">
        <v>731</v>
      </c>
      <c r="F3357" s="160">
        <v>40000.0</v>
      </c>
      <c r="G3357" s="160">
        <f>'FACP$'!$F3357*0.16</f>
        <v>6400</v>
      </c>
      <c r="H3357" s="160">
        <f t="shared" si="101"/>
        <v>46400</v>
      </c>
      <c r="I3357" s="160"/>
      <c r="J3357" s="161"/>
      <c r="K3357" s="160"/>
      <c r="L3357" s="160">
        <f>+'FACP$'!$H3357-'FACP$'!$I3357-'FACP$'!$K3357</f>
        <v>46400</v>
      </c>
      <c r="M3357" s="162"/>
      <c r="N3357" s="162" t="s">
        <v>554</v>
      </c>
      <c r="O3357" s="164"/>
      <c r="P3357" s="164">
        <f t="shared" si="102"/>
        <v>44805</v>
      </c>
      <c r="Q3357" s="165">
        <f t="shared" si="2"/>
        <v>0</v>
      </c>
      <c r="R3357" s="167"/>
      <c r="S3357" s="167"/>
      <c r="T3357" s="168">
        <f t="shared" si="3"/>
        <v>46400</v>
      </c>
      <c r="U3357" s="168">
        <f t="shared" si="4"/>
        <v>0</v>
      </c>
      <c r="V3357" s="168">
        <f t="shared" si="5"/>
        <v>0</v>
      </c>
      <c r="W3357" s="168">
        <f t="shared" si="6"/>
        <v>0</v>
      </c>
      <c r="X3357" s="168">
        <f t="shared" si="7"/>
        <v>0</v>
      </c>
      <c r="Y3357" s="168">
        <f t="shared" si="8"/>
        <v>0</v>
      </c>
      <c r="Z3357" s="168">
        <f t="shared" si="9"/>
        <v>0</v>
      </c>
    </row>
    <row r="3358" ht="15.0" customHeight="1">
      <c r="A3358" s="157" t="s">
        <v>4123</v>
      </c>
      <c r="B3358" s="158" t="s">
        <v>16</v>
      </c>
      <c r="C3358" s="158" t="s">
        <v>4117</v>
      </c>
      <c r="D3358" s="159">
        <v>44795.0</v>
      </c>
      <c r="E3358" s="157" t="s">
        <v>731</v>
      </c>
      <c r="F3358" s="160">
        <v>554714.24</v>
      </c>
      <c r="G3358" s="160">
        <f>'FACP$'!$F3358*0.16</f>
        <v>88754.2784</v>
      </c>
      <c r="H3358" s="160">
        <f t="shared" si="101"/>
        <v>643468.5184</v>
      </c>
      <c r="I3358" s="160"/>
      <c r="J3358" s="161"/>
      <c r="K3358" s="160"/>
      <c r="L3358" s="160">
        <f>+'FACP$'!$H3358-'FACP$'!$I3358-'FACP$'!$K3358</f>
        <v>643468.5184</v>
      </c>
      <c r="M3358" s="162" t="s">
        <v>985</v>
      </c>
      <c r="N3358" s="162" t="s">
        <v>554</v>
      </c>
      <c r="O3358" s="164">
        <v>44830.0</v>
      </c>
      <c r="P3358" s="164">
        <f t="array" ref="P3358">XLOOKUP('FACP$'!$B3358,'perfil de pagos'!A:A,'perfil de pagos'!B:B)+'FACP$'!$D3358</f>
        <v>44805</v>
      </c>
      <c r="Q3358" s="165">
        <f t="shared" si="2"/>
        <v>0</v>
      </c>
      <c r="R3358" s="167"/>
      <c r="S3358" s="167"/>
      <c r="T3358" s="168">
        <f t="shared" si="3"/>
        <v>643468.5184</v>
      </c>
      <c r="U3358" s="168">
        <f t="shared" si="4"/>
        <v>0</v>
      </c>
      <c r="V3358" s="168">
        <f t="shared" si="5"/>
        <v>0</v>
      </c>
      <c r="W3358" s="168">
        <f t="shared" si="6"/>
        <v>0</v>
      </c>
      <c r="X3358" s="168">
        <f t="shared" si="7"/>
        <v>0</v>
      </c>
      <c r="Y3358" s="168">
        <f t="shared" si="8"/>
        <v>0</v>
      </c>
      <c r="Z3358" s="168">
        <f t="shared" si="9"/>
        <v>0</v>
      </c>
    </row>
    <row r="3359" ht="15.0" customHeight="1">
      <c r="A3359" s="157" t="s">
        <v>4124</v>
      </c>
      <c r="B3359" s="158" t="s">
        <v>16</v>
      </c>
      <c r="C3359" s="158" t="s">
        <v>4125</v>
      </c>
      <c r="D3359" s="159">
        <v>44795.0</v>
      </c>
      <c r="E3359" s="157" t="s">
        <v>731</v>
      </c>
      <c r="F3359" s="160">
        <v>332603.12</v>
      </c>
      <c r="G3359" s="160">
        <f>'FACP$'!$F3359*0.16</f>
        <v>53216.4992</v>
      </c>
      <c r="H3359" s="160">
        <f t="shared" si="101"/>
        <v>385819.6192</v>
      </c>
      <c r="I3359" s="160"/>
      <c r="J3359" s="161"/>
      <c r="K3359" s="160"/>
      <c r="L3359" s="160">
        <f>+'FACP$'!$H3359-'FACP$'!$I3359-'FACP$'!$K3359</f>
        <v>385819.6192</v>
      </c>
      <c r="M3359" s="162" t="s">
        <v>985</v>
      </c>
      <c r="N3359" s="162" t="s">
        <v>554</v>
      </c>
      <c r="O3359" s="164">
        <v>44830.0</v>
      </c>
      <c r="P3359" s="164">
        <f t="array" ref="P3359">XLOOKUP('FACP$'!$B3359,'perfil de pagos'!A:A,'perfil de pagos'!B:B)+'FACP$'!$D3359</f>
        <v>44805</v>
      </c>
      <c r="Q3359" s="165">
        <f t="shared" si="2"/>
        <v>0</v>
      </c>
      <c r="R3359" s="167"/>
      <c r="S3359" s="167"/>
      <c r="T3359" s="168">
        <f t="shared" si="3"/>
        <v>385819.6192</v>
      </c>
      <c r="U3359" s="168">
        <f t="shared" si="4"/>
        <v>0</v>
      </c>
      <c r="V3359" s="168">
        <f t="shared" si="5"/>
        <v>0</v>
      </c>
      <c r="W3359" s="168">
        <f t="shared" si="6"/>
        <v>0</v>
      </c>
      <c r="X3359" s="168">
        <f t="shared" si="7"/>
        <v>0</v>
      </c>
      <c r="Y3359" s="168">
        <f t="shared" si="8"/>
        <v>0</v>
      </c>
      <c r="Z3359" s="168">
        <f t="shared" si="9"/>
        <v>0</v>
      </c>
    </row>
    <row r="3360" ht="15.0" customHeight="1">
      <c r="A3360" s="157" t="s">
        <v>4126</v>
      </c>
      <c r="B3360" s="158" t="s">
        <v>18</v>
      </c>
      <c r="C3360" s="158" t="s">
        <v>4117</v>
      </c>
      <c r="D3360" s="159">
        <v>44795.0</v>
      </c>
      <c r="E3360" s="157" t="s">
        <v>731</v>
      </c>
      <c r="F3360" s="160">
        <v>242505.72</v>
      </c>
      <c r="G3360" s="160">
        <f>'FACP$'!$F3360*0.16</f>
        <v>38800.9152</v>
      </c>
      <c r="H3360" s="160">
        <f t="shared" si="101"/>
        <v>281306.6352</v>
      </c>
      <c r="I3360" s="160"/>
      <c r="J3360" s="161"/>
      <c r="K3360" s="160"/>
      <c r="L3360" s="160">
        <f>+'FACP$'!$H3360-'FACP$'!$I3360-'FACP$'!$K3360</f>
        <v>281306.6352</v>
      </c>
      <c r="M3360" s="162" t="s">
        <v>586</v>
      </c>
      <c r="N3360" s="162" t="s">
        <v>554</v>
      </c>
      <c r="O3360" s="164">
        <v>44874.0</v>
      </c>
      <c r="P3360" s="164">
        <f t="array" ref="P3360">XLOOKUP('FACP$'!$B3360,'perfil de pagos'!A:A,'perfil de pagos'!B:B)+'FACP$'!$D3360</f>
        <v>44805</v>
      </c>
      <c r="Q3360" s="165">
        <f t="shared" si="2"/>
        <v>0</v>
      </c>
      <c r="R3360" s="167"/>
      <c r="S3360" s="167"/>
      <c r="T3360" s="168">
        <f t="shared" si="3"/>
        <v>281306.6352</v>
      </c>
      <c r="U3360" s="168">
        <f t="shared" si="4"/>
        <v>0</v>
      </c>
      <c r="V3360" s="168">
        <f t="shared" si="5"/>
        <v>0</v>
      </c>
      <c r="W3360" s="168">
        <f t="shared" si="6"/>
        <v>0</v>
      </c>
      <c r="X3360" s="168">
        <f t="shared" si="7"/>
        <v>0</v>
      </c>
      <c r="Y3360" s="168">
        <f t="shared" si="8"/>
        <v>0</v>
      </c>
      <c r="Z3360" s="168">
        <f t="shared" si="9"/>
        <v>0</v>
      </c>
    </row>
    <row r="3361" ht="15.0" customHeight="1">
      <c r="A3361" s="157" t="s">
        <v>4127</v>
      </c>
      <c r="B3361" s="158" t="s">
        <v>19</v>
      </c>
      <c r="C3361" s="158" t="s">
        <v>4117</v>
      </c>
      <c r="D3361" s="159">
        <v>44795.0</v>
      </c>
      <c r="E3361" s="157" t="s">
        <v>731</v>
      </c>
      <c r="F3361" s="160">
        <v>353902.78</v>
      </c>
      <c r="G3361" s="160">
        <f>'FACP$'!$F3361*0.16</f>
        <v>56624.4448</v>
      </c>
      <c r="H3361" s="160">
        <f t="shared" si="101"/>
        <v>410527.2248</v>
      </c>
      <c r="I3361" s="160"/>
      <c r="J3361" s="161"/>
      <c r="K3361" s="160"/>
      <c r="L3361" s="160">
        <f>+'FACP$'!$H3361-'FACP$'!$I3361-'FACP$'!$K3361</f>
        <v>410527.2248</v>
      </c>
      <c r="M3361" s="162" t="s">
        <v>732</v>
      </c>
      <c r="N3361" s="162" t="s">
        <v>554</v>
      </c>
      <c r="O3361" s="164">
        <v>44832.0</v>
      </c>
      <c r="P3361" s="164">
        <f t="array" ref="P3361">XLOOKUP('FACP$'!$B3361,'perfil de pagos'!A:A,'perfil de pagos'!B:B)+'FACP$'!$D3361</f>
        <v>44805</v>
      </c>
      <c r="Q3361" s="165">
        <f t="shared" si="2"/>
        <v>0</v>
      </c>
      <c r="R3361" s="167"/>
      <c r="S3361" s="167">
        <v>1584.0</v>
      </c>
      <c r="T3361" s="168">
        <f t="shared" si="3"/>
        <v>410527.2248</v>
      </c>
      <c r="U3361" s="168">
        <f t="shared" si="4"/>
        <v>0</v>
      </c>
      <c r="V3361" s="168">
        <f t="shared" si="5"/>
        <v>0</v>
      </c>
      <c r="W3361" s="168">
        <f t="shared" si="6"/>
        <v>0</v>
      </c>
      <c r="X3361" s="168">
        <f t="shared" si="7"/>
        <v>0</v>
      </c>
      <c r="Y3361" s="168">
        <f t="shared" si="8"/>
        <v>0</v>
      </c>
      <c r="Z3361" s="168">
        <f t="shared" si="9"/>
        <v>0</v>
      </c>
    </row>
    <row r="3362" ht="15.0" customHeight="1">
      <c r="A3362" s="157" t="s">
        <v>4128</v>
      </c>
      <c r="B3362" s="158" t="s">
        <v>22</v>
      </c>
      <c r="C3362" s="158" t="s">
        <v>4117</v>
      </c>
      <c r="D3362" s="159">
        <v>44795.0</v>
      </c>
      <c r="E3362" s="157" t="s">
        <v>731</v>
      </c>
      <c r="F3362" s="160">
        <v>449431.32</v>
      </c>
      <c r="G3362" s="160">
        <f>'FACP$'!$F3362*0.16</f>
        <v>71909.0112</v>
      </c>
      <c r="H3362" s="160">
        <f t="shared" si="101"/>
        <v>521340.3312</v>
      </c>
      <c r="I3362" s="160"/>
      <c r="J3362" s="161"/>
      <c r="K3362" s="160"/>
      <c r="L3362" s="160">
        <f>+'FACP$'!$H3362-'FACP$'!$I3362-'FACP$'!$K3362</f>
        <v>521340.3312</v>
      </c>
      <c r="M3362" s="162" t="s">
        <v>220</v>
      </c>
      <c r="N3362" s="162" t="s">
        <v>554</v>
      </c>
      <c r="O3362" s="164">
        <v>44833.0</v>
      </c>
      <c r="P3362" s="164">
        <f t="array" ref="P3362">XLOOKUP('FACP$'!$B3362,'perfil de pagos'!A:A,'perfil de pagos'!B:B)+'FACP$'!$D3362</f>
        <v>44805</v>
      </c>
      <c r="Q3362" s="165">
        <f t="shared" si="2"/>
        <v>0</v>
      </c>
      <c r="R3362" s="167"/>
      <c r="S3362" s="167"/>
      <c r="T3362" s="168">
        <f t="shared" si="3"/>
        <v>521340.3312</v>
      </c>
      <c r="U3362" s="168">
        <f t="shared" si="4"/>
        <v>0</v>
      </c>
      <c r="V3362" s="168">
        <f t="shared" si="5"/>
        <v>0</v>
      </c>
      <c r="W3362" s="168">
        <f t="shared" si="6"/>
        <v>0</v>
      </c>
      <c r="X3362" s="168">
        <f t="shared" si="7"/>
        <v>0</v>
      </c>
      <c r="Y3362" s="168">
        <f t="shared" si="8"/>
        <v>0</v>
      </c>
      <c r="Z3362" s="168">
        <f t="shared" si="9"/>
        <v>0</v>
      </c>
      <c r="AA3362" s="81"/>
      <c r="AB3362" s="81"/>
      <c r="AC3362" s="81"/>
    </row>
    <row r="3363" ht="15.0" customHeight="1">
      <c r="A3363" s="157" t="s">
        <v>4129</v>
      </c>
      <c r="B3363" s="158" t="s">
        <v>29</v>
      </c>
      <c r="C3363" s="158" t="s">
        <v>4117</v>
      </c>
      <c r="D3363" s="159">
        <v>44795.0</v>
      </c>
      <c r="E3363" s="157" t="s">
        <v>731</v>
      </c>
      <c r="F3363" s="160">
        <v>572922.39</v>
      </c>
      <c r="G3363" s="160">
        <f>'FACP$'!$F3363*0.16</f>
        <v>91667.5824</v>
      </c>
      <c r="H3363" s="160">
        <f t="shared" si="101"/>
        <v>664589.9724</v>
      </c>
      <c r="I3363" s="160"/>
      <c r="J3363" s="161"/>
      <c r="K3363" s="160"/>
      <c r="L3363" s="160">
        <f>+'FACP$'!$H3363-'FACP$'!$I3363-'FACP$'!$K3363</f>
        <v>664589.9724</v>
      </c>
      <c r="M3363" s="162" t="s">
        <v>130</v>
      </c>
      <c r="N3363" s="162" t="s">
        <v>554</v>
      </c>
      <c r="O3363" s="164">
        <v>44809.0</v>
      </c>
      <c r="P3363" s="164">
        <f t="array" ref="P3363">XLOOKUP('FACP$'!$B3363,'perfil de pagos'!A:A,'perfil de pagos'!B:B)+'FACP$'!$D3363</f>
        <v>44805</v>
      </c>
      <c r="Q3363" s="165">
        <f t="shared" si="2"/>
        <v>0</v>
      </c>
      <c r="R3363" s="167"/>
      <c r="S3363" s="167"/>
      <c r="T3363" s="168">
        <f t="shared" si="3"/>
        <v>664589.9724</v>
      </c>
      <c r="U3363" s="168">
        <f t="shared" si="4"/>
        <v>0</v>
      </c>
      <c r="V3363" s="168">
        <f t="shared" si="5"/>
        <v>0</v>
      </c>
      <c r="W3363" s="168">
        <f t="shared" si="6"/>
        <v>0</v>
      </c>
      <c r="X3363" s="168">
        <f t="shared" si="7"/>
        <v>0</v>
      </c>
      <c r="Y3363" s="168">
        <f t="shared" si="8"/>
        <v>0</v>
      </c>
      <c r="Z3363" s="168">
        <f t="shared" si="9"/>
        <v>0</v>
      </c>
    </row>
    <row r="3364" ht="15.0" customHeight="1">
      <c r="A3364" s="157" t="s">
        <v>4130</v>
      </c>
      <c r="B3364" s="158" t="s">
        <v>29</v>
      </c>
      <c r="C3364" s="158" t="s">
        <v>4125</v>
      </c>
      <c r="D3364" s="159">
        <v>44795.0</v>
      </c>
      <c r="E3364" s="157" t="s">
        <v>731</v>
      </c>
      <c r="F3364" s="160">
        <v>365648.89</v>
      </c>
      <c r="G3364" s="160">
        <f>'FACP$'!$F3364*0.16</f>
        <v>58503.8224</v>
      </c>
      <c r="H3364" s="160">
        <f t="shared" si="101"/>
        <v>424152.7124</v>
      </c>
      <c r="I3364" s="160"/>
      <c r="J3364" s="161"/>
      <c r="K3364" s="160"/>
      <c r="L3364" s="160">
        <f>+'FACP$'!$H3364-'FACP$'!$I3364-'FACP$'!$K3364</f>
        <v>424152.7124</v>
      </c>
      <c r="M3364" s="162" t="s">
        <v>130</v>
      </c>
      <c r="N3364" s="162" t="s">
        <v>554</v>
      </c>
      <c r="O3364" s="164">
        <v>44816.0</v>
      </c>
      <c r="P3364" s="164">
        <f t="array" ref="P3364">XLOOKUP('FACP$'!$B3364,'perfil de pagos'!A:A,'perfil de pagos'!B:B)+'FACP$'!$D3364</f>
        <v>44805</v>
      </c>
      <c r="Q3364" s="165">
        <f t="shared" si="2"/>
        <v>0</v>
      </c>
      <c r="R3364" s="167"/>
      <c r="S3364" s="167"/>
      <c r="T3364" s="168">
        <f t="shared" si="3"/>
        <v>424152.7124</v>
      </c>
      <c r="U3364" s="168">
        <f t="shared" si="4"/>
        <v>0</v>
      </c>
      <c r="V3364" s="168">
        <f t="shared" si="5"/>
        <v>0</v>
      </c>
      <c r="W3364" s="168">
        <f t="shared" si="6"/>
        <v>0</v>
      </c>
      <c r="X3364" s="168">
        <f t="shared" si="7"/>
        <v>0</v>
      </c>
      <c r="Y3364" s="168">
        <f t="shared" si="8"/>
        <v>0</v>
      </c>
      <c r="Z3364" s="168">
        <f t="shared" si="9"/>
        <v>0</v>
      </c>
    </row>
    <row r="3365" ht="15.0" customHeight="1">
      <c r="A3365" s="157" t="s">
        <v>4131</v>
      </c>
      <c r="B3365" s="158" t="s">
        <v>37</v>
      </c>
      <c r="C3365" s="158" t="s">
        <v>4117</v>
      </c>
      <c r="D3365" s="159">
        <v>44795.0</v>
      </c>
      <c r="E3365" s="157" t="s">
        <v>731</v>
      </c>
      <c r="F3365" s="160">
        <v>3544425.4</v>
      </c>
      <c r="G3365" s="160">
        <f>'FACP$'!$F3365*0.16</f>
        <v>567108.064</v>
      </c>
      <c r="H3365" s="160">
        <f t="shared" si="101"/>
        <v>4111533.464</v>
      </c>
      <c r="I3365" s="160"/>
      <c r="J3365" s="161"/>
      <c r="K3365" s="160"/>
      <c r="L3365" s="160">
        <f>+'FACP$'!$H3365-'FACP$'!$I3365-'FACP$'!$K3365</f>
        <v>4111533.464</v>
      </c>
      <c r="M3365" s="162" t="s">
        <v>116</v>
      </c>
      <c r="N3365" s="162" t="s">
        <v>554</v>
      </c>
      <c r="O3365" s="164">
        <v>44809.0</v>
      </c>
      <c r="P3365" s="164">
        <f t="array" ref="P3365">XLOOKUP('FACP$'!$B3365,'perfil de pagos'!A:A,'perfil de pagos'!B:B)+'FACP$'!$D3365</f>
        <v>44805</v>
      </c>
      <c r="Q3365" s="165">
        <f t="shared" si="2"/>
        <v>0</v>
      </c>
      <c r="R3365" s="167"/>
      <c r="S3365" s="167"/>
      <c r="T3365" s="168">
        <f t="shared" si="3"/>
        <v>4111533.464</v>
      </c>
      <c r="U3365" s="168">
        <f t="shared" si="4"/>
        <v>0</v>
      </c>
      <c r="V3365" s="168">
        <f t="shared" si="5"/>
        <v>0</v>
      </c>
      <c r="W3365" s="168">
        <f t="shared" si="6"/>
        <v>0</v>
      </c>
      <c r="X3365" s="168">
        <f t="shared" si="7"/>
        <v>0</v>
      </c>
      <c r="Y3365" s="168">
        <f t="shared" si="8"/>
        <v>0</v>
      </c>
      <c r="Z3365" s="168">
        <f t="shared" si="9"/>
        <v>0</v>
      </c>
    </row>
    <row r="3366" ht="15.0" customHeight="1">
      <c r="A3366" s="157" t="s">
        <v>4132</v>
      </c>
      <c r="B3366" s="158" t="s">
        <v>38</v>
      </c>
      <c r="C3366" s="158" t="s">
        <v>4117</v>
      </c>
      <c r="D3366" s="159">
        <v>44795.0</v>
      </c>
      <c r="E3366" s="157" t="s">
        <v>731</v>
      </c>
      <c r="F3366" s="160">
        <v>1465037.28</v>
      </c>
      <c r="G3366" s="160">
        <f>'FACP$'!$F3366*0.16</f>
        <v>234405.9648</v>
      </c>
      <c r="H3366" s="160">
        <f t="shared" si="101"/>
        <v>1699443.245</v>
      </c>
      <c r="I3366" s="160"/>
      <c r="J3366" s="161"/>
      <c r="K3366" s="160"/>
      <c r="L3366" s="160">
        <f>+'FACP$'!$H3366-'FACP$'!$I3366-'FACP$'!$K3366</f>
        <v>1699443.245</v>
      </c>
      <c r="M3366" s="162" t="s">
        <v>145</v>
      </c>
      <c r="N3366" s="162" t="s">
        <v>127</v>
      </c>
      <c r="O3366" s="164"/>
      <c r="P3366" s="164">
        <f t="array" ref="P3366">XLOOKUP('FACP$'!$B3366,'perfil de pagos'!A:A,'perfil de pagos'!B:B)+'FACP$'!$D3366</f>
        <v>44825</v>
      </c>
      <c r="Q3366" s="165">
        <f t="shared" si="2"/>
        <v>0</v>
      </c>
      <c r="R3366" s="167" t="s">
        <v>4023</v>
      </c>
      <c r="S3366" s="167"/>
      <c r="T3366" s="168">
        <f t="shared" si="3"/>
        <v>1699443.245</v>
      </c>
      <c r="U3366" s="168">
        <f t="shared" si="4"/>
        <v>0</v>
      </c>
      <c r="V3366" s="168">
        <f t="shared" si="5"/>
        <v>0</v>
      </c>
      <c r="W3366" s="168">
        <f t="shared" si="6"/>
        <v>0</v>
      </c>
      <c r="X3366" s="168">
        <f t="shared" si="7"/>
        <v>0</v>
      </c>
      <c r="Y3366" s="168">
        <f t="shared" si="8"/>
        <v>0</v>
      </c>
      <c r="Z3366" s="168">
        <f t="shared" si="9"/>
        <v>0</v>
      </c>
    </row>
    <row r="3367" ht="15.0" customHeight="1">
      <c r="A3367" s="157" t="s">
        <v>4133</v>
      </c>
      <c r="B3367" s="276" t="s">
        <v>38</v>
      </c>
      <c r="C3367" s="276" t="s">
        <v>3958</v>
      </c>
      <c r="D3367" s="277">
        <v>44796.0</v>
      </c>
      <c r="E3367" s="278" t="s">
        <v>731</v>
      </c>
      <c r="F3367" s="279">
        <v>1531433.41</v>
      </c>
      <c r="G3367" s="279">
        <f>'FACP$'!$F3367*0.16</f>
        <v>245029.3456</v>
      </c>
      <c r="H3367" s="160">
        <f>F3367+G3367-1723496.13</f>
        <v>52966.6256</v>
      </c>
      <c r="I3367" s="279"/>
      <c r="J3367" s="280"/>
      <c r="K3367" s="279"/>
      <c r="L3367" s="279">
        <f>+'FACP$'!$H3367-'FACP$'!$I3367-'FACP$'!$K3367</f>
        <v>52966.6256</v>
      </c>
      <c r="M3367" s="281" t="s">
        <v>145</v>
      </c>
      <c r="N3367" s="281" t="s">
        <v>554</v>
      </c>
      <c r="O3367" s="282">
        <v>44967.0</v>
      </c>
      <c r="P3367" s="282">
        <f t="array" ref="P3367">XLOOKUP('FACP$'!$B3367,'perfil de pagos'!A:A,'perfil de pagos'!B:B)+'FACP$'!$D3367</f>
        <v>44826</v>
      </c>
      <c r="Q3367" s="283">
        <f t="shared" si="2"/>
        <v>0</v>
      </c>
      <c r="R3367" s="284" t="s">
        <v>4134</v>
      </c>
      <c r="S3367" s="284"/>
      <c r="T3367" s="168">
        <f t="shared" si="3"/>
        <v>52966.6256</v>
      </c>
      <c r="U3367" s="168">
        <f t="shared" si="4"/>
        <v>0</v>
      </c>
      <c r="V3367" s="168">
        <f t="shared" si="5"/>
        <v>0</v>
      </c>
      <c r="W3367" s="168">
        <f t="shared" si="6"/>
        <v>0</v>
      </c>
      <c r="X3367" s="168">
        <f t="shared" si="7"/>
        <v>0</v>
      </c>
      <c r="Y3367" s="168">
        <f t="shared" si="8"/>
        <v>0</v>
      </c>
      <c r="Z3367" s="168">
        <f t="shared" si="9"/>
        <v>0</v>
      </c>
    </row>
    <row r="3368" ht="15.0" customHeight="1">
      <c r="A3368" s="157" t="s">
        <v>4135</v>
      </c>
      <c r="B3368" s="209" t="s">
        <v>19</v>
      </c>
      <c r="C3368" s="209" t="s">
        <v>3958</v>
      </c>
      <c r="D3368" s="186">
        <v>44796.0</v>
      </c>
      <c r="E3368" s="210" t="s">
        <v>731</v>
      </c>
      <c r="F3368" s="211">
        <v>1503708.24</v>
      </c>
      <c r="G3368" s="211">
        <f>'FACP$'!$F3368*0.16</f>
        <v>240593.3184</v>
      </c>
      <c r="H3368" s="160">
        <f t="shared" ref="H3368:H3371" si="103">F3368+G3368</f>
        <v>1744301.558</v>
      </c>
      <c r="I3368" s="211"/>
      <c r="J3368" s="212"/>
      <c r="K3368" s="211"/>
      <c r="L3368" s="211">
        <f>+'FACP$'!$H3368-'FACP$'!$I3368-'FACP$'!$K3368</f>
        <v>1744301.558</v>
      </c>
      <c r="M3368" s="227"/>
      <c r="N3368" s="227" t="s">
        <v>127</v>
      </c>
      <c r="O3368" s="245"/>
      <c r="P3368" s="245">
        <f t="array" ref="P3368">XLOOKUP('FACP$'!$B3368,'perfil de pagos'!A:A,'perfil de pagos'!B:B)+'FACP$'!$D3368</f>
        <v>44806</v>
      </c>
      <c r="Q3368" s="246">
        <f t="shared" si="2"/>
        <v>0</v>
      </c>
      <c r="R3368" s="223" t="s">
        <v>4136</v>
      </c>
      <c r="S3368" s="223"/>
      <c r="T3368" s="168">
        <f t="shared" si="3"/>
        <v>1744301.558</v>
      </c>
      <c r="U3368" s="168">
        <f t="shared" si="4"/>
        <v>0</v>
      </c>
      <c r="V3368" s="168">
        <f t="shared" si="5"/>
        <v>0</v>
      </c>
      <c r="W3368" s="168">
        <f t="shared" si="6"/>
        <v>0</v>
      </c>
      <c r="X3368" s="168">
        <f t="shared" si="7"/>
        <v>0</v>
      </c>
      <c r="Y3368" s="168">
        <f t="shared" si="8"/>
        <v>0</v>
      </c>
      <c r="Z3368" s="168">
        <f t="shared" si="9"/>
        <v>0</v>
      </c>
    </row>
    <row r="3369" ht="15.0" customHeight="1">
      <c r="A3369" s="157" t="s">
        <v>4137</v>
      </c>
      <c r="B3369" s="209" t="s">
        <v>19</v>
      </c>
      <c r="C3369" s="209" t="s">
        <v>3958</v>
      </c>
      <c r="D3369" s="186">
        <v>44796.0</v>
      </c>
      <c r="E3369" s="210" t="s">
        <v>731</v>
      </c>
      <c r="F3369" s="211">
        <v>1171361.63</v>
      </c>
      <c r="G3369" s="211">
        <f>'FACP$'!$F3369*0.16</f>
        <v>187417.8608</v>
      </c>
      <c r="H3369" s="160">
        <f t="shared" si="103"/>
        <v>1358779.491</v>
      </c>
      <c r="I3369" s="211"/>
      <c r="J3369" s="212"/>
      <c r="K3369" s="211"/>
      <c r="L3369" s="211">
        <f>+'FACP$'!$H3369-'FACP$'!$I3369-'FACP$'!$K3369</f>
        <v>1358779.491</v>
      </c>
      <c r="M3369" s="227"/>
      <c r="N3369" s="227" t="s">
        <v>127</v>
      </c>
      <c r="O3369" s="245"/>
      <c r="P3369" s="245">
        <f t="array" ref="P3369">XLOOKUP('FACP$'!$B3369,'perfil de pagos'!A:A,'perfil de pagos'!B:B)+'FACP$'!$D3369</f>
        <v>44806</v>
      </c>
      <c r="Q3369" s="246">
        <f t="shared" si="2"/>
        <v>0</v>
      </c>
      <c r="R3369" s="223" t="s">
        <v>4136</v>
      </c>
      <c r="S3369" s="223"/>
      <c r="T3369" s="168">
        <f t="shared" si="3"/>
        <v>1358779.491</v>
      </c>
      <c r="U3369" s="168">
        <f t="shared" si="4"/>
        <v>0</v>
      </c>
      <c r="V3369" s="168">
        <f t="shared" si="5"/>
        <v>0</v>
      </c>
      <c r="W3369" s="168">
        <f t="shared" si="6"/>
        <v>0</v>
      </c>
      <c r="X3369" s="168">
        <f t="shared" si="7"/>
        <v>0</v>
      </c>
      <c r="Y3369" s="168">
        <f t="shared" si="8"/>
        <v>0</v>
      </c>
      <c r="Z3369" s="168">
        <f t="shared" si="9"/>
        <v>0</v>
      </c>
    </row>
    <row r="3370" ht="15.0" customHeight="1">
      <c r="A3370" s="157" t="s">
        <v>4138</v>
      </c>
      <c r="B3370" s="209" t="s">
        <v>19</v>
      </c>
      <c r="C3370" s="209" t="s">
        <v>3958</v>
      </c>
      <c r="D3370" s="186">
        <v>44796.0</v>
      </c>
      <c r="E3370" s="210" t="s">
        <v>731</v>
      </c>
      <c r="F3370" s="211">
        <v>1641055.5</v>
      </c>
      <c r="G3370" s="211">
        <f>'FACP$'!$F3370*0.16</f>
        <v>262568.88</v>
      </c>
      <c r="H3370" s="160">
        <f t="shared" si="103"/>
        <v>1903624.38</v>
      </c>
      <c r="I3370" s="211"/>
      <c r="J3370" s="212"/>
      <c r="K3370" s="211"/>
      <c r="L3370" s="211">
        <f>+'FACP$'!$H3370-'FACP$'!$I3370-'FACP$'!$K3370</f>
        <v>1903624.38</v>
      </c>
      <c r="M3370" s="227"/>
      <c r="N3370" s="227" t="s">
        <v>127</v>
      </c>
      <c r="O3370" s="245"/>
      <c r="P3370" s="245">
        <f t="array" ref="P3370">XLOOKUP('FACP$'!$B3370,'perfil de pagos'!A:A,'perfil de pagos'!B:B)+'FACP$'!$D3370</f>
        <v>44806</v>
      </c>
      <c r="Q3370" s="246">
        <f t="shared" si="2"/>
        <v>0</v>
      </c>
      <c r="R3370" s="223" t="s">
        <v>4136</v>
      </c>
      <c r="S3370" s="223"/>
      <c r="T3370" s="168">
        <f t="shared" si="3"/>
        <v>1903624.38</v>
      </c>
      <c r="U3370" s="168">
        <f t="shared" si="4"/>
        <v>0</v>
      </c>
      <c r="V3370" s="168">
        <f t="shared" si="5"/>
        <v>0</v>
      </c>
      <c r="W3370" s="168">
        <f t="shared" si="6"/>
        <v>0</v>
      </c>
      <c r="X3370" s="168">
        <f t="shared" si="7"/>
        <v>0</v>
      </c>
      <c r="Y3370" s="168">
        <f t="shared" si="8"/>
        <v>0</v>
      </c>
      <c r="Z3370" s="168">
        <f t="shared" si="9"/>
        <v>0</v>
      </c>
    </row>
    <row r="3371" ht="15.0" customHeight="1">
      <c r="A3371" s="157" t="s">
        <v>4139</v>
      </c>
      <c r="B3371" s="209" t="s">
        <v>19</v>
      </c>
      <c r="C3371" s="209" t="s">
        <v>3958</v>
      </c>
      <c r="D3371" s="186">
        <v>44796.0</v>
      </c>
      <c r="E3371" s="210" t="s">
        <v>731</v>
      </c>
      <c r="F3371" s="211">
        <v>1464926.16</v>
      </c>
      <c r="G3371" s="211">
        <f>'FACP$'!$F3371*0.16</f>
        <v>234388.1856</v>
      </c>
      <c r="H3371" s="160">
        <f t="shared" si="103"/>
        <v>1699314.346</v>
      </c>
      <c r="I3371" s="211"/>
      <c r="J3371" s="212"/>
      <c r="K3371" s="211"/>
      <c r="L3371" s="211">
        <f>+'FACP$'!$H3371-'FACP$'!$I3371-'FACP$'!$K3371</f>
        <v>1699314.346</v>
      </c>
      <c r="M3371" s="227"/>
      <c r="N3371" s="227" t="s">
        <v>127</v>
      </c>
      <c r="O3371" s="245"/>
      <c r="P3371" s="245">
        <f t="array" ref="P3371">XLOOKUP('FACP$'!$B3371,'perfil de pagos'!A:A,'perfil de pagos'!B:B)+'FACP$'!$D3371</f>
        <v>44806</v>
      </c>
      <c r="Q3371" s="246">
        <f t="shared" si="2"/>
        <v>0</v>
      </c>
      <c r="R3371" s="223" t="s">
        <v>4136</v>
      </c>
      <c r="S3371" s="223"/>
      <c r="T3371" s="168">
        <f t="shared" si="3"/>
        <v>1699314.346</v>
      </c>
      <c r="U3371" s="168">
        <f t="shared" si="4"/>
        <v>0</v>
      </c>
      <c r="V3371" s="168">
        <f t="shared" si="5"/>
        <v>0</v>
      </c>
      <c r="W3371" s="168">
        <f t="shared" si="6"/>
        <v>0</v>
      </c>
      <c r="X3371" s="168">
        <f t="shared" si="7"/>
        <v>0</v>
      </c>
      <c r="Y3371" s="168">
        <f t="shared" si="8"/>
        <v>0</v>
      </c>
      <c r="Z3371" s="168">
        <f t="shared" si="9"/>
        <v>0</v>
      </c>
    </row>
    <row r="3372" ht="15.0" customHeight="1">
      <c r="A3372" s="157" t="s">
        <v>4140</v>
      </c>
      <c r="B3372" s="158" t="s">
        <v>38</v>
      </c>
      <c r="C3372" s="158" t="s">
        <v>3997</v>
      </c>
      <c r="D3372" s="159">
        <v>44796.0</v>
      </c>
      <c r="E3372" s="157" t="s">
        <v>731</v>
      </c>
      <c r="F3372" s="160">
        <v>1503708.24</v>
      </c>
      <c r="G3372" s="160">
        <f>'FACP$'!$F3372*0.16</f>
        <v>240593.3184</v>
      </c>
      <c r="H3372" s="160">
        <f>F3372+G3372-1698289.71</f>
        <v>46011.8484</v>
      </c>
      <c r="I3372" s="160"/>
      <c r="J3372" s="161"/>
      <c r="K3372" s="160"/>
      <c r="L3372" s="160">
        <f>+'FACP$'!$H3372-'FACP$'!$I3372-'FACP$'!$K3372</f>
        <v>46011.8484</v>
      </c>
      <c r="M3372" s="162" t="s">
        <v>145</v>
      </c>
      <c r="N3372" s="162" t="s">
        <v>554</v>
      </c>
      <c r="O3372" s="164">
        <v>44953.0</v>
      </c>
      <c r="P3372" s="164">
        <f t="array" ref="P3372">XLOOKUP('FACP$'!$B3372,'perfil de pagos'!A:A,'perfil de pagos'!B:B)+'FACP$'!$D3372</f>
        <v>44826</v>
      </c>
      <c r="Q3372" s="165">
        <f t="shared" si="2"/>
        <v>0</v>
      </c>
      <c r="R3372" s="167" t="s">
        <v>4141</v>
      </c>
      <c r="S3372" s="167"/>
      <c r="T3372" s="168">
        <f t="shared" si="3"/>
        <v>46011.8484</v>
      </c>
      <c r="U3372" s="168">
        <f t="shared" si="4"/>
        <v>0</v>
      </c>
      <c r="V3372" s="168">
        <f t="shared" si="5"/>
        <v>0</v>
      </c>
      <c r="W3372" s="168">
        <f t="shared" si="6"/>
        <v>0</v>
      </c>
      <c r="X3372" s="168">
        <f t="shared" si="7"/>
        <v>0</v>
      </c>
      <c r="Y3372" s="168">
        <f t="shared" si="8"/>
        <v>0</v>
      </c>
      <c r="Z3372" s="168">
        <f t="shared" si="9"/>
        <v>0</v>
      </c>
    </row>
    <row r="3373" ht="15.0" customHeight="1">
      <c r="A3373" s="157" t="s">
        <v>4142</v>
      </c>
      <c r="B3373" s="158" t="s">
        <v>38</v>
      </c>
      <c r="C3373" s="158" t="s">
        <v>4032</v>
      </c>
      <c r="D3373" s="159">
        <v>44796.0</v>
      </c>
      <c r="E3373" s="157" t="s">
        <v>731</v>
      </c>
      <c r="F3373" s="160">
        <v>1171361.63</v>
      </c>
      <c r="G3373" s="160">
        <f>'FACP$'!$F3373*0.16</f>
        <v>187417.8608</v>
      </c>
      <c r="H3373" s="160">
        <f>F3373+G3373-101379.3-1227372.93</f>
        <v>30027.2608</v>
      </c>
      <c r="I3373" s="160"/>
      <c r="J3373" s="161"/>
      <c r="K3373" s="160"/>
      <c r="L3373" s="160">
        <f>+'FACP$'!$H3373-'FACP$'!$I3373-'FACP$'!$K3373</f>
        <v>30027.2608</v>
      </c>
      <c r="M3373" s="162" t="s">
        <v>145</v>
      </c>
      <c r="N3373" s="162" t="s">
        <v>554</v>
      </c>
      <c r="O3373" s="164">
        <v>44967.0</v>
      </c>
      <c r="P3373" s="164">
        <f t="array" ref="P3373">XLOOKUP('FACP$'!$B3373,'perfil de pagos'!A:A,'perfil de pagos'!B:B)+'FACP$'!$D3373</f>
        <v>44826</v>
      </c>
      <c r="Q3373" s="165">
        <f t="shared" si="2"/>
        <v>0</v>
      </c>
      <c r="R3373" s="167" t="s">
        <v>4143</v>
      </c>
      <c r="S3373" s="167"/>
      <c r="T3373" s="168">
        <f t="shared" si="3"/>
        <v>30027.2608</v>
      </c>
      <c r="U3373" s="168">
        <f t="shared" si="4"/>
        <v>0</v>
      </c>
      <c r="V3373" s="168">
        <f t="shared" si="5"/>
        <v>0</v>
      </c>
      <c r="W3373" s="168">
        <f t="shared" si="6"/>
        <v>0</v>
      </c>
      <c r="X3373" s="168">
        <f t="shared" si="7"/>
        <v>0</v>
      </c>
      <c r="Y3373" s="168">
        <f t="shared" si="8"/>
        <v>0</v>
      </c>
      <c r="Z3373" s="168">
        <f t="shared" si="9"/>
        <v>0</v>
      </c>
    </row>
    <row r="3374" ht="15.0" customHeight="1">
      <c r="A3374" s="157" t="s">
        <v>4144</v>
      </c>
      <c r="B3374" s="285" t="s">
        <v>38</v>
      </c>
      <c r="C3374" s="285" t="s">
        <v>4145</v>
      </c>
      <c r="D3374" s="286">
        <v>44796.0</v>
      </c>
      <c r="E3374" s="287" t="s">
        <v>731</v>
      </c>
      <c r="F3374" s="288">
        <v>1641055.5</v>
      </c>
      <c r="G3374" s="288">
        <f>'FACP$'!$F3374*0.16</f>
        <v>262568.88</v>
      </c>
      <c r="H3374" s="160">
        <f>F3374+G3374-61111.41-1786041.04</f>
        <v>56471.93</v>
      </c>
      <c r="I3374" s="288"/>
      <c r="J3374" s="289"/>
      <c r="K3374" s="288"/>
      <c r="L3374" s="288">
        <f>+'FACP$'!$H3374-'FACP$'!$I3374-'FACP$'!$K3374</f>
        <v>56471.93</v>
      </c>
      <c r="M3374" s="290" t="s">
        <v>145</v>
      </c>
      <c r="N3374" s="290" t="s">
        <v>554</v>
      </c>
      <c r="O3374" s="291">
        <v>44967.0</v>
      </c>
      <c r="P3374" s="291">
        <f t="array" ref="P3374">XLOOKUP('FACP$'!$B3374,'perfil de pagos'!A:A,'perfil de pagos'!B:B)+'FACP$'!$D3374</f>
        <v>44826</v>
      </c>
      <c r="Q3374" s="292">
        <f t="shared" si="2"/>
        <v>0</v>
      </c>
      <c r="R3374" s="293" t="s">
        <v>4146</v>
      </c>
      <c r="S3374" s="293"/>
      <c r="T3374" s="168">
        <f t="shared" si="3"/>
        <v>56471.93</v>
      </c>
      <c r="U3374" s="168">
        <f t="shared" si="4"/>
        <v>0</v>
      </c>
      <c r="V3374" s="168">
        <f t="shared" si="5"/>
        <v>0</v>
      </c>
      <c r="W3374" s="168">
        <f t="shared" si="6"/>
        <v>0</v>
      </c>
      <c r="X3374" s="168">
        <f t="shared" si="7"/>
        <v>0</v>
      </c>
      <c r="Y3374" s="168">
        <f t="shared" si="8"/>
        <v>0</v>
      </c>
      <c r="Z3374" s="168">
        <f t="shared" si="9"/>
        <v>0</v>
      </c>
    </row>
    <row r="3375" ht="15.0" customHeight="1">
      <c r="A3375" s="157" t="s">
        <v>4147</v>
      </c>
      <c r="B3375" s="158" t="s">
        <v>38</v>
      </c>
      <c r="C3375" s="158" t="s">
        <v>4117</v>
      </c>
      <c r="D3375" s="159">
        <v>44796.0</v>
      </c>
      <c r="E3375" s="157" t="s">
        <v>731</v>
      </c>
      <c r="F3375" s="160">
        <v>1464926.16</v>
      </c>
      <c r="G3375" s="160">
        <f>'FACP$'!$F3375*0.16</f>
        <v>234388.1856</v>
      </c>
      <c r="H3375" s="160">
        <f>F3375+G3375-1641479.59</f>
        <v>57834.7556</v>
      </c>
      <c r="I3375" s="160"/>
      <c r="J3375" s="161"/>
      <c r="K3375" s="160"/>
      <c r="L3375" s="160">
        <f>+'FACP$'!$H3375-'FACP$'!$I3375-'FACP$'!$K3375</f>
        <v>57834.7556</v>
      </c>
      <c r="M3375" s="162" t="s">
        <v>145</v>
      </c>
      <c r="N3375" s="162" t="s">
        <v>554</v>
      </c>
      <c r="O3375" s="164">
        <v>44953.0</v>
      </c>
      <c r="P3375" s="164">
        <f t="array" ref="P3375">XLOOKUP('FACP$'!$B3375,'perfil de pagos'!A:A,'perfil de pagos'!B:B)+'FACP$'!$D3375</f>
        <v>44826</v>
      </c>
      <c r="Q3375" s="165">
        <f t="shared" si="2"/>
        <v>0</v>
      </c>
      <c r="R3375" s="220" t="s">
        <v>4148</v>
      </c>
      <c r="S3375" s="167">
        <v>1567.0</v>
      </c>
      <c r="T3375" s="168">
        <f t="shared" si="3"/>
        <v>57834.7556</v>
      </c>
      <c r="U3375" s="168">
        <f t="shared" si="4"/>
        <v>0</v>
      </c>
      <c r="V3375" s="168">
        <f t="shared" si="5"/>
        <v>0</v>
      </c>
      <c r="W3375" s="168">
        <f t="shared" si="6"/>
        <v>0</v>
      </c>
      <c r="X3375" s="168">
        <f t="shared" si="7"/>
        <v>0</v>
      </c>
      <c r="Y3375" s="168">
        <f t="shared" si="8"/>
        <v>0</v>
      </c>
      <c r="Z3375" s="168">
        <f t="shared" si="9"/>
        <v>0</v>
      </c>
    </row>
    <row r="3376" ht="15.0" customHeight="1">
      <c r="A3376" s="157" t="s">
        <v>4149</v>
      </c>
      <c r="B3376" s="158" t="s">
        <v>27</v>
      </c>
      <c r="C3376" s="158" t="s">
        <v>4150</v>
      </c>
      <c r="D3376" s="159">
        <v>44804.0</v>
      </c>
      <c r="E3376" s="157" t="s">
        <v>731</v>
      </c>
      <c r="F3376" s="160">
        <v>768649.94</v>
      </c>
      <c r="G3376" s="160">
        <f>'FACP$'!$F3376*0.16</f>
        <v>122983.9904</v>
      </c>
      <c r="H3376" s="160">
        <f t="shared" ref="H3376:H3401" si="104">F3376+G3376</f>
        <v>891633.9304</v>
      </c>
      <c r="I3376" s="160"/>
      <c r="J3376" s="161"/>
      <c r="K3376" s="160"/>
      <c r="L3376" s="160">
        <f>+'FACP$'!$H3376-'FACP$'!$I3376-'FACP$'!$K3376</f>
        <v>891633.9304</v>
      </c>
      <c r="M3376" s="162" t="s">
        <v>158</v>
      </c>
      <c r="N3376" s="162" t="s">
        <v>554</v>
      </c>
      <c r="O3376" s="164">
        <v>44831.0</v>
      </c>
      <c r="P3376" s="164">
        <f t="array" ref="P3376">XLOOKUP('FACP$'!$B3376,'perfil de pagos'!A:A,'perfil de pagos'!B:B)+'FACP$'!$D3376</f>
        <v>44834</v>
      </c>
      <c r="Q3376" s="165">
        <f t="shared" si="2"/>
        <v>0</v>
      </c>
      <c r="R3376" s="167"/>
      <c r="S3376" s="167">
        <v>1568.0</v>
      </c>
      <c r="T3376" s="168">
        <f t="shared" si="3"/>
        <v>891633.9304</v>
      </c>
      <c r="U3376" s="168">
        <f t="shared" si="4"/>
        <v>0</v>
      </c>
      <c r="V3376" s="168">
        <f t="shared" si="5"/>
        <v>0</v>
      </c>
      <c r="W3376" s="168">
        <f t="shared" si="6"/>
        <v>0</v>
      </c>
      <c r="X3376" s="168">
        <f t="shared" si="7"/>
        <v>0</v>
      </c>
      <c r="Y3376" s="168">
        <f t="shared" si="8"/>
        <v>0</v>
      </c>
      <c r="Z3376" s="168">
        <f t="shared" si="9"/>
        <v>0</v>
      </c>
    </row>
    <row r="3377" ht="15.0" customHeight="1">
      <c r="A3377" s="157" t="s">
        <v>4151</v>
      </c>
      <c r="B3377" s="158" t="s">
        <v>27</v>
      </c>
      <c r="C3377" s="158" t="s">
        <v>4152</v>
      </c>
      <c r="D3377" s="159">
        <v>44804.0</v>
      </c>
      <c r="E3377" s="157" t="s">
        <v>731</v>
      </c>
      <c r="F3377" s="160">
        <v>229423.52</v>
      </c>
      <c r="G3377" s="160">
        <f>'FACP$'!$F3377*0.16</f>
        <v>36707.7632</v>
      </c>
      <c r="H3377" s="160">
        <f t="shared" si="104"/>
        <v>266131.2832</v>
      </c>
      <c r="I3377" s="160"/>
      <c r="J3377" s="161"/>
      <c r="K3377" s="160"/>
      <c r="L3377" s="160">
        <f>+'FACP$'!$H3377-'FACP$'!$I3377-'FACP$'!$K3377</f>
        <v>266131.2832</v>
      </c>
      <c r="M3377" s="162" t="s">
        <v>158</v>
      </c>
      <c r="N3377" s="162" t="s">
        <v>554</v>
      </c>
      <c r="O3377" s="164">
        <v>44839.0</v>
      </c>
      <c r="P3377" s="164">
        <f t="array" ref="P3377">XLOOKUP('FACP$'!$B3377,'perfil de pagos'!A:A,'perfil de pagos'!B:B)+'FACP$'!$D3377</f>
        <v>44834</v>
      </c>
      <c r="Q3377" s="165">
        <f t="shared" si="2"/>
        <v>0</v>
      </c>
      <c r="R3377" s="167"/>
      <c r="S3377" s="167"/>
      <c r="T3377" s="168">
        <f t="shared" si="3"/>
        <v>266131.2832</v>
      </c>
      <c r="U3377" s="168">
        <f t="shared" si="4"/>
        <v>0</v>
      </c>
      <c r="V3377" s="168">
        <f t="shared" si="5"/>
        <v>0</v>
      </c>
      <c r="W3377" s="168">
        <f t="shared" si="6"/>
        <v>0</v>
      </c>
      <c r="X3377" s="168">
        <f t="shared" si="7"/>
        <v>0</v>
      </c>
      <c r="Y3377" s="168">
        <f t="shared" si="8"/>
        <v>0</v>
      </c>
      <c r="Z3377" s="168">
        <f t="shared" si="9"/>
        <v>0</v>
      </c>
    </row>
    <row r="3378" ht="15.0" customHeight="1">
      <c r="A3378" s="157" t="s">
        <v>4153</v>
      </c>
      <c r="B3378" s="158" t="s">
        <v>27</v>
      </c>
      <c r="C3378" s="158" t="s">
        <v>4150</v>
      </c>
      <c r="D3378" s="159">
        <v>44804.0</v>
      </c>
      <c r="E3378" s="157" t="s">
        <v>731</v>
      </c>
      <c r="F3378" s="160">
        <v>791186.08</v>
      </c>
      <c r="G3378" s="160">
        <f>'FACP$'!$F3378*0.16</f>
        <v>126589.7728</v>
      </c>
      <c r="H3378" s="160">
        <f t="shared" si="104"/>
        <v>917775.8528</v>
      </c>
      <c r="I3378" s="160"/>
      <c r="J3378" s="161"/>
      <c r="K3378" s="160"/>
      <c r="L3378" s="160">
        <f>+'FACP$'!$H3378-'FACP$'!$I3378-'FACP$'!$K3378</f>
        <v>917775.8528</v>
      </c>
      <c r="M3378" s="162" t="s">
        <v>151</v>
      </c>
      <c r="N3378" s="162" t="s">
        <v>554</v>
      </c>
      <c r="O3378" s="164">
        <v>44831.0</v>
      </c>
      <c r="P3378" s="164">
        <f t="array" ref="P3378">XLOOKUP('FACP$'!$B3378,'perfil de pagos'!A:A,'perfil de pagos'!B:B)+'FACP$'!$D3378</f>
        <v>44834</v>
      </c>
      <c r="Q3378" s="165">
        <f t="shared" si="2"/>
        <v>0</v>
      </c>
      <c r="R3378" s="167"/>
      <c r="S3378" s="167">
        <v>1569.0</v>
      </c>
      <c r="T3378" s="168">
        <f t="shared" si="3"/>
        <v>917775.8528</v>
      </c>
      <c r="U3378" s="168">
        <f t="shared" si="4"/>
        <v>0</v>
      </c>
      <c r="V3378" s="168">
        <f t="shared" si="5"/>
        <v>0</v>
      </c>
      <c r="W3378" s="168">
        <f t="shared" si="6"/>
        <v>0</v>
      </c>
      <c r="X3378" s="168">
        <f t="shared" si="7"/>
        <v>0</v>
      </c>
      <c r="Y3378" s="168">
        <f t="shared" si="8"/>
        <v>0</v>
      </c>
      <c r="Z3378" s="168">
        <f t="shared" si="9"/>
        <v>0</v>
      </c>
    </row>
    <row r="3379" ht="15.0" customHeight="1">
      <c r="A3379" s="157" t="s">
        <v>4154</v>
      </c>
      <c r="B3379" s="158" t="s">
        <v>27</v>
      </c>
      <c r="C3379" s="158" t="s">
        <v>4152</v>
      </c>
      <c r="D3379" s="159">
        <v>44804.0</v>
      </c>
      <c r="E3379" s="157" t="s">
        <v>731</v>
      </c>
      <c r="F3379" s="160">
        <v>228469.21</v>
      </c>
      <c r="G3379" s="160">
        <f>'FACP$'!$F3379*0.16</f>
        <v>36555.0736</v>
      </c>
      <c r="H3379" s="160">
        <f t="shared" si="104"/>
        <v>265024.2836</v>
      </c>
      <c r="I3379" s="160"/>
      <c r="J3379" s="161"/>
      <c r="K3379" s="160"/>
      <c r="L3379" s="160">
        <f>+'FACP$'!$H3379-'FACP$'!$I3379-'FACP$'!$K3379</f>
        <v>265024.2836</v>
      </c>
      <c r="M3379" s="162" t="s">
        <v>151</v>
      </c>
      <c r="N3379" s="162" t="s">
        <v>554</v>
      </c>
      <c r="O3379" s="164">
        <v>44839.0</v>
      </c>
      <c r="P3379" s="164">
        <f t="array" ref="P3379">XLOOKUP('FACP$'!$B3379,'perfil de pagos'!A:A,'perfil de pagos'!B:B)+'FACP$'!$D3379</f>
        <v>44834</v>
      </c>
      <c r="Q3379" s="165">
        <f t="shared" si="2"/>
        <v>0</v>
      </c>
      <c r="R3379" s="167"/>
      <c r="S3379" s="167"/>
      <c r="T3379" s="168">
        <f t="shared" si="3"/>
        <v>265024.2836</v>
      </c>
      <c r="U3379" s="168">
        <f t="shared" si="4"/>
        <v>0</v>
      </c>
      <c r="V3379" s="168">
        <f t="shared" si="5"/>
        <v>0</v>
      </c>
      <c r="W3379" s="168">
        <f t="shared" si="6"/>
        <v>0</v>
      </c>
      <c r="X3379" s="168">
        <f t="shared" si="7"/>
        <v>0</v>
      </c>
      <c r="Y3379" s="168">
        <f t="shared" si="8"/>
        <v>0</v>
      </c>
      <c r="Z3379" s="168">
        <f t="shared" si="9"/>
        <v>0</v>
      </c>
    </row>
    <row r="3380" ht="15.0" customHeight="1">
      <c r="A3380" s="157" t="s">
        <v>4155</v>
      </c>
      <c r="B3380" s="158" t="s">
        <v>27</v>
      </c>
      <c r="C3380" s="158" t="s">
        <v>4156</v>
      </c>
      <c r="D3380" s="159">
        <v>44804.0</v>
      </c>
      <c r="E3380" s="157" t="s">
        <v>731</v>
      </c>
      <c r="F3380" s="160">
        <v>41169.53</v>
      </c>
      <c r="G3380" s="160">
        <f>'FACP$'!$F3380*0.16</f>
        <v>6587.1248</v>
      </c>
      <c r="H3380" s="160">
        <f t="shared" si="104"/>
        <v>47756.6548</v>
      </c>
      <c r="I3380" s="160"/>
      <c r="J3380" s="161"/>
      <c r="K3380" s="160"/>
      <c r="L3380" s="160">
        <f>+'FACP$'!$H3380-'FACP$'!$I3380-'FACP$'!$K3380</f>
        <v>47756.6548</v>
      </c>
      <c r="M3380" s="162" t="s">
        <v>151</v>
      </c>
      <c r="N3380" s="162" t="s">
        <v>554</v>
      </c>
      <c r="O3380" s="164">
        <v>44839.0</v>
      </c>
      <c r="P3380" s="164">
        <f t="array" ref="P3380">XLOOKUP('FACP$'!$B3380,'perfil de pagos'!A:A,'perfil de pagos'!B:B)+'FACP$'!$D3380</f>
        <v>44834</v>
      </c>
      <c r="Q3380" s="165">
        <f t="shared" si="2"/>
        <v>0</v>
      </c>
      <c r="R3380" s="167"/>
      <c r="S3380" s="167"/>
      <c r="T3380" s="168">
        <f t="shared" si="3"/>
        <v>47756.6548</v>
      </c>
      <c r="U3380" s="168">
        <f t="shared" si="4"/>
        <v>0</v>
      </c>
      <c r="V3380" s="168">
        <f t="shared" si="5"/>
        <v>0</v>
      </c>
      <c r="W3380" s="168">
        <f t="shared" si="6"/>
        <v>0</v>
      </c>
      <c r="X3380" s="168">
        <f t="shared" si="7"/>
        <v>0</v>
      </c>
      <c r="Y3380" s="168">
        <f t="shared" si="8"/>
        <v>0</v>
      </c>
      <c r="Z3380" s="168">
        <f t="shared" si="9"/>
        <v>0</v>
      </c>
    </row>
    <row r="3381" ht="15.0" customHeight="1">
      <c r="A3381" s="157" t="s">
        <v>4157</v>
      </c>
      <c r="B3381" s="158" t="s">
        <v>27</v>
      </c>
      <c r="C3381" s="158" t="s">
        <v>4158</v>
      </c>
      <c r="D3381" s="159">
        <v>44804.0</v>
      </c>
      <c r="E3381" s="157" t="s">
        <v>731</v>
      </c>
      <c r="F3381" s="160">
        <v>11888.44</v>
      </c>
      <c r="G3381" s="160">
        <f>'FACP$'!$F3381*0.16</f>
        <v>1902.1504</v>
      </c>
      <c r="H3381" s="160">
        <f t="shared" si="104"/>
        <v>13790.5904</v>
      </c>
      <c r="I3381" s="160"/>
      <c r="J3381" s="161"/>
      <c r="K3381" s="160"/>
      <c r="L3381" s="160">
        <f>+'FACP$'!$H3381-'FACP$'!$I3381-'FACP$'!$K3381</f>
        <v>13790.5904</v>
      </c>
      <c r="M3381" s="162" t="s">
        <v>151</v>
      </c>
      <c r="N3381" s="162" t="s">
        <v>554</v>
      </c>
      <c r="O3381" s="164">
        <v>44839.0</v>
      </c>
      <c r="P3381" s="164">
        <f t="array" ref="P3381">XLOOKUP('FACP$'!$B3381,'perfil de pagos'!A:A,'perfil de pagos'!B:B)+'FACP$'!$D3381</f>
        <v>44834</v>
      </c>
      <c r="Q3381" s="165">
        <f t="shared" si="2"/>
        <v>0</v>
      </c>
      <c r="R3381" s="167"/>
      <c r="S3381" s="167"/>
      <c r="T3381" s="168">
        <f t="shared" si="3"/>
        <v>13790.5904</v>
      </c>
      <c r="U3381" s="168">
        <f t="shared" si="4"/>
        <v>0</v>
      </c>
      <c r="V3381" s="168">
        <f t="shared" si="5"/>
        <v>0</v>
      </c>
      <c r="W3381" s="168">
        <f t="shared" si="6"/>
        <v>0</v>
      </c>
      <c r="X3381" s="168">
        <f t="shared" si="7"/>
        <v>0</v>
      </c>
      <c r="Y3381" s="168">
        <f t="shared" si="8"/>
        <v>0</v>
      </c>
      <c r="Z3381" s="168">
        <f t="shared" si="9"/>
        <v>0</v>
      </c>
    </row>
    <row r="3382" ht="15.0" customHeight="1">
      <c r="A3382" s="157" t="s">
        <v>4159</v>
      </c>
      <c r="B3382" s="158" t="s">
        <v>21</v>
      </c>
      <c r="C3382" s="158" t="s">
        <v>4160</v>
      </c>
      <c r="D3382" s="159">
        <v>44809.0</v>
      </c>
      <c r="E3382" s="157" t="s">
        <v>731</v>
      </c>
      <c r="F3382" s="160">
        <v>115654.8</v>
      </c>
      <c r="G3382" s="160">
        <f>'FACP$'!$F3382*0.16</f>
        <v>18504.768</v>
      </c>
      <c r="H3382" s="160">
        <f t="shared" si="104"/>
        <v>134159.568</v>
      </c>
      <c r="I3382" s="160"/>
      <c r="J3382" s="161"/>
      <c r="K3382" s="160"/>
      <c r="L3382" s="160">
        <f>+'FACP$'!$H3382-'FACP$'!$I3382-'FACP$'!$K3382</f>
        <v>134159.568</v>
      </c>
      <c r="M3382" s="162" t="s">
        <v>2263</v>
      </c>
      <c r="N3382" s="162" t="s">
        <v>127</v>
      </c>
      <c r="O3382" s="164">
        <v>44839.0</v>
      </c>
      <c r="P3382" s="164">
        <f t="array" ref="P3382">XLOOKUP('FACP$'!$B3382,'perfil de pagos'!A:A,'perfil de pagos'!B:B)+'FACP$'!$D3382</f>
        <v>44819</v>
      </c>
      <c r="Q3382" s="165">
        <f t="shared" si="2"/>
        <v>0</v>
      </c>
      <c r="R3382" s="167" t="s">
        <v>4161</v>
      </c>
      <c r="S3382" s="167"/>
      <c r="T3382" s="168">
        <f t="shared" si="3"/>
        <v>134159.568</v>
      </c>
      <c r="U3382" s="168">
        <f t="shared" si="4"/>
        <v>0</v>
      </c>
      <c r="V3382" s="168">
        <f t="shared" si="5"/>
        <v>0</v>
      </c>
      <c r="W3382" s="168">
        <f t="shared" si="6"/>
        <v>0</v>
      </c>
      <c r="X3382" s="168">
        <f t="shared" si="7"/>
        <v>0</v>
      </c>
      <c r="Y3382" s="168">
        <f t="shared" si="8"/>
        <v>0</v>
      </c>
      <c r="Z3382" s="168">
        <f t="shared" si="9"/>
        <v>0</v>
      </c>
    </row>
    <row r="3383" ht="15.0" customHeight="1">
      <c r="A3383" s="157" t="s">
        <v>4162</v>
      </c>
      <c r="B3383" s="158" t="s">
        <v>41</v>
      </c>
      <c r="C3383" s="158" t="s">
        <v>4160</v>
      </c>
      <c r="D3383" s="159">
        <v>44809.0</v>
      </c>
      <c r="E3383" s="157" t="s">
        <v>731</v>
      </c>
      <c r="F3383" s="160">
        <v>482601.24</v>
      </c>
      <c r="G3383" s="160">
        <f>'FACP$'!$F3383*0.16</f>
        <v>77216.1984</v>
      </c>
      <c r="H3383" s="160">
        <f t="shared" si="104"/>
        <v>559817.4384</v>
      </c>
      <c r="I3383" s="160"/>
      <c r="J3383" s="161"/>
      <c r="K3383" s="160"/>
      <c r="L3383" s="160">
        <f>+'FACP$'!$H3383-'FACP$'!$I3383-'FACP$'!$K3383</f>
        <v>559817.4384</v>
      </c>
      <c r="M3383" s="162" t="s">
        <v>121</v>
      </c>
      <c r="N3383" s="162" t="s">
        <v>554</v>
      </c>
      <c r="O3383" s="164">
        <v>44858.0</v>
      </c>
      <c r="P3383" s="164">
        <f t="array" ref="P3383">XLOOKUP('FACP$'!$B3383,'perfil de pagos'!A:A,'perfil de pagos'!B:B)+'FACP$'!$D3383</f>
        <v>44819</v>
      </c>
      <c r="Q3383" s="165">
        <f t="shared" si="2"/>
        <v>0</v>
      </c>
      <c r="R3383" s="167"/>
      <c r="S3383" s="167">
        <v>1666.0</v>
      </c>
      <c r="T3383" s="168">
        <f t="shared" si="3"/>
        <v>559817.4384</v>
      </c>
      <c r="U3383" s="168">
        <f t="shared" si="4"/>
        <v>0</v>
      </c>
      <c r="V3383" s="168">
        <f t="shared" si="5"/>
        <v>0</v>
      </c>
      <c r="W3383" s="168">
        <f t="shared" si="6"/>
        <v>0</v>
      </c>
      <c r="X3383" s="168">
        <f t="shared" si="7"/>
        <v>0</v>
      </c>
      <c r="Y3383" s="168">
        <f t="shared" si="8"/>
        <v>0</v>
      </c>
      <c r="Z3383" s="168">
        <f t="shared" si="9"/>
        <v>0</v>
      </c>
      <c r="AA3383" s="81"/>
      <c r="AB3383" s="81"/>
      <c r="AC3383" s="81"/>
    </row>
    <row r="3384" ht="15.0" customHeight="1">
      <c r="A3384" s="157" t="s">
        <v>4163</v>
      </c>
      <c r="B3384" s="158" t="s">
        <v>36</v>
      </c>
      <c r="C3384" s="158" t="s">
        <v>4164</v>
      </c>
      <c r="D3384" s="159">
        <v>44809.0</v>
      </c>
      <c r="E3384" s="157" t="s">
        <v>731</v>
      </c>
      <c r="F3384" s="160">
        <v>182893.47</v>
      </c>
      <c r="G3384" s="160">
        <f>'FACP$'!$F3384*0.16</f>
        <v>29262.9552</v>
      </c>
      <c r="H3384" s="160">
        <f t="shared" si="104"/>
        <v>212156.4252</v>
      </c>
      <c r="I3384" s="160"/>
      <c r="J3384" s="161"/>
      <c r="K3384" s="160"/>
      <c r="L3384" s="160">
        <f>+'FACP$'!$H3384-'FACP$'!$I3384-'FACP$'!$K3384</f>
        <v>212156.4252</v>
      </c>
      <c r="M3384" s="162" t="s">
        <v>278</v>
      </c>
      <c r="N3384" s="162" t="s">
        <v>554</v>
      </c>
      <c r="O3384" s="164">
        <v>44831.0</v>
      </c>
      <c r="P3384" s="164">
        <f t="array" ref="P3384">XLOOKUP('FACP$'!$B3384,'perfil de pagos'!A:A,'perfil de pagos'!B:B)+'FACP$'!$D3384</f>
        <v>44819</v>
      </c>
      <c r="Q3384" s="165">
        <f t="shared" si="2"/>
        <v>0</v>
      </c>
      <c r="R3384" s="167"/>
      <c r="S3384" s="167">
        <v>1563.0</v>
      </c>
      <c r="T3384" s="168">
        <f t="shared" si="3"/>
        <v>212156.4252</v>
      </c>
      <c r="U3384" s="168">
        <f t="shared" si="4"/>
        <v>0</v>
      </c>
      <c r="V3384" s="168">
        <f t="shared" si="5"/>
        <v>0</v>
      </c>
      <c r="W3384" s="168">
        <f t="shared" si="6"/>
        <v>0</v>
      </c>
      <c r="X3384" s="168">
        <f t="shared" si="7"/>
        <v>0</v>
      </c>
      <c r="Y3384" s="168">
        <f t="shared" si="8"/>
        <v>0</v>
      </c>
      <c r="Z3384" s="168">
        <f t="shared" si="9"/>
        <v>0</v>
      </c>
      <c r="AA3384" s="81"/>
      <c r="AB3384" s="81"/>
      <c r="AC3384" s="81"/>
    </row>
    <row r="3385" ht="15.0" customHeight="1">
      <c r="A3385" s="157" t="s">
        <v>4165</v>
      </c>
      <c r="B3385" s="158" t="s">
        <v>27</v>
      </c>
      <c r="C3385" s="158" t="s">
        <v>4166</v>
      </c>
      <c r="D3385" s="159">
        <v>44809.0</v>
      </c>
      <c r="E3385" s="157" t="s">
        <v>731</v>
      </c>
      <c r="F3385" s="160">
        <v>794.19</v>
      </c>
      <c r="G3385" s="160">
        <f>'FACP$'!$F3385*0.16</f>
        <v>127.0704</v>
      </c>
      <c r="H3385" s="160">
        <f t="shared" si="104"/>
        <v>921.2604</v>
      </c>
      <c r="I3385" s="160"/>
      <c r="J3385" s="161"/>
      <c r="K3385" s="160"/>
      <c r="L3385" s="160">
        <f>+'FACP$'!$H3385-'FACP$'!$I3385-'FACP$'!$K3385</f>
        <v>921.2604</v>
      </c>
      <c r="M3385" s="162" t="s">
        <v>158</v>
      </c>
      <c r="N3385" s="162" t="s">
        <v>554</v>
      </c>
      <c r="O3385" s="164">
        <v>44851.0</v>
      </c>
      <c r="P3385" s="164">
        <f t="array" ref="P3385">XLOOKUP('FACP$'!$B3385,'perfil de pagos'!A:A,'perfil de pagos'!B:B)+'FACP$'!$D3385</f>
        <v>44839</v>
      </c>
      <c r="Q3385" s="165">
        <f t="shared" si="2"/>
        <v>0</v>
      </c>
      <c r="R3385" s="167"/>
      <c r="S3385" s="167">
        <v>1638.0</v>
      </c>
      <c r="T3385" s="168">
        <f t="shared" si="3"/>
        <v>921.2604</v>
      </c>
      <c r="U3385" s="168">
        <f t="shared" si="4"/>
        <v>0</v>
      </c>
      <c r="V3385" s="168">
        <f t="shared" si="5"/>
        <v>0</v>
      </c>
      <c r="W3385" s="168">
        <f t="shared" si="6"/>
        <v>0</v>
      </c>
      <c r="X3385" s="168">
        <f t="shared" si="7"/>
        <v>0</v>
      </c>
      <c r="Y3385" s="168">
        <f t="shared" si="8"/>
        <v>0</v>
      </c>
      <c r="Z3385" s="168">
        <f t="shared" si="9"/>
        <v>0</v>
      </c>
      <c r="AA3385" s="81"/>
      <c r="AB3385" s="81"/>
      <c r="AC3385" s="81"/>
    </row>
    <row r="3386" ht="15.0" customHeight="1">
      <c r="A3386" s="157" t="s">
        <v>4167</v>
      </c>
      <c r="B3386" s="158" t="s">
        <v>27</v>
      </c>
      <c r="C3386" s="158" t="s">
        <v>4152</v>
      </c>
      <c r="D3386" s="159">
        <v>44809.0</v>
      </c>
      <c r="E3386" s="157" t="s">
        <v>731</v>
      </c>
      <c r="F3386" s="160">
        <v>236.96</v>
      </c>
      <c r="G3386" s="160">
        <f>'FACP$'!$F3386*0.16</f>
        <v>37.9136</v>
      </c>
      <c r="H3386" s="160">
        <f t="shared" si="104"/>
        <v>274.8736</v>
      </c>
      <c r="I3386" s="160"/>
      <c r="J3386" s="161"/>
      <c r="K3386" s="160"/>
      <c r="L3386" s="160">
        <f>+'FACP$'!$H3386-'FACP$'!$I3386-'FACP$'!$K3386</f>
        <v>274.8736</v>
      </c>
      <c r="M3386" s="162" t="s">
        <v>158</v>
      </c>
      <c r="N3386" s="162" t="s">
        <v>554</v>
      </c>
      <c r="O3386" s="164">
        <v>44851.0</v>
      </c>
      <c r="P3386" s="164">
        <f t="array" ref="P3386">XLOOKUP('FACP$'!$B3386,'perfil de pagos'!A:A,'perfil de pagos'!B:B)+'FACP$'!$D3386</f>
        <v>44839</v>
      </c>
      <c r="Q3386" s="165">
        <f t="shared" si="2"/>
        <v>0</v>
      </c>
      <c r="R3386" s="167"/>
      <c r="S3386" s="167">
        <v>1638.0</v>
      </c>
      <c r="T3386" s="168">
        <f t="shared" si="3"/>
        <v>274.8736</v>
      </c>
      <c r="U3386" s="168">
        <f t="shared" si="4"/>
        <v>0</v>
      </c>
      <c r="V3386" s="168">
        <f t="shared" si="5"/>
        <v>0</v>
      </c>
      <c r="W3386" s="168">
        <f t="shared" si="6"/>
        <v>0</v>
      </c>
      <c r="X3386" s="168">
        <f t="shared" si="7"/>
        <v>0</v>
      </c>
      <c r="Y3386" s="168">
        <f t="shared" si="8"/>
        <v>0</v>
      </c>
      <c r="Z3386" s="168">
        <f t="shared" si="9"/>
        <v>0</v>
      </c>
      <c r="AA3386" s="81"/>
      <c r="AB3386" s="81"/>
      <c r="AC3386" s="81"/>
    </row>
    <row r="3387" ht="15.0" customHeight="1">
      <c r="A3387" s="157" t="s">
        <v>4168</v>
      </c>
      <c r="B3387" s="158" t="s">
        <v>27</v>
      </c>
      <c r="C3387" s="158" t="s">
        <v>4166</v>
      </c>
      <c r="D3387" s="159">
        <v>44809.0</v>
      </c>
      <c r="E3387" s="157" t="s">
        <v>731</v>
      </c>
      <c r="F3387" s="160">
        <v>23741.77</v>
      </c>
      <c r="G3387" s="160">
        <f>'FACP$'!$F3387*0.16</f>
        <v>3798.6832</v>
      </c>
      <c r="H3387" s="160">
        <f t="shared" si="104"/>
        <v>27540.4532</v>
      </c>
      <c r="I3387" s="160"/>
      <c r="J3387" s="161"/>
      <c r="K3387" s="160"/>
      <c r="L3387" s="160">
        <f>+'FACP$'!$H3387-'FACP$'!$I3387-'FACP$'!$K3387</f>
        <v>27540.4532</v>
      </c>
      <c r="M3387" s="162" t="s">
        <v>151</v>
      </c>
      <c r="N3387" s="162" t="s">
        <v>554</v>
      </c>
      <c r="O3387" s="164">
        <v>44851.0</v>
      </c>
      <c r="P3387" s="164">
        <f t="array" ref="P3387">XLOOKUP('FACP$'!$B3387,'perfil de pagos'!A:A,'perfil de pagos'!B:B)+'FACP$'!$D3387</f>
        <v>44839</v>
      </c>
      <c r="Q3387" s="165">
        <f t="shared" si="2"/>
        <v>0</v>
      </c>
      <c r="R3387" s="167"/>
      <c r="S3387" s="167">
        <v>1637.0</v>
      </c>
      <c r="T3387" s="168">
        <f t="shared" si="3"/>
        <v>27540.4532</v>
      </c>
      <c r="U3387" s="168">
        <f t="shared" si="4"/>
        <v>0</v>
      </c>
      <c r="V3387" s="168">
        <f t="shared" si="5"/>
        <v>0</v>
      </c>
      <c r="W3387" s="168">
        <f t="shared" si="6"/>
        <v>0</v>
      </c>
      <c r="X3387" s="168">
        <f t="shared" si="7"/>
        <v>0</v>
      </c>
      <c r="Y3387" s="168">
        <f t="shared" si="8"/>
        <v>0</v>
      </c>
      <c r="Z3387" s="168">
        <f t="shared" si="9"/>
        <v>0</v>
      </c>
    </row>
    <row r="3388" ht="15.0" customHeight="1">
      <c r="A3388" s="157" t="s">
        <v>4169</v>
      </c>
      <c r="B3388" s="158" t="s">
        <v>27</v>
      </c>
      <c r="C3388" s="158" t="s">
        <v>4152</v>
      </c>
      <c r="D3388" s="159">
        <v>44809.0</v>
      </c>
      <c r="E3388" s="157" t="s">
        <v>731</v>
      </c>
      <c r="F3388" s="160">
        <v>7162.66</v>
      </c>
      <c r="G3388" s="160">
        <f>'FACP$'!$F3388*0.16</f>
        <v>1146.0256</v>
      </c>
      <c r="H3388" s="160">
        <f t="shared" si="104"/>
        <v>8308.6856</v>
      </c>
      <c r="I3388" s="160"/>
      <c r="J3388" s="161"/>
      <c r="K3388" s="160"/>
      <c r="L3388" s="160">
        <f>+'FACP$'!$H3388-'FACP$'!$I3388-'FACP$'!$K3388</f>
        <v>8308.6856</v>
      </c>
      <c r="M3388" s="162" t="s">
        <v>151</v>
      </c>
      <c r="N3388" s="162" t="s">
        <v>554</v>
      </c>
      <c r="O3388" s="164">
        <v>44851.0</v>
      </c>
      <c r="P3388" s="164">
        <f t="array" ref="P3388">XLOOKUP('FACP$'!$B3388,'perfil de pagos'!A:A,'perfil de pagos'!B:B)+'FACP$'!$D3388</f>
        <v>44839</v>
      </c>
      <c r="Q3388" s="165">
        <f t="shared" si="2"/>
        <v>0</v>
      </c>
      <c r="R3388" s="167"/>
      <c r="S3388" s="167">
        <v>1637.0</v>
      </c>
      <c r="T3388" s="168">
        <f t="shared" si="3"/>
        <v>8308.6856</v>
      </c>
      <c r="U3388" s="168">
        <f t="shared" si="4"/>
        <v>0</v>
      </c>
      <c r="V3388" s="168">
        <f t="shared" si="5"/>
        <v>0</v>
      </c>
      <c r="W3388" s="168">
        <f t="shared" si="6"/>
        <v>0</v>
      </c>
      <c r="X3388" s="168">
        <f t="shared" si="7"/>
        <v>0</v>
      </c>
      <c r="Y3388" s="168">
        <f t="shared" si="8"/>
        <v>0</v>
      </c>
      <c r="Z3388" s="168">
        <f t="shared" si="9"/>
        <v>0</v>
      </c>
    </row>
    <row r="3389" ht="15.0" customHeight="1">
      <c r="A3389" s="157" t="s">
        <v>4170</v>
      </c>
      <c r="B3389" s="158" t="s">
        <v>27</v>
      </c>
      <c r="C3389" s="158" t="s">
        <v>4171</v>
      </c>
      <c r="D3389" s="159">
        <v>44809.0</v>
      </c>
      <c r="E3389" s="157" t="s">
        <v>731</v>
      </c>
      <c r="F3389" s="160">
        <v>301.94</v>
      </c>
      <c r="G3389" s="160">
        <f>'FACP$'!$F3389*0.16</f>
        <v>48.3104</v>
      </c>
      <c r="H3389" s="160">
        <f t="shared" si="104"/>
        <v>350.2504</v>
      </c>
      <c r="I3389" s="160"/>
      <c r="J3389" s="161"/>
      <c r="K3389" s="160"/>
      <c r="L3389" s="160">
        <f>+'FACP$'!$H3389-'FACP$'!$I3389-'FACP$'!$K3389</f>
        <v>350.2504</v>
      </c>
      <c r="M3389" s="162" t="s">
        <v>151</v>
      </c>
      <c r="N3389" s="162" t="s">
        <v>554</v>
      </c>
      <c r="O3389" s="164">
        <v>44851.0</v>
      </c>
      <c r="P3389" s="164">
        <f t="array" ref="P3389">XLOOKUP('FACP$'!$B3389,'perfil de pagos'!A:A,'perfil de pagos'!B:B)+'FACP$'!$D3389</f>
        <v>44839</v>
      </c>
      <c r="Q3389" s="165">
        <f t="shared" si="2"/>
        <v>0</v>
      </c>
      <c r="R3389" s="167"/>
      <c r="S3389" s="167">
        <v>1637.0</v>
      </c>
      <c r="T3389" s="168">
        <f t="shared" si="3"/>
        <v>350.2504</v>
      </c>
      <c r="U3389" s="168">
        <f t="shared" si="4"/>
        <v>0</v>
      </c>
      <c r="V3389" s="168">
        <f t="shared" si="5"/>
        <v>0</v>
      </c>
      <c r="W3389" s="168">
        <f t="shared" si="6"/>
        <v>0</v>
      </c>
      <c r="X3389" s="168">
        <f t="shared" si="7"/>
        <v>0</v>
      </c>
      <c r="Y3389" s="168">
        <f t="shared" si="8"/>
        <v>0</v>
      </c>
      <c r="Z3389" s="168">
        <f t="shared" si="9"/>
        <v>0</v>
      </c>
    </row>
    <row r="3390" ht="15.0" customHeight="1">
      <c r="A3390" s="157" t="s">
        <v>4172</v>
      </c>
      <c r="B3390" s="158" t="s">
        <v>27</v>
      </c>
      <c r="C3390" s="158" t="s">
        <v>4173</v>
      </c>
      <c r="D3390" s="159">
        <v>44809.0</v>
      </c>
      <c r="E3390" s="157" t="s">
        <v>731</v>
      </c>
      <c r="F3390" s="160">
        <v>102.7</v>
      </c>
      <c r="G3390" s="160">
        <f>'FACP$'!$F3390*0.16</f>
        <v>16.432</v>
      </c>
      <c r="H3390" s="160">
        <f t="shared" si="104"/>
        <v>119.132</v>
      </c>
      <c r="I3390" s="160"/>
      <c r="J3390" s="161"/>
      <c r="K3390" s="160"/>
      <c r="L3390" s="160">
        <f>+'FACP$'!$H3390-'FACP$'!$I3390-'FACP$'!$K3390</f>
        <v>119.132</v>
      </c>
      <c r="M3390" s="162" t="s">
        <v>151</v>
      </c>
      <c r="N3390" s="162" t="s">
        <v>554</v>
      </c>
      <c r="O3390" s="164">
        <v>44851.0</v>
      </c>
      <c r="P3390" s="164">
        <f t="array" ref="P3390">XLOOKUP('FACP$'!$B3390,'perfil de pagos'!A:A,'perfil de pagos'!B:B)+'FACP$'!$D3390</f>
        <v>44839</v>
      </c>
      <c r="Q3390" s="165">
        <f t="shared" si="2"/>
        <v>0</v>
      </c>
      <c r="R3390" s="167"/>
      <c r="S3390" s="167">
        <v>1637.0</v>
      </c>
      <c r="T3390" s="168">
        <f t="shared" si="3"/>
        <v>119.132</v>
      </c>
      <c r="U3390" s="168">
        <f t="shared" si="4"/>
        <v>0</v>
      </c>
      <c r="V3390" s="168">
        <f t="shared" si="5"/>
        <v>0</v>
      </c>
      <c r="W3390" s="168">
        <f t="shared" si="6"/>
        <v>0</v>
      </c>
      <c r="X3390" s="168">
        <f t="shared" si="7"/>
        <v>0</v>
      </c>
      <c r="Y3390" s="168">
        <f t="shared" si="8"/>
        <v>0</v>
      </c>
      <c r="Z3390" s="168">
        <f t="shared" si="9"/>
        <v>0</v>
      </c>
    </row>
    <row r="3391" ht="15.0" customHeight="1">
      <c r="A3391" s="157" t="s">
        <v>4174</v>
      </c>
      <c r="B3391" s="158" t="s">
        <v>16</v>
      </c>
      <c r="C3391" s="158" t="s">
        <v>4160</v>
      </c>
      <c r="D3391" s="159">
        <v>44810.0</v>
      </c>
      <c r="E3391" s="157" t="s">
        <v>731</v>
      </c>
      <c r="F3391" s="160">
        <v>801831.67</v>
      </c>
      <c r="G3391" s="160">
        <f>'FACP$'!$F3391*0.16</f>
        <v>128293.0672</v>
      </c>
      <c r="H3391" s="160">
        <f t="shared" si="104"/>
        <v>930124.7372</v>
      </c>
      <c r="I3391" s="160"/>
      <c r="J3391" s="161"/>
      <c r="K3391" s="160"/>
      <c r="L3391" s="160">
        <f>+'FACP$'!$H3391-'FACP$'!$I3391-'FACP$'!$K3391</f>
        <v>930124.7372</v>
      </c>
      <c r="M3391" s="162" t="s">
        <v>985</v>
      </c>
      <c r="N3391" s="162" t="s">
        <v>554</v>
      </c>
      <c r="O3391" s="164">
        <v>44834.0</v>
      </c>
      <c r="P3391" s="164">
        <f t="array" ref="P3391">XLOOKUP('FACP$'!$B3391,'perfil de pagos'!A:A,'perfil de pagos'!B:B)+'FACP$'!$D3391</f>
        <v>44820</v>
      </c>
      <c r="Q3391" s="165">
        <f t="shared" si="2"/>
        <v>0</v>
      </c>
      <c r="R3391" s="167"/>
      <c r="S3391" s="167"/>
      <c r="T3391" s="168">
        <f t="shared" si="3"/>
        <v>930124.7372</v>
      </c>
      <c r="U3391" s="168">
        <f t="shared" si="4"/>
        <v>0</v>
      </c>
      <c r="V3391" s="168">
        <f t="shared" si="5"/>
        <v>0</v>
      </c>
      <c r="W3391" s="168">
        <f t="shared" si="6"/>
        <v>0</v>
      </c>
      <c r="X3391" s="168">
        <f t="shared" si="7"/>
        <v>0</v>
      </c>
      <c r="Y3391" s="168">
        <f t="shared" si="8"/>
        <v>0</v>
      </c>
      <c r="Z3391" s="168">
        <f t="shared" si="9"/>
        <v>0</v>
      </c>
    </row>
    <row r="3392" ht="15.0" customHeight="1">
      <c r="A3392" s="157" t="s">
        <v>4175</v>
      </c>
      <c r="B3392" s="158" t="s">
        <v>16</v>
      </c>
      <c r="C3392" s="158" t="s">
        <v>4176</v>
      </c>
      <c r="D3392" s="159">
        <v>44810.0</v>
      </c>
      <c r="E3392" s="157" t="s">
        <v>731</v>
      </c>
      <c r="F3392" s="160">
        <v>445824.03</v>
      </c>
      <c r="G3392" s="160">
        <f>'FACP$'!$F3392*0.16</f>
        <v>71331.8448</v>
      </c>
      <c r="H3392" s="160">
        <f t="shared" si="104"/>
        <v>517155.8748</v>
      </c>
      <c r="I3392" s="160"/>
      <c r="J3392" s="161"/>
      <c r="K3392" s="160"/>
      <c r="L3392" s="160">
        <f>+'FACP$'!$H3392-'FACP$'!$I3392-'FACP$'!$K3392</f>
        <v>517155.8748</v>
      </c>
      <c r="M3392" s="162" t="s">
        <v>985</v>
      </c>
      <c r="N3392" s="162" t="s">
        <v>554</v>
      </c>
      <c r="O3392" s="164">
        <v>44834.0</v>
      </c>
      <c r="P3392" s="164">
        <f t="array" ref="P3392">XLOOKUP('FACP$'!$B3392,'perfil de pagos'!A:A,'perfil de pagos'!B:B)+'FACP$'!$D3392</f>
        <v>44820</v>
      </c>
      <c r="Q3392" s="165">
        <f t="shared" si="2"/>
        <v>0</v>
      </c>
      <c r="R3392" s="167"/>
      <c r="S3392" s="167"/>
      <c r="T3392" s="168">
        <f t="shared" si="3"/>
        <v>517155.8748</v>
      </c>
      <c r="U3392" s="168">
        <f t="shared" si="4"/>
        <v>0</v>
      </c>
      <c r="V3392" s="168">
        <f t="shared" si="5"/>
        <v>0</v>
      </c>
      <c r="W3392" s="168">
        <f t="shared" si="6"/>
        <v>0</v>
      </c>
      <c r="X3392" s="168">
        <f t="shared" si="7"/>
        <v>0</v>
      </c>
      <c r="Y3392" s="168">
        <f t="shared" si="8"/>
        <v>0</v>
      </c>
      <c r="Z3392" s="168">
        <f t="shared" si="9"/>
        <v>0</v>
      </c>
    </row>
    <row r="3393" ht="15.0" customHeight="1">
      <c r="A3393" s="157" t="s">
        <v>4177</v>
      </c>
      <c r="B3393" s="158" t="s">
        <v>18</v>
      </c>
      <c r="C3393" s="158" t="s">
        <v>4160</v>
      </c>
      <c r="D3393" s="159">
        <v>44810.0</v>
      </c>
      <c r="E3393" s="157" t="s">
        <v>731</v>
      </c>
      <c r="F3393" s="160">
        <v>353778.24</v>
      </c>
      <c r="G3393" s="160">
        <f>'FACP$'!$F3393*0.16</f>
        <v>56604.5184</v>
      </c>
      <c r="H3393" s="160">
        <f t="shared" si="104"/>
        <v>410382.7584</v>
      </c>
      <c r="I3393" s="160"/>
      <c r="J3393" s="161"/>
      <c r="K3393" s="160"/>
      <c r="L3393" s="160">
        <f>+'FACP$'!$H3393-'FACP$'!$I3393-'FACP$'!$K3393</f>
        <v>410382.7584</v>
      </c>
      <c r="M3393" s="162" t="s">
        <v>586</v>
      </c>
      <c r="N3393" s="162" t="s">
        <v>554</v>
      </c>
      <c r="O3393" s="164">
        <v>44874.0</v>
      </c>
      <c r="P3393" s="164">
        <f t="array" ref="P3393">XLOOKUP('FACP$'!$B3393,'perfil de pagos'!A:A,'perfil de pagos'!B:B)+'FACP$'!$D3393</f>
        <v>44820</v>
      </c>
      <c r="Q3393" s="165">
        <f t="shared" si="2"/>
        <v>0</v>
      </c>
      <c r="R3393" s="167"/>
      <c r="S3393" s="167"/>
      <c r="T3393" s="168">
        <f t="shared" si="3"/>
        <v>410382.7584</v>
      </c>
      <c r="U3393" s="168">
        <f t="shared" si="4"/>
        <v>0</v>
      </c>
      <c r="V3393" s="168">
        <f t="shared" si="5"/>
        <v>0</v>
      </c>
      <c r="W3393" s="168">
        <f t="shared" si="6"/>
        <v>0</v>
      </c>
      <c r="X3393" s="168">
        <f t="shared" si="7"/>
        <v>0</v>
      </c>
      <c r="Y3393" s="168">
        <f t="shared" si="8"/>
        <v>0</v>
      </c>
      <c r="Z3393" s="168">
        <f t="shared" si="9"/>
        <v>0</v>
      </c>
    </row>
    <row r="3394" ht="15.0" customHeight="1">
      <c r="A3394" s="157" t="s">
        <v>4178</v>
      </c>
      <c r="B3394" s="158" t="s">
        <v>19</v>
      </c>
      <c r="C3394" s="158" t="s">
        <v>4160</v>
      </c>
      <c r="D3394" s="159">
        <v>44810.0</v>
      </c>
      <c r="E3394" s="157" t="s">
        <v>731</v>
      </c>
      <c r="F3394" s="160">
        <v>484716.62</v>
      </c>
      <c r="G3394" s="160">
        <f>'FACP$'!$F3394*0.16</f>
        <v>77554.6592</v>
      </c>
      <c r="H3394" s="160">
        <f t="shared" si="104"/>
        <v>562271.2792</v>
      </c>
      <c r="I3394" s="160"/>
      <c r="J3394" s="161"/>
      <c r="K3394" s="160"/>
      <c r="L3394" s="160">
        <f>+'FACP$'!$H3394-'FACP$'!$I3394-'FACP$'!$K3394</f>
        <v>562271.2792</v>
      </c>
      <c r="M3394" s="162" t="s">
        <v>732</v>
      </c>
      <c r="N3394" s="162" t="s">
        <v>554</v>
      </c>
      <c r="O3394" s="164">
        <v>44874.0</v>
      </c>
      <c r="P3394" s="164">
        <f t="array" ref="P3394">XLOOKUP('FACP$'!$B3394,'perfil de pagos'!A:A,'perfil de pagos'!B:B)+'FACP$'!$D3394</f>
        <v>44820</v>
      </c>
      <c r="Q3394" s="165">
        <f t="shared" si="2"/>
        <v>0</v>
      </c>
      <c r="R3394" s="167"/>
      <c r="S3394" s="167"/>
      <c r="T3394" s="168">
        <f t="shared" si="3"/>
        <v>562271.2792</v>
      </c>
      <c r="U3394" s="168">
        <f t="shared" si="4"/>
        <v>0</v>
      </c>
      <c r="V3394" s="168">
        <f t="shared" si="5"/>
        <v>0</v>
      </c>
      <c r="W3394" s="168">
        <f t="shared" si="6"/>
        <v>0</v>
      </c>
      <c r="X3394" s="168">
        <f t="shared" si="7"/>
        <v>0</v>
      </c>
      <c r="Y3394" s="168">
        <f t="shared" si="8"/>
        <v>0</v>
      </c>
      <c r="Z3394" s="168">
        <f t="shared" si="9"/>
        <v>0</v>
      </c>
    </row>
    <row r="3395" ht="15.0" customHeight="1">
      <c r="A3395" s="157" t="s">
        <v>4179</v>
      </c>
      <c r="B3395" s="158" t="s">
        <v>22</v>
      </c>
      <c r="C3395" s="158" t="s">
        <v>4160</v>
      </c>
      <c r="D3395" s="159">
        <v>44810.0</v>
      </c>
      <c r="E3395" s="157" t="s">
        <v>731</v>
      </c>
      <c r="F3395" s="160">
        <v>508659.48</v>
      </c>
      <c r="G3395" s="160">
        <f>'FACP$'!$F3395*0.16</f>
        <v>81385.5168</v>
      </c>
      <c r="H3395" s="160">
        <f t="shared" si="104"/>
        <v>590044.9968</v>
      </c>
      <c r="I3395" s="160"/>
      <c r="J3395" s="161"/>
      <c r="K3395" s="160"/>
      <c r="L3395" s="160">
        <f>+'FACP$'!$H3395-'FACP$'!$I3395-'FACP$'!$K3395</f>
        <v>590044.9968</v>
      </c>
      <c r="M3395" s="162" t="s">
        <v>220</v>
      </c>
      <c r="N3395" s="162" t="s">
        <v>554</v>
      </c>
      <c r="O3395" s="164">
        <v>44802.0</v>
      </c>
      <c r="P3395" s="164">
        <f t="array" ref="P3395">XLOOKUP('FACP$'!$B3395,'perfil de pagos'!A:A,'perfil de pagos'!B:B)+'FACP$'!$D3395</f>
        <v>44820</v>
      </c>
      <c r="Q3395" s="165">
        <f t="shared" si="2"/>
        <v>0</v>
      </c>
      <c r="R3395" s="167"/>
      <c r="S3395" s="167"/>
      <c r="T3395" s="168">
        <f t="shared" si="3"/>
        <v>590044.9968</v>
      </c>
      <c r="U3395" s="168">
        <f t="shared" si="4"/>
        <v>0</v>
      </c>
      <c r="V3395" s="168">
        <f t="shared" si="5"/>
        <v>0</v>
      </c>
      <c r="W3395" s="168">
        <f t="shared" si="6"/>
        <v>0</v>
      </c>
      <c r="X3395" s="168">
        <f t="shared" si="7"/>
        <v>0</v>
      </c>
      <c r="Y3395" s="168">
        <f t="shared" si="8"/>
        <v>0</v>
      </c>
      <c r="Z3395" s="168">
        <f t="shared" si="9"/>
        <v>0</v>
      </c>
    </row>
    <row r="3396" ht="15.0" customHeight="1">
      <c r="A3396" s="157" t="s">
        <v>4180</v>
      </c>
      <c r="B3396" s="158" t="s">
        <v>29</v>
      </c>
      <c r="C3396" s="158" t="s">
        <v>4160</v>
      </c>
      <c r="D3396" s="159">
        <v>44810.0</v>
      </c>
      <c r="E3396" s="157" t="s">
        <v>731</v>
      </c>
      <c r="F3396" s="160">
        <v>804510.7</v>
      </c>
      <c r="G3396" s="160">
        <f>'FACP$'!$F3396*0.16</f>
        <v>128721.712</v>
      </c>
      <c r="H3396" s="160">
        <f t="shared" si="104"/>
        <v>933232.412</v>
      </c>
      <c r="I3396" s="160"/>
      <c r="J3396" s="161"/>
      <c r="K3396" s="160"/>
      <c r="L3396" s="160">
        <f>+'FACP$'!$H3396-'FACP$'!$I3396-'FACP$'!$K3396</f>
        <v>933232.412</v>
      </c>
      <c r="M3396" s="162" t="s">
        <v>130</v>
      </c>
      <c r="N3396" s="162" t="s">
        <v>554</v>
      </c>
      <c r="O3396" s="164">
        <v>44823.0</v>
      </c>
      <c r="P3396" s="164">
        <f t="array" ref="P3396">XLOOKUP('FACP$'!$B3396,'perfil de pagos'!A:A,'perfil de pagos'!B:B)+'FACP$'!$D3396</f>
        <v>44820</v>
      </c>
      <c r="Q3396" s="165">
        <f t="shared" si="2"/>
        <v>0</v>
      </c>
      <c r="R3396" s="167"/>
      <c r="S3396" s="167">
        <v>1574.0</v>
      </c>
      <c r="T3396" s="168">
        <f t="shared" si="3"/>
        <v>933232.412</v>
      </c>
      <c r="U3396" s="168">
        <f t="shared" si="4"/>
        <v>0</v>
      </c>
      <c r="V3396" s="168">
        <f t="shared" si="5"/>
        <v>0</v>
      </c>
      <c r="W3396" s="168">
        <f t="shared" si="6"/>
        <v>0</v>
      </c>
      <c r="X3396" s="168">
        <f t="shared" si="7"/>
        <v>0</v>
      </c>
      <c r="Y3396" s="168">
        <f t="shared" si="8"/>
        <v>0</v>
      </c>
      <c r="Z3396" s="168">
        <f t="shared" si="9"/>
        <v>0</v>
      </c>
      <c r="AA3396" s="81"/>
      <c r="AB3396" s="81"/>
      <c r="AC3396" s="81"/>
    </row>
    <row r="3397" ht="15.0" customHeight="1">
      <c r="A3397" s="157" t="s">
        <v>4181</v>
      </c>
      <c r="B3397" s="158" t="s">
        <v>29</v>
      </c>
      <c r="C3397" s="158" t="s">
        <v>4182</v>
      </c>
      <c r="D3397" s="159">
        <v>44810.0</v>
      </c>
      <c r="E3397" s="157" t="s">
        <v>731</v>
      </c>
      <c r="F3397" s="160">
        <v>477241.06</v>
      </c>
      <c r="G3397" s="160">
        <f>'FACP$'!$F3397*0.16</f>
        <v>76358.5696</v>
      </c>
      <c r="H3397" s="160">
        <f t="shared" si="104"/>
        <v>553599.6296</v>
      </c>
      <c r="I3397" s="160"/>
      <c r="J3397" s="161"/>
      <c r="K3397" s="160"/>
      <c r="L3397" s="160">
        <f>+'FACP$'!$H3397-'FACP$'!$I3397-'FACP$'!$K3397</f>
        <v>553599.6296</v>
      </c>
      <c r="M3397" s="162" t="s">
        <v>130</v>
      </c>
      <c r="N3397" s="162" t="s">
        <v>554</v>
      </c>
      <c r="O3397" s="164">
        <v>44827.0</v>
      </c>
      <c r="P3397" s="164">
        <f t="array" ref="P3397">XLOOKUP('FACP$'!$B3397,'perfil de pagos'!A:A,'perfil de pagos'!B:B)+'FACP$'!$D3397</f>
        <v>44820</v>
      </c>
      <c r="Q3397" s="165">
        <f t="shared" si="2"/>
        <v>0</v>
      </c>
      <c r="R3397" s="167"/>
      <c r="S3397" s="167">
        <v>1580.0</v>
      </c>
      <c r="T3397" s="168">
        <f t="shared" si="3"/>
        <v>553599.6296</v>
      </c>
      <c r="U3397" s="168">
        <f t="shared" si="4"/>
        <v>0</v>
      </c>
      <c r="V3397" s="168">
        <f t="shared" si="5"/>
        <v>0</v>
      </c>
      <c r="W3397" s="168">
        <f t="shared" si="6"/>
        <v>0</v>
      </c>
      <c r="X3397" s="168">
        <f t="shared" si="7"/>
        <v>0</v>
      </c>
      <c r="Y3397" s="168">
        <f t="shared" si="8"/>
        <v>0</v>
      </c>
      <c r="Z3397" s="168">
        <f t="shared" si="9"/>
        <v>0</v>
      </c>
    </row>
    <row r="3398" ht="15.0" customHeight="1">
      <c r="A3398" s="157" t="s">
        <v>4183</v>
      </c>
      <c r="B3398" s="158" t="s">
        <v>37</v>
      </c>
      <c r="C3398" s="158" t="s">
        <v>4160</v>
      </c>
      <c r="D3398" s="159">
        <v>44810.0</v>
      </c>
      <c r="E3398" s="157" t="s">
        <v>731</v>
      </c>
      <c r="F3398" s="160">
        <v>4014757.57</v>
      </c>
      <c r="G3398" s="160">
        <f>'FACP$'!$F3398*0.16</f>
        <v>642361.2112</v>
      </c>
      <c r="H3398" s="160">
        <f t="shared" si="104"/>
        <v>4657118.781</v>
      </c>
      <c r="I3398" s="160"/>
      <c r="J3398" s="161"/>
      <c r="K3398" s="160"/>
      <c r="L3398" s="160">
        <f>+'FACP$'!$H3398-'FACP$'!$I3398-'FACP$'!$K3398</f>
        <v>4657118.781</v>
      </c>
      <c r="M3398" s="162" t="s">
        <v>116</v>
      </c>
      <c r="N3398" s="162" t="s">
        <v>554</v>
      </c>
      <c r="O3398" s="164">
        <v>44824.0</v>
      </c>
      <c r="P3398" s="164">
        <f t="array" ref="P3398">XLOOKUP('FACP$'!$B3398,'perfil de pagos'!A:A,'perfil de pagos'!B:B)+'FACP$'!$D3398</f>
        <v>44820</v>
      </c>
      <c r="Q3398" s="165">
        <f t="shared" si="2"/>
        <v>0</v>
      </c>
      <c r="R3398" s="167"/>
      <c r="S3398" s="167">
        <v>1575.0</v>
      </c>
      <c r="T3398" s="168">
        <f t="shared" si="3"/>
        <v>4657118.781</v>
      </c>
      <c r="U3398" s="168">
        <f t="shared" si="4"/>
        <v>0</v>
      </c>
      <c r="V3398" s="168">
        <f t="shared" si="5"/>
        <v>0</v>
      </c>
      <c r="W3398" s="168">
        <f t="shared" si="6"/>
        <v>0</v>
      </c>
      <c r="X3398" s="168">
        <f t="shared" si="7"/>
        <v>0</v>
      </c>
      <c r="Y3398" s="168">
        <f t="shared" si="8"/>
        <v>0</v>
      </c>
      <c r="Z3398" s="168">
        <f t="shared" si="9"/>
        <v>0</v>
      </c>
    </row>
    <row r="3399" ht="15.0" customHeight="1">
      <c r="A3399" s="157" t="s">
        <v>4184</v>
      </c>
      <c r="B3399" s="158" t="s">
        <v>21</v>
      </c>
      <c r="C3399" s="158" t="s">
        <v>4185</v>
      </c>
      <c r="D3399" s="159">
        <v>44810.0</v>
      </c>
      <c r="E3399" s="157" t="s">
        <v>731</v>
      </c>
      <c r="F3399" s="160">
        <v>102904.46</v>
      </c>
      <c r="G3399" s="160">
        <f>'FACP$'!$F3399*0.16</f>
        <v>16464.7136</v>
      </c>
      <c r="H3399" s="160">
        <f t="shared" si="104"/>
        <v>119369.1736</v>
      </c>
      <c r="I3399" s="160"/>
      <c r="J3399" s="161"/>
      <c r="K3399" s="160"/>
      <c r="L3399" s="160">
        <f>+'FACP$'!$H3399-'FACP$'!$I3399-'FACP$'!$K3399</f>
        <v>119369.1736</v>
      </c>
      <c r="M3399" s="162" t="s">
        <v>2263</v>
      </c>
      <c r="N3399" s="162" t="s">
        <v>554</v>
      </c>
      <c r="O3399" s="164">
        <v>44826.0</v>
      </c>
      <c r="P3399" s="164">
        <f t="array" ref="P3399">XLOOKUP('FACP$'!$B3399,'perfil de pagos'!A:A,'perfil de pagos'!B:B)+'FACP$'!$D3399</f>
        <v>44820</v>
      </c>
      <c r="Q3399" s="165">
        <f t="shared" si="2"/>
        <v>0</v>
      </c>
      <c r="R3399" s="167"/>
      <c r="S3399" s="167">
        <v>1581.0</v>
      </c>
      <c r="T3399" s="168">
        <f t="shared" si="3"/>
        <v>119369.1736</v>
      </c>
      <c r="U3399" s="168">
        <f t="shared" si="4"/>
        <v>0</v>
      </c>
      <c r="V3399" s="168">
        <f t="shared" si="5"/>
        <v>0</v>
      </c>
      <c r="W3399" s="168">
        <f t="shared" si="6"/>
        <v>0</v>
      </c>
      <c r="X3399" s="168">
        <f t="shared" si="7"/>
        <v>0</v>
      </c>
      <c r="Y3399" s="168">
        <f t="shared" si="8"/>
        <v>0</v>
      </c>
      <c r="Z3399" s="168">
        <f t="shared" si="9"/>
        <v>0</v>
      </c>
    </row>
    <row r="3400" ht="15.0" customHeight="1">
      <c r="A3400" s="157" t="s">
        <v>4186</v>
      </c>
      <c r="B3400" s="158" t="s">
        <v>21</v>
      </c>
      <c r="C3400" s="158" t="s">
        <v>4160</v>
      </c>
      <c r="D3400" s="159">
        <v>44810.0</v>
      </c>
      <c r="E3400" s="157" t="s">
        <v>731</v>
      </c>
      <c r="F3400" s="160">
        <v>117347.69</v>
      </c>
      <c r="G3400" s="160">
        <f>'FACP$'!$F3400*0.16</f>
        <v>18775.6304</v>
      </c>
      <c r="H3400" s="160">
        <f t="shared" si="104"/>
        <v>136123.3204</v>
      </c>
      <c r="I3400" s="160"/>
      <c r="J3400" s="161"/>
      <c r="K3400" s="160"/>
      <c r="L3400" s="160">
        <f>+'FACP$'!$H3400-'FACP$'!$I3400-'FACP$'!$K3400</f>
        <v>136123.3204</v>
      </c>
      <c r="M3400" s="162" t="s">
        <v>2263</v>
      </c>
      <c r="N3400" s="162" t="s">
        <v>554</v>
      </c>
      <c r="O3400" s="164">
        <v>44866.0</v>
      </c>
      <c r="P3400" s="164">
        <f t="array" ref="P3400">XLOOKUP('FACP$'!$B3400,'perfil de pagos'!A:A,'perfil de pagos'!B:B)+'FACP$'!$D3400</f>
        <v>44820</v>
      </c>
      <c r="Q3400" s="165">
        <f t="shared" si="2"/>
        <v>0</v>
      </c>
      <c r="R3400" s="167"/>
      <c r="S3400" s="167"/>
      <c r="T3400" s="168">
        <f t="shared" si="3"/>
        <v>136123.3204</v>
      </c>
      <c r="U3400" s="168">
        <f t="shared" si="4"/>
        <v>0</v>
      </c>
      <c r="V3400" s="168">
        <f t="shared" si="5"/>
        <v>0</v>
      </c>
      <c r="W3400" s="168">
        <f t="shared" si="6"/>
        <v>0</v>
      </c>
      <c r="X3400" s="168">
        <f t="shared" si="7"/>
        <v>0</v>
      </c>
      <c r="Y3400" s="168">
        <f t="shared" si="8"/>
        <v>0</v>
      </c>
      <c r="Z3400" s="168">
        <f t="shared" si="9"/>
        <v>0</v>
      </c>
    </row>
    <row r="3401" ht="15.0" customHeight="1">
      <c r="A3401" s="157" t="s">
        <v>4187</v>
      </c>
      <c r="B3401" s="158" t="s">
        <v>42</v>
      </c>
      <c r="C3401" s="158" t="s">
        <v>4160</v>
      </c>
      <c r="D3401" s="159">
        <v>44811.0</v>
      </c>
      <c r="E3401" s="157" t="s">
        <v>731</v>
      </c>
      <c r="F3401" s="160">
        <v>139785.98</v>
      </c>
      <c r="G3401" s="160">
        <f>'FACP$'!$F3401*0.16</f>
        <v>22365.7568</v>
      </c>
      <c r="H3401" s="160">
        <f t="shared" si="104"/>
        <v>162151.7368</v>
      </c>
      <c r="I3401" s="160"/>
      <c r="J3401" s="161"/>
      <c r="K3401" s="160"/>
      <c r="L3401" s="160">
        <f>+'FACP$'!$H3401-'FACP$'!$I3401-'FACP$'!$K3401</f>
        <v>162151.7368</v>
      </c>
      <c r="M3401" s="162" t="s">
        <v>4188</v>
      </c>
      <c r="N3401" s="162" t="s">
        <v>554</v>
      </c>
      <c r="O3401" s="164">
        <v>44826.0</v>
      </c>
      <c r="P3401" s="164">
        <f t="array" ref="P3401">XLOOKUP('FACP$'!$B3401,'perfil de pagos'!A:A,'perfil de pagos'!B:B)+'FACP$'!$D3401</f>
        <v>44821</v>
      </c>
      <c r="Q3401" s="165">
        <f t="shared" si="2"/>
        <v>0</v>
      </c>
      <c r="R3401" s="167"/>
      <c r="S3401" s="167">
        <v>1579.0</v>
      </c>
      <c r="T3401" s="168">
        <f t="shared" si="3"/>
        <v>162151.7368</v>
      </c>
      <c r="U3401" s="168">
        <f t="shared" si="4"/>
        <v>0</v>
      </c>
      <c r="V3401" s="168">
        <f t="shared" si="5"/>
        <v>0</v>
      </c>
      <c r="W3401" s="168">
        <f t="shared" si="6"/>
        <v>0</v>
      </c>
      <c r="X3401" s="168">
        <f t="shared" si="7"/>
        <v>0</v>
      </c>
      <c r="Y3401" s="168">
        <f t="shared" si="8"/>
        <v>0</v>
      </c>
      <c r="Z3401" s="168">
        <f t="shared" si="9"/>
        <v>0</v>
      </c>
    </row>
    <row r="3402" ht="14.25" customHeight="1">
      <c r="A3402" s="157" t="s">
        <v>4189</v>
      </c>
      <c r="B3402" s="158" t="s">
        <v>38</v>
      </c>
      <c r="C3402" s="158" t="s">
        <v>4160</v>
      </c>
      <c r="D3402" s="159">
        <v>44813.0</v>
      </c>
      <c r="E3402" s="157" t="s">
        <v>731</v>
      </c>
      <c r="F3402" s="160">
        <v>1667892.78</v>
      </c>
      <c r="G3402" s="160">
        <f>'FACP$'!$F3402*0.16</f>
        <v>266862.8448</v>
      </c>
      <c r="H3402" s="160">
        <f>F3402+G3402-1891857.36</f>
        <v>42898.2648</v>
      </c>
      <c r="I3402" s="160"/>
      <c r="J3402" s="161"/>
      <c r="K3402" s="160"/>
      <c r="L3402" s="160">
        <f>+'FACP$'!$H3402-'FACP$'!$I3402-'FACP$'!$K3402</f>
        <v>42898.2648</v>
      </c>
      <c r="M3402" s="162" t="s">
        <v>145</v>
      </c>
      <c r="N3402" s="162" t="s">
        <v>554</v>
      </c>
      <c r="O3402" s="164">
        <v>44973.0</v>
      </c>
      <c r="P3402" s="164">
        <f t="array" ref="P3402">XLOOKUP('FACP$'!$B3402,'perfil de pagos'!A:A,'perfil de pagos'!B:B)+'FACP$'!$D3402</f>
        <v>44843</v>
      </c>
      <c r="Q3402" s="165">
        <f t="shared" si="2"/>
        <v>0</v>
      </c>
      <c r="R3402" s="247" t="s">
        <v>4190</v>
      </c>
      <c r="S3402" s="167" t="s">
        <v>4191</v>
      </c>
      <c r="T3402" s="168">
        <f t="shared" si="3"/>
        <v>42898.2648</v>
      </c>
      <c r="U3402" s="168">
        <f t="shared" si="4"/>
        <v>0</v>
      </c>
      <c r="V3402" s="168">
        <f t="shared" si="5"/>
        <v>0</v>
      </c>
      <c r="W3402" s="168">
        <f t="shared" si="6"/>
        <v>0</v>
      </c>
      <c r="X3402" s="168">
        <f t="shared" si="7"/>
        <v>0</v>
      </c>
      <c r="Y3402" s="168">
        <f t="shared" si="8"/>
        <v>0</v>
      </c>
      <c r="Z3402" s="168">
        <f t="shared" si="9"/>
        <v>0</v>
      </c>
    </row>
    <row r="3403" ht="15.0" customHeight="1">
      <c r="A3403" s="157" t="s">
        <v>4192</v>
      </c>
      <c r="B3403" s="158" t="s">
        <v>38</v>
      </c>
      <c r="C3403" s="158" t="s">
        <v>4193</v>
      </c>
      <c r="D3403" s="159">
        <v>44816.0</v>
      </c>
      <c r="E3403" s="157" t="s">
        <v>731</v>
      </c>
      <c r="F3403" s="160">
        <v>17220.55</v>
      </c>
      <c r="G3403" s="160">
        <f>'FACP$'!$F3403*0.16</f>
        <v>2755.288</v>
      </c>
      <c r="H3403" s="160">
        <f t="shared" ref="H3403:H3424" si="105">F3403+G3403</f>
        <v>19975.838</v>
      </c>
      <c r="I3403" s="160"/>
      <c r="J3403" s="161"/>
      <c r="K3403" s="160"/>
      <c r="L3403" s="160">
        <f>+'FACP$'!$H3403-'FACP$'!$I3403-'FACP$'!$K3403</f>
        <v>19975.838</v>
      </c>
      <c r="M3403" s="162" t="s">
        <v>145</v>
      </c>
      <c r="N3403" s="162" t="s">
        <v>554</v>
      </c>
      <c r="O3403" s="164">
        <v>44852.0</v>
      </c>
      <c r="P3403" s="164">
        <f t="array" ref="P3403">XLOOKUP('FACP$'!$B3403,'perfil de pagos'!A:A,'perfil de pagos'!B:B)+'FACP$'!$D3403</f>
        <v>44846</v>
      </c>
      <c r="Q3403" s="165">
        <f t="shared" si="2"/>
        <v>0</v>
      </c>
      <c r="R3403" s="167"/>
      <c r="S3403" s="167">
        <v>1661.0</v>
      </c>
      <c r="T3403" s="168">
        <f t="shared" si="3"/>
        <v>19975.838</v>
      </c>
      <c r="U3403" s="168">
        <f t="shared" si="4"/>
        <v>0</v>
      </c>
      <c r="V3403" s="168">
        <f t="shared" si="5"/>
        <v>0</v>
      </c>
      <c r="W3403" s="168">
        <f t="shared" si="6"/>
        <v>0</v>
      </c>
      <c r="X3403" s="168">
        <f t="shared" si="7"/>
        <v>0</v>
      </c>
      <c r="Y3403" s="168">
        <f t="shared" si="8"/>
        <v>0</v>
      </c>
      <c r="Z3403" s="168">
        <f t="shared" si="9"/>
        <v>0</v>
      </c>
    </row>
    <row r="3404" ht="15.0" customHeight="1">
      <c r="A3404" s="157" t="s">
        <v>4194</v>
      </c>
      <c r="B3404" s="158" t="s">
        <v>38</v>
      </c>
      <c r="C3404" s="158" t="s">
        <v>4195</v>
      </c>
      <c r="D3404" s="159">
        <v>44816.0</v>
      </c>
      <c r="E3404" s="157" t="s">
        <v>731</v>
      </c>
      <c r="F3404" s="160">
        <v>103687.16</v>
      </c>
      <c r="G3404" s="160">
        <f>'FACP$'!$F3404*0.16</f>
        <v>16589.9456</v>
      </c>
      <c r="H3404" s="160">
        <f t="shared" si="105"/>
        <v>120277.1056</v>
      </c>
      <c r="I3404" s="160"/>
      <c r="J3404" s="161"/>
      <c r="K3404" s="160"/>
      <c r="L3404" s="160">
        <f>+'FACP$'!$H3404-'FACP$'!$I3404-'FACP$'!$K3404</f>
        <v>120277.1056</v>
      </c>
      <c r="M3404" s="162" t="s">
        <v>145</v>
      </c>
      <c r="N3404" s="162" t="s">
        <v>554</v>
      </c>
      <c r="O3404" s="164">
        <v>44852.0</v>
      </c>
      <c r="P3404" s="164">
        <f t="array" ref="P3404">XLOOKUP('FACP$'!$B3404,'perfil de pagos'!A:A,'perfil de pagos'!B:B)+'FACP$'!$D3404</f>
        <v>44846</v>
      </c>
      <c r="Q3404" s="165">
        <f t="shared" si="2"/>
        <v>0</v>
      </c>
      <c r="R3404" s="167"/>
      <c r="S3404" s="167">
        <v>1661.0</v>
      </c>
      <c r="T3404" s="168">
        <f t="shared" si="3"/>
        <v>120277.1056</v>
      </c>
      <c r="U3404" s="168">
        <f t="shared" si="4"/>
        <v>0</v>
      </c>
      <c r="V3404" s="168">
        <f t="shared" si="5"/>
        <v>0</v>
      </c>
      <c r="W3404" s="168">
        <f t="shared" si="6"/>
        <v>0</v>
      </c>
      <c r="X3404" s="168">
        <f t="shared" si="7"/>
        <v>0</v>
      </c>
      <c r="Y3404" s="168">
        <f t="shared" si="8"/>
        <v>0</v>
      </c>
      <c r="Z3404" s="168">
        <f t="shared" si="9"/>
        <v>0</v>
      </c>
    </row>
    <row r="3405" ht="15.0" customHeight="1">
      <c r="A3405" s="157" t="s">
        <v>4196</v>
      </c>
      <c r="B3405" s="209" t="s">
        <v>43</v>
      </c>
      <c r="C3405" s="209" t="s">
        <v>4197</v>
      </c>
      <c r="D3405" s="186">
        <v>44819.0</v>
      </c>
      <c r="E3405" s="210" t="s">
        <v>731</v>
      </c>
      <c r="F3405" s="211">
        <v>61149.28</v>
      </c>
      <c r="G3405" s="211">
        <f>'FACP$'!$F3405*0.16</f>
        <v>9783.8848</v>
      </c>
      <c r="H3405" s="160">
        <f t="shared" si="105"/>
        <v>70933.1648</v>
      </c>
      <c r="I3405" s="211"/>
      <c r="J3405" s="212"/>
      <c r="K3405" s="211"/>
      <c r="L3405" s="211">
        <f>+'FACP$'!$H3405-'FACP$'!$I3405-'FACP$'!$K3405</f>
        <v>70933.1648</v>
      </c>
      <c r="M3405" s="227" t="s">
        <v>43</v>
      </c>
      <c r="N3405" s="227" t="s">
        <v>554</v>
      </c>
      <c r="O3405" s="245">
        <v>44832.0</v>
      </c>
      <c r="P3405" s="245">
        <f t="array" ref="P3405">XLOOKUP('FACP$'!$B3405,'perfil de pagos'!A:A,'perfil de pagos'!B:B)+'FACP$'!$D3405</f>
        <v>44844</v>
      </c>
      <c r="Q3405" s="246">
        <f t="shared" si="2"/>
        <v>0</v>
      </c>
      <c r="R3405" s="223" t="s">
        <v>4198</v>
      </c>
      <c r="S3405" s="223">
        <v>1585.0</v>
      </c>
      <c r="T3405" s="168">
        <f t="shared" si="3"/>
        <v>70933.1648</v>
      </c>
      <c r="U3405" s="168">
        <f t="shared" si="4"/>
        <v>0</v>
      </c>
      <c r="V3405" s="168">
        <f t="shared" si="5"/>
        <v>0</v>
      </c>
      <c r="W3405" s="168">
        <f t="shared" si="6"/>
        <v>0</v>
      </c>
      <c r="X3405" s="168">
        <f t="shared" si="7"/>
        <v>0</v>
      </c>
      <c r="Y3405" s="168">
        <f t="shared" si="8"/>
        <v>0</v>
      </c>
      <c r="Z3405" s="168">
        <f t="shared" si="9"/>
        <v>0</v>
      </c>
    </row>
    <row r="3406" ht="15.0" customHeight="1">
      <c r="A3406" s="157" t="s">
        <v>4199</v>
      </c>
      <c r="B3406" s="158" t="s">
        <v>35</v>
      </c>
      <c r="C3406" s="158" t="s">
        <v>4200</v>
      </c>
      <c r="D3406" s="159">
        <v>44825.0</v>
      </c>
      <c r="E3406" s="157" t="s">
        <v>731</v>
      </c>
      <c r="F3406" s="160">
        <v>182371.59</v>
      </c>
      <c r="G3406" s="160">
        <f>'FACP$'!$F3406*0.16</f>
        <v>29179.4544</v>
      </c>
      <c r="H3406" s="160">
        <f t="shared" si="105"/>
        <v>211551.0444</v>
      </c>
      <c r="I3406" s="160"/>
      <c r="J3406" s="161"/>
      <c r="K3406" s="160"/>
      <c r="L3406" s="160">
        <f>+'FACP$'!$H3406-'FACP$'!$I3406-'FACP$'!$K3406</f>
        <v>211551.0444</v>
      </c>
      <c r="M3406" s="162" t="s">
        <v>276</v>
      </c>
      <c r="N3406" s="162" t="s">
        <v>127</v>
      </c>
      <c r="O3406" s="164"/>
      <c r="P3406" s="164">
        <f t="array" ref="P3406">XLOOKUP('FACP$'!$B3406,'perfil de pagos'!A:A,'perfil de pagos'!B:B)+'FACP$'!$D3406</f>
        <v>44835</v>
      </c>
      <c r="Q3406" s="165">
        <f t="shared" si="2"/>
        <v>0</v>
      </c>
      <c r="R3406" s="167" t="s">
        <v>4201</v>
      </c>
      <c r="S3406" s="167"/>
      <c r="T3406" s="168">
        <f t="shared" si="3"/>
        <v>211551.0444</v>
      </c>
      <c r="U3406" s="168">
        <f t="shared" si="4"/>
        <v>0</v>
      </c>
      <c r="V3406" s="168">
        <f t="shared" si="5"/>
        <v>0</v>
      </c>
      <c r="W3406" s="168">
        <f t="shared" si="6"/>
        <v>0</v>
      </c>
      <c r="X3406" s="168">
        <f t="shared" si="7"/>
        <v>0</v>
      </c>
      <c r="Y3406" s="168">
        <f t="shared" si="8"/>
        <v>0</v>
      </c>
      <c r="Z3406" s="168">
        <f t="shared" si="9"/>
        <v>0</v>
      </c>
    </row>
    <row r="3407" ht="15.0" customHeight="1">
      <c r="A3407" s="157" t="s">
        <v>4202</v>
      </c>
      <c r="B3407" s="158" t="s">
        <v>41</v>
      </c>
      <c r="C3407" s="158" t="s">
        <v>4200</v>
      </c>
      <c r="D3407" s="159">
        <v>44825.0</v>
      </c>
      <c r="E3407" s="157" t="s">
        <v>731</v>
      </c>
      <c r="F3407" s="160">
        <v>375362.92</v>
      </c>
      <c r="G3407" s="160">
        <f>'FACP$'!$F3407*0.16</f>
        <v>60058.0672</v>
      </c>
      <c r="H3407" s="160">
        <f t="shared" si="105"/>
        <v>435420.9872</v>
      </c>
      <c r="I3407" s="160"/>
      <c r="J3407" s="161"/>
      <c r="K3407" s="160"/>
      <c r="L3407" s="160">
        <f>+'FACP$'!$H3407-'FACP$'!$I3407-'FACP$'!$K3407</f>
        <v>435420.9872</v>
      </c>
      <c r="M3407" s="162" t="s">
        <v>121</v>
      </c>
      <c r="N3407" s="162" t="s">
        <v>554</v>
      </c>
      <c r="O3407" s="164">
        <v>44858.0</v>
      </c>
      <c r="P3407" s="164">
        <f t="array" ref="P3407">XLOOKUP('FACP$'!$B3407,'perfil de pagos'!A:A,'perfil de pagos'!B:B)+'FACP$'!$D3407</f>
        <v>44835</v>
      </c>
      <c r="Q3407" s="165">
        <f t="shared" si="2"/>
        <v>0</v>
      </c>
      <c r="R3407" s="167"/>
      <c r="S3407" s="167">
        <v>1666.0</v>
      </c>
      <c r="T3407" s="168">
        <f t="shared" si="3"/>
        <v>435420.9872</v>
      </c>
      <c r="U3407" s="168">
        <f t="shared" si="4"/>
        <v>0</v>
      </c>
      <c r="V3407" s="168">
        <f t="shared" si="5"/>
        <v>0</v>
      </c>
      <c r="W3407" s="168">
        <f t="shared" si="6"/>
        <v>0</v>
      </c>
      <c r="X3407" s="168">
        <f t="shared" si="7"/>
        <v>0</v>
      </c>
      <c r="Y3407" s="168">
        <f t="shared" si="8"/>
        <v>0</v>
      </c>
      <c r="Z3407" s="168">
        <f t="shared" si="9"/>
        <v>0</v>
      </c>
    </row>
    <row r="3408" ht="15.0" customHeight="1">
      <c r="A3408" s="157" t="s">
        <v>4203</v>
      </c>
      <c r="B3408" s="158" t="s">
        <v>21</v>
      </c>
      <c r="C3408" s="158" t="s">
        <v>4200</v>
      </c>
      <c r="D3408" s="159">
        <v>44825.0</v>
      </c>
      <c r="E3408" s="157" t="s">
        <v>731</v>
      </c>
      <c r="F3408" s="160">
        <v>131802.38</v>
      </c>
      <c r="G3408" s="160">
        <f>'FACP$'!$F3408*0.16</f>
        <v>21088.3808</v>
      </c>
      <c r="H3408" s="160">
        <f t="shared" si="105"/>
        <v>152890.7608</v>
      </c>
      <c r="I3408" s="160"/>
      <c r="J3408" s="161"/>
      <c r="K3408" s="160"/>
      <c r="L3408" s="160">
        <f>+'FACP$'!$H3408-'FACP$'!$I3408-'FACP$'!$K3408</f>
        <v>152890.7608</v>
      </c>
      <c r="M3408" s="162" t="s">
        <v>2263</v>
      </c>
      <c r="N3408" s="162" t="s">
        <v>554</v>
      </c>
      <c r="O3408" s="164">
        <v>44893.0</v>
      </c>
      <c r="P3408" s="164">
        <f t="array" ref="P3408">XLOOKUP('FACP$'!$B3408,'perfil de pagos'!A:A,'perfil de pagos'!B:B)+'FACP$'!$D3408</f>
        <v>44835</v>
      </c>
      <c r="Q3408" s="165">
        <f t="shared" si="2"/>
        <v>0</v>
      </c>
      <c r="R3408" s="167"/>
      <c r="S3408" s="167">
        <v>1762.0</v>
      </c>
      <c r="T3408" s="168">
        <f t="shared" si="3"/>
        <v>152890.7608</v>
      </c>
      <c r="U3408" s="168">
        <f t="shared" si="4"/>
        <v>0</v>
      </c>
      <c r="V3408" s="168">
        <f t="shared" si="5"/>
        <v>0</v>
      </c>
      <c r="W3408" s="168">
        <f t="shared" si="6"/>
        <v>0</v>
      </c>
      <c r="X3408" s="168">
        <f t="shared" si="7"/>
        <v>0</v>
      </c>
      <c r="Y3408" s="168">
        <f t="shared" si="8"/>
        <v>0</v>
      </c>
      <c r="Z3408" s="168">
        <f t="shared" si="9"/>
        <v>0</v>
      </c>
    </row>
    <row r="3409" ht="15.0" customHeight="1">
      <c r="A3409" s="157" t="s">
        <v>4204</v>
      </c>
      <c r="B3409" s="158" t="s">
        <v>15</v>
      </c>
      <c r="C3409" s="158" t="s">
        <v>4200</v>
      </c>
      <c r="D3409" s="159">
        <v>44825.0</v>
      </c>
      <c r="E3409" s="157" t="s">
        <v>731</v>
      </c>
      <c r="F3409" s="160">
        <v>393954.56</v>
      </c>
      <c r="G3409" s="160">
        <f>'FACP$'!$F3409*0.16</f>
        <v>63032.7296</v>
      </c>
      <c r="H3409" s="160">
        <f t="shared" si="105"/>
        <v>456987.2896</v>
      </c>
      <c r="I3409" s="160"/>
      <c r="J3409" s="161"/>
      <c r="K3409" s="160"/>
      <c r="L3409" s="160">
        <f>+'FACP$'!$H3409-'FACP$'!$I3409-'FACP$'!$K3409</f>
        <v>456987.2896</v>
      </c>
      <c r="M3409" s="162" t="s">
        <v>443</v>
      </c>
      <c r="N3409" s="162" t="s">
        <v>554</v>
      </c>
      <c r="O3409" s="164">
        <v>44844.0</v>
      </c>
      <c r="P3409" s="164">
        <f t="array" ref="P3409">XLOOKUP('FACP$'!$B3409,'perfil de pagos'!A:A,'perfil de pagos'!B:B)+'FACP$'!$D3409</f>
        <v>44835</v>
      </c>
      <c r="Q3409" s="165">
        <f t="shared" si="2"/>
        <v>0</v>
      </c>
      <c r="R3409" s="167"/>
      <c r="S3409" s="167">
        <v>1618.0</v>
      </c>
      <c r="T3409" s="168">
        <f t="shared" si="3"/>
        <v>456987.2896</v>
      </c>
      <c r="U3409" s="168">
        <f t="shared" si="4"/>
        <v>0</v>
      </c>
      <c r="V3409" s="168">
        <f t="shared" si="5"/>
        <v>0</v>
      </c>
      <c r="W3409" s="168">
        <f t="shared" si="6"/>
        <v>0</v>
      </c>
      <c r="X3409" s="168">
        <f t="shared" si="7"/>
        <v>0</v>
      </c>
      <c r="Y3409" s="168">
        <f t="shared" si="8"/>
        <v>0</v>
      </c>
      <c r="Z3409" s="168">
        <f t="shared" si="9"/>
        <v>0</v>
      </c>
    </row>
    <row r="3410" ht="15.0" customHeight="1">
      <c r="A3410" s="157" t="s">
        <v>4205</v>
      </c>
      <c r="B3410" s="158" t="s">
        <v>33</v>
      </c>
      <c r="C3410" s="158" t="s">
        <v>4200</v>
      </c>
      <c r="D3410" s="159">
        <v>44825.0</v>
      </c>
      <c r="E3410" s="157" t="s">
        <v>731</v>
      </c>
      <c r="F3410" s="160">
        <v>1096847.63</v>
      </c>
      <c r="G3410" s="160">
        <f>'FACP$'!$F3410*0.16</f>
        <v>175495.6208</v>
      </c>
      <c r="H3410" s="160">
        <f t="shared" si="105"/>
        <v>1272343.251</v>
      </c>
      <c r="I3410" s="160"/>
      <c r="J3410" s="161"/>
      <c r="K3410" s="160"/>
      <c r="L3410" s="160">
        <f>+'FACP$'!$H3410-'FACP$'!$I3410-'FACP$'!$K3410</f>
        <v>1272343.251</v>
      </c>
      <c r="M3410" s="162" t="s">
        <v>958</v>
      </c>
      <c r="N3410" s="162" t="s">
        <v>554</v>
      </c>
      <c r="O3410" s="164">
        <v>44848.0</v>
      </c>
      <c r="P3410" s="164">
        <f t="array" ref="P3410">XLOOKUP('FACP$'!$B3410,'perfil de pagos'!A:A,'perfil de pagos'!B:B)+'FACP$'!$D3410</f>
        <v>44835</v>
      </c>
      <c r="Q3410" s="165">
        <f t="shared" si="2"/>
        <v>0</v>
      </c>
      <c r="R3410" s="167"/>
      <c r="S3410" s="167">
        <v>1629.0</v>
      </c>
      <c r="T3410" s="168">
        <f t="shared" si="3"/>
        <v>1272343.251</v>
      </c>
      <c r="U3410" s="168">
        <f t="shared" si="4"/>
        <v>0</v>
      </c>
      <c r="V3410" s="168">
        <f t="shared" si="5"/>
        <v>0</v>
      </c>
      <c r="W3410" s="168">
        <f t="shared" si="6"/>
        <v>0</v>
      </c>
      <c r="X3410" s="168">
        <f t="shared" si="7"/>
        <v>0</v>
      </c>
      <c r="Y3410" s="168">
        <f t="shared" si="8"/>
        <v>0</v>
      </c>
      <c r="Z3410" s="168">
        <f t="shared" si="9"/>
        <v>0</v>
      </c>
    </row>
    <row r="3411" ht="15.0" customHeight="1">
      <c r="A3411" s="157" t="s">
        <v>4206</v>
      </c>
      <c r="B3411" s="158" t="s">
        <v>36</v>
      </c>
      <c r="C3411" s="158" t="s">
        <v>4200</v>
      </c>
      <c r="D3411" s="159">
        <v>44825.0</v>
      </c>
      <c r="E3411" s="157" t="s">
        <v>731</v>
      </c>
      <c r="F3411" s="160">
        <v>178655.96</v>
      </c>
      <c r="G3411" s="160">
        <f>'FACP$'!$F3411*0.16</f>
        <v>28584.9536</v>
      </c>
      <c r="H3411" s="160">
        <f t="shared" si="105"/>
        <v>207240.9136</v>
      </c>
      <c r="I3411" s="160"/>
      <c r="J3411" s="161"/>
      <c r="K3411" s="160"/>
      <c r="L3411" s="160">
        <f>+'FACP$'!$H3411-'FACP$'!$I3411-'FACP$'!$K3411</f>
        <v>207240.9136</v>
      </c>
      <c r="M3411" s="162" t="s">
        <v>278</v>
      </c>
      <c r="N3411" s="162" t="s">
        <v>554</v>
      </c>
      <c r="O3411" s="164">
        <v>44845.0</v>
      </c>
      <c r="P3411" s="164">
        <f t="array" ref="P3411">XLOOKUP('FACP$'!$B3411,'perfil de pagos'!A:A,'perfil de pagos'!B:B)+'FACP$'!$D3411</f>
        <v>44835</v>
      </c>
      <c r="Q3411" s="165">
        <f t="shared" si="2"/>
        <v>0</v>
      </c>
      <c r="R3411" s="167"/>
      <c r="S3411" s="167">
        <v>1627.0</v>
      </c>
      <c r="T3411" s="168">
        <f t="shared" si="3"/>
        <v>207240.9136</v>
      </c>
      <c r="U3411" s="168">
        <f t="shared" si="4"/>
        <v>0</v>
      </c>
      <c r="V3411" s="168">
        <f t="shared" si="5"/>
        <v>0</v>
      </c>
      <c r="W3411" s="168">
        <f t="shared" si="6"/>
        <v>0</v>
      </c>
      <c r="X3411" s="168">
        <f t="shared" si="7"/>
        <v>0</v>
      </c>
      <c r="Y3411" s="168">
        <f t="shared" si="8"/>
        <v>0</v>
      </c>
      <c r="Z3411" s="168">
        <f t="shared" si="9"/>
        <v>0</v>
      </c>
    </row>
    <row r="3412" ht="15.0" customHeight="1">
      <c r="A3412" s="157" t="s">
        <v>4207</v>
      </c>
      <c r="B3412" s="158" t="s">
        <v>42</v>
      </c>
      <c r="C3412" s="158" t="s">
        <v>4200</v>
      </c>
      <c r="D3412" s="159">
        <v>44825.0</v>
      </c>
      <c r="E3412" s="157" t="s">
        <v>731</v>
      </c>
      <c r="F3412" s="160">
        <v>160023.62</v>
      </c>
      <c r="G3412" s="160">
        <f>'FACP$'!$F3412*0.16</f>
        <v>25603.7792</v>
      </c>
      <c r="H3412" s="160">
        <f t="shared" si="105"/>
        <v>185627.3992</v>
      </c>
      <c r="I3412" s="160"/>
      <c r="J3412" s="161"/>
      <c r="K3412" s="160"/>
      <c r="L3412" s="160">
        <f>+'FACP$'!$H3412-'FACP$'!$I3412-'FACP$'!$K3412</f>
        <v>185627.3992</v>
      </c>
      <c r="M3412" s="162" t="s">
        <v>42</v>
      </c>
      <c r="N3412" s="162" t="s">
        <v>554</v>
      </c>
      <c r="O3412" s="164">
        <v>44802.0</v>
      </c>
      <c r="P3412" s="164">
        <f t="array" ref="P3412">XLOOKUP('FACP$'!$B3412,'perfil de pagos'!A:A,'perfil de pagos'!B:B)+'FACP$'!$D3412</f>
        <v>44835</v>
      </c>
      <c r="Q3412" s="165">
        <f t="shared" si="2"/>
        <v>0</v>
      </c>
      <c r="R3412" s="167"/>
      <c r="S3412" s="167"/>
      <c r="T3412" s="168">
        <f t="shared" si="3"/>
        <v>185627.3992</v>
      </c>
      <c r="U3412" s="168">
        <f t="shared" si="4"/>
        <v>0</v>
      </c>
      <c r="V3412" s="168">
        <f t="shared" si="5"/>
        <v>0</v>
      </c>
      <c r="W3412" s="168">
        <f t="shared" si="6"/>
        <v>0</v>
      </c>
      <c r="X3412" s="168">
        <f t="shared" si="7"/>
        <v>0</v>
      </c>
      <c r="Y3412" s="168">
        <f t="shared" si="8"/>
        <v>0</v>
      </c>
      <c r="Z3412" s="168">
        <f t="shared" si="9"/>
        <v>0</v>
      </c>
    </row>
    <row r="3413" ht="15.0" customHeight="1">
      <c r="A3413" s="157" t="s">
        <v>4208</v>
      </c>
      <c r="B3413" s="158" t="s">
        <v>127</v>
      </c>
      <c r="C3413" s="158" t="s">
        <v>146</v>
      </c>
      <c r="D3413" s="159"/>
      <c r="E3413" s="157"/>
      <c r="F3413" s="160"/>
      <c r="G3413" s="160"/>
      <c r="H3413" s="160">
        <f t="shared" si="105"/>
        <v>0</v>
      </c>
      <c r="I3413" s="160"/>
      <c r="J3413" s="161"/>
      <c r="K3413" s="160"/>
      <c r="L3413" s="160">
        <f>+'FACP$'!$H3413-'FACP$'!$I3413-'FACP$'!$K3413</f>
        <v>0</v>
      </c>
      <c r="M3413" s="162"/>
      <c r="N3413" s="162" t="s">
        <v>127</v>
      </c>
      <c r="O3413" s="164"/>
      <c r="P3413" s="164">
        <f>D3413+10</f>
        <v>10</v>
      </c>
      <c r="Q3413" s="165">
        <f t="shared" si="2"/>
        <v>0</v>
      </c>
      <c r="R3413" s="167"/>
      <c r="S3413" s="167"/>
      <c r="T3413" s="168">
        <f t="shared" si="3"/>
        <v>0</v>
      </c>
      <c r="U3413" s="168">
        <f t="shared" si="4"/>
        <v>0</v>
      </c>
      <c r="V3413" s="168">
        <f t="shared" si="5"/>
        <v>0</v>
      </c>
      <c r="W3413" s="168">
        <f t="shared" si="6"/>
        <v>0</v>
      </c>
      <c r="X3413" s="168">
        <f t="shared" si="7"/>
        <v>0</v>
      </c>
      <c r="Y3413" s="168">
        <f t="shared" si="8"/>
        <v>0</v>
      </c>
      <c r="Z3413" s="168">
        <f t="shared" si="9"/>
        <v>0</v>
      </c>
    </row>
    <row r="3414" ht="15.0" customHeight="1">
      <c r="A3414" s="157" t="s">
        <v>4209</v>
      </c>
      <c r="B3414" s="158" t="s">
        <v>44</v>
      </c>
      <c r="C3414" s="158" t="s">
        <v>4200</v>
      </c>
      <c r="D3414" s="159">
        <v>44825.0</v>
      </c>
      <c r="E3414" s="157" t="s">
        <v>731</v>
      </c>
      <c r="F3414" s="160">
        <v>73.76</v>
      </c>
      <c r="G3414" s="160">
        <f>'FACP$'!$F3414*0.16</f>
        <v>11.8016</v>
      </c>
      <c r="H3414" s="160">
        <f t="shared" si="105"/>
        <v>85.5616</v>
      </c>
      <c r="I3414" s="160"/>
      <c r="J3414" s="161"/>
      <c r="K3414" s="160"/>
      <c r="L3414" s="160">
        <f>+'FACP$'!$H3414-'FACP$'!$I3414-'FACP$'!$K3414</f>
        <v>85.5616</v>
      </c>
      <c r="M3414" s="162" t="s">
        <v>361</v>
      </c>
      <c r="N3414" s="162" t="s">
        <v>554</v>
      </c>
      <c r="O3414" s="164">
        <v>44802.0</v>
      </c>
      <c r="P3414" s="164">
        <f t="array" ref="P3414">XLOOKUP('FACP$'!$B3414,'perfil de pagos'!A:A,'perfil de pagos'!B:B)+'FACP$'!$D3414</f>
        <v>44835</v>
      </c>
      <c r="Q3414" s="165">
        <f t="shared" si="2"/>
        <v>0</v>
      </c>
      <c r="R3414" s="167"/>
      <c r="S3414" s="167"/>
      <c r="T3414" s="168">
        <f t="shared" si="3"/>
        <v>85.5616</v>
      </c>
      <c r="U3414" s="168">
        <f t="shared" si="4"/>
        <v>0</v>
      </c>
      <c r="V3414" s="168">
        <f t="shared" si="5"/>
        <v>0</v>
      </c>
      <c r="W3414" s="168">
        <f t="shared" si="6"/>
        <v>0</v>
      </c>
      <c r="X3414" s="168">
        <f t="shared" si="7"/>
        <v>0</v>
      </c>
      <c r="Y3414" s="168">
        <f t="shared" si="8"/>
        <v>0</v>
      </c>
      <c r="Z3414" s="168">
        <f t="shared" si="9"/>
        <v>0</v>
      </c>
    </row>
    <row r="3415" ht="15.0" customHeight="1">
      <c r="A3415" s="157" t="s">
        <v>4210</v>
      </c>
      <c r="B3415" s="158" t="s">
        <v>43</v>
      </c>
      <c r="C3415" s="158" t="s">
        <v>4200</v>
      </c>
      <c r="D3415" s="159">
        <v>44825.0</v>
      </c>
      <c r="E3415" s="157" t="s">
        <v>731</v>
      </c>
      <c r="F3415" s="160">
        <v>388019.22</v>
      </c>
      <c r="G3415" s="160">
        <f>'FACP$'!$F3415*0.16</f>
        <v>62083.0752</v>
      </c>
      <c r="H3415" s="160">
        <f t="shared" si="105"/>
        <v>450102.2952</v>
      </c>
      <c r="I3415" s="160"/>
      <c r="J3415" s="161"/>
      <c r="K3415" s="160"/>
      <c r="L3415" s="160">
        <f>+'FACP$'!$H3415-'FACP$'!$I3415-'FACP$'!$K3415</f>
        <v>450102.2952</v>
      </c>
      <c r="M3415" s="162" t="s">
        <v>43</v>
      </c>
      <c r="N3415" s="162" t="s">
        <v>554</v>
      </c>
      <c r="O3415" s="164">
        <v>44865.0</v>
      </c>
      <c r="P3415" s="164">
        <f t="array" ref="P3415">XLOOKUP('FACP$'!$B3415,'perfil de pagos'!A:A,'perfil de pagos'!B:B)+'FACP$'!$D3415</f>
        <v>44850</v>
      </c>
      <c r="Q3415" s="165">
        <f t="shared" si="2"/>
        <v>0</v>
      </c>
      <c r="R3415" s="167"/>
      <c r="S3415" s="167">
        <v>1685.0</v>
      </c>
      <c r="T3415" s="168">
        <f t="shared" si="3"/>
        <v>450102.2952</v>
      </c>
      <c r="U3415" s="168">
        <f t="shared" si="4"/>
        <v>0</v>
      </c>
      <c r="V3415" s="168">
        <f t="shared" si="5"/>
        <v>0</v>
      </c>
      <c r="W3415" s="168">
        <f t="shared" si="6"/>
        <v>0</v>
      </c>
      <c r="X3415" s="168">
        <f t="shared" si="7"/>
        <v>0</v>
      </c>
      <c r="Y3415" s="168">
        <f t="shared" si="8"/>
        <v>0</v>
      </c>
      <c r="Z3415" s="168">
        <f t="shared" si="9"/>
        <v>0</v>
      </c>
    </row>
    <row r="3416" ht="15.0" customHeight="1">
      <c r="A3416" s="157" t="s">
        <v>4211</v>
      </c>
      <c r="B3416" s="158" t="s">
        <v>27</v>
      </c>
      <c r="C3416" s="158" t="s">
        <v>4212</v>
      </c>
      <c r="D3416" s="159">
        <v>44825.0</v>
      </c>
      <c r="E3416" s="157" t="s">
        <v>731</v>
      </c>
      <c r="F3416" s="160">
        <v>590294.2</v>
      </c>
      <c r="G3416" s="160">
        <f>'FACP$'!$F3416*0.16</f>
        <v>94447.072</v>
      </c>
      <c r="H3416" s="160">
        <f t="shared" si="105"/>
        <v>684741.272</v>
      </c>
      <c r="I3416" s="160"/>
      <c r="J3416" s="161"/>
      <c r="K3416" s="160"/>
      <c r="L3416" s="160">
        <f>+'FACP$'!$H3416-'FACP$'!$I3416-'FACP$'!$K3416</f>
        <v>684741.272</v>
      </c>
      <c r="M3416" s="162" t="s">
        <v>158</v>
      </c>
      <c r="N3416" s="162" t="s">
        <v>554</v>
      </c>
      <c r="O3416" s="164">
        <v>44851.0</v>
      </c>
      <c r="P3416" s="164">
        <f t="array" ref="P3416">XLOOKUP('FACP$'!$B3416,'perfil de pagos'!A:A,'perfil de pagos'!B:B)+'FACP$'!$D3416</f>
        <v>44855</v>
      </c>
      <c r="Q3416" s="165">
        <f t="shared" si="2"/>
        <v>0</v>
      </c>
      <c r="R3416" s="167"/>
      <c r="S3416" s="167">
        <v>1638.0</v>
      </c>
      <c r="T3416" s="168">
        <f t="shared" si="3"/>
        <v>684741.272</v>
      </c>
      <c r="U3416" s="168">
        <f t="shared" si="4"/>
        <v>0</v>
      </c>
      <c r="V3416" s="168">
        <f t="shared" si="5"/>
        <v>0</v>
      </c>
      <c r="W3416" s="168">
        <f t="shared" si="6"/>
        <v>0</v>
      </c>
      <c r="X3416" s="168">
        <f t="shared" si="7"/>
        <v>0</v>
      </c>
      <c r="Y3416" s="168">
        <f t="shared" si="8"/>
        <v>0</v>
      </c>
      <c r="Z3416" s="168">
        <f t="shared" si="9"/>
        <v>0</v>
      </c>
    </row>
    <row r="3417" ht="15.0" customHeight="1">
      <c r="A3417" s="157" t="s">
        <v>4213</v>
      </c>
      <c r="B3417" s="158" t="s">
        <v>27</v>
      </c>
      <c r="C3417" s="158" t="s">
        <v>4214</v>
      </c>
      <c r="D3417" s="159">
        <v>44825.0</v>
      </c>
      <c r="E3417" s="157" t="s">
        <v>731</v>
      </c>
      <c r="F3417" s="160">
        <v>187467.61</v>
      </c>
      <c r="G3417" s="160">
        <f>'FACP$'!$F3417*0.16</f>
        <v>29994.8176</v>
      </c>
      <c r="H3417" s="160">
        <f t="shared" si="105"/>
        <v>217462.4276</v>
      </c>
      <c r="I3417" s="160"/>
      <c r="J3417" s="161"/>
      <c r="K3417" s="160"/>
      <c r="L3417" s="160">
        <f>+'FACP$'!$H3417-'FACP$'!$I3417-'FACP$'!$K3417</f>
        <v>217462.4276</v>
      </c>
      <c r="M3417" s="162" t="s">
        <v>158</v>
      </c>
      <c r="N3417" s="162" t="s">
        <v>554</v>
      </c>
      <c r="O3417" s="164">
        <v>44854.0</v>
      </c>
      <c r="P3417" s="164">
        <f t="array" ref="P3417">XLOOKUP('FACP$'!$B3417,'perfil de pagos'!A:A,'perfil de pagos'!B:B)+'FACP$'!$D3417</f>
        <v>44855</v>
      </c>
      <c r="Q3417" s="165">
        <f t="shared" si="2"/>
        <v>0</v>
      </c>
      <c r="R3417" s="167"/>
      <c r="S3417" s="167">
        <v>1652.0</v>
      </c>
      <c r="T3417" s="168">
        <f t="shared" si="3"/>
        <v>217462.4276</v>
      </c>
      <c r="U3417" s="168">
        <f t="shared" si="4"/>
        <v>0</v>
      </c>
      <c r="V3417" s="168">
        <f t="shared" si="5"/>
        <v>0</v>
      </c>
      <c r="W3417" s="168">
        <f t="shared" si="6"/>
        <v>0</v>
      </c>
      <c r="X3417" s="168">
        <f t="shared" si="7"/>
        <v>0</v>
      </c>
      <c r="Y3417" s="168">
        <f t="shared" si="8"/>
        <v>0</v>
      </c>
      <c r="Z3417" s="168">
        <f t="shared" si="9"/>
        <v>0</v>
      </c>
    </row>
    <row r="3418" ht="15.0" customHeight="1">
      <c r="A3418" s="157" t="s">
        <v>4215</v>
      </c>
      <c r="B3418" s="158" t="s">
        <v>27</v>
      </c>
      <c r="C3418" s="158" t="s">
        <v>4200</v>
      </c>
      <c r="D3418" s="159">
        <v>44825.0</v>
      </c>
      <c r="E3418" s="157" t="s">
        <v>731</v>
      </c>
      <c r="F3418" s="160">
        <v>758327.42</v>
      </c>
      <c r="G3418" s="160">
        <f>'FACP$'!$F3418*0.16</f>
        <v>121332.3872</v>
      </c>
      <c r="H3418" s="160">
        <f t="shared" si="105"/>
        <v>879659.8072</v>
      </c>
      <c r="I3418" s="160"/>
      <c r="J3418" s="161"/>
      <c r="K3418" s="160"/>
      <c r="L3418" s="160">
        <f>+'FACP$'!$H3418-'FACP$'!$I3418-'FACP$'!$K3418</f>
        <v>879659.8072</v>
      </c>
      <c r="M3418" s="162" t="s">
        <v>151</v>
      </c>
      <c r="N3418" s="162" t="s">
        <v>554</v>
      </c>
      <c r="O3418" s="164">
        <v>44851.0</v>
      </c>
      <c r="P3418" s="164">
        <f t="array" ref="P3418">XLOOKUP('FACP$'!$B3418,'perfil de pagos'!A:A,'perfil de pagos'!B:B)+'FACP$'!$D3418</f>
        <v>44855</v>
      </c>
      <c r="Q3418" s="165">
        <f t="shared" si="2"/>
        <v>0</v>
      </c>
      <c r="R3418" s="167"/>
      <c r="S3418" s="167">
        <v>1637.0</v>
      </c>
      <c r="T3418" s="168">
        <f t="shared" si="3"/>
        <v>879659.8072</v>
      </c>
      <c r="U3418" s="168">
        <f t="shared" si="4"/>
        <v>0</v>
      </c>
      <c r="V3418" s="168">
        <f t="shared" si="5"/>
        <v>0</v>
      </c>
      <c r="W3418" s="168">
        <f t="shared" si="6"/>
        <v>0</v>
      </c>
      <c r="X3418" s="168">
        <f t="shared" si="7"/>
        <v>0</v>
      </c>
      <c r="Y3418" s="168">
        <f t="shared" si="8"/>
        <v>0</v>
      </c>
      <c r="Z3418" s="168">
        <f t="shared" si="9"/>
        <v>0</v>
      </c>
    </row>
    <row r="3419" ht="15.0" customHeight="1">
      <c r="A3419" s="157" t="s">
        <v>4216</v>
      </c>
      <c r="B3419" s="158" t="s">
        <v>27</v>
      </c>
      <c r="C3419" s="158" t="s">
        <v>4214</v>
      </c>
      <c r="D3419" s="159">
        <v>44825.0</v>
      </c>
      <c r="E3419" s="157" t="s">
        <v>731</v>
      </c>
      <c r="F3419" s="160">
        <v>229497.32</v>
      </c>
      <c r="G3419" s="160">
        <f>'FACP$'!$F3419*0.16</f>
        <v>36719.5712</v>
      </c>
      <c r="H3419" s="160">
        <f t="shared" si="105"/>
        <v>266216.8912</v>
      </c>
      <c r="I3419" s="160"/>
      <c r="J3419" s="161"/>
      <c r="K3419" s="160"/>
      <c r="L3419" s="160">
        <f>+'FACP$'!$H3419-'FACP$'!$I3419-'FACP$'!$K3419</f>
        <v>266216.8912</v>
      </c>
      <c r="M3419" s="162" t="s">
        <v>151</v>
      </c>
      <c r="N3419" s="162" t="s">
        <v>554</v>
      </c>
      <c r="O3419" s="164">
        <v>44854.0</v>
      </c>
      <c r="P3419" s="164">
        <f t="array" ref="P3419">XLOOKUP('FACP$'!$B3419,'perfil de pagos'!A:A,'perfil de pagos'!B:B)+'FACP$'!$D3419</f>
        <v>44855</v>
      </c>
      <c r="Q3419" s="165">
        <f t="shared" si="2"/>
        <v>0</v>
      </c>
      <c r="R3419" s="167"/>
      <c r="S3419" s="167">
        <v>1651.0</v>
      </c>
      <c r="T3419" s="168">
        <f t="shared" si="3"/>
        <v>266216.8912</v>
      </c>
      <c r="U3419" s="168">
        <f t="shared" si="4"/>
        <v>0</v>
      </c>
      <c r="V3419" s="168">
        <f t="shared" si="5"/>
        <v>0</v>
      </c>
      <c r="W3419" s="168">
        <f t="shared" si="6"/>
        <v>0</v>
      </c>
      <c r="X3419" s="168">
        <f t="shared" si="7"/>
        <v>0</v>
      </c>
      <c r="Y3419" s="168">
        <f t="shared" si="8"/>
        <v>0</v>
      </c>
      <c r="Z3419" s="168">
        <f t="shared" si="9"/>
        <v>0</v>
      </c>
    </row>
    <row r="3420" ht="15.0" customHeight="1">
      <c r="A3420" s="157" t="s">
        <v>4217</v>
      </c>
      <c r="B3420" s="158" t="s">
        <v>27</v>
      </c>
      <c r="C3420" s="158" t="s">
        <v>4218</v>
      </c>
      <c r="D3420" s="159">
        <v>44825.0</v>
      </c>
      <c r="E3420" s="157" t="s">
        <v>731</v>
      </c>
      <c r="F3420" s="160">
        <v>33020.87</v>
      </c>
      <c r="G3420" s="160">
        <f>'FACP$'!$F3420*0.16</f>
        <v>5283.3392</v>
      </c>
      <c r="H3420" s="160">
        <f t="shared" si="105"/>
        <v>38304.2092</v>
      </c>
      <c r="I3420" s="160"/>
      <c r="J3420" s="161"/>
      <c r="K3420" s="160"/>
      <c r="L3420" s="160">
        <f>+'FACP$'!$H3420-'FACP$'!$I3420-'FACP$'!$K3420</f>
        <v>38304.2092</v>
      </c>
      <c r="M3420" s="162" t="s">
        <v>151</v>
      </c>
      <c r="N3420" s="162" t="s">
        <v>554</v>
      </c>
      <c r="O3420" s="164">
        <v>44854.0</v>
      </c>
      <c r="P3420" s="164">
        <f t="array" ref="P3420">XLOOKUP('FACP$'!$B3420,'perfil de pagos'!A:A,'perfil de pagos'!B:B)+'FACP$'!$D3420</f>
        <v>44855</v>
      </c>
      <c r="Q3420" s="165">
        <f t="shared" si="2"/>
        <v>0</v>
      </c>
      <c r="R3420" s="167"/>
      <c r="S3420" s="167">
        <v>1651.0</v>
      </c>
      <c r="T3420" s="168">
        <f t="shared" si="3"/>
        <v>38304.2092</v>
      </c>
      <c r="U3420" s="168">
        <f t="shared" si="4"/>
        <v>0</v>
      </c>
      <c r="V3420" s="168">
        <f t="shared" si="5"/>
        <v>0</v>
      </c>
      <c r="W3420" s="168">
        <f t="shared" si="6"/>
        <v>0</v>
      </c>
      <c r="X3420" s="168">
        <f t="shared" si="7"/>
        <v>0</v>
      </c>
      <c r="Y3420" s="168">
        <f t="shared" si="8"/>
        <v>0</v>
      </c>
      <c r="Z3420" s="168">
        <f t="shared" si="9"/>
        <v>0</v>
      </c>
    </row>
    <row r="3421" ht="15.0" customHeight="1">
      <c r="A3421" s="157" t="s">
        <v>4219</v>
      </c>
      <c r="B3421" s="158" t="s">
        <v>27</v>
      </c>
      <c r="C3421" s="158" t="s">
        <v>4220</v>
      </c>
      <c r="D3421" s="159">
        <v>44825.0</v>
      </c>
      <c r="E3421" s="157" t="s">
        <v>731</v>
      </c>
      <c r="F3421" s="160">
        <v>11393.78</v>
      </c>
      <c r="G3421" s="160">
        <f>'FACP$'!$F3421*0.16</f>
        <v>1823.0048</v>
      </c>
      <c r="H3421" s="160">
        <f t="shared" si="105"/>
        <v>13216.7848</v>
      </c>
      <c r="I3421" s="160"/>
      <c r="J3421" s="161"/>
      <c r="K3421" s="160"/>
      <c r="L3421" s="160">
        <f>+'FACP$'!$H3421-'FACP$'!$I3421-'FACP$'!$K3421</f>
        <v>13216.7848</v>
      </c>
      <c r="M3421" s="162" t="s">
        <v>151</v>
      </c>
      <c r="N3421" s="162" t="s">
        <v>554</v>
      </c>
      <c r="O3421" s="164">
        <v>44854.0</v>
      </c>
      <c r="P3421" s="164">
        <f t="array" ref="P3421">XLOOKUP('FACP$'!$B3421,'perfil de pagos'!A:A,'perfil de pagos'!B:B)+'FACP$'!$D3421</f>
        <v>44855</v>
      </c>
      <c r="Q3421" s="165">
        <f t="shared" si="2"/>
        <v>0</v>
      </c>
      <c r="R3421" s="167"/>
      <c r="S3421" s="167">
        <v>1651.0</v>
      </c>
      <c r="T3421" s="168">
        <f t="shared" si="3"/>
        <v>13216.7848</v>
      </c>
      <c r="U3421" s="168">
        <f t="shared" si="4"/>
        <v>0</v>
      </c>
      <c r="V3421" s="168">
        <f t="shared" si="5"/>
        <v>0</v>
      </c>
      <c r="W3421" s="168">
        <f t="shared" si="6"/>
        <v>0</v>
      </c>
      <c r="X3421" s="168">
        <f t="shared" si="7"/>
        <v>0</v>
      </c>
      <c r="Y3421" s="168">
        <f t="shared" si="8"/>
        <v>0</v>
      </c>
      <c r="Z3421" s="168">
        <f t="shared" si="9"/>
        <v>0</v>
      </c>
    </row>
    <row r="3422" ht="15.0" customHeight="1">
      <c r="A3422" s="157" t="s">
        <v>4221</v>
      </c>
      <c r="B3422" s="158" t="s">
        <v>35</v>
      </c>
      <c r="C3422" s="158" t="s">
        <v>4200</v>
      </c>
      <c r="D3422" s="159">
        <v>44826.0</v>
      </c>
      <c r="E3422" s="157" t="s">
        <v>731</v>
      </c>
      <c r="F3422" s="160">
        <v>173939.33</v>
      </c>
      <c r="G3422" s="160">
        <f>'FACP$'!$F3422*0.16</f>
        <v>27830.2928</v>
      </c>
      <c r="H3422" s="160">
        <f t="shared" si="105"/>
        <v>201769.6228</v>
      </c>
      <c r="I3422" s="160"/>
      <c r="J3422" s="161"/>
      <c r="K3422" s="160"/>
      <c r="L3422" s="160">
        <f>+'FACP$'!$H3422-'FACP$'!$I3422-'FACP$'!$K3422</f>
        <v>201769.6228</v>
      </c>
      <c r="M3422" s="162" t="s">
        <v>276</v>
      </c>
      <c r="N3422" s="162" t="s">
        <v>554</v>
      </c>
      <c r="O3422" s="164">
        <v>44895.0</v>
      </c>
      <c r="P3422" s="164">
        <f t="array" ref="P3422">XLOOKUP('FACP$'!$B3422,'perfil de pagos'!A:A,'perfil de pagos'!B:B)+'FACP$'!$D3422</f>
        <v>44836</v>
      </c>
      <c r="Q3422" s="165">
        <f t="shared" si="2"/>
        <v>0</v>
      </c>
      <c r="R3422" s="167"/>
      <c r="S3422" s="167">
        <v>1756.0</v>
      </c>
      <c r="T3422" s="168">
        <f t="shared" si="3"/>
        <v>201769.6228</v>
      </c>
      <c r="U3422" s="168">
        <f t="shared" si="4"/>
        <v>0</v>
      </c>
      <c r="V3422" s="168">
        <f t="shared" si="5"/>
        <v>0</v>
      </c>
      <c r="W3422" s="168">
        <f t="shared" si="6"/>
        <v>0</v>
      </c>
      <c r="X3422" s="168">
        <f t="shared" si="7"/>
        <v>0</v>
      </c>
      <c r="Y3422" s="168">
        <f t="shared" si="8"/>
        <v>0</v>
      </c>
      <c r="Z3422" s="168">
        <f t="shared" si="9"/>
        <v>0</v>
      </c>
    </row>
    <row r="3423" ht="15.0" customHeight="1">
      <c r="A3423" s="157" t="s">
        <v>4222</v>
      </c>
      <c r="B3423" s="158" t="s">
        <v>37</v>
      </c>
      <c r="C3423" s="158" t="s">
        <v>4223</v>
      </c>
      <c r="D3423" s="159">
        <v>44827.0</v>
      </c>
      <c r="E3423" s="157" t="s">
        <v>731</v>
      </c>
      <c r="F3423" s="160">
        <v>3479784.77</v>
      </c>
      <c r="G3423" s="160">
        <f>'FACP$'!$F3423*0.16</f>
        <v>556765.5632</v>
      </c>
      <c r="H3423" s="160">
        <f t="shared" si="105"/>
        <v>4036550.333</v>
      </c>
      <c r="I3423" s="160"/>
      <c r="J3423" s="161"/>
      <c r="K3423" s="160"/>
      <c r="L3423" s="160">
        <f>+'FACP$'!$H3423-'FACP$'!$I3423-'FACP$'!$K3423</f>
        <v>4036550.333</v>
      </c>
      <c r="M3423" s="162" t="s">
        <v>116</v>
      </c>
      <c r="N3423" s="162" t="s">
        <v>554</v>
      </c>
      <c r="O3423" s="164">
        <v>44844.0</v>
      </c>
      <c r="P3423" s="164">
        <f t="array" ref="P3423">XLOOKUP('FACP$'!$B3423,'perfil de pagos'!A:A,'perfil de pagos'!B:B)+'FACP$'!$D3423</f>
        <v>44837</v>
      </c>
      <c r="Q3423" s="165">
        <f t="shared" si="2"/>
        <v>0</v>
      </c>
      <c r="R3423" s="167"/>
      <c r="S3423" s="167">
        <v>1616.0</v>
      </c>
      <c r="T3423" s="168">
        <f t="shared" si="3"/>
        <v>4036550.333</v>
      </c>
      <c r="U3423" s="168">
        <f t="shared" si="4"/>
        <v>0</v>
      </c>
      <c r="V3423" s="168">
        <f t="shared" si="5"/>
        <v>0</v>
      </c>
      <c r="W3423" s="168">
        <f t="shared" si="6"/>
        <v>0</v>
      </c>
      <c r="X3423" s="168">
        <f t="shared" si="7"/>
        <v>0</v>
      </c>
      <c r="Y3423" s="168">
        <f t="shared" si="8"/>
        <v>0</v>
      </c>
      <c r="Z3423" s="168">
        <f t="shared" si="9"/>
        <v>0</v>
      </c>
    </row>
    <row r="3424" ht="15.0" customHeight="1">
      <c r="A3424" s="157" t="s">
        <v>4224</v>
      </c>
      <c r="B3424" s="158" t="s">
        <v>18</v>
      </c>
      <c r="C3424" s="158" t="s">
        <v>4223</v>
      </c>
      <c r="D3424" s="159">
        <v>44827.0</v>
      </c>
      <c r="E3424" s="157" t="s">
        <v>731</v>
      </c>
      <c r="F3424" s="160">
        <v>244073.45</v>
      </c>
      <c r="G3424" s="160">
        <f>'FACP$'!$F3424*0.16</f>
        <v>39051.752</v>
      </c>
      <c r="H3424" s="160">
        <f t="shared" si="105"/>
        <v>283125.202</v>
      </c>
      <c r="I3424" s="160"/>
      <c r="J3424" s="161"/>
      <c r="K3424" s="160"/>
      <c r="L3424" s="160">
        <f>+'FACP$'!$H3424-'FACP$'!$I3424-'FACP$'!$K3424</f>
        <v>283125.202</v>
      </c>
      <c r="M3424" s="162" t="s">
        <v>586</v>
      </c>
      <c r="N3424" s="162" t="s">
        <v>554</v>
      </c>
      <c r="O3424" s="164">
        <v>44874.0</v>
      </c>
      <c r="P3424" s="164">
        <f t="array" ref="P3424">XLOOKUP('FACP$'!$B3424,'perfil de pagos'!A:A,'perfil de pagos'!B:B)+'FACP$'!$D3424</f>
        <v>44837</v>
      </c>
      <c r="Q3424" s="165">
        <f t="shared" si="2"/>
        <v>0</v>
      </c>
      <c r="R3424" s="167"/>
      <c r="S3424" s="167"/>
      <c r="T3424" s="168">
        <f t="shared" si="3"/>
        <v>283125.202</v>
      </c>
      <c r="U3424" s="168">
        <f t="shared" si="4"/>
        <v>0</v>
      </c>
      <c r="V3424" s="168">
        <f t="shared" si="5"/>
        <v>0</v>
      </c>
      <c r="W3424" s="168">
        <f t="shared" si="6"/>
        <v>0</v>
      </c>
      <c r="X3424" s="168">
        <f t="shared" si="7"/>
        <v>0</v>
      </c>
      <c r="Y3424" s="168">
        <f t="shared" si="8"/>
        <v>0</v>
      </c>
      <c r="Z3424" s="168">
        <f t="shared" si="9"/>
        <v>0</v>
      </c>
    </row>
    <row r="3425" ht="15.0" customHeight="1">
      <c r="A3425" s="157" t="s">
        <v>4225</v>
      </c>
      <c r="B3425" s="158" t="s">
        <v>19</v>
      </c>
      <c r="C3425" s="158" t="s">
        <v>4223</v>
      </c>
      <c r="D3425" s="159">
        <v>44827.0</v>
      </c>
      <c r="E3425" s="157" t="s">
        <v>731</v>
      </c>
      <c r="F3425" s="160">
        <v>327840.48</v>
      </c>
      <c r="G3425" s="160">
        <f>'FACP$'!$F3425*0.16</f>
        <v>52454.4768</v>
      </c>
      <c r="H3425" s="160">
        <f>F3425+G3425-'NCP$'!H195</f>
        <v>375618.9852</v>
      </c>
      <c r="I3425" s="160"/>
      <c r="J3425" s="161"/>
      <c r="K3425" s="160"/>
      <c r="L3425" s="160">
        <f>+'FACP$'!$H3425-'FACP$'!$I3425-'FACP$'!$K3425</f>
        <v>375618.9852</v>
      </c>
      <c r="M3425" s="162" t="s">
        <v>732</v>
      </c>
      <c r="N3425" s="162" t="s">
        <v>554</v>
      </c>
      <c r="O3425" s="164">
        <v>44874.0</v>
      </c>
      <c r="P3425" s="164">
        <f t="array" ref="P3425">XLOOKUP('FACP$'!$B3425,'perfil de pagos'!A:A,'perfil de pagos'!B:B)+'FACP$'!$D3425</f>
        <v>44837</v>
      </c>
      <c r="Q3425" s="165">
        <f t="shared" si="2"/>
        <v>0</v>
      </c>
      <c r="R3425" s="220" t="s">
        <v>4226</v>
      </c>
      <c r="S3425" s="167"/>
      <c r="T3425" s="168">
        <f t="shared" si="3"/>
        <v>375618.9852</v>
      </c>
      <c r="U3425" s="168">
        <f t="shared" si="4"/>
        <v>0</v>
      </c>
      <c r="V3425" s="168">
        <f t="shared" si="5"/>
        <v>0</v>
      </c>
      <c r="W3425" s="168">
        <f t="shared" si="6"/>
        <v>0</v>
      </c>
      <c r="X3425" s="168">
        <f t="shared" si="7"/>
        <v>0</v>
      </c>
      <c r="Y3425" s="168">
        <f t="shared" si="8"/>
        <v>0</v>
      </c>
      <c r="Z3425" s="168">
        <f t="shared" si="9"/>
        <v>0</v>
      </c>
    </row>
    <row r="3426" ht="15.0" customHeight="1">
      <c r="A3426" s="157" t="s">
        <v>4227</v>
      </c>
      <c r="B3426" s="158" t="s">
        <v>22</v>
      </c>
      <c r="C3426" s="158" t="s">
        <v>4223</v>
      </c>
      <c r="D3426" s="159">
        <v>44827.0</v>
      </c>
      <c r="E3426" s="157" t="s">
        <v>731</v>
      </c>
      <c r="F3426" s="160">
        <v>404981.31</v>
      </c>
      <c r="G3426" s="160">
        <f>'FACP$'!$F3426*0.16</f>
        <v>64797.0096</v>
      </c>
      <c r="H3426" s="160">
        <f t="shared" ref="H3426:H3430" si="106">F3426+G3426</f>
        <v>469778.3196</v>
      </c>
      <c r="I3426" s="160"/>
      <c r="J3426" s="161"/>
      <c r="K3426" s="160"/>
      <c r="L3426" s="160">
        <f>+'FACP$'!$H3426-'FACP$'!$I3426-'FACP$'!$K3426</f>
        <v>469778.3196</v>
      </c>
      <c r="M3426" s="162" t="s">
        <v>220</v>
      </c>
      <c r="N3426" s="162" t="s">
        <v>554</v>
      </c>
      <c r="O3426" s="164">
        <v>44858.0</v>
      </c>
      <c r="P3426" s="164">
        <f t="array" ref="P3426">XLOOKUP('FACP$'!$B3426,'perfil de pagos'!A:A,'perfil de pagos'!B:B)+'FACP$'!$D3426</f>
        <v>44837</v>
      </c>
      <c r="Q3426" s="165">
        <f t="shared" si="2"/>
        <v>0</v>
      </c>
      <c r="R3426" s="167"/>
      <c r="S3426" s="167">
        <v>1664.0</v>
      </c>
      <c r="T3426" s="168">
        <f t="shared" si="3"/>
        <v>469778.3196</v>
      </c>
      <c r="U3426" s="168">
        <f t="shared" si="4"/>
        <v>0</v>
      </c>
      <c r="V3426" s="168">
        <f t="shared" si="5"/>
        <v>0</v>
      </c>
      <c r="W3426" s="168">
        <f t="shared" si="6"/>
        <v>0</v>
      </c>
      <c r="X3426" s="168">
        <f t="shared" si="7"/>
        <v>0</v>
      </c>
      <c r="Y3426" s="168">
        <f t="shared" si="8"/>
        <v>0</v>
      </c>
      <c r="Z3426" s="168">
        <f t="shared" si="9"/>
        <v>0</v>
      </c>
    </row>
    <row r="3427" ht="15.0" customHeight="1">
      <c r="A3427" s="157" t="s">
        <v>4228</v>
      </c>
      <c r="B3427" s="158" t="s">
        <v>16</v>
      </c>
      <c r="C3427" s="158" t="s">
        <v>4223</v>
      </c>
      <c r="D3427" s="159">
        <v>44827.0</v>
      </c>
      <c r="E3427" s="157" t="s">
        <v>731</v>
      </c>
      <c r="F3427" s="160">
        <v>502279.43</v>
      </c>
      <c r="G3427" s="160">
        <f>'FACP$'!$F3427*0.16</f>
        <v>80364.7088</v>
      </c>
      <c r="H3427" s="160">
        <f t="shared" si="106"/>
        <v>582644.1388</v>
      </c>
      <c r="I3427" s="160"/>
      <c r="J3427" s="161"/>
      <c r="K3427" s="160"/>
      <c r="L3427" s="160">
        <f>+'FACP$'!$H3427-'FACP$'!$I3427-'FACP$'!$K3427</f>
        <v>582644.1388</v>
      </c>
      <c r="M3427" s="162" t="s">
        <v>985</v>
      </c>
      <c r="N3427" s="162" t="s">
        <v>554</v>
      </c>
      <c r="O3427" s="164">
        <v>44840.0</v>
      </c>
      <c r="P3427" s="164">
        <f t="array" ref="P3427">XLOOKUP('FACP$'!$B3427,'perfil de pagos'!A:A,'perfil de pagos'!B:B)+'FACP$'!$D3427</f>
        <v>44837</v>
      </c>
      <c r="Q3427" s="165">
        <f t="shared" si="2"/>
        <v>0</v>
      </c>
      <c r="R3427" s="167"/>
      <c r="S3427" s="167">
        <v>1610.0</v>
      </c>
      <c r="T3427" s="168">
        <f t="shared" si="3"/>
        <v>582644.1388</v>
      </c>
      <c r="U3427" s="168">
        <f t="shared" si="4"/>
        <v>0</v>
      </c>
      <c r="V3427" s="168">
        <f t="shared" si="5"/>
        <v>0</v>
      </c>
      <c r="W3427" s="168">
        <f t="shared" si="6"/>
        <v>0</v>
      </c>
      <c r="X3427" s="168">
        <f t="shared" si="7"/>
        <v>0</v>
      </c>
      <c r="Y3427" s="168">
        <f t="shared" si="8"/>
        <v>0</v>
      </c>
      <c r="Z3427" s="168">
        <f t="shared" si="9"/>
        <v>0</v>
      </c>
    </row>
    <row r="3428" ht="15.0" customHeight="1">
      <c r="A3428" s="157" t="s">
        <v>4229</v>
      </c>
      <c r="B3428" s="158" t="s">
        <v>16</v>
      </c>
      <c r="C3428" s="158" t="s">
        <v>4230</v>
      </c>
      <c r="D3428" s="159">
        <v>44827.0</v>
      </c>
      <c r="E3428" s="157" t="s">
        <v>731</v>
      </c>
      <c r="F3428" s="160">
        <v>291095.0</v>
      </c>
      <c r="G3428" s="160">
        <f>'FACP$'!$F3428*0.16</f>
        <v>46575.2</v>
      </c>
      <c r="H3428" s="160">
        <f t="shared" si="106"/>
        <v>337670.2</v>
      </c>
      <c r="I3428" s="160"/>
      <c r="J3428" s="161"/>
      <c r="K3428" s="160"/>
      <c r="L3428" s="160">
        <f>+'FACP$'!$H3428-'FACP$'!$I3428-'FACP$'!$K3428</f>
        <v>337670.2</v>
      </c>
      <c r="M3428" s="162" t="s">
        <v>985</v>
      </c>
      <c r="N3428" s="162" t="s">
        <v>554</v>
      </c>
      <c r="O3428" s="164">
        <v>44840.0</v>
      </c>
      <c r="P3428" s="164">
        <f t="array" ref="P3428">XLOOKUP('FACP$'!$B3428,'perfil de pagos'!A:A,'perfil de pagos'!B:B)+'FACP$'!$D3428</f>
        <v>44837</v>
      </c>
      <c r="Q3428" s="165">
        <f t="shared" si="2"/>
        <v>0</v>
      </c>
      <c r="R3428" s="167"/>
      <c r="S3428" s="167">
        <v>1610.0</v>
      </c>
      <c r="T3428" s="168">
        <f t="shared" si="3"/>
        <v>337670.2</v>
      </c>
      <c r="U3428" s="168">
        <f t="shared" si="4"/>
        <v>0</v>
      </c>
      <c r="V3428" s="168">
        <f t="shared" si="5"/>
        <v>0</v>
      </c>
      <c r="W3428" s="168">
        <f t="shared" si="6"/>
        <v>0</v>
      </c>
      <c r="X3428" s="168">
        <f t="shared" si="7"/>
        <v>0</v>
      </c>
      <c r="Y3428" s="168">
        <f t="shared" si="8"/>
        <v>0</v>
      </c>
      <c r="Z3428" s="168">
        <f t="shared" si="9"/>
        <v>0</v>
      </c>
    </row>
    <row r="3429" ht="15.0" customHeight="1">
      <c r="A3429" s="157" t="s">
        <v>4231</v>
      </c>
      <c r="B3429" s="158" t="s">
        <v>29</v>
      </c>
      <c r="C3429" s="158" t="s">
        <v>4223</v>
      </c>
      <c r="D3429" s="159">
        <v>44827.0</v>
      </c>
      <c r="E3429" s="157" t="s">
        <v>731</v>
      </c>
      <c r="F3429" s="160">
        <v>683488.5</v>
      </c>
      <c r="G3429" s="160">
        <f>'FACP$'!$F3429*0.16</f>
        <v>109358.16</v>
      </c>
      <c r="H3429" s="160">
        <f t="shared" si="106"/>
        <v>792846.66</v>
      </c>
      <c r="I3429" s="160"/>
      <c r="J3429" s="161"/>
      <c r="K3429" s="160"/>
      <c r="L3429" s="160">
        <f>+'FACP$'!$H3429-'FACP$'!$I3429-'FACP$'!$K3429</f>
        <v>792846.66</v>
      </c>
      <c r="M3429" s="162" t="s">
        <v>130</v>
      </c>
      <c r="N3429" s="162" t="s">
        <v>554</v>
      </c>
      <c r="O3429" s="164" t="s">
        <v>4232</v>
      </c>
      <c r="P3429" s="164">
        <f t="array" ref="P3429">XLOOKUP('FACP$'!$B3429,'perfil de pagos'!A:A,'perfil de pagos'!B:B)+'FACP$'!$D3429</f>
        <v>44837</v>
      </c>
      <c r="Q3429" s="165">
        <f t="shared" si="2"/>
        <v>0</v>
      </c>
      <c r="R3429" s="167"/>
      <c r="S3429" s="167">
        <v>1667.0</v>
      </c>
      <c r="T3429" s="168">
        <f t="shared" si="3"/>
        <v>792846.66</v>
      </c>
      <c r="U3429" s="168">
        <f t="shared" si="4"/>
        <v>0</v>
      </c>
      <c r="V3429" s="168">
        <f t="shared" si="5"/>
        <v>0</v>
      </c>
      <c r="W3429" s="168">
        <f t="shared" si="6"/>
        <v>0</v>
      </c>
      <c r="X3429" s="168">
        <f t="shared" si="7"/>
        <v>0</v>
      </c>
      <c r="Y3429" s="168">
        <f t="shared" si="8"/>
        <v>0</v>
      </c>
      <c r="Z3429" s="168">
        <f t="shared" si="9"/>
        <v>0</v>
      </c>
    </row>
    <row r="3430" ht="15.0" customHeight="1">
      <c r="A3430" s="157" t="s">
        <v>4233</v>
      </c>
      <c r="B3430" s="158" t="s">
        <v>29</v>
      </c>
      <c r="C3430" s="158" t="s">
        <v>4230</v>
      </c>
      <c r="D3430" s="159">
        <v>44827.0</v>
      </c>
      <c r="E3430" s="157" t="s">
        <v>731</v>
      </c>
      <c r="F3430" s="160">
        <v>447716.13</v>
      </c>
      <c r="G3430" s="160">
        <f>'FACP$'!$F3430*0.16</f>
        <v>71634.5808</v>
      </c>
      <c r="H3430" s="160">
        <f t="shared" si="106"/>
        <v>519350.7108</v>
      </c>
      <c r="I3430" s="160"/>
      <c r="J3430" s="161"/>
      <c r="K3430" s="160"/>
      <c r="L3430" s="160">
        <f>+'FACP$'!$H3430-'FACP$'!$I3430-'FACP$'!$K3430</f>
        <v>519350.7108</v>
      </c>
      <c r="M3430" s="162" t="s">
        <v>130</v>
      </c>
      <c r="N3430" s="162" t="s">
        <v>554</v>
      </c>
      <c r="O3430" s="164">
        <v>44838.0</v>
      </c>
      <c r="P3430" s="164">
        <f t="array" ref="P3430">XLOOKUP('FACP$'!$B3430,'perfil de pagos'!A:A,'perfil de pagos'!B:B)+'FACP$'!$D3430</f>
        <v>44837</v>
      </c>
      <c r="Q3430" s="165">
        <f t="shared" si="2"/>
        <v>0</v>
      </c>
      <c r="R3430" s="167"/>
      <c r="S3430" s="167"/>
      <c r="T3430" s="168">
        <f t="shared" si="3"/>
        <v>519350.7108</v>
      </c>
      <c r="U3430" s="168">
        <f t="shared" si="4"/>
        <v>0</v>
      </c>
      <c r="V3430" s="168">
        <f t="shared" si="5"/>
        <v>0</v>
      </c>
      <c r="W3430" s="168">
        <f t="shared" si="6"/>
        <v>0</v>
      </c>
      <c r="X3430" s="168">
        <f t="shared" si="7"/>
        <v>0</v>
      </c>
      <c r="Y3430" s="168">
        <f t="shared" si="8"/>
        <v>0</v>
      </c>
      <c r="Z3430" s="168">
        <f t="shared" si="9"/>
        <v>0</v>
      </c>
    </row>
    <row r="3431" ht="15.0" customHeight="1">
      <c r="A3431" s="157" t="s">
        <v>4234</v>
      </c>
      <c r="B3431" s="158" t="s">
        <v>38</v>
      </c>
      <c r="C3431" s="158" t="s">
        <v>4223</v>
      </c>
      <c r="D3431" s="159">
        <v>44830.0</v>
      </c>
      <c r="E3431" s="157" t="s">
        <v>731</v>
      </c>
      <c r="F3431" s="160">
        <v>1226508.02</v>
      </c>
      <c r="G3431" s="160">
        <f>'FACP$'!$F3431*0.16</f>
        <v>196241.2832</v>
      </c>
      <c r="H3431" s="160">
        <f>F3431+G3431-1382772.57</f>
        <v>39976.7332</v>
      </c>
      <c r="I3431" s="160"/>
      <c r="J3431" s="161"/>
      <c r="K3431" s="160"/>
      <c r="L3431" s="160">
        <f>+'FACP$'!$H3431-'FACP$'!$I3431-'FACP$'!$K3431</f>
        <v>39976.7332</v>
      </c>
      <c r="M3431" s="162" t="s">
        <v>145</v>
      </c>
      <c r="N3431" s="162" t="s">
        <v>554</v>
      </c>
      <c r="O3431" s="164">
        <v>44973.0</v>
      </c>
      <c r="P3431" s="164">
        <f t="array" ref="P3431">XLOOKUP('FACP$'!$B3431,'perfil de pagos'!A:A,'perfil de pagos'!B:B)+'FACP$'!$D3431</f>
        <v>44860</v>
      </c>
      <c r="Q3431" s="165">
        <f t="shared" si="2"/>
        <v>0</v>
      </c>
      <c r="R3431" s="168" t="s">
        <v>4235</v>
      </c>
      <c r="S3431" s="167" t="s">
        <v>4236</v>
      </c>
      <c r="T3431" s="168">
        <f t="shared" si="3"/>
        <v>39976.7332</v>
      </c>
      <c r="U3431" s="168">
        <f t="shared" si="4"/>
        <v>0</v>
      </c>
      <c r="V3431" s="168">
        <f t="shared" si="5"/>
        <v>0</v>
      </c>
      <c r="W3431" s="168">
        <f t="shared" si="6"/>
        <v>0</v>
      </c>
      <c r="X3431" s="168">
        <f t="shared" si="7"/>
        <v>0</v>
      </c>
      <c r="Y3431" s="168">
        <f t="shared" si="8"/>
        <v>0</v>
      </c>
      <c r="Z3431" s="168">
        <f t="shared" si="9"/>
        <v>0</v>
      </c>
    </row>
    <row r="3432" ht="15.0" customHeight="1">
      <c r="A3432" s="157" t="s">
        <v>4237</v>
      </c>
      <c r="B3432" s="158" t="s">
        <v>27</v>
      </c>
      <c r="C3432" s="158" t="s">
        <v>4238</v>
      </c>
      <c r="D3432" s="159">
        <v>44834.0</v>
      </c>
      <c r="E3432" s="157" t="s">
        <v>731</v>
      </c>
      <c r="F3432" s="160">
        <v>464252.42</v>
      </c>
      <c r="G3432" s="160">
        <f>'FACP$'!$F3432*0.16</f>
        <v>74280.3872</v>
      </c>
      <c r="H3432" s="160">
        <f t="shared" ref="H3432:H3455" si="107">F3432+G3432</f>
        <v>538532.8072</v>
      </c>
      <c r="I3432" s="160"/>
      <c r="J3432" s="161"/>
      <c r="K3432" s="160"/>
      <c r="L3432" s="160">
        <f>+'FACP$'!$H3432-'FACP$'!$I3432-'FACP$'!$K3432</f>
        <v>538532.8072</v>
      </c>
      <c r="M3432" s="162" t="s">
        <v>158</v>
      </c>
      <c r="N3432" s="162" t="s">
        <v>554</v>
      </c>
      <c r="O3432" s="164">
        <v>44861.0</v>
      </c>
      <c r="P3432" s="164">
        <f t="array" ref="P3432">XLOOKUP('FACP$'!$B3432,'perfil de pagos'!A:A,'perfil de pagos'!B:B)+'FACP$'!$D3432</f>
        <v>44864</v>
      </c>
      <c r="Q3432" s="165">
        <f t="shared" si="2"/>
        <v>0</v>
      </c>
      <c r="R3432" s="167"/>
      <c r="S3432" s="167">
        <v>1672.0</v>
      </c>
      <c r="T3432" s="168">
        <f t="shared" si="3"/>
        <v>538532.8072</v>
      </c>
      <c r="U3432" s="168">
        <f t="shared" si="4"/>
        <v>0</v>
      </c>
      <c r="V3432" s="168">
        <f t="shared" si="5"/>
        <v>0</v>
      </c>
      <c r="W3432" s="168">
        <f t="shared" si="6"/>
        <v>0</v>
      </c>
      <c r="X3432" s="168">
        <f t="shared" si="7"/>
        <v>0</v>
      </c>
      <c r="Y3432" s="168">
        <f t="shared" si="8"/>
        <v>0</v>
      </c>
      <c r="Z3432" s="168">
        <f t="shared" si="9"/>
        <v>0</v>
      </c>
    </row>
    <row r="3433" ht="15.0" customHeight="1">
      <c r="A3433" s="157" t="s">
        <v>4239</v>
      </c>
      <c r="B3433" s="158" t="s">
        <v>27</v>
      </c>
      <c r="C3433" s="158" t="s">
        <v>4240</v>
      </c>
      <c r="D3433" s="159">
        <v>44834.0</v>
      </c>
      <c r="E3433" s="157" t="s">
        <v>731</v>
      </c>
      <c r="F3433" s="160">
        <v>177047.09</v>
      </c>
      <c r="G3433" s="160">
        <f>'FACP$'!$F3433*0.16</f>
        <v>28327.5344</v>
      </c>
      <c r="H3433" s="160">
        <f t="shared" si="107"/>
        <v>205374.6244</v>
      </c>
      <c r="I3433" s="160"/>
      <c r="J3433" s="161"/>
      <c r="K3433" s="160"/>
      <c r="L3433" s="160">
        <f>+'FACP$'!$H3433-'FACP$'!$I3433-'FACP$'!$K3433</f>
        <v>205374.6244</v>
      </c>
      <c r="M3433" s="162" t="s">
        <v>158</v>
      </c>
      <c r="N3433" s="162" t="s">
        <v>554</v>
      </c>
      <c r="O3433" s="164">
        <v>44872.0</v>
      </c>
      <c r="P3433" s="164">
        <f t="array" ref="P3433">XLOOKUP('FACP$'!$B3433,'perfil de pagos'!A:A,'perfil de pagos'!B:B)+'FACP$'!$D3433</f>
        <v>44864</v>
      </c>
      <c r="Q3433" s="165">
        <f t="shared" si="2"/>
        <v>0</v>
      </c>
      <c r="R3433" s="167"/>
      <c r="S3433" s="167">
        <v>1697.0</v>
      </c>
      <c r="T3433" s="168">
        <f t="shared" si="3"/>
        <v>205374.6244</v>
      </c>
      <c r="U3433" s="168">
        <f t="shared" si="4"/>
        <v>0</v>
      </c>
      <c r="V3433" s="168">
        <f t="shared" si="5"/>
        <v>0</v>
      </c>
      <c r="W3433" s="168">
        <f t="shared" si="6"/>
        <v>0</v>
      </c>
      <c r="X3433" s="168">
        <f t="shared" si="7"/>
        <v>0</v>
      </c>
      <c r="Y3433" s="168">
        <f t="shared" si="8"/>
        <v>0</v>
      </c>
      <c r="Z3433" s="168">
        <f t="shared" si="9"/>
        <v>0</v>
      </c>
    </row>
    <row r="3434" ht="15.0" customHeight="1">
      <c r="A3434" s="157" t="s">
        <v>4241</v>
      </c>
      <c r="B3434" s="158" t="s">
        <v>27</v>
      </c>
      <c r="C3434" s="158" t="s">
        <v>4238</v>
      </c>
      <c r="D3434" s="159">
        <v>44834.0</v>
      </c>
      <c r="E3434" s="157" t="s">
        <v>731</v>
      </c>
      <c r="F3434" s="160">
        <v>608748.86</v>
      </c>
      <c r="G3434" s="160">
        <f>'FACP$'!$F3434*0.16</f>
        <v>97399.8176</v>
      </c>
      <c r="H3434" s="160">
        <f t="shared" si="107"/>
        <v>706148.6776</v>
      </c>
      <c r="I3434" s="160"/>
      <c r="J3434" s="161"/>
      <c r="K3434" s="160"/>
      <c r="L3434" s="160">
        <f>+'FACP$'!$H3434-'FACP$'!$I3434-'FACP$'!$K3434</f>
        <v>706148.6776</v>
      </c>
      <c r="M3434" s="162" t="s">
        <v>151</v>
      </c>
      <c r="N3434" s="162" t="s">
        <v>554</v>
      </c>
      <c r="O3434" s="164">
        <v>44861.0</v>
      </c>
      <c r="P3434" s="164">
        <f t="array" ref="P3434">XLOOKUP('FACP$'!$B3434,'perfil de pagos'!A:A,'perfil de pagos'!B:B)+'FACP$'!$D3434</f>
        <v>44864</v>
      </c>
      <c r="Q3434" s="165">
        <f t="shared" si="2"/>
        <v>0</v>
      </c>
      <c r="R3434" s="167"/>
      <c r="S3434" s="167">
        <v>1673.0</v>
      </c>
      <c r="T3434" s="168">
        <f t="shared" si="3"/>
        <v>706148.6776</v>
      </c>
      <c r="U3434" s="168">
        <f t="shared" si="4"/>
        <v>0</v>
      </c>
      <c r="V3434" s="168">
        <f t="shared" si="5"/>
        <v>0</v>
      </c>
      <c r="W3434" s="168">
        <f t="shared" si="6"/>
        <v>0</v>
      </c>
      <c r="X3434" s="168">
        <f t="shared" si="7"/>
        <v>0</v>
      </c>
      <c r="Y3434" s="168">
        <f t="shared" si="8"/>
        <v>0</v>
      </c>
      <c r="Z3434" s="168">
        <f t="shared" si="9"/>
        <v>0</v>
      </c>
    </row>
    <row r="3435" ht="15.0" customHeight="1">
      <c r="A3435" s="157" t="s">
        <v>4242</v>
      </c>
      <c r="B3435" s="158" t="s">
        <v>27</v>
      </c>
      <c r="C3435" s="158" t="s">
        <v>4240</v>
      </c>
      <c r="D3435" s="159">
        <v>44834.0</v>
      </c>
      <c r="E3435" s="157" t="s">
        <v>731</v>
      </c>
      <c r="F3435" s="160">
        <v>224962.64</v>
      </c>
      <c r="G3435" s="160">
        <f>'FACP$'!$F3435*0.16</f>
        <v>35994.0224</v>
      </c>
      <c r="H3435" s="160">
        <f t="shared" si="107"/>
        <v>260956.6624</v>
      </c>
      <c r="I3435" s="160"/>
      <c r="J3435" s="161"/>
      <c r="K3435" s="160"/>
      <c r="L3435" s="160">
        <f>+'FACP$'!$H3435-'FACP$'!$I3435-'FACP$'!$K3435</f>
        <v>260956.6624</v>
      </c>
      <c r="M3435" s="162" t="s">
        <v>151</v>
      </c>
      <c r="N3435" s="162" t="s">
        <v>554</v>
      </c>
      <c r="O3435" s="164">
        <v>44872.0</v>
      </c>
      <c r="P3435" s="164">
        <f t="array" ref="P3435">XLOOKUP('FACP$'!$B3435,'perfil de pagos'!A:A,'perfil de pagos'!B:B)+'FACP$'!$D3435</f>
        <v>44864</v>
      </c>
      <c r="Q3435" s="165">
        <f t="shared" si="2"/>
        <v>0</v>
      </c>
      <c r="R3435" s="167"/>
      <c r="S3435" s="167">
        <v>1698.0</v>
      </c>
      <c r="T3435" s="168">
        <f t="shared" si="3"/>
        <v>260956.6624</v>
      </c>
      <c r="U3435" s="168">
        <f t="shared" si="4"/>
        <v>0</v>
      </c>
      <c r="V3435" s="168">
        <f t="shared" si="5"/>
        <v>0</v>
      </c>
      <c r="W3435" s="168">
        <f t="shared" si="6"/>
        <v>0</v>
      </c>
      <c r="X3435" s="168">
        <f t="shared" si="7"/>
        <v>0</v>
      </c>
      <c r="Y3435" s="168">
        <f t="shared" si="8"/>
        <v>0</v>
      </c>
      <c r="Z3435" s="168">
        <f t="shared" si="9"/>
        <v>0</v>
      </c>
    </row>
    <row r="3436" ht="15.0" customHeight="1">
      <c r="A3436" s="157" t="s">
        <v>4243</v>
      </c>
      <c r="B3436" s="158" t="s">
        <v>27</v>
      </c>
      <c r="C3436" s="158" t="s">
        <v>4244</v>
      </c>
      <c r="D3436" s="159">
        <v>44834.0</v>
      </c>
      <c r="E3436" s="157" t="s">
        <v>731</v>
      </c>
      <c r="F3436" s="160">
        <v>24595.19</v>
      </c>
      <c r="G3436" s="160">
        <f>'FACP$'!$F3436*0.16</f>
        <v>3935.2304</v>
      </c>
      <c r="H3436" s="160">
        <f t="shared" si="107"/>
        <v>28530.4204</v>
      </c>
      <c r="I3436" s="160"/>
      <c r="J3436" s="161"/>
      <c r="K3436" s="160"/>
      <c r="L3436" s="160">
        <f>+'FACP$'!$H3436-'FACP$'!$I3436-'FACP$'!$K3436</f>
        <v>28530.4204</v>
      </c>
      <c r="M3436" s="162" t="s">
        <v>151</v>
      </c>
      <c r="N3436" s="162" t="s">
        <v>554</v>
      </c>
      <c r="O3436" s="164">
        <v>44861.0</v>
      </c>
      <c r="P3436" s="164">
        <f t="array" ref="P3436">XLOOKUP('FACP$'!$B3436,'perfil de pagos'!A:A,'perfil de pagos'!B:B)+'FACP$'!$D3436</f>
        <v>44864</v>
      </c>
      <c r="Q3436" s="165">
        <f t="shared" si="2"/>
        <v>0</v>
      </c>
      <c r="R3436" s="167"/>
      <c r="S3436" s="167">
        <v>1673.0</v>
      </c>
      <c r="T3436" s="168">
        <f t="shared" si="3"/>
        <v>28530.4204</v>
      </c>
      <c r="U3436" s="168">
        <f t="shared" si="4"/>
        <v>0</v>
      </c>
      <c r="V3436" s="168">
        <f t="shared" si="5"/>
        <v>0</v>
      </c>
      <c r="W3436" s="168">
        <f t="shared" si="6"/>
        <v>0</v>
      </c>
      <c r="X3436" s="168">
        <f t="shared" si="7"/>
        <v>0</v>
      </c>
      <c r="Y3436" s="168">
        <f t="shared" si="8"/>
        <v>0</v>
      </c>
      <c r="Z3436" s="168">
        <f t="shared" si="9"/>
        <v>0</v>
      </c>
    </row>
    <row r="3437" ht="15.0" customHeight="1">
      <c r="A3437" s="157" t="s">
        <v>4245</v>
      </c>
      <c r="B3437" s="158" t="s">
        <v>27</v>
      </c>
      <c r="C3437" s="158" t="s">
        <v>4246</v>
      </c>
      <c r="D3437" s="159">
        <v>44834.0</v>
      </c>
      <c r="E3437" s="157" t="s">
        <v>731</v>
      </c>
      <c r="F3437" s="160">
        <v>10561.75</v>
      </c>
      <c r="G3437" s="160">
        <f>'FACP$'!$F3437*0.16</f>
        <v>1689.88</v>
      </c>
      <c r="H3437" s="160">
        <f t="shared" si="107"/>
        <v>12251.63</v>
      </c>
      <c r="I3437" s="160"/>
      <c r="J3437" s="161"/>
      <c r="K3437" s="160"/>
      <c r="L3437" s="160">
        <f>+'FACP$'!$H3437-'FACP$'!$I3437-'FACP$'!$K3437</f>
        <v>12251.63</v>
      </c>
      <c r="M3437" s="162" t="s">
        <v>151</v>
      </c>
      <c r="N3437" s="162" t="s">
        <v>554</v>
      </c>
      <c r="O3437" s="164">
        <v>44872.0</v>
      </c>
      <c r="P3437" s="164">
        <f t="array" ref="P3437">XLOOKUP('FACP$'!$B3437,'perfil de pagos'!A:A,'perfil de pagos'!B:B)+'FACP$'!$D3437</f>
        <v>44864</v>
      </c>
      <c r="Q3437" s="165">
        <f t="shared" si="2"/>
        <v>0</v>
      </c>
      <c r="R3437" s="167"/>
      <c r="S3437" s="167">
        <v>1698.0</v>
      </c>
      <c r="T3437" s="168">
        <f t="shared" si="3"/>
        <v>12251.63</v>
      </c>
      <c r="U3437" s="168">
        <f t="shared" si="4"/>
        <v>0</v>
      </c>
      <c r="V3437" s="168">
        <f t="shared" si="5"/>
        <v>0</v>
      </c>
      <c r="W3437" s="168">
        <f t="shared" si="6"/>
        <v>0</v>
      </c>
      <c r="X3437" s="168">
        <f t="shared" si="7"/>
        <v>0</v>
      </c>
      <c r="Y3437" s="168">
        <f t="shared" si="8"/>
        <v>0</v>
      </c>
      <c r="Z3437" s="168">
        <f t="shared" si="9"/>
        <v>0</v>
      </c>
    </row>
    <row r="3438" ht="15.0" customHeight="1">
      <c r="A3438" s="157" t="s">
        <v>4247</v>
      </c>
      <c r="B3438" s="158" t="s">
        <v>15</v>
      </c>
      <c r="C3438" s="158" t="s">
        <v>4248</v>
      </c>
      <c r="D3438" s="159">
        <v>44839.0</v>
      </c>
      <c r="E3438" s="157" t="s">
        <v>731</v>
      </c>
      <c r="F3438" s="160">
        <v>455882.26</v>
      </c>
      <c r="G3438" s="160">
        <f>'FACP$'!$F3438*0.16</f>
        <v>72941.1616</v>
      </c>
      <c r="H3438" s="160">
        <f t="shared" si="107"/>
        <v>528823.4216</v>
      </c>
      <c r="I3438" s="160"/>
      <c r="J3438" s="161"/>
      <c r="K3438" s="160"/>
      <c r="L3438" s="160">
        <f>+'FACP$'!$H3438-'FACP$'!$I3438-'FACP$'!$K3438</f>
        <v>528823.4216</v>
      </c>
      <c r="M3438" s="162" t="s">
        <v>443</v>
      </c>
      <c r="N3438" s="162" t="s">
        <v>554</v>
      </c>
      <c r="O3438" s="164">
        <v>44852.0</v>
      </c>
      <c r="P3438" s="164">
        <f t="array" ref="P3438">XLOOKUP('FACP$'!$B3438,'perfil de pagos'!A:A,'perfil de pagos'!B:B)+'FACP$'!$D3438</f>
        <v>44849</v>
      </c>
      <c r="Q3438" s="165">
        <f t="shared" si="2"/>
        <v>0</v>
      </c>
      <c r="R3438" s="167"/>
      <c r="S3438" s="167">
        <v>1653.0</v>
      </c>
      <c r="T3438" s="168">
        <f t="shared" si="3"/>
        <v>528823.4216</v>
      </c>
      <c r="U3438" s="168">
        <f t="shared" si="4"/>
        <v>0</v>
      </c>
      <c r="V3438" s="168">
        <f t="shared" si="5"/>
        <v>0</v>
      </c>
      <c r="W3438" s="168">
        <f t="shared" si="6"/>
        <v>0</v>
      </c>
      <c r="X3438" s="168">
        <f t="shared" si="7"/>
        <v>0</v>
      </c>
      <c r="Y3438" s="168">
        <f t="shared" si="8"/>
        <v>0</v>
      </c>
      <c r="Z3438" s="168">
        <f t="shared" si="9"/>
        <v>0</v>
      </c>
    </row>
    <row r="3439" ht="15.0" customHeight="1">
      <c r="A3439" s="157" t="s">
        <v>4249</v>
      </c>
      <c r="B3439" s="158" t="s">
        <v>21</v>
      </c>
      <c r="C3439" s="158" t="s">
        <v>4248</v>
      </c>
      <c r="D3439" s="159">
        <v>44839.0</v>
      </c>
      <c r="E3439" s="157" t="s">
        <v>731</v>
      </c>
      <c r="F3439" s="160">
        <v>127198.67</v>
      </c>
      <c r="G3439" s="160">
        <f>'FACP$'!$F3439*0.16</f>
        <v>20351.7872</v>
      </c>
      <c r="H3439" s="160">
        <f t="shared" si="107"/>
        <v>147550.4572</v>
      </c>
      <c r="I3439" s="160"/>
      <c r="J3439" s="161"/>
      <c r="K3439" s="160"/>
      <c r="L3439" s="160">
        <f>+'FACP$'!$H3439-'FACP$'!$I3439-'FACP$'!$K3439</f>
        <v>147550.4572</v>
      </c>
      <c r="M3439" s="162" t="s">
        <v>2263</v>
      </c>
      <c r="N3439" s="162" t="s">
        <v>554</v>
      </c>
      <c r="O3439" s="164">
        <v>44911.0</v>
      </c>
      <c r="P3439" s="164">
        <f t="array" ref="P3439">XLOOKUP('FACP$'!$B3439,'perfil de pagos'!A:A,'perfil de pagos'!B:B)+'FACP$'!$D3439</f>
        <v>44849</v>
      </c>
      <c r="Q3439" s="165">
        <f t="shared" si="2"/>
        <v>0</v>
      </c>
      <c r="R3439" s="167"/>
      <c r="S3439" s="167">
        <v>1825.0</v>
      </c>
      <c r="T3439" s="168">
        <f t="shared" si="3"/>
        <v>147550.4572</v>
      </c>
      <c r="U3439" s="168">
        <f t="shared" si="4"/>
        <v>0</v>
      </c>
      <c r="V3439" s="168">
        <f t="shared" si="5"/>
        <v>0</v>
      </c>
      <c r="W3439" s="168">
        <f t="shared" si="6"/>
        <v>0</v>
      </c>
      <c r="X3439" s="168">
        <f t="shared" si="7"/>
        <v>0</v>
      </c>
      <c r="Y3439" s="168">
        <f t="shared" si="8"/>
        <v>0</v>
      </c>
      <c r="Z3439" s="168">
        <f t="shared" si="9"/>
        <v>0</v>
      </c>
    </row>
    <row r="3440" ht="15.0" customHeight="1">
      <c r="A3440" s="157" t="s">
        <v>4250</v>
      </c>
      <c r="B3440" s="158" t="s">
        <v>35</v>
      </c>
      <c r="C3440" s="158" t="s">
        <v>4248</v>
      </c>
      <c r="D3440" s="159">
        <v>44839.0</v>
      </c>
      <c r="E3440" s="157" t="s">
        <v>731</v>
      </c>
      <c r="F3440" s="160">
        <v>192900.02</v>
      </c>
      <c r="G3440" s="160">
        <f>'FACP$'!$F3440*0.16</f>
        <v>30864.0032</v>
      </c>
      <c r="H3440" s="160">
        <f t="shared" si="107"/>
        <v>223764.0232</v>
      </c>
      <c r="I3440" s="160"/>
      <c r="J3440" s="161"/>
      <c r="K3440" s="160"/>
      <c r="L3440" s="160">
        <f>+'FACP$'!$H3440-'FACP$'!$I3440-'FACP$'!$K3440</f>
        <v>223764.0232</v>
      </c>
      <c r="M3440" s="162" t="s">
        <v>276</v>
      </c>
      <c r="N3440" s="162" t="s">
        <v>554</v>
      </c>
      <c r="O3440" s="164">
        <v>44895.0</v>
      </c>
      <c r="P3440" s="164">
        <f t="array" ref="P3440">XLOOKUP('FACP$'!$B3440,'perfil de pagos'!A:A,'perfil de pagos'!B:B)+'FACP$'!$D3440</f>
        <v>44849</v>
      </c>
      <c r="Q3440" s="165">
        <f t="shared" si="2"/>
        <v>0</v>
      </c>
      <c r="R3440" s="167" t="s">
        <v>4251</v>
      </c>
      <c r="S3440" s="167">
        <v>1755.0</v>
      </c>
      <c r="T3440" s="168">
        <f t="shared" si="3"/>
        <v>223764.0232</v>
      </c>
      <c r="U3440" s="168">
        <f t="shared" si="4"/>
        <v>0</v>
      </c>
      <c r="V3440" s="168">
        <f t="shared" si="5"/>
        <v>0</v>
      </c>
      <c r="W3440" s="168">
        <f t="shared" si="6"/>
        <v>0</v>
      </c>
      <c r="X3440" s="168">
        <f t="shared" si="7"/>
        <v>0</v>
      </c>
      <c r="Y3440" s="168">
        <f t="shared" si="8"/>
        <v>0</v>
      </c>
      <c r="Z3440" s="168">
        <f t="shared" si="9"/>
        <v>0</v>
      </c>
    </row>
    <row r="3441" ht="15.0" customHeight="1">
      <c r="A3441" s="157" t="s">
        <v>4252</v>
      </c>
      <c r="B3441" s="158" t="s">
        <v>36</v>
      </c>
      <c r="C3441" s="158" t="s">
        <v>4248</v>
      </c>
      <c r="D3441" s="159">
        <v>44839.0</v>
      </c>
      <c r="E3441" s="157" t="s">
        <v>731</v>
      </c>
      <c r="F3441" s="160">
        <v>144655.42</v>
      </c>
      <c r="G3441" s="160">
        <f>'FACP$'!$F3441*0.16</f>
        <v>23144.8672</v>
      </c>
      <c r="H3441" s="160">
        <f t="shared" si="107"/>
        <v>167800.2872</v>
      </c>
      <c r="I3441" s="160"/>
      <c r="J3441" s="161"/>
      <c r="K3441" s="160"/>
      <c r="L3441" s="160">
        <f>+'FACP$'!$H3441-'FACP$'!$I3441-'FACP$'!$K3441</f>
        <v>167800.2872</v>
      </c>
      <c r="M3441" s="162" t="s">
        <v>278</v>
      </c>
      <c r="N3441" s="162" t="s">
        <v>554</v>
      </c>
      <c r="O3441" s="164">
        <v>44860.0</v>
      </c>
      <c r="P3441" s="164">
        <f t="array" ref="P3441">XLOOKUP('FACP$'!$B3441,'perfil de pagos'!A:A,'perfil de pagos'!B:B)+'FACP$'!$D3441</f>
        <v>44849</v>
      </c>
      <c r="Q3441" s="165">
        <f t="shared" si="2"/>
        <v>0</v>
      </c>
      <c r="R3441" s="167"/>
      <c r="S3441" s="167">
        <v>1670.0</v>
      </c>
      <c r="T3441" s="168">
        <f t="shared" si="3"/>
        <v>167800.2872</v>
      </c>
      <c r="U3441" s="168">
        <f t="shared" si="4"/>
        <v>0</v>
      </c>
      <c r="V3441" s="168">
        <f t="shared" si="5"/>
        <v>0</v>
      </c>
      <c r="W3441" s="168">
        <f t="shared" si="6"/>
        <v>0</v>
      </c>
      <c r="X3441" s="168">
        <f t="shared" si="7"/>
        <v>0</v>
      </c>
      <c r="Y3441" s="168">
        <f t="shared" si="8"/>
        <v>0</v>
      </c>
      <c r="Z3441" s="168">
        <f t="shared" si="9"/>
        <v>0</v>
      </c>
    </row>
    <row r="3442" ht="15.0" customHeight="1">
      <c r="A3442" s="157" t="s">
        <v>4253</v>
      </c>
      <c r="B3442" s="158" t="s">
        <v>41</v>
      </c>
      <c r="C3442" s="158" t="s">
        <v>4248</v>
      </c>
      <c r="D3442" s="159">
        <v>44839.0</v>
      </c>
      <c r="E3442" s="157" t="s">
        <v>731</v>
      </c>
      <c r="F3442" s="160">
        <v>522224.33</v>
      </c>
      <c r="G3442" s="160">
        <f>'FACP$'!$F3442*0.16</f>
        <v>83555.8928</v>
      </c>
      <c r="H3442" s="160">
        <f t="shared" si="107"/>
        <v>605780.2228</v>
      </c>
      <c r="I3442" s="160"/>
      <c r="J3442" s="161"/>
      <c r="K3442" s="160"/>
      <c r="L3442" s="160">
        <f>+'FACP$'!$H3442-'FACP$'!$I3442-'FACP$'!$K3442</f>
        <v>605780.2228</v>
      </c>
      <c r="M3442" s="162" t="s">
        <v>121</v>
      </c>
      <c r="N3442" s="162" t="s">
        <v>554</v>
      </c>
      <c r="O3442" s="164">
        <v>44879.0</v>
      </c>
      <c r="P3442" s="164">
        <f t="array" ref="P3442">XLOOKUP('FACP$'!$B3442,'perfil de pagos'!A:A,'perfil de pagos'!B:B)+'FACP$'!$D3442</f>
        <v>44849</v>
      </c>
      <c r="Q3442" s="165">
        <f t="shared" si="2"/>
        <v>0</v>
      </c>
      <c r="R3442" s="167"/>
      <c r="S3442" s="167">
        <v>1717.0</v>
      </c>
      <c r="T3442" s="168">
        <f t="shared" si="3"/>
        <v>605780.2228</v>
      </c>
      <c r="U3442" s="168">
        <f t="shared" si="4"/>
        <v>0</v>
      </c>
      <c r="V3442" s="168">
        <f t="shared" si="5"/>
        <v>0</v>
      </c>
      <c r="W3442" s="168">
        <f t="shared" si="6"/>
        <v>0</v>
      </c>
      <c r="X3442" s="168">
        <f t="shared" si="7"/>
        <v>0</v>
      </c>
      <c r="Y3442" s="168">
        <f t="shared" si="8"/>
        <v>0</v>
      </c>
      <c r="Z3442" s="168">
        <f t="shared" si="9"/>
        <v>0</v>
      </c>
    </row>
    <row r="3443" ht="15.0" customHeight="1">
      <c r="A3443" s="157" t="s">
        <v>4254</v>
      </c>
      <c r="B3443" s="158" t="s">
        <v>42</v>
      </c>
      <c r="C3443" s="158" t="s">
        <v>4248</v>
      </c>
      <c r="D3443" s="159">
        <v>44839.0</v>
      </c>
      <c r="E3443" s="157" t="s">
        <v>731</v>
      </c>
      <c r="F3443" s="160">
        <v>215396.7</v>
      </c>
      <c r="G3443" s="160">
        <f>'FACP$'!$F3443*0.16</f>
        <v>34463.472</v>
      </c>
      <c r="H3443" s="160">
        <f t="shared" si="107"/>
        <v>249860.172</v>
      </c>
      <c r="I3443" s="160"/>
      <c r="J3443" s="161"/>
      <c r="K3443" s="160"/>
      <c r="L3443" s="160">
        <f>+'FACP$'!$H3443-'FACP$'!$I3443-'FACP$'!$K3443</f>
        <v>249860.172</v>
      </c>
      <c r="M3443" s="162" t="s">
        <v>42</v>
      </c>
      <c r="N3443" s="162" t="s">
        <v>554</v>
      </c>
      <c r="O3443" s="164">
        <v>44847.0</v>
      </c>
      <c r="P3443" s="164">
        <f t="array" ref="P3443">XLOOKUP('FACP$'!$B3443,'perfil de pagos'!A:A,'perfil de pagos'!B:B)+'FACP$'!$D3443</f>
        <v>44849</v>
      </c>
      <c r="Q3443" s="165">
        <f t="shared" si="2"/>
        <v>0</v>
      </c>
      <c r="R3443" s="167"/>
      <c r="S3443" s="167">
        <v>1628.0</v>
      </c>
      <c r="T3443" s="168">
        <f t="shared" si="3"/>
        <v>249860.172</v>
      </c>
      <c r="U3443" s="168">
        <f t="shared" si="4"/>
        <v>0</v>
      </c>
      <c r="V3443" s="168">
        <f t="shared" si="5"/>
        <v>0</v>
      </c>
      <c r="W3443" s="168">
        <f t="shared" si="6"/>
        <v>0</v>
      </c>
      <c r="X3443" s="168">
        <f t="shared" si="7"/>
        <v>0</v>
      </c>
      <c r="Y3443" s="168">
        <f t="shared" si="8"/>
        <v>0</v>
      </c>
      <c r="Z3443" s="168">
        <f t="shared" si="9"/>
        <v>0</v>
      </c>
    </row>
    <row r="3444" ht="15.0" customHeight="1">
      <c r="A3444" s="157" t="s">
        <v>4255</v>
      </c>
      <c r="B3444" s="158" t="s">
        <v>44</v>
      </c>
      <c r="C3444" s="158" t="s">
        <v>4248</v>
      </c>
      <c r="D3444" s="159">
        <v>44839.0</v>
      </c>
      <c r="E3444" s="157" t="s">
        <v>731</v>
      </c>
      <c r="F3444" s="160"/>
      <c r="G3444" s="160">
        <f>'FACP$'!$F3444*0.16</f>
        <v>0</v>
      </c>
      <c r="H3444" s="160">
        <f t="shared" si="107"/>
        <v>0</v>
      </c>
      <c r="I3444" s="160"/>
      <c r="J3444" s="161"/>
      <c r="K3444" s="160"/>
      <c r="L3444" s="160">
        <f>+'FACP$'!$H3444-'FACP$'!$I3444-'FACP$'!$K3444</f>
        <v>0</v>
      </c>
      <c r="M3444" s="162" t="s">
        <v>361</v>
      </c>
      <c r="N3444" s="162" t="s">
        <v>127</v>
      </c>
      <c r="O3444" s="164"/>
      <c r="P3444" s="164">
        <f t="array" ref="P3444">XLOOKUP('FACP$'!$B3444,'perfil de pagos'!A:A,'perfil de pagos'!B:B)+'FACP$'!$D3444</f>
        <v>44849</v>
      </c>
      <c r="Q3444" s="165">
        <f t="shared" si="2"/>
        <v>0</v>
      </c>
      <c r="R3444" s="220" t="s">
        <v>4256</v>
      </c>
      <c r="S3444" s="167"/>
      <c r="T3444" s="168">
        <f t="shared" si="3"/>
        <v>0</v>
      </c>
      <c r="U3444" s="168">
        <f t="shared" si="4"/>
        <v>0</v>
      </c>
      <c r="V3444" s="168">
        <f t="shared" si="5"/>
        <v>0</v>
      </c>
      <c r="W3444" s="168">
        <f t="shared" si="6"/>
        <v>0</v>
      </c>
      <c r="X3444" s="168">
        <f t="shared" si="7"/>
        <v>0</v>
      </c>
      <c r="Y3444" s="168">
        <f t="shared" si="8"/>
        <v>0</v>
      </c>
      <c r="Z3444" s="168">
        <f t="shared" si="9"/>
        <v>0</v>
      </c>
    </row>
    <row r="3445" ht="15.0" customHeight="1">
      <c r="A3445" s="157" t="s">
        <v>4257</v>
      </c>
      <c r="B3445" s="158" t="s">
        <v>33</v>
      </c>
      <c r="C3445" s="158" t="s">
        <v>4248</v>
      </c>
      <c r="D3445" s="159">
        <v>44839.0</v>
      </c>
      <c r="E3445" s="157" t="s">
        <v>731</v>
      </c>
      <c r="F3445" s="160">
        <v>1040793.56</v>
      </c>
      <c r="G3445" s="160">
        <f>'FACP$'!$F3445*0.16</f>
        <v>166526.9696</v>
      </c>
      <c r="H3445" s="160">
        <f t="shared" si="107"/>
        <v>1207320.53</v>
      </c>
      <c r="I3445" s="160"/>
      <c r="J3445" s="161"/>
      <c r="K3445" s="160"/>
      <c r="L3445" s="160">
        <f>+'FACP$'!$H3445-'FACP$'!$I3445-'FACP$'!$K3445</f>
        <v>1207320.53</v>
      </c>
      <c r="M3445" s="162" t="s">
        <v>958</v>
      </c>
      <c r="N3445" s="162" t="s">
        <v>554</v>
      </c>
      <c r="O3445" s="164">
        <v>44876.0</v>
      </c>
      <c r="P3445" s="164">
        <f t="array" ref="P3445">XLOOKUP('FACP$'!$B3445,'perfil de pagos'!A:A,'perfil de pagos'!B:B)+'FACP$'!$D3445</f>
        <v>44849</v>
      </c>
      <c r="Q3445" s="165">
        <f t="shared" si="2"/>
        <v>0</v>
      </c>
      <c r="R3445" s="167"/>
      <c r="S3445" s="167">
        <v>1709.0</v>
      </c>
      <c r="T3445" s="168">
        <f t="shared" si="3"/>
        <v>1207320.53</v>
      </c>
      <c r="U3445" s="168">
        <f t="shared" si="4"/>
        <v>0</v>
      </c>
      <c r="V3445" s="168">
        <f t="shared" si="5"/>
        <v>0</v>
      </c>
      <c r="W3445" s="168">
        <f t="shared" si="6"/>
        <v>0</v>
      </c>
      <c r="X3445" s="168">
        <f t="shared" si="7"/>
        <v>0</v>
      </c>
      <c r="Y3445" s="168">
        <f t="shared" si="8"/>
        <v>0</v>
      </c>
      <c r="Z3445" s="168">
        <f t="shared" si="9"/>
        <v>0</v>
      </c>
    </row>
    <row r="3446" ht="15.0" customHeight="1">
      <c r="A3446" s="157" t="s">
        <v>4258</v>
      </c>
      <c r="B3446" s="158" t="s">
        <v>43</v>
      </c>
      <c r="C3446" s="158" t="s">
        <v>4248</v>
      </c>
      <c r="D3446" s="159">
        <v>44839.0</v>
      </c>
      <c r="E3446" s="157" t="s">
        <v>731</v>
      </c>
      <c r="F3446" s="160">
        <v>795262.17</v>
      </c>
      <c r="G3446" s="160">
        <f>'FACP$'!$F3446*0.16</f>
        <v>127241.9472</v>
      </c>
      <c r="H3446" s="160">
        <f t="shared" si="107"/>
        <v>922504.1172</v>
      </c>
      <c r="I3446" s="160"/>
      <c r="J3446" s="161"/>
      <c r="K3446" s="160"/>
      <c r="L3446" s="160">
        <f>+'FACP$'!$H3446-'FACP$'!$I3446-'FACP$'!$K3446</f>
        <v>922504.1172</v>
      </c>
      <c r="M3446" s="162" t="s">
        <v>43</v>
      </c>
      <c r="N3446" s="162" t="s">
        <v>554</v>
      </c>
      <c r="O3446" s="164">
        <v>44883.0</v>
      </c>
      <c r="P3446" s="164">
        <f t="array" ref="P3446">XLOOKUP('FACP$'!$B3446,'perfil de pagos'!A:A,'perfil de pagos'!B:B)+'FACP$'!$D3446</f>
        <v>44864</v>
      </c>
      <c r="Q3446" s="165">
        <f t="shared" si="2"/>
        <v>0</v>
      </c>
      <c r="R3446" s="167"/>
      <c r="S3446" s="167">
        <v>1725.0</v>
      </c>
      <c r="T3446" s="168">
        <f t="shared" si="3"/>
        <v>922504.1172</v>
      </c>
      <c r="U3446" s="168">
        <f t="shared" si="4"/>
        <v>0</v>
      </c>
      <c r="V3446" s="168">
        <f t="shared" si="5"/>
        <v>0</v>
      </c>
      <c r="W3446" s="168">
        <f t="shared" si="6"/>
        <v>0</v>
      </c>
      <c r="X3446" s="168">
        <f t="shared" si="7"/>
        <v>0</v>
      </c>
      <c r="Y3446" s="168">
        <f t="shared" si="8"/>
        <v>0</v>
      </c>
      <c r="Z3446" s="168">
        <f t="shared" si="9"/>
        <v>0</v>
      </c>
    </row>
    <row r="3447" ht="15.0" customHeight="1">
      <c r="A3447" s="157" t="s">
        <v>4259</v>
      </c>
      <c r="B3447" s="158" t="s">
        <v>27</v>
      </c>
      <c r="C3447" s="158" t="s">
        <v>4238</v>
      </c>
      <c r="D3447" s="159">
        <v>44839.0</v>
      </c>
      <c r="E3447" s="157" t="s">
        <v>731</v>
      </c>
      <c r="F3447" s="160">
        <v>7131.84</v>
      </c>
      <c r="G3447" s="160">
        <f>'FACP$'!$F3447*0.16</f>
        <v>1141.0944</v>
      </c>
      <c r="H3447" s="160">
        <f t="shared" si="107"/>
        <v>8272.9344</v>
      </c>
      <c r="I3447" s="160"/>
      <c r="J3447" s="161"/>
      <c r="K3447" s="160"/>
      <c r="L3447" s="160">
        <f>+'FACP$'!$H3447-'FACP$'!$I3447-'FACP$'!$K3447</f>
        <v>8272.9344</v>
      </c>
      <c r="M3447" s="162" t="s">
        <v>158</v>
      </c>
      <c r="N3447" s="162" t="s">
        <v>554</v>
      </c>
      <c r="O3447" s="164">
        <v>44880.0</v>
      </c>
      <c r="P3447" s="164">
        <f t="array" ref="P3447">XLOOKUP('FACP$'!$B3447,'perfil de pagos'!A:A,'perfil de pagos'!B:B)+'FACP$'!$D3447</f>
        <v>44869</v>
      </c>
      <c r="Q3447" s="165">
        <f t="shared" si="2"/>
        <v>0</v>
      </c>
      <c r="R3447" s="167"/>
      <c r="S3447" s="167">
        <v>1705.0</v>
      </c>
      <c r="T3447" s="168">
        <f t="shared" si="3"/>
        <v>8272.9344</v>
      </c>
      <c r="U3447" s="168">
        <f t="shared" si="4"/>
        <v>0</v>
      </c>
      <c r="V3447" s="168">
        <f t="shared" si="5"/>
        <v>0</v>
      </c>
      <c r="W3447" s="168">
        <f t="shared" si="6"/>
        <v>0</v>
      </c>
      <c r="X3447" s="168">
        <f t="shared" si="7"/>
        <v>0</v>
      </c>
      <c r="Y3447" s="168">
        <f t="shared" si="8"/>
        <v>0</v>
      </c>
      <c r="Z3447" s="168">
        <f t="shared" si="9"/>
        <v>0</v>
      </c>
    </row>
    <row r="3448" ht="15.0" customHeight="1">
      <c r="A3448" s="157" t="s">
        <v>4260</v>
      </c>
      <c r="B3448" s="158" t="s">
        <v>27</v>
      </c>
      <c r="C3448" s="158" t="s">
        <v>4240</v>
      </c>
      <c r="D3448" s="159">
        <v>44839.0</v>
      </c>
      <c r="E3448" s="157" t="s">
        <v>731</v>
      </c>
      <c r="F3448" s="160">
        <v>3854.16</v>
      </c>
      <c r="G3448" s="160">
        <f>'FACP$'!$F3448*0.16</f>
        <v>616.6656</v>
      </c>
      <c r="H3448" s="160">
        <f t="shared" si="107"/>
        <v>4470.8256</v>
      </c>
      <c r="I3448" s="160"/>
      <c r="J3448" s="161"/>
      <c r="K3448" s="160"/>
      <c r="L3448" s="160">
        <f>+'FACP$'!$H3448-'FACP$'!$I3448-'FACP$'!$K3448</f>
        <v>4470.8256</v>
      </c>
      <c r="M3448" s="162" t="s">
        <v>158</v>
      </c>
      <c r="N3448" s="162" t="s">
        <v>554</v>
      </c>
      <c r="O3448" s="164">
        <v>44880.0</v>
      </c>
      <c r="P3448" s="164">
        <f t="array" ref="P3448">XLOOKUP('FACP$'!$B3448,'perfil de pagos'!A:A,'perfil de pagos'!B:B)+'FACP$'!$D3448</f>
        <v>44869</v>
      </c>
      <c r="Q3448" s="165">
        <f t="shared" si="2"/>
        <v>0</v>
      </c>
      <c r="R3448" s="167"/>
      <c r="S3448" s="167">
        <v>1705.0</v>
      </c>
      <c r="T3448" s="168">
        <f t="shared" si="3"/>
        <v>4470.8256</v>
      </c>
      <c r="U3448" s="168">
        <f t="shared" si="4"/>
        <v>0</v>
      </c>
      <c r="V3448" s="168">
        <f t="shared" si="5"/>
        <v>0</v>
      </c>
      <c r="W3448" s="168">
        <f t="shared" si="6"/>
        <v>0</v>
      </c>
      <c r="X3448" s="168">
        <f t="shared" si="7"/>
        <v>0</v>
      </c>
      <c r="Y3448" s="168">
        <f t="shared" si="8"/>
        <v>0</v>
      </c>
      <c r="Z3448" s="168">
        <f t="shared" si="9"/>
        <v>0</v>
      </c>
    </row>
    <row r="3449" ht="15.0" customHeight="1">
      <c r="A3449" s="157" t="s">
        <v>4261</v>
      </c>
      <c r="B3449" s="158" t="s">
        <v>27</v>
      </c>
      <c r="C3449" s="158" t="s">
        <v>4238</v>
      </c>
      <c r="D3449" s="159">
        <v>44839.0</v>
      </c>
      <c r="E3449" s="157" t="s">
        <v>731</v>
      </c>
      <c r="F3449" s="160">
        <v>22660.0</v>
      </c>
      <c r="G3449" s="160">
        <f>'FACP$'!$F3449*0.16</f>
        <v>3625.6</v>
      </c>
      <c r="H3449" s="160">
        <f t="shared" si="107"/>
        <v>26285.6</v>
      </c>
      <c r="I3449" s="160"/>
      <c r="J3449" s="161"/>
      <c r="K3449" s="160"/>
      <c r="L3449" s="160">
        <f>+'FACP$'!$H3449-'FACP$'!$I3449-'FACP$'!$K3449</f>
        <v>26285.6</v>
      </c>
      <c r="M3449" s="162" t="s">
        <v>151</v>
      </c>
      <c r="N3449" s="162" t="s">
        <v>554</v>
      </c>
      <c r="O3449" s="164">
        <v>44880.0</v>
      </c>
      <c r="P3449" s="164">
        <f t="array" ref="P3449">XLOOKUP('FACP$'!$B3449,'perfil de pagos'!A:A,'perfil de pagos'!B:B)+'FACP$'!$D3449</f>
        <v>44869</v>
      </c>
      <c r="Q3449" s="165">
        <f t="shared" si="2"/>
        <v>0</v>
      </c>
      <c r="R3449" s="167"/>
      <c r="S3449" s="167">
        <v>1706.0</v>
      </c>
      <c r="T3449" s="168">
        <f t="shared" si="3"/>
        <v>26285.6</v>
      </c>
      <c r="U3449" s="168">
        <f t="shared" si="4"/>
        <v>0</v>
      </c>
      <c r="V3449" s="168">
        <f t="shared" si="5"/>
        <v>0</v>
      </c>
      <c r="W3449" s="168">
        <f t="shared" si="6"/>
        <v>0</v>
      </c>
      <c r="X3449" s="168">
        <f t="shared" si="7"/>
        <v>0</v>
      </c>
      <c r="Y3449" s="168">
        <f t="shared" si="8"/>
        <v>0</v>
      </c>
      <c r="Z3449" s="168">
        <f t="shared" si="9"/>
        <v>0</v>
      </c>
    </row>
    <row r="3450" ht="15.0" customHeight="1">
      <c r="A3450" s="157" t="s">
        <v>4262</v>
      </c>
      <c r="B3450" s="158" t="s">
        <v>27</v>
      </c>
      <c r="C3450" s="158" t="s">
        <v>4240</v>
      </c>
      <c r="D3450" s="159">
        <v>44839.0</v>
      </c>
      <c r="E3450" s="157" t="s">
        <v>731</v>
      </c>
      <c r="F3450" s="160">
        <v>11880.35</v>
      </c>
      <c r="G3450" s="160">
        <f>'FACP$'!$F3450*0.16</f>
        <v>1900.856</v>
      </c>
      <c r="H3450" s="160">
        <f t="shared" si="107"/>
        <v>13781.206</v>
      </c>
      <c r="I3450" s="160"/>
      <c r="J3450" s="161"/>
      <c r="K3450" s="160"/>
      <c r="L3450" s="160">
        <f>+'FACP$'!$H3450-'FACP$'!$I3450-'FACP$'!$K3450</f>
        <v>13781.206</v>
      </c>
      <c r="M3450" s="162" t="s">
        <v>151</v>
      </c>
      <c r="N3450" s="162" t="s">
        <v>554</v>
      </c>
      <c r="O3450" s="164">
        <v>44880.0</v>
      </c>
      <c r="P3450" s="164">
        <f t="array" ref="P3450">XLOOKUP('FACP$'!$B3450,'perfil de pagos'!A:A,'perfil de pagos'!B:B)+'FACP$'!$D3450</f>
        <v>44869</v>
      </c>
      <c r="Q3450" s="165">
        <f t="shared" si="2"/>
        <v>0</v>
      </c>
      <c r="R3450" s="167"/>
      <c r="S3450" s="167">
        <v>1706.0</v>
      </c>
      <c r="T3450" s="168">
        <f t="shared" si="3"/>
        <v>13781.206</v>
      </c>
      <c r="U3450" s="168">
        <f t="shared" si="4"/>
        <v>0</v>
      </c>
      <c r="V3450" s="168">
        <f t="shared" si="5"/>
        <v>0</v>
      </c>
      <c r="W3450" s="168">
        <f t="shared" si="6"/>
        <v>0</v>
      </c>
      <c r="X3450" s="168">
        <f t="shared" si="7"/>
        <v>0</v>
      </c>
      <c r="Y3450" s="168">
        <f t="shared" si="8"/>
        <v>0</v>
      </c>
      <c r="Z3450" s="168">
        <f t="shared" si="9"/>
        <v>0</v>
      </c>
    </row>
    <row r="3451" ht="15.0" customHeight="1">
      <c r="A3451" s="157" t="s">
        <v>4263</v>
      </c>
      <c r="B3451" s="158" t="s">
        <v>27</v>
      </c>
      <c r="C3451" s="158" t="s">
        <v>4244</v>
      </c>
      <c r="D3451" s="159">
        <v>44839.0</v>
      </c>
      <c r="E3451" s="157" t="s">
        <v>731</v>
      </c>
      <c r="F3451" s="160">
        <v>1503.8</v>
      </c>
      <c r="G3451" s="160">
        <f>'FACP$'!$F3451*0.16</f>
        <v>240.608</v>
      </c>
      <c r="H3451" s="160">
        <f t="shared" si="107"/>
        <v>1744.408</v>
      </c>
      <c r="I3451" s="160"/>
      <c r="J3451" s="161"/>
      <c r="K3451" s="160"/>
      <c r="L3451" s="160">
        <f>+'FACP$'!$H3451-'FACP$'!$I3451-'FACP$'!$K3451</f>
        <v>1744.408</v>
      </c>
      <c r="M3451" s="162" t="s">
        <v>151</v>
      </c>
      <c r="N3451" s="162" t="s">
        <v>554</v>
      </c>
      <c r="O3451" s="164">
        <v>44880.0</v>
      </c>
      <c r="P3451" s="164">
        <f t="array" ref="P3451">XLOOKUP('FACP$'!$B3451,'perfil de pagos'!A:A,'perfil de pagos'!B:B)+'FACP$'!$D3451</f>
        <v>44869</v>
      </c>
      <c r="Q3451" s="165">
        <f t="shared" si="2"/>
        <v>0</v>
      </c>
      <c r="R3451" s="167"/>
      <c r="S3451" s="167">
        <v>1706.0</v>
      </c>
      <c r="T3451" s="168">
        <f t="shared" si="3"/>
        <v>1744.408</v>
      </c>
      <c r="U3451" s="168">
        <f t="shared" si="4"/>
        <v>0</v>
      </c>
      <c r="V3451" s="168">
        <f t="shared" si="5"/>
        <v>0</v>
      </c>
      <c r="W3451" s="168">
        <f t="shared" si="6"/>
        <v>0</v>
      </c>
      <c r="X3451" s="168">
        <f t="shared" si="7"/>
        <v>0</v>
      </c>
      <c r="Y3451" s="168">
        <f t="shared" si="8"/>
        <v>0</v>
      </c>
      <c r="Z3451" s="168">
        <f t="shared" si="9"/>
        <v>0</v>
      </c>
    </row>
    <row r="3452" ht="15.0" customHeight="1">
      <c r="A3452" s="157" t="s">
        <v>4264</v>
      </c>
      <c r="B3452" s="158" t="s">
        <v>27</v>
      </c>
      <c r="C3452" s="158" t="s">
        <v>4246</v>
      </c>
      <c r="D3452" s="159">
        <v>44839.0</v>
      </c>
      <c r="E3452" s="157" t="s">
        <v>731</v>
      </c>
      <c r="F3452" s="160">
        <v>787.97</v>
      </c>
      <c r="G3452" s="160">
        <f>'FACP$'!$F3452*0.16</f>
        <v>126.0752</v>
      </c>
      <c r="H3452" s="160">
        <f t="shared" si="107"/>
        <v>914.0452</v>
      </c>
      <c r="I3452" s="160"/>
      <c r="J3452" s="161"/>
      <c r="K3452" s="160"/>
      <c r="L3452" s="160">
        <f>+'FACP$'!$H3452-'FACP$'!$I3452-'FACP$'!$K3452</f>
        <v>914.0452</v>
      </c>
      <c r="M3452" s="162" t="s">
        <v>151</v>
      </c>
      <c r="N3452" s="162" t="s">
        <v>554</v>
      </c>
      <c r="O3452" s="164">
        <v>44880.0</v>
      </c>
      <c r="P3452" s="164">
        <f t="array" ref="P3452">XLOOKUP('FACP$'!$B3452,'perfil de pagos'!A:A,'perfil de pagos'!B:B)+'FACP$'!$D3452</f>
        <v>44869</v>
      </c>
      <c r="Q3452" s="165">
        <f t="shared" si="2"/>
        <v>0</v>
      </c>
      <c r="R3452" s="167"/>
      <c r="S3452" s="167">
        <v>1706.0</v>
      </c>
      <c r="T3452" s="168">
        <f t="shared" si="3"/>
        <v>914.0452</v>
      </c>
      <c r="U3452" s="168">
        <f t="shared" si="4"/>
        <v>0</v>
      </c>
      <c r="V3452" s="168">
        <f t="shared" si="5"/>
        <v>0</v>
      </c>
      <c r="W3452" s="168">
        <f t="shared" si="6"/>
        <v>0</v>
      </c>
      <c r="X3452" s="168">
        <f t="shared" si="7"/>
        <v>0</v>
      </c>
      <c r="Y3452" s="168">
        <f t="shared" si="8"/>
        <v>0</v>
      </c>
      <c r="Z3452" s="168">
        <f t="shared" si="9"/>
        <v>0</v>
      </c>
    </row>
    <row r="3453" ht="15.0" customHeight="1">
      <c r="A3453" s="157" t="s">
        <v>4265</v>
      </c>
      <c r="B3453" s="158" t="s">
        <v>146</v>
      </c>
      <c r="C3453" s="158" t="s">
        <v>146</v>
      </c>
      <c r="D3453" s="159"/>
      <c r="E3453" s="157"/>
      <c r="F3453" s="160"/>
      <c r="G3453" s="160"/>
      <c r="H3453" s="160">
        <f t="shared" si="107"/>
        <v>0</v>
      </c>
      <c r="I3453" s="160"/>
      <c r="J3453" s="161"/>
      <c r="K3453" s="160"/>
      <c r="L3453" s="160">
        <f>+'FACP$'!$H3453-'FACP$'!$I3453-'FACP$'!$K3453</f>
        <v>0</v>
      </c>
      <c r="M3453" s="162"/>
      <c r="N3453" s="162" t="s">
        <v>127</v>
      </c>
      <c r="O3453" s="164"/>
      <c r="P3453" s="164">
        <f>D3453+10</f>
        <v>10</v>
      </c>
      <c r="Q3453" s="165">
        <f t="shared" si="2"/>
        <v>0</v>
      </c>
      <c r="R3453" s="167" t="s">
        <v>448</v>
      </c>
      <c r="S3453" s="167"/>
      <c r="T3453" s="168">
        <f t="shared" si="3"/>
        <v>0</v>
      </c>
      <c r="U3453" s="168">
        <f t="shared" si="4"/>
        <v>0</v>
      </c>
      <c r="V3453" s="168">
        <f t="shared" si="5"/>
        <v>0</v>
      </c>
      <c r="W3453" s="168">
        <f t="shared" si="6"/>
        <v>0</v>
      </c>
      <c r="X3453" s="168">
        <f t="shared" si="7"/>
        <v>0</v>
      </c>
      <c r="Y3453" s="168">
        <f t="shared" si="8"/>
        <v>0</v>
      </c>
      <c r="Z3453" s="168">
        <f t="shared" si="9"/>
        <v>0</v>
      </c>
    </row>
    <row r="3454" ht="15.0" customHeight="1">
      <c r="A3454" s="157" t="s">
        <v>4266</v>
      </c>
      <c r="B3454" s="158" t="s">
        <v>44</v>
      </c>
      <c r="C3454" s="158" t="s">
        <v>4248</v>
      </c>
      <c r="D3454" s="159">
        <v>44839.0</v>
      </c>
      <c r="E3454" s="157" t="s">
        <v>731</v>
      </c>
      <c r="F3454" s="160">
        <v>79557.24</v>
      </c>
      <c r="G3454" s="160">
        <f>'FACP$'!$F3454*0.16</f>
        <v>12729.1584</v>
      </c>
      <c r="H3454" s="160">
        <f t="shared" si="107"/>
        <v>92286.3984</v>
      </c>
      <c r="I3454" s="160"/>
      <c r="J3454" s="161"/>
      <c r="K3454" s="160"/>
      <c r="L3454" s="160">
        <f>+'FACP$'!$H3454-'FACP$'!$I3454-'FACP$'!$K3454</f>
        <v>92286.3984</v>
      </c>
      <c r="M3454" s="162" t="s">
        <v>361</v>
      </c>
      <c r="N3454" s="162" t="s">
        <v>554</v>
      </c>
      <c r="O3454" s="164">
        <v>44841.0</v>
      </c>
      <c r="P3454" s="164">
        <f t="array" ref="P3454">XLOOKUP('FACP$'!$B3454,'perfil de pagos'!A:A,'perfil de pagos'!B:B)+'FACP$'!$D3454</f>
        <v>44849</v>
      </c>
      <c r="Q3454" s="165">
        <f t="shared" si="2"/>
        <v>0</v>
      </c>
      <c r="R3454" s="167"/>
      <c r="S3454" s="167">
        <v>1611.0</v>
      </c>
      <c r="T3454" s="168">
        <f t="shared" si="3"/>
        <v>92286.3984</v>
      </c>
      <c r="U3454" s="168">
        <f t="shared" si="4"/>
        <v>0</v>
      </c>
      <c r="V3454" s="168">
        <f t="shared" si="5"/>
        <v>0</v>
      </c>
      <c r="W3454" s="168">
        <f t="shared" si="6"/>
        <v>0</v>
      </c>
      <c r="X3454" s="168">
        <f t="shared" si="7"/>
        <v>0</v>
      </c>
      <c r="Y3454" s="168">
        <f t="shared" si="8"/>
        <v>0</v>
      </c>
      <c r="Z3454" s="168">
        <f t="shared" si="9"/>
        <v>0</v>
      </c>
    </row>
    <row r="3455" ht="15.0" customHeight="1">
      <c r="A3455" s="157" t="s">
        <v>4267</v>
      </c>
      <c r="B3455" s="158" t="s">
        <v>31</v>
      </c>
      <c r="C3455" s="158" t="s">
        <v>4268</v>
      </c>
      <c r="D3455" s="159">
        <v>44840.0</v>
      </c>
      <c r="E3455" s="157" t="s">
        <v>731</v>
      </c>
      <c r="F3455" s="160">
        <v>56755.31</v>
      </c>
      <c r="G3455" s="160">
        <f>'FACP$'!$F3455*0.16</f>
        <v>9080.8496</v>
      </c>
      <c r="H3455" s="160">
        <f t="shared" si="107"/>
        <v>65836.1596</v>
      </c>
      <c r="I3455" s="252"/>
      <c r="J3455" s="253"/>
      <c r="K3455" s="252"/>
      <c r="L3455" s="160">
        <f>+'FACP$'!$H3455-'FACP$'!$I3455-'FACP$'!$K3455</f>
        <v>65836.1596</v>
      </c>
      <c r="M3455" s="162" t="s">
        <v>3183</v>
      </c>
      <c r="N3455" s="162" t="s">
        <v>554</v>
      </c>
      <c r="O3455" s="164">
        <v>44841.0</v>
      </c>
      <c r="P3455" s="164">
        <f t="array" ref="P3455">XLOOKUP('FACP$'!$B3455,'perfil de pagos'!A:A,'perfil de pagos'!B:B)+'FACP$'!$D3455</f>
        <v>44843</v>
      </c>
      <c r="Q3455" s="165">
        <f t="shared" si="2"/>
        <v>0</v>
      </c>
      <c r="R3455" s="167"/>
      <c r="S3455" s="167">
        <v>1612.0</v>
      </c>
      <c r="T3455" s="168">
        <f t="shared" si="3"/>
        <v>65836.1596</v>
      </c>
      <c r="U3455" s="168">
        <f t="shared" si="4"/>
        <v>0</v>
      </c>
      <c r="V3455" s="168">
        <f t="shared" si="5"/>
        <v>0</v>
      </c>
      <c r="W3455" s="168">
        <f t="shared" si="6"/>
        <v>0</v>
      </c>
      <c r="X3455" s="168">
        <f t="shared" si="7"/>
        <v>0</v>
      </c>
      <c r="Y3455" s="168">
        <f t="shared" si="8"/>
        <v>0</v>
      </c>
      <c r="Z3455" s="168">
        <f t="shared" si="9"/>
        <v>0</v>
      </c>
    </row>
    <row r="3456" ht="15.0" customHeight="1">
      <c r="A3456" s="157" t="s">
        <v>4269</v>
      </c>
      <c r="B3456" s="158" t="s">
        <v>38</v>
      </c>
      <c r="C3456" s="158" t="s">
        <v>4248</v>
      </c>
      <c r="D3456" s="159">
        <v>44841.0</v>
      </c>
      <c r="E3456" s="157" t="s">
        <v>731</v>
      </c>
      <c r="F3456" s="160">
        <v>1329570.17</v>
      </c>
      <c r="G3456" s="160">
        <f>'FACP$'!$F3456*0.16</f>
        <v>212731.2272</v>
      </c>
      <c r="H3456" s="160">
        <f>F3456+G3456-1508560.28</f>
        <v>33741.1172</v>
      </c>
      <c r="I3456" s="160"/>
      <c r="J3456" s="161"/>
      <c r="K3456" s="160"/>
      <c r="L3456" s="160">
        <f>+'FACP$'!$H3456-'FACP$'!$I3456-'FACP$'!$K3456</f>
        <v>33741.1172</v>
      </c>
      <c r="M3456" s="162" t="s">
        <v>145</v>
      </c>
      <c r="N3456" s="162" t="s">
        <v>554</v>
      </c>
      <c r="O3456" s="164">
        <v>44973.0</v>
      </c>
      <c r="P3456" s="164">
        <f t="array" ref="P3456">XLOOKUP('FACP$'!$B3456,'perfil de pagos'!A:A,'perfil de pagos'!B:B)+'FACP$'!$D3456</f>
        <v>44871</v>
      </c>
      <c r="Q3456" s="165">
        <f t="shared" si="2"/>
        <v>0</v>
      </c>
      <c r="R3456" s="168" t="s">
        <v>4270</v>
      </c>
      <c r="S3456" s="167" t="s">
        <v>4236</v>
      </c>
      <c r="T3456" s="168">
        <f t="shared" si="3"/>
        <v>33741.1172</v>
      </c>
      <c r="U3456" s="168">
        <f t="shared" si="4"/>
        <v>0</v>
      </c>
      <c r="V3456" s="168">
        <f t="shared" si="5"/>
        <v>0</v>
      </c>
      <c r="W3456" s="168">
        <f t="shared" si="6"/>
        <v>0</v>
      </c>
      <c r="X3456" s="168">
        <f t="shared" si="7"/>
        <v>0</v>
      </c>
      <c r="Y3456" s="168">
        <f t="shared" si="8"/>
        <v>0</v>
      </c>
      <c r="Z3456" s="168">
        <f t="shared" si="9"/>
        <v>0</v>
      </c>
    </row>
    <row r="3457" ht="15.0" customHeight="1">
      <c r="A3457" s="157" t="s">
        <v>4271</v>
      </c>
      <c r="B3457" s="158" t="s">
        <v>16</v>
      </c>
      <c r="C3457" s="158" t="s">
        <v>4248</v>
      </c>
      <c r="D3457" s="159">
        <v>44841.0</v>
      </c>
      <c r="E3457" s="157" t="s">
        <v>731</v>
      </c>
      <c r="F3457" s="160">
        <v>590679.24</v>
      </c>
      <c r="G3457" s="160">
        <f>'FACP$'!$F3457*0.16</f>
        <v>94508.6784</v>
      </c>
      <c r="H3457" s="160">
        <f t="shared" ref="H3457:H3460" si="108">F3457+G3457</f>
        <v>685187.9184</v>
      </c>
      <c r="I3457" s="160"/>
      <c r="J3457" s="161"/>
      <c r="K3457" s="160"/>
      <c r="L3457" s="160">
        <f>+'FACP$'!$H3457-'FACP$'!$I3457-'FACP$'!$K3457</f>
        <v>685187.9184</v>
      </c>
      <c r="M3457" s="162" t="s">
        <v>985</v>
      </c>
      <c r="N3457" s="162" t="s">
        <v>554</v>
      </c>
      <c r="O3457" s="164">
        <v>44855.0</v>
      </c>
      <c r="P3457" s="164">
        <f t="array" ref="P3457">XLOOKUP('FACP$'!$B3457,'perfil de pagos'!A:A,'perfil de pagos'!B:B)+'FACP$'!$D3457</f>
        <v>44851</v>
      </c>
      <c r="Q3457" s="165">
        <f t="shared" si="2"/>
        <v>0</v>
      </c>
      <c r="R3457" s="167"/>
      <c r="S3457" s="167">
        <v>1656.0</v>
      </c>
      <c r="T3457" s="168">
        <f t="shared" si="3"/>
        <v>685187.9184</v>
      </c>
      <c r="U3457" s="168">
        <f t="shared" si="4"/>
        <v>0</v>
      </c>
      <c r="V3457" s="168">
        <f t="shared" si="5"/>
        <v>0</v>
      </c>
      <c r="W3457" s="168">
        <f t="shared" si="6"/>
        <v>0</v>
      </c>
      <c r="X3457" s="168">
        <f t="shared" si="7"/>
        <v>0</v>
      </c>
      <c r="Y3457" s="168">
        <f t="shared" si="8"/>
        <v>0</v>
      </c>
      <c r="Z3457" s="168">
        <f t="shared" si="9"/>
        <v>0</v>
      </c>
    </row>
    <row r="3458" ht="15.0" customHeight="1">
      <c r="A3458" s="157" t="s">
        <v>4272</v>
      </c>
      <c r="B3458" s="158" t="s">
        <v>16</v>
      </c>
      <c r="C3458" s="158" t="s">
        <v>4273</v>
      </c>
      <c r="D3458" s="159">
        <v>44841.0</v>
      </c>
      <c r="E3458" s="157" t="s">
        <v>731</v>
      </c>
      <c r="F3458" s="160">
        <v>414172.37</v>
      </c>
      <c r="G3458" s="160">
        <f>'FACP$'!$F3458*0.16</f>
        <v>66267.5792</v>
      </c>
      <c r="H3458" s="160">
        <f t="shared" si="108"/>
        <v>480439.9492</v>
      </c>
      <c r="I3458" s="160"/>
      <c r="J3458" s="161"/>
      <c r="K3458" s="160"/>
      <c r="L3458" s="160">
        <f>+'FACP$'!$H3458-'FACP$'!$I3458-'FACP$'!$K3458</f>
        <v>480439.9492</v>
      </c>
      <c r="M3458" s="162" t="s">
        <v>985</v>
      </c>
      <c r="N3458" s="162" t="s">
        <v>554</v>
      </c>
      <c r="O3458" s="164">
        <v>44855.0</v>
      </c>
      <c r="P3458" s="164">
        <f t="array" ref="P3458">XLOOKUP('FACP$'!$B3458,'perfil de pagos'!A:A,'perfil de pagos'!B:B)+'FACP$'!$D3458</f>
        <v>44851</v>
      </c>
      <c r="Q3458" s="165">
        <f t="shared" si="2"/>
        <v>0</v>
      </c>
      <c r="R3458" s="167"/>
      <c r="S3458" s="167">
        <v>1656.0</v>
      </c>
      <c r="T3458" s="168">
        <f t="shared" si="3"/>
        <v>480439.9492</v>
      </c>
      <c r="U3458" s="168">
        <f t="shared" si="4"/>
        <v>0</v>
      </c>
      <c r="V3458" s="168">
        <f t="shared" si="5"/>
        <v>0</v>
      </c>
      <c r="W3458" s="168">
        <f t="shared" si="6"/>
        <v>0</v>
      </c>
      <c r="X3458" s="168">
        <f t="shared" si="7"/>
        <v>0</v>
      </c>
      <c r="Y3458" s="168">
        <f t="shared" si="8"/>
        <v>0</v>
      </c>
      <c r="Z3458" s="168">
        <f t="shared" si="9"/>
        <v>0</v>
      </c>
    </row>
    <row r="3459" ht="15.0" customHeight="1">
      <c r="A3459" s="157" t="s">
        <v>4274</v>
      </c>
      <c r="B3459" s="158" t="s">
        <v>18</v>
      </c>
      <c r="C3459" s="158" t="s">
        <v>4248</v>
      </c>
      <c r="D3459" s="159">
        <v>44841.0</v>
      </c>
      <c r="E3459" s="157" t="s">
        <v>731</v>
      </c>
      <c r="F3459" s="160">
        <v>232999.36</v>
      </c>
      <c r="G3459" s="160">
        <f>'FACP$'!$F3459*0.16</f>
        <v>37279.8976</v>
      </c>
      <c r="H3459" s="160">
        <f t="shared" si="108"/>
        <v>270279.2576</v>
      </c>
      <c r="I3459" s="160"/>
      <c r="J3459" s="161"/>
      <c r="K3459" s="160"/>
      <c r="L3459" s="160">
        <f>+'FACP$'!$H3459-'FACP$'!$I3459-'FACP$'!$K3459</f>
        <v>270279.2576</v>
      </c>
      <c r="M3459" s="162" t="s">
        <v>586</v>
      </c>
      <c r="N3459" s="162" t="s">
        <v>554</v>
      </c>
      <c r="O3459" s="164">
        <v>44874.0</v>
      </c>
      <c r="P3459" s="164">
        <f t="array" ref="P3459">XLOOKUP('FACP$'!$B3459,'perfil de pagos'!A:A,'perfil de pagos'!B:B)+'FACP$'!$D3459</f>
        <v>44851</v>
      </c>
      <c r="Q3459" s="165">
        <f t="shared" si="2"/>
        <v>0</v>
      </c>
      <c r="R3459" s="167"/>
      <c r="S3459" s="167"/>
      <c r="T3459" s="168">
        <f t="shared" si="3"/>
        <v>270279.2576</v>
      </c>
      <c r="U3459" s="168">
        <f t="shared" si="4"/>
        <v>0</v>
      </c>
      <c r="V3459" s="168">
        <f t="shared" si="5"/>
        <v>0</v>
      </c>
      <c r="W3459" s="168">
        <f t="shared" si="6"/>
        <v>0</v>
      </c>
      <c r="X3459" s="168">
        <f t="shared" si="7"/>
        <v>0</v>
      </c>
      <c r="Y3459" s="168">
        <f t="shared" si="8"/>
        <v>0</v>
      </c>
      <c r="Z3459" s="168">
        <f t="shared" si="9"/>
        <v>0</v>
      </c>
    </row>
    <row r="3460" ht="15.0" customHeight="1">
      <c r="A3460" s="157" t="s">
        <v>4275</v>
      </c>
      <c r="B3460" s="158" t="s">
        <v>19</v>
      </c>
      <c r="C3460" s="158" t="s">
        <v>4248</v>
      </c>
      <c r="D3460" s="159">
        <v>44841.0</v>
      </c>
      <c r="E3460" s="157" t="s">
        <v>731</v>
      </c>
      <c r="F3460" s="160">
        <v>330676.44</v>
      </c>
      <c r="G3460" s="160">
        <f>'FACP$'!$F3460*0.16</f>
        <v>52908.2304</v>
      </c>
      <c r="H3460" s="160">
        <f t="shared" si="108"/>
        <v>383584.6704</v>
      </c>
      <c r="I3460" s="160"/>
      <c r="J3460" s="161"/>
      <c r="K3460" s="160"/>
      <c r="L3460" s="160">
        <f>+'FACP$'!$H3460-'FACP$'!$I3460-'FACP$'!$K3460</f>
        <v>383584.6704</v>
      </c>
      <c r="M3460" s="162" t="s">
        <v>732</v>
      </c>
      <c r="N3460" s="162" t="s">
        <v>554</v>
      </c>
      <c r="O3460" s="164">
        <v>44874.0</v>
      </c>
      <c r="P3460" s="164">
        <f t="array" ref="P3460">XLOOKUP('FACP$'!$B3460,'perfil de pagos'!A:A,'perfil de pagos'!B:B)+'FACP$'!$D3460</f>
        <v>44851</v>
      </c>
      <c r="Q3460" s="165">
        <f t="shared" si="2"/>
        <v>0</v>
      </c>
      <c r="R3460" s="167"/>
      <c r="S3460" s="167"/>
      <c r="T3460" s="168">
        <f t="shared" si="3"/>
        <v>383584.6704</v>
      </c>
      <c r="U3460" s="168">
        <f t="shared" si="4"/>
        <v>0</v>
      </c>
      <c r="V3460" s="168">
        <f t="shared" si="5"/>
        <v>0</v>
      </c>
      <c r="W3460" s="168">
        <f t="shared" si="6"/>
        <v>0</v>
      </c>
      <c r="X3460" s="168">
        <f t="shared" si="7"/>
        <v>0</v>
      </c>
      <c r="Y3460" s="168">
        <f t="shared" si="8"/>
        <v>0</v>
      </c>
      <c r="Z3460" s="168">
        <f t="shared" si="9"/>
        <v>0</v>
      </c>
    </row>
    <row r="3461" ht="15.0" customHeight="1">
      <c r="A3461" s="157" t="s">
        <v>4276</v>
      </c>
      <c r="B3461" s="158" t="s">
        <v>22</v>
      </c>
      <c r="C3461" s="158" t="s">
        <v>4248</v>
      </c>
      <c r="D3461" s="159">
        <v>44841.0</v>
      </c>
      <c r="E3461" s="157" t="s">
        <v>731</v>
      </c>
      <c r="F3461" s="160">
        <v>398660.05</v>
      </c>
      <c r="G3461" s="160">
        <f>'FACP$'!$F3461*0.16</f>
        <v>63785.608</v>
      </c>
      <c r="H3461" s="160">
        <f>F3461+G3461-450000</f>
        <v>12445.658</v>
      </c>
      <c r="I3461" s="160"/>
      <c r="J3461" s="161"/>
      <c r="K3461" s="160"/>
      <c r="L3461" s="160">
        <f>+'FACP$'!$H3461-'FACP$'!$I3461-'FACP$'!$K3461</f>
        <v>12445.658</v>
      </c>
      <c r="M3461" s="162" t="s">
        <v>220</v>
      </c>
      <c r="N3461" s="162" t="s">
        <v>554</v>
      </c>
      <c r="O3461" s="164">
        <v>44895.0</v>
      </c>
      <c r="P3461" s="164">
        <f t="array" ref="P3461">XLOOKUP('FACP$'!$B3461,'perfil de pagos'!A:A,'perfil de pagos'!B:B)+'FACP$'!$D3461</f>
        <v>44851</v>
      </c>
      <c r="Q3461" s="165">
        <f t="shared" si="2"/>
        <v>0</v>
      </c>
      <c r="R3461" s="220" t="s">
        <v>4277</v>
      </c>
      <c r="S3461" s="167" t="s">
        <v>4278</v>
      </c>
      <c r="T3461" s="168">
        <f t="shared" si="3"/>
        <v>12445.658</v>
      </c>
      <c r="U3461" s="168">
        <f t="shared" si="4"/>
        <v>0</v>
      </c>
      <c r="V3461" s="168">
        <f t="shared" si="5"/>
        <v>0</v>
      </c>
      <c r="W3461" s="168">
        <f t="shared" si="6"/>
        <v>0</v>
      </c>
      <c r="X3461" s="168">
        <f t="shared" si="7"/>
        <v>0</v>
      </c>
      <c r="Y3461" s="168">
        <f t="shared" si="8"/>
        <v>0</v>
      </c>
      <c r="Z3461" s="168">
        <f t="shared" si="9"/>
        <v>0</v>
      </c>
    </row>
    <row r="3462" ht="15.0" customHeight="1">
      <c r="A3462" s="157" t="s">
        <v>4279</v>
      </c>
      <c r="B3462" s="158" t="s">
        <v>29</v>
      </c>
      <c r="C3462" s="158" t="s">
        <v>4248</v>
      </c>
      <c r="D3462" s="159">
        <v>44841.0</v>
      </c>
      <c r="E3462" s="157" t="s">
        <v>731</v>
      </c>
      <c r="F3462" s="160">
        <v>681976.08</v>
      </c>
      <c r="G3462" s="160">
        <f>'FACP$'!$F3462*0.16</f>
        <v>109116.1728</v>
      </c>
      <c r="H3462" s="160">
        <f t="shared" ref="H3462:H3470" si="109">F3462+G3462</f>
        <v>791092.2528</v>
      </c>
      <c r="I3462" s="160"/>
      <c r="J3462" s="161"/>
      <c r="K3462" s="160"/>
      <c r="L3462" s="160">
        <f>+'FACP$'!$H3462-'FACP$'!$I3462-'FACP$'!$K3462</f>
        <v>791092.2528</v>
      </c>
      <c r="M3462" s="162" t="s">
        <v>130</v>
      </c>
      <c r="N3462" s="162" t="s">
        <v>554</v>
      </c>
      <c r="O3462" s="164">
        <v>44854.0</v>
      </c>
      <c r="P3462" s="164">
        <f t="array" ref="P3462">XLOOKUP('FACP$'!$B3462,'perfil de pagos'!A:A,'perfil de pagos'!B:B)+'FACP$'!$D3462</f>
        <v>44851</v>
      </c>
      <c r="Q3462" s="165">
        <f t="shared" si="2"/>
        <v>0</v>
      </c>
      <c r="R3462" s="167"/>
      <c r="S3462" s="167">
        <v>1654.0</v>
      </c>
      <c r="T3462" s="168">
        <f t="shared" si="3"/>
        <v>791092.2528</v>
      </c>
      <c r="U3462" s="168">
        <f t="shared" si="4"/>
        <v>0</v>
      </c>
      <c r="V3462" s="168">
        <f t="shared" si="5"/>
        <v>0</v>
      </c>
      <c r="W3462" s="168">
        <f t="shared" si="6"/>
        <v>0</v>
      </c>
      <c r="X3462" s="168">
        <f t="shared" si="7"/>
        <v>0</v>
      </c>
      <c r="Y3462" s="168">
        <f t="shared" si="8"/>
        <v>0</v>
      </c>
      <c r="Z3462" s="168">
        <f t="shared" si="9"/>
        <v>0</v>
      </c>
    </row>
    <row r="3463" ht="15.0" customHeight="1">
      <c r="A3463" s="157" t="s">
        <v>4280</v>
      </c>
      <c r="B3463" s="158" t="s">
        <v>29</v>
      </c>
      <c r="C3463" s="158" t="s">
        <v>4273</v>
      </c>
      <c r="D3463" s="159">
        <v>44841.0</v>
      </c>
      <c r="E3463" s="157" t="s">
        <v>731</v>
      </c>
      <c r="F3463" s="160">
        <v>532744.05</v>
      </c>
      <c r="G3463" s="160">
        <f>'FACP$'!$F3463*0.16</f>
        <v>85239.048</v>
      </c>
      <c r="H3463" s="160">
        <f t="shared" si="109"/>
        <v>617983.098</v>
      </c>
      <c r="I3463" s="160"/>
      <c r="J3463" s="161"/>
      <c r="K3463" s="160"/>
      <c r="L3463" s="160">
        <f>+'FACP$'!$H3463-'FACP$'!$I3463-'FACP$'!$K3463</f>
        <v>617983.098</v>
      </c>
      <c r="M3463" s="162" t="s">
        <v>130</v>
      </c>
      <c r="N3463" s="162" t="s">
        <v>554</v>
      </c>
      <c r="O3463" s="164">
        <v>44859.0</v>
      </c>
      <c r="P3463" s="164">
        <f t="array" ref="P3463">XLOOKUP('FACP$'!$B3463,'perfil de pagos'!A:A,'perfil de pagos'!B:B)+'FACP$'!$D3463</f>
        <v>44851</v>
      </c>
      <c r="Q3463" s="165">
        <f t="shared" si="2"/>
        <v>0</v>
      </c>
      <c r="R3463" s="167"/>
      <c r="S3463" s="167">
        <v>1674.0</v>
      </c>
      <c r="T3463" s="168">
        <f t="shared" si="3"/>
        <v>617983.098</v>
      </c>
      <c r="U3463" s="168">
        <f t="shared" si="4"/>
        <v>0</v>
      </c>
      <c r="V3463" s="168">
        <f t="shared" si="5"/>
        <v>0</v>
      </c>
      <c r="W3463" s="168">
        <f t="shared" si="6"/>
        <v>0</v>
      </c>
      <c r="X3463" s="168">
        <f t="shared" si="7"/>
        <v>0</v>
      </c>
      <c r="Y3463" s="168">
        <f t="shared" si="8"/>
        <v>0</v>
      </c>
      <c r="Z3463" s="168">
        <f t="shared" si="9"/>
        <v>0</v>
      </c>
    </row>
    <row r="3464" ht="15.0" customHeight="1">
      <c r="A3464" s="157" t="s">
        <v>4281</v>
      </c>
      <c r="B3464" s="158" t="s">
        <v>37</v>
      </c>
      <c r="C3464" s="158" t="s">
        <v>4248</v>
      </c>
      <c r="D3464" s="159">
        <v>44841.0</v>
      </c>
      <c r="E3464" s="157" t="s">
        <v>731</v>
      </c>
      <c r="F3464" s="160">
        <v>3129185.79</v>
      </c>
      <c r="G3464" s="160">
        <f>'FACP$'!$F3464*0.16</f>
        <v>500669.7264</v>
      </c>
      <c r="H3464" s="160">
        <f t="shared" si="109"/>
        <v>3629855.516</v>
      </c>
      <c r="I3464" s="160"/>
      <c r="J3464" s="161"/>
      <c r="K3464" s="160"/>
      <c r="L3464" s="160">
        <f>+'FACP$'!$H3464-'FACP$'!$I3464-'FACP$'!$K3464</f>
        <v>3629855.516</v>
      </c>
      <c r="M3464" s="162" t="s">
        <v>116</v>
      </c>
      <c r="N3464" s="162" t="s">
        <v>554</v>
      </c>
      <c r="O3464" s="164">
        <v>44858.0</v>
      </c>
      <c r="P3464" s="164">
        <f t="array" ref="P3464">XLOOKUP('FACP$'!$B3464,'perfil de pagos'!A:A,'perfil de pagos'!B:B)+'FACP$'!$D3464</f>
        <v>44851</v>
      </c>
      <c r="Q3464" s="165">
        <f t="shared" si="2"/>
        <v>0</v>
      </c>
      <c r="R3464" s="167"/>
      <c r="S3464" s="167">
        <v>1669.0</v>
      </c>
      <c r="T3464" s="168">
        <f t="shared" si="3"/>
        <v>3629855.516</v>
      </c>
      <c r="U3464" s="168">
        <f t="shared" si="4"/>
        <v>0</v>
      </c>
      <c r="V3464" s="168">
        <f t="shared" si="5"/>
        <v>0</v>
      </c>
      <c r="W3464" s="168">
        <f t="shared" si="6"/>
        <v>0</v>
      </c>
      <c r="X3464" s="168">
        <f t="shared" si="7"/>
        <v>0</v>
      </c>
      <c r="Y3464" s="168">
        <f t="shared" si="8"/>
        <v>0</v>
      </c>
      <c r="Z3464" s="168">
        <f t="shared" si="9"/>
        <v>0</v>
      </c>
    </row>
    <row r="3465" ht="15.0" customHeight="1">
      <c r="A3465" s="157" t="s">
        <v>4282</v>
      </c>
      <c r="B3465" s="158" t="s">
        <v>41</v>
      </c>
      <c r="C3465" s="158" t="s">
        <v>4283</v>
      </c>
      <c r="D3465" s="159">
        <v>44845.0</v>
      </c>
      <c r="E3465" s="157" t="s">
        <v>731</v>
      </c>
      <c r="F3465" s="160">
        <v>35165.71</v>
      </c>
      <c r="G3465" s="160">
        <f>'FACP$'!$F3465*0.16</f>
        <v>5626.5136</v>
      </c>
      <c r="H3465" s="160">
        <f t="shared" si="109"/>
        <v>40792.2236</v>
      </c>
      <c r="I3465" s="160"/>
      <c r="J3465" s="161"/>
      <c r="K3465" s="160"/>
      <c r="L3465" s="160">
        <f>+'FACP$'!$H3465-'FACP$'!$I3465-'FACP$'!$K3465</f>
        <v>40792.2236</v>
      </c>
      <c r="M3465" s="162" t="s">
        <v>121</v>
      </c>
      <c r="N3465" s="162" t="s">
        <v>554</v>
      </c>
      <c r="O3465" s="164">
        <v>44879.0</v>
      </c>
      <c r="P3465" s="164">
        <f t="array" ref="P3465">XLOOKUP('FACP$'!$B3465,'perfil de pagos'!A:A,'perfil de pagos'!B:B)+'FACP$'!$D3465</f>
        <v>44855</v>
      </c>
      <c r="Q3465" s="165">
        <f t="shared" si="2"/>
        <v>0</v>
      </c>
      <c r="R3465" s="167"/>
      <c r="S3465" s="171">
        <v>1717.0</v>
      </c>
      <c r="T3465" s="168">
        <f t="shared" si="3"/>
        <v>40792.2236</v>
      </c>
      <c r="U3465" s="168">
        <f t="shared" si="4"/>
        <v>0</v>
      </c>
      <c r="V3465" s="168">
        <f t="shared" si="5"/>
        <v>0</v>
      </c>
      <c r="W3465" s="168">
        <f t="shared" si="6"/>
        <v>0</v>
      </c>
      <c r="X3465" s="168">
        <f t="shared" si="7"/>
        <v>0</v>
      </c>
      <c r="Y3465" s="168">
        <f t="shared" si="8"/>
        <v>0</v>
      </c>
      <c r="Z3465" s="168">
        <f t="shared" si="9"/>
        <v>0</v>
      </c>
    </row>
    <row r="3466" ht="15.0" customHeight="1">
      <c r="A3466" s="157" t="s">
        <v>4284</v>
      </c>
      <c r="B3466" s="158" t="s">
        <v>31</v>
      </c>
      <c r="C3466" s="158" t="s">
        <v>4285</v>
      </c>
      <c r="D3466" s="159">
        <v>44846.0</v>
      </c>
      <c r="E3466" s="157" t="s">
        <v>731</v>
      </c>
      <c r="F3466" s="160">
        <v>14486.7</v>
      </c>
      <c r="G3466" s="160">
        <f>'FACP$'!$F3466*0.16</f>
        <v>2317.872</v>
      </c>
      <c r="H3466" s="160">
        <f t="shared" si="109"/>
        <v>16804.572</v>
      </c>
      <c r="I3466" s="252"/>
      <c r="J3466" s="253"/>
      <c r="K3466" s="252"/>
      <c r="L3466" s="160">
        <f>+'FACP$'!$H3466-'FACP$'!$I3466-'FACP$'!$K3466</f>
        <v>16804.572</v>
      </c>
      <c r="M3466" s="162" t="s">
        <v>3183</v>
      </c>
      <c r="N3466" s="162" t="s">
        <v>554</v>
      </c>
      <c r="O3466" s="164">
        <v>44848.0</v>
      </c>
      <c r="P3466" s="164">
        <f t="array" ref="P3466">XLOOKUP('FACP$'!$B3466,'perfil de pagos'!A:A,'perfil de pagos'!B:B)+'FACP$'!$D3466</f>
        <v>44849</v>
      </c>
      <c r="Q3466" s="165">
        <f t="shared" si="2"/>
        <v>0</v>
      </c>
      <c r="R3466" s="167"/>
      <c r="S3466" s="167">
        <v>1630.0</v>
      </c>
      <c r="T3466" s="168">
        <f t="shared" si="3"/>
        <v>16804.572</v>
      </c>
      <c r="U3466" s="168">
        <f t="shared" si="4"/>
        <v>0</v>
      </c>
      <c r="V3466" s="168">
        <f t="shared" si="5"/>
        <v>0</v>
      </c>
      <c r="W3466" s="168">
        <f t="shared" si="6"/>
        <v>0</v>
      </c>
      <c r="X3466" s="168">
        <f t="shared" si="7"/>
        <v>0</v>
      </c>
      <c r="Y3466" s="168">
        <f t="shared" si="8"/>
        <v>0</v>
      </c>
      <c r="Z3466" s="168">
        <f t="shared" si="9"/>
        <v>0</v>
      </c>
    </row>
    <row r="3467" ht="15.0" customHeight="1">
      <c r="A3467" s="157" t="s">
        <v>4286</v>
      </c>
      <c r="B3467" s="158" t="s">
        <v>31</v>
      </c>
      <c r="C3467" s="158" t="s">
        <v>4287</v>
      </c>
      <c r="D3467" s="159">
        <v>44846.0</v>
      </c>
      <c r="E3467" s="157" t="s">
        <v>731</v>
      </c>
      <c r="F3467" s="160">
        <v>131690.83</v>
      </c>
      <c r="G3467" s="160">
        <f>'FACP$'!$F3467*0.16</f>
        <v>21070.5328</v>
      </c>
      <c r="H3467" s="160">
        <f t="shared" si="109"/>
        <v>152761.3628</v>
      </c>
      <c r="I3467" s="252"/>
      <c r="J3467" s="253"/>
      <c r="K3467" s="252"/>
      <c r="L3467" s="160">
        <f>+'FACP$'!$H3467-'FACP$'!$I3467-'FACP$'!$K3467</f>
        <v>152761.3628</v>
      </c>
      <c r="M3467" s="162" t="s">
        <v>3183</v>
      </c>
      <c r="N3467" s="162" t="s">
        <v>554</v>
      </c>
      <c r="O3467" s="164">
        <v>44848.0</v>
      </c>
      <c r="P3467" s="164">
        <f t="array" ref="P3467">XLOOKUP('FACP$'!$B3467,'perfil de pagos'!A:A,'perfil de pagos'!B:B)+'FACP$'!$D3467</f>
        <v>44849</v>
      </c>
      <c r="Q3467" s="165">
        <f t="shared" si="2"/>
        <v>0</v>
      </c>
      <c r="R3467" s="167"/>
      <c r="S3467" s="167">
        <v>1631.0</v>
      </c>
      <c r="T3467" s="168">
        <f t="shared" si="3"/>
        <v>152761.3628</v>
      </c>
      <c r="U3467" s="168">
        <f t="shared" si="4"/>
        <v>0</v>
      </c>
      <c r="V3467" s="168">
        <f t="shared" si="5"/>
        <v>0</v>
      </c>
      <c r="W3467" s="168">
        <f t="shared" si="6"/>
        <v>0</v>
      </c>
      <c r="X3467" s="168">
        <f t="shared" si="7"/>
        <v>0</v>
      </c>
      <c r="Y3467" s="168">
        <f t="shared" si="8"/>
        <v>0</v>
      </c>
      <c r="Z3467" s="168">
        <f t="shared" si="9"/>
        <v>0</v>
      </c>
    </row>
    <row r="3468" ht="15.0" customHeight="1">
      <c r="A3468" s="157" t="s">
        <v>4288</v>
      </c>
      <c r="B3468" s="158" t="s">
        <v>15</v>
      </c>
      <c r="C3468" s="158" t="s">
        <v>4289</v>
      </c>
      <c r="D3468" s="159">
        <v>44852.0</v>
      </c>
      <c r="E3468" s="157" t="s">
        <v>731</v>
      </c>
      <c r="F3468" s="160">
        <v>704094.52</v>
      </c>
      <c r="G3468" s="160">
        <f>'FACP$'!$F3468*0.16</f>
        <v>112655.1232</v>
      </c>
      <c r="H3468" s="160">
        <f t="shared" si="109"/>
        <v>816749.6432</v>
      </c>
      <c r="I3468" s="160"/>
      <c r="J3468" s="161"/>
      <c r="K3468" s="160"/>
      <c r="L3468" s="160">
        <f>+'FACP$'!$H3468-'FACP$'!$I3468-'FACP$'!$K3468</f>
        <v>816749.6432</v>
      </c>
      <c r="M3468" s="162" t="s">
        <v>443</v>
      </c>
      <c r="N3468" s="162" t="s">
        <v>554</v>
      </c>
      <c r="O3468" s="164">
        <v>44868.0</v>
      </c>
      <c r="P3468" s="164">
        <f t="array" ref="P3468">XLOOKUP('FACP$'!$B3468,'perfil de pagos'!A:A,'perfil de pagos'!B:B)+'FACP$'!$D3468</f>
        <v>44862</v>
      </c>
      <c r="Q3468" s="165">
        <f t="shared" si="2"/>
        <v>0</v>
      </c>
      <c r="R3468" s="167"/>
      <c r="S3468" s="167">
        <v>1689.0</v>
      </c>
      <c r="T3468" s="168">
        <f t="shared" si="3"/>
        <v>816749.6432</v>
      </c>
      <c r="U3468" s="168">
        <f t="shared" si="4"/>
        <v>0</v>
      </c>
      <c r="V3468" s="168">
        <f t="shared" si="5"/>
        <v>0</v>
      </c>
      <c r="W3468" s="168">
        <f t="shared" si="6"/>
        <v>0</v>
      </c>
      <c r="X3468" s="168">
        <f t="shared" si="7"/>
        <v>0</v>
      </c>
      <c r="Y3468" s="168">
        <f t="shared" si="8"/>
        <v>0</v>
      </c>
      <c r="Z3468" s="168">
        <f t="shared" si="9"/>
        <v>0</v>
      </c>
    </row>
    <row r="3469" ht="15.0" customHeight="1">
      <c r="A3469" s="157" t="s">
        <v>4290</v>
      </c>
      <c r="B3469" s="158" t="s">
        <v>21</v>
      </c>
      <c r="C3469" s="158" t="s">
        <v>4289</v>
      </c>
      <c r="D3469" s="159">
        <v>44852.0</v>
      </c>
      <c r="E3469" s="157" t="s">
        <v>731</v>
      </c>
      <c r="F3469" s="160">
        <v>32476.72</v>
      </c>
      <c r="G3469" s="160">
        <f>'FACP$'!$F3469*0.16</f>
        <v>5196.2752</v>
      </c>
      <c r="H3469" s="160">
        <f t="shared" si="109"/>
        <v>37672.9952</v>
      </c>
      <c r="I3469" s="160"/>
      <c r="J3469" s="161"/>
      <c r="K3469" s="160"/>
      <c r="L3469" s="160">
        <f>+'FACP$'!$H3469-'FACP$'!$I3469-'FACP$'!$K3469</f>
        <v>37672.9952</v>
      </c>
      <c r="M3469" s="162" t="s">
        <v>2263</v>
      </c>
      <c r="N3469" s="162" t="s">
        <v>554</v>
      </c>
      <c r="O3469" s="164">
        <v>44887.0</v>
      </c>
      <c r="P3469" s="164">
        <f t="array" ref="P3469">XLOOKUP('FACP$'!$B3469,'perfil de pagos'!A:A,'perfil de pagos'!B:B)+'FACP$'!$D3469</f>
        <v>44862</v>
      </c>
      <c r="Q3469" s="165">
        <f t="shared" si="2"/>
        <v>0</v>
      </c>
      <c r="R3469" s="294"/>
      <c r="S3469" s="167"/>
      <c r="T3469" s="168">
        <f t="shared" si="3"/>
        <v>37672.9952</v>
      </c>
      <c r="U3469" s="168">
        <f t="shared" si="4"/>
        <v>0</v>
      </c>
      <c r="V3469" s="168">
        <f t="shared" si="5"/>
        <v>0</v>
      </c>
      <c r="W3469" s="168">
        <f t="shared" si="6"/>
        <v>0</v>
      </c>
      <c r="X3469" s="168">
        <f t="shared" si="7"/>
        <v>0</v>
      </c>
      <c r="Y3469" s="168">
        <f t="shared" si="8"/>
        <v>0</v>
      </c>
      <c r="Z3469" s="168">
        <f t="shared" si="9"/>
        <v>0</v>
      </c>
    </row>
    <row r="3470" ht="15.0" customHeight="1">
      <c r="A3470" s="157" t="s">
        <v>4291</v>
      </c>
      <c r="B3470" s="158" t="s">
        <v>33</v>
      </c>
      <c r="C3470" s="158" t="s">
        <v>4289</v>
      </c>
      <c r="D3470" s="159">
        <v>44852.0</v>
      </c>
      <c r="E3470" s="157" t="s">
        <v>731</v>
      </c>
      <c r="F3470" s="160">
        <v>982053.1</v>
      </c>
      <c r="G3470" s="160">
        <f>'FACP$'!$F3470*0.16</f>
        <v>157128.496</v>
      </c>
      <c r="H3470" s="160">
        <f t="shared" si="109"/>
        <v>1139181.596</v>
      </c>
      <c r="I3470" s="160"/>
      <c r="J3470" s="161"/>
      <c r="K3470" s="160"/>
      <c r="L3470" s="160">
        <f>+'FACP$'!$H3470-'FACP$'!$I3470-'FACP$'!$K3470</f>
        <v>1139181.596</v>
      </c>
      <c r="M3470" s="162" t="s">
        <v>958</v>
      </c>
      <c r="N3470" s="162" t="s">
        <v>554</v>
      </c>
      <c r="O3470" s="164">
        <v>44897.0</v>
      </c>
      <c r="P3470" s="164">
        <f t="array" ref="P3470">XLOOKUP('FACP$'!$B3470,'perfil de pagos'!A:A,'perfil de pagos'!B:B)+'FACP$'!$D3470</f>
        <v>44862</v>
      </c>
      <c r="Q3470" s="165">
        <f t="shared" si="2"/>
        <v>0</v>
      </c>
      <c r="R3470" s="167"/>
      <c r="S3470" s="167">
        <v>1777.0</v>
      </c>
      <c r="T3470" s="168">
        <f t="shared" si="3"/>
        <v>1139181.596</v>
      </c>
      <c r="U3470" s="168">
        <f t="shared" si="4"/>
        <v>0</v>
      </c>
      <c r="V3470" s="168">
        <f t="shared" si="5"/>
        <v>0</v>
      </c>
      <c r="W3470" s="168">
        <f t="shared" si="6"/>
        <v>0</v>
      </c>
      <c r="X3470" s="168">
        <f t="shared" si="7"/>
        <v>0</v>
      </c>
      <c r="Y3470" s="168">
        <f t="shared" si="8"/>
        <v>0</v>
      </c>
      <c r="Z3470" s="168">
        <f t="shared" si="9"/>
        <v>0</v>
      </c>
    </row>
    <row r="3471" ht="15.0" customHeight="1">
      <c r="A3471" s="157" t="s">
        <v>4292</v>
      </c>
      <c r="B3471" s="158" t="s">
        <v>35</v>
      </c>
      <c r="C3471" s="158" t="s">
        <v>4289</v>
      </c>
      <c r="D3471" s="159">
        <v>44852.0</v>
      </c>
      <c r="E3471" s="157" t="s">
        <v>731</v>
      </c>
      <c r="F3471" s="160">
        <v>232970.0</v>
      </c>
      <c r="G3471" s="160">
        <f>'FACP$'!$F3471*0.16</f>
        <v>37275.2</v>
      </c>
      <c r="H3471" s="160">
        <f>F3471+G3471-'NCP$'!H199-99.86-99.86</f>
        <v>229031.2556</v>
      </c>
      <c r="I3471" s="160"/>
      <c r="J3471" s="161"/>
      <c r="K3471" s="160"/>
      <c r="L3471" s="160">
        <f>+'FACP$'!$H3471-'FACP$'!$I3471-'FACP$'!$K3471</f>
        <v>229031.2556</v>
      </c>
      <c r="M3471" s="162" t="s">
        <v>276</v>
      </c>
      <c r="N3471" s="162" t="s">
        <v>554</v>
      </c>
      <c r="O3471" s="164">
        <v>44911.0</v>
      </c>
      <c r="P3471" s="164">
        <f t="array" ref="P3471">XLOOKUP('FACP$'!$B3471,'perfil de pagos'!A:A,'perfil de pagos'!B:B)+'FACP$'!$D3471</f>
        <v>44862</v>
      </c>
      <c r="Q3471" s="165">
        <f t="shared" si="2"/>
        <v>0</v>
      </c>
      <c r="R3471" s="220" t="s">
        <v>4293</v>
      </c>
      <c r="S3471" s="167" t="s">
        <v>4294</v>
      </c>
      <c r="T3471" s="168">
        <f t="shared" si="3"/>
        <v>229031.2556</v>
      </c>
      <c r="U3471" s="168">
        <f t="shared" si="4"/>
        <v>0</v>
      </c>
      <c r="V3471" s="168">
        <f t="shared" si="5"/>
        <v>0</v>
      </c>
      <c r="W3471" s="168">
        <f t="shared" si="6"/>
        <v>0</v>
      </c>
      <c r="X3471" s="168">
        <f t="shared" si="7"/>
        <v>0</v>
      </c>
      <c r="Y3471" s="168">
        <f t="shared" si="8"/>
        <v>0</v>
      </c>
      <c r="Z3471" s="168">
        <f t="shared" si="9"/>
        <v>0</v>
      </c>
      <c r="AA3471" s="81"/>
      <c r="AB3471" s="81"/>
      <c r="AC3471" s="81"/>
    </row>
    <row r="3472" ht="15.0" customHeight="1">
      <c r="A3472" s="157" t="s">
        <v>4295</v>
      </c>
      <c r="B3472" s="158" t="s">
        <v>36</v>
      </c>
      <c r="C3472" s="158" t="s">
        <v>4289</v>
      </c>
      <c r="D3472" s="159">
        <v>44852.0</v>
      </c>
      <c r="E3472" s="157" t="s">
        <v>731</v>
      </c>
      <c r="F3472" s="160">
        <v>104993.14</v>
      </c>
      <c r="G3472" s="160">
        <f>'FACP$'!$F3472*0.16</f>
        <v>16798.9024</v>
      </c>
      <c r="H3472" s="160">
        <f t="shared" ref="H3472:H3492" si="110">F3472+G3472</f>
        <v>121792.0424</v>
      </c>
      <c r="I3472" s="160"/>
      <c r="J3472" s="161"/>
      <c r="K3472" s="160"/>
      <c r="L3472" s="160">
        <f>+'FACP$'!$H3472-'FACP$'!$I3472-'FACP$'!$K3472</f>
        <v>121792.0424</v>
      </c>
      <c r="M3472" s="162" t="s">
        <v>278</v>
      </c>
      <c r="N3472" s="162" t="s">
        <v>554</v>
      </c>
      <c r="O3472" s="164">
        <v>44872.0</v>
      </c>
      <c r="P3472" s="164">
        <f t="array" ref="P3472">XLOOKUP('FACP$'!$B3472,'perfil de pagos'!A:A,'perfil de pagos'!B:B)+'FACP$'!$D3472</f>
        <v>44862</v>
      </c>
      <c r="Q3472" s="165">
        <f t="shared" si="2"/>
        <v>0</v>
      </c>
      <c r="R3472" s="167"/>
      <c r="S3472" s="167">
        <v>1696.0</v>
      </c>
      <c r="T3472" s="168">
        <f t="shared" si="3"/>
        <v>121792.0424</v>
      </c>
      <c r="U3472" s="168">
        <f t="shared" si="4"/>
        <v>0</v>
      </c>
      <c r="V3472" s="168">
        <f t="shared" si="5"/>
        <v>0</v>
      </c>
      <c r="W3472" s="168">
        <f t="shared" si="6"/>
        <v>0</v>
      </c>
      <c r="X3472" s="168">
        <f t="shared" si="7"/>
        <v>0</v>
      </c>
      <c r="Y3472" s="168">
        <f t="shared" si="8"/>
        <v>0</v>
      </c>
      <c r="Z3472" s="168">
        <f t="shared" si="9"/>
        <v>0</v>
      </c>
      <c r="AA3472" s="81"/>
      <c r="AB3472" s="81"/>
      <c r="AC3472" s="81"/>
    </row>
    <row r="3473" ht="15.0" customHeight="1">
      <c r="A3473" s="157" t="s">
        <v>4296</v>
      </c>
      <c r="B3473" s="209" t="s">
        <v>31</v>
      </c>
      <c r="C3473" s="209" t="s">
        <v>4289</v>
      </c>
      <c r="D3473" s="186">
        <v>44852.0</v>
      </c>
      <c r="E3473" s="210" t="s">
        <v>731</v>
      </c>
      <c r="F3473" s="211">
        <v>211464.91</v>
      </c>
      <c r="G3473" s="211">
        <f>'FACP$'!$F3473*0.16</f>
        <v>33834.3856</v>
      </c>
      <c r="H3473" s="160">
        <f t="shared" si="110"/>
        <v>245299.2956</v>
      </c>
      <c r="I3473" s="267"/>
      <c r="J3473" s="268"/>
      <c r="K3473" s="267"/>
      <c r="L3473" s="211">
        <f>+'FACP$'!$H3473-'FACP$'!$I3473-'FACP$'!$K3473</f>
        <v>245299.2956</v>
      </c>
      <c r="M3473" s="227" t="s">
        <v>3183</v>
      </c>
      <c r="N3473" s="227" t="s">
        <v>127</v>
      </c>
      <c r="O3473" s="245"/>
      <c r="P3473" s="245">
        <f t="array" ref="P3473">XLOOKUP('FACP$'!$B3473,'perfil de pagos'!A:A,'perfil de pagos'!B:B)+'FACP$'!$D3473</f>
        <v>44855</v>
      </c>
      <c r="Q3473" s="246">
        <f t="shared" si="2"/>
        <v>0</v>
      </c>
      <c r="R3473" s="223" t="s">
        <v>4297</v>
      </c>
      <c r="S3473" s="223"/>
      <c r="T3473" s="168">
        <f t="shared" si="3"/>
        <v>245299.2956</v>
      </c>
      <c r="U3473" s="168">
        <f t="shared" si="4"/>
        <v>0</v>
      </c>
      <c r="V3473" s="168">
        <f t="shared" si="5"/>
        <v>0</v>
      </c>
      <c r="W3473" s="168">
        <f t="shared" si="6"/>
        <v>0</v>
      </c>
      <c r="X3473" s="168">
        <f t="shared" si="7"/>
        <v>0</v>
      </c>
      <c r="Y3473" s="168">
        <f t="shared" si="8"/>
        <v>0</v>
      </c>
      <c r="Z3473" s="168">
        <f t="shared" si="9"/>
        <v>0</v>
      </c>
    </row>
    <row r="3474" ht="15.0" customHeight="1">
      <c r="A3474" s="157" t="s">
        <v>4298</v>
      </c>
      <c r="B3474" s="158" t="s">
        <v>41</v>
      </c>
      <c r="C3474" s="158" t="s">
        <v>4289</v>
      </c>
      <c r="D3474" s="159">
        <v>44852.0</v>
      </c>
      <c r="E3474" s="157" t="s">
        <v>731</v>
      </c>
      <c r="F3474" s="160">
        <v>664603.09</v>
      </c>
      <c r="G3474" s="160">
        <f>'FACP$'!$F3474*0.16</f>
        <v>106336.4944</v>
      </c>
      <c r="H3474" s="160">
        <f t="shared" si="110"/>
        <v>770939.5844</v>
      </c>
      <c r="I3474" s="160"/>
      <c r="J3474" s="161"/>
      <c r="K3474" s="160"/>
      <c r="L3474" s="160">
        <f>+'FACP$'!$H3474-'FACP$'!$I3474-'FACP$'!$K3474</f>
        <v>770939.5844</v>
      </c>
      <c r="M3474" s="162" t="s">
        <v>361</v>
      </c>
      <c r="N3474" s="162" t="s">
        <v>554</v>
      </c>
      <c r="O3474" s="164">
        <v>44918.0</v>
      </c>
      <c r="P3474" s="164">
        <f t="array" ref="P3474">XLOOKUP('FACP$'!$B3474,'perfil de pagos'!A:A,'perfil de pagos'!B:B)+'FACP$'!$D3474</f>
        <v>44862</v>
      </c>
      <c r="Q3474" s="165">
        <f t="shared" si="2"/>
        <v>0</v>
      </c>
      <c r="R3474" s="167"/>
      <c r="S3474" s="167">
        <v>1865.0</v>
      </c>
      <c r="T3474" s="168">
        <f t="shared" si="3"/>
        <v>770939.5844</v>
      </c>
      <c r="U3474" s="168">
        <f t="shared" si="4"/>
        <v>0</v>
      </c>
      <c r="V3474" s="168">
        <f t="shared" si="5"/>
        <v>0</v>
      </c>
      <c r="W3474" s="168">
        <f t="shared" si="6"/>
        <v>0</v>
      </c>
      <c r="X3474" s="168">
        <f t="shared" si="7"/>
        <v>0</v>
      </c>
      <c r="Y3474" s="168">
        <f t="shared" si="8"/>
        <v>0</v>
      </c>
      <c r="Z3474" s="168">
        <f t="shared" si="9"/>
        <v>0</v>
      </c>
    </row>
    <row r="3475" ht="15.0" customHeight="1">
      <c r="A3475" s="157" t="s">
        <v>4299</v>
      </c>
      <c r="B3475" s="158" t="s">
        <v>42</v>
      </c>
      <c r="C3475" s="158" t="s">
        <v>4289</v>
      </c>
      <c r="D3475" s="159">
        <v>44852.0</v>
      </c>
      <c r="E3475" s="157" t="s">
        <v>731</v>
      </c>
      <c r="F3475" s="160">
        <v>224540.23</v>
      </c>
      <c r="G3475" s="160">
        <f>'FACP$'!$F3475*0.16</f>
        <v>35926.4368</v>
      </c>
      <c r="H3475" s="160">
        <f t="shared" si="110"/>
        <v>260466.6668</v>
      </c>
      <c r="I3475" s="160"/>
      <c r="J3475" s="161"/>
      <c r="K3475" s="160"/>
      <c r="L3475" s="160">
        <f>+'FACP$'!$H3475-'FACP$'!$I3475-'FACP$'!$K3475</f>
        <v>260466.6668</v>
      </c>
      <c r="M3475" s="162" t="s">
        <v>42</v>
      </c>
      <c r="N3475" s="162" t="s">
        <v>554</v>
      </c>
      <c r="O3475" s="164">
        <v>44861.0</v>
      </c>
      <c r="P3475" s="164">
        <f t="array" ref="P3475">XLOOKUP('FACP$'!$B3475,'perfil de pagos'!A:A,'perfil de pagos'!B:B)+'FACP$'!$D3475</f>
        <v>44862</v>
      </c>
      <c r="Q3475" s="165">
        <f t="shared" si="2"/>
        <v>0</v>
      </c>
      <c r="R3475" s="167"/>
      <c r="S3475" s="167">
        <v>1676.0</v>
      </c>
      <c r="T3475" s="168">
        <f t="shared" si="3"/>
        <v>260466.6668</v>
      </c>
      <c r="U3475" s="168">
        <f t="shared" si="4"/>
        <v>0</v>
      </c>
      <c r="V3475" s="168">
        <f t="shared" si="5"/>
        <v>0</v>
      </c>
      <c r="W3475" s="168">
        <f t="shared" si="6"/>
        <v>0</v>
      </c>
      <c r="X3475" s="168">
        <f t="shared" si="7"/>
        <v>0</v>
      </c>
      <c r="Y3475" s="168">
        <f t="shared" si="8"/>
        <v>0</v>
      </c>
      <c r="Z3475" s="168">
        <f t="shared" si="9"/>
        <v>0</v>
      </c>
    </row>
    <row r="3476" ht="15.0" customHeight="1">
      <c r="A3476" s="157" t="s">
        <v>4300</v>
      </c>
      <c r="B3476" s="158" t="s">
        <v>43</v>
      </c>
      <c r="C3476" s="158" t="s">
        <v>4289</v>
      </c>
      <c r="D3476" s="159">
        <v>44852.0</v>
      </c>
      <c r="E3476" s="157" t="s">
        <v>731</v>
      </c>
      <c r="F3476" s="160">
        <v>850408.99</v>
      </c>
      <c r="G3476" s="160">
        <f>'FACP$'!$F3476*0.16</f>
        <v>136065.4384</v>
      </c>
      <c r="H3476" s="160">
        <f t="shared" si="110"/>
        <v>986474.4284</v>
      </c>
      <c r="I3476" s="160"/>
      <c r="J3476" s="161"/>
      <c r="K3476" s="160"/>
      <c r="L3476" s="160">
        <f>+'FACP$'!$H3476-'FACP$'!$I3476-'FACP$'!$K3476</f>
        <v>986474.4284</v>
      </c>
      <c r="M3476" s="162" t="s">
        <v>43</v>
      </c>
      <c r="N3476" s="162" t="s">
        <v>554</v>
      </c>
      <c r="O3476" s="164">
        <v>44895.0</v>
      </c>
      <c r="P3476" s="164">
        <f t="array" ref="P3476">XLOOKUP('FACP$'!$B3476,'perfil de pagos'!A:A,'perfil de pagos'!B:B)+'FACP$'!$D3476</f>
        <v>44877</v>
      </c>
      <c r="Q3476" s="165">
        <f t="shared" si="2"/>
        <v>0</v>
      </c>
      <c r="R3476" s="167"/>
      <c r="S3476" s="167">
        <v>1769.0</v>
      </c>
      <c r="T3476" s="168">
        <f t="shared" si="3"/>
        <v>986474.4284</v>
      </c>
      <c r="U3476" s="168">
        <f t="shared" si="4"/>
        <v>0</v>
      </c>
      <c r="V3476" s="168">
        <f t="shared" si="5"/>
        <v>0</v>
      </c>
      <c r="W3476" s="168">
        <f t="shared" si="6"/>
        <v>0</v>
      </c>
      <c r="X3476" s="168">
        <f t="shared" si="7"/>
        <v>0</v>
      </c>
      <c r="Y3476" s="168">
        <f t="shared" si="8"/>
        <v>0</v>
      </c>
      <c r="Z3476" s="168">
        <f t="shared" si="9"/>
        <v>0</v>
      </c>
    </row>
    <row r="3477" ht="15.0" customHeight="1">
      <c r="A3477" s="157" t="s">
        <v>4301</v>
      </c>
      <c r="B3477" s="158" t="s">
        <v>44</v>
      </c>
      <c r="C3477" s="158" t="s">
        <v>4289</v>
      </c>
      <c r="D3477" s="159">
        <v>44852.0</v>
      </c>
      <c r="E3477" s="157" t="s">
        <v>731</v>
      </c>
      <c r="F3477" s="160">
        <v>227083.61</v>
      </c>
      <c r="G3477" s="160">
        <f>'FACP$'!$F3477*0.16</f>
        <v>36333.3776</v>
      </c>
      <c r="H3477" s="160">
        <f t="shared" si="110"/>
        <v>263416.9876</v>
      </c>
      <c r="I3477" s="160"/>
      <c r="J3477" s="161"/>
      <c r="K3477" s="160"/>
      <c r="L3477" s="160">
        <f>+'FACP$'!$H3477-'FACP$'!$I3477-'FACP$'!$K3477</f>
        <v>263416.9876</v>
      </c>
      <c r="M3477" s="162" t="s">
        <v>361</v>
      </c>
      <c r="N3477" s="162" t="s">
        <v>554</v>
      </c>
      <c r="O3477" s="164">
        <v>44861.0</v>
      </c>
      <c r="P3477" s="164">
        <f t="array" ref="P3477">XLOOKUP('FACP$'!$B3477,'perfil de pagos'!A:A,'perfil de pagos'!B:B)+'FACP$'!$D3477</f>
        <v>44862</v>
      </c>
      <c r="Q3477" s="165">
        <f t="shared" si="2"/>
        <v>0</v>
      </c>
      <c r="R3477" s="167"/>
      <c r="S3477" s="167">
        <v>1675.0</v>
      </c>
      <c r="T3477" s="168">
        <f t="shared" si="3"/>
        <v>263416.9876</v>
      </c>
      <c r="U3477" s="168">
        <f t="shared" si="4"/>
        <v>0</v>
      </c>
      <c r="V3477" s="168">
        <f t="shared" si="5"/>
        <v>0</v>
      </c>
      <c r="W3477" s="168">
        <f t="shared" si="6"/>
        <v>0</v>
      </c>
      <c r="X3477" s="168">
        <f t="shared" si="7"/>
        <v>0</v>
      </c>
      <c r="Y3477" s="168">
        <f t="shared" si="8"/>
        <v>0</v>
      </c>
      <c r="Z3477" s="168">
        <f t="shared" si="9"/>
        <v>0</v>
      </c>
    </row>
    <row r="3478" ht="15.0" customHeight="1">
      <c r="A3478" s="157" t="s">
        <v>4302</v>
      </c>
      <c r="B3478" s="158" t="s">
        <v>27</v>
      </c>
      <c r="C3478" s="158" t="s">
        <v>4303</v>
      </c>
      <c r="D3478" s="159">
        <v>44852.0</v>
      </c>
      <c r="E3478" s="157" t="s">
        <v>731</v>
      </c>
      <c r="F3478" s="160">
        <v>410493.07</v>
      </c>
      <c r="G3478" s="160">
        <f>'FACP$'!$F3478*0.16</f>
        <v>65678.8912</v>
      </c>
      <c r="H3478" s="160">
        <f t="shared" si="110"/>
        <v>476171.9612</v>
      </c>
      <c r="I3478" s="160"/>
      <c r="J3478" s="161"/>
      <c r="K3478" s="160"/>
      <c r="L3478" s="160">
        <f>+'FACP$'!$H3478-'FACP$'!$I3478-'FACP$'!$K3478</f>
        <v>476171.9612</v>
      </c>
      <c r="M3478" s="162" t="s">
        <v>158</v>
      </c>
      <c r="N3478" s="162" t="s">
        <v>554</v>
      </c>
      <c r="O3478" s="164">
        <v>44887.0</v>
      </c>
      <c r="P3478" s="164">
        <f t="array" ref="P3478">XLOOKUP('FACP$'!$B3478,'perfil de pagos'!A:A,'perfil de pagos'!B:B)+'FACP$'!$D3478</f>
        <v>44882</v>
      </c>
      <c r="Q3478" s="165">
        <f t="shared" si="2"/>
        <v>0</v>
      </c>
      <c r="R3478" s="167"/>
      <c r="S3478" s="167">
        <v>1733.0</v>
      </c>
      <c r="T3478" s="168">
        <f t="shared" si="3"/>
        <v>476171.9612</v>
      </c>
      <c r="U3478" s="168">
        <f t="shared" si="4"/>
        <v>0</v>
      </c>
      <c r="V3478" s="168">
        <f t="shared" si="5"/>
        <v>0</v>
      </c>
      <c r="W3478" s="168">
        <f t="shared" si="6"/>
        <v>0</v>
      </c>
      <c r="X3478" s="168">
        <f t="shared" si="7"/>
        <v>0</v>
      </c>
      <c r="Y3478" s="168">
        <f t="shared" si="8"/>
        <v>0</v>
      </c>
      <c r="Z3478" s="168">
        <f t="shared" si="9"/>
        <v>0</v>
      </c>
    </row>
    <row r="3479" ht="15.0" customHeight="1">
      <c r="A3479" s="157" t="s">
        <v>4304</v>
      </c>
      <c r="B3479" s="158" t="s">
        <v>27</v>
      </c>
      <c r="C3479" s="158" t="s">
        <v>4305</v>
      </c>
      <c r="D3479" s="159">
        <v>44852.0</v>
      </c>
      <c r="E3479" s="157" t="s">
        <v>731</v>
      </c>
      <c r="F3479" s="160">
        <v>180268.0</v>
      </c>
      <c r="G3479" s="160">
        <f>'FACP$'!$F3479*0.16</f>
        <v>28842.88</v>
      </c>
      <c r="H3479" s="160">
        <f t="shared" si="110"/>
        <v>209110.88</v>
      </c>
      <c r="I3479" s="160"/>
      <c r="J3479" s="161"/>
      <c r="K3479" s="160"/>
      <c r="L3479" s="160">
        <f>+'FACP$'!$H3479-'FACP$'!$I3479-'FACP$'!$K3479</f>
        <v>209110.88</v>
      </c>
      <c r="M3479" s="162" t="s">
        <v>158</v>
      </c>
      <c r="N3479" s="162" t="s">
        <v>554</v>
      </c>
      <c r="O3479" s="164">
        <v>44890.0</v>
      </c>
      <c r="P3479" s="164">
        <f t="array" ref="P3479">XLOOKUP('FACP$'!$B3479,'perfil de pagos'!A:A,'perfil de pagos'!B:B)+'FACP$'!$D3479</f>
        <v>44882</v>
      </c>
      <c r="Q3479" s="165">
        <f t="shared" si="2"/>
        <v>0</v>
      </c>
      <c r="R3479" s="167"/>
      <c r="S3479" s="167">
        <v>1757.0</v>
      </c>
      <c r="T3479" s="168">
        <f t="shared" si="3"/>
        <v>209110.88</v>
      </c>
      <c r="U3479" s="168">
        <f t="shared" si="4"/>
        <v>0</v>
      </c>
      <c r="V3479" s="168">
        <f t="shared" si="5"/>
        <v>0</v>
      </c>
      <c r="W3479" s="168">
        <f t="shared" si="6"/>
        <v>0</v>
      </c>
      <c r="X3479" s="168">
        <f t="shared" si="7"/>
        <v>0</v>
      </c>
      <c r="Y3479" s="168">
        <f t="shared" si="8"/>
        <v>0</v>
      </c>
      <c r="Z3479" s="168">
        <f t="shared" si="9"/>
        <v>0</v>
      </c>
    </row>
    <row r="3480" ht="15.0" customHeight="1">
      <c r="A3480" s="157" t="s">
        <v>4306</v>
      </c>
      <c r="B3480" s="158" t="s">
        <v>27</v>
      </c>
      <c r="C3480" s="158" t="s">
        <v>4303</v>
      </c>
      <c r="D3480" s="159">
        <v>44852.0</v>
      </c>
      <c r="E3480" s="157" t="s">
        <v>731</v>
      </c>
      <c r="F3480" s="160">
        <v>543598.46</v>
      </c>
      <c r="G3480" s="160">
        <f>'FACP$'!$F3480*0.16</f>
        <v>86975.7536</v>
      </c>
      <c r="H3480" s="160">
        <f t="shared" si="110"/>
        <v>630574.2136</v>
      </c>
      <c r="I3480" s="160"/>
      <c r="J3480" s="161"/>
      <c r="K3480" s="160"/>
      <c r="L3480" s="160">
        <f>+'FACP$'!$H3480-'FACP$'!$I3480-'FACP$'!$K3480</f>
        <v>630574.2136</v>
      </c>
      <c r="M3480" s="162" t="s">
        <v>151</v>
      </c>
      <c r="N3480" s="162" t="s">
        <v>554</v>
      </c>
      <c r="O3480" s="164">
        <v>44887.0</v>
      </c>
      <c r="P3480" s="164">
        <f t="array" ref="P3480">XLOOKUP('FACP$'!$B3480,'perfil de pagos'!A:A,'perfil de pagos'!B:B)+'FACP$'!$D3480</f>
        <v>44882</v>
      </c>
      <c r="Q3480" s="165">
        <f t="shared" si="2"/>
        <v>0</v>
      </c>
      <c r="R3480" s="167"/>
      <c r="S3480" s="167">
        <v>1734.0</v>
      </c>
      <c r="T3480" s="168">
        <f t="shared" si="3"/>
        <v>630574.2136</v>
      </c>
      <c r="U3480" s="168">
        <f t="shared" si="4"/>
        <v>0</v>
      </c>
      <c r="V3480" s="168">
        <f t="shared" si="5"/>
        <v>0</v>
      </c>
      <c r="W3480" s="168">
        <f t="shared" si="6"/>
        <v>0</v>
      </c>
      <c r="X3480" s="168">
        <f t="shared" si="7"/>
        <v>0</v>
      </c>
      <c r="Y3480" s="168">
        <f t="shared" si="8"/>
        <v>0</v>
      </c>
      <c r="Z3480" s="168">
        <f t="shared" si="9"/>
        <v>0</v>
      </c>
    </row>
    <row r="3481" ht="15.0" customHeight="1">
      <c r="A3481" s="157" t="s">
        <v>4307</v>
      </c>
      <c r="B3481" s="158" t="s">
        <v>27</v>
      </c>
      <c r="C3481" s="158" t="s">
        <v>4305</v>
      </c>
      <c r="D3481" s="159">
        <v>44852.0</v>
      </c>
      <c r="E3481" s="157" t="s">
        <v>731</v>
      </c>
      <c r="F3481" s="160">
        <v>230593.06</v>
      </c>
      <c r="G3481" s="160">
        <f>'FACP$'!$F3481*0.16</f>
        <v>36894.8896</v>
      </c>
      <c r="H3481" s="160">
        <f t="shared" si="110"/>
        <v>267487.9496</v>
      </c>
      <c r="I3481" s="160"/>
      <c r="J3481" s="161"/>
      <c r="K3481" s="160"/>
      <c r="L3481" s="160">
        <f>+'FACP$'!$H3481-'FACP$'!$I3481-'FACP$'!$K3481</f>
        <v>267487.9496</v>
      </c>
      <c r="M3481" s="162" t="s">
        <v>151</v>
      </c>
      <c r="N3481" s="162" t="s">
        <v>554</v>
      </c>
      <c r="O3481" s="164">
        <v>44890.0</v>
      </c>
      <c r="P3481" s="164">
        <f t="array" ref="P3481">XLOOKUP('FACP$'!$B3481,'perfil de pagos'!A:A,'perfil de pagos'!B:B)+'FACP$'!$D3481</f>
        <v>44882</v>
      </c>
      <c r="Q3481" s="165">
        <f t="shared" si="2"/>
        <v>0</v>
      </c>
      <c r="R3481" s="167"/>
      <c r="S3481" s="167">
        <v>1758.0</v>
      </c>
      <c r="T3481" s="168">
        <f t="shared" si="3"/>
        <v>267487.9496</v>
      </c>
      <c r="U3481" s="168">
        <f t="shared" si="4"/>
        <v>0</v>
      </c>
      <c r="V3481" s="168">
        <f t="shared" si="5"/>
        <v>0</v>
      </c>
      <c r="W3481" s="168">
        <f t="shared" si="6"/>
        <v>0</v>
      </c>
      <c r="X3481" s="168">
        <f t="shared" si="7"/>
        <v>0</v>
      </c>
      <c r="Y3481" s="168">
        <f t="shared" si="8"/>
        <v>0</v>
      </c>
      <c r="Z3481" s="168">
        <f t="shared" si="9"/>
        <v>0</v>
      </c>
    </row>
    <row r="3482" ht="15.0" customHeight="1">
      <c r="A3482" s="157" t="s">
        <v>4308</v>
      </c>
      <c r="B3482" s="158" t="s">
        <v>27</v>
      </c>
      <c r="C3482" s="158" t="s">
        <v>4309</v>
      </c>
      <c r="D3482" s="159">
        <v>44852.0</v>
      </c>
      <c r="E3482" s="157" t="s">
        <v>731</v>
      </c>
      <c r="F3482" s="160">
        <v>22292.5</v>
      </c>
      <c r="G3482" s="160">
        <f>'FACP$'!$F3482*0.16</f>
        <v>3566.8</v>
      </c>
      <c r="H3482" s="160">
        <f t="shared" si="110"/>
        <v>25859.3</v>
      </c>
      <c r="I3482" s="160"/>
      <c r="J3482" s="161"/>
      <c r="K3482" s="160"/>
      <c r="L3482" s="160">
        <f>+'FACP$'!$H3482-'FACP$'!$I3482-'FACP$'!$K3482</f>
        <v>25859.3</v>
      </c>
      <c r="M3482" s="162" t="s">
        <v>151</v>
      </c>
      <c r="N3482" s="162" t="s">
        <v>554</v>
      </c>
      <c r="O3482" s="164">
        <v>44887.0</v>
      </c>
      <c r="P3482" s="164">
        <f t="array" ref="P3482">XLOOKUP('FACP$'!$B3482,'perfil de pagos'!A:A,'perfil de pagos'!B:B)+'FACP$'!$D3482</f>
        <v>44882</v>
      </c>
      <c r="Q3482" s="165">
        <f t="shared" si="2"/>
        <v>0</v>
      </c>
      <c r="R3482" s="167"/>
      <c r="S3482" s="167">
        <v>1734.0</v>
      </c>
      <c r="T3482" s="168">
        <f t="shared" si="3"/>
        <v>25859.3</v>
      </c>
      <c r="U3482" s="168">
        <f t="shared" si="4"/>
        <v>0</v>
      </c>
      <c r="V3482" s="168">
        <f t="shared" si="5"/>
        <v>0</v>
      </c>
      <c r="W3482" s="168">
        <f t="shared" si="6"/>
        <v>0</v>
      </c>
      <c r="X3482" s="168">
        <f t="shared" si="7"/>
        <v>0</v>
      </c>
      <c r="Y3482" s="168">
        <f t="shared" si="8"/>
        <v>0</v>
      </c>
      <c r="Z3482" s="168">
        <f t="shared" si="9"/>
        <v>0</v>
      </c>
    </row>
    <row r="3483" ht="15.0" customHeight="1">
      <c r="A3483" s="157" t="s">
        <v>4310</v>
      </c>
      <c r="B3483" s="158" t="s">
        <v>27</v>
      </c>
      <c r="C3483" s="158" t="s">
        <v>4311</v>
      </c>
      <c r="D3483" s="159">
        <v>44852.0</v>
      </c>
      <c r="E3483" s="157" t="s">
        <v>731</v>
      </c>
      <c r="F3483" s="160">
        <v>11094.65</v>
      </c>
      <c r="G3483" s="160">
        <f>'FACP$'!$F3483*0.16</f>
        <v>1775.144</v>
      </c>
      <c r="H3483" s="160">
        <f t="shared" si="110"/>
        <v>12869.794</v>
      </c>
      <c r="I3483" s="160"/>
      <c r="J3483" s="161"/>
      <c r="K3483" s="160"/>
      <c r="L3483" s="160">
        <f>+'FACP$'!$H3483-'FACP$'!$I3483-'FACP$'!$K3483</f>
        <v>12869.794</v>
      </c>
      <c r="M3483" s="162" t="s">
        <v>151</v>
      </c>
      <c r="N3483" s="162" t="s">
        <v>554</v>
      </c>
      <c r="O3483" s="164">
        <v>44890.0</v>
      </c>
      <c r="P3483" s="164">
        <f t="array" ref="P3483">XLOOKUP('FACP$'!$B3483,'perfil de pagos'!A:A,'perfil de pagos'!B:B)+'FACP$'!$D3483</f>
        <v>44882</v>
      </c>
      <c r="Q3483" s="165">
        <f t="shared" si="2"/>
        <v>0</v>
      </c>
      <c r="R3483" s="167"/>
      <c r="S3483" s="167">
        <v>1758.0</v>
      </c>
      <c r="T3483" s="168">
        <f t="shared" si="3"/>
        <v>12869.794</v>
      </c>
      <c r="U3483" s="168">
        <f t="shared" si="4"/>
        <v>0</v>
      </c>
      <c r="V3483" s="168">
        <f t="shared" si="5"/>
        <v>0</v>
      </c>
      <c r="W3483" s="168">
        <f t="shared" si="6"/>
        <v>0</v>
      </c>
      <c r="X3483" s="168">
        <f t="shared" si="7"/>
        <v>0</v>
      </c>
      <c r="Y3483" s="168">
        <f t="shared" si="8"/>
        <v>0</v>
      </c>
      <c r="Z3483" s="168">
        <f t="shared" si="9"/>
        <v>0</v>
      </c>
    </row>
    <row r="3484" ht="15.0" customHeight="1">
      <c r="A3484" s="157" t="s">
        <v>4312</v>
      </c>
      <c r="B3484" s="158" t="s">
        <v>146</v>
      </c>
      <c r="C3484" s="158" t="s">
        <v>146</v>
      </c>
      <c r="D3484" s="159"/>
      <c r="E3484" s="157"/>
      <c r="F3484" s="160"/>
      <c r="G3484" s="160"/>
      <c r="H3484" s="160">
        <f t="shared" si="110"/>
        <v>0</v>
      </c>
      <c r="I3484" s="160"/>
      <c r="J3484" s="161"/>
      <c r="K3484" s="160"/>
      <c r="L3484" s="160">
        <f>+'FACP$'!$H3484-'FACP$'!$I3484-'FACP$'!$K3484</f>
        <v>0</v>
      </c>
      <c r="M3484" s="162"/>
      <c r="N3484" s="162" t="s">
        <v>127</v>
      </c>
      <c r="O3484" s="164"/>
      <c r="P3484" s="164">
        <f>D3484+10</f>
        <v>10</v>
      </c>
      <c r="Q3484" s="165">
        <f t="shared" si="2"/>
        <v>0</v>
      </c>
      <c r="R3484" s="167" t="s">
        <v>4313</v>
      </c>
      <c r="S3484" s="167"/>
      <c r="T3484" s="168">
        <f t="shared" si="3"/>
        <v>0</v>
      </c>
      <c r="U3484" s="168">
        <f t="shared" si="4"/>
        <v>0</v>
      </c>
      <c r="V3484" s="168">
        <f t="shared" si="5"/>
        <v>0</v>
      </c>
      <c r="W3484" s="168">
        <f t="shared" si="6"/>
        <v>0</v>
      </c>
      <c r="X3484" s="168">
        <f t="shared" si="7"/>
        <v>0</v>
      </c>
      <c r="Y3484" s="168">
        <f t="shared" si="8"/>
        <v>0</v>
      </c>
      <c r="Z3484" s="168">
        <f t="shared" si="9"/>
        <v>0</v>
      </c>
    </row>
    <row r="3485" ht="15.0" customHeight="1">
      <c r="A3485" s="157" t="s">
        <v>4314</v>
      </c>
      <c r="B3485" s="158" t="s">
        <v>31</v>
      </c>
      <c r="C3485" s="158" t="s">
        <v>4315</v>
      </c>
      <c r="D3485" s="159">
        <v>44853.0</v>
      </c>
      <c r="E3485" s="157" t="s">
        <v>731</v>
      </c>
      <c r="F3485" s="160">
        <v>211464.91</v>
      </c>
      <c r="G3485" s="160">
        <f>'FACP$'!$F3485*0.16</f>
        <v>33834.3856</v>
      </c>
      <c r="H3485" s="160">
        <f t="shared" si="110"/>
        <v>245299.2956</v>
      </c>
      <c r="I3485" s="252"/>
      <c r="J3485" s="253"/>
      <c r="K3485" s="252"/>
      <c r="L3485" s="160">
        <f>+'FACP$'!$H3485-'FACP$'!$I3485-'FACP$'!$K3485</f>
        <v>245299.2956</v>
      </c>
      <c r="M3485" s="162" t="s">
        <v>3183</v>
      </c>
      <c r="N3485" s="162" t="s">
        <v>554</v>
      </c>
      <c r="O3485" s="164">
        <v>44855.0</v>
      </c>
      <c r="P3485" s="164">
        <f t="array" ref="P3485">XLOOKUP('FACP$'!$B3485,'perfil de pagos'!A:A,'perfil de pagos'!B:B)+'FACP$'!$D3485</f>
        <v>44856</v>
      </c>
      <c r="Q3485" s="165">
        <f t="shared" si="2"/>
        <v>0</v>
      </c>
      <c r="R3485" s="167" t="s">
        <v>4316</v>
      </c>
      <c r="S3485" s="167">
        <v>1655.0</v>
      </c>
      <c r="T3485" s="168">
        <f t="shared" si="3"/>
        <v>245299.2956</v>
      </c>
      <c r="U3485" s="168">
        <f t="shared" si="4"/>
        <v>0</v>
      </c>
      <c r="V3485" s="168">
        <f t="shared" si="5"/>
        <v>0</v>
      </c>
      <c r="W3485" s="168">
        <f t="shared" si="6"/>
        <v>0</v>
      </c>
      <c r="X3485" s="168">
        <f t="shared" si="7"/>
        <v>0</v>
      </c>
      <c r="Y3485" s="168">
        <f t="shared" si="8"/>
        <v>0</v>
      </c>
      <c r="Z3485" s="168">
        <f t="shared" si="9"/>
        <v>0</v>
      </c>
    </row>
    <row r="3486" ht="15.0" customHeight="1">
      <c r="A3486" s="157" t="s">
        <v>4317</v>
      </c>
      <c r="B3486" s="158" t="s">
        <v>16</v>
      </c>
      <c r="C3486" s="158" t="s">
        <v>4289</v>
      </c>
      <c r="D3486" s="159">
        <v>44855.0</v>
      </c>
      <c r="E3486" s="157" t="s">
        <v>731</v>
      </c>
      <c r="F3486" s="160">
        <v>450785.62</v>
      </c>
      <c r="G3486" s="160">
        <f>'FACP$'!$F3486*0.16</f>
        <v>72125.6992</v>
      </c>
      <c r="H3486" s="160">
        <f t="shared" si="110"/>
        <v>522911.3192</v>
      </c>
      <c r="I3486" s="160"/>
      <c r="J3486" s="161"/>
      <c r="K3486" s="160"/>
      <c r="L3486" s="160">
        <f>+'FACP$'!$H3486-'FACP$'!$I3486-'FACP$'!$K3486</f>
        <v>522911.3192</v>
      </c>
      <c r="M3486" s="162" t="s">
        <v>985</v>
      </c>
      <c r="N3486" s="162" t="s">
        <v>554</v>
      </c>
      <c r="O3486" s="164">
        <v>44869.0</v>
      </c>
      <c r="P3486" s="164">
        <f t="array" ref="P3486">XLOOKUP('FACP$'!$B3486,'perfil de pagos'!A:A,'perfil de pagos'!B:B)+'FACP$'!$D3486</f>
        <v>44865</v>
      </c>
      <c r="Q3486" s="165">
        <f t="shared" si="2"/>
        <v>0</v>
      </c>
      <c r="R3486" s="167"/>
      <c r="S3486" s="167">
        <v>1691.0</v>
      </c>
      <c r="T3486" s="168">
        <f t="shared" si="3"/>
        <v>522911.3192</v>
      </c>
      <c r="U3486" s="168">
        <f t="shared" si="4"/>
        <v>0</v>
      </c>
      <c r="V3486" s="168">
        <f t="shared" si="5"/>
        <v>0</v>
      </c>
      <c r="W3486" s="168">
        <f t="shared" si="6"/>
        <v>0</v>
      </c>
      <c r="X3486" s="168">
        <f t="shared" si="7"/>
        <v>0</v>
      </c>
      <c r="Y3486" s="168">
        <f t="shared" si="8"/>
        <v>0</v>
      </c>
      <c r="Z3486" s="168">
        <f t="shared" si="9"/>
        <v>0</v>
      </c>
    </row>
    <row r="3487" ht="15.0" customHeight="1">
      <c r="A3487" s="157" t="s">
        <v>4318</v>
      </c>
      <c r="B3487" s="158" t="s">
        <v>16</v>
      </c>
      <c r="C3487" s="158" t="s">
        <v>4319</v>
      </c>
      <c r="D3487" s="159">
        <v>44855.0</v>
      </c>
      <c r="E3487" s="157" t="s">
        <v>731</v>
      </c>
      <c r="F3487" s="160">
        <v>366044.53</v>
      </c>
      <c r="G3487" s="160">
        <f>'FACP$'!$F3487*0.16</f>
        <v>58567.1248</v>
      </c>
      <c r="H3487" s="160">
        <f t="shared" si="110"/>
        <v>424611.6548</v>
      </c>
      <c r="I3487" s="160"/>
      <c r="J3487" s="161"/>
      <c r="K3487" s="160"/>
      <c r="L3487" s="160">
        <f>+'FACP$'!$H3487-'FACP$'!$I3487-'FACP$'!$K3487</f>
        <v>424611.6548</v>
      </c>
      <c r="M3487" s="162" t="s">
        <v>985</v>
      </c>
      <c r="N3487" s="162" t="s">
        <v>554</v>
      </c>
      <c r="O3487" s="164">
        <v>44869.0</v>
      </c>
      <c r="P3487" s="164">
        <f t="array" ref="P3487">XLOOKUP('FACP$'!$B3487,'perfil de pagos'!A:A,'perfil de pagos'!B:B)+'FACP$'!$D3487</f>
        <v>44865</v>
      </c>
      <c r="Q3487" s="165">
        <f t="shared" si="2"/>
        <v>0</v>
      </c>
      <c r="R3487" s="167"/>
      <c r="S3487" s="167">
        <v>1691.0</v>
      </c>
      <c r="T3487" s="168">
        <f t="shared" si="3"/>
        <v>424611.6548</v>
      </c>
      <c r="U3487" s="168">
        <f t="shared" si="4"/>
        <v>0</v>
      </c>
      <c r="V3487" s="168">
        <f t="shared" si="5"/>
        <v>0</v>
      </c>
      <c r="W3487" s="168">
        <f t="shared" si="6"/>
        <v>0</v>
      </c>
      <c r="X3487" s="168">
        <f t="shared" si="7"/>
        <v>0</v>
      </c>
      <c r="Y3487" s="168">
        <f t="shared" si="8"/>
        <v>0</v>
      </c>
      <c r="Z3487" s="168">
        <f t="shared" si="9"/>
        <v>0</v>
      </c>
    </row>
    <row r="3488" ht="15.0" customHeight="1">
      <c r="A3488" s="157" t="s">
        <v>4320</v>
      </c>
      <c r="B3488" s="158" t="s">
        <v>18</v>
      </c>
      <c r="C3488" s="158" t="s">
        <v>4289</v>
      </c>
      <c r="D3488" s="159">
        <v>44855.0</v>
      </c>
      <c r="E3488" s="157" t="s">
        <v>731</v>
      </c>
      <c r="F3488" s="160">
        <v>180272.35</v>
      </c>
      <c r="G3488" s="160">
        <f>'FACP$'!$F3488*0.16</f>
        <v>28843.576</v>
      </c>
      <c r="H3488" s="160">
        <f t="shared" si="110"/>
        <v>209115.926</v>
      </c>
      <c r="I3488" s="160"/>
      <c r="J3488" s="161"/>
      <c r="K3488" s="160"/>
      <c r="L3488" s="160">
        <f>+'FACP$'!$H3488-'FACP$'!$I3488-'FACP$'!$K3488</f>
        <v>209115.926</v>
      </c>
      <c r="M3488" s="162" t="s">
        <v>586</v>
      </c>
      <c r="N3488" s="162" t="s">
        <v>554</v>
      </c>
      <c r="O3488" s="164">
        <v>44874.0</v>
      </c>
      <c r="P3488" s="164">
        <f t="array" ref="P3488">XLOOKUP('FACP$'!$B3488,'perfil de pagos'!A:A,'perfil de pagos'!B:B)+'FACP$'!$D3488</f>
        <v>44865</v>
      </c>
      <c r="Q3488" s="165">
        <f t="shared" si="2"/>
        <v>0</v>
      </c>
      <c r="R3488" s="167"/>
      <c r="S3488" s="167"/>
      <c r="T3488" s="168">
        <f t="shared" si="3"/>
        <v>209115.926</v>
      </c>
      <c r="U3488" s="168">
        <f t="shared" si="4"/>
        <v>0</v>
      </c>
      <c r="V3488" s="168">
        <f t="shared" si="5"/>
        <v>0</v>
      </c>
      <c r="W3488" s="168">
        <f t="shared" si="6"/>
        <v>0</v>
      </c>
      <c r="X3488" s="168">
        <f t="shared" si="7"/>
        <v>0</v>
      </c>
      <c r="Y3488" s="168">
        <f t="shared" si="8"/>
        <v>0</v>
      </c>
      <c r="Z3488" s="168">
        <f t="shared" si="9"/>
        <v>0</v>
      </c>
    </row>
    <row r="3489" ht="15.0" customHeight="1">
      <c r="A3489" s="157" t="s">
        <v>4321</v>
      </c>
      <c r="B3489" s="158" t="s">
        <v>19</v>
      </c>
      <c r="C3489" s="158" t="s">
        <v>4289</v>
      </c>
      <c r="D3489" s="159">
        <v>44855.0</v>
      </c>
      <c r="E3489" s="157" t="s">
        <v>731</v>
      </c>
      <c r="F3489" s="160">
        <v>282381.42</v>
      </c>
      <c r="G3489" s="160">
        <f>'FACP$'!$F3489*0.16</f>
        <v>45181.0272</v>
      </c>
      <c r="H3489" s="160">
        <f t="shared" si="110"/>
        <v>327562.4472</v>
      </c>
      <c r="I3489" s="160"/>
      <c r="J3489" s="161"/>
      <c r="K3489" s="160"/>
      <c r="L3489" s="160">
        <f>+'FACP$'!$H3489-'FACP$'!$I3489-'FACP$'!$K3489</f>
        <v>327562.4472</v>
      </c>
      <c r="M3489" s="162" t="s">
        <v>732</v>
      </c>
      <c r="N3489" s="162" t="s">
        <v>554</v>
      </c>
      <c r="O3489" s="164">
        <v>44874.0</v>
      </c>
      <c r="P3489" s="164">
        <f t="array" ref="P3489">XLOOKUP('FACP$'!$B3489,'perfil de pagos'!A:A,'perfil de pagos'!B:B)+'FACP$'!$D3489</f>
        <v>44865</v>
      </c>
      <c r="Q3489" s="165">
        <f t="shared" si="2"/>
        <v>0</v>
      </c>
      <c r="R3489" s="167"/>
      <c r="S3489" s="167"/>
      <c r="T3489" s="168">
        <f t="shared" si="3"/>
        <v>327562.4472</v>
      </c>
      <c r="U3489" s="168">
        <f t="shared" si="4"/>
        <v>0</v>
      </c>
      <c r="V3489" s="168">
        <f t="shared" si="5"/>
        <v>0</v>
      </c>
      <c r="W3489" s="168">
        <f t="shared" si="6"/>
        <v>0</v>
      </c>
      <c r="X3489" s="168">
        <f t="shared" si="7"/>
        <v>0</v>
      </c>
      <c r="Y3489" s="168">
        <f t="shared" si="8"/>
        <v>0</v>
      </c>
      <c r="Z3489" s="168">
        <f t="shared" si="9"/>
        <v>0</v>
      </c>
    </row>
    <row r="3490" ht="15.0" customHeight="1">
      <c r="A3490" s="157" t="s">
        <v>4322</v>
      </c>
      <c r="B3490" s="158" t="s">
        <v>22</v>
      </c>
      <c r="C3490" s="158" t="s">
        <v>4289</v>
      </c>
      <c r="D3490" s="159">
        <v>44855.0</v>
      </c>
      <c r="E3490" s="157" t="s">
        <v>731</v>
      </c>
      <c r="F3490" s="160">
        <v>287040.77</v>
      </c>
      <c r="G3490" s="160">
        <f>'FACP$'!$F3490*0.16</f>
        <v>45926.5232</v>
      </c>
      <c r="H3490" s="160">
        <f t="shared" si="110"/>
        <v>332967.2932</v>
      </c>
      <c r="I3490" s="160"/>
      <c r="J3490" s="161"/>
      <c r="K3490" s="160"/>
      <c r="L3490" s="160">
        <f>+'FACP$'!$H3490-'FACP$'!$I3490-'FACP$'!$K3490</f>
        <v>332967.2932</v>
      </c>
      <c r="M3490" s="162" t="s">
        <v>220</v>
      </c>
      <c r="N3490" s="162" t="s">
        <v>554</v>
      </c>
      <c r="O3490" s="164">
        <v>44895.0</v>
      </c>
      <c r="P3490" s="164">
        <f t="array" ref="P3490">XLOOKUP('FACP$'!$B3490,'perfil de pagos'!A:A,'perfil de pagos'!B:B)+'FACP$'!$D3490</f>
        <v>44865</v>
      </c>
      <c r="Q3490" s="165">
        <f t="shared" si="2"/>
        <v>0</v>
      </c>
      <c r="R3490" s="220" t="s">
        <v>4323</v>
      </c>
      <c r="S3490" s="167">
        <v>1768.0</v>
      </c>
      <c r="T3490" s="168">
        <f t="shared" si="3"/>
        <v>332967.2932</v>
      </c>
      <c r="U3490" s="168">
        <f t="shared" si="4"/>
        <v>0</v>
      </c>
      <c r="V3490" s="168">
        <f t="shared" si="5"/>
        <v>0</v>
      </c>
      <c r="W3490" s="168">
        <f t="shared" si="6"/>
        <v>0</v>
      </c>
      <c r="X3490" s="168">
        <f t="shared" si="7"/>
        <v>0</v>
      </c>
      <c r="Y3490" s="168">
        <f t="shared" si="8"/>
        <v>0</v>
      </c>
      <c r="Z3490" s="168">
        <f t="shared" si="9"/>
        <v>0</v>
      </c>
    </row>
    <row r="3491" ht="15.0" customHeight="1">
      <c r="A3491" s="157" t="s">
        <v>4324</v>
      </c>
      <c r="B3491" s="158" t="s">
        <v>29</v>
      </c>
      <c r="C3491" s="158" t="s">
        <v>4289</v>
      </c>
      <c r="D3491" s="159">
        <v>44855.0</v>
      </c>
      <c r="E3491" s="157" t="s">
        <v>731</v>
      </c>
      <c r="F3491" s="160">
        <v>482460.82</v>
      </c>
      <c r="G3491" s="160">
        <f>'FACP$'!$F3491*0.16</f>
        <v>77193.7312</v>
      </c>
      <c r="H3491" s="160">
        <f t="shared" si="110"/>
        <v>559654.5512</v>
      </c>
      <c r="I3491" s="160"/>
      <c r="J3491" s="161"/>
      <c r="K3491" s="160"/>
      <c r="L3491" s="160">
        <f>+'FACP$'!$H3491-'FACP$'!$I3491-'FACP$'!$K3491</f>
        <v>559654.5512</v>
      </c>
      <c r="M3491" s="162" t="s">
        <v>130</v>
      </c>
      <c r="N3491" s="162" t="s">
        <v>554</v>
      </c>
      <c r="O3491" s="164">
        <v>44868.0</v>
      </c>
      <c r="P3491" s="164">
        <f t="array" ref="P3491">XLOOKUP('FACP$'!$B3491,'perfil de pagos'!A:A,'perfil de pagos'!B:B)+'FACP$'!$D3491</f>
        <v>44865</v>
      </c>
      <c r="Q3491" s="165">
        <f t="shared" si="2"/>
        <v>0</v>
      </c>
      <c r="R3491" s="167"/>
      <c r="S3491" s="167">
        <v>1690.0</v>
      </c>
      <c r="T3491" s="168">
        <f t="shared" si="3"/>
        <v>559654.5512</v>
      </c>
      <c r="U3491" s="168">
        <f t="shared" si="4"/>
        <v>0</v>
      </c>
      <c r="V3491" s="168">
        <f t="shared" si="5"/>
        <v>0</v>
      </c>
      <c r="W3491" s="168">
        <f t="shared" si="6"/>
        <v>0</v>
      </c>
      <c r="X3491" s="168">
        <f t="shared" si="7"/>
        <v>0</v>
      </c>
      <c r="Y3491" s="168">
        <f t="shared" si="8"/>
        <v>0</v>
      </c>
      <c r="Z3491" s="168">
        <f t="shared" si="9"/>
        <v>0</v>
      </c>
    </row>
    <row r="3492" ht="15.0" customHeight="1">
      <c r="A3492" s="157" t="s">
        <v>4325</v>
      </c>
      <c r="B3492" s="158" t="s">
        <v>29</v>
      </c>
      <c r="C3492" s="158" t="s">
        <v>4319</v>
      </c>
      <c r="D3492" s="159">
        <v>44855.0</v>
      </c>
      <c r="E3492" s="157" t="s">
        <v>731</v>
      </c>
      <c r="F3492" s="160">
        <v>430721.97</v>
      </c>
      <c r="G3492" s="160">
        <f>'FACP$'!$F3492*0.16</f>
        <v>68915.5152</v>
      </c>
      <c r="H3492" s="160">
        <f t="shared" si="110"/>
        <v>499637.4852</v>
      </c>
      <c r="I3492" s="160"/>
      <c r="J3492" s="161"/>
      <c r="K3492" s="160"/>
      <c r="L3492" s="160">
        <f>+'FACP$'!$H3492-'FACP$'!$I3492-'FACP$'!$K3492</f>
        <v>499637.4852</v>
      </c>
      <c r="M3492" s="162" t="s">
        <v>130</v>
      </c>
      <c r="N3492" s="162" t="s">
        <v>554</v>
      </c>
      <c r="O3492" s="164">
        <v>44868.0</v>
      </c>
      <c r="P3492" s="164">
        <f t="array" ref="P3492">XLOOKUP('FACP$'!$B3492,'perfil de pagos'!A:A,'perfil de pagos'!B:B)+'FACP$'!$D3492</f>
        <v>44865</v>
      </c>
      <c r="Q3492" s="165">
        <f t="shared" si="2"/>
        <v>0</v>
      </c>
      <c r="R3492" s="167"/>
      <c r="S3492" s="167">
        <v>1690.0</v>
      </c>
      <c r="T3492" s="168">
        <f t="shared" si="3"/>
        <v>499637.4852</v>
      </c>
      <c r="U3492" s="168">
        <f t="shared" si="4"/>
        <v>0</v>
      </c>
      <c r="V3492" s="168">
        <f t="shared" si="5"/>
        <v>0</v>
      </c>
      <c r="W3492" s="168">
        <f t="shared" si="6"/>
        <v>0</v>
      </c>
      <c r="X3492" s="168">
        <f t="shared" si="7"/>
        <v>0</v>
      </c>
      <c r="Y3492" s="168">
        <f t="shared" si="8"/>
        <v>0</v>
      </c>
      <c r="Z3492" s="168">
        <f t="shared" si="9"/>
        <v>0</v>
      </c>
    </row>
    <row r="3493" ht="15.0" customHeight="1">
      <c r="A3493" s="157" t="s">
        <v>4326</v>
      </c>
      <c r="B3493" s="158" t="s">
        <v>38</v>
      </c>
      <c r="C3493" s="158" t="s">
        <v>4289</v>
      </c>
      <c r="D3493" s="159">
        <v>44858.0</v>
      </c>
      <c r="E3493" s="157" t="s">
        <v>731</v>
      </c>
      <c r="F3493" s="160">
        <v>941941.85</v>
      </c>
      <c r="G3493" s="160">
        <f>'FACP$'!$F3493*0.16</f>
        <v>150710.696</v>
      </c>
      <c r="H3493" s="160">
        <f>F3493+G3493-1055818.6</f>
        <v>36833.946</v>
      </c>
      <c r="I3493" s="160"/>
      <c r="J3493" s="161"/>
      <c r="K3493" s="160"/>
      <c r="L3493" s="160">
        <f>+'FACP$'!$H3493-'FACP$'!$I3493-'FACP$'!$K3493</f>
        <v>36833.946</v>
      </c>
      <c r="M3493" s="162" t="s">
        <v>145</v>
      </c>
      <c r="N3493" s="162" t="s">
        <v>554</v>
      </c>
      <c r="O3493" s="164">
        <v>44973.0</v>
      </c>
      <c r="P3493" s="164">
        <f t="array" ref="P3493">XLOOKUP('FACP$'!$B3493,'perfil de pagos'!A:A,'perfil de pagos'!B:B)+'FACP$'!$D3493</f>
        <v>44888</v>
      </c>
      <c r="Q3493" s="165">
        <f t="shared" si="2"/>
        <v>0</v>
      </c>
      <c r="R3493" s="220" t="s">
        <v>4327</v>
      </c>
      <c r="S3493" s="167" t="s">
        <v>4328</v>
      </c>
      <c r="T3493" s="168">
        <f t="shared" si="3"/>
        <v>36833.946</v>
      </c>
      <c r="U3493" s="168">
        <f t="shared" si="4"/>
        <v>0</v>
      </c>
      <c r="V3493" s="168">
        <f t="shared" si="5"/>
        <v>0</v>
      </c>
      <c r="W3493" s="168">
        <f t="shared" si="6"/>
        <v>0</v>
      </c>
      <c r="X3493" s="168">
        <f t="shared" si="7"/>
        <v>0</v>
      </c>
      <c r="Y3493" s="168">
        <f t="shared" si="8"/>
        <v>0</v>
      </c>
      <c r="Z3493" s="168">
        <f t="shared" si="9"/>
        <v>0</v>
      </c>
    </row>
    <row r="3494" ht="15.0" customHeight="1">
      <c r="A3494" s="157" t="s">
        <v>4329</v>
      </c>
      <c r="B3494" s="158" t="s">
        <v>37</v>
      </c>
      <c r="C3494" s="158" t="s">
        <v>4289</v>
      </c>
      <c r="D3494" s="159">
        <v>44859.0</v>
      </c>
      <c r="E3494" s="157" t="s">
        <v>731</v>
      </c>
      <c r="F3494" s="160">
        <v>2547945.37</v>
      </c>
      <c r="G3494" s="160">
        <f>'FACP$'!$F3494*0.16</f>
        <v>407671.2592</v>
      </c>
      <c r="H3494" s="160">
        <f t="shared" ref="H3494:H3495" si="111">F3494+G3494</f>
        <v>2955616.629</v>
      </c>
      <c r="I3494" s="160"/>
      <c r="J3494" s="161"/>
      <c r="K3494" s="160"/>
      <c r="L3494" s="160">
        <f>+'FACP$'!$H3494-'FACP$'!$I3494-'FACP$'!$K3494</f>
        <v>2955616.629</v>
      </c>
      <c r="M3494" s="162" t="s">
        <v>116</v>
      </c>
      <c r="N3494" s="162" t="s">
        <v>554</v>
      </c>
      <c r="O3494" s="164">
        <v>44872.0</v>
      </c>
      <c r="P3494" s="164">
        <f t="array" ref="P3494">XLOOKUP('FACP$'!$B3494,'perfil de pagos'!A:A,'perfil de pagos'!B:B)+'FACP$'!$D3494</f>
        <v>44869</v>
      </c>
      <c r="Q3494" s="165">
        <f t="shared" si="2"/>
        <v>0</v>
      </c>
      <c r="R3494" s="167"/>
      <c r="S3494" s="167">
        <v>1699.0</v>
      </c>
      <c r="T3494" s="168">
        <f t="shared" si="3"/>
        <v>2955616.629</v>
      </c>
      <c r="U3494" s="168">
        <f t="shared" si="4"/>
        <v>0</v>
      </c>
      <c r="V3494" s="168">
        <f t="shared" si="5"/>
        <v>0</v>
      </c>
      <c r="W3494" s="168">
        <f t="shared" si="6"/>
        <v>0</v>
      </c>
      <c r="X3494" s="168">
        <f t="shared" si="7"/>
        <v>0</v>
      </c>
      <c r="Y3494" s="168">
        <f t="shared" si="8"/>
        <v>0</v>
      </c>
      <c r="Z3494" s="168">
        <f t="shared" si="9"/>
        <v>0</v>
      </c>
    </row>
    <row r="3495" ht="15.0" customHeight="1">
      <c r="A3495" s="157" t="s">
        <v>4330</v>
      </c>
      <c r="B3495" s="158" t="s">
        <v>31</v>
      </c>
      <c r="C3495" s="158" t="s">
        <v>4331</v>
      </c>
      <c r="D3495" s="159">
        <v>44859.0</v>
      </c>
      <c r="E3495" s="157" t="s">
        <v>731</v>
      </c>
      <c r="F3495" s="160">
        <v>15530.41</v>
      </c>
      <c r="G3495" s="160">
        <f>'FACP$'!$F3495*0.16</f>
        <v>2484.8656</v>
      </c>
      <c r="H3495" s="160">
        <f t="shared" si="111"/>
        <v>18015.2756</v>
      </c>
      <c r="I3495" s="252"/>
      <c r="J3495" s="253"/>
      <c r="K3495" s="252"/>
      <c r="L3495" s="160">
        <f>+'FACP$'!$H3495-'FACP$'!$I3495-'FACP$'!$K3495</f>
        <v>18015.2756</v>
      </c>
      <c r="M3495" s="162" t="s">
        <v>3183</v>
      </c>
      <c r="N3495" s="162" t="s">
        <v>554</v>
      </c>
      <c r="O3495" s="164">
        <v>44950.0</v>
      </c>
      <c r="P3495" s="164">
        <f t="array" ref="P3495">XLOOKUP('FACP$'!$B3495,'perfil de pagos'!A:A,'perfil de pagos'!B:B)+'FACP$'!$D3495</f>
        <v>44862</v>
      </c>
      <c r="Q3495" s="165">
        <f t="shared" si="2"/>
        <v>0</v>
      </c>
      <c r="R3495" s="167" t="s">
        <v>4332</v>
      </c>
      <c r="S3495" s="167">
        <v>2284.0</v>
      </c>
      <c r="T3495" s="168">
        <f t="shared" si="3"/>
        <v>18015.2756</v>
      </c>
      <c r="U3495" s="168">
        <f t="shared" si="4"/>
        <v>0</v>
      </c>
      <c r="V3495" s="168">
        <f t="shared" si="5"/>
        <v>0</v>
      </c>
      <c r="W3495" s="168">
        <f t="shared" si="6"/>
        <v>0</v>
      </c>
      <c r="X3495" s="168">
        <f t="shared" si="7"/>
        <v>0</v>
      </c>
      <c r="Y3495" s="168">
        <f t="shared" si="8"/>
        <v>0</v>
      </c>
      <c r="Z3495" s="168">
        <f t="shared" si="9"/>
        <v>0</v>
      </c>
    </row>
    <row r="3496" ht="15.0" customHeight="1">
      <c r="A3496" s="157" t="s">
        <v>4333</v>
      </c>
      <c r="B3496" s="158" t="s">
        <v>31</v>
      </c>
      <c r="C3496" s="158" t="s">
        <v>4334</v>
      </c>
      <c r="D3496" s="159">
        <v>44861.0</v>
      </c>
      <c r="E3496" s="157" t="s">
        <v>731</v>
      </c>
      <c r="F3496" s="160">
        <v>166112.64</v>
      </c>
      <c r="G3496" s="160">
        <f>'FACP$'!$F3496*0.16</f>
        <v>26578.0224</v>
      </c>
      <c r="H3496" s="160">
        <f>F3496+G3496-'NCP$'!H202</f>
        <v>159616.8468</v>
      </c>
      <c r="I3496" s="252"/>
      <c r="J3496" s="253"/>
      <c r="K3496" s="252"/>
      <c r="L3496" s="160">
        <f>+'FACP$'!$H3496-'FACP$'!$I3496-'FACP$'!$K3496</f>
        <v>159616.8468</v>
      </c>
      <c r="M3496" s="162" t="s">
        <v>3183</v>
      </c>
      <c r="N3496" s="162" t="s">
        <v>554</v>
      </c>
      <c r="O3496" s="164">
        <v>44862.0</v>
      </c>
      <c r="P3496" s="164">
        <f t="array" ref="P3496">XLOOKUP('FACP$'!$B3496,'perfil de pagos'!A:A,'perfil de pagos'!B:B)+'FACP$'!$D3496</f>
        <v>44864</v>
      </c>
      <c r="Q3496" s="165">
        <f t="shared" si="2"/>
        <v>0</v>
      </c>
      <c r="R3496" s="220" t="s">
        <v>4335</v>
      </c>
      <c r="S3496" s="167"/>
      <c r="T3496" s="168">
        <f t="shared" si="3"/>
        <v>159616.8468</v>
      </c>
      <c r="U3496" s="168">
        <f t="shared" si="4"/>
        <v>0</v>
      </c>
      <c r="V3496" s="168">
        <f t="shared" si="5"/>
        <v>0</v>
      </c>
      <c r="W3496" s="168">
        <f t="shared" si="6"/>
        <v>0</v>
      </c>
      <c r="X3496" s="168">
        <f t="shared" si="7"/>
        <v>0</v>
      </c>
      <c r="Y3496" s="168">
        <f t="shared" si="8"/>
        <v>0</v>
      </c>
      <c r="Z3496" s="168">
        <f t="shared" si="9"/>
        <v>0</v>
      </c>
    </row>
    <row r="3497" ht="15.0" customHeight="1">
      <c r="A3497" s="157" t="s">
        <v>4336</v>
      </c>
      <c r="B3497" s="158" t="s">
        <v>27</v>
      </c>
      <c r="C3497" s="158" t="s">
        <v>4337</v>
      </c>
      <c r="D3497" s="159">
        <v>44865.0</v>
      </c>
      <c r="E3497" s="157" t="s">
        <v>731</v>
      </c>
      <c r="F3497" s="160">
        <v>370588.13</v>
      </c>
      <c r="G3497" s="160">
        <f>'FACP$'!$F3497*0.16</f>
        <v>59294.1008</v>
      </c>
      <c r="H3497" s="160">
        <f t="shared" ref="H3497:H3502" si="112">F3497+G3497</f>
        <v>429882.2308</v>
      </c>
      <c r="I3497" s="160"/>
      <c r="J3497" s="161"/>
      <c r="K3497" s="160"/>
      <c r="L3497" s="160">
        <f>+'FACP$'!$H3497-'FACP$'!$I3497-'FACP$'!$K3497</f>
        <v>429882.2308</v>
      </c>
      <c r="M3497" s="162" t="s">
        <v>158</v>
      </c>
      <c r="N3497" s="162" t="s">
        <v>554</v>
      </c>
      <c r="O3497" s="164">
        <v>44903.0</v>
      </c>
      <c r="P3497" s="164">
        <f t="array" ref="P3497">XLOOKUP('FACP$'!$B3497,'perfil de pagos'!A:A,'perfil de pagos'!B:B)+'FACP$'!$D3497</f>
        <v>44895</v>
      </c>
      <c r="Q3497" s="165">
        <f t="shared" si="2"/>
        <v>0</v>
      </c>
      <c r="R3497" s="167"/>
      <c r="S3497" s="167">
        <v>1788.0</v>
      </c>
      <c r="T3497" s="168">
        <f t="shared" si="3"/>
        <v>429882.2308</v>
      </c>
      <c r="U3497" s="168">
        <f t="shared" si="4"/>
        <v>0</v>
      </c>
      <c r="V3497" s="168">
        <f t="shared" si="5"/>
        <v>0</v>
      </c>
      <c r="W3497" s="168">
        <f t="shared" si="6"/>
        <v>0</v>
      </c>
      <c r="X3497" s="168">
        <f t="shared" si="7"/>
        <v>0</v>
      </c>
      <c r="Y3497" s="168">
        <f t="shared" si="8"/>
        <v>0</v>
      </c>
      <c r="Z3497" s="168">
        <f t="shared" si="9"/>
        <v>0</v>
      </c>
    </row>
    <row r="3498" ht="15.0" customHeight="1">
      <c r="A3498" s="157" t="s">
        <v>4338</v>
      </c>
      <c r="B3498" s="158" t="s">
        <v>27</v>
      </c>
      <c r="C3498" s="158" t="s">
        <v>4339</v>
      </c>
      <c r="D3498" s="159">
        <v>44865.0</v>
      </c>
      <c r="E3498" s="157" t="s">
        <v>731</v>
      </c>
      <c r="F3498" s="160">
        <v>184820.45</v>
      </c>
      <c r="G3498" s="160">
        <f>'FACP$'!$F3498*0.16</f>
        <v>29571.272</v>
      </c>
      <c r="H3498" s="160">
        <f t="shared" si="112"/>
        <v>214391.722</v>
      </c>
      <c r="I3498" s="160"/>
      <c r="J3498" s="161"/>
      <c r="K3498" s="160"/>
      <c r="L3498" s="160">
        <f>+'FACP$'!$H3498-'FACP$'!$I3498-'FACP$'!$K3498</f>
        <v>214391.722</v>
      </c>
      <c r="M3498" s="162" t="s">
        <v>158</v>
      </c>
      <c r="N3498" s="162" t="s">
        <v>554</v>
      </c>
      <c r="O3498" s="164">
        <v>44903.0</v>
      </c>
      <c r="P3498" s="164">
        <f t="array" ref="P3498">XLOOKUP('FACP$'!$B3498,'perfil de pagos'!A:A,'perfil de pagos'!B:B)+'FACP$'!$D3498</f>
        <v>44895</v>
      </c>
      <c r="Q3498" s="165">
        <f t="shared" si="2"/>
        <v>0</v>
      </c>
      <c r="R3498" s="167"/>
      <c r="S3498" s="167">
        <v>1788.0</v>
      </c>
      <c r="T3498" s="168">
        <f t="shared" si="3"/>
        <v>214391.722</v>
      </c>
      <c r="U3498" s="168">
        <f t="shared" si="4"/>
        <v>0</v>
      </c>
      <c r="V3498" s="168">
        <f t="shared" si="5"/>
        <v>0</v>
      </c>
      <c r="W3498" s="168">
        <f t="shared" si="6"/>
        <v>0</v>
      </c>
      <c r="X3498" s="168">
        <f t="shared" si="7"/>
        <v>0</v>
      </c>
      <c r="Y3498" s="168">
        <f t="shared" si="8"/>
        <v>0</v>
      </c>
      <c r="Z3498" s="168">
        <f t="shared" si="9"/>
        <v>0</v>
      </c>
    </row>
    <row r="3499" ht="15.0" customHeight="1">
      <c r="A3499" s="157" t="s">
        <v>4340</v>
      </c>
      <c r="B3499" s="158" t="s">
        <v>27</v>
      </c>
      <c r="C3499" s="158" t="s">
        <v>4337</v>
      </c>
      <c r="D3499" s="159">
        <v>44865.0</v>
      </c>
      <c r="E3499" s="157" t="s">
        <v>731</v>
      </c>
      <c r="F3499" s="160">
        <v>562880.96</v>
      </c>
      <c r="G3499" s="160">
        <f>'FACP$'!$F3499*0.16</f>
        <v>90060.9536</v>
      </c>
      <c r="H3499" s="160">
        <f t="shared" si="112"/>
        <v>652941.9136</v>
      </c>
      <c r="I3499" s="160"/>
      <c r="J3499" s="161"/>
      <c r="K3499" s="160"/>
      <c r="L3499" s="160">
        <f>+'FACP$'!$H3499-'FACP$'!$I3499-'FACP$'!$K3499</f>
        <v>652941.9136</v>
      </c>
      <c r="M3499" s="162" t="s">
        <v>151</v>
      </c>
      <c r="N3499" s="162" t="s">
        <v>554</v>
      </c>
      <c r="O3499" s="164">
        <v>44903.0</v>
      </c>
      <c r="P3499" s="164">
        <f t="array" ref="P3499">XLOOKUP('FACP$'!$B3499,'perfil de pagos'!A:A,'perfil de pagos'!B:B)+'FACP$'!$D3499</f>
        <v>44895</v>
      </c>
      <c r="Q3499" s="165">
        <f t="shared" si="2"/>
        <v>0</v>
      </c>
      <c r="R3499" s="167"/>
      <c r="S3499" s="167">
        <v>1787.0</v>
      </c>
      <c r="T3499" s="168">
        <f t="shared" si="3"/>
        <v>652941.9136</v>
      </c>
      <c r="U3499" s="168">
        <f t="shared" si="4"/>
        <v>0</v>
      </c>
      <c r="V3499" s="168">
        <f t="shared" si="5"/>
        <v>0</v>
      </c>
      <c r="W3499" s="168">
        <f t="shared" si="6"/>
        <v>0</v>
      </c>
      <c r="X3499" s="168">
        <f t="shared" si="7"/>
        <v>0</v>
      </c>
      <c r="Y3499" s="168">
        <f t="shared" si="8"/>
        <v>0</v>
      </c>
      <c r="Z3499" s="168">
        <f t="shared" si="9"/>
        <v>0</v>
      </c>
    </row>
    <row r="3500" ht="15.0" customHeight="1">
      <c r="A3500" s="157" t="s">
        <v>4341</v>
      </c>
      <c r="B3500" s="158" t="s">
        <v>27</v>
      </c>
      <c r="C3500" s="158" t="s">
        <v>4339</v>
      </c>
      <c r="D3500" s="159">
        <v>44865.0</v>
      </c>
      <c r="E3500" s="157" t="s">
        <v>731</v>
      </c>
      <c r="F3500" s="160">
        <v>268471.39</v>
      </c>
      <c r="G3500" s="160">
        <f>'FACP$'!$F3500*0.16</f>
        <v>42955.4224</v>
      </c>
      <c r="H3500" s="160">
        <f t="shared" si="112"/>
        <v>311426.8124</v>
      </c>
      <c r="I3500" s="160"/>
      <c r="J3500" s="161"/>
      <c r="K3500" s="160"/>
      <c r="L3500" s="160">
        <f>+'FACP$'!$H3500-'FACP$'!$I3500-'FACP$'!$K3500</f>
        <v>311426.8124</v>
      </c>
      <c r="M3500" s="162" t="s">
        <v>151</v>
      </c>
      <c r="N3500" s="162" t="s">
        <v>554</v>
      </c>
      <c r="O3500" s="164">
        <v>44903.0</v>
      </c>
      <c r="P3500" s="164">
        <f t="array" ref="P3500">XLOOKUP('FACP$'!$B3500,'perfil de pagos'!A:A,'perfil de pagos'!B:B)+'FACP$'!$D3500</f>
        <v>44895</v>
      </c>
      <c r="Q3500" s="165">
        <f t="shared" si="2"/>
        <v>0</v>
      </c>
      <c r="R3500" s="167"/>
      <c r="S3500" s="167">
        <v>1787.0</v>
      </c>
      <c r="T3500" s="168">
        <f t="shared" si="3"/>
        <v>311426.8124</v>
      </c>
      <c r="U3500" s="168">
        <f t="shared" si="4"/>
        <v>0</v>
      </c>
      <c r="V3500" s="168">
        <f t="shared" si="5"/>
        <v>0</v>
      </c>
      <c r="W3500" s="168">
        <f t="shared" si="6"/>
        <v>0</v>
      </c>
      <c r="X3500" s="168">
        <f t="shared" si="7"/>
        <v>0</v>
      </c>
      <c r="Y3500" s="168">
        <f t="shared" si="8"/>
        <v>0</v>
      </c>
      <c r="Z3500" s="168">
        <f t="shared" si="9"/>
        <v>0</v>
      </c>
    </row>
    <row r="3501" ht="15.0" customHeight="1">
      <c r="A3501" s="157" t="s">
        <v>4342</v>
      </c>
      <c r="B3501" s="158" t="s">
        <v>27</v>
      </c>
      <c r="C3501" s="158" t="s">
        <v>4343</v>
      </c>
      <c r="D3501" s="159">
        <v>44865.0</v>
      </c>
      <c r="E3501" s="157" t="s">
        <v>731</v>
      </c>
      <c r="F3501" s="160">
        <v>21238.22</v>
      </c>
      <c r="G3501" s="160">
        <f>'FACP$'!$F3501*0.16</f>
        <v>3398.1152</v>
      </c>
      <c r="H3501" s="160">
        <f t="shared" si="112"/>
        <v>24636.3352</v>
      </c>
      <c r="I3501" s="160"/>
      <c r="J3501" s="161"/>
      <c r="K3501" s="160"/>
      <c r="L3501" s="160">
        <f>+'FACP$'!$H3501-'FACP$'!$I3501-'FACP$'!$K3501</f>
        <v>24636.3352</v>
      </c>
      <c r="M3501" s="162" t="s">
        <v>151</v>
      </c>
      <c r="N3501" s="162" t="s">
        <v>554</v>
      </c>
      <c r="O3501" s="164">
        <v>44903.0</v>
      </c>
      <c r="P3501" s="164">
        <f t="array" ref="P3501">XLOOKUP('FACP$'!$B3501,'perfil de pagos'!A:A,'perfil de pagos'!B:B)+'FACP$'!$D3501</f>
        <v>44895</v>
      </c>
      <c r="Q3501" s="165">
        <f t="shared" si="2"/>
        <v>0</v>
      </c>
      <c r="R3501" s="167"/>
      <c r="S3501" s="167">
        <v>1787.0</v>
      </c>
      <c r="T3501" s="168">
        <f t="shared" si="3"/>
        <v>24636.3352</v>
      </c>
      <c r="U3501" s="168">
        <f t="shared" si="4"/>
        <v>0</v>
      </c>
      <c r="V3501" s="168">
        <f t="shared" si="5"/>
        <v>0</v>
      </c>
      <c r="W3501" s="168">
        <f t="shared" si="6"/>
        <v>0</v>
      </c>
      <c r="X3501" s="168">
        <f t="shared" si="7"/>
        <v>0</v>
      </c>
      <c r="Y3501" s="168">
        <f t="shared" si="8"/>
        <v>0</v>
      </c>
      <c r="Z3501" s="168">
        <f t="shared" si="9"/>
        <v>0</v>
      </c>
    </row>
    <row r="3502" ht="15.0" customHeight="1">
      <c r="A3502" s="157" t="s">
        <v>4344</v>
      </c>
      <c r="B3502" s="158" t="s">
        <v>27</v>
      </c>
      <c r="C3502" s="158" t="s">
        <v>4345</v>
      </c>
      <c r="D3502" s="159">
        <v>44865.0</v>
      </c>
      <c r="E3502" s="157" t="s">
        <v>731</v>
      </c>
      <c r="F3502" s="160">
        <v>12333.38</v>
      </c>
      <c r="G3502" s="160">
        <f>'FACP$'!$F3502*0.16</f>
        <v>1973.3408</v>
      </c>
      <c r="H3502" s="160">
        <f t="shared" si="112"/>
        <v>14306.7208</v>
      </c>
      <c r="I3502" s="160"/>
      <c r="J3502" s="161"/>
      <c r="K3502" s="160"/>
      <c r="L3502" s="160">
        <f>+'FACP$'!$H3502-'FACP$'!$I3502-'FACP$'!$K3502</f>
        <v>14306.7208</v>
      </c>
      <c r="M3502" s="162" t="s">
        <v>151</v>
      </c>
      <c r="N3502" s="162" t="s">
        <v>554</v>
      </c>
      <c r="O3502" s="164">
        <v>44903.0</v>
      </c>
      <c r="P3502" s="164">
        <f t="array" ref="P3502">XLOOKUP('FACP$'!$B3502,'perfil de pagos'!A:A,'perfil de pagos'!B:B)+'FACP$'!$D3502</f>
        <v>44895</v>
      </c>
      <c r="Q3502" s="165">
        <f t="shared" si="2"/>
        <v>0</v>
      </c>
      <c r="R3502" s="167"/>
      <c r="S3502" s="167">
        <v>1787.0</v>
      </c>
      <c r="T3502" s="168">
        <f t="shared" si="3"/>
        <v>14306.7208</v>
      </c>
      <c r="U3502" s="168">
        <f t="shared" si="4"/>
        <v>0</v>
      </c>
      <c r="V3502" s="168">
        <f t="shared" si="5"/>
        <v>0</v>
      </c>
      <c r="W3502" s="168">
        <f t="shared" si="6"/>
        <v>0</v>
      </c>
      <c r="X3502" s="168">
        <f t="shared" si="7"/>
        <v>0</v>
      </c>
      <c r="Y3502" s="168">
        <f t="shared" si="8"/>
        <v>0</v>
      </c>
      <c r="Z3502" s="168">
        <f t="shared" si="9"/>
        <v>0</v>
      </c>
    </row>
    <row r="3503" ht="15.0" customHeight="1">
      <c r="A3503" s="157" t="s">
        <v>4346</v>
      </c>
      <c r="B3503" s="158" t="s">
        <v>31</v>
      </c>
      <c r="C3503" s="158" t="s">
        <v>4347</v>
      </c>
      <c r="D3503" s="159">
        <v>44869.0</v>
      </c>
      <c r="E3503" s="157" t="s">
        <v>731</v>
      </c>
      <c r="F3503" s="160">
        <v>202561.58</v>
      </c>
      <c r="G3503" s="160">
        <f>'FACP$'!$F3503*0.16</f>
        <v>32409.8528</v>
      </c>
      <c r="H3503" s="160">
        <f>F3503+G3503-192690.66</f>
        <v>42280.7728</v>
      </c>
      <c r="I3503" s="252"/>
      <c r="J3503" s="253"/>
      <c r="K3503" s="252"/>
      <c r="L3503" s="160">
        <f>+'FACP$'!$H3503-'FACP$'!$I3503-'FACP$'!$K3503</f>
        <v>42280.7728</v>
      </c>
      <c r="M3503" s="162" t="s">
        <v>3183</v>
      </c>
      <c r="N3503" s="162" t="s">
        <v>554</v>
      </c>
      <c r="O3503" s="164">
        <v>44876.0</v>
      </c>
      <c r="P3503" s="164">
        <f t="array" ref="P3503">XLOOKUP('FACP$'!$B3503,'perfil de pagos'!A:A,'perfil de pagos'!B:B)+'FACP$'!$D3503</f>
        <v>44872</v>
      </c>
      <c r="Q3503" s="165">
        <f t="shared" si="2"/>
        <v>0</v>
      </c>
      <c r="R3503" s="220" t="s">
        <v>4348</v>
      </c>
      <c r="S3503" s="167"/>
      <c r="T3503" s="168">
        <f t="shared" si="3"/>
        <v>42280.7728</v>
      </c>
      <c r="U3503" s="168">
        <f t="shared" si="4"/>
        <v>0</v>
      </c>
      <c r="V3503" s="168">
        <f t="shared" si="5"/>
        <v>0</v>
      </c>
      <c r="W3503" s="168">
        <f t="shared" si="6"/>
        <v>0</v>
      </c>
      <c r="X3503" s="168">
        <f t="shared" si="7"/>
        <v>0</v>
      </c>
      <c r="Y3503" s="168">
        <f t="shared" si="8"/>
        <v>0</v>
      </c>
      <c r="Z3503" s="168">
        <f t="shared" si="9"/>
        <v>0</v>
      </c>
      <c r="AA3503" s="295"/>
      <c r="AB3503" s="295"/>
      <c r="AC3503" s="295"/>
    </row>
    <row r="3504" ht="15.0" customHeight="1">
      <c r="A3504" s="157" t="s">
        <v>4349</v>
      </c>
      <c r="B3504" s="158" t="s">
        <v>146</v>
      </c>
      <c r="C3504" s="158" t="s">
        <v>146</v>
      </c>
      <c r="D3504" s="159"/>
      <c r="E3504" s="157"/>
      <c r="F3504" s="160"/>
      <c r="G3504" s="160"/>
      <c r="H3504" s="160">
        <f t="shared" ref="H3504:H3518" si="113">F3504+G3504</f>
        <v>0</v>
      </c>
      <c r="I3504" s="160"/>
      <c r="J3504" s="161"/>
      <c r="K3504" s="160"/>
      <c r="L3504" s="160">
        <f>+'FACP$'!$H3504-'FACP$'!$I3504-'FACP$'!$K3504</f>
        <v>0</v>
      </c>
      <c r="M3504" s="162"/>
      <c r="N3504" s="162" t="s">
        <v>127</v>
      </c>
      <c r="O3504" s="164"/>
      <c r="P3504" s="164">
        <f>D3504+10</f>
        <v>10</v>
      </c>
      <c r="Q3504" s="165">
        <f t="shared" si="2"/>
        <v>0</v>
      </c>
      <c r="R3504" s="220" t="s">
        <v>4350</v>
      </c>
      <c r="S3504" s="167"/>
      <c r="T3504" s="168">
        <f t="shared" si="3"/>
        <v>0</v>
      </c>
      <c r="U3504" s="168">
        <f t="shared" si="4"/>
        <v>0</v>
      </c>
      <c r="V3504" s="168">
        <f t="shared" si="5"/>
        <v>0</v>
      </c>
      <c r="W3504" s="168">
        <f t="shared" si="6"/>
        <v>0</v>
      </c>
      <c r="X3504" s="168">
        <f t="shared" si="7"/>
        <v>0</v>
      </c>
      <c r="Y3504" s="168">
        <f t="shared" si="8"/>
        <v>0</v>
      </c>
      <c r="Z3504" s="168">
        <f t="shared" si="9"/>
        <v>0</v>
      </c>
      <c r="AA3504" s="81"/>
      <c r="AB3504" s="81"/>
      <c r="AC3504" s="81"/>
    </row>
    <row r="3505" ht="15.0" customHeight="1">
      <c r="A3505" s="157" t="s">
        <v>4351</v>
      </c>
      <c r="B3505" s="158" t="s">
        <v>15</v>
      </c>
      <c r="C3505" s="158" t="s">
        <v>4352</v>
      </c>
      <c r="D3505" s="159">
        <v>44869.0</v>
      </c>
      <c r="E3505" s="157" t="s">
        <v>731</v>
      </c>
      <c r="F3505" s="160">
        <v>792847.34</v>
      </c>
      <c r="G3505" s="160">
        <f>'FACP$'!$F3505*0.16</f>
        <v>126855.5744</v>
      </c>
      <c r="H3505" s="160">
        <f t="shared" si="113"/>
        <v>919702.9144</v>
      </c>
      <c r="I3505" s="160"/>
      <c r="J3505" s="161"/>
      <c r="K3505" s="160"/>
      <c r="L3505" s="160">
        <f>+'FACP$'!$H3505-'FACP$'!$I3505-'FACP$'!$K3505</f>
        <v>919702.9144</v>
      </c>
      <c r="M3505" s="162" t="s">
        <v>443</v>
      </c>
      <c r="N3505" s="162" t="s">
        <v>554</v>
      </c>
      <c r="O3505" s="164">
        <v>44887.0</v>
      </c>
      <c r="P3505" s="164">
        <f t="array" ref="P3505">XLOOKUP('FACP$'!$B3505,'perfil de pagos'!A:A,'perfil de pagos'!B:B)+'FACP$'!$D3505</f>
        <v>44879</v>
      </c>
      <c r="Q3505" s="165">
        <f t="shared" si="2"/>
        <v>0</v>
      </c>
      <c r="R3505" s="167"/>
      <c r="S3505" s="167">
        <v>1732.0</v>
      </c>
      <c r="T3505" s="168">
        <f t="shared" si="3"/>
        <v>919702.9144</v>
      </c>
      <c r="U3505" s="168">
        <f t="shared" si="4"/>
        <v>0</v>
      </c>
      <c r="V3505" s="168">
        <f t="shared" si="5"/>
        <v>0</v>
      </c>
      <c r="W3505" s="168">
        <f t="shared" si="6"/>
        <v>0</v>
      </c>
      <c r="X3505" s="168">
        <f t="shared" si="7"/>
        <v>0</v>
      </c>
      <c r="Y3505" s="168">
        <f t="shared" si="8"/>
        <v>0</v>
      </c>
      <c r="Z3505" s="168">
        <f t="shared" si="9"/>
        <v>0</v>
      </c>
      <c r="AA3505" s="81"/>
      <c r="AB3505" s="81"/>
      <c r="AC3505" s="81"/>
    </row>
    <row r="3506" ht="15.0" customHeight="1">
      <c r="A3506" s="157" t="s">
        <v>4353</v>
      </c>
      <c r="B3506" s="158" t="s">
        <v>33</v>
      </c>
      <c r="C3506" s="158" t="s">
        <v>4352</v>
      </c>
      <c r="D3506" s="159">
        <v>44869.0</v>
      </c>
      <c r="E3506" s="157" t="s">
        <v>731</v>
      </c>
      <c r="F3506" s="160">
        <v>277641.16</v>
      </c>
      <c r="G3506" s="160">
        <f>'FACP$'!$F3506*0.16</f>
        <v>44422.5856</v>
      </c>
      <c r="H3506" s="160">
        <f t="shared" si="113"/>
        <v>322063.7456</v>
      </c>
      <c r="I3506" s="160"/>
      <c r="J3506" s="161"/>
      <c r="K3506" s="160"/>
      <c r="L3506" s="160">
        <f>+'FACP$'!$H3506-'FACP$'!$I3506-'FACP$'!$K3506</f>
        <v>322063.7456</v>
      </c>
      <c r="M3506" s="162" t="s">
        <v>958</v>
      </c>
      <c r="N3506" s="162" t="s">
        <v>554</v>
      </c>
      <c r="O3506" s="164">
        <v>44897.0</v>
      </c>
      <c r="P3506" s="164">
        <f t="array" ref="P3506">XLOOKUP('FACP$'!$B3506,'perfil de pagos'!A:A,'perfil de pagos'!B:B)+'FACP$'!$D3506</f>
        <v>44879</v>
      </c>
      <c r="Q3506" s="165">
        <f t="shared" si="2"/>
        <v>0</v>
      </c>
      <c r="R3506" s="167"/>
      <c r="S3506" s="167">
        <v>1774.0</v>
      </c>
      <c r="T3506" s="168">
        <f t="shared" si="3"/>
        <v>322063.7456</v>
      </c>
      <c r="U3506" s="168">
        <f t="shared" si="4"/>
        <v>0</v>
      </c>
      <c r="V3506" s="168">
        <f t="shared" si="5"/>
        <v>0</v>
      </c>
      <c r="W3506" s="168">
        <f t="shared" si="6"/>
        <v>0</v>
      </c>
      <c r="X3506" s="168">
        <f t="shared" si="7"/>
        <v>0</v>
      </c>
      <c r="Y3506" s="168">
        <f t="shared" si="8"/>
        <v>0</v>
      </c>
      <c r="Z3506" s="168">
        <f t="shared" si="9"/>
        <v>0</v>
      </c>
      <c r="AA3506" s="81"/>
      <c r="AB3506" s="81"/>
      <c r="AC3506" s="81"/>
    </row>
    <row r="3507" ht="15.0" customHeight="1">
      <c r="A3507" s="157" t="s">
        <v>4354</v>
      </c>
      <c r="B3507" s="158" t="s">
        <v>35</v>
      </c>
      <c r="C3507" s="158" t="s">
        <v>4352</v>
      </c>
      <c r="D3507" s="159">
        <v>44869.0</v>
      </c>
      <c r="E3507" s="157" t="s">
        <v>731</v>
      </c>
      <c r="F3507" s="160">
        <v>368236.27</v>
      </c>
      <c r="G3507" s="160">
        <f>'FACP$'!$F3507*0.16</f>
        <v>58917.8032</v>
      </c>
      <c r="H3507" s="160">
        <f t="shared" si="113"/>
        <v>427154.0732</v>
      </c>
      <c r="I3507" s="160"/>
      <c r="J3507" s="161"/>
      <c r="K3507" s="160"/>
      <c r="L3507" s="160">
        <f>+'FACP$'!$H3507-'FACP$'!$I3507-'FACP$'!$K3507</f>
        <v>427154.0732</v>
      </c>
      <c r="M3507" s="162" t="s">
        <v>276</v>
      </c>
      <c r="N3507" s="162" t="s">
        <v>554</v>
      </c>
      <c r="O3507" s="164">
        <v>44924.0</v>
      </c>
      <c r="P3507" s="164">
        <f t="array" ref="P3507">XLOOKUP('FACP$'!$B3507,'perfil de pagos'!A:A,'perfil de pagos'!B:B)+'FACP$'!$D3507</f>
        <v>44879</v>
      </c>
      <c r="Q3507" s="165">
        <f t="shared" si="2"/>
        <v>0</v>
      </c>
      <c r="R3507" s="167"/>
      <c r="S3507" s="167"/>
      <c r="T3507" s="168">
        <f t="shared" si="3"/>
        <v>427154.0732</v>
      </c>
      <c r="U3507" s="168">
        <f t="shared" si="4"/>
        <v>0</v>
      </c>
      <c r="V3507" s="168">
        <f t="shared" si="5"/>
        <v>0</v>
      </c>
      <c r="W3507" s="168">
        <f t="shared" si="6"/>
        <v>0</v>
      </c>
      <c r="X3507" s="168">
        <f t="shared" si="7"/>
        <v>0</v>
      </c>
      <c r="Y3507" s="168">
        <f t="shared" si="8"/>
        <v>0</v>
      </c>
      <c r="Z3507" s="168">
        <f t="shared" si="9"/>
        <v>0</v>
      </c>
      <c r="AA3507" s="81"/>
      <c r="AB3507" s="81"/>
      <c r="AC3507" s="81"/>
    </row>
    <row r="3508" ht="15.0" customHeight="1">
      <c r="A3508" s="157" t="s">
        <v>4355</v>
      </c>
      <c r="B3508" s="158" t="s">
        <v>36</v>
      </c>
      <c r="C3508" s="158" t="s">
        <v>4352</v>
      </c>
      <c r="D3508" s="159">
        <v>44869.0</v>
      </c>
      <c r="E3508" s="157" t="s">
        <v>731</v>
      </c>
      <c r="F3508" s="160">
        <v>122112.97</v>
      </c>
      <c r="G3508" s="160">
        <f>'FACP$'!$F3508*0.16</f>
        <v>19538.0752</v>
      </c>
      <c r="H3508" s="160">
        <f t="shared" si="113"/>
        <v>141651.0452</v>
      </c>
      <c r="I3508" s="160"/>
      <c r="J3508" s="161"/>
      <c r="K3508" s="160"/>
      <c r="L3508" s="160">
        <f>+'FACP$'!$H3508-'FACP$'!$I3508-'FACP$'!$K3508</f>
        <v>141651.0452</v>
      </c>
      <c r="M3508" s="162" t="s">
        <v>278</v>
      </c>
      <c r="N3508" s="162" t="s">
        <v>554</v>
      </c>
      <c r="O3508" s="164">
        <v>44879.0</v>
      </c>
      <c r="P3508" s="164">
        <f t="array" ref="P3508">XLOOKUP('FACP$'!$B3508,'perfil de pagos'!A:A,'perfil de pagos'!B:B)+'FACP$'!$D3508</f>
        <v>44879</v>
      </c>
      <c r="Q3508" s="165">
        <f t="shared" si="2"/>
        <v>0</v>
      </c>
      <c r="R3508" s="167"/>
      <c r="S3508" s="167">
        <v>1716.0</v>
      </c>
      <c r="T3508" s="168">
        <f t="shared" si="3"/>
        <v>141651.0452</v>
      </c>
      <c r="U3508" s="168">
        <f t="shared" si="4"/>
        <v>0</v>
      </c>
      <c r="V3508" s="168">
        <f t="shared" si="5"/>
        <v>0</v>
      </c>
      <c r="W3508" s="168">
        <f t="shared" si="6"/>
        <v>0</v>
      </c>
      <c r="X3508" s="168">
        <f t="shared" si="7"/>
        <v>0</v>
      </c>
      <c r="Y3508" s="168">
        <f t="shared" si="8"/>
        <v>0</v>
      </c>
      <c r="Z3508" s="168">
        <f t="shared" si="9"/>
        <v>0</v>
      </c>
    </row>
    <row r="3509" ht="15.0" customHeight="1">
      <c r="A3509" s="157" t="s">
        <v>4356</v>
      </c>
      <c r="B3509" s="158" t="s">
        <v>41</v>
      </c>
      <c r="C3509" s="158" t="s">
        <v>4352</v>
      </c>
      <c r="D3509" s="159">
        <v>44869.0</v>
      </c>
      <c r="E3509" s="157" t="s">
        <v>731</v>
      </c>
      <c r="F3509" s="160">
        <v>1053253.82</v>
      </c>
      <c r="G3509" s="160">
        <f>'FACP$'!$F3509*0.16</f>
        <v>168520.6112</v>
      </c>
      <c r="H3509" s="160">
        <f t="shared" si="113"/>
        <v>1221774.431</v>
      </c>
      <c r="I3509" s="160"/>
      <c r="J3509" s="161"/>
      <c r="K3509" s="160"/>
      <c r="L3509" s="160">
        <f>+'FACP$'!$H3509-'FACP$'!$I3509-'FACP$'!$K3509</f>
        <v>1221774.431</v>
      </c>
      <c r="M3509" s="162" t="s">
        <v>121</v>
      </c>
      <c r="N3509" s="162" t="s">
        <v>554</v>
      </c>
      <c r="O3509" s="164">
        <v>44918.0</v>
      </c>
      <c r="P3509" s="164">
        <f t="array" ref="P3509">XLOOKUP('FACP$'!$B3509,'perfil de pagos'!A:A,'perfil de pagos'!B:B)+'FACP$'!$D3509</f>
        <v>44879</v>
      </c>
      <c r="Q3509" s="165">
        <f t="shared" si="2"/>
        <v>0</v>
      </c>
      <c r="R3509" s="167"/>
      <c r="S3509" s="167">
        <v>1865.0</v>
      </c>
      <c r="T3509" s="168">
        <f t="shared" si="3"/>
        <v>1221774.431</v>
      </c>
      <c r="U3509" s="168">
        <f t="shared" si="4"/>
        <v>0</v>
      </c>
      <c r="V3509" s="168">
        <f t="shared" si="5"/>
        <v>0</v>
      </c>
      <c r="W3509" s="168">
        <f t="shared" si="6"/>
        <v>0</v>
      </c>
      <c r="X3509" s="168">
        <f t="shared" si="7"/>
        <v>0</v>
      </c>
      <c r="Y3509" s="168">
        <f t="shared" si="8"/>
        <v>0</v>
      </c>
      <c r="Z3509" s="168">
        <f t="shared" si="9"/>
        <v>0</v>
      </c>
    </row>
    <row r="3510" ht="15.0" customHeight="1">
      <c r="A3510" s="157" t="s">
        <v>4357</v>
      </c>
      <c r="B3510" s="158" t="s">
        <v>42</v>
      </c>
      <c r="C3510" s="158" t="s">
        <v>4352</v>
      </c>
      <c r="D3510" s="159">
        <v>44869.0</v>
      </c>
      <c r="E3510" s="157" t="s">
        <v>731</v>
      </c>
      <c r="F3510" s="160">
        <v>220339.36</v>
      </c>
      <c r="G3510" s="160">
        <f>'FACP$'!$F3510*0.16</f>
        <v>35254.2976</v>
      </c>
      <c r="H3510" s="160">
        <f t="shared" si="113"/>
        <v>255593.6576</v>
      </c>
      <c r="I3510" s="160"/>
      <c r="J3510" s="161"/>
      <c r="K3510" s="160"/>
      <c r="L3510" s="160">
        <f>+'FACP$'!$H3510-'FACP$'!$I3510-'FACP$'!$K3510</f>
        <v>255593.6576</v>
      </c>
      <c r="M3510" s="162" t="s">
        <v>42</v>
      </c>
      <c r="N3510" s="162" t="s">
        <v>554</v>
      </c>
      <c r="O3510" s="164">
        <v>44882.0</v>
      </c>
      <c r="P3510" s="164">
        <f t="array" ref="P3510">XLOOKUP('FACP$'!$B3510,'perfil de pagos'!A:A,'perfil de pagos'!B:B)+'FACP$'!$D3510</f>
        <v>44879</v>
      </c>
      <c r="Q3510" s="165">
        <f t="shared" si="2"/>
        <v>0</v>
      </c>
      <c r="R3510" s="167"/>
      <c r="S3510" s="167">
        <v>1724.0</v>
      </c>
      <c r="T3510" s="168">
        <f t="shared" si="3"/>
        <v>255593.6576</v>
      </c>
      <c r="U3510" s="168">
        <f t="shared" si="4"/>
        <v>0</v>
      </c>
      <c r="V3510" s="168">
        <f t="shared" si="5"/>
        <v>0</v>
      </c>
      <c r="W3510" s="168">
        <f t="shared" si="6"/>
        <v>0</v>
      </c>
      <c r="X3510" s="168">
        <f t="shared" si="7"/>
        <v>0</v>
      </c>
      <c r="Y3510" s="168">
        <f t="shared" si="8"/>
        <v>0</v>
      </c>
      <c r="Z3510" s="168">
        <f t="shared" si="9"/>
        <v>0</v>
      </c>
      <c r="AA3510" s="296"/>
      <c r="AB3510" s="296"/>
      <c r="AC3510" s="296"/>
    </row>
    <row r="3511" ht="15.0" customHeight="1">
      <c r="A3511" s="157" t="s">
        <v>4358</v>
      </c>
      <c r="B3511" s="158" t="s">
        <v>43</v>
      </c>
      <c r="C3511" s="158" t="s">
        <v>4352</v>
      </c>
      <c r="D3511" s="159">
        <v>44869.0</v>
      </c>
      <c r="E3511" s="157" t="s">
        <v>731</v>
      </c>
      <c r="F3511" s="160">
        <v>1164235.29</v>
      </c>
      <c r="G3511" s="160">
        <f>'FACP$'!$F3511*0.16</f>
        <v>186277.6464</v>
      </c>
      <c r="H3511" s="160">
        <f t="shared" si="113"/>
        <v>1350512.936</v>
      </c>
      <c r="I3511" s="160"/>
      <c r="J3511" s="161"/>
      <c r="K3511" s="160"/>
      <c r="L3511" s="160">
        <f>+'FACP$'!$H3511-'FACP$'!$I3511-'FACP$'!$K3511</f>
        <v>1350512.936</v>
      </c>
      <c r="M3511" s="162" t="s">
        <v>43</v>
      </c>
      <c r="N3511" s="162" t="s">
        <v>554</v>
      </c>
      <c r="O3511" s="164">
        <v>44904.0</v>
      </c>
      <c r="P3511" s="164">
        <f t="array" ref="P3511">XLOOKUP('FACP$'!$B3511,'perfil de pagos'!A:A,'perfil de pagos'!B:B)+'FACP$'!$D3511</f>
        <v>44894</v>
      </c>
      <c r="Q3511" s="165">
        <f t="shared" si="2"/>
        <v>0</v>
      </c>
      <c r="R3511" s="167"/>
      <c r="S3511" s="167">
        <v>1791.0</v>
      </c>
      <c r="T3511" s="168">
        <f t="shared" si="3"/>
        <v>1350512.936</v>
      </c>
      <c r="U3511" s="168">
        <f t="shared" si="4"/>
        <v>0</v>
      </c>
      <c r="V3511" s="168">
        <f t="shared" si="5"/>
        <v>0</v>
      </c>
      <c r="W3511" s="168">
        <f t="shared" si="6"/>
        <v>0</v>
      </c>
      <c r="X3511" s="168">
        <f t="shared" si="7"/>
        <v>0</v>
      </c>
      <c r="Y3511" s="168">
        <f t="shared" si="8"/>
        <v>0</v>
      </c>
      <c r="Z3511" s="168">
        <f t="shared" si="9"/>
        <v>0</v>
      </c>
    </row>
    <row r="3512" ht="15.0" customHeight="1">
      <c r="A3512" s="157" t="s">
        <v>4359</v>
      </c>
      <c r="B3512" s="158" t="s">
        <v>44</v>
      </c>
      <c r="C3512" s="158" t="s">
        <v>4352</v>
      </c>
      <c r="D3512" s="159">
        <v>44869.0</v>
      </c>
      <c r="E3512" s="157" t="s">
        <v>731</v>
      </c>
      <c r="F3512" s="160">
        <v>246433.83</v>
      </c>
      <c r="G3512" s="160">
        <f>'FACP$'!$F3512*0.16</f>
        <v>39429.4128</v>
      </c>
      <c r="H3512" s="160">
        <f t="shared" si="113"/>
        <v>285863.2428</v>
      </c>
      <c r="I3512" s="160"/>
      <c r="J3512" s="161"/>
      <c r="K3512" s="160"/>
      <c r="L3512" s="160">
        <f>+'FACP$'!$H3512-'FACP$'!$I3512-'FACP$'!$K3512</f>
        <v>285863.2428</v>
      </c>
      <c r="M3512" s="162" t="s">
        <v>361</v>
      </c>
      <c r="N3512" s="162" t="s">
        <v>554</v>
      </c>
      <c r="O3512" s="164">
        <v>44876.0</v>
      </c>
      <c r="P3512" s="164">
        <f t="array" ref="P3512">XLOOKUP('FACP$'!$B3512,'perfil de pagos'!A:A,'perfil de pagos'!B:B)+'FACP$'!$D3512</f>
        <v>44879</v>
      </c>
      <c r="Q3512" s="165">
        <f t="shared" si="2"/>
        <v>0</v>
      </c>
      <c r="R3512" s="167"/>
      <c r="S3512" s="167">
        <v>1710.0</v>
      </c>
      <c r="T3512" s="168">
        <f t="shared" si="3"/>
        <v>285863.2428</v>
      </c>
      <c r="U3512" s="168">
        <f t="shared" si="4"/>
        <v>0</v>
      </c>
      <c r="V3512" s="168">
        <f t="shared" si="5"/>
        <v>0</v>
      </c>
      <c r="W3512" s="168">
        <f t="shared" si="6"/>
        <v>0</v>
      </c>
      <c r="X3512" s="168">
        <f t="shared" si="7"/>
        <v>0</v>
      </c>
      <c r="Y3512" s="168">
        <f t="shared" si="8"/>
        <v>0</v>
      </c>
      <c r="Z3512" s="168">
        <f t="shared" si="9"/>
        <v>0</v>
      </c>
    </row>
    <row r="3513" ht="15.0" customHeight="1">
      <c r="A3513" s="157" t="s">
        <v>4360</v>
      </c>
      <c r="B3513" s="158" t="s">
        <v>27</v>
      </c>
      <c r="C3513" s="158" t="s">
        <v>4361</v>
      </c>
      <c r="D3513" s="159">
        <v>44869.0</v>
      </c>
      <c r="E3513" s="157" t="s">
        <v>731</v>
      </c>
      <c r="F3513" s="160">
        <v>1754.93</v>
      </c>
      <c r="G3513" s="160">
        <f>'FACP$'!$F3513*0.16</f>
        <v>280.7888</v>
      </c>
      <c r="H3513" s="160">
        <f t="shared" si="113"/>
        <v>2035.7188</v>
      </c>
      <c r="I3513" s="160"/>
      <c r="J3513" s="161"/>
      <c r="K3513" s="160"/>
      <c r="L3513" s="160">
        <f>+'FACP$'!$H3513-'FACP$'!$I3513-'FACP$'!$K3513</f>
        <v>2035.7188</v>
      </c>
      <c r="M3513" s="162" t="s">
        <v>158</v>
      </c>
      <c r="N3513" s="162" t="s">
        <v>554</v>
      </c>
      <c r="O3513" s="164">
        <v>44911.0</v>
      </c>
      <c r="P3513" s="164">
        <f t="array" ref="P3513">XLOOKUP('FACP$'!$B3513,'perfil de pagos'!A:A,'perfil de pagos'!B:B)+'FACP$'!$D3513</f>
        <v>44899</v>
      </c>
      <c r="Q3513" s="165">
        <f t="shared" si="2"/>
        <v>0</v>
      </c>
      <c r="R3513" s="167"/>
      <c r="S3513" s="167">
        <v>1828.0</v>
      </c>
      <c r="T3513" s="168">
        <f t="shared" si="3"/>
        <v>2035.7188</v>
      </c>
      <c r="U3513" s="168">
        <f t="shared" si="4"/>
        <v>0</v>
      </c>
      <c r="V3513" s="168">
        <f t="shared" si="5"/>
        <v>0</v>
      </c>
      <c r="W3513" s="168">
        <f t="shared" si="6"/>
        <v>0</v>
      </c>
      <c r="X3513" s="168">
        <f t="shared" si="7"/>
        <v>0</v>
      </c>
      <c r="Y3513" s="168">
        <f t="shared" si="8"/>
        <v>0</v>
      </c>
      <c r="Z3513" s="168">
        <f t="shared" si="9"/>
        <v>0</v>
      </c>
    </row>
    <row r="3514" ht="15.0" customHeight="1">
      <c r="A3514" s="157" t="s">
        <v>4362</v>
      </c>
      <c r="B3514" s="158" t="s">
        <v>27</v>
      </c>
      <c r="C3514" s="158" t="s">
        <v>4363</v>
      </c>
      <c r="D3514" s="159">
        <v>44869.0</v>
      </c>
      <c r="E3514" s="157" t="s">
        <v>731</v>
      </c>
      <c r="F3514" s="160">
        <v>1436.2</v>
      </c>
      <c r="G3514" s="160">
        <f>'FACP$'!$F3514*0.16</f>
        <v>229.792</v>
      </c>
      <c r="H3514" s="160">
        <f t="shared" si="113"/>
        <v>1665.992</v>
      </c>
      <c r="I3514" s="160"/>
      <c r="J3514" s="161"/>
      <c r="K3514" s="160"/>
      <c r="L3514" s="160">
        <f>+'FACP$'!$H3514-'FACP$'!$I3514-'FACP$'!$K3514</f>
        <v>1665.992</v>
      </c>
      <c r="M3514" s="162" t="s">
        <v>158</v>
      </c>
      <c r="N3514" s="162" t="s">
        <v>554</v>
      </c>
      <c r="O3514" s="164">
        <v>44911.0</v>
      </c>
      <c r="P3514" s="164">
        <f t="array" ref="P3514">XLOOKUP('FACP$'!$B3514,'perfil de pagos'!A:A,'perfil de pagos'!B:B)+'FACP$'!$D3514</f>
        <v>44899</v>
      </c>
      <c r="Q3514" s="165">
        <f t="shared" si="2"/>
        <v>0</v>
      </c>
      <c r="R3514" s="167"/>
      <c r="S3514" s="167">
        <v>1828.0</v>
      </c>
      <c r="T3514" s="168">
        <f t="shared" si="3"/>
        <v>1665.992</v>
      </c>
      <c r="U3514" s="168">
        <f t="shared" si="4"/>
        <v>0</v>
      </c>
      <c r="V3514" s="168">
        <f t="shared" si="5"/>
        <v>0</v>
      </c>
      <c r="W3514" s="168">
        <f t="shared" si="6"/>
        <v>0</v>
      </c>
      <c r="X3514" s="168">
        <f t="shared" si="7"/>
        <v>0</v>
      </c>
      <c r="Y3514" s="168">
        <f t="shared" si="8"/>
        <v>0</v>
      </c>
      <c r="Z3514" s="168">
        <f t="shared" si="9"/>
        <v>0</v>
      </c>
    </row>
    <row r="3515" ht="15.0" customHeight="1">
      <c r="A3515" s="157" t="s">
        <v>4364</v>
      </c>
      <c r="B3515" s="158" t="s">
        <v>27</v>
      </c>
      <c r="C3515" s="158" t="s">
        <v>4361</v>
      </c>
      <c r="D3515" s="159">
        <v>44869.0</v>
      </c>
      <c r="E3515" s="157" t="s">
        <v>731</v>
      </c>
      <c r="F3515" s="160">
        <v>10388.95</v>
      </c>
      <c r="G3515" s="160">
        <f>'FACP$'!$F3515*0.16</f>
        <v>1662.232</v>
      </c>
      <c r="H3515" s="160">
        <f t="shared" si="113"/>
        <v>12051.182</v>
      </c>
      <c r="I3515" s="160"/>
      <c r="J3515" s="161"/>
      <c r="K3515" s="160"/>
      <c r="L3515" s="160">
        <f>+'FACP$'!$H3515-'FACP$'!$I3515-'FACP$'!$K3515</f>
        <v>12051.182</v>
      </c>
      <c r="M3515" s="162" t="s">
        <v>151</v>
      </c>
      <c r="N3515" s="162" t="s">
        <v>554</v>
      </c>
      <c r="O3515" s="164">
        <v>44911.0</v>
      </c>
      <c r="P3515" s="164">
        <f t="array" ref="P3515">XLOOKUP('FACP$'!$B3515,'perfil de pagos'!A:A,'perfil de pagos'!B:B)+'FACP$'!$D3515</f>
        <v>44899</v>
      </c>
      <c r="Q3515" s="165">
        <f t="shared" si="2"/>
        <v>0</v>
      </c>
      <c r="R3515" s="167"/>
      <c r="S3515" s="167">
        <v>1827.0</v>
      </c>
      <c r="T3515" s="168">
        <f t="shared" si="3"/>
        <v>12051.182</v>
      </c>
      <c r="U3515" s="168">
        <f t="shared" si="4"/>
        <v>0</v>
      </c>
      <c r="V3515" s="168">
        <f t="shared" si="5"/>
        <v>0</v>
      </c>
      <c r="W3515" s="168">
        <f t="shared" si="6"/>
        <v>0</v>
      </c>
      <c r="X3515" s="168">
        <f t="shared" si="7"/>
        <v>0</v>
      </c>
      <c r="Y3515" s="168">
        <f t="shared" si="8"/>
        <v>0</v>
      </c>
      <c r="Z3515" s="168">
        <f t="shared" si="9"/>
        <v>0</v>
      </c>
    </row>
    <row r="3516" ht="15.0" customHeight="1">
      <c r="A3516" s="157" t="s">
        <v>4365</v>
      </c>
      <c r="B3516" s="158" t="s">
        <v>27</v>
      </c>
      <c r="C3516" s="158" t="s">
        <v>4363</v>
      </c>
      <c r="D3516" s="159">
        <v>44869.0</v>
      </c>
      <c r="E3516" s="157" t="s">
        <v>731</v>
      </c>
      <c r="F3516" s="160">
        <v>8467.98</v>
      </c>
      <c r="G3516" s="160">
        <f>'FACP$'!$F3516*0.16</f>
        <v>1354.8768</v>
      </c>
      <c r="H3516" s="160">
        <f t="shared" si="113"/>
        <v>9822.8568</v>
      </c>
      <c r="I3516" s="160"/>
      <c r="J3516" s="161"/>
      <c r="K3516" s="160"/>
      <c r="L3516" s="160">
        <f>+'FACP$'!$H3516-'FACP$'!$I3516-'FACP$'!$K3516</f>
        <v>9822.8568</v>
      </c>
      <c r="M3516" s="162" t="s">
        <v>151</v>
      </c>
      <c r="N3516" s="162" t="s">
        <v>554</v>
      </c>
      <c r="O3516" s="164">
        <v>44911.0</v>
      </c>
      <c r="P3516" s="164">
        <f t="array" ref="P3516">XLOOKUP('FACP$'!$B3516,'perfil de pagos'!A:A,'perfil de pagos'!B:B)+'FACP$'!$D3516</f>
        <v>44899</v>
      </c>
      <c r="Q3516" s="165">
        <f t="shared" si="2"/>
        <v>0</v>
      </c>
      <c r="R3516" s="167"/>
      <c r="S3516" s="167">
        <v>1827.0</v>
      </c>
      <c r="T3516" s="168">
        <f t="shared" si="3"/>
        <v>9822.8568</v>
      </c>
      <c r="U3516" s="168">
        <f t="shared" si="4"/>
        <v>0</v>
      </c>
      <c r="V3516" s="168">
        <f t="shared" si="5"/>
        <v>0</v>
      </c>
      <c r="W3516" s="168">
        <f t="shared" si="6"/>
        <v>0</v>
      </c>
      <c r="X3516" s="168">
        <f t="shared" si="7"/>
        <v>0</v>
      </c>
      <c r="Y3516" s="168">
        <f t="shared" si="8"/>
        <v>0</v>
      </c>
      <c r="Z3516" s="168">
        <f t="shared" si="9"/>
        <v>0</v>
      </c>
    </row>
    <row r="3517" ht="15.0" customHeight="1">
      <c r="A3517" s="157" t="s">
        <v>4366</v>
      </c>
      <c r="B3517" s="158" t="s">
        <v>27</v>
      </c>
      <c r="C3517" s="158" t="s">
        <v>4367</v>
      </c>
      <c r="D3517" s="159">
        <v>44869.0</v>
      </c>
      <c r="E3517" s="157" t="s">
        <v>731</v>
      </c>
      <c r="F3517" s="160">
        <v>700.62</v>
      </c>
      <c r="G3517" s="160">
        <f>'FACP$'!$F3517*0.16</f>
        <v>112.0992</v>
      </c>
      <c r="H3517" s="160">
        <f t="shared" si="113"/>
        <v>812.7192</v>
      </c>
      <c r="I3517" s="160"/>
      <c r="J3517" s="161"/>
      <c r="K3517" s="160"/>
      <c r="L3517" s="160">
        <f>+'FACP$'!$H3517-'FACP$'!$I3517-'FACP$'!$K3517</f>
        <v>812.7192</v>
      </c>
      <c r="M3517" s="162" t="s">
        <v>151</v>
      </c>
      <c r="N3517" s="162" t="s">
        <v>554</v>
      </c>
      <c r="O3517" s="164">
        <v>44911.0</v>
      </c>
      <c r="P3517" s="164">
        <f t="array" ref="P3517">XLOOKUP('FACP$'!$B3517,'perfil de pagos'!A:A,'perfil de pagos'!B:B)+'FACP$'!$D3517</f>
        <v>44899</v>
      </c>
      <c r="Q3517" s="165">
        <f t="shared" si="2"/>
        <v>0</v>
      </c>
      <c r="R3517" s="167"/>
      <c r="S3517" s="167">
        <v>1827.0</v>
      </c>
      <c r="T3517" s="168">
        <f t="shared" si="3"/>
        <v>812.7192</v>
      </c>
      <c r="U3517" s="168">
        <f t="shared" si="4"/>
        <v>0</v>
      </c>
      <c r="V3517" s="168">
        <f t="shared" si="5"/>
        <v>0</v>
      </c>
      <c r="W3517" s="168">
        <f t="shared" si="6"/>
        <v>0</v>
      </c>
      <c r="X3517" s="168">
        <f t="shared" si="7"/>
        <v>0</v>
      </c>
      <c r="Y3517" s="168">
        <f t="shared" si="8"/>
        <v>0</v>
      </c>
      <c r="Z3517" s="168">
        <f t="shared" si="9"/>
        <v>0</v>
      </c>
    </row>
    <row r="3518" ht="15.0" customHeight="1">
      <c r="A3518" s="157" t="s">
        <v>4368</v>
      </c>
      <c r="B3518" s="158" t="s">
        <v>27</v>
      </c>
      <c r="C3518" s="158" t="s">
        <v>4369</v>
      </c>
      <c r="D3518" s="159">
        <v>44869.0</v>
      </c>
      <c r="E3518" s="157" t="s">
        <v>731</v>
      </c>
      <c r="F3518" s="160">
        <v>449.06</v>
      </c>
      <c r="G3518" s="160">
        <f>'FACP$'!$F3518*0.16</f>
        <v>71.8496</v>
      </c>
      <c r="H3518" s="160">
        <f t="shared" si="113"/>
        <v>520.9096</v>
      </c>
      <c r="I3518" s="160"/>
      <c r="J3518" s="161"/>
      <c r="K3518" s="160"/>
      <c r="L3518" s="160">
        <f>+'FACP$'!$H3518-'FACP$'!$I3518-'FACP$'!$K3518</f>
        <v>520.9096</v>
      </c>
      <c r="M3518" s="162" t="s">
        <v>151</v>
      </c>
      <c r="N3518" s="162" t="s">
        <v>554</v>
      </c>
      <c r="O3518" s="164">
        <v>44911.0</v>
      </c>
      <c r="P3518" s="164">
        <f t="array" ref="P3518">XLOOKUP('FACP$'!$B3518,'perfil de pagos'!A:A,'perfil de pagos'!B:B)+'FACP$'!$D3518</f>
        <v>44899</v>
      </c>
      <c r="Q3518" s="165">
        <f t="shared" si="2"/>
        <v>0</v>
      </c>
      <c r="R3518" s="167"/>
      <c r="S3518" s="167">
        <v>1827.0</v>
      </c>
      <c r="T3518" s="168">
        <f t="shared" si="3"/>
        <v>520.9096</v>
      </c>
      <c r="U3518" s="168">
        <f t="shared" si="4"/>
        <v>0</v>
      </c>
      <c r="V3518" s="168">
        <f t="shared" si="5"/>
        <v>0</v>
      </c>
      <c r="W3518" s="168">
        <f t="shared" si="6"/>
        <v>0</v>
      </c>
      <c r="X3518" s="168">
        <f t="shared" si="7"/>
        <v>0</v>
      </c>
      <c r="Y3518" s="168">
        <f t="shared" si="8"/>
        <v>0</v>
      </c>
      <c r="Z3518" s="168">
        <f t="shared" si="9"/>
        <v>0</v>
      </c>
    </row>
    <row r="3519" ht="15.0" customHeight="1">
      <c r="A3519" s="157" t="s">
        <v>4370</v>
      </c>
      <c r="B3519" s="158" t="s">
        <v>38</v>
      </c>
      <c r="C3519" s="158" t="s">
        <v>4371</v>
      </c>
      <c r="D3519" s="159">
        <v>44872.0</v>
      </c>
      <c r="E3519" s="157" t="s">
        <v>731</v>
      </c>
      <c r="F3519" s="160">
        <v>1143159.6</v>
      </c>
      <c r="G3519" s="160">
        <f>'FACP$'!$F3519*0.16</f>
        <v>182905.536</v>
      </c>
      <c r="H3519" s="160">
        <f>F3519+G3519-1276363.77</f>
        <v>49701.366</v>
      </c>
      <c r="I3519" s="160"/>
      <c r="J3519" s="161"/>
      <c r="K3519" s="160"/>
      <c r="L3519" s="160">
        <f>+'FACP$'!$H3519-'FACP$'!$I3519-'FACP$'!$K3519</f>
        <v>49701.366</v>
      </c>
      <c r="M3519" s="162" t="s">
        <v>145</v>
      </c>
      <c r="N3519" s="162" t="s">
        <v>554</v>
      </c>
      <c r="O3519" s="164">
        <v>44973.0</v>
      </c>
      <c r="P3519" s="164">
        <f t="array" ref="P3519">XLOOKUP('FACP$'!$B3519,'perfil de pagos'!A:A,'perfil de pagos'!B:B)+'FACP$'!$D3519</f>
        <v>44902</v>
      </c>
      <c r="Q3519" s="165">
        <f t="shared" si="2"/>
        <v>0</v>
      </c>
      <c r="R3519" s="220" t="s">
        <v>4372</v>
      </c>
      <c r="S3519" s="167" t="s">
        <v>4373</v>
      </c>
      <c r="T3519" s="168">
        <f t="shared" si="3"/>
        <v>49701.366</v>
      </c>
      <c r="U3519" s="168">
        <f t="shared" si="4"/>
        <v>0</v>
      </c>
      <c r="V3519" s="168">
        <f t="shared" si="5"/>
        <v>0</v>
      </c>
      <c r="W3519" s="168">
        <f t="shared" si="6"/>
        <v>0</v>
      </c>
      <c r="X3519" s="168">
        <f t="shared" si="7"/>
        <v>0</v>
      </c>
      <c r="Y3519" s="168">
        <f t="shared" si="8"/>
        <v>0</v>
      </c>
      <c r="Z3519" s="168">
        <f t="shared" si="9"/>
        <v>0</v>
      </c>
    </row>
    <row r="3520" ht="15.0" customHeight="1">
      <c r="A3520" s="157" t="s">
        <v>4374</v>
      </c>
      <c r="B3520" s="158" t="s">
        <v>16</v>
      </c>
      <c r="C3520" s="158" t="s">
        <v>4371</v>
      </c>
      <c r="D3520" s="159">
        <v>44872.0</v>
      </c>
      <c r="E3520" s="157" t="s">
        <v>731</v>
      </c>
      <c r="F3520" s="160">
        <v>419237.35</v>
      </c>
      <c r="G3520" s="160">
        <f>'FACP$'!$F3520*0.16</f>
        <v>67077.976</v>
      </c>
      <c r="H3520" s="160">
        <f t="shared" ref="H3520:H3522" si="114">F3520+G3520</f>
        <v>486315.326</v>
      </c>
      <c r="I3520" s="160"/>
      <c r="J3520" s="161"/>
      <c r="K3520" s="160"/>
      <c r="L3520" s="160">
        <f>+'FACP$'!$H3520-'FACP$'!$I3520-'FACP$'!$K3520</f>
        <v>486315.326</v>
      </c>
      <c r="M3520" s="162" t="s">
        <v>985</v>
      </c>
      <c r="N3520" s="162" t="s">
        <v>554</v>
      </c>
      <c r="O3520" s="164">
        <v>44904.0</v>
      </c>
      <c r="P3520" s="164">
        <f t="array" ref="P3520">XLOOKUP('FACP$'!$B3520,'perfil de pagos'!A:A,'perfil de pagos'!B:B)+'FACP$'!$D3520</f>
        <v>44882</v>
      </c>
      <c r="Q3520" s="165">
        <f t="shared" si="2"/>
        <v>0</v>
      </c>
      <c r="R3520" s="167"/>
      <c r="S3520" s="167">
        <v>1793.0</v>
      </c>
      <c r="T3520" s="168">
        <f t="shared" si="3"/>
        <v>486315.326</v>
      </c>
      <c r="U3520" s="168">
        <f t="shared" si="4"/>
        <v>0</v>
      </c>
      <c r="V3520" s="168">
        <f t="shared" si="5"/>
        <v>0</v>
      </c>
      <c r="W3520" s="168">
        <f t="shared" si="6"/>
        <v>0</v>
      </c>
      <c r="X3520" s="168">
        <f t="shared" si="7"/>
        <v>0</v>
      </c>
      <c r="Y3520" s="168">
        <f t="shared" si="8"/>
        <v>0</v>
      </c>
      <c r="Z3520" s="168">
        <f t="shared" si="9"/>
        <v>0</v>
      </c>
    </row>
    <row r="3521" ht="15.0" customHeight="1">
      <c r="A3521" s="157" t="s">
        <v>4375</v>
      </c>
      <c r="B3521" s="158" t="s">
        <v>16</v>
      </c>
      <c r="C3521" s="158" t="s">
        <v>4376</v>
      </c>
      <c r="D3521" s="159">
        <v>44872.0</v>
      </c>
      <c r="E3521" s="157" t="s">
        <v>731</v>
      </c>
      <c r="F3521" s="160">
        <v>356366.7</v>
      </c>
      <c r="G3521" s="160">
        <f>'FACP$'!$F3521*0.16</f>
        <v>57018.672</v>
      </c>
      <c r="H3521" s="160">
        <f t="shared" si="114"/>
        <v>413385.372</v>
      </c>
      <c r="I3521" s="160"/>
      <c r="J3521" s="161"/>
      <c r="K3521" s="160"/>
      <c r="L3521" s="160">
        <f>+'FACP$'!$H3521-'FACP$'!$I3521-'FACP$'!$K3521</f>
        <v>413385.372</v>
      </c>
      <c r="M3521" s="162" t="s">
        <v>985</v>
      </c>
      <c r="N3521" s="162" t="s">
        <v>554</v>
      </c>
      <c r="O3521" s="164">
        <v>44904.0</v>
      </c>
      <c r="P3521" s="164">
        <f t="array" ref="P3521">XLOOKUP('FACP$'!$B3521,'perfil de pagos'!A:A,'perfil de pagos'!B:B)+'FACP$'!$D3521</f>
        <v>44882</v>
      </c>
      <c r="Q3521" s="165">
        <f t="shared" si="2"/>
        <v>0</v>
      </c>
      <c r="R3521" s="167"/>
      <c r="S3521" s="167">
        <v>1793.0</v>
      </c>
      <c r="T3521" s="168">
        <f t="shared" si="3"/>
        <v>413385.372</v>
      </c>
      <c r="U3521" s="168">
        <f t="shared" si="4"/>
        <v>0</v>
      </c>
      <c r="V3521" s="168">
        <f t="shared" si="5"/>
        <v>0</v>
      </c>
      <c r="W3521" s="168">
        <f t="shared" si="6"/>
        <v>0</v>
      </c>
      <c r="X3521" s="168">
        <f t="shared" si="7"/>
        <v>0</v>
      </c>
      <c r="Y3521" s="168">
        <f t="shared" si="8"/>
        <v>0</v>
      </c>
      <c r="Z3521" s="168">
        <f t="shared" si="9"/>
        <v>0</v>
      </c>
    </row>
    <row r="3522" ht="15.0" customHeight="1">
      <c r="A3522" s="157" t="s">
        <v>4377</v>
      </c>
      <c r="B3522" s="158" t="s">
        <v>18</v>
      </c>
      <c r="C3522" s="158" t="s">
        <v>4371</v>
      </c>
      <c r="D3522" s="159">
        <v>44872.0</v>
      </c>
      <c r="E3522" s="157" t="s">
        <v>731</v>
      </c>
      <c r="F3522" s="160">
        <v>181733.34</v>
      </c>
      <c r="G3522" s="160">
        <f>'FACP$'!$F3522*0.16</f>
        <v>29077.3344</v>
      </c>
      <c r="H3522" s="160">
        <f t="shared" si="114"/>
        <v>210810.6744</v>
      </c>
      <c r="I3522" s="160"/>
      <c r="J3522" s="161"/>
      <c r="K3522" s="160"/>
      <c r="L3522" s="160">
        <f>+'FACP$'!$H3522-'FACP$'!$I3522-'FACP$'!$K3522</f>
        <v>210810.6744</v>
      </c>
      <c r="M3522" s="162" t="s">
        <v>586</v>
      </c>
      <c r="N3522" s="162" t="s">
        <v>554</v>
      </c>
      <c r="O3522" s="164">
        <v>44910.0</v>
      </c>
      <c r="P3522" s="164">
        <f t="array" ref="P3522">XLOOKUP('FACP$'!$B3522,'perfil de pagos'!A:A,'perfil de pagos'!B:B)+'FACP$'!$D3522</f>
        <v>44882</v>
      </c>
      <c r="Q3522" s="165">
        <f t="shared" si="2"/>
        <v>0</v>
      </c>
      <c r="R3522" s="167" t="s">
        <v>4378</v>
      </c>
      <c r="S3522" s="167">
        <v>1823.0</v>
      </c>
      <c r="T3522" s="168">
        <f t="shared" si="3"/>
        <v>210810.6744</v>
      </c>
      <c r="U3522" s="168">
        <f t="shared" si="4"/>
        <v>0</v>
      </c>
      <c r="V3522" s="168">
        <f t="shared" si="5"/>
        <v>0</v>
      </c>
      <c r="W3522" s="168">
        <f t="shared" si="6"/>
        <v>0</v>
      </c>
      <c r="X3522" s="168">
        <f t="shared" si="7"/>
        <v>0</v>
      </c>
      <c r="Y3522" s="168">
        <f t="shared" si="8"/>
        <v>0</v>
      </c>
      <c r="Z3522" s="168">
        <f t="shared" si="9"/>
        <v>0</v>
      </c>
    </row>
    <row r="3523" ht="15.0" customHeight="1">
      <c r="A3523" s="157" t="s">
        <v>4379</v>
      </c>
      <c r="B3523" s="158" t="s">
        <v>19</v>
      </c>
      <c r="C3523" s="158" t="s">
        <v>4371</v>
      </c>
      <c r="D3523" s="159">
        <v>44872.0</v>
      </c>
      <c r="E3523" s="157" t="s">
        <v>731</v>
      </c>
      <c r="F3523" s="160">
        <v>266873.93</v>
      </c>
      <c r="G3523" s="160">
        <f>'FACP$'!$F3523*0.16</f>
        <v>42699.8288</v>
      </c>
      <c r="H3523" s="160">
        <f>F3523+G3523-'NCP$'!H204</f>
        <v>309500.0524</v>
      </c>
      <c r="I3523" s="160"/>
      <c r="J3523" s="161"/>
      <c r="K3523" s="160"/>
      <c r="L3523" s="160">
        <f>+'FACP$'!$H3523-'FACP$'!$I3523-'FACP$'!$K3523</f>
        <v>309500.0524</v>
      </c>
      <c r="M3523" s="162" t="s">
        <v>732</v>
      </c>
      <c r="N3523" s="162" t="s">
        <v>554</v>
      </c>
      <c r="O3523" s="164">
        <v>45275.0</v>
      </c>
      <c r="P3523" s="164">
        <f t="array" ref="P3523">XLOOKUP('FACP$'!$B3523,'perfil de pagos'!A:A,'perfil de pagos'!B:B)+'FACP$'!$D3523</f>
        <v>44882</v>
      </c>
      <c r="Q3523" s="165">
        <f t="shared" si="2"/>
        <v>0</v>
      </c>
      <c r="R3523" s="167" t="s">
        <v>4378</v>
      </c>
      <c r="S3523" s="167">
        <v>1823.0</v>
      </c>
      <c r="T3523" s="168">
        <f t="shared" si="3"/>
        <v>309500.0524</v>
      </c>
      <c r="U3523" s="168">
        <f t="shared" si="4"/>
        <v>0</v>
      </c>
      <c r="V3523" s="168">
        <f t="shared" si="5"/>
        <v>0</v>
      </c>
      <c r="W3523" s="168">
        <f t="shared" si="6"/>
        <v>0</v>
      </c>
      <c r="X3523" s="168">
        <f t="shared" si="7"/>
        <v>0</v>
      </c>
      <c r="Y3523" s="168">
        <f t="shared" si="8"/>
        <v>0</v>
      </c>
      <c r="Z3523" s="168">
        <f t="shared" si="9"/>
        <v>0</v>
      </c>
    </row>
    <row r="3524" ht="15.0" customHeight="1">
      <c r="A3524" s="157" t="s">
        <v>4380</v>
      </c>
      <c r="B3524" s="158" t="s">
        <v>22</v>
      </c>
      <c r="C3524" s="158" t="s">
        <v>4371</v>
      </c>
      <c r="D3524" s="159">
        <v>44872.0</v>
      </c>
      <c r="E3524" s="157" t="s">
        <v>731</v>
      </c>
      <c r="F3524" s="160">
        <v>331321.13</v>
      </c>
      <c r="G3524" s="160">
        <f>'FACP$'!$F3524*0.16</f>
        <v>53011.3808</v>
      </c>
      <c r="H3524" s="160">
        <f>F3524+G3524-54587.05</f>
        <v>329745.4608</v>
      </c>
      <c r="I3524" s="160"/>
      <c r="J3524" s="161"/>
      <c r="K3524" s="160"/>
      <c r="L3524" s="160">
        <f>+'FACP$'!$H3524-'FACP$'!$I3524-'FACP$'!$K3524</f>
        <v>329745.4608</v>
      </c>
      <c r="M3524" s="162" t="s">
        <v>220</v>
      </c>
      <c r="N3524" s="162" t="s">
        <v>554</v>
      </c>
      <c r="O3524" s="164">
        <v>44924.0</v>
      </c>
      <c r="P3524" s="164">
        <f t="array" ref="P3524">XLOOKUP('FACP$'!$B3524,'perfil de pagos'!A:A,'perfil de pagos'!B:B)+'FACP$'!$D3524</f>
        <v>44882</v>
      </c>
      <c r="Q3524" s="165">
        <f t="shared" si="2"/>
        <v>0</v>
      </c>
      <c r="R3524" s="220" t="s">
        <v>4381</v>
      </c>
      <c r="S3524" s="220" t="s">
        <v>4382</v>
      </c>
      <c r="T3524" s="168">
        <f t="shared" si="3"/>
        <v>329745.4608</v>
      </c>
      <c r="U3524" s="168">
        <f t="shared" si="4"/>
        <v>0</v>
      </c>
      <c r="V3524" s="168">
        <f t="shared" si="5"/>
        <v>0</v>
      </c>
      <c r="W3524" s="168">
        <f t="shared" si="6"/>
        <v>0</v>
      </c>
      <c r="X3524" s="168">
        <f t="shared" si="7"/>
        <v>0</v>
      </c>
      <c r="Y3524" s="168">
        <f t="shared" si="8"/>
        <v>0</v>
      </c>
      <c r="Z3524" s="168">
        <f t="shared" si="9"/>
        <v>0</v>
      </c>
    </row>
    <row r="3525" ht="15.0" customHeight="1">
      <c r="A3525" s="157" t="s">
        <v>4383</v>
      </c>
      <c r="B3525" s="158" t="s">
        <v>29</v>
      </c>
      <c r="C3525" s="158" t="s">
        <v>4371</v>
      </c>
      <c r="D3525" s="159">
        <v>44872.0</v>
      </c>
      <c r="E3525" s="157" t="s">
        <v>731</v>
      </c>
      <c r="F3525" s="160">
        <v>455700.17</v>
      </c>
      <c r="G3525" s="160">
        <f>'FACP$'!$F3525*0.16</f>
        <v>72912.0272</v>
      </c>
      <c r="H3525" s="160">
        <f t="shared" ref="H3525:H3543" si="115">F3525+G3525</f>
        <v>528612.1972</v>
      </c>
      <c r="I3525" s="160"/>
      <c r="J3525" s="161"/>
      <c r="K3525" s="160"/>
      <c r="L3525" s="160">
        <f>+'FACP$'!$H3525-'FACP$'!$I3525-'FACP$'!$K3525</f>
        <v>528612.1972</v>
      </c>
      <c r="M3525" s="162" t="s">
        <v>130</v>
      </c>
      <c r="N3525" s="162" t="s">
        <v>554</v>
      </c>
      <c r="O3525" s="164">
        <v>44879.0</v>
      </c>
      <c r="P3525" s="164">
        <f t="array" ref="P3525">XLOOKUP('FACP$'!$B3525,'perfil de pagos'!A:A,'perfil de pagos'!B:B)+'FACP$'!$D3525</f>
        <v>44882</v>
      </c>
      <c r="Q3525" s="165">
        <f t="shared" si="2"/>
        <v>0</v>
      </c>
      <c r="R3525" s="167"/>
      <c r="S3525" s="167">
        <v>1718.0</v>
      </c>
      <c r="T3525" s="168">
        <f t="shared" si="3"/>
        <v>528612.1972</v>
      </c>
      <c r="U3525" s="168">
        <f t="shared" si="4"/>
        <v>0</v>
      </c>
      <c r="V3525" s="168">
        <f t="shared" si="5"/>
        <v>0</v>
      </c>
      <c r="W3525" s="168">
        <f t="shared" si="6"/>
        <v>0</v>
      </c>
      <c r="X3525" s="168">
        <f t="shared" si="7"/>
        <v>0</v>
      </c>
      <c r="Y3525" s="168">
        <f t="shared" si="8"/>
        <v>0</v>
      </c>
      <c r="Z3525" s="168">
        <f t="shared" si="9"/>
        <v>0</v>
      </c>
    </row>
    <row r="3526" ht="15.0" customHeight="1">
      <c r="A3526" s="157" t="s">
        <v>4384</v>
      </c>
      <c r="B3526" s="158" t="s">
        <v>29</v>
      </c>
      <c r="C3526" s="158" t="s">
        <v>4385</v>
      </c>
      <c r="D3526" s="159">
        <v>44872.0</v>
      </c>
      <c r="E3526" s="157" t="s">
        <v>731</v>
      </c>
      <c r="F3526" s="160">
        <v>440228.71</v>
      </c>
      <c r="G3526" s="160">
        <f>'FACP$'!$F3526*0.16</f>
        <v>70436.5936</v>
      </c>
      <c r="H3526" s="160">
        <f t="shared" si="115"/>
        <v>510665.3036</v>
      </c>
      <c r="I3526" s="160"/>
      <c r="J3526" s="161"/>
      <c r="K3526" s="160"/>
      <c r="L3526" s="160">
        <f>+'FACP$'!$H3526-'FACP$'!$I3526-'FACP$'!$K3526</f>
        <v>510665.3036</v>
      </c>
      <c r="M3526" s="162" t="s">
        <v>130</v>
      </c>
      <c r="N3526" s="162" t="s">
        <v>554</v>
      </c>
      <c r="O3526" s="164">
        <v>44882.0</v>
      </c>
      <c r="P3526" s="164">
        <f t="array" ref="P3526">XLOOKUP('FACP$'!$B3526,'perfil de pagos'!A:A,'perfil de pagos'!B:B)+'FACP$'!$D3526</f>
        <v>44882</v>
      </c>
      <c r="Q3526" s="165">
        <f t="shared" si="2"/>
        <v>0</v>
      </c>
      <c r="R3526" s="167"/>
      <c r="S3526" s="167">
        <v>1723.0</v>
      </c>
      <c r="T3526" s="168">
        <f t="shared" si="3"/>
        <v>510665.3036</v>
      </c>
      <c r="U3526" s="168">
        <f t="shared" si="4"/>
        <v>0</v>
      </c>
      <c r="V3526" s="168">
        <f t="shared" si="5"/>
        <v>0</v>
      </c>
      <c r="W3526" s="168">
        <f t="shared" si="6"/>
        <v>0</v>
      </c>
      <c r="X3526" s="168">
        <f t="shared" si="7"/>
        <v>0</v>
      </c>
      <c r="Y3526" s="168">
        <f t="shared" si="8"/>
        <v>0</v>
      </c>
      <c r="Z3526" s="168">
        <f t="shared" si="9"/>
        <v>0</v>
      </c>
    </row>
    <row r="3527" ht="15.0" customHeight="1">
      <c r="A3527" s="157" t="s">
        <v>4386</v>
      </c>
      <c r="B3527" s="158" t="s">
        <v>37</v>
      </c>
      <c r="C3527" s="158" t="s">
        <v>4371</v>
      </c>
      <c r="D3527" s="159">
        <v>44872.0</v>
      </c>
      <c r="E3527" s="157" t="s">
        <v>731</v>
      </c>
      <c r="F3527" s="160">
        <v>2634511.69</v>
      </c>
      <c r="G3527" s="160">
        <f>'FACP$'!$F3527*0.16</f>
        <v>421521.8704</v>
      </c>
      <c r="H3527" s="160">
        <f t="shared" si="115"/>
        <v>3056033.56</v>
      </c>
      <c r="I3527" s="160"/>
      <c r="J3527" s="161"/>
      <c r="K3527" s="160"/>
      <c r="L3527" s="160">
        <f>+'FACP$'!$H3527-'FACP$'!$I3527-'FACP$'!$K3527</f>
        <v>3056033.56</v>
      </c>
      <c r="M3527" s="162" t="s">
        <v>116</v>
      </c>
      <c r="N3527" s="162" t="s">
        <v>554</v>
      </c>
      <c r="O3527" s="164">
        <v>44883.0</v>
      </c>
      <c r="P3527" s="164">
        <f t="array" ref="P3527">XLOOKUP('FACP$'!$B3527,'perfil de pagos'!A:A,'perfil de pagos'!B:B)+'FACP$'!$D3527</f>
        <v>44882</v>
      </c>
      <c r="Q3527" s="165">
        <f t="shared" si="2"/>
        <v>0</v>
      </c>
      <c r="R3527" s="167"/>
      <c r="S3527" s="167">
        <v>1728.0</v>
      </c>
      <c r="T3527" s="168">
        <f t="shared" si="3"/>
        <v>3056033.56</v>
      </c>
      <c r="U3527" s="168">
        <f t="shared" si="4"/>
        <v>0</v>
      </c>
      <c r="V3527" s="168">
        <f t="shared" si="5"/>
        <v>0</v>
      </c>
      <c r="W3527" s="168">
        <f t="shared" si="6"/>
        <v>0</v>
      </c>
      <c r="X3527" s="168">
        <f t="shared" si="7"/>
        <v>0</v>
      </c>
      <c r="Y3527" s="168">
        <f t="shared" si="8"/>
        <v>0</v>
      </c>
      <c r="Z3527" s="168">
        <f t="shared" si="9"/>
        <v>0</v>
      </c>
    </row>
    <row r="3528" ht="15.0" customHeight="1">
      <c r="A3528" s="157" t="s">
        <v>4387</v>
      </c>
      <c r="B3528" s="158" t="s">
        <v>25</v>
      </c>
      <c r="C3528" s="158" t="s">
        <v>4371</v>
      </c>
      <c r="D3528" s="159">
        <v>44873.0</v>
      </c>
      <c r="E3528" s="157" t="s">
        <v>731</v>
      </c>
      <c r="F3528" s="160">
        <v>8544.56</v>
      </c>
      <c r="G3528" s="160">
        <f>'FACP$'!$F3528*0.16</f>
        <v>1367.1296</v>
      </c>
      <c r="H3528" s="160">
        <f t="shared" si="115"/>
        <v>9911.6896</v>
      </c>
      <c r="I3528" s="160"/>
      <c r="J3528" s="161"/>
      <c r="K3528" s="160"/>
      <c r="L3528" s="160">
        <f>+'FACP$'!$H3528-'FACP$'!$I3528-'FACP$'!$K3528</f>
        <v>9911.6896</v>
      </c>
      <c r="M3528" s="162" t="s">
        <v>4388</v>
      </c>
      <c r="N3528" s="162" t="s">
        <v>554</v>
      </c>
      <c r="O3528" s="164">
        <v>44914.0</v>
      </c>
      <c r="P3528" s="164">
        <f t="array" ref="P3528">XLOOKUP('FACP$'!$B3528,'perfil de pagos'!A:A,'perfil de pagos'!B:B)+'FACP$'!$D3528</f>
        <v>44883</v>
      </c>
      <c r="Q3528" s="165">
        <f t="shared" si="2"/>
        <v>0</v>
      </c>
      <c r="R3528" s="167"/>
      <c r="S3528" s="167">
        <v>1832.0</v>
      </c>
      <c r="T3528" s="168">
        <f t="shared" si="3"/>
        <v>9911.6896</v>
      </c>
      <c r="U3528" s="168">
        <f t="shared" si="4"/>
        <v>0</v>
      </c>
      <c r="V3528" s="168">
        <f t="shared" si="5"/>
        <v>0</v>
      </c>
      <c r="W3528" s="168">
        <f t="shared" si="6"/>
        <v>0</v>
      </c>
      <c r="X3528" s="168">
        <f t="shared" si="7"/>
        <v>0</v>
      </c>
      <c r="Y3528" s="168">
        <f t="shared" si="8"/>
        <v>0</v>
      </c>
      <c r="Z3528" s="168">
        <f t="shared" si="9"/>
        <v>0</v>
      </c>
    </row>
    <row r="3529" ht="15.0" customHeight="1">
      <c r="A3529" s="157" t="s">
        <v>4389</v>
      </c>
      <c r="B3529" s="158" t="s">
        <v>31</v>
      </c>
      <c r="C3529" s="158" t="s">
        <v>4390</v>
      </c>
      <c r="D3529" s="159">
        <v>44873.0</v>
      </c>
      <c r="E3529" s="157" t="s">
        <v>731</v>
      </c>
      <c r="F3529" s="160">
        <v>102644.37</v>
      </c>
      <c r="G3529" s="160">
        <f>'FACP$'!$F3529*0.16</f>
        <v>16423.0992</v>
      </c>
      <c r="H3529" s="160">
        <f t="shared" si="115"/>
        <v>119067.4692</v>
      </c>
      <c r="I3529" s="252"/>
      <c r="J3529" s="253"/>
      <c r="K3529" s="252"/>
      <c r="L3529" s="160">
        <f>+'FACP$'!$H3529-'FACP$'!$I3529-'FACP$'!$K3529</f>
        <v>119067.4692</v>
      </c>
      <c r="M3529" s="162" t="s">
        <v>3183</v>
      </c>
      <c r="N3529" s="162" t="s">
        <v>554</v>
      </c>
      <c r="O3529" s="164">
        <v>44876.0</v>
      </c>
      <c r="P3529" s="164">
        <f t="array" ref="P3529">XLOOKUP('FACP$'!$B3529,'perfil de pagos'!A:A,'perfil de pagos'!B:B)+'FACP$'!$D3529</f>
        <v>44876</v>
      </c>
      <c r="Q3529" s="165">
        <f t="shared" si="2"/>
        <v>0</v>
      </c>
      <c r="R3529" s="167"/>
      <c r="S3529" s="167">
        <v>1707.0</v>
      </c>
      <c r="T3529" s="168">
        <f t="shared" si="3"/>
        <v>119067.4692</v>
      </c>
      <c r="U3529" s="168">
        <f t="shared" si="4"/>
        <v>0</v>
      </c>
      <c r="V3529" s="168">
        <f t="shared" si="5"/>
        <v>0</v>
      </c>
      <c r="W3529" s="168">
        <f t="shared" si="6"/>
        <v>0</v>
      </c>
      <c r="X3529" s="168">
        <f t="shared" si="7"/>
        <v>0</v>
      </c>
      <c r="Y3529" s="168">
        <f t="shared" si="8"/>
        <v>0</v>
      </c>
      <c r="Z3529" s="168">
        <f t="shared" si="9"/>
        <v>0</v>
      </c>
    </row>
    <row r="3530" ht="15.0" customHeight="1">
      <c r="A3530" s="157" t="s">
        <v>4391</v>
      </c>
      <c r="B3530" s="158" t="s">
        <v>31</v>
      </c>
      <c r="C3530" s="158" t="s">
        <v>4392</v>
      </c>
      <c r="D3530" s="159">
        <v>44881.0</v>
      </c>
      <c r="E3530" s="157" t="s">
        <v>731</v>
      </c>
      <c r="F3530" s="160">
        <v>252670.94</v>
      </c>
      <c r="G3530" s="160">
        <f>'FACP$'!$F3530*0.16</f>
        <v>40427.3504</v>
      </c>
      <c r="H3530" s="160">
        <f t="shared" si="115"/>
        <v>293098.2904</v>
      </c>
      <c r="I3530" s="252"/>
      <c r="J3530" s="253"/>
      <c r="K3530" s="252"/>
      <c r="L3530" s="160">
        <f>+'FACP$'!$H3530-'FACP$'!$I3530-'FACP$'!$K3530</f>
        <v>293098.2904</v>
      </c>
      <c r="M3530" s="162" t="s">
        <v>3183</v>
      </c>
      <c r="N3530" s="162" t="s">
        <v>554</v>
      </c>
      <c r="O3530" s="164">
        <v>44867.0</v>
      </c>
      <c r="P3530" s="164">
        <f t="array" ref="P3530">XLOOKUP('FACP$'!$B3530,'perfil de pagos'!A:A,'perfil de pagos'!B:B)+'FACP$'!$D3530</f>
        <v>44884</v>
      </c>
      <c r="Q3530" s="165">
        <f t="shared" si="2"/>
        <v>0</v>
      </c>
      <c r="R3530" s="167"/>
      <c r="S3530" s="167"/>
      <c r="T3530" s="168">
        <f t="shared" si="3"/>
        <v>293098.2904</v>
      </c>
      <c r="U3530" s="168">
        <f t="shared" si="4"/>
        <v>0</v>
      </c>
      <c r="V3530" s="168">
        <f t="shared" si="5"/>
        <v>0</v>
      </c>
      <c r="W3530" s="168">
        <f t="shared" si="6"/>
        <v>0</v>
      </c>
      <c r="X3530" s="168">
        <f t="shared" si="7"/>
        <v>0</v>
      </c>
      <c r="Y3530" s="168">
        <f t="shared" si="8"/>
        <v>0</v>
      </c>
      <c r="Z3530" s="168">
        <f t="shared" si="9"/>
        <v>0</v>
      </c>
    </row>
    <row r="3531" ht="15.0" customHeight="1">
      <c r="A3531" s="157" t="s">
        <v>4393</v>
      </c>
      <c r="B3531" s="158" t="s">
        <v>15</v>
      </c>
      <c r="C3531" s="158" t="s">
        <v>4394</v>
      </c>
      <c r="D3531" s="159">
        <v>44882.0</v>
      </c>
      <c r="E3531" s="157" t="s">
        <v>731</v>
      </c>
      <c r="F3531" s="160">
        <v>575656.76</v>
      </c>
      <c r="G3531" s="160">
        <f>'FACP$'!$F3531*0.16</f>
        <v>92105.0816</v>
      </c>
      <c r="H3531" s="160">
        <f t="shared" si="115"/>
        <v>667761.8416</v>
      </c>
      <c r="I3531" s="160"/>
      <c r="J3531" s="161"/>
      <c r="K3531" s="160"/>
      <c r="L3531" s="160">
        <f>+'FACP$'!$H3531-'FACP$'!$I3531-'FACP$'!$K3531</f>
        <v>667761.8416</v>
      </c>
      <c r="M3531" s="162" t="s">
        <v>443</v>
      </c>
      <c r="N3531" s="162" t="s">
        <v>554</v>
      </c>
      <c r="O3531" s="164">
        <v>44901.0</v>
      </c>
      <c r="P3531" s="164">
        <f t="array" ref="P3531">XLOOKUP('FACP$'!$B3531,'perfil de pagos'!A:A,'perfil de pagos'!B:B)+'FACP$'!$D3531</f>
        <v>44892</v>
      </c>
      <c r="Q3531" s="165">
        <f t="shared" si="2"/>
        <v>0</v>
      </c>
      <c r="R3531" s="167"/>
      <c r="S3531" s="167">
        <v>1783.0</v>
      </c>
      <c r="T3531" s="168">
        <f t="shared" si="3"/>
        <v>667761.8416</v>
      </c>
      <c r="U3531" s="168">
        <f t="shared" si="4"/>
        <v>0</v>
      </c>
      <c r="V3531" s="168">
        <f t="shared" si="5"/>
        <v>0</v>
      </c>
      <c r="W3531" s="168">
        <f t="shared" si="6"/>
        <v>0</v>
      </c>
      <c r="X3531" s="168">
        <f t="shared" si="7"/>
        <v>0</v>
      </c>
      <c r="Y3531" s="168">
        <f t="shared" si="8"/>
        <v>0</v>
      </c>
      <c r="Z3531" s="168">
        <f t="shared" si="9"/>
        <v>0</v>
      </c>
    </row>
    <row r="3532" ht="15.0" customHeight="1">
      <c r="A3532" s="157" t="s">
        <v>4395</v>
      </c>
      <c r="B3532" s="158" t="s">
        <v>35</v>
      </c>
      <c r="C3532" s="158" t="s">
        <v>4394</v>
      </c>
      <c r="D3532" s="159">
        <v>44882.0</v>
      </c>
      <c r="E3532" s="157" t="s">
        <v>731</v>
      </c>
      <c r="F3532" s="160">
        <v>251937.7</v>
      </c>
      <c r="G3532" s="160">
        <f>'FACP$'!$F3532*0.16</f>
        <v>40310.032</v>
      </c>
      <c r="H3532" s="160">
        <f t="shared" si="115"/>
        <v>292247.732</v>
      </c>
      <c r="I3532" s="160"/>
      <c r="J3532" s="161"/>
      <c r="K3532" s="160"/>
      <c r="L3532" s="160">
        <f>+'FACP$'!$H3532-'FACP$'!$I3532-'FACP$'!$K3532</f>
        <v>292247.732</v>
      </c>
      <c r="M3532" s="162" t="s">
        <v>276</v>
      </c>
      <c r="N3532" s="162" t="s">
        <v>554</v>
      </c>
      <c r="O3532" s="164">
        <v>44924.0</v>
      </c>
      <c r="P3532" s="164">
        <f t="array" ref="P3532">XLOOKUP('FACP$'!$B3532,'perfil de pagos'!A:A,'perfil de pagos'!B:B)+'FACP$'!$D3532</f>
        <v>44892</v>
      </c>
      <c r="Q3532" s="165">
        <f t="shared" si="2"/>
        <v>0</v>
      </c>
      <c r="R3532" s="167"/>
      <c r="S3532" s="167"/>
      <c r="T3532" s="168">
        <f t="shared" si="3"/>
        <v>292247.732</v>
      </c>
      <c r="U3532" s="168">
        <f t="shared" si="4"/>
        <v>0</v>
      </c>
      <c r="V3532" s="168">
        <f t="shared" si="5"/>
        <v>0</v>
      </c>
      <c r="W3532" s="168">
        <f t="shared" si="6"/>
        <v>0</v>
      </c>
      <c r="X3532" s="168">
        <f t="shared" si="7"/>
        <v>0</v>
      </c>
      <c r="Y3532" s="168">
        <f t="shared" si="8"/>
        <v>0</v>
      </c>
      <c r="Z3532" s="168">
        <f t="shared" si="9"/>
        <v>0</v>
      </c>
    </row>
    <row r="3533" ht="15.0" customHeight="1">
      <c r="A3533" s="157" t="s">
        <v>4396</v>
      </c>
      <c r="B3533" s="158" t="s">
        <v>36</v>
      </c>
      <c r="C3533" s="158" t="s">
        <v>4394</v>
      </c>
      <c r="D3533" s="159">
        <v>44882.0</v>
      </c>
      <c r="E3533" s="157" t="s">
        <v>731</v>
      </c>
      <c r="F3533" s="160">
        <v>70954.43</v>
      </c>
      <c r="G3533" s="160">
        <f>'FACP$'!$F3533*0.16</f>
        <v>11352.7088</v>
      </c>
      <c r="H3533" s="160">
        <f t="shared" si="115"/>
        <v>82307.1388</v>
      </c>
      <c r="I3533" s="160"/>
      <c r="J3533" s="161"/>
      <c r="K3533" s="160"/>
      <c r="L3533" s="160">
        <f>+'FACP$'!$H3533-'FACP$'!$I3533-'FACP$'!$K3533</f>
        <v>82307.1388</v>
      </c>
      <c r="M3533" s="162" t="s">
        <v>278</v>
      </c>
      <c r="N3533" s="162" t="s">
        <v>554</v>
      </c>
      <c r="O3533" s="164">
        <v>44888.0</v>
      </c>
      <c r="P3533" s="164">
        <f t="array" ref="P3533">XLOOKUP('FACP$'!$B3533,'perfil de pagos'!A:A,'perfil de pagos'!B:B)+'FACP$'!$D3533</f>
        <v>44892</v>
      </c>
      <c r="Q3533" s="165">
        <f t="shared" si="2"/>
        <v>0</v>
      </c>
      <c r="R3533" s="167"/>
      <c r="S3533" s="167">
        <v>1722.0</v>
      </c>
      <c r="T3533" s="168">
        <f t="shared" si="3"/>
        <v>82307.1388</v>
      </c>
      <c r="U3533" s="168">
        <f t="shared" si="4"/>
        <v>0</v>
      </c>
      <c r="V3533" s="168">
        <f t="shared" si="5"/>
        <v>0</v>
      </c>
      <c r="W3533" s="168">
        <f t="shared" si="6"/>
        <v>0</v>
      </c>
      <c r="X3533" s="168">
        <f t="shared" si="7"/>
        <v>0</v>
      </c>
      <c r="Y3533" s="168">
        <f t="shared" si="8"/>
        <v>0</v>
      </c>
      <c r="Z3533" s="168">
        <f t="shared" si="9"/>
        <v>0</v>
      </c>
    </row>
    <row r="3534" ht="15.0" customHeight="1">
      <c r="A3534" s="157" t="s">
        <v>4397</v>
      </c>
      <c r="B3534" s="158" t="s">
        <v>41</v>
      </c>
      <c r="C3534" s="158" t="s">
        <v>4394</v>
      </c>
      <c r="D3534" s="159">
        <v>44882.0</v>
      </c>
      <c r="E3534" s="157" t="s">
        <v>731</v>
      </c>
      <c r="F3534" s="160">
        <v>582482.51</v>
      </c>
      <c r="G3534" s="160">
        <f>'FACP$'!$F3534*0.16</f>
        <v>93197.2016</v>
      </c>
      <c r="H3534" s="160">
        <f t="shared" si="115"/>
        <v>675679.7116</v>
      </c>
      <c r="I3534" s="160"/>
      <c r="J3534" s="161"/>
      <c r="K3534" s="160"/>
      <c r="L3534" s="160">
        <f>+'FACP$'!$H3534-'FACP$'!$I3534-'FACP$'!$K3534</f>
        <v>675679.7116</v>
      </c>
      <c r="M3534" s="162" t="s">
        <v>121</v>
      </c>
      <c r="N3534" s="162" t="s">
        <v>554</v>
      </c>
      <c r="O3534" s="164">
        <v>44918.0</v>
      </c>
      <c r="P3534" s="164">
        <f t="array" ref="P3534">XLOOKUP('FACP$'!$B3534,'perfil de pagos'!A:A,'perfil de pagos'!B:B)+'FACP$'!$D3534</f>
        <v>44892</v>
      </c>
      <c r="Q3534" s="165">
        <f t="shared" si="2"/>
        <v>0</v>
      </c>
      <c r="R3534" s="167"/>
      <c r="S3534" s="167">
        <v>1865.0</v>
      </c>
      <c r="T3534" s="168">
        <f t="shared" si="3"/>
        <v>675679.7116</v>
      </c>
      <c r="U3534" s="168">
        <f t="shared" si="4"/>
        <v>0</v>
      </c>
      <c r="V3534" s="168">
        <f t="shared" si="5"/>
        <v>0</v>
      </c>
      <c r="W3534" s="168">
        <f t="shared" si="6"/>
        <v>0</v>
      </c>
      <c r="X3534" s="168">
        <f t="shared" si="7"/>
        <v>0</v>
      </c>
      <c r="Y3534" s="168">
        <f t="shared" si="8"/>
        <v>0</v>
      </c>
      <c r="Z3534" s="168">
        <f t="shared" si="9"/>
        <v>0</v>
      </c>
    </row>
    <row r="3535" ht="15.0" customHeight="1">
      <c r="A3535" s="157" t="s">
        <v>4398</v>
      </c>
      <c r="B3535" s="158" t="s">
        <v>42</v>
      </c>
      <c r="C3535" s="158" t="s">
        <v>4394</v>
      </c>
      <c r="D3535" s="159">
        <v>44882.0</v>
      </c>
      <c r="E3535" s="157" t="s">
        <v>731</v>
      </c>
      <c r="F3535" s="160">
        <v>181091.63</v>
      </c>
      <c r="G3535" s="160">
        <f>'FACP$'!$F3535*0.16</f>
        <v>28974.6608</v>
      </c>
      <c r="H3535" s="160">
        <f t="shared" si="115"/>
        <v>210066.2908</v>
      </c>
      <c r="I3535" s="160"/>
      <c r="J3535" s="161"/>
      <c r="K3535" s="160"/>
      <c r="L3535" s="160">
        <f>+'FACP$'!$H3535-'FACP$'!$I3535-'FACP$'!$K3535</f>
        <v>210066.2908</v>
      </c>
      <c r="M3535" s="162" t="s">
        <v>42</v>
      </c>
      <c r="N3535" s="162" t="s">
        <v>554</v>
      </c>
      <c r="O3535" s="164">
        <v>44903.0</v>
      </c>
      <c r="P3535" s="164">
        <f t="array" ref="P3535">XLOOKUP('FACP$'!$B3535,'perfil de pagos'!A:A,'perfil de pagos'!B:B)+'FACP$'!$D3535</f>
        <v>44892</v>
      </c>
      <c r="Q3535" s="165">
        <f t="shared" si="2"/>
        <v>0</v>
      </c>
      <c r="R3535" s="167"/>
      <c r="S3535" s="167">
        <v>1789.0</v>
      </c>
      <c r="T3535" s="168">
        <f t="shared" si="3"/>
        <v>210066.2908</v>
      </c>
      <c r="U3535" s="168">
        <f t="shared" si="4"/>
        <v>0</v>
      </c>
      <c r="V3535" s="168">
        <f t="shared" si="5"/>
        <v>0</v>
      </c>
      <c r="W3535" s="168">
        <f t="shared" si="6"/>
        <v>0</v>
      </c>
      <c r="X3535" s="168">
        <f t="shared" si="7"/>
        <v>0</v>
      </c>
      <c r="Y3535" s="168">
        <f t="shared" si="8"/>
        <v>0</v>
      </c>
      <c r="Z3535" s="168">
        <f t="shared" si="9"/>
        <v>0</v>
      </c>
    </row>
    <row r="3536" ht="15.0" customHeight="1">
      <c r="A3536" s="157" t="s">
        <v>4399</v>
      </c>
      <c r="B3536" s="158" t="s">
        <v>43</v>
      </c>
      <c r="C3536" s="158" t="s">
        <v>4394</v>
      </c>
      <c r="D3536" s="159">
        <v>44882.0</v>
      </c>
      <c r="E3536" s="157" t="s">
        <v>731</v>
      </c>
      <c r="F3536" s="160">
        <f>900904.36</f>
        <v>900904.36</v>
      </c>
      <c r="G3536" s="160">
        <f>'FACP$'!$F3536*0.16</f>
        <v>144144.6976</v>
      </c>
      <c r="H3536" s="160">
        <f t="shared" si="115"/>
        <v>1045049.058</v>
      </c>
      <c r="I3536" s="160"/>
      <c r="J3536" s="161"/>
      <c r="K3536" s="160"/>
      <c r="L3536" s="160">
        <f>+'FACP$'!$H3536-'FACP$'!$I3536-'FACP$'!$K3536</f>
        <v>1045049.058</v>
      </c>
      <c r="M3536" s="162" t="s">
        <v>43</v>
      </c>
      <c r="N3536" s="162" t="s">
        <v>554</v>
      </c>
      <c r="O3536" s="164">
        <v>44911.0</v>
      </c>
      <c r="P3536" s="164">
        <f t="array" ref="P3536">XLOOKUP('FACP$'!$B3536,'perfil de pagos'!A:A,'perfil de pagos'!B:B)+'FACP$'!$D3536</f>
        <v>44907</v>
      </c>
      <c r="Q3536" s="165">
        <f t="shared" si="2"/>
        <v>0</v>
      </c>
      <c r="R3536" s="220" t="s">
        <v>4400</v>
      </c>
      <c r="S3536" s="167"/>
      <c r="T3536" s="168">
        <f t="shared" si="3"/>
        <v>1045049.058</v>
      </c>
      <c r="U3536" s="168">
        <f t="shared" si="4"/>
        <v>0</v>
      </c>
      <c r="V3536" s="168">
        <f t="shared" si="5"/>
        <v>0</v>
      </c>
      <c r="W3536" s="168">
        <f t="shared" si="6"/>
        <v>0</v>
      </c>
      <c r="X3536" s="168">
        <f t="shared" si="7"/>
        <v>0</v>
      </c>
      <c r="Y3536" s="168">
        <f t="shared" si="8"/>
        <v>0</v>
      </c>
      <c r="Z3536" s="168">
        <f t="shared" si="9"/>
        <v>0</v>
      </c>
    </row>
    <row r="3537" ht="15.0" customHeight="1">
      <c r="A3537" s="157" t="s">
        <v>4401</v>
      </c>
      <c r="B3537" s="158" t="s">
        <v>44</v>
      </c>
      <c r="C3537" s="158" t="s">
        <v>4394</v>
      </c>
      <c r="D3537" s="159">
        <v>44882.0</v>
      </c>
      <c r="E3537" s="157" t="s">
        <v>731</v>
      </c>
      <c r="F3537" s="160">
        <f>266204.8-'NCP$'!F206</f>
        <v>243150.12</v>
      </c>
      <c r="G3537" s="160">
        <f>'FACP$'!$F3537*0.16</f>
        <v>38904.0192</v>
      </c>
      <c r="H3537" s="160">
        <f t="shared" si="115"/>
        <v>282054.1392</v>
      </c>
      <c r="I3537" s="160"/>
      <c r="J3537" s="161"/>
      <c r="K3537" s="160"/>
      <c r="L3537" s="160">
        <f>+'FACP$'!$H3537-'FACP$'!$I3537-'FACP$'!$K3537</f>
        <v>282054.1392</v>
      </c>
      <c r="M3537" s="162" t="s">
        <v>361</v>
      </c>
      <c r="N3537" s="162" t="s">
        <v>554</v>
      </c>
      <c r="O3537" s="164">
        <v>44897.0</v>
      </c>
      <c r="P3537" s="164">
        <f t="array" ref="P3537">XLOOKUP('FACP$'!$B3537,'perfil de pagos'!A:A,'perfil de pagos'!B:B)+'FACP$'!$D3537</f>
        <v>44892</v>
      </c>
      <c r="Q3537" s="165">
        <f t="shared" si="2"/>
        <v>0</v>
      </c>
      <c r="R3537" s="167"/>
      <c r="S3537" s="167">
        <v>1776.0</v>
      </c>
      <c r="T3537" s="168">
        <f t="shared" si="3"/>
        <v>282054.1392</v>
      </c>
      <c r="U3537" s="168">
        <f t="shared" si="4"/>
        <v>0</v>
      </c>
      <c r="V3537" s="168">
        <f t="shared" si="5"/>
        <v>0</v>
      </c>
      <c r="W3537" s="168">
        <f t="shared" si="6"/>
        <v>0</v>
      </c>
      <c r="X3537" s="168">
        <f t="shared" si="7"/>
        <v>0</v>
      </c>
      <c r="Y3537" s="168">
        <f t="shared" si="8"/>
        <v>0</v>
      </c>
      <c r="Z3537" s="168">
        <f t="shared" si="9"/>
        <v>0</v>
      </c>
    </row>
    <row r="3538" ht="15.0" customHeight="1">
      <c r="A3538" s="157" t="s">
        <v>4402</v>
      </c>
      <c r="B3538" s="158" t="s">
        <v>27</v>
      </c>
      <c r="C3538" s="158" t="s">
        <v>4403</v>
      </c>
      <c r="D3538" s="159">
        <v>44882.0</v>
      </c>
      <c r="E3538" s="157" t="s">
        <v>731</v>
      </c>
      <c r="F3538" s="160">
        <v>246058.24</v>
      </c>
      <c r="G3538" s="160">
        <f>'FACP$'!$F3538*0.16</f>
        <v>39369.3184</v>
      </c>
      <c r="H3538" s="160">
        <f t="shared" si="115"/>
        <v>285427.5584</v>
      </c>
      <c r="I3538" s="160"/>
      <c r="J3538" s="161"/>
      <c r="K3538" s="160"/>
      <c r="L3538" s="160">
        <f>+'FACP$'!$H3538-'FACP$'!$I3538-'FACP$'!$K3538</f>
        <v>285427.5584</v>
      </c>
      <c r="M3538" s="162" t="s">
        <v>158</v>
      </c>
      <c r="N3538" s="162" t="s">
        <v>554</v>
      </c>
      <c r="O3538" s="164">
        <v>44911.0</v>
      </c>
      <c r="P3538" s="164">
        <f t="array" ref="P3538">XLOOKUP('FACP$'!$B3538,'perfil de pagos'!A:A,'perfil de pagos'!B:B)+'FACP$'!$D3538</f>
        <v>44912</v>
      </c>
      <c r="Q3538" s="165">
        <f t="shared" si="2"/>
        <v>0</v>
      </c>
      <c r="R3538" s="167"/>
      <c r="S3538" s="167">
        <v>1828.0</v>
      </c>
      <c r="T3538" s="168">
        <f t="shared" si="3"/>
        <v>285427.5584</v>
      </c>
      <c r="U3538" s="168">
        <f t="shared" si="4"/>
        <v>0</v>
      </c>
      <c r="V3538" s="168">
        <f t="shared" si="5"/>
        <v>0</v>
      </c>
      <c r="W3538" s="168">
        <f t="shared" si="6"/>
        <v>0</v>
      </c>
      <c r="X3538" s="168">
        <f t="shared" si="7"/>
        <v>0</v>
      </c>
      <c r="Y3538" s="168">
        <f t="shared" si="8"/>
        <v>0</v>
      </c>
      <c r="Z3538" s="168">
        <f t="shared" si="9"/>
        <v>0</v>
      </c>
    </row>
    <row r="3539" ht="15.0" customHeight="1">
      <c r="A3539" s="157" t="s">
        <v>4404</v>
      </c>
      <c r="B3539" s="158" t="s">
        <v>27</v>
      </c>
      <c r="C3539" s="158" t="s">
        <v>4405</v>
      </c>
      <c r="D3539" s="159">
        <v>44882.0</v>
      </c>
      <c r="E3539" s="157" t="s">
        <v>731</v>
      </c>
      <c r="F3539" s="160">
        <v>172034.7</v>
      </c>
      <c r="G3539" s="160">
        <f>'FACP$'!$F3539*0.16</f>
        <v>27525.552</v>
      </c>
      <c r="H3539" s="160">
        <f t="shared" si="115"/>
        <v>199560.252</v>
      </c>
      <c r="I3539" s="160"/>
      <c r="J3539" s="161"/>
      <c r="K3539" s="160"/>
      <c r="L3539" s="160">
        <f>+'FACP$'!$H3539-'FACP$'!$I3539-'FACP$'!$K3539</f>
        <v>199560.252</v>
      </c>
      <c r="M3539" s="162" t="s">
        <v>158</v>
      </c>
      <c r="N3539" s="162" t="s">
        <v>554</v>
      </c>
      <c r="O3539" s="164">
        <v>44918.0</v>
      </c>
      <c r="P3539" s="164">
        <f t="array" ref="P3539">XLOOKUP('FACP$'!$B3539,'perfil de pagos'!A:A,'perfil de pagos'!B:B)+'FACP$'!$D3539</f>
        <v>44912</v>
      </c>
      <c r="Q3539" s="165">
        <f t="shared" si="2"/>
        <v>0</v>
      </c>
      <c r="R3539" s="167"/>
      <c r="S3539" s="167">
        <v>1863.0</v>
      </c>
      <c r="T3539" s="168">
        <f t="shared" si="3"/>
        <v>199560.252</v>
      </c>
      <c r="U3539" s="168">
        <f t="shared" si="4"/>
        <v>0</v>
      </c>
      <c r="V3539" s="168">
        <f t="shared" si="5"/>
        <v>0</v>
      </c>
      <c r="W3539" s="168">
        <f t="shared" si="6"/>
        <v>0</v>
      </c>
      <c r="X3539" s="168">
        <f t="shared" si="7"/>
        <v>0</v>
      </c>
      <c r="Y3539" s="168">
        <f t="shared" si="8"/>
        <v>0</v>
      </c>
      <c r="Z3539" s="168">
        <f t="shared" si="9"/>
        <v>0</v>
      </c>
    </row>
    <row r="3540" ht="15.0" customHeight="1">
      <c r="A3540" s="157" t="s">
        <v>4406</v>
      </c>
      <c r="B3540" s="158" t="s">
        <v>27</v>
      </c>
      <c r="C3540" s="158" t="s">
        <v>4403</v>
      </c>
      <c r="D3540" s="159">
        <v>44882.0</v>
      </c>
      <c r="E3540" s="157" t="s">
        <v>731</v>
      </c>
      <c r="F3540" s="160">
        <v>438345.11</v>
      </c>
      <c r="G3540" s="160">
        <f>'FACP$'!$F3540*0.16</f>
        <v>70135.2176</v>
      </c>
      <c r="H3540" s="160">
        <f t="shared" si="115"/>
        <v>508480.3276</v>
      </c>
      <c r="I3540" s="160"/>
      <c r="J3540" s="161"/>
      <c r="K3540" s="160"/>
      <c r="L3540" s="160">
        <f>+'FACP$'!$H3540-'FACP$'!$I3540-'FACP$'!$K3540</f>
        <v>508480.3276</v>
      </c>
      <c r="M3540" s="162" t="s">
        <v>151</v>
      </c>
      <c r="N3540" s="162" t="s">
        <v>554</v>
      </c>
      <c r="O3540" s="164">
        <v>44911.0</v>
      </c>
      <c r="P3540" s="164">
        <f t="array" ref="P3540">XLOOKUP('FACP$'!$B3540,'perfil de pagos'!A:A,'perfil de pagos'!B:B)+'FACP$'!$D3540</f>
        <v>44912</v>
      </c>
      <c r="Q3540" s="165">
        <f t="shared" si="2"/>
        <v>0</v>
      </c>
      <c r="R3540" s="167"/>
      <c r="S3540" s="167">
        <v>1827.0</v>
      </c>
      <c r="T3540" s="168">
        <f t="shared" si="3"/>
        <v>508480.3276</v>
      </c>
      <c r="U3540" s="168">
        <f t="shared" si="4"/>
        <v>0</v>
      </c>
      <c r="V3540" s="168">
        <f t="shared" si="5"/>
        <v>0</v>
      </c>
      <c r="W3540" s="168">
        <f t="shared" si="6"/>
        <v>0</v>
      </c>
      <c r="X3540" s="168">
        <f t="shared" si="7"/>
        <v>0</v>
      </c>
      <c r="Y3540" s="168">
        <f t="shared" si="8"/>
        <v>0</v>
      </c>
      <c r="Z3540" s="168">
        <f t="shared" si="9"/>
        <v>0</v>
      </c>
    </row>
    <row r="3541" ht="15.0" customHeight="1">
      <c r="A3541" s="157" t="s">
        <v>4407</v>
      </c>
      <c r="B3541" s="158" t="s">
        <v>27</v>
      </c>
      <c r="C3541" s="158" t="s">
        <v>4405</v>
      </c>
      <c r="D3541" s="159">
        <v>44882.0</v>
      </c>
      <c r="E3541" s="157" t="s">
        <v>731</v>
      </c>
      <c r="F3541" s="160">
        <v>301937.1</v>
      </c>
      <c r="G3541" s="160">
        <f>'FACP$'!$F3541*0.16</f>
        <v>48309.936</v>
      </c>
      <c r="H3541" s="160">
        <f t="shared" si="115"/>
        <v>350247.036</v>
      </c>
      <c r="I3541" s="160"/>
      <c r="J3541" s="161"/>
      <c r="K3541" s="160"/>
      <c r="L3541" s="160">
        <f>+'FACP$'!$H3541-'FACP$'!$I3541-'FACP$'!$K3541</f>
        <v>350247.036</v>
      </c>
      <c r="M3541" s="162" t="s">
        <v>151</v>
      </c>
      <c r="N3541" s="162" t="s">
        <v>554</v>
      </c>
      <c r="O3541" s="164">
        <v>44918.0</v>
      </c>
      <c r="P3541" s="164">
        <f t="array" ref="P3541">XLOOKUP('FACP$'!$B3541,'perfil de pagos'!A:A,'perfil de pagos'!B:B)+'FACP$'!$D3541</f>
        <v>44912</v>
      </c>
      <c r="Q3541" s="165">
        <f t="shared" si="2"/>
        <v>0</v>
      </c>
      <c r="R3541" s="167"/>
      <c r="S3541" s="167">
        <v>1864.0</v>
      </c>
      <c r="T3541" s="168">
        <f t="shared" si="3"/>
        <v>350247.036</v>
      </c>
      <c r="U3541" s="168">
        <f t="shared" si="4"/>
        <v>0</v>
      </c>
      <c r="V3541" s="168">
        <f t="shared" si="5"/>
        <v>0</v>
      </c>
      <c r="W3541" s="168">
        <f t="shared" si="6"/>
        <v>0</v>
      </c>
      <c r="X3541" s="168">
        <f t="shared" si="7"/>
        <v>0</v>
      </c>
      <c r="Y3541" s="168">
        <f t="shared" si="8"/>
        <v>0</v>
      </c>
      <c r="Z3541" s="168">
        <f t="shared" si="9"/>
        <v>0</v>
      </c>
      <c r="AA3541" s="81"/>
      <c r="AB3541" s="81"/>
      <c r="AC3541" s="81"/>
    </row>
    <row r="3542" ht="15.0" customHeight="1">
      <c r="A3542" s="157" t="s">
        <v>4408</v>
      </c>
      <c r="B3542" s="158" t="s">
        <v>27</v>
      </c>
      <c r="C3542" s="158" t="s">
        <v>4409</v>
      </c>
      <c r="D3542" s="159">
        <v>44882.0</v>
      </c>
      <c r="E3542" s="157" t="s">
        <v>731</v>
      </c>
      <c r="F3542" s="160">
        <v>15844.82</v>
      </c>
      <c r="G3542" s="160">
        <f>'FACP$'!$F3542*0.16</f>
        <v>2535.1712</v>
      </c>
      <c r="H3542" s="160">
        <f t="shared" si="115"/>
        <v>18379.9912</v>
      </c>
      <c r="I3542" s="160"/>
      <c r="J3542" s="161"/>
      <c r="K3542" s="160"/>
      <c r="L3542" s="160">
        <f>+'FACP$'!$H3542-'FACP$'!$I3542-'FACP$'!$K3542</f>
        <v>18379.9912</v>
      </c>
      <c r="M3542" s="162" t="s">
        <v>151</v>
      </c>
      <c r="N3542" s="162" t="s">
        <v>554</v>
      </c>
      <c r="O3542" s="164">
        <v>44911.0</v>
      </c>
      <c r="P3542" s="164">
        <f t="array" ref="P3542">XLOOKUP('FACP$'!$B3542,'perfil de pagos'!A:A,'perfil de pagos'!B:B)+'FACP$'!$D3542</f>
        <v>44912</v>
      </c>
      <c r="Q3542" s="165">
        <f t="shared" si="2"/>
        <v>0</v>
      </c>
      <c r="R3542" s="167"/>
      <c r="S3542" s="167">
        <v>1827.0</v>
      </c>
      <c r="T3542" s="168">
        <f t="shared" si="3"/>
        <v>18379.9912</v>
      </c>
      <c r="U3542" s="168">
        <f t="shared" si="4"/>
        <v>0</v>
      </c>
      <c r="V3542" s="168">
        <f t="shared" si="5"/>
        <v>0</v>
      </c>
      <c r="W3542" s="168">
        <f t="shared" si="6"/>
        <v>0</v>
      </c>
      <c r="X3542" s="168">
        <f t="shared" si="7"/>
        <v>0</v>
      </c>
      <c r="Y3542" s="168">
        <f t="shared" si="8"/>
        <v>0</v>
      </c>
      <c r="Z3542" s="168">
        <f t="shared" si="9"/>
        <v>0</v>
      </c>
    </row>
    <row r="3543" ht="15.0" customHeight="1">
      <c r="A3543" s="157" t="s">
        <v>4410</v>
      </c>
      <c r="B3543" s="158" t="s">
        <v>27</v>
      </c>
      <c r="C3543" s="158" t="s">
        <v>4411</v>
      </c>
      <c r="D3543" s="159">
        <v>44882.0</v>
      </c>
      <c r="E3543" s="157" t="s">
        <v>731</v>
      </c>
      <c r="F3543" s="160">
        <v>14019.08</v>
      </c>
      <c r="G3543" s="160">
        <f>'FACP$'!$F3543*0.16</f>
        <v>2243.0528</v>
      </c>
      <c r="H3543" s="160">
        <f t="shared" si="115"/>
        <v>16262.1328</v>
      </c>
      <c r="I3543" s="160"/>
      <c r="J3543" s="161"/>
      <c r="K3543" s="160"/>
      <c r="L3543" s="160">
        <f>+'FACP$'!$H3543-'FACP$'!$I3543-'FACP$'!$K3543</f>
        <v>16262.1328</v>
      </c>
      <c r="M3543" s="162" t="s">
        <v>151</v>
      </c>
      <c r="N3543" s="162" t="s">
        <v>554</v>
      </c>
      <c r="O3543" s="164">
        <v>44918.0</v>
      </c>
      <c r="P3543" s="164">
        <f t="array" ref="P3543">XLOOKUP('FACP$'!$B3543,'perfil de pagos'!A:A,'perfil de pagos'!B:B)+'FACP$'!$D3543</f>
        <v>44912</v>
      </c>
      <c r="Q3543" s="165">
        <f t="shared" si="2"/>
        <v>0</v>
      </c>
      <c r="R3543" s="167"/>
      <c r="S3543" s="167">
        <v>1864.0</v>
      </c>
      <c r="T3543" s="168">
        <f t="shared" si="3"/>
        <v>16262.1328</v>
      </c>
      <c r="U3543" s="168">
        <f t="shared" si="4"/>
        <v>0</v>
      </c>
      <c r="V3543" s="168">
        <f t="shared" si="5"/>
        <v>0</v>
      </c>
      <c r="W3543" s="168">
        <f t="shared" si="6"/>
        <v>0</v>
      </c>
      <c r="X3543" s="168">
        <f t="shared" si="7"/>
        <v>0</v>
      </c>
      <c r="Y3543" s="168">
        <f t="shared" si="8"/>
        <v>0</v>
      </c>
      <c r="Z3543" s="168">
        <f t="shared" si="9"/>
        <v>0</v>
      </c>
    </row>
    <row r="3544" ht="15.0" customHeight="1">
      <c r="A3544" s="157" t="s">
        <v>4412</v>
      </c>
      <c r="B3544" s="158" t="s">
        <v>31</v>
      </c>
      <c r="C3544" s="158" t="s">
        <v>4413</v>
      </c>
      <c r="D3544" s="159">
        <v>44888.0</v>
      </c>
      <c r="E3544" s="157" t="s">
        <v>731</v>
      </c>
      <c r="F3544" s="160">
        <v>339760.6</v>
      </c>
      <c r="G3544" s="160">
        <f>'FACP$'!$F3544*0.16</f>
        <v>54361.696</v>
      </c>
      <c r="H3544" s="160">
        <f>F3544+G3544-293098.29-101025.46</f>
        <v>-1.454</v>
      </c>
      <c r="I3544" s="252"/>
      <c r="J3544" s="253"/>
      <c r="K3544" s="252"/>
      <c r="L3544" s="160">
        <f>+'FACP$'!$H3544-'FACP$'!$I3544-'FACP$'!$K3544</f>
        <v>-1.454</v>
      </c>
      <c r="M3544" s="162" t="s">
        <v>3183</v>
      </c>
      <c r="N3544" s="162" t="s">
        <v>554</v>
      </c>
      <c r="O3544" s="164"/>
      <c r="P3544" s="164">
        <f t="array" ref="P3544">XLOOKUP('FACP$'!$B3544,'perfil de pagos'!A:A,'perfil de pagos'!B:B)+'FACP$'!$D3544</f>
        <v>44891</v>
      </c>
      <c r="Q3544" s="165">
        <f t="shared" si="2"/>
        <v>0</v>
      </c>
      <c r="R3544" s="220" t="s">
        <v>4414</v>
      </c>
      <c r="S3544" s="167" t="s">
        <v>4415</v>
      </c>
      <c r="T3544" s="168">
        <f t="shared" si="3"/>
        <v>-1.454</v>
      </c>
      <c r="U3544" s="168">
        <f t="shared" si="4"/>
        <v>0</v>
      </c>
      <c r="V3544" s="168">
        <f t="shared" si="5"/>
        <v>0</v>
      </c>
      <c r="W3544" s="168">
        <f t="shared" si="6"/>
        <v>0</v>
      </c>
      <c r="X3544" s="168">
        <f t="shared" si="7"/>
        <v>0</v>
      </c>
      <c r="Y3544" s="168">
        <f t="shared" si="8"/>
        <v>0</v>
      </c>
      <c r="Z3544" s="168">
        <f t="shared" si="9"/>
        <v>0</v>
      </c>
    </row>
    <row r="3545" ht="15.0" customHeight="1">
      <c r="A3545" s="157" t="s">
        <v>4416</v>
      </c>
      <c r="B3545" s="158" t="s">
        <v>16</v>
      </c>
      <c r="C3545" s="158" t="s">
        <v>4417</v>
      </c>
      <c r="D3545" s="159">
        <v>44888.0</v>
      </c>
      <c r="E3545" s="157" t="s">
        <v>731</v>
      </c>
      <c r="F3545" s="160">
        <v>283560.95</v>
      </c>
      <c r="G3545" s="160">
        <f>'FACP$'!$F3545*0.16</f>
        <v>45369.752</v>
      </c>
      <c r="H3545" s="160">
        <f t="shared" ref="H3545:H3552" si="116">F3545+G3545</f>
        <v>328930.702</v>
      </c>
      <c r="I3545" s="160"/>
      <c r="J3545" s="161"/>
      <c r="K3545" s="160"/>
      <c r="L3545" s="160">
        <f>+'FACP$'!$H3545-'FACP$'!$I3545-'FACP$'!$K3545</f>
        <v>328930.702</v>
      </c>
      <c r="M3545" s="162" t="s">
        <v>985</v>
      </c>
      <c r="N3545" s="162" t="s">
        <v>554</v>
      </c>
      <c r="O3545" s="164">
        <v>44904.0</v>
      </c>
      <c r="P3545" s="164">
        <f t="array" ref="P3545">XLOOKUP('FACP$'!$B3545,'perfil de pagos'!A:A,'perfil de pagos'!B:B)+'FACP$'!$D3545</f>
        <v>44898</v>
      </c>
      <c r="Q3545" s="165">
        <f t="shared" si="2"/>
        <v>0</v>
      </c>
      <c r="R3545" s="167"/>
      <c r="S3545" s="167">
        <v>1792.0</v>
      </c>
      <c r="T3545" s="168">
        <f t="shared" si="3"/>
        <v>328930.702</v>
      </c>
      <c r="U3545" s="168">
        <f t="shared" si="4"/>
        <v>0</v>
      </c>
      <c r="V3545" s="168">
        <f t="shared" si="5"/>
        <v>0</v>
      </c>
      <c r="W3545" s="168">
        <f t="shared" si="6"/>
        <v>0</v>
      </c>
      <c r="X3545" s="168">
        <f t="shared" si="7"/>
        <v>0</v>
      </c>
      <c r="Y3545" s="168">
        <f t="shared" si="8"/>
        <v>0</v>
      </c>
      <c r="Z3545" s="168">
        <f t="shared" si="9"/>
        <v>0</v>
      </c>
    </row>
    <row r="3546" ht="15.0" customHeight="1">
      <c r="A3546" s="157" t="s">
        <v>4418</v>
      </c>
      <c r="B3546" s="158" t="s">
        <v>16</v>
      </c>
      <c r="C3546" s="158" t="s">
        <v>4419</v>
      </c>
      <c r="D3546" s="159">
        <v>44888.0</v>
      </c>
      <c r="E3546" s="157" t="s">
        <v>731</v>
      </c>
      <c r="F3546" s="160">
        <v>370867.81</v>
      </c>
      <c r="G3546" s="160">
        <f>'FACP$'!$F3546*0.16</f>
        <v>59338.8496</v>
      </c>
      <c r="H3546" s="160">
        <f t="shared" si="116"/>
        <v>430206.6596</v>
      </c>
      <c r="I3546" s="160"/>
      <c r="J3546" s="161"/>
      <c r="K3546" s="160"/>
      <c r="L3546" s="160">
        <f>+'FACP$'!$H3546-'FACP$'!$I3546-'FACP$'!$K3546</f>
        <v>430206.6596</v>
      </c>
      <c r="M3546" s="162" t="s">
        <v>985</v>
      </c>
      <c r="N3546" s="162" t="s">
        <v>4420</v>
      </c>
      <c r="O3546" s="164">
        <v>44904.0</v>
      </c>
      <c r="P3546" s="164">
        <f t="array" ref="P3546">XLOOKUP('FACP$'!$B3546,'perfil de pagos'!A:A,'perfil de pagos'!B:B)+'FACP$'!$D3546</f>
        <v>44898</v>
      </c>
      <c r="Q3546" s="165">
        <f t="shared" si="2"/>
        <v>0</v>
      </c>
      <c r="R3546" s="167"/>
      <c r="S3546" s="167">
        <v>1792.0</v>
      </c>
      <c r="T3546" s="168">
        <f t="shared" si="3"/>
        <v>430206.6596</v>
      </c>
      <c r="U3546" s="168">
        <f t="shared" si="4"/>
        <v>0</v>
      </c>
      <c r="V3546" s="168">
        <f t="shared" si="5"/>
        <v>0</v>
      </c>
      <c r="W3546" s="168">
        <f t="shared" si="6"/>
        <v>0</v>
      </c>
      <c r="X3546" s="168">
        <f t="shared" si="7"/>
        <v>0</v>
      </c>
      <c r="Y3546" s="168">
        <f t="shared" si="8"/>
        <v>0</v>
      </c>
      <c r="Z3546" s="168">
        <f t="shared" si="9"/>
        <v>0</v>
      </c>
    </row>
    <row r="3547" ht="15.0" customHeight="1">
      <c r="A3547" s="157" t="s">
        <v>4421</v>
      </c>
      <c r="B3547" s="158" t="s">
        <v>18</v>
      </c>
      <c r="C3547" s="158" t="s">
        <v>4417</v>
      </c>
      <c r="D3547" s="159">
        <v>44888.0</v>
      </c>
      <c r="E3547" s="157" t="s">
        <v>731</v>
      </c>
      <c r="F3547" s="160">
        <v>93243.26</v>
      </c>
      <c r="G3547" s="160">
        <f>'FACP$'!$F3547*0.16</f>
        <v>14918.9216</v>
      </c>
      <c r="H3547" s="160">
        <f t="shared" si="116"/>
        <v>108162.1816</v>
      </c>
      <c r="I3547" s="160"/>
      <c r="J3547" s="161"/>
      <c r="K3547" s="160"/>
      <c r="L3547" s="160">
        <f>+'FACP$'!$H3547-'FACP$'!$I3547-'FACP$'!$K3547</f>
        <v>108162.1816</v>
      </c>
      <c r="M3547" s="162" t="s">
        <v>586</v>
      </c>
      <c r="N3547" s="162" t="s">
        <v>554</v>
      </c>
      <c r="O3547" s="164">
        <v>44910.0</v>
      </c>
      <c r="P3547" s="164">
        <f t="array" ref="P3547">XLOOKUP('FACP$'!$B3547,'perfil de pagos'!A:A,'perfil de pagos'!B:B)+'FACP$'!$D3547</f>
        <v>44898</v>
      </c>
      <c r="Q3547" s="165">
        <f t="shared" si="2"/>
        <v>0</v>
      </c>
      <c r="R3547" s="167" t="s">
        <v>4378</v>
      </c>
      <c r="S3547" s="167">
        <v>1823.0</v>
      </c>
      <c r="T3547" s="168">
        <f t="shared" si="3"/>
        <v>108162.1816</v>
      </c>
      <c r="U3547" s="168">
        <f t="shared" si="4"/>
        <v>0</v>
      </c>
      <c r="V3547" s="168">
        <f t="shared" si="5"/>
        <v>0</v>
      </c>
      <c r="W3547" s="168">
        <f t="shared" si="6"/>
        <v>0</v>
      </c>
      <c r="X3547" s="168">
        <f t="shared" si="7"/>
        <v>0</v>
      </c>
      <c r="Y3547" s="168">
        <f t="shared" si="8"/>
        <v>0</v>
      </c>
      <c r="Z3547" s="168">
        <f t="shared" si="9"/>
        <v>0</v>
      </c>
    </row>
    <row r="3548" ht="15.0" customHeight="1">
      <c r="A3548" s="157" t="s">
        <v>4422</v>
      </c>
      <c r="B3548" s="158" t="s">
        <v>19</v>
      </c>
      <c r="C3548" s="158" t="s">
        <v>4417</v>
      </c>
      <c r="D3548" s="159">
        <v>44888.0</v>
      </c>
      <c r="E3548" s="157" t="s">
        <v>731</v>
      </c>
      <c r="F3548" s="160">
        <f>155651.86-'NCP$'!F207</f>
        <v>155626.06</v>
      </c>
      <c r="G3548" s="160">
        <f>'FACP$'!$F3548*0.16</f>
        <v>24900.1696</v>
      </c>
      <c r="H3548" s="160">
        <f t="shared" si="116"/>
        <v>180526.2296</v>
      </c>
      <c r="I3548" s="160"/>
      <c r="J3548" s="161"/>
      <c r="K3548" s="160"/>
      <c r="L3548" s="160">
        <f>+'FACP$'!$H3548-'FACP$'!$I3548-'FACP$'!$K3548</f>
        <v>180526.2296</v>
      </c>
      <c r="M3548" s="162" t="s">
        <v>732</v>
      </c>
      <c r="N3548" s="162" t="s">
        <v>554</v>
      </c>
      <c r="O3548" s="164">
        <v>44910.0</v>
      </c>
      <c r="P3548" s="164">
        <f t="array" ref="P3548">XLOOKUP('FACP$'!$B3548,'perfil de pagos'!A:A,'perfil de pagos'!B:B)+'FACP$'!$D3548</f>
        <v>44898</v>
      </c>
      <c r="Q3548" s="165">
        <f t="shared" si="2"/>
        <v>0</v>
      </c>
      <c r="R3548" s="167" t="s">
        <v>4378</v>
      </c>
      <c r="S3548" s="167">
        <v>1823.0</v>
      </c>
      <c r="T3548" s="168">
        <f t="shared" si="3"/>
        <v>180526.2296</v>
      </c>
      <c r="U3548" s="168">
        <f t="shared" si="4"/>
        <v>0</v>
      </c>
      <c r="V3548" s="168">
        <f t="shared" si="5"/>
        <v>0</v>
      </c>
      <c r="W3548" s="168">
        <f t="shared" si="6"/>
        <v>0</v>
      </c>
      <c r="X3548" s="168">
        <f t="shared" si="7"/>
        <v>0</v>
      </c>
      <c r="Y3548" s="168">
        <f t="shared" si="8"/>
        <v>0</v>
      </c>
      <c r="Z3548" s="168">
        <f t="shared" si="9"/>
        <v>0</v>
      </c>
    </row>
    <row r="3549" ht="15.0" customHeight="1">
      <c r="A3549" s="157" t="s">
        <v>4423</v>
      </c>
      <c r="B3549" s="158" t="s">
        <v>22</v>
      </c>
      <c r="C3549" s="158" t="s">
        <v>4417</v>
      </c>
      <c r="D3549" s="159">
        <v>44888.0</v>
      </c>
      <c r="E3549" s="157" t="s">
        <v>731</v>
      </c>
      <c r="F3549" s="160">
        <v>181850.04</v>
      </c>
      <c r="G3549" s="160">
        <f>'FACP$'!$F3549*0.16</f>
        <v>29096.0064</v>
      </c>
      <c r="H3549" s="160">
        <f t="shared" si="116"/>
        <v>210946.0464</v>
      </c>
      <c r="I3549" s="160"/>
      <c r="J3549" s="161"/>
      <c r="K3549" s="160"/>
      <c r="L3549" s="160">
        <f>+'FACP$'!$H3549-'FACP$'!$I3549-'FACP$'!$K3549</f>
        <v>210946.0464</v>
      </c>
      <c r="M3549" s="162" t="s">
        <v>220</v>
      </c>
      <c r="N3549" s="162" t="s">
        <v>554</v>
      </c>
      <c r="O3549" s="164">
        <v>44924.0</v>
      </c>
      <c r="P3549" s="164">
        <f t="array" ref="P3549">XLOOKUP('FACP$'!$B3549,'perfil de pagos'!A:A,'perfil de pagos'!B:B)+'FACP$'!$D3549</f>
        <v>44898</v>
      </c>
      <c r="Q3549" s="165">
        <f t="shared" si="2"/>
        <v>0</v>
      </c>
      <c r="R3549" s="167"/>
      <c r="S3549" s="167">
        <v>1856.0</v>
      </c>
      <c r="T3549" s="168">
        <f t="shared" si="3"/>
        <v>210946.0464</v>
      </c>
      <c r="U3549" s="168">
        <f t="shared" si="4"/>
        <v>0</v>
      </c>
      <c r="V3549" s="168">
        <f t="shared" si="5"/>
        <v>0</v>
      </c>
      <c r="W3549" s="168">
        <f t="shared" si="6"/>
        <v>0</v>
      </c>
      <c r="X3549" s="168">
        <f t="shared" si="7"/>
        <v>0</v>
      </c>
      <c r="Y3549" s="168">
        <f t="shared" si="8"/>
        <v>0</v>
      </c>
      <c r="Z3549" s="168">
        <f t="shared" si="9"/>
        <v>0</v>
      </c>
    </row>
    <row r="3550" ht="15.0" customHeight="1">
      <c r="A3550" s="157" t="s">
        <v>4424</v>
      </c>
      <c r="B3550" s="158" t="s">
        <v>25</v>
      </c>
      <c r="C3550" s="158" t="s">
        <v>4417</v>
      </c>
      <c r="D3550" s="159">
        <v>44888.0</v>
      </c>
      <c r="E3550" s="157" t="s">
        <v>731</v>
      </c>
      <c r="F3550" s="160">
        <v>41477.11</v>
      </c>
      <c r="G3550" s="160">
        <f>'FACP$'!$F3550*0.16</f>
        <v>6636.3376</v>
      </c>
      <c r="H3550" s="160">
        <f t="shared" si="116"/>
        <v>48113.4476</v>
      </c>
      <c r="I3550" s="160"/>
      <c r="J3550" s="161"/>
      <c r="K3550" s="160"/>
      <c r="L3550" s="160">
        <f>+'FACP$'!$H3550-'FACP$'!$I3550-'FACP$'!$K3550</f>
        <v>48113.4476</v>
      </c>
      <c r="M3550" s="162" t="s">
        <v>4388</v>
      </c>
      <c r="N3550" s="162" t="s">
        <v>554</v>
      </c>
      <c r="O3550" s="164">
        <v>44914.0</v>
      </c>
      <c r="P3550" s="164">
        <f t="array" ref="P3550">XLOOKUP('FACP$'!$B3550,'perfil de pagos'!A:A,'perfil de pagos'!B:B)+'FACP$'!$D3550</f>
        <v>44898</v>
      </c>
      <c r="Q3550" s="165">
        <f t="shared" si="2"/>
        <v>0</v>
      </c>
      <c r="R3550" s="167"/>
      <c r="S3550" s="167">
        <v>1832.0</v>
      </c>
      <c r="T3550" s="168">
        <f t="shared" si="3"/>
        <v>48113.4476</v>
      </c>
      <c r="U3550" s="168">
        <f t="shared" si="4"/>
        <v>0</v>
      </c>
      <c r="V3550" s="168">
        <f t="shared" si="5"/>
        <v>0</v>
      </c>
      <c r="W3550" s="168">
        <f t="shared" si="6"/>
        <v>0</v>
      </c>
      <c r="X3550" s="168">
        <f t="shared" si="7"/>
        <v>0</v>
      </c>
      <c r="Y3550" s="168">
        <f t="shared" si="8"/>
        <v>0</v>
      </c>
      <c r="Z3550" s="168">
        <f t="shared" si="9"/>
        <v>0</v>
      </c>
    </row>
    <row r="3551" ht="15.0" customHeight="1">
      <c r="A3551" s="157" t="s">
        <v>4425</v>
      </c>
      <c r="B3551" s="158" t="s">
        <v>29</v>
      </c>
      <c r="C3551" s="158" t="s">
        <v>4417</v>
      </c>
      <c r="D3551" s="159">
        <v>44888.0</v>
      </c>
      <c r="E3551" s="157" t="s">
        <v>731</v>
      </c>
      <c r="F3551" s="160">
        <v>289809.26</v>
      </c>
      <c r="G3551" s="160">
        <f>'FACP$'!$F3551*0.16</f>
        <v>46369.4816</v>
      </c>
      <c r="H3551" s="160">
        <f t="shared" si="116"/>
        <v>336178.7416</v>
      </c>
      <c r="I3551" s="160"/>
      <c r="J3551" s="161"/>
      <c r="K3551" s="160"/>
      <c r="L3551" s="160">
        <f>+'FACP$'!$H3551-'FACP$'!$I3551-'FACP$'!$K3551</f>
        <v>336178.7416</v>
      </c>
      <c r="M3551" s="162" t="s">
        <v>130</v>
      </c>
      <c r="N3551" s="162" t="s">
        <v>554</v>
      </c>
      <c r="O3551" s="164">
        <v>44893.0</v>
      </c>
      <c r="P3551" s="164">
        <f t="array" ref="P3551">XLOOKUP('FACP$'!$B3551,'perfil de pagos'!A:A,'perfil de pagos'!B:B)+'FACP$'!$D3551</f>
        <v>44898</v>
      </c>
      <c r="Q3551" s="165">
        <f t="shared" si="2"/>
        <v>0</v>
      </c>
      <c r="R3551" s="167"/>
      <c r="S3551" s="167">
        <v>1759.0</v>
      </c>
      <c r="T3551" s="168">
        <f t="shared" si="3"/>
        <v>336178.7416</v>
      </c>
      <c r="U3551" s="168">
        <f t="shared" si="4"/>
        <v>0</v>
      </c>
      <c r="V3551" s="168">
        <f t="shared" si="5"/>
        <v>0</v>
      </c>
      <c r="W3551" s="168">
        <f t="shared" si="6"/>
        <v>0</v>
      </c>
      <c r="X3551" s="168">
        <f t="shared" si="7"/>
        <v>0</v>
      </c>
      <c r="Y3551" s="168">
        <f t="shared" si="8"/>
        <v>0</v>
      </c>
      <c r="Z3551" s="168">
        <f t="shared" si="9"/>
        <v>0</v>
      </c>
    </row>
    <row r="3552" ht="15.0" customHeight="1">
      <c r="A3552" s="157" t="s">
        <v>4426</v>
      </c>
      <c r="B3552" s="158" t="s">
        <v>29</v>
      </c>
      <c r="C3552" s="158" t="s">
        <v>4419</v>
      </c>
      <c r="D3552" s="159">
        <v>44888.0</v>
      </c>
      <c r="E3552" s="157" t="s">
        <v>731</v>
      </c>
      <c r="F3552" s="160">
        <v>412525.65</v>
      </c>
      <c r="G3552" s="160">
        <f>'FACP$'!$F3552*0.16</f>
        <v>66004.104</v>
      </c>
      <c r="H3552" s="160">
        <f t="shared" si="116"/>
        <v>478529.754</v>
      </c>
      <c r="I3552" s="160"/>
      <c r="J3552" s="161"/>
      <c r="K3552" s="160"/>
      <c r="L3552" s="160">
        <f>+'FACP$'!$H3552-'FACP$'!$I3552-'FACP$'!$K3552</f>
        <v>478529.754</v>
      </c>
      <c r="M3552" s="162" t="s">
        <v>130</v>
      </c>
      <c r="N3552" s="162" t="s">
        <v>554</v>
      </c>
      <c r="O3552" s="164">
        <v>44908.0</v>
      </c>
      <c r="P3552" s="164">
        <f t="array" ref="P3552">XLOOKUP('FACP$'!$B3552,'perfil de pagos'!A:A,'perfil de pagos'!B:B)+'FACP$'!$D3552</f>
        <v>44898</v>
      </c>
      <c r="Q3552" s="165">
        <f t="shared" si="2"/>
        <v>0</v>
      </c>
      <c r="R3552" s="167"/>
      <c r="S3552" s="167">
        <v>1815.0</v>
      </c>
      <c r="T3552" s="168">
        <f t="shared" si="3"/>
        <v>478529.754</v>
      </c>
      <c r="U3552" s="168">
        <f t="shared" si="4"/>
        <v>0</v>
      </c>
      <c r="V3552" s="168">
        <f t="shared" si="5"/>
        <v>0</v>
      </c>
      <c r="W3552" s="168">
        <f t="shared" si="6"/>
        <v>0</v>
      </c>
      <c r="X3552" s="168">
        <f t="shared" si="7"/>
        <v>0</v>
      </c>
      <c r="Y3552" s="168">
        <f t="shared" si="8"/>
        <v>0</v>
      </c>
      <c r="Z3552" s="168">
        <f t="shared" si="9"/>
        <v>0</v>
      </c>
    </row>
    <row r="3553" ht="15.0" customHeight="1">
      <c r="A3553" s="157" t="s">
        <v>4427</v>
      </c>
      <c r="B3553" s="158" t="s">
        <v>38</v>
      </c>
      <c r="C3553" s="158" t="s">
        <v>4417</v>
      </c>
      <c r="D3553" s="159">
        <v>44888.0</v>
      </c>
      <c r="E3553" s="157" t="s">
        <v>731</v>
      </c>
      <c r="F3553" s="160">
        <v>564589.15</v>
      </c>
      <c r="G3553" s="160">
        <f>'FACP$'!$F3553*0.16</f>
        <v>90334.264</v>
      </c>
      <c r="H3553" s="160">
        <f>F3553+G3553-597612.94</f>
        <v>57310.474</v>
      </c>
      <c r="I3553" s="160"/>
      <c r="J3553" s="161"/>
      <c r="K3553" s="160"/>
      <c r="L3553" s="160">
        <f>+'FACP$'!$H3553-'FACP$'!$I3553-'FACP$'!$K3553</f>
        <v>57310.474</v>
      </c>
      <c r="M3553" s="162" t="s">
        <v>145</v>
      </c>
      <c r="N3553" s="162" t="s">
        <v>554</v>
      </c>
      <c r="O3553" s="164">
        <v>44938.0</v>
      </c>
      <c r="P3553" s="164">
        <f t="array" ref="P3553">XLOOKUP('FACP$'!$B3553,'perfil de pagos'!A:A,'perfil de pagos'!B:B)+'FACP$'!$D3553</f>
        <v>44918</v>
      </c>
      <c r="Q3553" s="165">
        <f t="shared" si="2"/>
        <v>0</v>
      </c>
      <c r="R3553" s="167" t="s">
        <v>4428</v>
      </c>
      <c r="S3553" s="167">
        <v>1878.0</v>
      </c>
      <c r="T3553" s="168">
        <f t="shared" si="3"/>
        <v>57310.474</v>
      </c>
      <c r="U3553" s="168">
        <f t="shared" si="4"/>
        <v>0</v>
      </c>
      <c r="V3553" s="168">
        <f t="shared" si="5"/>
        <v>0</v>
      </c>
      <c r="W3553" s="168">
        <f t="shared" si="6"/>
        <v>0</v>
      </c>
      <c r="X3553" s="168">
        <f t="shared" si="7"/>
        <v>0</v>
      </c>
      <c r="Y3553" s="168">
        <f t="shared" si="8"/>
        <v>0</v>
      </c>
      <c r="Z3553" s="168">
        <f t="shared" si="9"/>
        <v>0</v>
      </c>
    </row>
    <row r="3554" ht="15.0" customHeight="1">
      <c r="A3554" s="157" t="s">
        <v>4429</v>
      </c>
      <c r="B3554" s="158" t="s">
        <v>37</v>
      </c>
      <c r="C3554" s="158" t="s">
        <v>4417</v>
      </c>
      <c r="D3554" s="159">
        <v>44888.0</v>
      </c>
      <c r="E3554" s="157" t="s">
        <v>731</v>
      </c>
      <c r="F3554" s="160">
        <f>1512177.09-'NCP$'!F205</f>
        <v>1180011.23</v>
      </c>
      <c r="G3554" s="160">
        <f>'FACP$'!$F3554*0.16</f>
        <v>188801.7968</v>
      </c>
      <c r="H3554" s="160">
        <f t="shared" ref="H3554:H3561" si="117">F3554+G3554</f>
        <v>1368813.027</v>
      </c>
      <c r="I3554" s="160"/>
      <c r="J3554" s="161"/>
      <c r="K3554" s="160"/>
      <c r="L3554" s="160">
        <f>+'FACP$'!$H3554-'FACP$'!$I3554-'FACP$'!$K3554</f>
        <v>1368813.027</v>
      </c>
      <c r="M3554" s="162" t="s">
        <v>116</v>
      </c>
      <c r="N3554" s="162" t="s">
        <v>554</v>
      </c>
      <c r="O3554" s="164">
        <v>44897.0</v>
      </c>
      <c r="P3554" s="164">
        <f t="array" ref="P3554">XLOOKUP('FACP$'!$B3554,'perfil de pagos'!A:A,'perfil de pagos'!B:B)+'FACP$'!$D3554</f>
        <v>44898</v>
      </c>
      <c r="Q3554" s="165">
        <f t="shared" si="2"/>
        <v>0</v>
      </c>
      <c r="R3554" s="220" t="s">
        <v>4430</v>
      </c>
      <c r="S3554" s="167">
        <v>1779.0</v>
      </c>
      <c r="T3554" s="168">
        <f t="shared" si="3"/>
        <v>1368813.027</v>
      </c>
      <c r="U3554" s="168">
        <f t="shared" si="4"/>
        <v>0</v>
      </c>
      <c r="V3554" s="168">
        <f t="shared" si="5"/>
        <v>0</v>
      </c>
      <c r="W3554" s="168">
        <f t="shared" si="6"/>
        <v>0</v>
      </c>
      <c r="X3554" s="168">
        <f t="shared" si="7"/>
        <v>0</v>
      </c>
      <c r="Y3554" s="168">
        <f t="shared" si="8"/>
        <v>0</v>
      </c>
      <c r="Z3554" s="168">
        <f t="shared" si="9"/>
        <v>0</v>
      </c>
    </row>
    <row r="3555" ht="15.0" customHeight="1">
      <c r="A3555" s="157" t="s">
        <v>4431</v>
      </c>
      <c r="B3555" s="158" t="s">
        <v>31</v>
      </c>
      <c r="C3555" s="158" t="s">
        <v>4432</v>
      </c>
      <c r="D3555" s="159">
        <v>44895.0</v>
      </c>
      <c r="E3555" s="157" t="s">
        <v>731</v>
      </c>
      <c r="F3555" s="160">
        <v>274453.55</v>
      </c>
      <c r="G3555" s="160">
        <f>'FACP$'!$F3555*0.16</f>
        <v>43912.568</v>
      </c>
      <c r="H3555" s="160">
        <f t="shared" si="117"/>
        <v>318366.118</v>
      </c>
      <c r="I3555" s="252"/>
      <c r="J3555" s="253"/>
      <c r="K3555" s="252"/>
      <c r="L3555" s="160">
        <f>+'FACP$'!$H3555-'FACP$'!$I3555-'FACP$'!$K3555</f>
        <v>318366.118</v>
      </c>
      <c r="M3555" s="162" t="s">
        <v>3183</v>
      </c>
      <c r="N3555" s="162" t="s">
        <v>554</v>
      </c>
      <c r="O3555" s="164">
        <v>44939.0</v>
      </c>
      <c r="P3555" s="164">
        <f t="array" ref="P3555">XLOOKUP('FACP$'!$B3555,'perfil de pagos'!A:A,'perfil de pagos'!B:B)+'FACP$'!$D3555</f>
        <v>44898</v>
      </c>
      <c r="Q3555" s="165">
        <f t="shared" si="2"/>
        <v>0</v>
      </c>
      <c r="R3555" s="167"/>
      <c r="S3555" s="167"/>
      <c r="T3555" s="168">
        <f t="shared" si="3"/>
        <v>318366.118</v>
      </c>
      <c r="U3555" s="168">
        <f t="shared" si="4"/>
        <v>0</v>
      </c>
      <c r="V3555" s="168">
        <f t="shared" si="5"/>
        <v>0</v>
      </c>
      <c r="W3555" s="168">
        <f t="shared" si="6"/>
        <v>0</v>
      </c>
      <c r="X3555" s="168">
        <f t="shared" si="7"/>
        <v>0</v>
      </c>
      <c r="Y3555" s="168">
        <f t="shared" si="8"/>
        <v>0</v>
      </c>
      <c r="Z3555" s="168">
        <f t="shared" si="9"/>
        <v>0</v>
      </c>
    </row>
    <row r="3556" ht="15.0" customHeight="1">
      <c r="A3556" s="157" t="s">
        <v>4433</v>
      </c>
      <c r="B3556" s="158" t="s">
        <v>27</v>
      </c>
      <c r="C3556" s="158" t="s">
        <v>4434</v>
      </c>
      <c r="D3556" s="159">
        <v>44895.0</v>
      </c>
      <c r="E3556" s="157" t="s">
        <v>731</v>
      </c>
      <c r="F3556" s="160">
        <v>372690.77</v>
      </c>
      <c r="G3556" s="160">
        <f>'FACP$'!$F3556*0.16</f>
        <v>59630.5232</v>
      </c>
      <c r="H3556" s="160">
        <f t="shared" si="117"/>
        <v>432321.2932</v>
      </c>
      <c r="I3556" s="160"/>
      <c r="J3556" s="161"/>
      <c r="K3556" s="160"/>
      <c r="L3556" s="160">
        <f>+'FACP$'!$H3556-'FACP$'!$I3556-'FACP$'!$K3556</f>
        <v>432321.2932</v>
      </c>
      <c r="M3556" s="162" t="s">
        <v>158</v>
      </c>
      <c r="N3556" s="162" t="s">
        <v>554</v>
      </c>
      <c r="O3556" s="164">
        <v>44918.0</v>
      </c>
      <c r="P3556" s="164">
        <f t="array" ref="P3556">XLOOKUP('FACP$'!$B3556,'perfil de pagos'!A:A,'perfil de pagos'!B:B)+'FACP$'!$D3556</f>
        <v>44925</v>
      </c>
      <c r="Q3556" s="165">
        <f t="shared" si="2"/>
        <v>0</v>
      </c>
      <c r="R3556" s="167"/>
      <c r="S3556" s="167">
        <v>1862.0</v>
      </c>
      <c r="T3556" s="168">
        <f t="shared" si="3"/>
        <v>432321.2932</v>
      </c>
      <c r="U3556" s="168">
        <f t="shared" si="4"/>
        <v>0</v>
      </c>
      <c r="V3556" s="168">
        <f t="shared" si="5"/>
        <v>0</v>
      </c>
      <c r="W3556" s="168">
        <f t="shared" si="6"/>
        <v>0</v>
      </c>
      <c r="X3556" s="168">
        <f t="shared" si="7"/>
        <v>0</v>
      </c>
      <c r="Y3556" s="168">
        <f t="shared" si="8"/>
        <v>0</v>
      </c>
      <c r="Z3556" s="168">
        <f t="shared" si="9"/>
        <v>0</v>
      </c>
    </row>
    <row r="3557" ht="15.0" customHeight="1">
      <c r="A3557" s="157" t="s">
        <v>4435</v>
      </c>
      <c r="B3557" s="158" t="s">
        <v>27</v>
      </c>
      <c r="C3557" s="158" t="s">
        <v>4436</v>
      </c>
      <c r="D3557" s="159">
        <v>44895.0</v>
      </c>
      <c r="E3557" s="157" t="s">
        <v>731</v>
      </c>
      <c r="F3557" s="160">
        <v>164889.5</v>
      </c>
      <c r="G3557" s="160">
        <f>'FACP$'!$F3557*0.16</f>
        <v>26382.32</v>
      </c>
      <c r="H3557" s="160">
        <f t="shared" si="117"/>
        <v>191271.82</v>
      </c>
      <c r="I3557" s="160"/>
      <c r="J3557" s="161"/>
      <c r="K3557" s="160"/>
      <c r="L3557" s="160">
        <f>+'FACP$'!$H3557-'FACP$'!$I3557-'FACP$'!$K3557</f>
        <v>191271.82</v>
      </c>
      <c r="M3557" s="162" t="s">
        <v>158</v>
      </c>
      <c r="N3557" s="162" t="s">
        <v>554</v>
      </c>
      <c r="O3557" s="164">
        <v>44923.0</v>
      </c>
      <c r="P3557" s="164">
        <f t="array" ref="P3557">XLOOKUP('FACP$'!$B3557,'perfil de pagos'!A:A,'perfil de pagos'!B:B)+'FACP$'!$D3557</f>
        <v>44925</v>
      </c>
      <c r="Q3557" s="165">
        <f t="shared" si="2"/>
        <v>0</v>
      </c>
      <c r="R3557" s="167"/>
      <c r="S3557" s="167">
        <v>1855.0</v>
      </c>
      <c r="T3557" s="168">
        <f t="shared" si="3"/>
        <v>191271.82</v>
      </c>
      <c r="U3557" s="168">
        <f t="shared" si="4"/>
        <v>0</v>
      </c>
      <c r="V3557" s="168">
        <f t="shared" si="5"/>
        <v>0</v>
      </c>
      <c r="W3557" s="168">
        <f t="shared" si="6"/>
        <v>0</v>
      </c>
      <c r="X3557" s="168">
        <f t="shared" si="7"/>
        <v>0</v>
      </c>
      <c r="Y3557" s="168">
        <f t="shared" si="8"/>
        <v>0</v>
      </c>
      <c r="Z3557" s="168">
        <f t="shared" si="9"/>
        <v>0</v>
      </c>
    </row>
    <row r="3558" ht="15.0" customHeight="1">
      <c r="A3558" s="157" t="s">
        <v>4437</v>
      </c>
      <c r="B3558" s="158" t="s">
        <v>27</v>
      </c>
      <c r="C3558" s="158" t="s">
        <v>4434</v>
      </c>
      <c r="D3558" s="159">
        <v>44895.0</v>
      </c>
      <c r="E3558" s="157" t="s">
        <v>731</v>
      </c>
      <c r="F3558" s="160">
        <v>596846.03</v>
      </c>
      <c r="G3558" s="160">
        <f>'FACP$'!$F3558*0.16</f>
        <v>95495.3648</v>
      </c>
      <c r="H3558" s="160">
        <f t="shared" si="117"/>
        <v>692341.3948</v>
      </c>
      <c r="I3558" s="160"/>
      <c r="J3558" s="161"/>
      <c r="K3558" s="160"/>
      <c r="L3558" s="160">
        <f>+'FACP$'!$H3558-'FACP$'!$I3558-'FACP$'!$K3558</f>
        <v>692341.3948</v>
      </c>
      <c r="M3558" s="162" t="s">
        <v>151</v>
      </c>
      <c r="N3558" s="162" t="s">
        <v>554</v>
      </c>
      <c r="O3558" s="164">
        <v>44918.0</v>
      </c>
      <c r="P3558" s="164">
        <f t="array" ref="P3558">XLOOKUP('FACP$'!$B3558,'perfil de pagos'!A:A,'perfil de pagos'!B:B)+'FACP$'!$D3558</f>
        <v>44925</v>
      </c>
      <c r="Q3558" s="165">
        <f t="shared" si="2"/>
        <v>0</v>
      </c>
      <c r="R3558" s="167"/>
      <c r="S3558" s="167">
        <v>1860.0</v>
      </c>
      <c r="T3558" s="168">
        <f t="shared" si="3"/>
        <v>692341.3948</v>
      </c>
      <c r="U3558" s="168">
        <f t="shared" si="4"/>
        <v>0</v>
      </c>
      <c r="V3558" s="168">
        <f t="shared" si="5"/>
        <v>0</v>
      </c>
      <c r="W3558" s="168">
        <f t="shared" si="6"/>
        <v>0</v>
      </c>
      <c r="X3558" s="168">
        <f t="shared" si="7"/>
        <v>0</v>
      </c>
      <c r="Y3558" s="168">
        <f t="shared" si="8"/>
        <v>0</v>
      </c>
      <c r="Z3558" s="168">
        <f t="shared" si="9"/>
        <v>0</v>
      </c>
    </row>
    <row r="3559" ht="15.0" customHeight="1">
      <c r="A3559" s="157" t="s">
        <v>4438</v>
      </c>
      <c r="B3559" s="158" t="s">
        <v>27</v>
      </c>
      <c r="C3559" s="158" t="s">
        <v>4436</v>
      </c>
      <c r="D3559" s="159">
        <v>44895.0</v>
      </c>
      <c r="E3559" s="157" t="s">
        <v>731</v>
      </c>
      <c r="F3559" s="160">
        <v>252167.65</v>
      </c>
      <c r="G3559" s="160">
        <f>'FACP$'!$F3559*0.16</f>
        <v>40346.824</v>
      </c>
      <c r="H3559" s="160">
        <f t="shared" si="117"/>
        <v>292514.474</v>
      </c>
      <c r="I3559" s="160"/>
      <c r="J3559" s="161"/>
      <c r="K3559" s="160"/>
      <c r="L3559" s="160">
        <f>+'FACP$'!$H3559-'FACP$'!$I3559-'FACP$'!$K3559</f>
        <v>292514.474</v>
      </c>
      <c r="M3559" s="162" t="s">
        <v>151</v>
      </c>
      <c r="N3559" s="162" t="s">
        <v>554</v>
      </c>
      <c r="O3559" s="164">
        <v>44923.0</v>
      </c>
      <c r="P3559" s="164">
        <f t="array" ref="P3559">XLOOKUP('FACP$'!$B3559,'perfil de pagos'!A:A,'perfil de pagos'!B:B)+'FACP$'!$D3559</f>
        <v>44925</v>
      </c>
      <c r="Q3559" s="165">
        <f t="shared" si="2"/>
        <v>0</v>
      </c>
      <c r="R3559" s="167"/>
      <c r="S3559" s="167">
        <v>1854.0</v>
      </c>
      <c r="T3559" s="168">
        <f t="shared" si="3"/>
        <v>292514.474</v>
      </c>
      <c r="U3559" s="168">
        <f t="shared" si="4"/>
        <v>0</v>
      </c>
      <c r="V3559" s="168">
        <f t="shared" si="5"/>
        <v>0</v>
      </c>
      <c r="W3559" s="168">
        <f t="shared" si="6"/>
        <v>0</v>
      </c>
      <c r="X3559" s="168">
        <f t="shared" si="7"/>
        <v>0</v>
      </c>
      <c r="Y3559" s="168">
        <f t="shared" si="8"/>
        <v>0</v>
      </c>
      <c r="Z3559" s="168">
        <f t="shared" si="9"/>
        <v>0</v>
      </c>
    </row>
    <row r="3560" ht="15.0" customHeight="1">
      <c r="A3560" s="157" t="s">
        <v>4439</v>
      </c>
      <c r="B3560" s="158" t="s">
        <v>27</v>
      </c>
      <c r="C3560" s="158" t="s">
        <v>4440</v>
      </c>
      <c r="D3560" s="159">
        <v>44895.0</v>
      </c>
      <c r="E3560" s="157" t="s">
        <v>731</v>
      </c>
      <c r="F3560" s="160">
        <v>24319.44</v>
      </c>
      <c r="G3560" s="160">
        <f>'FACP$'!$F3560*0.16</f>
        <v>3891.1104</v>
      </c>
      <c r="H3560" s="160">
        <f t="shared" si="117"/>
        <v>28210.5504</v>
      </c>
      <c r="I3560" s="160"/>
      <c r="J3560" s="161"/>
      <c r="K3560" s="160"/>
      <c r="L3560" s="160">
        <f>+'FACP$'!$H3560-'FACP$'!$I3560-'FACP$'!$K3560</f>
        <v>28210.5504</v>
      </c>
      <c r="M3560" s="162" t="s">
        <v>151</v>
      </c>
      <c r="N3560" s="162" t="s">
        <v>554</v>
      </c>
      <c r="O3560" s="164">
        <v>44918.0</v>
      </c>
      <c r="P3560" s="164">
        <f t="array" ref="P3560">XLOOKUP('FACP$'!$B3560,'perfil de pagos'!A:A,'perfil de pagos'!B:B)+'FACP$'!$D3560</f>
        <v>44925</v>
      </c>
      <c r="Q3560" s="165">
        <f t="shared" si="2"/>
        <v>0</v>
      </c>
      <c r="R3560" s="167"/>
      <c r="S3560" s="167">
        <v>1861.0</v>
      </c>
      <c r="T3560" s="168">
        <f t="shared" si="3"/>
        <v>28210.5504</v>
      </c>
      <c r="U3560" s="168">
        <f t="shared" si="4"/>
        <v>0</v>
      </c>
      <c r="V3560" s="168">
        <f t="shared" si="5"/>
        <v>0</v>
      </c>
      <c r="W3560" s="168">
        <f t="shared" si="6"/>
        <v>0</v>
      </c>
      <c r="X3560" s="168">
        <f t="shared" si="7"/>
        <v>0</v>
      </c>
      <c r="Y3560" s="168">
        <f t="shared" si="8"/>
        <v>0</v>
      </c>
      <c r="Z3560" s="168">
        <f t="shared" si="9"/>
        <v>0</v>
      </c>
    </row>
    <row r="3561" ht="15.0" customHeight="1">
      <c r="A3561" s="157" t="s">
        <v>4441</v>
      </c>
      <c r="B3561" s="158" t="s">
        <v>27</v>
      </c>
      <c r="C3561" s="158" t="s">
        <v>4442</v>
      </c>
      <c r="D3561" s="159">
        <v>44895.0</v>
      </c>
      <c r="E3561" s="157" t="s">
        <v>731</v>
      </c>
      <c r="F3561" s="160">
        <v>12390.24</v>
      </c>
      <c r="G3561" s="160">
        <f>'FACP$'!$F3561*0.16</f>
        <v>1982.4384</v>
      </c>
      <c r="H3561" s="160">
        <f t="shared" si="117"/>
        <v>14372.6784</v>
      </c>
      <c r="I3561" s="160"/>
      <c r="J3561" s="161"/>
      <c r="K3561" s="160"/>
      <c r="L3561" s="160">
        <f>+'FACP$'!$H3561-'FACP$'!$I3561-'FACP$'!$K3561</f>
        <v>14372.6784</v>
      </c>
      <c r="M3561" s="162" t="s">
        <v>151</v>
      </c>
      <c r="N3561" s="162" t="s">
        <v>554</v>
      </c>
      <c r="O3561" s="164">
        <v>44923.0</v>
      </c>
      <c r="P3561" s="164">
        <f t="array" ref="P3561">XLOOKUP('FACP$'!$B3561,'perfil de pagos'!A:A,'perfil de pagos'!B:B)+'FACP$'!$D3561</f>
        <v>44925</v>
      </c>
      <c r="Q3561" s="165">
        <f t="shared" si="2"/>
        <v>0</v>
      </c>
      <c r="R3561" s="167"/>
      <c r="S3561" s="167">
        <v>1854.0</v>
      </c>
      <c r="T3561" s="168">
        <f t="shared" si="3"/>
        <v>14372.6784</v>
      </c>
      <c r="U3561" s="168">
        <f t="shared" si="4"/>
        <v>0</v>
      </c>
      <c r="V3561" s="168">
        <f t="shared" si="5"/>
        <v>0</v>
      </c>
      <c r="W3561" s="168">
        <f t="shared" si="6"/>
        <v>0</v>
      </c>
      <c r="X3561" s="168">
        <f t="shared" si="7"/>
        <v>0</v>
      </c>
      <c r="Y3561" s="168">
        <f t="shared" si="8"/>
        <v>0</v>
      </c>
      <c r="Z3561" s="168">
        <f t="shared" si="9"/>
        <v>0</v>
      </c>
    </row>
    <row r="3562" ht="15.0" customHeight="1">
      <c r="A3562" s="157" t="s">
        <v>4443</v>
      </c>
      <c r="B3562" s="158" t="s">
        <v>31</v>
      </c>
      <c r="C3562" s="158" t="s">
        <v>4444</v>
      </c>
      <c r="D3562" s="159">
        <v>44897.0</v>
      </c>
      <c r="E3562" s="157" t="s">
        <v>731</v>
      </c>
      <c r="F3562" s="160">
        <v>186334.35</v>
      </c>
      <c r="G3562" s="160">
        <f>'FACP$'!$F3562*0.16</f>
        <v>29813.496</v>
      </c>
      <c r="H3562" s="160">
        <f>F3562+G3562-49273.26</f>
        <v>166874.586</v>
      </c>
      <c r="I3562" s="252"/>
      <c r="J3562" s="253"/>
      <c r="K3562" s="252"/>
      <c r="L3562" s="160">
        <f>+'FACP$'!$H3562-'FACP$'!$I3562-'FACP$'!$K3562</f>
        <v>166874.586</v>
      </c>
      <c r="M3562" s="162" t="s">
        <v>3183</v>
      </c>
      <c r="N3562" s="162" t="s">
        <v>554</v>
      </c>
      <c r="O3562" s="164">
        <v>44953.0</v>
      </c>
      <c r="P3562" s="164">
        <f t="array" ref="P3562">XLOOKUP('FACP$'!$B3562,'perfil de pagos'!A:A,'perfil de pagos'!B:B)+'FACP$'!$D3562</f>
        <v>44900</v>
      </c>
      <c r="Q3562" s="165">
        <f t="shared" si="2"/>
        <v>0</v>
      </c>
      <c r="R3562" s="220" t="s">
        <v>4445</v>
      </c>
      <c r="S3562" s="171" t="s">
        <v>4446</v>
      </c>
      <c r="T3562" s="168">
        <f t="shared" si="3"/>
        <v>166874.586</v>
      </c>
      <c r="U3562" s="168">
        <f t="shared" si="4"/>
        <v>0</v>
      </c>
      <c r="V3562" s="168">
        <f t="shared" si="5"/>
        <v>0</v>
      </c>
      <c r="W3562" s="168">
        <f t="shared" si="6"/>
        <v>0</v>
      </c>
      <c r="X3562" s="168">
        <f t="shared" si="7"/>
        <v>0</v>
      </c>
      <c r="Y3562" s="168">
        <f t="shared" si="8"/>
        <v>0</v>
      </c>
      <c r="Z3562" s="168">
        <f t="shared" si="9"/>
        <v>0</v>
      </c>
    </row>
    <row r="3563" ht="15.0" customHeight="1">
      <c r="A3563" s="157" t="s">
        <v>4447</v>
      </c>
      <c r="B3563" s="158" t="s">
        <v>15</v>
      </c>
      <c r="C3563" s="158" t="s">
        <v>4448</v>
      </c>
      <c r="D3563" s="159">
        <v>44897.0</v>
      </c>
      <c r="E3563" s="157" t="s">
        <v>731</v>
      </c>
      <c r="F3563" s="160">
        <v>1203747.87</v>
      </c>
      <c r="G3563" s="160">
        <f>'FACP$'!$F3563*0.16</f>
        <v>192599.6592</v>
      </c>
      <c r="H3563" s="160">
        <f t="shared" ref="H3563:H3592" si="118">F3563+G3563</f>
        <v>1396347.529</v>
      </c>
      <c r="I3563" s="160"/>
      <c r="J3563" s="161"/>
      <c r="K3563" s="160"/>
      <c r="L3563" s="160">
        <f>+'FACP$'!$H3563-'FACP$'!$I3563-'FACP$'!$K3563</f>
        <v>1396347.529</v>
      </c>
      <c r="M3563" s="162" t="s">
        <v>443</v>
      </c>
      <c r="N3563" s="162" t="s">
        <v>554</v>
      </c>
      <c r="O3563" s="164">
        <v>44915.0</v>
      </c>
      <c r="P3563" s="164">
        <f t="array" ref="P3563">XLOOKUP('FACP$'!$B3563,'perfil de pagos'!A:A,'perfil de pagos'!B:B)+'FACP$'!$D3563</f>
        <v>44907</v>
      </c>
      <c r="Q3563" s="165">
        <f t="shared" si="2"/>
        <v>0</v>
      </c>
      <c r="R3563" s="167"/>
      <c r="S3563" s="167">
        <v>1837.0</v>
      </c>
      <c r="T3563" s="168">
        <f t="shared" si="3"/>
        <v>1396347.529</v>
      </c>
      <c r="U3563" s="168">
        <f t="shared" si="4"/>
        <v>0</v>
      </c>
      <c r="V3563" s="168">
        <f t="shared" si="5"/>
        <v>0</v>
      </c>
      <c r="W3563" s="168">
        <f t="shared" si="6"/>
        <v>0</v>
      </c>
      <c r="X3563" s="168">
        <f t="shared" si="7"/>
        <v>0</v>
      </c>
      <c r="Y3563" s="168">
        <f t="shared" si="8"/>
        <v>0</v>
      </c>
      <c r="Z3563" s="168">
        <f t="shared" si="9"/>
        <v>0</v>
      </c>
    </row>
    <row r="3564" ht="15.0" customHeight="1">
      <c r="A3564" s="157" t="s">
        <v>4449</v>
      </c>
      <c r="B3564" s="158" t="s">
        <v>35</v>
      </c>
      <c r="C3564" s="158" t="s">
        <v>4448</v>
      </c>
      <c r="D3564" s="159">
        <v>44897.0</v>
      </c>
      <c r="E3564" s="157" t="s">
        <v>731</v>
      </c>
      <c r="F3564" s="160">
        <v>499001.83</v>
      </c>
      <c r="G3564" s="160">
        <f>'FACP$'!$F3564*0.16</f>
        <v>79840.2928</v>
      </c>
      <c r="H3564" s="160">
        <f t="shared" si="118"/>
        <v>578842.1228</v>
      </c>
      <c r="I3564" s="160"/>
      <c r="J3564" s="161"/>
      <c r="K3564" s="160"/>
      <c r="L3564" s="160">
        <f>+'FACP$'!$H3564-'FACP$'!$I3564-'FACP$'!$K3564</f>
        <v>578842.1228</v>
      </c>
      <c r="M3564" s="162" t="s">
        <v>276</v>
      </c>
      <c r="N3564" s="162" t="s">
        <v>554</v>
      </c>
      <c r="O3564" s="164">
        <v>44924.0</v>
      </c>
      <c r="P3564" s="164">
        <f t="array" ref="P3564">XLOOKUP('FACP$'!$B3564,'perfil de pagos'!A:A,'perfil de pagos'!B:B)+'FACP$'!$D3564</f>
        <v>44907</v>
      </c>
      <c r="Q3564" s="165">
        <f t="shared" si="2"/>
        <v>0</v>
      </c>
      <c r="R3564" s="167"/>
      <c r="S3564" s="167"/>
      <c r="T3564" s="168">
        <f t="shared" si="3"/>
        <v>578842.1228</v>
      </c>
      <c r="U3564" s="168">
        <f t="shared" si="4"/>
        <v>0</v>
      </c>
      <c r="V3564" s="168">
        <f t="shared" si="5"/>
        <v>0</v>
      </c>
      <c r="W3564" s="168">
        <f t="shared" si="6"/>
        <v>0</v>
      </c>
      <c r="X3564" s="168">
        <f t="shared" si="7"/>
        <v>0</v>
      </c>
      <c r="Y3564" s="168">
        <f t="shared" si="8"/>
        <v>0</v>
      </c>
      <c r="Z3564" s="168">
        <f t="shared" si="9"/>
        <v>0</v>
      </c>
    </row>
    <row r="3565" ht="15.0" customHeight="1">
      <c r="A3565" s="157" t="s">
        <v>4450</v>
      </c>
      <c r="B3565" s="158" t="s">
        <v>36</v>
      </c>
      <c r="C3565" s="158" t="s">
        <v>4448</v>
      </c>
      <c r="D3565" s="159">
        <v>44897.0</v>
      </c>
      <c r="E3565" s="157" t="s">
        <v>731</v>
      </c>
      <c r="F3565" s="160">
        <v>103105.86</v>
      </c>
      <c r="G3565" s="160">
        <f>'FACP$'!$F3565*0.16</f>
        <v>16496.9376</v>
      </c>
      <c r="H3565" s="160">
        <f t="shared" si="118"/>
        <v>119602.7976</v>
      </c>
      <c r="I3565" s="160"/>
      <c r="J3565" s="161"/>
      <c r="K3565" s="160"/>
      <c r="L3565" s="160">
        <f>+'FACP$'!$H3565-'FACP$'!$I3565-'FACP$'!$K3565</f>
        <v>119602.7976</v>
      </c>
      <c r="M3565" s="162" t="s">
        <v>278</v>
      </c>
      <c r="N3565" s="162" t="s">
        <v>554</v>
      </c>
      <c r="O3565" s="164">
        <v>44915.0</v>
      </c>
      <c r="P3565" s="164">
        <f t="array" ref="P3565">XLOOKUP('FACP$'!$B3565,'perfil de pagos'!A:A,'perfil de pagos'!B:B)+'FACP$'!$D3565</f>
        <v>44907</v>
      </c>
      <c r="Q3565" s="165">
        <f t="shared" si="2"/>
        <v>0</v>
      </c>
      <c r="R3565" s="220"/>
      <c r="S3565" s="167">
        <v>1838.0</v>
      </c>
      <c r="T3565" s="168">
        <f t="shared" si="3"/>
        <v>119602.7976</v>
      </c>
      <c r="U3565" s="168">
        <f t="shared" si="4"/>
        <v>0</v>
      </c>
      <c r="V3565" s="168">
        <f t="shared" si="5"/>
        <v>0</v>
      </c>
      <c r="W3565" s="168">
        <f t="shared" si="6"/>
        <v>0</v>
      </c>
      <c r="X3565" s="168">
        <f t="shared" si="7"/>
        <v>0</v>
      </c>
      <c r="Y3565" s="168">
        <f t="shared" si="8"/>
        <v>0</v>
      </c>
      <c r="Z3565" s="168">
        <f t="shared" si="9"/>
        <v>0</v>
      </c>
    </row>
    <row r="3566" ht="15.0" customHeight="1">
      <c r="A3566" s="157" t="s">
        <v>4451</v>
      </c>
      <c r="B3566" s="158" t="s">
        <v>41</v>
      </c>
      <c r="C3566" s="158" t="s">
        <v>4448</v>
      </c>
      <c r="D3566" s="159">
        <v>44897.0</v>
      </c>
      <c r="E3566" s="157" t="s">
        <v>731</v>
      </c>
      <c r="F3566" s="160">
        <v>1232408.12</v>
      </c>
      <c r="G3566" s="160">
        <f>'FACP$'!$F3566*0.16</f>
        <v>197185.2992</v>
      </c>
      <c r="H3566" s="160">
        <f t="shared" si="118"/>
        <v>1429593.419</v>
      </c>
      <c r="I3566" s="160"/>
      <c r="J3566" s="161"/>
      <c r="K3566" s="160"/>
      <c r="L3566" s="160">
        <f>+'FACP$'!$H3566-'FACP$'!$I3566-'FACP$'!$K3566</f>
        <v>1429593.419</v>
      </c>
      <c r="M3566" s="162" t="s">
        <v>121</v>
      </c>
      <c r="N3566" s="162" t="s">
        <v>554</v>
      </c>
      <c r="O3566" s="164">
        <v>44945.0</v>
      </c>
      <c r="P3566" s="164">
        <f t="array" ref="P3566">XLOOKUP('FACP$'!$B3566,'perfil de pagos'!A:A,'perfil de pagos'!B:B)+'FACP$'!$D3566</f>
        <v>44907</v>
      </c>
      <c r="Q3566" s="165">
        <f t="shared" si="2"/>
        <v>0</v>
      </c>
      <c r="R3566" s="167"/>
      <c r="S3566" s="167"/>
      <c r="T3566" s="168">
        <f t="shared" si="3"/>
        <v>1429593.419</v>
      </c>
      <c r="U3566" s="168">
        <f t="shared" si="4"/>
        <v>0</v>
      </c>
      <c r="V3566" s="168">
        <f t="shared" si="5"/>
        <v>0</v>
      </c>
      <c r="W3566" s="168">
        <f t="shared" si="6"/>
        <v>0</v>
      </c>
      <c r="X3566" s="168">
        <f t="shared" si="7"/>
        <v>0</v>
      </c>
      <c r="Y3566" s="168">
        <f t="shared" si="8"/>
        <v>0</v>
      </c>
      <c r="Z3566" s="168">
        <f t="shared" si="9"/>
        <v>0</v>
      </c>
    </row>
    <row r="3567" ht="15.0" customHeight="1">
      <c r="A3567" s="157" t="s">
        <v>4452</v>
      </c>
      <c r="B3567" s="158" t="s">
        <v>42</v>
      </c>
      <c r="C3567" s="158" t="s">
        <v>4448</v>
      </c>
      <c r="D3567" s="159">
        <v>44897.0</v>
      </c>
      <c r="E3567" s="157" t="s">
        <v>731</v>
      </c>
      <c r="F3567" s="160">
        <v>273560.56</v>
      </c>
      <c r="G3567" s="160">
        <f>'FACP$'!$F3567*0.16</f>
        <v>43769.6896</v>
      </c>
      <c r="H3567" s="160">
        <f t="shared" si="118"/>
        <v>317330.2496</v>
      </c>
      <c r="I3567" s="160"/>
      <c r="J3567" s="161"/>
      <c r="K3567" s="160"/>
      <c r="L3567" s="160">
        <f>+'FACP$'!$H3567-'FACP$'!$I3567-'FACP$'!$K3567</f>
        <v>317330.2496</v>
      </c>
      <c r="M3567" s="162" t="s">
        <v>42</v>
      </c>
      <c r="N3567" s="162" t="s">
        <v>554</v>
      </c>
      <c r="O3567" s="164">
        <v>44909.0</v>
      </c>
      <c r="P3567" s="164">
        <f t="array" ref="P3567">XLOOKUP('FACP$'!$B3567,'perfil de pagos'!A:A,'perfil de pagos'!B:B)+'FACP$'!$D3567</f>
        <v>44907</v>
      </c>
      <c r="Q3567" s="165">
        <f t="shared" si="2"/>
        <v>0</v>
      </c>
      <c r="R3567" s="167"/>
      <c r="S3567" s="167">
        <v>1816.0</v>
      </c>
      <c r="T3567" s="168">
        <f t="shared" si="3"/>
        <v>317330.2496</v>
      </c>
      <c r="U3567" s="168">
        <f t="shared" si="4"/>
        <v>0</v>
      </c>
      <c r="V3567" s="168">
        <f t="shared" si="5"/>
        <v>0</v>
      </c>
      <c r="W3567" s="168">
        <f t="shared" si="6"/>
        <v>0</v>
      </c>
      <c r="X3567" s="168">
        <f t="shared" si="7"/>
        <v>0</v>
      </c>
      <c r="Y3567" s="168">
        <f t="shared" si="8"/>
        <v>0</v>
      </c>
      <c r="Z3567" s="168">
        <f t="shared" si="9"/>
        <v>0</v>
      </c>
    </row>
    <row r="3568" ht="15.0" customHeight="1">
      <c r="A3568" s="157" t="s">
        <v>4453</v>
      </c>
      <c r="B3568" s="158" t="s">
        <v>43</v>
      </c>
      <c r="C3568" s="158" t="s">
        <v>4448</v>
      </c>
      <c r="D3568" s="159">
        <v>44897.0</v>
      </c>
      <c r="E3568" s="157" t="s">
        <v>731</v>
      </c>
      <c r="F3568" s="160">
        <f>1858615.11-'NCP$'!F210</f>
        <v>1854126.93</v>
      </c>
      <c r="G3568" s="160">
        <f>'FACP$'!$F3568*0.16</f>
        <v>296660.3088</v>
      </c>
      <c r="H3568" s="160">
        <f t="shared" si="118"/>
        <v>2150787.239</v>
      </c>
      <c r="I3568" s="160"/>
      <c r="J3568" s="161"/>
      <c r="K3568" s="160"/>
      <c r="L3568" s="160">
        <f>+'FACP$'!$H3568-'FACP$'!$I3568-'FACP$'!$K3568</f>
        <v>2150787.239</v>
      </c>
      <c r="M3568" s="162" t="s">
        <v>43</v>
      </c>
      <c r="N3568" s="162" t="s">
        <v>554</v>
      </c>
      <c r="O3568" s="164">
        <v>44911.0</v>
      </c>
      <c r="P3568" s="164">
        <f t="array" ref="P3568">XLOOKUP('FACP$'!$B3568,'perfil de pagos'!A:A,'perfil de pagos'!B:B)+'FACP$'!$D3568</f>
        <v>44922</v>
      </c>
      <c r="Q3568" s="165">
        <f t="shared" si="2"/>
        <v>0</v>
      </c>
      <c r="R3568" s="220" t="s">
        <v>4454</v>
      </c>
      <c r="S3568" s="167"/>
      <c r="T3568" s="168">
        <f t="shared" si="3"/>
        <v>2150787.239</v>
      </c>
      <c r="U3568" s="168">
        <f t="shared" si="4"/>
        <v>0</v>
      </c>
      <c r="V3568" s="168">
        <f t="shared" si="5"/>
        <v>0</v>
      </c>
      <c r="W3568" s="168">
        <f t="shared" si="6"/>
        <v>0</v>
      </c>
      <c r="X3568" s="168">
        <f t="shared" si="7"/>
        <v>0</v>
      </c>
      <c r="Y3568" s="168">
        <f t="shared" si="8"/>
        <v>0</v>
      </c>
      <c r="Z3568" s="168">
        <f t="shared" si="9"/>
        <v>0</v>
      </c>
    </row>
    <row r="3569" ht="15.0" customHeight="1">
      <c r="A3569" s="157" t="s">
        <v>4455</v>
      </c>
      <c r="B3569" s="158" t="s">
        <v>33</v>
      </c>
      <c r="C3569" s="158" t="s">
        <v>3810</v>
      </c>
      <c r="D3569" s="159">
        <v>44900.0</v>
      </c>
      <c r="E3569" s="157" t="s">
        <v>731</v>
      </c>
      <c r="F3569" s="160">
        <v>10476.99</v>
      </c>
      <c r="G3569" s="160">
        <v>1676.32</v>
      </c>
      <c r="H3569" s="160">
        <f t="shared" si="118"/>
        <v>12153.31</v>
      </c>
      <c r="I3569" s="160"/>
      <c r="J3569" s="161"/>
      <c r="K3569" s="160"/>
      <c r="L3569" s="160">
        <f>+'FACP$'!$H3569-'FACP$'!$I3569-'FACP$'!$K3569</f>
        <v>12153.31</v>
      </c>
      <c r="M3569" s="162" t="s">
        <v>958</v>
      </c>
      <c r="N3569" s="162" t="s">
        <v>554</v>
      </c>
      <c r="O3569" s="164">
        <v>44904.0</v>
      </c>
      <c r="P3569" s="164">
        <f t="array" ref="P3569">XLOOKUP('FACP$'!$B3569,'perfil de pagos'!A:A,'perfil de pagos'!B:B)+'FACP$'!$D3569</f>
        <v>44910</v>
      </c>
      <c r="Q3569" s="165">
        <f t="shared" si="2"/>
        <v>0</v>
      </c>
      <c r="R3569" s="220" t="s">
        <v>3811</v>
      </c>
      <c r="S3569" s="167">
        <v>1790.0</v>
      </c>
      <c r="T3569" s="168">
        <f t="shared" si="3"/>
        <v>12153.31</v>
      </c>
      <c r="U3569" s="168">
        <f t="shared" si="4"/>
        <v>0</v>
      </c>
      <c r="V3569" s="168">
        <f t="shared" si="5"/>
        <v>0</v>
      </c>
      <c r="W3569" s="168">
        <f t="shared" si="6"/>
        <v>0</v>
      </c>
      <c r="X3569" s="168">
        <f t="shared" si="7"/>
        <v>0</v>
      </c>
      <c r="Y3569" s="168">
        <f t="shared" si="8"/>
        <v>0</v>
      </c>
      <c r="Z3569" s="168">
        <f t="shared" si="9"/>
        <v>0</v>
      </c>
    </row>
    <row r="3570" ht="15.0" customHeight="1">
      <c r="A3570" s="157" t="s">
        <v>4456</v>
      </c>
      <c r="B3570" s="158" t="s">
        <v>27</v>
      </c>
      <c r="C3570" s="158" t="s">
        <v>4434</v>
      </c>
      <c r="D3570" s="159">
        <v>44901.0</v>
      </c>
      <c r="E3570" s="157" t="s">
        <v>731</v>
      </c>
      <c r="F3570" s="160">
        <v>2519.34</v>
      </c>
      <c r="G3570" s="160">
        <f>'FACP$'!$F3570*0.16</f>
        <v>403.0944</v>
      </c>
      <c r="H3570" s="160">
        <f t="shared" si="118"/>
        <v>2922.4344</v>
      </c>
      <c r="I3570" s="160"/>
      <c r="J3570" s="161"/>
      <c r="K3570" s="160"/>
      <c r="L3570" s="160">
        <f>+'FACP$'!$H3570-'FACP$'!$I3570-'FACP$'!$K3570</f>
        <v>2922.4344</v>
      </c>
      <c r="M3570" s="162" t="s">
        <v>158</v>
      </c>
      <c r="N3570" s="162" t="s">
        <v>554</v>
      </c>
      <c r="O3570" s="164">
        <v>44923.0</v>
      </c>
      <c r="P3570" s="164">
        <f t="array" ref="P3570">XLOOKUP('FACP$'!$B3570,'perfil de pagos'!A:A,'perfil de pagos'!B:B)+'FACP$'!$D3570</f>
        <v>44931</v>
      </c>
      <c r="Q3570" s="165">
        <f t="shared" si="2"/>
        <v>0</v>
      </c>
      <c r="R3570" s="167"/>
      <c r="S3570" s="167">
        <v>1855.0</v>
      </c>
      <c r="T3570" s="168">
        <f t="shared" si="3"/>
        <v>2922.4344</v>
      </c>
      <c r="U3570" s="168">
        <f t="shared" si="4"/>
        <v>0</v>
      </c>
      <c r="V3570" s="168">
        <f t="shared" si="5"/>
        <v>0</v>
      </c>
      <c r="W3570" s="168">
        <f t="shared" si="6"/>
        <v>0</v>
      </c>
      <c r="X3570" s="168">
        <f t="shared" si="7"/>
        <v>0</v>
      </c>
      <c r="Y3570" s="168">
        <f t="shared" si="8"/>
        <v>0</v>
      </c>
      <c r="Z3570" s="168">
        <f t="shared" si="9"/>
        <v>0</v>
      </c>
    </row>
    <row r="3571" ht="15.0" customHeight="1">
      <c r="A3571" s="157" t="s">
        <v>4457</v>
      </c>
      <c r="B3571" s="158" t="s">
        <v>27</v>
      </c>
      <c r="C3571" s="158" t="s">
        <v>4458</v>
      </c>
      <c r="D3571" s="159">
        <v>44901.0</v>
      </c>
      <c r="E3571" s="157" t="s">
        <v>731</v>
      </c>
      <c r="F3571" s="160">
        <v>1438.86</v>
      </c>
      <c r="G3571" s="160">
        <f>'FACP$'!$F3571*0.16</f>
        <v>230.2176</v>
      </c>
      <c r="H3571" s="160">
        <f t="shared" si="118"/>
        <v>1669.0776</v>
      </c>
      <c r="I3571" s="160"/>
      <c r="J3571" s="161"/>
      <c r="K3571" s="160"/>
      <c r="L3571" s="160">
        <f>+'FACP$'!$H3571-'FACP$'!$I3571-'FACP$'!$K3571</f>
        <v>1669.0776</v>
      </c>
      <c r="M3571" s="162" t="s">
        <v>158</v>
      </c>
      <c r="N3571" s="162" t="s">
        <v>554</v>
      </c>
      <c r="O3571" s="164">
        <v>44923.0</v>
      </c>
      <c r="P3571" s="164">
        <f t="array" ref="P3571">XLOOKUP('FACP$'!$B3571,'perfil de pagos'!A:A,'perfil de pagos'!B:B)+'FACP$'!$D3571</f>
        <v>44931</v>
      </c>
      <c r="Q3571" s="165">
        <f t="shared" si="2"/>
        <v>0</v>
      </c>
      <c r="R3571" s="167"/>
      <c r="S3571" s="167">
        <v>1855.0</v>
      </c>
      <c r="T3571" s="168">
        <f t="shared" si="3"/>
        <v>1669.0776</v>
      </c>
      <c r="U3571" s="168">
        <f t="shared" si="4"/>
        <v>0</v>
      </c>
      <c r="V3571" s="168">
        <f t="shared" si="5"/>
        <v>0</v>
      </c>
      <c r="W3571" s="168">
        <f t="shared" si="6"/>
        <v>0</v>
      </c>
      <c r="X3571" s="168">
        <f t="shared" si="7"/>
        <v>0</v>
      </c>
      <c r="Y3571" s="168">
        <f t="shared" si="8"/>
        <v>0</v>
      </c>
      <c r="Z3571" s="168">
        <f t="shared" si="9"/>
        <v>0</v>
      </c>
    </row>
    <row r="3572" ht="15.0" customHeight="1">
      <c r="A3572" s="157" t="s">
        <v>4459</v>
      </c>
      <c r="B3572" s="158" t="s">
        <v>27</v>
      </c>
      <c r="C3572" s="158" t="s">
        <v>4434</v>
      </c>
      <c r="D3572" s="159">
        <v>44901.0</v>
      </c>
      <c r="E3572" s="157" t="s">
        <v>731</v>
      </c>
      <c r="F3572" s="160">
        <v>86692.48</v>
      </c>
      <c r="G3572" s="160">
        <f>'FACP$'!$F3572*0.16</f>
        <v>13870.7968</v>
      </c>
      <c r="H3572" s="160">
        <f t="shared" si="118"/>
        <v>100563.2768</v>
      </c>
      <c r="I3572" s="160"/>
      <c r="J3572" s="161"/>
      <c r="K3572" s="160"/>
      <c r="L3572" s="160">
        <f>+'FACP$'!$H3572-'FACP$'!$I3572-'FACP$'!$K3572</f>
        <v>100563.2768</v>
      </c>
      <c r="M3572" s="162" t="s">
        <v>151</v>
      </c>
      <c r="N3572" s="162" t="s">
        <v>554</v>
      </c>
      <c r="O3572" s="164">
        <v>44923.0</v>
      </c>
      <c r="P3572" s="164">
        <f t="array" ref="P3572">XLOOKUP('FACP$'!$B3572,'perfil de pagos'!A:A,'perfil de pagos'!B:B)+'FACP$'!$D3572</f>
        <v>44931</v>
      </c>
      <c r="Q3572" s="165">
        <f t="shared" si="2"/>
        <v>0</v>
      </c>
      <c r="R3572" s="167"/>
      <c r="S3572" s="167">
        <v>1854.0</v>
      </c>
      <c r="T3572" s="168">
        <f t="shared" si="3"/>
        <v>100563.2768</v>
      </c>
      <c r="U3572" s="168">
        <f t="shared" si="4"/>
        <v>0</v>
      </c>
      <c r="V3572" s="168">
        <f t="shared" si="5"/>
        <v>0</v>
      </c>
      <c r="W3572" s="168">
        <f t="shared" si="6"/>
        <v>0</v>
      </c>
      <c r="X3572" s="168">
        <f t="shared" si="7"/>
        <v>0</v>
      </c>
      <c r="Y3572" s="168">
        <f t="shared" si="8"/>
        <v>0</v>
      </c>
      <c r="Z3572" s="168">
        <f t="shared" si="9"/>
        <v>0</v>
      </c>
    </row>
    <row r="3573" ht="15.0" customHeight="1">
      <c r="A3573" s="157" t="s">
        <v>4460</v>
      </c>
      <c r="B3573" s="158" t="s">
        <v>27</v>
      </c>
      <c r="C3573" s="158" t="s">
        <v>4458</v>
      </c>
      <c r="D3573" s="159">
        <v>44901.0</v>
      </c>
      <c r="E3573" s="157" t="s">
        <v>731</v>
      </c>
      <c r="F3573" s="160">
        <v>41603.58</v>
      </c>
      <c r="G3573" s="160">
        <f>'FACP$'!$F3573*0.16</f>
        <v>6656.5728</v>
      </c>
      <c r="H3573" s="160">
        <f t="shared" si="118"/>
        <v>48260.1528</v>
      </c>
      <c r="I3573" s="160"/>
      <c r="J3573" s="161"/>
      <c r="K3573" s="160"/>
      <c r="L3573" s="160">
        <f>+'FACP$'!$H3573-'FACP$'!$I3573-'FACP$'!$K3573</f>
        <v>48260.1528</v>
      </c>
      <c r="M3573" s="162" t="s">
        <v>151</v>
      </c>
      <c r="N3573" s="162" t="s">
        <v>554</v>
      </c>
      <c r="O3573" s="164">
        <v>44923.0</v>
      </c>
      <c r="P3573" s="164">
        <f t="array" ref="P3573">XLOOKUP('FACP$'!$B3573,'perfil de pagos'!A:A,'perfil de pagos'!B:B)+'FACP$'!$D3573</f>
        <v>44931</v>
      </c>
      <c r="Q3573" s="165">
        <f t="shared" si="2"/>
        <v>0</v>
      </c>
      <c r="R3573" s="167"/>
      <c r="S3573" s="167">
        <v>1854.0</v>
      </c>
      <c r="T3573" s="168">
        <f t="shared" si="3"/>
        <v>48260.1528</v>
      </c>
      <c r="U3573" s="168">
        <f t="shared" si="4"/>
        <v>0</v>
      </c>
      <c r="V3573" s="168">
        <f t="shared" si="5"/>
        <v>0</v>
      </c>
      <c r="W3573" s="168">
        <f t="shared" si="6"/>
        <v>0</v>
      </c>
      <c r="X3573" s="168">
        <f t="shared" si="7"/>
        <v>0</v>
      </c>
      <c r="Y3573" s="168">
        <f t="shared" si="8"/>
        <v>0</v>
      </c>
      <c r="Z3573" s="168">
        <f t="shared" si="9"/>
        <v>0</v>
      </c>
    </row>
    <row r="3574" ht="15.0" customHeight="1">
      <c r="A3574" s="157" t="s">
        <v>4461</v>
      </c>
      <c r="B3574" s="158" t="s">
        <v>27</v>
      </c>
      <c r="C3574" s="158" t="s">
        <v>4462</v>
      </c>
      <c r="D3574" s="159">
        <v>44901.0</v>
      </c>
      <c r="E3574" s="157" t="s">
        <v>731</v>
      </c>
      <c r="F3574" s="160">
        <v>2871.0</v>
      </c>
      <c r="G3574" s="160">
        <f>'FACP$'!$F3574*0.16</f>
        <v>459.36</v>
      </c>
      <c r="H3574" s="160">
        <f t="shared" si="118"/>
        <v>3330.36</v>
      </c>
      <c r="I3574" s="160"/>
      <c r="J3574" s="161"/>
      <c r="K3574" s="160"/>
      <c r="L3574" s="160">
        <f>+'FACP$'!$H3574-'FACP$'!$I3574-'FACP$'!$K3574</f>
        <v>3330.36</v>
      </c>
      <c r="M3574" s="162" t="s">
        <v>151</v>
      </c>
      <c r="N3574" s="162" t="s">
        <v>554</v>
      </c>
      <c r="O3574" s="164">
        <v>44923.0</v>
      </c>
      <c r="P3574" s="164">
        <f t="array" ref="P3574">XLOOKUP('FACP$'!$B3574,'perfil de pagos'!A:A,'perfil de pagos'!B:B)+'FACP$'!$D3574</f>
        <v>44931</v>
      </c>
      <c r="Q3574" s="165">
        <f t="shared" si="2"/>
        <v>0</v>
      </c>
      <c r="R3574" s="167"/>
      <c r="S3574" s="167">
        <v>1854.0</v>
      </c>
      <c r="T3574" s="168">
        <f t="shared" si="3"/>
        <v>3330.36</v>
      </c>
      <c r="U3574" s="168">
        <f t="shared" si="4"/>
        <v>0</v>
      </c>
      <c r="V3574" s="168">
        <f t="shared" si="5"/>
        <v>0</v>
      </c>
      <c r="W3574" s="168">
        <f t="shared" si="6"/>
        <v>0</v>
      </c>
      <c r="X3574" s="168">
        <f t="shared" si="7"/>
        <v>0</v>
      </c>
      <c r="Y3574" s="168">
        <f t="shared" si="8"/>
        <v>0</v>
      </c>
      <c r="Z3574" s="168">
        <f t="shared" si="9"/>
        <v>0</v>
      </c>
    </row>
    <row r="3575" ht="15.0" customHeight="1">
      <c r="A3575" s="157" t="s">
        <v>4463</v>
      </c>
      <c r="B3575" s="158" t="s">
        <v>27</v>
      </c>
      <c r="C3575" s="158" t="s">
        <v>4464</v>
      </c>
      <c r="D3575" s="159">
        <v>44901.0</v>
      </c>
      <c r="E3575" s="157" t="s">
        <v>731</v>
      </c>
      <c r="F3575" s="160">
        <v>1419.86</v>
      </c>
      <c r="G3575" s="160">
        <f>'FACP$'!$F3575*0.16</f>
        <v>227.1776</v>
      </c>
      <c r="H3575" s="160">
        <f t="shared" si="118"/>
        <v>1647.0376</v>
      </c>
      <c r="I3575" s="160"/>
      <c r="J3575" s="161"/>
      <c r="K3575" s="160"/>
      <c r="L3575" s="160">
        <f>+'FACP$'!$H3575-'FACP$'!$I3575-'FACP$'!$K3575</f>
        <v>1647.0376</v>
      </c>
      <c r="M3575" s="162" t="s">
        <v>151</v>
      </c>
      <c r="N3575" s="162" t="s">
        <v>554</v>
      </c>
      <c r="O3575" s="164">
        <v>44923.0</v>
      </c>
      <c r="P3575" s="164">
        <f t="array" ref="P3575">XLOOKUP('FACP$'!$B3575,'perfil de pagos'!A:A,'perfil de pagos'!B:B)+'FACP$'!$D3575</f>
        <v>44931</v>
      </c>
      <c r="Q3575" s="165">
        <f t="shared" si="2"/>
        <v>0</v>
      </c>
      <c r="R3575" s="167"/>
      <c r="S3575" s="167">
        <v>1854.0</v>
      </c>
      <c r="T3575" s="168">
        <f t="shared" si="3"/>
        <v>1647.0376</v>
      </c>
      <c r="U3575" s="168">
        <f t="shared" si="4"/>
        <v>0</v>
      </c>
      <c r="V3575" s="168">
        <f t="shared" si="5"/>
        <v>0</v>
      </c>
      <c r="W3575" s="168">
        <f t="shared" si="6"/>
        <v>0</v>
      </c>
      <c r="X3575" s="168">
        <f t="shared" si="7"/>
        <v>0</v>
      </c>
      <c r="Y3575" s="168">
        <f t="shared" si="8"/>
        <v>0</v>
      </c>
      <c r="Z3575" s="168">
        <f t="shared" si="9"/>
        <v>0</v>
      </c>
    </row>
    <row r="3576" ht="15.0" customHeight="1">
      <c r="A3576" s="157" t="s">
        <v>4465</v>
      </c>
      <c r="B3576" s="158" t="s">
        <v>44</v>
      </c>
      <c r="C3576" s="158" t="s">
        <v>4448</v>
      </c>
      <c r="D3576" s="159">
        <v>44902.0</v>
      </c>
      <c r="E3576" s="157" t="s">
        <v>731</v>
      </c>
      <c r="F3576" s="160">
        <v>383070.16</v>
      </c>
      <c r="G3576" s="160">
        <f>'FACP$'!$F3576*0.16</f>
        <v>61291.2256</v>
      </c>
      <c r="H3576" s="160">
        <f t="shared" si="118"/>
        <v>444361.3856</v>
      </c>
      <c r="I3576" s="160"/>
      <c r="J3576" s="161"/>
      <c r="K3576" s="160"/>
      <c r="L3576" s="160">
        <f>+'FACP$'!$H3576-'FACP$'!$I3576-'FACP$'!$K3576</f>
        <v>444361.3856</v>
      </c>
      <c r="M3576" s="162" t="s">
        <v>361</v>
      </c>
      <c r="N3576" s="162" t="s">
        <v>554</v>
      </c>
      <c r="O3576" s="164">
        <v>44910.0</v>
      </c>
      <c r="P3576" s="164">
        <f t="array" ref="P3576">XLOOKUP('FACP$'!$B3576,'perfil de pagos'!A:A,'perfil de pagos'!B:B)+'FACP$'!$D3576</f>
        <v>44912</v>
      </c>
      <c r="Q3576" s="165">
        <f t="shared" si="2"/>
        <v>0</v>
      </c>
      <c r="R3576" s="167"/>
      <c r="S3576" s="167">
        <v>1822.0</v>
      </c>
      <c r="T3576" s="168">
        <f t="shared" si="3"/>
        <v>444361.3856</v>
      </c>
      <c r="U3576" s="168">
        <f t="shared" si="4"/>
        <v>0</v>
      </c>
      <c r="V3576" s="168">
        <f t="shared" si="5"/>
        <v>0</v>
      </c>
      <c r="W3576" s="168">
        <f t="shared" si="6"/>
        <v>0</v>
      </c>
      <c r="X3576" s="168">
        <f t="shared" si="7"/>
        <v>0</v>
      </c>
      <c r="Y3576" s="168">
        <f t="shared" si="8"/>
        <v>0</v>
      </c>
      <c r="Z3576" s="168">
        <f t="shared" si="9"/>
        <v>0</v>
      </c>
    </row>
    <row r="3577" ht="15.0" customHeight="1">
      <c r="A3577" s="157" t="s">
        <v>4466</v>
      </c>
      <c r="B3577" s="158" t="s">
        <v>16</v>
      </c>
      <c r="C3577" s="158" t="s">
        <v>4467</v>
      </c>
      <c r="D3577" s="159">
        <v>44903.0</v>
      </c>
      <c r="E3577" s="157" t="s">
        <v>731</v>
      </c>
      <c r="F3577" s="160">
        <v>514701.1</v>
      </c>
      <c r="G3577" s="160">
        <f>'FACP$'!$F3577*0.16</f>
        <v>82352.176</v>
      </c>
      <c r="H3577" s="160">
        <f t="shared" si="118"/>
        <v>597053.276</v>
      </c>
      <c r="I3577" s="160"/>
      <c r="J3577" s="161"/>
      <c r="K3577" s="160"/>
      <c r="L3577" s="160">
        <f>+'FACP$'!$H3577-'FACP$'!$I3577-'FACP$'!$K3577</f>
        <v>597053.276</v>
      </c>
      <c r="M3577" s="162" t="s">
        <v>985</v>
      </c>
      <c r="N3577" s="162" t="s">
        <v>554</v>
      </c>
      <c r="O3577" s="164">
        <v>44911.0</v>
      </c>
      <c r="P3577" s="164">
        <f t="array" ref="P3577">XLOOKUP('FACP$'!$B3577,'perfil de pagos'!A:A,'perfil de pagos'!B:B)+'FACP$'!$D3577</f>
        <v>44913</v>
      </c>
      <c r="Q3577" s="165">
        <f t="shared" si="2"/>
        <v>0</v>
      </c>
      <c r="R3577" s="167"/>
      <c r="S3577" s="167">
        <v>1829.0</v>
      </c>
      <c r="T3577" s="168">
        <f t="shared" si="3"/>
        <v>597053.276</v>
      </c>
      <c r="U3577" s="168">
        <f t="shared" si="4"/>
        <v>0</v>
      </c>
      <c r="V3577" s="168">
        <f t="shared" si="5"/>
        <v>0</v>
      </c>
      <c r="W3577" s="168">
        <f t="shared" si="6"/>
        <v>0</v>
      </c>
      <c r="X3577" s="168">
        <f t="shared" si="7"/>
        <v>0</v>
      </c>
      <c r="Y3577" s="168">
        <f t="shared" si="8"/>
        <v>0</v>
      </c>
      <c r="Z3577" s="168">
        <f t="shared" si="9"/>
        <v>0</v>
      </c>
    </row>
    <row r="3578" ht="15.0" customHeight="1">
      <c r="A3578" s="157" t="s">
        <v>4468</v>
      </c>
      <c r="B3578" s="158" t="s">
        <v>16</v>
      </c>
      <c r="C3578" s="158" t="s">
        <v>4469</v>
      </c>
      <c r="D3578" s="159">
        <v>44903.0</v>
      </c>
      <c r="E3578" s="157" t="s">
        <v>731</v>
      </c>
      <c r="F3578" s="160">
        <v>426328.83</v>
      </c>
      <c r="G3578" s="160">
        <f>'FACP$'!$F3578*0.16</f>
        <v>68212.6128</v>
      </c>
      <c r="H3578" s="160">
        <f t="shared" si="118"/>
        <v>494541.4428</v>
      </c>
      <c r="I3578" s="160"/>
      <c r="J3578" s="161"/>
      <c r="K3578" s="160"/>
      <c r="L3578" s="160">
        <f>+'FACP$'!$H3578-'FACP$'!$I3578-'FACP$'!$K3578</f>
        <v>494541.4428</v>
      </c>
      <c r="M3578" s="162" t="s">
        <v>985</v>
      </c>
      <c r="N3578" s="162" t="s">
        <v>554</v>
      </c>
      <c r="O3578" s="164">
        <v>44911.0</v>
      </c>
      <c r="P3578" s="164">
        <f t="array" ref="P3578">XLOOKUP('FACP$'!$B3578,'perfil de pagos'!A:A,'perfil de pagos'!B:B)+'FACP$'!$D3578</f>
        <v>44913</v>
      </c>
      <c r="Q3578" s="165">
        <f t="shared" si="2"/>
        <v>0</v>
      </c>
      <c r="R3578" s="167"/>
      <c r="S3578" s="167">
        <v>1829.0</v>
      </c>
      <c r="T3578" s="168">
        <f t="shared" si="3"/>
        <v>494541.4428</v>
      </c>
      <c r="U3578" s="168">
        <f t="shared" si="4"/>
        <v>0</v>
      </c>
      <c r="V3578" s="168">
        <f t="shared" si="5"/>
        <v>0</v>
      </c>
      <c r="W3578" s="168">
        <f t="shared" si="6"/>
        <v>0</v>
      </c>
      <c r="X3578" s="168">
        <f t="shared" si="7"/>
        <v>0</v>
      </c>
      <c r="Y3578" s="168">
        <f t="shared" si="8"/>
        <v>0</v>
      </c>
      <c r="Z3578" s="168">
        <f t="shared" si="9"/>
        <v>0</v>
      </c>
    </row>
    <row r="3579" ht="15.0" customHeight="1">
      <c r="A3579" s="157" t="s">
        <v>4470</v>
      </c>
      <c r="B3579" s="158" t="s">
        <v>18</v>
      </c>
      <c r="C3579" s="158" t="s">
        <v>4467</v>
      </c>
      <c r="D3579" s="159">
        <v>44903.0</v>
      </c>
      <c r="E3579" s="157" t="s">
        <v>731</v>
      </c>
      <c r="F3579" s="160">
        <v>143225.77</v>
      </c>
      <c r="G3579" s="160">
        <f>'FACP$'!$F3579*0.16</f>
        <v>22916.1232</v>
      </c>
      <c r="H3579" s="160">
        <f t="shared" si="118"/>
        <v>166141.8932</v>
      </c>
      <c r="I3579" s="160"/>
      <c r="J3579" s="161"/>
      <c r="K3579" s="160"/>
      <c r="L3579" s="160">
        <f>+'FACP$'!$H3579-'FACP$'!$I3579-'FACP$'!$K3579</f>
        <v>166141.8932</v>
      </c>
      <c r="M3579" s="162" t="s">
        <v>586</v>
      </c>
      <c r="N3579" s="162" t="s">
        <v>554</v>
      </c>
      <c r="O3579" s="164">
        <v>44922.0</v>
      </c>
      <c r="P3579" s="164">
        <f t="array" ref="P3579">XLOOKUP('FACP$'!$B3579,'perfil de pagos'!A:A,'perfil de pagos'!B:B)+'FACP$'!$D3579</f>
        <v>44913</v>
      </c>
      <c r="Q3579" s="165">
        <f t="shared" si="2"/>
        <v>0</v>
      </c>
      <c r="R3579" s="167"/>
      <c r="S3579" s="167">
        <v>1843.0</v>
      </c>
      <c r="T3579" s="168">
        <f t="shared" si="3"/>
        <v>166141.8932</v>
      </c>
      <c r="U3579" s="168">
        <f t="shared" si="4"/>
        <v>0</v>
      </c>
      <c r="V3579" s="168">
        <f t="shared" si="5"/>
        <v>0</v>
      </c>
      <c r="W3579" s="168">
        <f t="shared" si="6"/>
        <v>0</v>
      </c>
      <c r="X3579" s="168">
        <f t="shared" si="7"/>
        <v>0</v>
      </c>
      <c r="Y3579" s="168">
        <f t="shared" si="8"/>
        <v>0</v>
      </c>
      <c r="Z3579" s="168">
        <f t="shared" si="9"/>
        <v>0</v>
      </c>
    </row>
    <row r="3580" ht="15.0" customHeight="1">
      <c r="A3580" s="157" t="s">
        <v>4471</v>
      </c>
      <c r="B3580" s="158" t="s">
        <v>19</v>
      </c>
      <c r="C3580" s="158" t="s">
        <v>4467</v>
      </c>
      <c r="D3580" s="159">
        <v>44903.0</v>
      </c>
      <c r="E3580" s="157" t="s">
        <v>731</v>
      </c>
      <c r="F3580" s="160">
        <v>262234.08</v>
      </c>
      <c r="G3580" s="160">
        <f>'FACP$'!$F3580*0.16</f>
        <v>41957.4528</v>
      </c>
      <c r="H3580" s="160">
        <f t="shared" si="118"/>
        <v>304191.5328</v>
      </c>
      <c r="I3580" s="160"/>
      <c r="J3580" s="161"/>
      <c r="K3580" s="160"/>
      <c r="L3580" s="160">
        <f>+'FACP$'!$H3580-'FACP$'!$I3580-'FACP$'!$K3580</f>
        <v>304191.5328</v>
      </c>
      <c r="M3580" s="162" t="s">
        <v>732</v>
      </c>
      <c r="N3580" s="162" t="s">
        <v>554</v>
      </c>
      <c r="O3580" s="164">
        <v>44922.0</v>
      </c>
      <c r="P3580" s="164">
        <f t="array" ref="P3580">XLOOKUP('FACP$'!$B3580,'perfil de pagos'!A:A,'perfil de pagos'!B:B)+'FACP$'!$D3580</f>
        <v>44913</v>
      </c>
      <c r="Q3580" s="165">
        <f t="shared" si="2"/>
        <v>0</v>
      </c>
      <c r="R3580" s="167"/>
      <c r="S3580" s="167">
        <v>1843.0</v>
      </c>
      <c r="T3580" s="168">
        <f t="shared" si="3"/>
        <v>304191.5328</v>
      </c>
      <c r="U3580" s="168">
        <f t="shared" si="4"/>
        <v>0</v>
      </c>
      <c r="V3580" s="168">
        <f t="shared" si="5"/>
        <v>0</v>
      </c>
      <c r="W3580" s="168">
        <f t="shared" si="6"/>
        <v>0</v>
      </c>
      <c r="X3580" s="168">
        <f t="shared" si="7"/>
        <v>0</v>
      </c>
      <c r="Y3580" s="168">
        <f t="shared" si="8"/>
        <v>0</v>
      </c>
      <c r="Z3580" s="168">
        <f t="shared" si="9"/>
        <v>0</v>
      </c>
    </row>
    <row r="3581" ht="15.0" customHeight="1">
      <c r="A3581" s="157" t="s">
        <v>4472</v>
      </c>
      <c r="B3581" s="158" t="s">
        <v>22</v>
      </c>
      <c r="C3581" s="158" t="s">
        <v>4467</v>
      </c>
      <c r="D3581" s="159">
        <v>44903.0</v>
      </c>
      <c r="E3581" s="157" t="s">
        <v>731</v>
      </c>
      <c r="F3581" s="160">
        <v>296289.8</v>
      </c>
      <c r="G3581" s="160">
        <f>'FACP$'!$F3581*0.16</f>
        <v>47406.368</v>
      </c>
      <c r="H3581" s="160">
        <f t="shared" si="118"/>
        <v>343696.168</v>
      </c>
      <c r="I3581" s="160"/>
      <c r="J3581" s="161"/>
      <c r="K3581" s="160"/>
      <c r="L3581" s="160">
        <f>+'FACP$'!$H3581-'FACP$'!$I3581-'FACP$'!$K3581</f>
        <v>343696.168</v>
      </c>
      <c r="M3581" s="162" t="s">
        <v>220</v>
      </c>
      <c r="N3581" s="162" t="s">
        <v>554</v>
      </c>
      <c r="O3581" s="164">
        <v>44909.0</v>
      </c>
      <c r="P3581" s="164">
        <f t="array" ref="P3581">XLOOKUP('FACP$'!$B3581,'perfil de pagos'!A:A,'perfil de pagos'!B:B)+'FACP$'!$D3581</f>
        <v>44913</v>
      </c>
      <c r="Q3581" s="165">
        <f t="shared" si="2"/>
        <v>0</v>
      </c>
      <c r="R3581" s="167"/>
      <c r="S3581" s="167">
        <v>1817.0</v>
      </c>
      <c r="T3581" s="168">
        <f t="shared" si="3"/>
        <v>343696.168</v>
      </c>
      <c r="U3581" s="168">
        <f t="shared" si="4"/>
        <v>0</v>
      </c>
      <c r="V3581" s="168">
        <f t="shared" si="5"/>
        <v>0</v>
      </c>
      <c r="W3581" s="168">
        <f t="shared" si="6"/>
        <v>0</v>
      </c>
      <c r="X3581" s="168">
        <f t="shared" si="7"/>
        <v>0</v>
      </c>
      <c r="Y3581" s="168">
        <f t="shared" si="8"/>
        <v>0</v>
      </c>
      <c r="Z3581" s="168">
        <f t="shared" si="9"/>
        <v>0</v>
      </c>
    </row>
    <row r="3582" ht="15.0" customHeight="1">
      <c r="A3582" s="157" t="s">
        <v>4473</v>
      </c>
      <c r="B3582" s="158" t="s">
        <v>25</v>
      </c>
      <c r="C3582" s="158" t="s">
        <v>4467</v>
      </c>
      <c r="D3582" s="159">
        <v>44903.0</v>
      </c>
      <c r="E3582" s="157" t="s">
        <v>731</v>
      </c>
      <c r="F3582" s="160">
        <v>74975.05</v>
      </c>
      <c r="G3582" s="160">
        <f>'FACP$'!$F3582*0.16</f>
        <v>11996.008</v>
      </c>
      <c r="H3582" s="160">
        <f t="shared" si="118"/>
        <v>86971.058</v>
      </c>
      <c r="I3582" s="160"/>
      <c r="J3582" s="161"/>
      <c r="K3582" s="160"/>
      <c r="L3582" s="160">
        <f>+'FACP$'!$H3582-'FACP$'!$I3582-'FACP$'!$K3582</f>
        <v>86971.058</v>
      </c>
      <c r="M3582" s="162" t="s">
        <v>4388</v>
      </c>
      <c r="N3582" s="162" t="s">
        <v>554</v>
      </c>
      <c r="O3582" s="164">
        <v>44914.0</v>
      </c>
      <c r="P3582" s="164">
        <f t="array" ref="P3582">XLOOKUP('FACP$'!$B3582,'perfil de pagos'!A:A,'perfil de pagos'!B:B)+'FACP$'!$D3582</f>
        <v>44913</v>
      </c>
      <c r="Q3582" s="165">
        <f t="shared" si="2"/>
        <v>0</v>
      </c>
      <c r="R3582" s="167"/>
      <c r="S3582" s="167">
        <v>1832.0</v>
      </c>
      <c r="T3582" s="168">
        <f t="shared" si="3"/>
        <v>86971.058</v>
      </c>
      <c r="U3582" s="168">
        <f t="shared" si="4"/>
        <v>0</v>
      </c>
      <c r="V3582" s="168">
        <f t="shared" si="5"/>
        <v>0</v>
      </c>
      <c r="W3582" s="168">
        <f t="shared" si="6"/>
        <v>0</v>
      </c>
      <c r="X3582" s="168">
        <f t="shared" si="7"/>
        <v>0</v>
      </c>
      <c r="Y3582" s="168">
        <f t="shared" si="8"/>
        <v>0</v>
      </c>
      <c r="Z3582" s="168">
        <f t="shared" si="9"/>
        <v>0</v>
      </c>
    </row>
    <row r="3583" ht="15.0" customHeight="1">
      <c r="A3583" s="157" t="s">
        <v>4474</v>
      </c>
      <c r="B3583" s="158" t="s">
        <v>29</v>
      </c>
      <c r="C3583" s="158" t="s">
        <v>4467</v>
      </c>
      <c r="D3583" s="159">
        <v>44903.0</v>
      </c>
      <c r="E3583" s="157" t="s">
        <v>731</v>
      </c>
      <c r="F3583" s="160">
        <v>566826.4</v>
      </c>
      <c r="G3583" s="160">
        <f>'FACP$'!$F3583*0.16</f>
        <v>90692.224</v>
      </c>
      <c r="H3583" s="160">
        <f t="shared" si="118"/>
        <v>657518.624</v>
      </c>
      <c r="I3583" s="160"/>
      <c r="J3583" s="161"/>
      <c r="K3583" s="160"/>
      <c r="L3583" s="160">
        <f>+'FACP$'!$H3583-'FACP$'!$I3583-'FACP$'!$K3583</f>
        <v>657518.624</v>
      </c>
      <c r="M3583" s="162" t="s">
        <v>130</v>
      </c>
      <c r="N3583" s="162" t="s">
        <v>554</v>
      </c>
      <c r="O3583" s="164">
        <v>44914.0</v>
      </c>
      <c r="P3583" s="164">
        <f t="array" ref="P3583">XLOOKUP('FACP$'!$B3583,'perfil de pagos'!A:A,'perfil de pagos'!B:B)+'FACP$'!$D3583</f>
        <v>44913</v>
      </c>
      <c r="Q3583" s="165">
        <f t="shared" si="2"/>
        <v>0</v>
      </c>
      <c r="R3583" s="167"/>
      <c r="S3583" s="167">
        <v>1833.0</v>
      </c>
      <c r="T3583" s="168">
        <f t="shared" si="3"/>
        <v>657518.624</v>
      </c>
      <c r="U3583" s="168">
        <f t="shared" si="4"/>
        <v>0</v>
      </c>
      <c r="V3583" s="168">
        <f t="shared" si="5"/>
        <v>0</v>
      </c>
      <c r="W3583" s="168">
        <f t="shared" si="6"/>
        <v>0</v>
      </c>
      <c r="X3583" s="168">
        <f t="shared" si="7"/>
        <v>0</v>
      </c>
      <c r="Y3583" s="168">
        <f t="shared" si="8"/>
        <v>0</v>
      </c>
      <c r="Z3583" s="168">
        <f t="shared" si="9"/>
        <v>0</v>
      </c>
    </row>
    <row r="3584" ht="15.0" customHeight="1">
      <c r="A3584" s="157" t="s">
        <v>4475</v>
      </c>
      <c r="B3584" s="158" t="s">
        <v>29</v>
      </c>
      <c r="C3584" s="158" t="s">
        <v>4469</v>
      </c>
      <c r="D3584" s="159">
        <v>44903.0</v>
      </c>
      <c r="E3584" s="157" t="s">
        <v>731</v>
      </c>
      <c r="F3584" s="160">
        <v>523830.94</v>
      </c>
      <c r="G3584" s="160">
        <f>'FACP$'!$F3584*0.16</f>
        <v>83812.9504</v>
      </c>
      <c r="H3584" s="160">
        <f t="shared" si="118"/>
        <v>607643.8904</v>
      </c>
      <c r="I3584" s="160"/>
      <c r="J3584" s="161"/>
      <c r="K3584" s="160"/>
      <c r="L3584" s="160">
        <f>+'FACP$'!$H3584-'FACP$'!$I3584-'FACP$'!$K3584</f>
        <v>607643.8904</v>
      </c>
      <c r="M3584" s="162" t="s">
        <v>130</v>
      </c>
      <c r="N3584" s="162" t="s">
        <v>554</v>
      </c>
      <c r="O3584" s="164">
        <v>44916.0</v>
      </c>
      <c r="P3584" s="164">
        <f t="array" ref="P3584">XLOOKUP('FACP$'!$B3584,'perfil de pagos'!A:A,'perfil de pagos'!B:B)+'FACP$'!$D3584</f>
        <v>44913</v>
      </c>
      <c r="Q3584" s="165">
        <f t="shared" si="2"/>
        <v>0</v>
      </c>
      <c r="R3584" s="167"/>
      <c r="S3584" s="167">
        <v>1859.0</v>
      </c>
      <c r="T3584" s="168">
        <f t="shared" si="3"/>
        <v>607643.8904</v>
      </c>
      <c r="U3584" s="168">
        <f t="shared" si="4"/>
        <v>0</v>
      </c>
      <c r="V3584" s="168">
        <f t="shared" si="5"/>
        <v>0</v>
      </c>
      <c r="W3584" s="168">
        <f t="shared" si="6"/>
        <v>0</v>
      </c>
      <c r="X3584" s="168">
        <f t="shared" si="7"/>
        <v>0</v>
      </c>
      <c r="Y3584" s="168">
        <f t="shared" si="8"/>
        <v>0</v>
      </c>
      <c r="Z3584" s="168">
        <f t="shared" si="9"/>
        <v>0</v>
      </c>
    </row>
    <row r="3585" ht="15.0" customHeight="1">
      <c r="A3585" s="157" t="s">
        <v>4476</v>
      </c>
      <c r="B3585" s="158" t="s">
        <v>37</v>
      </c>
      <c r="C3585" s="158" t="s">
        <v>4467</v>
      </c>
      <c r="D3585" s="159">
        <v>44903.0</v>
      </c>
      <c r="E3585" s="157" t="s">
        <v>731</v>
      </c>
      <c r="F3585" s="160">
        <f>2601156.97-'NCP$'!F209</f>
        <v>2258763.51</v>
      </c>
      <c r="G3585" s="160">
        <f>'FACP$'!$F3585*0.16</f>
        <v>361402.1616</v>
      </c>
      <c r="H3585" s="160">
        <f t="shared" si="118"/>
        <v>2620165.672</v>
      </c>
      <c r="I3585" s="160"/>
      <c r="J3585" s="161"/>
      <c r="K3585" s="160"/>
      <c r="L3585" s="160">
        <f>+'FACP$'!$H3585-'FACP$'!$I3585-'FACP$'!$K3585</f>
        <v>2620165.672</v>
      </c>
      <c r="M3585" s="162" t="s">
        <v>116</v>
      </c>
      <c r="N3585" s="162" t="s">
        <v>554</v>
      </c>
      <c r="O3585" s="164">
        <v>44911.0</v>
      </c>
      <c r="P3585" s="164">
        <f t="array" ref="P3585">XLOOKUP('FACP$'!$B3585,'perfil de pagos'!A:A,'perfil de pagos'!B:B)+'FACP$'!$D3585</f>
        <v>44913</v>
      </c>
      <c r="Q3585" s="165">
        <f t="shared" si="2"/>
        <v>0</v>
      </c>
      <c r="R3585" s="167"/>
      <c r="S3585" s="167">
        <v>1830.0</v>
      </c>
      <c r="T3585" s="168">
        <f t="shared" si="3"/>
        <v>2620165.672</v>
      </c>
      <c r="U3585" s="168">
        <f t="shared" si="4"/>
        <v>0</v>
      </c>
      <c r="V3585" s="168">
        <f t="shared" si="5"/>
        <v>0</v>
      </c>
      <c r="W3585" s="168">
        <f t="shared" si="6"/>
        <v>0</v>
      </c>
      <c r="X3585" s="168">
        <f t="shared" si="7"/>
        <v>0</v>
      </c>
      <c r="Y3585" s="168">
        <f t="shared" si="8"/>
        <v>0</v>
      </c>
      <c r="Z3585" s="168">
        <f t="shared" si="9"/>
        <v>0</v>
      </c>
    </row>
    <row r="3586" ht="15.0" customHeight="1">
      <c r="A3586" s="157" t="s">
        <v>4477</v>
      </c>
      <c r="B3586" s="158" t="s">
        <v>38</v>
      </c>
      <c r="C3586" s="158" t="s">
        <v>4467</v>
      </c>
      <c r="D3586" s="159">
        <v>44903.0</v>
      </c>
      <c r="E3586" s="157" t="s">
        <v>731</v>
      </c>
      <c r="F3586" s="160">
        <v>1028544.44</v>
      </c>
      <c r="G3586" s="160">
        <f>'FACP$'!$F3586*0.16</f>
        <v>164567.1104</v>
      </c>
      <c r="H3586" s="160">
        <f t="shared" si="118"/>
        <v>1193111.55</v>
      </c>
      <c r="I3586" s="160"/>
      <c r="J3586" s="161"/>
      <c r="K3586" s="160"/>
      <c r="L3586" s="160">
        <f>+'FACP$'!$H3586-'FACP$'!$I3586-'FACP$'!$K3586</f>
        <v>1193111.55</v>
      </c>
      <c r="M3586" s="162" t="s">
        <v>145</v>
      </c>
      <c r="N3586" s="162" t="s">
        <v>554</v>
      </c>
      <c r="O3586" s="164">
        <v>44939.0</v>
      </c>
      <c r="P3586" s="164">
        <f t="array" ref="P3586">XLOOKUP('FACP$'!$B3586,'perfil de pagos'!A:A,'perfil de pagos'!B:B)+'FACP$'!$D3586</f>
        <v>44933</v>
      </c>
      <c r="Q3586" s="165">
        <f t="shared" si="2"/>
        <v>0</v>
      </c>
      <c r="R3586" s="167"/>
      <c r="S3586" s="167">
        <v>1878.0</v>
      </c>
      <c r="T3586" s="168">
        <f t="shared" si="3"/>
        <v>1193111.55</v>
      </c>
      <c r="U3586" s="168">
        <f t="shared" si="4"/>
        <v>0</v>
      </c>
      <c r="V3586" s="168">
        <f t="shared" si="5"/>
        <v>0</v>
      </c>
      <c r="W3586" s="168">
        <f t="shared" si="6"/>
        <v>0</v>
      </c>
      <c r="X3586" s="168">
        <f t="shared" si="7"/>
        <v>0</v>
      </c>
      <c r="Y3586" s="168">
        <f t="shared" si="8"/>
        <v>0</v>
      </c>
      <c r="Z3586" s="168">
        <f t="shared" si="9"/>
        <v>0</v>
      </c>
    </row>
    <row r="3587" ht="15.0" customHeight="1">
      <c r="A3587" s="157" t="s">
        <v>4478</v>
      </c>
      <c r="B3587" s="158" t="s">
        <v>38</v>
      </c>
      <c r="C3587" s="158" t="s">
        <v>4467</v>
      </c>
      <c r="D3587" s="159">
        <v>44903.0</v>
      </c>
      <c r="E3587" s="157" t="s">
        <v>731</v>
      </c>
      <c r="F3587" s="160">
        <v>140392.73</v>
      </c>
      <c r="G3587" s="160">
        <f>'FACP$'!$F3587*0.16</f>
        <v>22462.8368</v>
      </c>
      <c r="H3587" s="160">
        <f t="shared" si="118"/>
        <v>162855.5668</v>
      </c>
      <c r="I3587" s="160"/>
      <c r="J3587" s="161"/>
      <c r="K3587" s="160"/>
      <c r="L3587" s="160">
        <f>+'FACP$'!$H3587-'FACP$'!$I3587-'FACP$'!$K3587</f>
        <v>162855.5668</v>
      </c>
      <c r="M3587" s="162" t="s">
        <v>642</v>
      </c>
      <c r="N3587" s="162" t="s">
        <v>554</v>
      </c>
      <c r="O3587" s="164">
        <v>44953.0</v>
      </c>
      <c r="P3587" s="164">
        <f t="array" ref="P3587">XLOOKUP('FACP$'!$B3587,'perfil de pagos'!A:A,'perfil de pagos'!B:B)+'FACP$'!$D3587</f>
        <v>44933</v>
      </c>
      <c r="Q3587" s="165">
        <f t="shared" si="2"/>
        <v>0</v>
      </c>
      <c r="R3587" s="167"/>
      <c r="S3587" s="167"/>
      <c r="T3587" s="168">
        <f t="shared" si="3"/>
        <v>162855.5668</v>
      </c>
      <c r="U3587" s="168">
        <f t="shared" si="4"/>
        <v>0</v>
      </c>
      <c r="V3587" s="168">
        <f t="shared" si="5"/>
        <v>0</v>
      </c>
      <c r="W3587" s="168">
        <f t="shared" si="6"/>
        <v>0</v>
      </c>
      <c r="X3587" s="168">
        <f t="shared" si="7"/>
        <v>0</v>
      </c>
      <c r="Y3587" s="168">
        <f t="shared" si="8"/>
        <v>0</v>
      </c>
      <c r="Z3587" s="168">
        <f t="shared" si="9"/>
        <v>0</v>
      </c>
    </row>
    <row r="3588" ht="15.0" customHeight="1">
      <c r="A3588" s="157" t="s">
        <v>4479</v>
      </c>
      <c r="B3588" s="158" t="s">
        <v>31</v>
      </c>
      <c r="C3588" s="158" t="s">
        <v>4480</v>
      </c>
      <c r="D3588" s="159">
        <v>44903.0</v>
      </c>
      <c r="E3588" s="157" t="s">
        <v>731</v>
      </c>
      <c r="F3588" s="160">
        <v>212908.55</v>
      </c>
      <c r="G3588" s="160">
        <f>'FACP$'!$F3588*0.16</f>
        <v>34065.368</v>
      </c>
      <c r="H3588" s="160">
        <f t="shared" si="118"/>
        <v>246973.918</v>
      </c>
      <c r="I3588" s="252"/>
      <c r="J3588" s="253"/>
      <c r="K3588" s="252"/>
      <c r="L3588" s="160">
        <f>+'FACP$'!$H3588-'FACP$'!$I3588-'FACP$'!$K3588</f>
        <v>246973.918</v>
      </c>
      <c r="M3588" s="162" t="s">
        <v>3183</v>
      </c>
      <c r="N3588" s="162" t="s">
        <v>554</v>
      </c>
      <c r="O3588" s="164">
        <v>44953.0</v>
      </c>
      <c r="P3588" s="164">
        <f t="array" ref="P3588">XLOOKUP('FACP$'!$B3588,'perfil de pagos'!A:A,'perfil de pagos'!B:B)+'FACP$'!$D3588</f>
        <v>44906</v>
      </c>
      <c r="Q3588" s="165">
        <f t="shared" si="2"/>
        <v>0</v>
      </c>
      <c r="R3588" s="167"/>
      <c r="S3588" s="167">
        <v>2285.0</v>
      </c>
      <c r="T3588" s="168">
        <f t="shared" si="3"/>
        <v>246973.918</v>
      </c>
      <c r="U3588" s="168">
        <f t="shared" si="4"/>
        <v>0</v>
      </c>
      <c r="V3588" s="168">
        <f t="shared" si="5"/>
        <v>0</v>
      </c>
      <c r="W3588" s="168">
        <f t="shared" si="6"/>
        <v>0</v>
      </c>
      <c r="X3588" s="168">
        <f t="shared" si="7"/>
        <v>0</v>
      </c>
      <c r="Y3588" s="168">
        <f t="shared" si="8"/>
        <v>0</v>
      </c>
      <c r="Z3588" s="168">
        <f t="shared" si="9"/>
        <v>0</v>
      </c>
    </row>
    <row r="3589" ht="15.0" customHeight="1">
      <c r="A3589" s="157" t="s">
        <v>4481</v>
      </c>
      <c r="B3589" s="158" t="s">
        <v>29</v>
      </c>
      <c r="C3589" s="158" t="s">
        <v>4482</v>
      </c>
      <c r="D3589" s="159">
        <v>44903.0</v>
      </c>
      <c r="E3589" s="157" t="s">
        <v>731</v>
      </c>
      <c r="F3589" s="160">
        <v>283896.51</v>
      </c>
      <c r="G3589" s="160">
        <f>'FACP$'!$F3589*0.16</f>
        <v>45423.4416</v>
      </c>
      <c r="H3589" s="160">
        <f t="shared" si="118"/>
        <v>329319.9516</v>
      </c>
      <c r="I3589" s="160"/>
      <c r="J3589" s="161"/>
      <c r="K3589" s="160"/>
      <c r="L3589" s="160">
        <f>+'FACP$'!$H3589-'FACP$'!$I3589-'FACP$'!$K3589</f>
        <v>329319.9516</v>
      </c>
      <c r="M3589" s="162" t="s">
        <v>130</v>
      </c>
      <c r="N3589" s="162" t="s">
        <v>127</v>
      </c>
      <c r="O3589" s="164"/>
      <c r="P3589" s="164">
        <f t="array" ref="P3589">XLOOKUP('FACP$'!$B3589,'perfil de pagos'!A:A,'perfil de pagos'!B:B)+'FACP$'!$D3589</f>
        <v>44913</v>
      </c>
      <c r="Q3589" s="165">
        <f t="shared" si="2"/>
        <v>0</v>
      </c>
      <c r="R3589" s="167" t="s">
        <v>4483</v>
      </c>
      <c r="S3589" s="167"/>
      <c r="T3589" s="168">
        <f t="shared" si="3"/>
        <v>329319.9516</v>
      </c>
      <c r="U3589" s="168">
        <f t="shared" si="4"/>
        <v>0</v>
      </c>
      <c r="V3589" s="168">
        <f t="shared" si="5"/>
        <v>0</v>
      </c>
      <c r="W3589" s="168">
        <f t="shared" si="6"/>
        <v>0</v>
      </c>
      <c r="X3589" s="168">
        <f t="shared" si="7"/>
        <v>0</v>
      </c>
      <c r="Y3589" s="168">
        <f t="shared" si="8"/>
        <v>0</v>
      </c>
      <c r="Z3589" s="168">
        <f t="shared" si="9"/>
        <v>0</v>
      </c>
    </row>
    <row r="3590" ht="15.0" customHeight="1">
      <c r="A3590" s="157" t="s">
        <v>4484</v>
      </c>
      <c r="B3590" s="158" t="s">
        <v>29</v>
      </c>
      <c r="C3590" s="158" t="s">
        <v>4485</v>
      </c>
      <c r="D3590" s="159">
        <v>44903.0</v>
      </c>
      <c r="E3590" s="157" t="s">
        <v>731</v>
      </c>
      <c r="F3590" s="160">
        <v>441899.07</v>
      </c>
      <c r="G3590" s="160">
        <f>'FACP$'!$F3590*0.16</f>
        <v>70703.8512</v>
      </c>
      <c r="H3590" s="160">
        <f t="shared" si="118"/>
        <v>512602.9212</v>
      </c>
      <c r="I3590" s="160"/>
      <c r="J3590" s="161"/>
      <c r="K3590" s="160"/>
      <c r="L3590" s="160">
        <f>+'FACP$'!$H3590-'FACP$'!$I3590-'FACP$'!$K3590</f>
        <v>512602.9212</v>
      </c>
      <c r="M3590" s="162" t="s">
        <v>130</v>
      </c>
      <c r="N3590" s="162" t="s">
        <v>554</v>
      </c>
      <c r="O3590" s="164">
        <v>44916.0</v>
      </c>
      <c r="P3590" s="164">
        <f t="array" ref="P3590">XLOOKUP('FACP$'!$B3590,'perfil de pagos'!A:A,'perfil de pagos'!B:B)+'FACP$'!$D3590</f>
        <v>44913</v>
      </c>
      <c r="Q3590" s="165">
        <f t="shared" si="2"/>
        <v>0</v>
      </c>
      <c r="R3590" s="167" t="s">
        <v>4486</v>
      </c>
      <c r="S3590" s="167">
        <v>1859.0</v>
      </c>
      <c r="T3590" s="168">
        <f t="shared" si="3"/>
        <v>512602.9212</v>
      </c>
      <c r="U3590" s="168">
        <f t="shared" si="4"/>
        <v>0</v>
      </c>
      <c r="V3590" s="168">
        <f t="shared" si="5"/>
        <v>0</v>
      </c>
      <c r="W3590" s="168">
        <f t="shared" si="6"/>
        <v>0</v>
      </c>
      <c r="X3590" s="168">
        <f t="shared" si="7"/>
        <v>0</v>
      </c>
      <c r="Y3590" s="168">
        <f t="shared" si="8"/>
        <v>0</v>
      </c>
      <c r="Z3590" s="168">
        <f t="shared" si="9"/>
        <v>0</v>
      </c>
    </row>
    <row r="3591" ht="15.0" customHeight="1">
      <c r="A3591" s="157" t="s">
        <v>4487</v>
      </c>
      <c r="B3591" s="158" t="s">
        <v>31</v>
      </c>
      <c r="C3591" s="158" t="s">
        <v>4488</v>
      </c>
      <c r="D3591" s="159">
        <v>44908.0</v>
      </c>
      <c r="E3591" s="157" t="s">
        <v>731</v>
      </c>
      <c r="F3591" s="160">
        <v>360923.68</v>
      </c>
      <c r="G3591" s="160">
        <f>'FACP$'!$F3591*0.16</f>
        <v>57747.7888</v>
      </c>
      <c r="H3591" s="160">
        <f t="shared" si="118"/>
        <v>418671.4688</v>
      </c>
      <c r="I3591" s="252"/>
      <c r="J3591" s="253"/>
      <c r="K3591" s="252"/>
      <c r="L3591" s="160">
        <f>+'FACP$'!$H3591-'FACP$'!$I3591-'FACP$'!$K3591</f>
        <v>418671.4688</v>
      </c>
      <c r="M3591" s="162" t="s">
        <v>3183</v>
      </c>
      <c r="N3591" s="162" t="s">
        <v>554</v>
      </c>
      <c r="O3591" s="164">
        <v>44932.0</v>
      </c>
      <c r="P3591" s="164">
        <f t="array" ref="P3591">XLOOKUP('FACP$'!$B3591,'perfil de pagos'!A:A,'perfil de pagos'!B:B)+'FACP$'!$D3591</f>
        <v>44911</v>
      </c>
      <c r="Q3591" s="165">
        <f t="shared" si="2"/>
        <v>0</v>
      </c>
      <c r="R3591" s="167"/>
      <c r="S3591" s="167">
        <v>1875.0</v>
      </c>
      <c r="T3591" s="168">
        <f t="shared" si="3"/>
        <v>418671.4688</v>
      </c>
      <c r="U3591" s="168">
        <f t="shared" si="4"/>
        <v>0</v>
      </c>
      <c r="V3591" s="168">
        <f t="shared" si="5"/>
        <v>0</v>
      </c>
      <c r="W3591" s="168">
        <f t="shared" si="6"/>
        <v>0</v>
      </c>
      <c r="X3591" s="168">
        <f t="shared" si="7"/>
        <v>0</v>
      </c>
      <c r="Y3591" s="168">
        <f t="shared" si="8"/>
        <v>0</v>
      </c>
      <c r="Z3591" s="168">
        <f t="shared" si="9"/>
        <v>0</v>
      </c>
    </row>
    <row r="3592" ht="15.0" customHeight="1">
      <c r="A3592" s="157" t="s">
        <v>4489</v>
      </c>
      <c r="B3592" s="158" t="s">
        <v>35</v>
      </c>
      <c r="C3592" s="158" t="s">
        <v>4482</v>
      </c>
      <c r="D3592" s="159">
        <v>44914.0</v>
      </c>
      <c r="E3592" s="157" t="s">
        <v>731</v>
      </c>
      <c r="F3592" s="160">
        <v>538051.13</v>
      </c>
      <c r="G3592" s="160">
        <f>'FACP$'!$F3592*0.16</f>
        <v>86088.1808</v>
      </c>
      <c r="H3592" s="160">
        <f t="shared" si="118"/>
        <v>624139.3108</v>
      </c>
      <c r="I3592" s="160"/>
      <c r="J3592" s="161"/>
      <c r="K3592" s="160"/>
      <c r="L3592" s="160">
        <f>+'FACP$'!$H3592-'FACP$'!$I3592-'FACP$'!$K3592</f>
        <v>624139.3108</v>
      </c>
      <c r="M3592" s="162" t="s">
        <v>276</v>
      </c>
      <c r="N3592" s="162" t="s">
        <v>554</v>
      </c>
      <c r="O3592" s="164">
        <v>44939.0</v>
      </c>
      <c r="P3592" s="164">
        <f t="array" ref="P3592">XLOOKUP('FACP$'!$B3592,'perfil de pagos'!A:A,'perfil de pagos'!B:B)+'FACP$'!$D3592</f>
        <v>44924</v>
      </c>
      <c r="Q3592" s="165">
        <f t="shared" si="2"/>
        <v>0</v>
      </c>
      <c r="R3592" s="167"/>
      <c r="S3592" s="167"/>
      <c r="T3592" s="168">
        <f t="shared" si="3"/>
        <v>624139.3108</v>
      </c>
      <c r="U3592" s="168">
        <f t="shared" si="4"/>
        <v>0</v>
      </c>
      <c r="V3592" s="168">
        <f t="shared" si="5"/>
        <v>0</v>
      </c>
      <c r="W3592" s="168">
        <f t="shared" si="6"/>
        <v>0</v>
      </c>
      <c r="X3592" s="168">
        <f t="shared" si="7"/>
        <v>0</v>
      </c>
      <c r="Y3592" s="168">
        <f t="shared" si="8"/>
        <v>0</v>
      </c>
      <c r="Z3592" s="168">
        <f t="shared" si="9"/>
        <v>0</v>
      </c>
    </row>
    <row r="3593" ht="15.0" customHeight="1">
      <c r="A3593" s="157" t="s">
        <v>4490</v>
      </c>
      <c r="B3593" s="158" t="s">
        <v>36</v>
      </c>
      <c r="C3593" s="158" t="s">
        <v>4482</v>
      </c>
      <c r="D3593" s="159">
        <v>44914.0</v>
      </c>
      <c r="E3593" s="157" t="s">
        <v>731</v>
      </c>
      <c r="F3593" s="160">
        <v>83084.53</v>
      </c>
      <c r="G3593" s="160">
        <f>'FACP$'!$F3593*0.16</f>
        <v>13293.5248</v>
      </c>
      <c r="H3593" s="160">
        <f>F3593+G3593-6596.5</f>
        <v>89781.5548</v>
      </c>
      <c r="I3593" s="160"/>
      <c r="J3593" s="161"/>
      <c r="K3593" s="160"/>
      <c r="L3593" s="160">
        <f>+'FACP$'!$H3593-'FACP$'!$I3593-'FACP$'!$K3593</f>
        <v>89781.5548</v>
      </c>
      <c r="M3593" s="162" t="s">
        <v>278</v>
      </c>
      <c r="N3593" s="162" t="s">
        <v>554</v>
      </c>
      <c r="O3593" s="164">
        <v>44935.0</v>
      </c>
      <c r="P3593" s="164">
        <f t="array" ref="P3593">XLOOKUP('FACP$'!$B3593,'perfil de pagos'!A:A,'perfil de pagos'!B:B)+'FACP$'!$D3593</f>
        <v>44924</v>
      </c>
      <c r="Q3593" s="165">
        <f t="shared" si="2"/>
        <v>0</v>
      </c>
      <c r="R3593" s="167" t="s">
        <v>4491</v>
      </c>
      <c r="S3593" s="167">
        <v>1867.0</v>
      </c>
      <c r="T3593" s="168">
        <f t="shared" si="3"/>
        <v>89781.5548</v>
      </c>
      <c r="U3593" s="168">
        <f t="shared" si="4"/>
        <v>0</v>
      </c>
      <c r="V3593" s="168">
        <f t="shared" si="5"/>
        <v>0</v>
      </c>
      <c r="W3593" s="168">
        <f t="shared" si="6"/>
        <v>0</v>
      </c>
      <c r="X3593" s="168">
        <f t="shared" si="7"/>
        <v>0</v>
      </c>
      <c r="Y3593" s="168">
        <f t="shared" si="8"/>
        <v>0</v>
      </c>
      <c r="Z3593" s="168">
        <f t="shared" si="9"/>
        <v>0</v>
      </c>
    </row>
    <row r="3594" ht="15.0" customHeight="1">
      <c r="A3594" s="157" t="s">
        <v>4492</v>
      </c>
      <c r="B3594" s="158" t="s">
        <v>41</v>
      </c>
      <c r="C3594" s="158" t="s">
        <v>4482</v>
      </c>
      <c r="D3594" s="159">
        <v>44914.0</v>
      </c>
      <c r="E3594" s="157" t="s">
        <v>731</v>
      </c>
      <c r="F3594" s="160">
        <v>1158855.31</v>
      </c>
      <c r="G3594" s="160">
        <f>'FACP$'!$F3594*0.16</f>
        <v>185416.8496</v>
      </c>
      <c r="H3594" s="160">
        <f t="shared" ref="H3594:H3634" si="119">F3594+G3594</f>
        <v>1344272.16</v>
      </c>
      <c r="I3594" s="160"/>
      <c r="J3594" s="161"/>
      <c r="K3594" s="160"/>
      <c r="L3594" s="160">
        <f>+'FACP$'!$H3594-'FACP$'!$I3594-'FACP$'!$K3594</f>
        <v>1344272.16</v>
      </c>
      <c r="M3594" s="162" t="s">
        <v>121</v>
      </c>
      <c r="N3594" s="162" t="s">
        <v>554</v>
      </c>
      <c r="O3594" s="164">
        <v>44973.0</v>
      </c>
      <c r="P3594" s="164">
        <f t="array" ref="P3594">XLOOKUP('FACP$'!$B3594,'perfil de pagos'!A:A,'perfil de pagos'!B:B)+'FACP$'!$D3594</f>
        <v>44924</v>
      </c>
      <c r="Q3594" s="165">
        <f t="shared" si="2"/>
        <v>0</v>
      </c>
      <c r="R3594" s="167"/>
      <c r="S3594" s="167">
        <v>1963.0</v>
      </c>
      <c r="T3594" s="168">
        <f t="shared" si="3"/>
        <v>1344272.16</v>
      </c>
      <c r="U3594" s="168">
        <f t="shared" si="4"/>
        <v>0</v>
      </c>
      <c r="V3594" s="168">
        <f t="shared" si="5"/>
        <v>0</v>
      </c>
      <c r="W3594" s="168">
        <f t="shared" si="6"/>
        <v>0</v>
      </c>
      <c r="X3594" s="168">
        <f t="shared" si="7"/>
        <v>0</v>
      </c>
      <c r="Y3594" s="168">
        <f t="shared" si="8"/>
        <v>0</v>
      </c>
      <c r="Z3594" s="168">
        <f t="shared" si="9"/>
        <v>0</v>
      </c>
    </row>
    <row r="3595" ht="15.0" customHeight="1">
      <c r="A3595" s="157" t="s">
        <v>4493</v>
      </c>
      <c r="B3595" s="158" t="s">
        <v>42</v>
      </c>
      <c r="C3595" s="158" t="s">
        <v>4482</v>
      </c>
      <c r="D3595" s="159">
        <v>44914.0</v>
      </c>
      <c r="E3595" s="157" t="s">
        <v>731</v>
      </c>
      <c r="F3595" s="160">
        <v>290393.76</v>
      </c>
      <c r="G3595" s="160">
        <f>'FACP$'!$F3595*0.16</f>
        <v>46463.0016</v>
      </c>
      <c r="H3595" s="160">
        <f t="shared" si="119"/>
        <v>336856.7616</v>
      </c>
      <c r="I3595" s="160"/>
      <c r="J3595" s="161"/>
      <c r="K3595" s="160"/>
      <c r="L3595" s="160">
        <f>+'FACP$'!$H3595-'FACP$'!$I3595-'FACP$'!$K3595</f>
        <v>336856.7616</v>
      </c>
      <c r="M3595" s="162" t="s">
        <v>42</v>
      </c>
      <c r="N3595" s="162" t="s">
        <v>554</v>
      </c>
      <c r="O3595" s="164">
        <v>44938.0</v>
      </c>
      <c r="P3595" s="164">
        <f t="array" ref="P3595">XLOOKUP('FACP$'!$B3595,'perfil de pagos'!A:A,'perfil de pagos'!B:B)+'FACP$'!$D3595</f>
        <v>44924</v>
      </c>
      <c r="Q3595" s="165">
        <f t="shared" si="2"/>
        <v>0</v>
      </c>
      <c r="R3595" s="167"/>
      <c r="S3595" s="167">
        <v>1882.0</v>
      </c>
      <c r="T3595" s="168">
        <f t="shared" si="3"/>
        <v>336856.7616</v>
      </c>
      <c r="U3595" s="168">
        <f t="shared" si="4"/>
        <v>0</v>
      </c>
      <c r="V3595" s="168">
        <f t="shared" si="5"/>
        <v>0</v>
      </c>
      <c r="W3595" s="168">
        <f t="shared" si="6"/>
        <v>0</v>
      </c>
      <c r="X3595" s="168">
        <f t="shared" si="7"/>
        <v>0</v>
      </c>
      <c r="Y3595" s="168">
        <f t="shared" si="8"/>
        <v>0</v>
      </c>
      <c r="Z3595" s="168">
        <f t="shared" si="9"/>
        <v>0</v>
      </c>
    </row>
    <row r="3596" ht="15.0" customHeight="1">
      <c r="A3596" s="157" t="s">
        <v>4494</v>
      </c>
      <c r="B3596" s="158" t="s">
        <v>44</v>
      </c>
      <c r="C3596" s="158" t="s">
        <v>4482</v>
      </c>
      <c r="D3596" s="159">
        <v>44914.0</v>
      </c>
      <c r="E3596" s="157" t="s">
        <v>731</v>
      </c>
      <c r="F3596" s="160">
        <v>491785.04</v>
      </c>
      <c r="G3596" s="160">
        <f>'FACP$'!$F3596*0.16</f>
        <v>78685.6064</v>
      </c>
      <c r="H3596" s="160">
        <f t="shared" si="119"/>
        <v>570470.6464</v>
      </c>
      <c r="I3596" s="160"/>
      <c r="J3596" s="161"/>
      <c r="K3596" s="160"/>
      <c r="L3596" s="160">
        <f>+'FACP$'!$H3596-'FACP$'!$I3596-'FACP$'!$K3596</f>
        <v>570470.6464</v>
      </c>
      <c r="M3596" s="162" t="s">
        <v>361</v>
      </c>
      <c r="N3596" s="162" t="s">
        <v>4420</v>
      </c>
      <c r="O3596" s="164">
        <v>44931.0</v>
      </c>
      <c r="P3596" s="164">
        <f t="array" ref="P3596">XLOOKUP('FACP$'!$B3596,'perfil de pagos'!A:A,'perfil de pagos'!B:B)+'FACP$'!$D3596</f>
        <v>44924</v>
      </c>
      <c r="Q3596" s="165">
        <f t="shared" si="2"/>
        <v>0</v>
      </c>
      <c r="R3596" s="167"/>
      <c r="S3596" s="167">
        <v>1869.0</v>
      </c>
      <c r="T3596" s="168">
        <f t="shared" si="3"/>
        <v>570470.6464</v>
      </c>
      <c r="U3596" s="168">
        <f t="shared" si="4"/>
        <v>0</v>
      </c>
      <c r="V3596" s="168">
        <f t="shared" si="5"/>
        <v>0</v>
      </c>
      <c r="W3596" s="168">
        <f t="shared" si="6"/>
        <v>0</v>
      </c>
      <c r="X3596" s="168">
        <f t="shared" si="7"/>
        <v>0</v>
      </c>
      <c r="Y3596" s="168">
        <f t="shared" si="8"/>
        <v>0</v>
      </c>
      <c r="Z3596" s="168">
        <f t="shared" si="9"/>
        <v>0</v>
      </c>
    </row>
    <row r="3597" ht="15.0" customHeight="1">
      <c r="A3597" s="157" t="s">
        <v>4495</v>
      </c>
      <c r="B3597" s="209" t="s">
        <v>27</v>
      </c>
      <c r="C3597" s="209" t="s">
        <v>4496</v>
      </c>
      <c r="D3597" s="186">
        <v>44914.0</v>
      </c>
      <c r="E3597" s="210" t="s">
        <v>731</v>
      </c>
      <c r="F3597" s="211">
        <v>410493.07</v>
      </c>
      <c r="G3597" s="211">
        <f>'FACP$'!$F3597*0.16</f>
        <v>65678.8912</v>
      </c>
      <c r="H3597" s="160">
        <f t="shared" si="119"/>
        <v>476171.9612</v>
      </c>
      <c r="I3597" s="211"/>
      <c r="J3597" s="212"/>
      <c r="K3597" s="211"/>
      <c r="L3597" s="211">
        <f>+'FACP$'!$H3597-'FACP$'!$I3597-'FACP$'!$K3597</f>
        <v>476171.9612</v>
      </c>
      <c r="M3597" s="227" t="s">
        <v>158</v>
      </c>
      <c r="N3597" s="227" t="s">
        <v>127</v>
      </c>
      <c r="O3597" s="245"/>
      <c r="P3597" s="245">
        <f t="array" ref="P3597">XLOOKUP('FACP$'!$B3597,'perfil de pagos'!A:A,'perfil de pagos'!B:B)+'FACP$'!$D3597</f>
        <v>44944</v>
      </c>
      <c r="Q3597" s="246">
        <f t="shared" si="2"/>
        <v>0</v>
      </c>
      <c r="R3597" s="223" t="s">
        <v>4497</v>
      </c>
      <c r="S3597" s="223"/>
      <c r="T3597" s="168">
        <f t="shared" si="3"/>
        <v>476171.9612</v>
      </c>
      <c r="U3597" s="168">
        <f t="shared" si="4"/>
        <v>0</v>
      </c>
      <c r="V3597" s="168">
        <f t="shared" si="5"/>
        <v>0</v>
      </c>
      <c r="W3597" s="168">
        <f t="shared" si="6"/>
        <v>0</v>
      </c>
      <c r="X3597" s="168">
        <f t="shared" si="7"/>
        <v>0</v>
      </c>
      <c r="Y3597" s="168">
        <f t="shared" si="8"/>
        <v>0</v>
      </c>
      <c r="Z3597" s="168">
        <f t="shared" si="9"/>
        <v>0</v>
      </c>
    </row>
    <row r="3598" ht="15.0" customHeight="1">
      <c r="A3598" s="157" t="s">
        <v>4498</v>
      </c>
      <c r="B3598" s="209" t="s">
        <v>27</v>
      </c>
      <c r="C3598" s="209" t="s">
        <v>4499</v>
      </c>
      <c r="D3598" s="186">
        <v>44914.0</v>
      </c>
      <c r="E3598" s="210" t="s">
        <v>731</v>
      </c>
      <c r="F3598" s="211">
        <v>180268.78</v>
      </c>
      <c r="G3598" s="211">
        <f>'FACP$'!$F3598*0.16</f>
        <v>28843.0048</v>
      </c>
      <c r="H3598" s="160">
        <f t="shared" si="119"/>
        <v>209111.7848</v>
      </c>
      <c r="I3598" s="211"/>
      <c r="J3598" s="212"/>
      <c r="K3598" s="211"/>
      <c r="L3598" s="211">
        <f>+'FACP$'!$H3598-'FACP$'!$I3598-'FACP$'!$K3598</f>
        <v>209111.7848</v>
      </c>
      <c r="M3598" s="227" t="s">
        <v>158</v>
      </c>
      <c r="N3598" s="227" t="s">
        <v>127</v>
      </c>
      <c r="O3598" s="245"/>
      <c r="P3598" s="245">
        <f t="array" ref="P3598">XLOOKUP('FACP$'!$B3598,'perfil de pagos'!A:A,'perfil de pagos'!B:B)+'FACP$'!$D3598</f>
        <v>44944</v>
      </c>
      <c r="Q3598" s="246">
        <f t="shared" si="2"/>
        <v>0</v>
      </c>
      <c r="R3598" s="223" t="s">
        <v>4497</v>
      </c>
      <c r="S3598" s="223"/>
      <c r="T3598" s="168">
        <f t="shared" si="3"/>
        <v>209111.7848</v>
      </c>
      <c r="U3598" s="168">
        <f t="shared" si="4"/>
        <v>0</v>
      </c>
      <c r="V3598" s="168">
        <f t="shared" si="5"/>
        <v>0</v>
      </c>
      <c r="W3598" s="168">
        <f t="shared" si="6"/>
        <v>0</v>
      </c>
      <c r="X3598" s="168">
        <f t="shared" si="7"/>
        <v>0</v>
      </c>
      <c r="Y3598" s="168">
        <f t="shared" si="8"/>
        <v>0</v>
      </c>
      <c r="Z3598" s="168">
        <f t="shared" si="9"/>
        <v>0</v>
      </c>
    </row>
    <row r="3599" ht="15.0" customHeight="1">
      <c r="A3599" s="157" t="s">
        <v>4500</v>
      </c>
      <c r="B3599" s="158" t="s">
        <v>27</v>
      </c>
      <c r="C3599" s="158" t="s">
        <v>4496</v>
      </c>
      <c r="D3599" s="159">
        <v>44914.0</v>
      </c>
      <c r="E3599" s="157" t="s">
        <v>731</v>
      </c>
      <c r="F3599" s="160">
        <f>596279.02-'NCP$'!F212</f>
        <v>594517.72</v>
      </c>
      <c r="G3599" s="160">
        <f>'FACP$'!$F3599*0.16</f>
        <v>95122.8352</v>
      </c>
      <c r="H3599" s="160">
        <f t="shared" si="119"/>
        <v>689640.5552</v>
      </c>
      <c r="I3599" s="160"/>
      <c r="J3599" s="161"/>
      <c r="K3599" s="160"/>
      <c r="L3599" s="160">
        <f>+'FACP$'!$H3599-'FACP$'!$I3599-'FACP$'!$K3599</f>
        <v>689640.5552</v>
      </c>
      <c r="M3599" s="162" t="s">
        <v>151</v>
      </c>
      <c r="N3599" s="162" t="s">
        <v>554</v>
      </c>
      <c r="O3599" s="164">
        <v>44931.0</v>
      </c>
      <c r="P3599" s="164">
        <f t="array" ref="P3599">XLOOKUP('FACP$'!$B3599,'perfil de pagos'!A:A,'perfil de pagos'!B:B)+'FACP$'!$D3599</f>
        <v>44944</v>
      </c>
      <c r="Q3599" s="165">
        <f t="shared" si="2"/>
        <v>0</v>
      </c>
      <c r="R3599" s="167" t="s">
        <v>4501</v>
      </c>
      <c r="S3599" s="167">
        <v>1871.0</v>
      </c>
      <c r="T3599" s="168">
        <f t="shared" si="3"/>
        <v>689640.5552</v>
      </c>
      <c r="U3599" s="168">
        <f t="shared" si="4"/>
        <v>0</v>
      </c>
      <c r="V3599" s="168">
        <f t="shared" si="5"/>
        <v>0</v>
      </c>
      <c r="W3599" s="168">
        <f t="shared" si="6"/>
        <v>0</v>
      </c>
      <c r="X3599" s="168">
        <f t="shared" si="7"/>
        <v>0</v>
      </c>
      <c r="Y3599" s="168">
        <f t="shared" si="8"/>
        <v>0</v>
      </c>
      <c r="Z3599" s="168">
        <f t="shared" si="9"/>
        <v>0</v>
      </c>
    </row>
    <row r="3600" ht="15.0" customHeight="1">
      <c r="A3600" s="157" t="s">
        <v>4502</v>
      </c>
      <c r="B3600" s="158" t="s">
        <v>27</v>
      </c>
      <c r="C3600" s="158" t="s">
        <v>4499</v>
      </c>
      <c r="D3600" s="159">
        <v>44914.0</v>
      </c>
      <c r="E3600" s="157" t="s">
        <v>731</v>
      </c>
      <c r="F3600" s="160">
        <f>291997.09-'NCP$'!F213</f>
        <v>290920.78</v>
      </c>
      <c r="G3600" s="160">
        <f>'FACP$'!$F3600*0.16</f>
        <v>46547.3248</v>
      </c>
      <c r="H3600" s="160">
        <f t="shared" si="119"/>
        <v>337468.1048</v>
      </c>
      <c r="I3600" s="160"/>
      <c r="J3600" s="161"/>
      <c r="K3600" s="160"/>
      <c r="L3600" s="160">
        <f>+'FACP$'!$H3600-'FACP$'!$I3600-'FACP$'!$K3600</f>
        <v>337468.1048</v>
      </c>
      <c r="M3600" s="162" t="s">
        <v>151</v>
      </c>
      <c r="N3600" s="162" t="s">
        <v>554</v>
      </c>
      <c r="O3600" s="164">
        <v>44937.0</v>
      </c>
      <c r="P3600" s="164">
        <f t="array" ref="P3600">XLOOKUP('FACP$'!$B3600,'perfil de pagos'!A:A,'perfil de pagos'!B:B)+'FACP$'!$D3600</f>
        <v>44944</v>
      </c>
      <c r="Q3600" s="165">
        <f t="shared" si="2"/>
        <v>0</v>
      </c>
      <c r="R3600" s="167" t="s">
        <v>4503</v>
      </c>
      <c r="S3600" s="167">
        <v>1881.0</v>
      </c>
      <c r="T3600" s="168">
        <f t="shared" si="3"/>
        <v>337468.1048</v>
      </c>
      <c r="U3600" s="168">
        <f t="shared" si="4"/>
        <v>0</v>
      </c>
      <c r="V3600" s="168">
        <f t="shared" si="5"/>
        <v>0</v>
      </c>
      <c r="W3600" s="168">
        <f t="shared" si="6"/>
        <v>0</v>
      </c>
      <c r="X3600" s="168">
        <f t="shared" si="7"/>
        <v>0</v>
      </c>
      <c r="Y3600" s="168">
        <f t="shared" si="8"/>
        <v>0</v>
      </c>
      <c r="Z3600" s="168">
        <f t="shared" si="9"/>
        <v>0</v>
      </c>
    </row>
    <row r="3601" ht="15.0" customHeight="1">
      <c r="A3601" s="157" t="s">
        <v>4504</v>
      </c>
      <c r="B3601" s="158" t="s">
        <v>27</v>
      </c>
      <c r="C3601" s="158" t="s">
        <v>4505</v>
      </c>
      <c r="D3601" s="159">
        <v>44914.0</v>
      </c>
      <c r="E3601" s="157" t="s">
        <v>731</v>
      </c>
      <c r="F3601" s="160">
        <v>23711.94</v>
      </c>
      <c r="G3601" s="160">
        <f>'FACP$'!$F3601*0.16</f>
        <v>3793.9104</v>
      </c>
      <c r="H3601" s="160">
        <f t="shared" si="119"/>
        <v>27505.8504</v>
      </c>
      <c r="I3601" s="160"/>
      <c r="J3601" s="161"/>
      <c r="K3601" s="160"/>
      <c r="L3601" s="160">
        <f>+'FACP$'!$H3601-'FACP$'!$I3601-'FACP$'!$K3601</f>
        <v>27505.8504</v>
      </c>
      <c r="M3601" s="162" t="s">
        <v>151</v>
      </c>
      <c r="N3601" s="162" t="s">
        <v>554</v>
      </c>
      <c r="O3601" s="164">
        <v>44931.0</v>
      </c>
      <c r="P3601" s="164">
        <f t="array" ref="P3601">XLOOKUP('FACP$'!$B3601,'perfil de pagos'!A:A,'perfil de pagos'!B:B)+'FACP$'!$D3601</f>
        <v>44944</v>
      </c>
      <c r="Q3601" s="165">
        <f t="shared" si="2"/>
        <v>0</v>
      </c>
      <c r="R3601" s="167"/>
      <c r="S3601" s="167">
        <v>1871.0</v>
      </c>
      <c r="T3601" s="168">
        <f t="shared" si="3"/>
        <v>27505.8504</v>
      </c>
      <c r="U3601" s="168">
        <f t="shared" si="4"/>
        <v>0</v>
      </c>
      <c r="V3601" s="168">
        <f t="shared" si="5"/>
        <v>0</v>
      </c>
      <c r="W3601" s="168">
        <f t="shared" si="6"/>
        <v>0</v>
      </c>
      <c r="X3601" s="168">
        <f t="shared" si="7"/>
        <v>0</v>
      </c>
      <c r="Y3601" s="168">
        <f t="shared" si="8"/>
        <v>0</v>
      </c>
      <c r="Z3601" s="168">
        <f t="shared" si="9"/>
        <v>0</v>
      </c>
    </row>
    <row r="3602" ht="15.0" customHeight="1">
      <c r="A3602" s="157" t="s">
        <v>4506</v>
      </c>
      <c r="B3602" s="158" t="s">
        <v>27</v>
      </c>
      <c r="C3602" s="158" t="s">
        <v>4507</v>
      </c>
      <c r="D3602" s="159">
        <v>44914.0</v>
      </c>
      <c r="E3602" s="157" t="s">
        <v>731</v>
      </c>
      <c r="F3602" s="160">
        <v>13815.9</v>
      </c>
      <c r="G3602" s="160">
        <f>'FACP$'!$F3602*0.16</f>
        <v>2210.544</v>
      </c>
      <c r="H3602" s="160">
        <f t="shared" si="119"/>
        <v>16026.444</v>
      </c>
      <c r="I3602" s="160"/>
      <c r="J3602" s="161"/>
      <c r="K3602" s="160"/>
      <c r="L3602" s="160">
        <f>+'FACP$'!$H3602-'FACP$'!$I3602-'FACP$'!$K3602</f>
        <v>16026.444</v>
      </c>
      <c r="M3602" s="162" t="s">
        <v>151</v>
      </c>
      <c r="N3602" s="162" t="s">
        <v>554</v>
      </c>
      <c r="O3602" s="164">
        <v>44937.0</v>
      </c>
      <c r="P3602" s="164">
        <f t="array" ref="P3602">XLOOKUP('FACP$'!$B3602,'perfil de pagos'!A:A,'perfil de pagos'!B:B)+'FACP$'!$D3602</f>
        <v>44944</v>
      </c>
      <c r="Q3602" s="165">
        <f t="shared" si="2"/>
        <v>0</v>
      </c>
      <c r="R3602" s="167"/>
      <c r="S3602" s="167">
        <v>1881.0</v>
      </c>
      <c r="T3602" s="168">
        <f t="shared" si="3"/>
        <v>16026.444</v>
      </c>
      <c r="U3602" s="168">
        <f t="shared" si="4"/>
        <v>0</v>
      </c>
      <c r="V3602" s="168">
        <f t="shared" si="5"/>
        <v>0</v>
      </c>
      <c r="W3602" s="168">
        <f t="shared" si="6"/>
        <v>0</v>
      </c>
      <c r="X3602" s="168">
        <f t="shared" si="7"/>
        <v>0</v>
      </c>
      <c r="Y3602" s="168">
        <f t="shared" si="8"/>
        <v>0</v>
      </c>
      <c r="Z3602" s="168">
        <f t="shared" si="9"/>
        <v>0</v>
      </c>
    </row>
    <row r="3603" ht="15.0" customHeight="1">
      <c r="A3603" s="157" t="s">
        <v>4508</v>
      </c>
      <c r="B3603" s="158" t="s">
        <v>15</v>
      </c>
      <c r="C3603" s="158" t="s">
        <v>4509</v>
      </c>
      <c r="D3603" s="159">
        <v>44915.0</v>
      </c>
      <c r="E3603" s="157" t="s">
        <v>731</v>
      </c>
      <c r="F3603" s="160">
        <v>1418356.03</v>
      </c>
      <c r="G3603" s="160">
        <f>'FACP$'!$F3603*0.16</f>
        <v>226936.9648</v>
      </c>
      <c r="H3603" s="160">
        <f t="shared" si="119"/>
        <v>1645292.995</v>
      </c>
      <c r="I3603" s="160"/>
      <c r="J3603" s="161"/>
      <c r="K3603" s="160"/>
      <c r="L3603" s="160">
        <f>+'FACP$'!$H3603-'FACP$'!$I3603-'FACP$'!$K3603</f>
        <v>1645292.995</v>
      </c>
      <c r="M3603" s="162" t="s">
        <v>443</v>
      </c>
      <c r="N3603" s="162" t="s">
        <v>554</v>
      </c>
      <c r="O3603" s="164">
        <v>44936.0</v>
      </c>
      <c r="P3603" s="164">
        <f t="array" ref="P3603">XLOOKUP('FACP$'!$B3603,'perfil de pagos'!A:A,'perfil de pagos'!B:B)+'FACP$'!$D3603</f>
        <v>44925</v>
      </c>
      <c r="Q3603" s="165">
        <f t="shared" si="2"/>
        <v>0</v>
      </c>
      <c r="R3603" s="167"/>
      <c r="S3603" s="167">
        <v>1879.0</v>
      </c>
      <c r="T3603" s="168">
        <f t="shared" si="3"/>
        <v>1645292.995</v>
      </c>
      <c r="U3603" s="168">
        <f t="shared" si="4"/>
        <v>0</v>
      </c>
      <c r="V3603" s="168">
        <f t="shared" si="5"/>
        <v>0</v>
      </c>
      <c r="W3603" s="168">
        <f t="shared" si="6"/>
        <v>0</v>
      </c>
      <c r="X3603" s="168">
        <f t="shared" si="7"/>
        <v>0</v>
      </c>
      <c r="Y3603" s="168">
        <f t="shared" si="8"/>
        <v>0</v>
      </c>
      <c r="Z3603" s="168">
        <f t="shared" si="9"/>
        <v>0</v>
      </c>
    </row>
    <row r="3604" ht="15.0" customHeight="1">
      <c r="A3604" s="157" t="s">
        <v>4510</v>
      </c>
      <c r="B3604" s="158" t="s">
        <v>146</v>
      </c>
      <c r="C3604" s="158"/>
      <c r="D3604" s="159"/>
      <c r="E3604" s="157"/>
      <c r="F3604" s="160"/>
      <c r="G3604" s="160"/>
      <c r="H3604" s="160">
        <f t="shared" si="119"/>
        <v>0</v>
      </c>
      <c r="I3604" s="160"/>
      <c r="J3604" s="161"/>
      <c r="K3604" s="160"/>
      <c r="L3604" s="160">
        <f>+'FACP$'!$H3604-'FACP$'!$I3604-'FACP$'!$K3604</f>
        <v>0</v>
      </c>
      <c r="M3604" s="162"/>
      <c r="N3604" s="162" t="s">
        <v>127</v>
      </c>
      <c r="O3604" s="164"/>
      <c r="P3604" s="164">
        <f t="shared" ref="P3604:P3605" si="120">D3604+10</f>
        <v>10</v>
      </c>
      <c r="Q3604" s="165">
        <f t="shared" si="2"/>
        <v>0</v>
      </c>
      <c r="R3604" s="167" t="s">
        <v>4511</v>
      </c>
      <c r="S3604" s="167"/>
      <c r="T3604" s="168">
        <f t="shared" si="3"/>
        <v>0</v>
      </c>
      <c r="U3604" s="168">
        <f t="shared" si="4"/>
        <v>0</v>
      </c>
      <c r="V3604" s="168">
        <f t="shared" si="5"/>
        <v>0</v>
      </c>
      <c r="W3604" s="168">
        <f t="shared" si="6"/>
        <v>0</v>
      </c>
      <c r="X3604" s="168">
        <f t="shared" si="7"/>
        <v>0</v>
      </c>
      <c r="Y3604" s="168">
        <f t="shared" si="8"/>
        <v>0</v>
      </c>
      <c r="Z3604" s="168">
        <f t="shared" si="9"/>
        <v>0</v>
      </c>
    </row>
    <row r="3605" ht="15.0" customHeight="1">
      <c r="A3605" s="157" t="s">
        <v>4512</v>
      </c>
      <c r="B3605" s="158" t="s">
        <v>146</v>
      </c>
      <c r="C3605" s="158"/>
      <c r="D3605" s="159"/>
      <c r="E3605" s="157"/>
      <c r="F3605" s="160"/>
      <c r="G3605" s="160"/>
      <c r="H3605" s="160">
        <f t="shared" si="119"/>
        <v>0</v>
      </c>
      <c r="I3605" s="160"/>
      <c r="J3605" s="161"/>
      <c r="K3605" s="160"/>
      <c r="L3605" s="160">
        <f>+'FACP$'!$H3605-'FACP$'!$I3605-'FACP$'!$K3605</f>
        <v>0</v>
      </c>
      <c r="M3605" s="162"/>
      <c r="N3605" s="162" t="s">
        <v>127</v>
      </c>
      <c r="O3605" s="164"/>
      <c r="P3605" s="164">
        <f t="shared" si="120"/>
        <v>10</v>
      </c>
      <c r="Q3605" s="165">
        <f t="shared" si="2"/>
        <v>0</v>
      </c>
      <c r="R3605" s="167" t="s">
        <v>4511</v>
      </c>
      <c r="S3605" s="167"/>
      <c r="T3605" s="168">
        <f t="shared" si="3"/>
        <v>0</v>
      </c>
      <c r="U3605" s="168">
        <f t="shared" si="4"/>
        <v>0</v>
      </c>
      <c r="V3605" s="168">
        <f t="shared" si="5"/>
        <v>0</v>
      </c>
      <c r="W3605" s="168">
        <f t="shared" si="6"/>
        <v>0</v>
      </c>
      <c r="X3605" s="168">
        <f t="shared" si="7"/>
        <v>0</v>
      </c>
      <c r="Y3605" s="168">
        <f t="shared" si="8"/>
        <v>0</v>
      </c>
      <c r="Z3605" s="168">
        <f t="shared" si="9"/>
        <v>0</v>
      </c>
    </row>
    <row r="3606" ht="15.0" customHeight="1">
      <c r="A3606" s="157" t="s">
        <v>4513</v>
      </c>
      <c r="B3606" s="209" t="s">
        <v>27</v>
      </c>
      <c r="C3606" s="209" t="s">
        <v>4496</v>
      </c>
      <c r="D3606" s="186">
        <v>44915.0</v>
      </c>
      <c r="E3606" s="210" t="s">
        <v>731</v>
      </c>
      <c r="F3606" s="211">
        <v>340263.69</v>
      </c>
      <c r="G3606" s="211">
        <f>'FACP$'!$F3606*0.16</f>
        <v>54442.1904</v>
      </c>
      <c r="H3606" s="160">
        <f t="shared" si="119"/>
        <v>394705.8804</v>
      </c>
      <c r="I3606" s="211"/>
      <c r="J3606" s="212"/>
      <c r="K3606" s="211"/>
      <c r="L3606" s="211">
        <f>+'FACP$'!$H3606-'FACP$'!$I3606-'FACP$'!$K3606</f>
        <v>394705.8804</v>
      </c>
      <c r="M3606" s="227" t="s">
        <v>158</v>
      </c>
      <c r="N3606" s="227" t="s">
        <v>127</v>
      </c>
      <c r="O3606" s="245"/>
      <c r="P3606" s="245">
        <f t="array" ref="P3606">XLOOKUP('FACP$'!$B3606,'perfil de pagos'!A:A,'perfil de pagos'!B:B)+'FACP$'!$D3606</f>
        <v>44945</v>
      </c>
      <c r="Q3606" s="246">
        <f t="shared" si="2"/>
        <v>0</v>
      </c>
      <c r="R3606" s="223" t="s">
        <v>4514</v>
      </c>
      <c r="S3606" s="223"/>
      <c r="T3606" s="168">
        <f t="shared" si="3"/>
        <v>394705.8804</v>
      </c>
      <c r="U3606" s="168">
        <f t="shared" si="4"/>
        <v>0</v>
      </c>
      <c r="V3606" s="168">
        <f t="shared" si="5"/>
        <v>0</v>
      </c>
      <c r="W3606" s="168">
        <f t="shared" si="6"/>
        <v>0</v>
      </c>
      <c r="X3606" s="168">
        <f t="shared" si="7"/>
        <v>0</v>
      </c>
      <c r="Y3606" s="168">
        <f t="shared" si="8"/>
        <v>0</v>
      </c>
      <c r="Z3606" s="168">
        <f t="shared" si="9"/>
        <v>0</v>
      </c>
    </row>
    <row r="3607" ht="15.0" customHeight="1">
      <c r="A3607" s="157" t="s">
        <v>4515</v>
      </c>
      <c r="B3607" s="209" t="s">
        <v>27</v>
      </c>
      <c r="C3607" s="209" t="s">
        <v>4499</v>
      </c>
      <c r="D3607" s="186">
        <v>44915.0</v>
      </c>
      <c r="E3607" s="210" t="s">
        <v>731</v>
      </c>
      <c r="F3607" s="211">
        <v>172490.43</v>
      </c>
      <c r="G3607" s="211">
        <f>'FACP$'!$F3607*0.16</f>
        <v>27598.4688</v>
      </c>
      <c r="H3607" s="160">
        <f t="shared" si="119"/>
        <v>200088.8988</v>
      </c>
      <c r="I3607" s="211"/>
      <c r="J3607" s="212"/>
      <c r="K3607" s="211"/>
      <c r="L3607" s="211">
        <f>+'FACP$'!$H3607-'FACP$'!$I3607-'FACP$'!$K3607</f>
        <v>200088.8988</v>
      </c>
      <c r="M3607" s="227" t="s">
        <v>158</v>
      </c>
      <c r="N3607" s="227" t="s">
        <v>127</v>
      </c>
      <c r="O3607" s="245"/>
      <c r="P3607" s="245">
        <f t="array" ref="P3607">XLOOKUP('FACP$'!$B3607,'perfil de pagos'!A:A,'perfil de pagos'!B:B)+'FACP$'!$D3607</f>
        <v>44945</v>
      </c>
      <c r="Q3607" s="246">
        <f t="shared" si="2"/>
        <v>0</v>
      </c>
      <c r="R3607" s="223" t="s">
        <v>4514</v>
      </c>
      <c r="S3607" s="223"/>
      <c r="T3607" s="168">
        <f t="shared" si="3"/>
        <v>200088.8988</v>
      </c>
      <c r="U3607" s="168">
        <f t="shared" si="4"/>
        <v>0</v>
      </c>
      <c r="V3607" s="168">
        <f t="shared" si="5"/>
        <v>0</v>
      </c>
      <c r="W3607" s="168">
        <f t="shared" si="6"/>
        <v>0</v>
      </c>
      <c r="X3607" s="168">
        <f t="shared" si="7"/>
        <v>0</v>
      </c>
      <c r="Y3607" s="168">
        <f t="shared" si="8"/>
        <v>0</v>
      </c>
      <c r="Z3607" s="168">
        <f t="shared" si="9"/>
        <v>0</v>
      </c>
    </row>
    <row r="3608" ht="15.0" customHeight="1">
      <c r="A3608" s="157" t="s">
        <v>4516</v>
      </c>
      <c r="B3608" s="158" t="s">
        <v>43</v>
      </c>
      <c r="C3608" s="158" t="s">
        <v>4482</v>
      </c>
      <c r="D3608" s="159">
        <v>44915.0</v>
      </c>
      <c r="E3608" s="157" t="s">
        <v>731</v>
      </c>
      <c r="F3608" s="160">
        <v>1479907.88</v>
      </c>
      <c r="G3608" s="160">
        <f>'FACP$'!$F3608*0.16</f>
        <v>236785.2608</v>
      </c>
      <c r="H3608" s="160">
        <f t="shared" si="119"/>
        <v>1716693.141</v>
      </c>
      <c r="I3608" s="160"/>
      <c r="J3608" s="161"/>
      <c r="K3608" s="160"/>
      <c r="L3608" s="160">
        <f>+'FACP$'!$H3608-'FACP$'!$I3608-'FACP$'!$K3608</f>
        <v>1716693.141</v>
      </c>
      <c r="M3608" s="162" t="s">
        <v>43</v>
      </c>
      <c r="N3608" s="162" t="s">
        <v>554</v>
      </c>
      <c r="O3608" s="164">
        <v>44925.0</v>
      </c>
      <c r="P3608" s="164">
        <f t="array" ref="P3608">XLOOKUP('FACP$'!$B3608,'perfil de pagos'!A:A,'perfil de pagos'!B:B)+'FACP$'!$D3608</f>
        <v>44940</v>
      </c>
      <c r="Q3608" s="165">
        <f t="shared" si="2"/>
        <v>0</v>
      </c>
      <c r="R3608" s="167"/>
      <c r="S3608" s="167">
        <v>1852.0</v>
      </c>
      <c r="T3608" s="168">
        <f t="shared" si="3"/>
        <v>1716693.141</v>
      </c>
      <c r="U3608" s="168">
        <f t="shared" si="4"/>
        <v>0</v>
      </c>
      <c r="V3608" s="168">
        <f t="shared" si="5"/>
        <v>0</v>
      </c>
      <c r="W3608" s="168">
        <f t="shared" si="6"/>
        <v>0</v>
      </c>
      <c r="X3608" s="168">
        <f t="shared" si="7"/>
        <v>0</v>
      </c>
      <c r="Y3608" s="168">
        <f t="shared" si="8"/>
        <v>0</v>
      </c>
      <c r="Z3608" s="168">
        <f t="shared" si="9"/>
        <v>0</v>
      </c>
    </row>
    <row r="3609" ht="15.0" customHeight="1">
      <c r="A3609" s="157" t="s">
        <v>4517</v>
      </c>
      <c r="B3609" s="158" t="s">
        <v>31</v>
      </c>
      <c r="C3609" s="158" t="s">
        <v>4518</v>
      </c>
      <c r="D3609" s="159">
        <v>44915.0</v>
      </c>
      <c r="E3609" s="157" t="s">
        <v>731</v>
      </c>
      <c r="F3609" s="160">
        <v>474578.47</v>
      </c>
      <c r="G3609" s="160">
        <f>'FACP$'!$F3609*0.16</f>
        <v>75932.5552</v>
      </c>
      <c r="H3609" s="160">
        <f t="shared" si="119"/>
        <v>550511.0252</v>
      </c>
      <c r="I3609" s="252"/>
      <c r="J3609" s="253"/>
      <c r="K3609" s="252"/>
      <c r="L3609" s="160">
        <f>+'FACP$'!$H3609-'FACP$'!$I3609-'FACP$'!$K3609</f>
        <v>550511.0252</v>
      </c>
      <c r="M3609" s="162" t="s">
        <v>3183</v>
      </c>
      <c r="N3609" s="162" t="s">
        <v>554</v>
      </c>
      <c r="O3609" s="164">
        <v>44932.0</v>
      </c>
      <c r="P3609" s="164">
        <f t="array" ref="P3609">XLOOKUP('FACP$'!$B3609,'perfil de pagos'!A:A,'perfil de pagos'!B:B)+'FACP$'!$D3609</f>
        <v>44918</v>
      </c>
      <c r="Q3609" s="165">
        <f t="shared" si="2"/>
        <v>0</v>
      </c>
      <c r="R3609" s="272"/>
      <c r="S3609" s="167">
        <v>1875.0</v>
      </c>
      <c r="T3609" s="168">
        <f t="shared" si="3"/>
        <v>550511.0252</v>
      </c>
      <c r="U3609" s="168">
        <f t="shared" si="4"/>
        <v>0</v>
      </c>
      <c r="V3609" s="168">
        <f t="shared" si="5"/>
        <v>0</v>
      </c>
      <c r="W3609" s="168">
        <f t="shared" si="6"/>
        <v>0</v>
      </c>
      <c r="X3609" s="168">
        <f t="shared" si="7"/>
        <v>0</v>
      </c>
      <c r="Y3609" s="168">
        <f t="shared" si="8"/>
        <v>0</v>
      </c>
      <c r="Z3609" s="168">
        <f t="shared" si="9"/>
        <v>0</v>
      </c>
      <c r="AA3609" s="81"/>
      <c r="AB3609" s="81"/>
      <c r="AC3609" s="81"/>
    </row>
    <row r="3610" ht="15.0" customHeight="1">
      <c r="A3610" s="157" t="s">
        <v>4519</v>
      </c>
      <c r="B3610" s="158" t="s">
        <v>32</v>
      </c>
      <c r="C3610" s="158" t="s">
        <v>4482</v>
      </c>
      <c r="D3610" s="159">
        <v>44915.0</v>
      </c>
      <c r="E3610" s="157" t="s">
        <v>731</v>
      </c>
      <c r="F3610" s="160">
        <v>71666.32</v>
      </c>
      <c r="G3610" s="160">
        <f>'FACP$'!$F3610*0.16</f>
        <v>11466.6112</v>
      </c>
      <c r="H3610" s="160">
        <f t="shared" si="119"/>
        <v>83132.9312</v>
      </c>
      <c r="I3610" s="160"/>
      <c r="J3610" s="161"/>
      <c r="K3610" s="160"/>
      <c r="L3610" s="160">
        <f>+'FACP$'!$H3610-'FACP$'!$I3610-'FACP$'!$K3610</f>
        <v>83132.9312</v>
      </c>
      <c r="M3610" s="162" t="s">
        <v>395</v>
      </c>
      <c r="N3610" s="162" t="s">
        <v>554</v>
      </c>
      <c r="O3610" s="164">
        <v>44952.0</v>
      </c>
      <c r="P3610" s="164">
        <f t="array" ref="P3610">XLOOKUP('FACP$'!$B3610,'perfil de pagos'!A:A,'perfil de pagos'!B:B)+'FACP$'!$D3610</f>
        <v>44925</v>
      </c>
      <c r="Q3610" s="165">
        <f t="shared" si="2"/>
        <v>0</v>
      </c>
      <c r="R3610" s="167"/>
      <c r="S3610" s="167"/>
      <c r="T3610" s="168">
        <f t="shared" si="3"/>
        <v>83132.9312</v>
      </c>
      <c r="U3610" s="168">
        <f t="shared" si="4"/>
        <v>0</v>
      </c>
      <c r="V3610" s="168">
        <f t="shared" si="5"/>
        <v>0</v>
      </c>
      <c r="W3610" s="168">
        <f t="shared" si="6"/>
        <v>0</v>
      </c>
      <c r="X3610" s="168">
        <f t="shared" si="7"/>
        <v>0</v>
      </c>
      <c r="Y3610" s="168">
        <f t="shared" si="8"/>
        <v>0</v>
      </c>
      <c r="Z3610" s="168">
        <f t="shared" si="9"/>
        <v>0</v>
      </c>
    </row>
    <row r="3611" ht="15.0" customHeight="1">
      <c r="A3611" s="157" t="s">
        <v>4520</v>
      </c>
      <c r="B3611" s="158" t="s">
        <v>16</v>
      </c>
      <c r="C3611" s="158" t="s">
        <v>4482</v>
      </c>
      <c r="D3611" s="159">
        <v>44917.0</v>
      </c>
      <c r="E3611" s="157" t="s">
        <v>731</v>
      </c>
      <c r="F3611" s="160">
        <v>416216.92</v>
      </c>
      <c r="G3611" s="160">
        <f>'FACP$'!$F3611*0.16</f>
        <v>66594.7072</v>
      </c>
      <c r="H3611" s="160">
        <f t="shared" si="119"/>
        <v>482811.6272</v>
      </c>
      <c r="I3611" s="160"/>
      <c r="J3611" s="161"/>
      <c r="K3611" s="160"/>
      <c r="L3611" s="160">
        <f>+'FACP$'!$H3611-'FACP$'!$I3611-'FACP$'!$K3611</f>
        <v>482811.6272</v>
      </c>
      <c r="M3611" s="162" t="s">
        <v>985</v>
      </c>
      <c r="N3611" s="162" t="s">
        <v>554</v>
      </c>
      <c r="O3611" s="164">
        <v>44931.0</v>
      </c>
      <c r="P3611" s="164">
        <f t="array" ref="P3611">XLOOKUP('FACP$'!$B3611,'perfil de pagos'!A:A,'perfil de pagos'!B:B)+'FACP$'!$D3611</f>
        <v>44927</v>
      </c>
      <c r="Q3611" s="165">
        <f t="shared" si="2"/>
        <v>0</v>
      </c>
      <c r="R3611" s="167"/>
      <c r="S3611" s="167">
        <v>1872.0</v>
      </c>
      <c r="T3611" s="168">
        <f t="shared" si="3"/>
        <v>482811.6272</v>
      </c>
      <c r="U3611" s="168">
        <f t="shared" si="4"/>
        <v>0</v>
      </c>
      <c r="V3611" s="168">
        <f t="shared" si="5"/>
        <v>0</v>
      </c>
      <c r="W3611" s="168">
        <f t="shared" si="6"/>
        <v>0</v>
      </c>
      <c r="X3611" s="168">
        <f t="shared" si="7"/>
        <v>0</v>
      </c>
      <c r="Y3611" s="168">
        <f t="shared" si="8"/>
        <v>0</v>
      </c>
      <c r="Z3611" s="168">
        <f t="shared" si="9"/>
        <v>0</v>
      </c>
    </row>
    <row r="3612" ht="15.0" customHeight="1">
      <c r="A3612" s="157" t="s">
        <v>4521</v>
      </c>
      <c r="B3612" s="158" t="s">
        <v>16</v>
      </c>
      <c r="C3612" s="158" t="s">
        <v>4485</v>
      </c>
      <c r="D3612" s="159">
        <v>44917.0</v>
      </c>
      <c r="E3612" s="157" t="s">
        <v>731</v>
      </c>
      <c r="F3612" s="160">
        <v>395139.4</v>
      </c>
      <c r="G3612" s="160">
        <f>'FACP$'!$F3612*0.16</f>
        <v>63222.304</v>
      </c>
      <c r="H3612" s="160">
        <f t="shared" si="119"/>
        <v>458361.704</v>
      </c>
      <c r="I3612" s="160"/>
      <c r="J3612" s="161"/>
      <c r="K3612" s="160"/>
      <c r="L3612" s="160">
        <f>+'FACP$'!$H3612-'FACP$'!$I3612-'FACP$'!$K3612</f>
        <v>458361.704</v>
      </c>
      <c r="M3612" s="162" t="s">
        <v>985</v>
      </c>
      <c r="N3612" s="162" t="s">
        <v>554</v>
      </c>
      <c r="O3612" s="164">
        <v>44931.0</v>
      </c>
      <c r="P3612" s="164">
        <f t="array" ref="P3612">XLOOKUP('FACP$'!$B3612,'perfil de pagos'!A:A,'perfil de pagos'!B:B)+'FACP$'!$D3612</f>
        <v>44927</v>
      </c>
      <c r="Q3612" s="165">
        <f t="shared" si="2"/>
        <v>0</v>
      </c>
      <c r="R3612" s="167"/>
      <c r="S3612" s="167">
        <v>1872.0</v>
      </c>
      <c r="T3612" s="168">
        <f t="shared" si="3"/>
        <v>458361.704</v>
      </c>
      <c r="U3612" s="168">
        <f t="shared" si="4"/>
        <v>0</v>
      </c>
      <c r="V3612" s="168">
        <f t="shared" si="5"/>
        <v>0</v>
      </c>
      <c r="W3612" s="168">
        <f t="shared" si="6"/>
        <v>0</v>
      </c>
      <c r="X3612" s="168">
        <f t="shared" si="7"/>
        <v>0</v>
      </c>
      <c r="Y3612" s="168">
        <f t="shared" si="8"/>
        <v>0</v>
      </c>
      <c r="Z3612" s="168">
        <f t="shared" si="9"/>
        <v>0</v>
      </c>
    </row>
    <row r="3613" ht="15.0" customHeight="1">
      <c r="A3613" s="157" t="s">
        <v>4522</v>
      </c>
      <c r="B3613" s="158" t="s">
        <v>18</v>
      </c>
      <c r="C3613" s="158" t="s">
        <v>4482</v>
      </c>
      <c r="D3613" s="159">
        <v>44917.0</v>
      </c>
      <c r="E3613" s="157" t="s">
        <v>731</v>
      </c>
      <c r="F3613" s="160">
        <v>85425.65</v>
      </c>
      <c r="G3613" s="160">
        <f>'FACP$'!$F3613*0.16</f>
        <v>13668.104</v>
      </c>
      <c r="H3613" s="160">
        <f t="shared" si="119"/>
        <v>99093.754</v>
      </c>
      <c r="I3613" s="160"/>
      <c r="J3613" s="161"/>
      <c r="K3613" s="160"/>
      <c r="L3613" s="160">
        <f>+'FACP$'!$H3613-'FACP$'!$I3613-'FACP$'!$K3613</f>
        <v>99093.754</v>
      </c>
      <c r="M3613" s="162" t="s">
        <v>586</v>
      </c>
      <c r="N3613" s="162" t="s">
        <v>554</v>
      </c>
      <c r="O3613" s="164">
        <v>44922.0</v>
      </c>
      <c r="P3613" s="164">
        <f t="array" ref="P3613">XLOOKUP('FACP$'!$B3613,'perfil de pagos'!A:A,'perfil de pagos'!B:B)+'FACP$'!$D3613</f>
        <v>44927</v>
      </c>
      <c r="Q3613" s="165">
        <f t="shared" si="2"/>
        <v>0</v>
      </c>
      <c r="R3613" s="167"/>
      <c r="S3613" s="167">
        <v>1843.0</v>
      </c>
      <c r="T3613" s="168">
        <f t="shared" si="3"/>
        <v>99093.754</v>
      </c>
      <c r="U3613" s="168">
        <f t="shared" si="4"/>
        <v>0</v>
      </c>
      <c r="V3613" s="168">
        <f t="shared" si="5"/>
        <v>0</v>
      </c>
      <c r="W3613" s="168">
        <f t="shared" si="6"/>
        <v>0</v>
      </c>
      <c r="X3613" s="168">
        <f t="shared" si="7"/>
        <v>0</v>
      </c>
      <c r="Y3613" s="168">
        <f t="shared" si="8"/>
        <v>0</v>
      </c>
      <c r="Z3613" s="168">
        <f t="shared" si="9"/>
        <v>0</v>
      </c>
    </row>
    <row r="3614" ht="15.0" customHeight="1">
      <c r="A3614" s="157" t="s">
        <v>4523</v>
      </c>
      <c r="B3614" s="158" t="s">
        <v>19</v>
      </c>
      <c r="C3614" s="158" t="s">
        <v>4482</v>
      </c>
      <c r="D3614" s="159">
        <v>44917.0</v>
      </c>
      <c r="E3614" s="157" t="s">
        <v>731</v>
      </c>
      <c r="F3614" s="160">
        <v>218576.64</v>
      </c>
      <c r="G3614" s="160">
        <f>'FACP$'!$F3614*0.16</f>
        <v>34972.2624</v>
      </c>
      <c r="H3614" s="160">
        <f t="shared" si="119"/>
        <v>253548.9024</v>
      </c>
      <c r="I3614" s="160"/>
      <c r="J3614" s="161"/>
      <c r="K3614" s="160"/>
      <c r="L3614" s="160">
        <f>+'FACP$'!$H3614-'FACP$'!$I3614-'FACP$'!$K3614</f>
        <v>253548.9024</v>
      </c>
      <c r="M3614" s="162" t="s">
        <v>732</v>
      </c>
      <c r="N3614" s="162" t="s">
        <v>554</v>
      </c>
      <c r="O3614" s="164">
        <v>44967.0</v>
      </c>
      <c r="P3614" s="164">
        <f t="array" ref="P3614">XLOOKUP('FACP$'!$B3614,'perfil de pagos'!A:A,'perfil de pagos'!B:B)+'FACP$'!$D3614</f>
        <v>44927</v>
      </c>
      <c r="Q3614" s="165">
        <f t="shared" si="2"/>
        <v>0</v>
      </c>
      <c r="R3614" s="167"/>
      <c r="S3614" s="167">
        <v>1955.0</v>
      </c>
      <c r="T3614" s="168">
        <f t="shared" si="3"/>
        <v>253548.9024</v>
      </c>
      <c r="U3614" s="168">
        <f t="shared" si="4"/>
        <v>0</v>
      </c>
      <c r="V3614" s="168">
        <f t="shared" si="5"/>
        <v>0</v>
      </c>
      <c r="W3614" s="168">
        <f t="shared" si="6"/>
        <v>0</v>
      </c>
      <c r="X3614" s="168">
        <f t="shared" si="7"/>
        <v>0</v>
      </c>
      <c r="Y3614" s="168">
        <f t="shared" si="8"/>
        <v>0</v>
      </c>
      <c r="Z3614" s="168">
        <f t="shared" si="9"/>
        <v>0</v>
      </c>
    </row>
    <row r="3615" ht="15.0" customHeight="1">
      <c r="A3615" s="157" t="s">
        <v>4524</v>
      </c>
      <c r="B3615" s="158" t="s">
        <v>22</v>
      </c>
      <c r="C3615" s="158" t="s">
        <v>4482</v>
      </c>
      <c r="D3615" s="159">
        <v>44917.0</v>
      </c>
      <c r="E3615" s="157" t="s">
        <v>731</v>
      </c>
      <c r="F3615" s="160">
        <v>226033.55</v>
      </c>
      <c r="G3615" s="160">
        <f>'FACP$'!$F3615*0.16</f>
        <v>36165.368</v>
      </c>
      <c r="H3615" s="160">
        <f t="shared" si="119"/>
        <v>262198.918</v>
      </c>
      <c r="I3615" s="160"/>
      <c r="J3615" s="161"/>
      <c r="K3615" s="160"/>
      <c r="L3615" s="160">
        <f>+'FACP$'!$H3615-'FACP$'!$I3615-'FACP$'!$K3615</f>
        <v>262198.918</v>
      </c>
      <c r="M3615" s="162" t="s">
        <v>220</v>
      </c>
      <c r="N3615" s="162" t="s">
        <v>554</v>
      </c>
      <c r="O3615" s="164">
        <v>44978.0</v>
      </c>
      <c r="P3615" s="164">
        <f t="array" ref="P3615">XLOOKUP('FACP$'!$B3615,'perfil de pagos'!A:A,'perfil de pagos'!B:B)+'FACP$'!$D3615</f>
        <v>44927</v>
      </c>
      <c r="Q3615" s="165">
        <f t="shared" si="2"/>
        <v>0</v>
      </c>
      <c r="R3615" s="220" t="s">
        <v>4525</v>
      </c>
      <c r="S3615" s="167">
        <v>1998.0</v>
      </c>
      <c r="T3615" s="168">
        <f t="shared" si="3"/>
        <v>262198.918</v>
      </c>
      <c r="U3615" s="168">
        <f t="shared" si="4"/>
        <v>0</v>
      </c>
      <c r="V3615" s="168">
        <f t="shared" si="5"/>
        <v>0</v>
      </c>
      <c r="W3615" s="168">
        <f t="shared" si="6"/>
        <v>0</v>
      </c>
      <c r="X3615" s="168">
        <f t="shared" si="7"/>
        <v>0</v>
      </c>
      <c r="Y3615" s="168">
        <f t="shared" si="8"/>
        <v>0</v>
      </c>
      <c r="Z3615" s="168">
        <f t="shared" si="9"/>
        <v>0</v>
      </c>
    </row>
    <row r="3616" ht="15.0" customHeight="1">
      <c r="A3616" s="157" t="s">
        <v>4526</v>
      </c>
      <c r="B3616" s="158" t="s">
        <v>25</v>
      </c>
      <c r="C3616" s="158" t="s">
        <v>4482</v>
      </c>
      <c r="D3616" s="159">
        <v>44917.0</v>
      </c>
      <c r="E3616" s="157" t="s">
        <v>731</v>
      </c>
      <c r="F3616" s="160">
        <v>69377.02</v>
      </c>
      <c r="G3616" s="160">
        <f>'FACP$'!$F3616*0.16</f>
        <v>11100.3232</v>
      </c>
      <c r="H3616" s="160">
        <f t="shared" si="119"/>
        <v>80477.3432</v>
      </c>
      <c r="I3616" s="160"/>
      <c r="J3616" s="161"/>
      <c r="K3616" s="160"/>
      <c r="L3616" s="160">
        <f>+'FACP$'!$H3616-'FACP$'!$I3616-'FACP$'!$K3616</f>
        <v>80477.3432</v>
      </c>
      <c r="M3616" s="162" t="s">
        <v>4388</v>
      </c>
      <c r="N3616" s="162" t="s">
        <v>554</v>
      </c>
      <c r="O3616" s="164">
        <v>44970.0</v>
      </c>
      <c r="P3616" s="164">
        <f t="array" ref="P3616">XLOOKUP('FACP$'!$B3616,'perfil de pagos'!A:A,'perfil de pagos'!B:B)+'FACP$'!$D3616</f>
        <v>44927</v>
      </c>
      <c r="Q3616" s="165">
        <f t="shared" si="2"/>
        <v>0</v>
      </c>
      <c r="R3616" s="167"/>
      <c r="S3616" s="167">
        <v>1954.0</v>
      </c>
      <c r="T3616" s="168">
        <f t="shared" si="3"/>
        <v>80477.3432</v>
      </c>
      <c r="U3616" s="168">
        <f t="shared" si="4"/>
        <v>0</v>
      </c>
      <c r="V3616" s="168">
        <f t="shared" si="5"/>
        <v>0</v>
      </c>
      <c r="W3616" s="168">
        <f t="shared" si="6"/>
        <v>0</v>
      </c>
      <c r="X3616" s="168">
        <f t="shared" si="7"/>
        <v>0</v>
      </c>
      <c r="Y3616" s="168">
        <f t="shared" si="8"/>
        <v>0</v>
      </c>
      <c r="Z3616" s="168">
        <f t="shared" si="9"/>
        <v>0</v>
      </c>
    </row>
    <row r="3617" ht="15.0" customHeight="1">
      <c r="A3617" s="157" t="s">
        <v>4527</v>
      </c>
      <c r="B3617" s="158" t="s">
        <v>37</v>
      </c>
      <c r="C3617" s="158" t="s">
        <v>4482</v>
      </c>
      <c r="D3617" s="159">
        <v>44917.0</v>
      </c>
      <c r="E3617" s="157" t="s">
        <v>731</v>
      </c>
      <c r="F3617" s="160">
        <f>2107626.62-'NCP$'!F211</f>
        <v>1765233.16</v>
      </c>
      <c r="G3617" s="160">
        <f>'FACP$'!$F3617*0.16</f>
        <v>282437.3056</v>
      </c>
      <c r="H3617" s="160">
        <f t="shared" si="119"/>
        <v>2047670.466</v>
      </c>
      <c r="I3617" s="160"/>
      <c r="J3617" s="161"/>
      <c r="K3617" s="160"/>
      <c r="L3617" s="160">
        <f>+'FACP$'!$H3617-'FACP$'!$I3617-'FACP$'!$K3617</f>
        <v>2047670.466</v>
      </c>
      <c r="M3617" s="162" t="s">
        <v>116</v>
      </c>
      <c r="N3617" s="162" t="s">
        <v>554</v>
      </c>
      <c r="O3617" s="164">
        <v>44935.0</v>
      </c>
      <c r="P3617" s="164">
        <f t="array" ref="P3617">XLOOKUP('FACP$'!$B3617,'perfil de pagos'!A:A,'perfil de pagos'!B:B)+'FACP$'!$D3617</f>
        <v>44927</v>
      </c>
      <c r="Q3617" s="165">
        <f t="shared" si="2"/>
        <v>0</v>
      </c>
      <c r="R3617" s="167"/>
      <c r="S3617" s="167">
        <v>1876.0</v>
      </c>
      <c r="T3617" s="168">
        <f t="shared" si="3"/>
        <v>2047670.466</v>
      </c>
      <c r="U3617" s="168">
        <f t="shared" si="4"/>
        <v>0</v>
      </c>
      <c r="V3617" s="168">
        <f t="shared" si="5"/>
        <v>0</v>
      </c>
      <c r="W3617" s="168">
        <f t="shared" si="6"/>
        <v>0</v>
      </c>
      <c r="X3617" s="168">
        <f t="shared" si="7"/>
        <v>0</v>
      </c>
      <c r="Y3617" s="168">
        <f t="shared" si="8"/>
        <v>0</v>
      </c>
      <c r="Z3617" s="168">
        <f t="shared" si="9"/>
        <v>0</v>
      </c>
    </row>
    <row r="3618" ht="15.0" customHeight="1">
      <c r="A3618" s="157" t="s">
        <v>4528</v>
      </c>
      <c r="B3618" s="158" t="s">
        <v>27</v>
      </c>
      <c r="C3618" s="158" t="s">
        <v>4496</v>
      </c>
      <c r="D3618" s="159">
        <v>44918.0</v>
      </c>
      <c r="E3618" s="157" t="s">
        <v>731</v>
      </c>
      <c r="F3618" s="160">
        <v>340263.69</v>
      </c>
      <c r="G3618" s="160">
        <f>'FACP$'!$F3618*0.16</f>
        <v>54442.1904</v>
      </c>
      <c r="H3618" s="160">
        <f t="shared" si="119"/>
        <v>394705.8804</v>
      </c>
      <c r="I3618" s="160"/>
      <c r="J3618" s="161"/>
      <c r="K3618" s="160"/>
      <c r="L3618" s="160">
        <f>+'FACP$'!$H3618-'FACP$'!$I3618-'FACP$'!$K3618</f>
        <v>394705.8804</v>
      </c>
      <c r="M3618" s="162" t="s">
        <v>158</v>
      </c>
      <c r="N3618" s="162" t="s">
        <v>554</v>
      </c>
      <c r="O3618" s="164">
        <v>44931.0</v>
      </c>
      <c r="P3618" s="164">
        <f t="array" ref="P3618">XLOOKUP('FACP$'!$B3618,'perfil de pagos'!A:A,'perfil de pagos'!B:B)+'FACP$'!$D3618</f>
        <v>44948</v>
      </c>
      <c r="Q3618" s="165">
        <f t="shared" si="2"/>
        <v>0</v>
      </c>
      <c r="R3618" s="167"/>
      <c r="S3618" s="167">
        <v>1870.0</v>
      </c>
      <c r="T3618" s="168">
        <f t="shared" si="3"/>
        <v>394705.8804</v>
      </c>
      <c r="U3618" s="168">
        <f t="shared" si="4"/>
        <v>0</v>
      </c>
      <c r="V3618" s="168">
        <f t="shared" si="5"/>
        <v>0</v>
      </c>
      <c r="W3618" s="168">
        <f t="shared" si="6"/>
        <v>0</v>
      </c>
      <c r="X3618" s="168">
        <f t="shared" si="7"/>
        <v>0</v>
      </c>
      <c r="Y3618" s="168">
        <f t="shared" si="8"/>
        <v>0</v>
      </c>
      <c r="Z3618" s="168">
        <f t="shared" si="9"/>
        <v>0</v>
      </c>
    </row>
    <row r="3619" ht="15.0" customHeight="1">
      <c r="A3619" s="157" t="s">
        <v>4529</v>
      </c>
      <c r="B3619" s="158" t="s">
        <v>27</v>
      </c>
      <c r="C3619" s="158" t="s">
        <v>4499</v>
      </c>
      <c r="D3619" s="159">
        <v>44918.0</v>
      </c>
      <c r="E3619" s="157" t="s">
        <v>731</v>
      </c>
      <c r="F3619" s="160">
        <v>172490.43</v>
      </c>
      <c r="G3619" s="160">
        <f>'FACP$'!$F3619*0.16</f>
        <v>27598.4688</v>
      </c>
      <c r="H3619" s="160">
        <f t="shared" si="119"/>
        <v>200088.8988</v>
      </c>
      <c r="I3619" s="160"/>
      <c r="J3619" s="161"/>
      <c r="K3619" s="160"/>
      <c r="L3619" s="160">
        <f>+'FACP$'!$H3619-'FACP$'!$I3619-'FACP$'!$K3619</f>
        <v>200088.8988</v>
      </c>
      <c r="M3619" s="162" t="s">
        <v>158</v>
      </c>
      <c r="N3619" s="162" t="s">
        <v>554</v>
      </c>
      <c r="O3619" s="164">
        <v>44937.0</v>
      </c>
      <c r="P3619" s="164">
        <f t="array" ref="P3619">XLOOKUP('FACP$'!$B3619,'perfil de pagos'!A:A,'perfil de pagos'!B:B)+'FACP$'!$D3619</f>
        <v>44948</v>
      </c>
      <c r="Q3619" s="165">
        <f t="shared" si="2"/>
        <v>0</v>
      </c>
      <c r="R3619" s="167"/>
      <c r="S3619" s="167">
        <v>1880.0</v>
      </c>
      <c r="T3619" s="168">
        <f t="shared" si="3"/>
        <v>200088.8988</v>
      </c>
      <c r="U3619" s="168">
        <f t="shared" si="4"/>
        <v>0</v>
      </c>
      <c r="V3619" s="168">
        <f t="shared" si="5"/>
        <v>0</v>
      </c>
      <c r="W3619" s="168">
        <f t="shared" si="6"/>
        <v>0</v>
      </c>
      <c r="X3619" s="168">
        <f t="shared" si="7"/>
        <v>0</v>
      </c>
      <c r="Y3619" s="168">
        <f t="shared" si="8"/>
        <v>0</v>
      </c>
      <c r="Z3619" s="168">
        <f t="shared" si="9"/>
        <v>0</v>
      </c>
    </row>
    <row r="3620" ht="15.0" customHeight="1">
      <c r="A3620" s="157" t="s">
        <v>4530</v>
      </c>
      <c r="B3620" s="158" t="s">
        <v>38</v>
      </c>
      <c r="C3620" s="158" t="s">
        <v>4482</v>
      </c>
      <c r="D3620" s="159">
        <v>44918.0</v>
      </c>
      <c r="E3620" s="157" t="s">
        <v>731</v>
      </c>
      <c r="F3620" s="160">
        <v>807705.49</v>
      </c>
      <c r="G3620" s="160">
        <f>'FACP$'!$F3620*0.16</f>
        <v>129232.8784</v>
      </c>
      <c r="H3620" s="160">
        <f t="shared" si="119"/>
        <v>936938.3684</v>
      </c>
      <c r="I3620" s="160"/>
      <c r="J3620" s="161"/>
      <c r="K3620" s="160"/>
      <c r="L3620" s="160">
        <f>+'FACP$'!$H3620-'FACP$'!$I3620-'FACP$'!$K3620</f>
        <v>936938.3684</v>
      </c>
      <c r="M3620" s="162" t="s">
        <v>145</v>
      </c>
      <c r="N3620" s="162" t="s">
        <v>554</v>
      </c>
      <c r="O3620" s="164">
        <v>44981.0</v>
      </c>
      <c r="P3620" s="164">
        <f t="array" ref="P3620">XLOOKUP('FACP$'!$B3620,'perfil de pagos'!A:A,'perfil de pagos'!B:B)+'FACP$'!$D3620</f>
        <v>44948</v>
      </c>
      <c r="Q3620" s="165">
        <f t="shared" si="2"/>
        <v>0</v>
      </c>
      <c r="R3620" s="167"/>
      <c r="S3620" s="167">
        <v>1995.0</v>
      </c>
      <c r="T3620" s="168">
        <f t="shared" si="3"/>
        <v>936938.3684</v>
      </c>
      <c r="U3620" s="168">
        <f t="shared" si="4"/>
        <v>0</v>
      </c>
      <c r="V3620" s="168">
        <f t="shared" si="5"/>
        <v>0</v>
      </c>
      <c r="W3620" s="168">
        <f t="shared" si="6"/>
        <v>0</v>
      </c>
      <c r="X3620" s="168">
        <f t="shared" si="7"/>
        <v>0</v>
      </c>
      <c r="Y3620" s="168">
        <f t="shared" si="8"/>
        <v>0</v>
      </c>
      <c r="Z3620" s="168">
        <f t="shared" si="9"/>
        <v>0</v>
      </c>
    </row>
    <row r="3621" ht="15.0" customHeight="1">
      <c r="A3621" s="157" t="s">
        <v>4531</v>
      </c>
      <c r="B3621" s="158" t="s">
        <v>38</v>
      </c>
      <c r="C3621" s="158" t="s">
        <v>4482</v>
      </c>
      <c r="D3621" s="159">
        <v>44918.0</v>
      </c>
      <c r="E3621" s="157" t="s">
        <v>731</v>
      </c>
      <c r="F3621" s="160">
        <v>161108.31</v>
      </c>
      <c r="G3621" s="160">
        <f>'FACP$'!$F3621*0.16</f>
        <v>25777.3296</v>
      </c>
      <c r="H3621" s="160">
        <f t="shared" si="119"/>
        <v>186885.6396</v>
      </c>
      <c r="I3621" s="160"/>
      <c r="J3621" s="161"/>
      <c r="K3621" s="160"/>
      <c r="L3621" s="160">
        <f>+'FACP$'!$H3621-'FACP$'!$I3621-'FACP$'!$K3621</f>
        <v>186885.6396</v>
      </c>
      <c r="M3621" s="162" t="s">
        <v>642</v>
      </c>
      <c r="N3621" s="162" t="s">
        <v>554</v>
      </c>
      <c r="O3621" s="164">
        <v>44967.0</v>
      </c>
      <c r="P3621" s="164">
        <f t="array" ref="P3621">XLOOKUP('FACP$'!$B3621,'perfil de pagos'!A:A,'perfil de pagos'!B:B)+'FACP$'!$D3621</f>
        <v>44948</v>
      </c>
      <c r="Q3621" s="165">
        <f t="shared" si="2"/>
        <v>0</v>
      </c>
      <c r="R3621" s="167"/>
      <c r="S3621" s="167">
        <v>1952.0</v>
      </c>
      <c r="T3621" s="168">
        <f t="shared" si="3"/>
        <v>186885.6396</v>
      </c>
      <c r="U3621" s="168">
        <f t="shared" si="4"/>
        <v>0</v>
      </c>
      <c r="V3621" s="168">
        <f t="shared" si="5"/>
        <v>0</v>
      </c>
      <c r="W3621" s="168">
        <f t="shared" si="6"/>
        <v>0</v>
      </c>
      <c r="X3621" s="168">
        <f t="shared" si="7"/>
        <v>0</v>
      </c>
      <c r="Y3621" s="168">
        <f t="shared" si="8"/>
        <v>0</v>
      </c>
      <c r="Z3621" s="168">
        <f t="shared" si="9"/>
        <v>0</v>
      </c>
    </row>
    <row r="3622" ht="15.0" customHeight="1">
      <c r="A3622" s="157" t="s">
        <v>4532</v>
      </c>
      <c r="B3622" s="256" t="s">
        <v>146</v>
      </c>
      <c r="C3622" s="256"/>
      <c r="D3622" s="257"/>
      <c r="E3622" s="258"/>
      <c r="F3622" s="259"/>
      <c r="G3622" s="259"/>
      <c r="H3622" s="160">
        <f t="shared" si="119"/>
        <v>0</v>
      </c>
      <c r="I3622" s="259"/>
      <c r="J3622" s="260"/>
      <c r="K3622" s="259"/>
      <c r="L3622" s="259">
        <f>+'FACP$'!$H3622-'FACP$'!$I3622-'FACP$'!$K3622</f>
        <v>0</v>
      </c>
      <c r="M3622" s="261"/>
      <c r="N3622" s="261" t="s">
        <v>127</v>
      </c>
      <c r="O3622" s="262"/>
      <c r="P3622" s="262">
        <f t="shared" ref="P3622:P3623" si="121">D3622+10</f>
        <v>10</v>
      </c>
      <c r="Q3622" s="263">
        <f t="shared" si="2"/>
        <v>0</v>
      </c>
      <c r="R3622" s="264" t="s">
        <v>448</v>
      </c>
      <c r="S3622" s="264"/>
      <c r="T3622" s="168">
        <f t="shared" si="3"/>
        <v>0</v>
      </c>
      <c r="U3622" s="168">
        <f t="shared" si="4"/>
        <v>0</v>
      </c>
      <c r="V3622" s="168">
        <f t="shared" si="5"/>
        <v>0</v>
      </c>
      <c r="W3622" s="168">
        <f t="shared" si="6"/>
        <v>0</v>
      </c>
      <c r="X3622" s="168">
        <f t="shared" si="7"/>
        <v>0</v>
      </c>
      <c r="Y3622" s="168">
        <f t="shared" si="8"/>
        <v>0</v>
      </c>
      <c r="Z3622" s="168">
        <f t="shared" si="9"/>
        <v>0</v>
      </c>
    </row>
    <row r="3623" ht="15.0" customHeight="1">
      <c r="A3623" s="157" t="s">
        <v>4533</v>
      </c>
      <c r="B3623" s="256" t="s">
        <v>146</v>
      </c>
      <c r="C3623" s="256"/>
      <c r="D3623" s="257"/>
      <c r="E3623" s="258"/>
      <c r="F3623" s="259"/>
      <c r="G3623" s="259"/>
      <c r="H3623" s="160">
        <f t="shared" si="119"/>
        <v>0</v>
      </c>
      <c r="I3623" s="259"/>
      <c r="J3623" s="260"/>
      <c r="K3623" s="259"/>
      <c r="L3623" s="259">
        <f>+'FACP$'!$H3623-'FACP$'!$I3623-'FACP$'!$K3623</f>
        <v>0</v>
      </c>
      <c r="M3623" s="261"/>
      <c r="N3623" s="261" t="s">
        <v>127</v>
      </c>
      <c r="O3623" s="262"/>
      <c r="P3623" s="262">
        <f t="shared" si="121"/>
        <v>10</v>
      </c>
      <c r="Q3623" s="263">
        <f t="shared" si="2"/>
        <v>0</v>
      </c>
      <c r="R3623" s="269">
        <v>49273.26879999996</v>
      </c>
      <c r="S3623" s="264"/>
      <c r="T3623" s="168">
        <f t="shared" si="3"/>
        <v>0</v>
      </c>
      <c r="U3623" s="168">
        <f t="shared" si="4"/>
        <v>0</v>
      </c>
      <c r="V3623" s="168">
        <f t="shared" si="5"/>
        <v>0</v>
      </c>
      <c r="W3623" s="168">
        <f t="shared" si="6"/>
        <v>0</v>
      </c>
      <c r="X3623" s="168">
        <f t="shared" si="7"/>
        <v>0</v>
      </c>
      <c r="Y3623" s="168">
        <f t="shared" si="8"/>
        <v>0</v>
      </c>
      <c r="Z3623" s="168">
        <f t="shared" si="9"/>
        <v>0</v>
      </c>
    </row>
    <row r="3624" ht="15.0" customHeight="1">
      <c r="A3624" s="157" t="s">
        <v>4534</v>
      </c>
      <c r="B3624" s="158" t="s">
        <v>31</v>
      </c>
      <c r="C3624" s="158" t="s">
        <v>4535</v>
      </c>
      <c r="D3624" s="159">
        <v>44923.0</v>
      </c>
      <c r="E3624" s="157" t="s">
        <v>731</v>
      </c>
      <c r="F3624" s="160">
        <v>544894.5</v>
      </c>
      <c r="G3624" s="160">
        <f>'FACP$'!$F3624*0.16</f>
        <v>87183.12</v>
      </c>
      <c r="H3624" s="160">
        <f t="shared" si="119"/>
        <v>632077.62</v>
      </c>
      <c r="I3624" s="252">
        <f>49273.27+500000</f>
        <v>549273.27</v>
      </c>
      <c r="J3624" s="253"/>
      <c r="K3624" s="252"/>
      <c r="L3624" s="160">
        <f>+'FACP$'!$H3624-'FACP$'!$I3624-'FACP$'!$K3624</f>
        <v>82804.35</v>
      </c>
      <c r="M3624" s="162" t="s">
        <v>3183</v>
      </c>
      <c r="N3624" s="162" t="s">
        <v>554</v>
      </c>
      <c r="O3624" s="164">
        <v>45126.0</v>
      </c>
      <c r="P3624" s="164">
        <f t="array" ref="P3624">XLOOKUP('FACP$'!$B3624,'perfil de pagos'!A:A,'perfil de pagos'!B:B)+'FACP$'!$D3624</f>
        <v>44926</v>
      </c>
      <c r="Q3624" s="165">
        <f t="shared" si="2"/>
        <v>0</v>
      </c>
      <c r="R3624" s="220" t="s">
        <v>4536</v>
      </c>
      <c r="S3624" s="167" t="s">
        <v>4537</v>
      </c>
      <c r="T3624" s="168">
        <f t="shared" si="3"/>
        <v>82804.35</v>
      </c>
      <c r="U3624" s="168">
        <f t="shared" si="4"/>
        <v>0</v>
      </c>
      <c r="V3624" s="168">
        <f t="shared" si="5"/>
        <v>0</v>
      </c>
      <c r="W3624" s="168">
        <f t="shared" si="6"/>
        <v>0</v>
      </c>
      <c r="X3624" s="168">
        <f t="shared" si="7"/>
        <v>0</v>
      </c>
      <c r="Y3624" s="168">
        <f t="shared" si="8"/>
        <v>0</v>
      </c>
      <c r="Z3624" s="168">
        <f t="shared" si="9"/>
        <v>0</v>
      </c>
    </row>
    <row r="3625" ht="15.0" customHeight="1">
      <c r="A3625" s="157" t="s">
        <v>4538</v>
      </c>
      <c r="B3625" s="158" t="s">
        <v>27</v>
      </c>
      <c r="C3625" s="158" t="s">
        <v>4539</v>
      </c>
      <c r="D3625" s="159">
        <v>44925.0</v>
      </c>
      <c r="E3625" s="157" t="s">
        <v>731</v>
      </c>
      <c r="F3625" s="160">
        <f>340410.88-'NCP$'!F214</f>
        <v>339118.22</v>
      </c>
      <c r="G3625" s="160">
        <f>'FACP$'!$F3625*0.16</f>
        <v>54258.9152</v>
      </c>
      <c r="H3625" s="160">
        <f t="shared" si="119"/>
        <v>393377.1352</v>
      </c>
      <c r="I3625" s="160"/>
      <c r="J3625" s="161"/>
      <c r="K3625" s="160"/>
      <c r="L3625" s="160">
        <f>+'FACP$'!$H3625-'FACP$'!$I3625-'FACP$'!$K3625</f>
        <v>393377.1352</v>
      </c>
      <c r="M3625" s="162" t="s">
        <v>158</v>
      </c>
      <c r="N3625" s="162" t="s">
        <v>554</v>
      </c>
      <c r="O3625" s="164">
        <v>44960.0</v>
      </c>
      <c r="P3625" s="164">
        <f t="array" ref="P3625">XLOOKUP('FACP$'!$B3625,'perfil de pagos'!A:A,'perfil de pagos'!B:B)+'FACP$'!$D3625</f>
        <v>44955</v>
      </c>
      <c r="Q3625" s="165">
        <f t="shared" si="2"/>
        <v>0</v>
      </c>
      <c r="R3625" s="167"/>
      <c r="S3625" s="167">
        <v>1937.0</v>
      </c>
      <c r="T3625" s="168">
        <f t="shared" si="3"/>
        <v>393377.1352</v>
      </c>
      <c r="U3625" s="168">
        <f t="shared" si="4"/>
        <v>0</v>
      </c>
      <c r="V3625" s="168">
        <f t="shared" si="5"/>
        <v>0</v>
      </c>
      <c r="W3625" s="168">
        <f t="shared" si="6"/>
        <v>0</v>
      </c>
      <c r="X3625" s="168">
        <f t="shared" si="7"/>
        <v>0</v>
      </c>
      <c r="Y3625" s="168">
        <f t="shared" si="8"/>
        <v>0</v>
      </c>
      <c r="Z3625" s="168">
        <f t="shared" si="9"/>
        <v>0</v>
      </c>
    </row>
    <row r="3626" ht="15.0" customHeight="1">
      <c r="A3626" s="157" t="s">
        <v>4540</v>
      </c>
      <c r="B3626" s="158" t="s">
        <v>27</v>
      </c>
      <c r="C3626" s="158" t="s">
        <v>4541</v>
      </c>
      <c r="D3626" s="159">
        <v>44925.0</v>
      </c>
      <c r="E3626" s="157" t="s">
        <v>731</v>
      </c>
      <c r="F3626" s="160">
        <v>165243.55</v>
      </c>
      <c r="G3626" s="160">
        <f>'FACP$'!$F3626*0.16</f>
        <v>26438.968</v>
      </c>
      <c r="H3626" s="160">
        <f t="shared" si="119"/>
        <v>191682.518</v>
      </c>
      <c r="I3626" s="160"/>
      <c r="J3626" s="161"/>
      <c r="K3626" s="160"/>
      <c r="L3626" s="160">
        <f>+'FACP$'!$H3626-'FACP$'!$I3626-'FACP$'!$K3626</f>
        <v>191682.518</v>
      </c>
      <c r="M3626" s="162" t="s">
        <v>158</v>
      </c>
      <c r="N3626" s="162" t="s">
        <v>554</v>
      </c>
      <c r="O3626" s="164">
        <v>44960.0</v>
      </c>
      <c r="P3626" s="164">
        <f t="array" ref="P3626">XLOOKUP('FACP$'!$B3626,'perfil de pagos'!A:A,'perfil de pagos'!B:B)+'FACP$'!$D3626</f>
        <v>44955</v>
      </c>
      <c r="Q3626" s="165">
        <f t="shared" si="2"/>
        <v>0</v>
      </c>
      <c r="R3626" s="167"/>
      <c r="S3626" s="167">
        <v>1937.0</v>
      </c>
      <c r="T3626" s="168">
        <f t="shared" si="3"/>
        <v>191682.518</v>
      </c>
      <c r="U3626" s="168">
        <f t="shared" si="4"/>
        <v>0</v>
      </c>
      <c r="V3626" s="168">
        <f t="shared" si="5"/>
        <v>0</v>
      </c>
      <c r="W3626" s="168">
        <f t="shared" si="6"/>
        <v>0</v>
      </c>
      <c r="X3626" s="168">
        <f t="shared" si="7"/>
        <v>0</v>
      </c>
      <c r="Y3626" s="168">
        <f t="shared" si="8"/>
        <v>0</v>
      </c>
      <c r="Z3626" s="168">
        <f t="shared" si="9"/>
        <v>0</v>
      </c>
    </row>
    <row r="3627" ht="15.0" customHeight="1">
      <c r="A3627" s="157" t="s">
        <v>4542</v>
      </c>
      <c r="B3627" s="158" t="s">
        <v>27</v>
      </c>
      <c r="C3627" s="158" t="s">
        <v>4539</v>
      </c>
      <c r="D3627" s="159">
        <v>44925.0</v>
      </c>
      <c r="E3627" s="157" t="s">
        <v>731</v>
      </c>
      <c r="F3627" s="160">
        <f>469559.4-'NCP$'!F215</f>
        <v>460258.85</v>
      </c>
      <c r="G3627" s="160">
        <f>'FACP$'!$F3627*0.16</f>
        <v>73641.416</v>
      </c>
      <c r="H3627" s="160">
        <f t="shared" si="119"/>
        <v>533900.266</v>
      </c>
      <c r="I3627" s="160"/>
      <c r="J3627" s="161"/>
      <c r="K3627" s="160"/>
      <c r="L3627" s="160">
        <f>+'FACP$'!$H3627-'FACP$'!$I3627-'FACP$'!$K3627</f>
        <v>533900.266</v>
      </c>
      <c r="M3627" s="162" t="s">
        <v>151</v>
      </c>
      <c r="N3627" s="162" t="s">
        <v>554</v>
      </c>
      <c r="O3627" s="164">
        <v>44960.0</v>
      </c>
      <c r="P3627" s="164">
        <f t="array" ref="P3627">XLOOKUP('FACP$'!$B3627,'perfil de pagos'!A:A,'perfil de pagos'!B:B)+'FACP$'!$D3627</f>
        <v>44955</v>
      </c>
      <c r="Q3627" s="165">
        <f t="shared" si="2"/>
        <v>0</v>
      </c>
      <c r="R3627" s="167"/>
      <c r="S3627" s="167">
        <v>1936.0</v>
      </c>
      <c r="T3627" s="168">
        <f t="shared" si="3"/>
        <v>533900.266</v>
      </c>
      <c r="U3627" s="168">
        <f t="shared" si="4"/>
        <v>0</v>
      </c>
      <c r="V3627" s="168">
        <f t="shared" si="5"/>
        <v>0</v>
      </c>
      <c r="W3627" s="168">
        <f t="shared" si="6"/>
        <v>0</v>
      </c>
      <c r="X3627" s="168">
        <f t="shared" si="7"/>
        <v>0</v>
      </c>
      <c r="Y3627" s="168">
        <f t="shared" si="8"/>
        <v>0</v>
      </c>
      <c r="Z3627" s="168">
        <f t="shared" si="9"/>
        <v>0</v>
      </c>
    </row>
    <row r="3628" ht="15.0" customHeight="1">
      <c r="A3628" s="157" t="s">
        <v>4543</v>
      </c>
      <c r="B3628" s="158" t="s">
        <v>27</v>
      </c>
      <c r="C3628" s="158" t="s">
        <v>4541</v>
      </c>
      <c r="D3628" s="159">
        <v>44925.0</v>
      </c>
      <c r="E3628" s="157" t="s">
        <v>731</v>
      </c>
      <c r="F3628" s="160">
        <f>201728.87-'NCP$'!F216</f>
        <v>197719.12</v>
      </c>
      <c r="G3628" s="160">
        <f>'FACP$'!$F3628*0.16</f>
        <v>31635.0592</v>
      </c>
      <c r="H3628" s="160">
        <f t="shared" si="119"/>
        <v>229354.1792</v>
      </c>
      <c r="I3628" s="160"/>
      <c r="J3628" s="161"/>
      <c r="K3628" s="160"/>
      <c r="L3628" s="160">
        <f>+'FACP$'!$H3628-'FACP$'!$I3628-'FACP$'!$K3628</f>
        <v>229354.1792</v>
      </c>
      <c r="M3628" s="162" t="s">
        <v>151</v>
      </c>
      <c r="N3628" s="162" t="s">
        <v>554</v>
      </c>
      <c r="O3628" s="164">
        <v>44960.0</v>
      </c>
      <c r="P3628" s="164">
        <f t="array" ref="P3628">XLOOKUP('FACP$'!$B3628,'perfil de pagos'!A:A,'perfil de pagos'!B:B)+'FACP$'!$D3628</f>
        <v>44955</v>
      </c>
      <c r="Q3628" s="165">
        <f t="shared" si="2"/>
        <v>0</v>
      </c>
      <c r="R3628" s="167"/>
      <c r="S3628" s="167">
        <v>1936.0</v>
      </c>
      <c r="T3628" s="168">
        <f t="shared" si="3"/>
        <v>229354.1792</v>
      </c>
      <c r="U3628" s="168">
        <f t="shared" si="4"/>
        <v>0</v>
      </c>
      <c r="V3628" s="168">
        <f t="shared" si="5"/>
        <v>0</v>
      </c>
      <c r="W3628" s="168">
        <f t="shared" si="6"/>
        <v>0</v>
      </c>
      <c r="X3628" s="168">
        <f t="shared" si="7"/>
        <v>0</v>
      </c>
      <c r="Y3628" s="168">
        <f t="shared" si="8"/>
        <v>0</v>
      </c>
      <c r="Z3628" s="168">
        <f t="shared" si="9"/>
        <v>0</v>
      </c>
    </row>
    <row r="3629" ht="15.0" customHeight="1">
      <c r="A3629" s="157" t="s">
        <v>4544</v>
      </c>
      <c r="B3629" s="158" t="s">
        <v>27</v>
      </c>
      <c r="C3629" s="158" t="s">
        <v>4545</v>
      </c>
      <c r="D3629" s="159">
        <v>44925.0</v>
      </c>
      <c r="E3629" s="157" t="s">
        <v>731</v>
      </c>
      <c r="F3629" s="160">
        <f>19262.06-'NCP$'!F217</f>
        <v>18881.47</v>
      </c>
      <c r="G3629" s="160">
        <f>'FACP$'!$F3629*0.16</f>
        <v>3021.0352</v>
      </c>
      <c r="H3629" s="160">
        <f t="shared" si="119"/>
        <v>21902.5052</v>
      </c>
      <c r="I3629" s="160"/>
      <c r="J3629" s="161"/>
      <c r="K3629" s="160"/>
      <c r="L3629" s="160">
        <f>+'FACP$'!$H3629-'FACP$'!$I3629-'FACP$'!$K3629</f>
        <v>21902.5052</v>
      </c>
      <c r="M3629" s="162" t="s">
        <v>151</v>
      </c>
      <c r="N3629" s="162" t="s">
        <v>554</v>
      </c>
      <c r="O3629" s="164">
        <v>44960.0</v>
      </c>
      <c r="P3629" s="164">
        <f t="array" ref="P3629">XLOOKUP('FACP$'!$B3629,'perfil de pagos'!A:A,'perfil de pagos'!B:B)+'FACP$'!$D3629</f>
        <v>44955</v>
      </c>
      <c r="Q3629" s="165">
        <f t="shared" si="2"/>
        <v>0</v>
      </c>
      <c r="R3629" s="167"/>
      <c r="S3629" s="167">
        <v>1936.0</v>
      </c>
      <c r="T3629" s="168">
        <f t="shared" si="3"/>
        <v>21902.5052</v>
      </c>
      <c r="U3629" s="168">
        <f t="shared" si="4"/>
        <v>0</v>
      </c>
      <c r="V3629" s="168">
        <f t="shared" si="5"/>
        <v>0</v>
      </c>
      <c r="W3629" s="168">
        <f t="shared" si="6"/>
        <v>0</v>
      </c>
      <c r="X3629" s="168">
        <f t="shared" si="7"/>
        <v>0</v>
      </c>
      <c r="Y3629" s="168">
        <f t="shared" si="8"/>
        <v>0</v>
      </c>
      <c r="Z3629" s="168">
        <f t="shared" si="9"/>
        <v>0</v>
      </c>
    </row>
    <row r="3630" ht="15.0" customHeight="1">
      <c r="A3630" s="157" t="s">
        <v>4546</v>
      </c>
      <c r="B3630" s="158" t="s">
        <v>27</v>
      </c>
      <c r="C3630" s="158" t="s">
        <v>4547</v>
      </c>
      <c r="D3630" s="159">
        <v>44925.0</v>
      </c>
      <c r="E3630" s="157" t="s">
        <v>731</v>
      </c>
      <c r="F3630" s="160">
        <f>10985-'NCP$'!F218</f>
        <v>10845.95</v>
      </c>
      <c r="G3630" s="160">
        <f>'FACP$'!$F3630*0.16</f>
        <v>1735.352</v>
      </c>
      <c r="H3630" s="160">
        <f t="shared" si="119"/>
        <v>12581.302</v>
      </c>
      <c r="I3630" s="160"/>
      <c r="J3630" s="161"/>
      <c r="K3630" s="160"/>
      <c r="L3630" s="160">
        <f>+'FACP$'!$H3630-'FACP$'!$I3630-'FACP$'!$K3630</f>
        <v>12581.302</v>
      </c>
      <c r="M3630" s="162" t="s">
        <v>151</v>
      </c>
      <c r="N3630" s="162" t="s">
        <v>554</v>
      </c>
      <c r="O3630" s="164">
        <v>44960.0</v>
      </c>
      <c r="P3630" s="164">
        <f t="array" ref="P3630">XLOOKUP('FACP$'!$B3630,'perfil de pagos'!A:A,'perfil de pagos'!B:B)+'FACP$'!$D3630</f>
        <v>44955</v>
      </c>
      <c r="Q3630" s="165">
        <f t="shared" si="2"/>
        <v>0</v>
      </c>
      <c r="R3630" s="167"/>
      <c r="S3630" s="167">
        <v>1936.0</v>
      </c>
      <c r="T3630" s="168">
        <f t="shared" si="3"/>
        <v>12581.302</v>
      </c>
      <c r="U3630" s="168">
        <f t="shared" si="4"/>
        <v>0</v>
      </c>
      <c r="V3630" s="168">
        <f t="shared" si="5"/>
        <v>0</v>
      </c>
      <c r="W3630" s="168">
        <f t="shared" si="6"/>
        <v>0</v>
      </c>
      <c r="X3630" s="168">
        <f t="shared" si="7"/>
        <v>0</v>
      </c>
      <c r="Y3630" s="168">
        <f t="shared" si="8"/>
        <v>0</v>
      </c>
      <c r="Z3630" s="168">
        <f t="shared" si="9"/>
        <v>0</v>
      </c>
    </row>
    <row r="3631" ht="15.0" customHeight="1">
      <c r="A3631" s="157" t="s">
        <v>4548</v>
      </c>
      <c r="B3631" s="158" t="s">
        <v>15</v>
      </c>
      <c r="C3631" s="158" t="s">
        <v>4549</v>
      </c>
      <c r="D3631" s="159">
        <v>44929.0</v>
      </c>
      <c r="E3631" s="157" t="s">
        <v>731</v>
      </c>
      <c r="F3631" s="160">
        <v>2478161.4</v>
      </c>
      <c r="G3631" s="160">
        <f>'FACP$'!$F3631*0.16</f>
        <v>396505.824</v>
      </c>
      <c r="H3631" s="160">
        <f t="shared" si="119"/>
        <v>2874667.224</v>
      </c>
      <c r="I3631" s="160"/>
      <c r="J3631" s="161"/>
      <c r="K3631" s="160"/>
      <c r="L3631" s="160">
        <f>+'FACP$'!$H3631-'FACP$'!$I3631-'FACP$'!$K3631</f>
        <v>2874667.224</v>
      </c>
      <c r="M3631" s="162" t="s">
        <v>443</v>
      </c>
      <c r="N3631" s="162" t="s">
        <v>554</v>
      </c>
      <c r="O3631" s="164">
        <v>44950.0</v>
      </c>
      <c r="P3631" s="164">
        <f t="array" ref="P3631">XLOOKUP('FACP$'!$B3631,'perfil de pagos'!A:A,'perfil de pagos'!B:B)+'FACP$'!$D3631</f>
        <v>44939</v>
      </c>
      <c r="Q3631" s="165">
        <f t="shared" si="2"/>
        <v>0</v>
      </c>
      <c r="R3631" s="167"/>
      <c r="S3631" s="167"/>
      <c r="T3631" s="168">
        <f t="shared" si="3"/>
        <v>2874667.224</v>
      </c>
      <c r="U3631" s="168">
        <f t="shared" si="4"/>
        <v>0</v>
      </c>
      <c r="V3631" s="168">
        <f t="shared" si="5"/>
        <v>0</v>
      </c>
      <c r="W3631" s="168">
        <f t="shared" si="6"/>
        <v>0</v>
      </c>
      <c r="X3631" s="168">
        <f t="shared" si="7"/>
        <v>0</v>
      </c>
      <c r="Y3631" s="168">
        <f t="shared" si="8"/>
        <v>0</v>
      </c>
      <c r="Z3631" s="168">
        <f t="shared" si="9"/>
        <v>0</v>
      </c>
    </row>
    <row r="3632" ht="15.0" customHeight="1">
      <c r="A3632" s="157" t="s">
        <v>4550</v>
      </c>
      <c r="B3632" s="158" t="s">
        <v>32</v>
      </c>
      <c r="C3632" s="158" t="s">
        <v>4551</v>
      </c>
      <c r="D3632" s="159">
        <v>44929.0</v>
      </c>
      <c r="E3632" s="157" t="s">
        <v>731</v>
      </c>
      <c r="F3632" s="160">
        <v>237092.54</v>
      </c>
      <c r="G3632" s="160">
        <f>'FACP$'!$F3632*0.16</f>
        <v>37934.8064</v>
      </c>
      <c r="H3632" s="160">
        <f t="shared" si="119"/>
        <v>275027.3464</v>
      </c>
      <c r="I3632" s="160"/>
      <c r="J3632" s="161"/>
      <c r="K3632" s="160"/>
      <c r="L3632" s="160">
        <f>+'FACP$'!$H3632-'FACP$'!$I3632-'FACP$'!$K3632</f>
        <v>275027.3464</v>
      </c>
      <c r="M3632" s="162" t="s">
        <v>395</v>
      </c>
      <c r="N3632" s="162" t="s">
        <v>127</v>
      </c>
      <c r="O3632" s="164"/>
      <c r="P3632" s="164">
        <f t="array" ref="P3632">XLOOKUP('FACP$'!$B3632,'perfil de pagos'!A:A,'perfil de pagos'!B:B)+'FACP$'!$D3632</f>
        <v>44939</v>
      </c>
      <c r="Q3632" s="165">
        <f t="shared" si="2"/>
        <v>0</v>
      </c>
      <c r="R3632" s="167" t="s">
        <v>4552</v>
      </c>
      <c r="S3632" s="167"/>
      <c r="T3632" s="168">
        <f t="shared" si="3"/>
        <v>275027.3464</v>
      </c>
      <c r="U3632" s="168">
        <f t="shared" si="4"/>
        <v>0</v>
      </c>
      <c r="V3632" s="168">
        <f t="shared" si="5"/>
        <v>0</v>
      </c>
      <c r="W3632" s="168">
        <f t="shared" si="6"/>
        <v>0</v>
      </c>
      <c r="X3632" s="168">
        <f t="shared" si="7"/>
        <v>0</v>
      </c>
      <c r="Y3632" s="168">
        <f t="shared" si="8"/>
        <v>0</v>
      </c>
      <c r="Z3632" s="168">
        <f t="shared" si="9"/>
        <v>0</v>
      </c>
    </row>
    <row r="3633" ht="15.0" customHeight="1">
      <c r="A3633" s="157" t="s">
        <v>4553</v>
      </c>
      <c r="B3633" s="158" t="s">
        <v>31</v>
      </c>
      <c r="C3633" s="158" t="s">
        <v>4554</v>
      </c>
      <c r="D3633" s="159">
        <v>44929.0</v>
      </c>
      <c r="E3633" s="157" t="s">
        <v>731</v>
      </c>
      <c r="F3633" s="160">
        <v>343598.67</v>
      </c>
      <c r="G3633" s="160">
        <f>'FACP$'!$F3633*0.16</f>
        <v>54975.7872</v>
      </c>
      <c r="H3633" s="160">
        <f t="shared" si="119"/>
        <v>398574.4572</v>
      </c>
      <c r="I3633" s="252"/>
      <c r="J3633" s="253"/>
      <c r="K3633" s="252"/>
      <c r="L3633" s="160">
        <f>+'FACP$'!$H3633-'FACP$'!$I3633-'FACP$'!$K3633</f>
        <v>398574.4572</v>
      </c>
      <c r="M3633" s="162" t="s">
        <v>3183</v>
      </c>
      <c r="N3633" s="162" t="s">
        <v>554</v>
      </c>
      <c r="O3633" s="164">
        <v>44953.0</v>
      </c>
      <c r="P3633" s="164">
        <f t="array" ref="P3633">XLOOKUP('FACP$'!$B3633,'perfil de pagos'!A:A,'perfil de pagos'!B:B)+'FACP$'!$D3633</f>
        <v>44932</v>
      </c>
      <c r="Q3633" s="165">
        <f t="shared" si="2"/>
        <v>0</v>
      </c>
      <c r="R3633" s="167"/>
      <c r="S3633" s="167">
        <v>2285.0</v>
      </c>
      <c r="T3633" s="168">
        <f t="shared" si="3"/>
        <v>398574.4572</v>
      </c>
      <c r="U3633" s="168">
        <f t="shared" si="4"/>
        <v>0</v>
      </c>
      <c r="V3633" s="168">
        <f t="shared" si="5"/>
        <v>0</v>
      </c>
      <c r="W3633" s="168">
        <f t="shared" si="6"/>
        <v>0</v>
      </c>
      <c r="X3633" s="168">
        <f t="shared" si="7"/>
        <v>0</v>
      </c>
      <c r="Y3633" s="168">
        <f t="shared" si="8"/>
        <v>0</v>
      </c>
      <c r="Z3633" s="168">
        <f t="shared" si="9"/>
        <v>0</v>
      </c>
    </row>
    <row r="3634" ht="15.0" customHeight="1">
      <c r="A3634" s="157" t="s">
        <v>4555</v>
      </c>
      <c r="B3634" s="158" t="s">
        <v>35</v>
      </c>
      <c r="C3634" s="158" t="s">
        <v>4549</v>
      </c>
      <c r="D3634" s="159">
        <v>44929.0</v>
      </c>
      <c r="E3634" s="157" t="s">
        <v>731</v>
      </c>
      <c r="F3634" s="160">
        <f>811366.89</f>
        <v>811366.89</v>
      </c>
      <c r="G3634" s="160">
        <f>'FACP$'!$F3634*0.16</f>
        <v>129818.7024</v>
      </c>
      <c r="H3634" s="160">
        <f t="shared" si="119"/>
        <v>941185.5924</v>
      </c>
      <c r="I3634" s="160">
        <v>97.61</v>
      </c>
      <c r="J3634" s="161"/>
      <c r="K3634" s="160"/>
      <c r="L3634" s="160">
        <f>+'FACP$'!$H3634-'FACP$'!$I3634-'FACP$'!$K3634</f>
        <v>941087.9824</v>
      </c>
      <c r="M3634" s="162" t="s">
        <v>276</v>
      </c>
      <c r="N3634" s="162" t="s">
        <v>554</v>
      </c>
      <c r="O3634" s="164">
        <v>44949.0</v>
      </c>
      <c r="P3634" s="164">
        <f t="array" ref="P3634">XLOOKUP('FACP$'!$B3634,'perfil de pagos'!A:A,'perfil de pagos'!B:B)+'FACP$'!$D3634</f>
        <v>44939</v>
      </c>
      <c r="Q3634" s="165">
        <f t="shared" si="2"/>
        <v>0</v>
      </c>
      <c r="R3634" s="167"/>
      <c r="S3634" s="167"/>
      <c r="T3634" s="168">
        <f t="shared" si="3"/>
        <v>941087.9824</v>
      </c>
      <c r="U3634" s="168">
        <f t="shared" si="4"/>
        <v>0</v>
      </c>
      <c r="V3634" s="168">
        <f t="shared" si="5"/>
        <v>0</v>
      </c>
      <c r="W3634" s="168">
        <f t="shared" si="6"/>
        <v>0</v>
      </c>
      <c r="X3634" s="168">
        <f t="shared" si="7"/>
        <v>0</v>
      </c>
      <c r="Y3634" s="168">
        <f t="shared" si="8"/>
        <v>0</v>
      </c>
      <c r="Z3634" s="168">
        <f t="shared" si="9"/>
        <v>0</v>
      </c>
    </row>
    <row r="3635" ht="15.0" customHeight="1">
      <c r="A3635" s="157" t="s">
        <v>4556</v>
      </c>
      <c r="B3635" s="158" t="s">
        <v>36</v>
      </c>
      <c r="C3635" s="158" t="s">
        <v>4549</v>
      </c>
      <c r="D3635" s="159">
        <v>44929.0</v>
      </c>
      <c r="E3635" s="157" t="s">
        <v>731</v>
      </c>
      <c r="F3635" s="160">
        <v>135579.82</v>
      </c>
      <c r="G3635" s="160">
        <f>'FACP$'!$F3635*0.16</f>
        <v>21692.7712</v>
      </c>
      <c r="H3635" s="160">
        <f>F3635+G3635-51201.12</f>
        <v>106071.4712</v>
      </c>
      <c r="I3635" s="160"/>
      <c r="J3635" s="161"/>
      <c r="K3635" s="160"/>
      <c r="L3635" s="160">
        <f>+'FACP$'!$H3635-'FACP$'!$I3635-'FACP$'!$K3635</f>
        <v>106071.4712</v>
      </c>
      <c r="M3635" s="162" t="s">
        <v>278</v>
      </c>
      <c r="N3635" s="162" t="s">
        <v>554</v>
      </c>
      <c r="O3635" s="164">
        <v>44950.0</v>
      </c>
      <c r="P3635" s="164">
        <f t="array" ref="P3635">XLOOKUP('FACP$'!$B3635,'perfil de pagos'!A:A,'perfil de pagos'!B:B)+'FACP$'!$D3635</f>
        <v>44939</v>
      </c>
      <c r="Q3635" s="165">
        <f t="shared" si="2"/>
        <v>0</v>
      </c>
      <c r="R3635" s="167" t="s">
        <v>4557</v>
      </c>
      <c r="S3635" s="167">
        <v>1890.0</v>
      </c>
      <c r="T3635" s="168">
        <f t="shared" si="3"/>
        <v>106071.4712</v>
      </c>
      <c r="U3635" s="168">
        <f t="shared" si="4"/>
        <v>0</v>
      </c>
      <c r="V3635" s="168">
        <f t="shared" si="5"/>
        <v>0</v>
      </c>
      <c r="W3635" s="168">
        <f t="shared" si="6"/>
        <v>0</v>
      </c>
      <c r="X3635" s="168">
        <f t="shared" si="7"/>
        <v>0</v>
      </c>
      <c r="Y3635" s="168">
        <f t="shared" si="8"/>
        <v>0</v>
      </c>
      <c r="Z3635" s="168">
        <f t="shared" si="9"/>
        <v>0</v>
      </c>
    </row>
    <row r="3636" ht="15.0" customHeight="1">
      <c r="A3636" s="157" t="s">
        <v>4558</v>
      </c>
      <c r="B3636" s="158" t="s">
        <v>41</v>
      </c>
      <c r="C3636" s="158" t="s">
        <v>4549</v>
      </c>
      <c r="D3636" s="159">
        <v>44929.0</v>
      </c>
      <c r="E3636" s="157" t="s">
        <v>731</v>
      </c>
      <c r="F3636" s="160">
        <v>1526899.93</v>
      </c>
      <c r="G3636" s="160">
        <f>'FACP$'!$F3636*0.16</f>
        <v>244303.9888</v>
      </c>
      <c r="H3636" s="160">
        <f t="shared" ref="H3636:H4052" si="122">F3636+G3636</f>
        <v>1771203.919</v>
      </c>
      <c r="I3636" s="160"/>
      <c r="J3636" s="161"/>
      <c r="K3636" s="160"/>
      <c r="L3636" s="160">
        <f>+'FACP$'!$H3636-'FACP$'!$I3636-'FACP$'!$K3636</f>
        <v>1771203.919</v>
      </c>
      <c r="M3636" s="162" t="s">
        <v>121</v>
      </c>
      <c r="N3636" s="162" t="s">
        <v>554</v>
      </c>
      <c r="O3636" s="164">
        <v>44999.0</v>
      </c>
      <c r="P3636" s="164">
        <f t="array" ref="P3636">XLOOKUP('FACP$'!$B3636,'perfil de pagos'!A:A,'perfil de pagos'!B:B)+'FACP$'!$D3636</f>
        <v>44939</v>
      </c>
      <c r="Q3636" s="165">
        <f t="shared" si="2"/>
        <v>0</v>
      </c>
      <c r="R3636" s="167"/>
      <c r="S3636" s="167">
        <v>2039.0</v>
      </c>
      <c r="T3636" s="168">
        <f t="shared" si="3"/>
        <v>1771203.919</v>
      </c>
      <c r="U3636" s="168">
        <f t="shared" si="4"/>
        <v>0</v>
      </c>
      <c r="V3636" s="168">
        <f t="shared" si="5"/>
        <v>0</v>
      </c>
      <c r="W3636" s="168">
        <f t="shared" si="6"/>
        <v>0</v>
      </c>
      <c r="X3636" s="168">
        <f t="shared" si="7"/>
        <v>0</v>
      </c>
      <c r="Y3636" s="168">
        <f t="shared" si="8"/>
        <v>0</v>
      </c>
      <c r="Z3636" s="168">
        <f t="shared" si="9"/>
        <v>0</v>
      </c>
    </row>
    <row r="3637" ht="15.0" customHeight="1">
      <c r="A3637" s="157" t="s">
        <v>4559</v>
      </c>
      <c r="B3637" s="158" t="s">
        <v>42</v>
      </c>
      <c r="C3637" s="158" t="s">
        <v>4549</v>
      </c>
      <c r="D3637" s="159">
        <v>44929.0</v>
      </c>
      <c r="E3637" s="157" t="s">
        <v>731</v>
      </c>
      <c r="F3637" s="160">
        <v>489396.2</v>
      </c>
      <c r="G3637" s="160">
        <f>'FACP$'!$F3637*0.16</f>
        <v>78303.392</v>
      </c>
      <c r="H3637" s="160">
        <f t="shared" si="122"/>
        <v>567699.592</v>
      </c>
      <c r="I3637" s="160"/>
      <c r="J3637" s="161"/>
      <c r="K3637" s="160"/>
      <c r="L3637" s="160">
        <f>+'FACP$'!$H3637-'FACP$'!$I3637-'FACP$'!$K3637</f>
        <v>567699.592</v>
      </c>
      <c r="M3637" s="162" t="s">
        <v>42</v>
      </c>
      <c r="N3637" s="162" t="s">
        <v>554</v>
      </c>
      <c r="O3637" s="164">
        <v>44952.0</v>
      </c>
      <c r="P3637" s="164">
        <f t="array" ref="P3637">XLOOKUP('FACP$'!$B3637,'perfil de pagos'!A:A,'perfil de pagos'!B:B)+'FACP$'!$D3637</f>
        <v>44939</v>
      </c>
      <c r="Q3637" s="165">
        <f t="shared" si="2"/>
        <v>0</v>
      </c>
      <c r="R3637" s="167"/>
      <c r="S3637" s="167"/>
      <c r="T3637" s="168">
        <f t="shared" si="3"/>
        <v>567699.592</v>
      </c>
      <c r="U3637" s="168">
        <f t="shared" si="4"/>
        <v>0</v>
      </c>
      <c r="V3637" s="168">
        <f t="shared" si="5"/>
        <v>0</v>
      </c>
      <c r="W3637" s="168">
        <f t="shared" si="6"/>
        <v>0</v>
      </c>
      <c r="X3637" s="168">
        <f t="shared" si="7"/>
        <v>0</v>
      </c>
      <c r="Y3637" s="168">
        <f t="shared" si="8"/>
        <v>0</v>
      </c>
      <c r="Z3637" s="168">
        <f t="shared" si="9"/>
        <v>0</v>
      </c>
    </row>
    <row r="3638" ht="15.0" customHeight="1">
      <c r="A3638" s="157" t="s">
        <v>4560</v>
      </c>
      <c r="B3638" s="158" t="s">
        <v>43</v>
      </c>
      <c r="C3638" s="158" t="s">
        <v>4549</v>
      </c>
      <c r="D3638" s="159">
        <v>44929.0</v>
      </c>
      <c r="E3638" s="157" t="s">
        <v>731</v>
      </c>
      <c r="F3638" s="160">
        <f>2079908.24</f>
        <v>2079908.24</v>
      </c>
      <c r="G3638" s="160">
        <f>'FACP$'!$F3638*0.16</f>
        <v>332785.3184</v>
      </c>
      <c r="H3638" s="160">
        <f t="shared" si="122"/>
        <v>2412693.558</v>
      </c>
      <c r="I3638" s="160"/>
      <c r="J3638" s="161"/>
      <c r="K3638" s="160"/>
      <c r="L3638" s="160">
        <f>+'FACP$'!$H3638-'FACP$'!$I3638-'FACP$'!$K3638</f>
        <v>2412693.558</v>
      </c>
      <c r="M3638" s="162" t="s">
        <v>43</v>
      </c>
      <c r="N3638" s="162" t="s">
        <v>554</v>
      </c>
      <c r="O3638" s="164">
        <v>44943.0</v>
      </c>
      <c r="P3638" s="164">
        <f t="array" ref="P3638">XLOOKUP('FACP$'!$B3638,'perfil de pagos'!A:A,'perfil de pagos'!B:B)+'FACP$'!$D3638</f>
        <v>44954</v>
      </c>
      <c r="Q3638" s="165">
        <f t="shared" si="2"/>
        <v>0</v>
      </c>
      <c r="R3638" s="167"/>
      <c r="S3638" s="167"/>
      <c r="T3638" s="168">
        <f t="shared" si="3"/>
        <v>2412693.558</v>
      </c>
      <c r="U3638" s="168">
        <f t="shared" si="4"/>
        <v>0</v>
      </c>
      <c r="V3638" s="168">
        <f t="shared" si="5"/>
        <v>0</v>
      </c>
      <c r="W3638" s="168">
        <f t="shared" si="6"/>
        <v>0</v>
      </c>
      <c r="X3638" s="168">
        <f t="shared" si="7"/>
        <v>0</v>
      </c>
      <c r="Y3638" s="168">
        <f t="shared" si="8"/>
        <v>0</v>
      </c>
      <c r="Z3638" s="168">
        <f t="shared" si="9"/>
        <v>0</v>
      </c>
    </row>
    <row r="3639" ht="15.0" customHeight="1">
      <c r="A3639" s="157" t="s">
        <v>4561</v>
      </c>
      <c r="B3639" s="158" t="s">
        <v>27</v>
      </c>
      <c r="C3639" s="158" t="s">
        <v>4562</v>
      </c>
      <c r="D3639" s="159">
        <v>44929.0</v>
      </c>
      <c r="E3639" s="157" t="s">
        <v>731</v>
      </c>
      <c r="F3639" s="160">
        <v>6723.09</v>
      </c>
      <c r="G3639" s="160">
        <f>'FACP$'!$F3639*0.16</f>
        <v>1075.6944</v>
      </c>
      <c r="H3639" s="160">
        <f t="shared" si="122"/>
        <v>7798.7844</v>
      </c>
      <c r="I3639" s="160"/>
      <c r="J3639" s="161"/>
      <c r="K3639" s="160"/>
      <c r="L3639" s="160">
        <f>+'FACP$'!$H3639-'FACP$'!$I3639-'FACP$'!$K3639</f>
        <v>7798.7844</v>
      </c>
      <c r="M3639" s="162" t="s">
        <v>158</v>
      </c>
      <c r="N3639" s="162" t="s">
        <v>554</v>
      </c>
      <c r="O3639" s="164">
        <v>44960.0</v>
      </c>
      <c r="P3639" s="164">
        <f t="array" ref="P3639">XLOOKUP('FACP$'!$B3639,'perfil de pagos'!A:A,'perfil de pagos'!B:B)+'FACP$'!$D3639</f>
        <v>44959</v>
      </c>
      <c r="Q3639" s="165">
        <f t="shared" si="2"/>
        <v>0</v>
      </c>
      <c r="R3639" s="167"/>
      <c r="S3639" s="167">
        <v>1937.0</v>
      </c>
      <c r="T3639" s="168">
        <f t="shared" si="3"/>
        <v>7798.7844</v>
      </c>
      <c r="U3639" s="168">
        <f t="shared" si="4"/>
        <v>0</v>
      </c>
      <c r="V3639" s="168">
        <f t="shared" si="5"/>
        <v>0</v>
      </c>
      <c r="W3639" s="168">
        <f t="shared" si="6"/>
        <v>0</v>
      </c>
      <c r="X3639" s="168">
        <f t="shared" si="7"/>
        <v>0</v>
      </c>
      <c r="Y3639" s="168">
        <f t="shared" si="8"/>
        <v>0</v>
      </c>
      <c r="Z3639" s="168">
        <f t="shared" si="9"/>
        <v>0</v>
      </c>
    </row>
    <row r="3640" ht="15.0" customHeight="1">
      <c r="A3640" s="157" t="s">
        <v>4563</v>
      </c>
      <c r="B3640" s="158" t="s">
        <v>44</v>
      </c>
      <c r="C3640" s="158" t="s">
        <v>4549</v>
      </c>
      <c r="D3640" s="159">
        <v>44929.0</v>
      </c>
      <c r="E3640" s="157" t="s">
        <v>731</v>
      </c>
      <c r="F3640" s="160">
        <v>617221.43</v>
      </c>
      <c r="G3640" s="160">
        <f>'FACP$'!$F3640*0.16</f>
        <v>98755.4288</v>
      </c>
      <c r="H3640" s="160">
        <f t="shared" si="122"/>
        <v>715976.8588</v>
      </c>
      <c r="I3640" s="160"/>
      <c r="J3640" s="161"/>
      <c r="K3640" s="160"/>
      <c r="L3640" s="160">
        <f>+'FACP$'!$H3640-'FACP$'!$I3640-'FACP$'!$K3640</f>
        <v>715976.8588</v>
      </c>
      <c r="M3640" s="162" t="s">
        <v>361</v>
      </c>
      <c r="N3640" s="162" t="s">
        <v>554</v>
      </c>
      <c r="O3640" s="164">
        <v>44939.0</v>
      </c>
      <c r="P3640" s="164">
        <f t="array" ref="P3640">XLOOKUP('FACP$'!$B3640,'perfil de pagos'!A:A,'perfil de pagos'!B:B)+'FACP$'!$D3640</f>
        <v>44939</v>
      </c>
      <c r="Q3640" s="165">
        <f t="shared" si="2"/>
        <v>0</v>
      </c>
      <c r="R3640" s="167"/>
      <c r="S3640" s="167">
        <v>1885.0</v>
      </c>
      <c r="T3640" s="168">
        <f t="shared" si="3"/>
        <v>715976.8588</v>
      </c>
      <c r="U3640" s="168">
        <f t="shared" si="4"/>
        <v>0</v>
      </c>
      <c r="V3640" s="168">
        <f t="shared" si="5"/>
        <v>0</v>
      </c>
      <c r="W3640" s="168">
        <f t="shared" si="6"/>
        <v>0</v>
      </c>
      <c r="X3640" s="168">
        <f t="shared" si="7"/>
        <v>0</v>
      </c>
      <c r="Y3640" s="168">
        <f t="shared" si="8"/>
        <v>0</v>
      </c>
      <c r="Z3640" s="168">
        <f t="shared" si="9"/>
        <v>0</v>
      </c>
    </row>
    <row r="3641" ht="15.0" customHeight="1">
      <c r="A3641" s="157" t="s">
        <v>4564</v>
      </c>
      <c r="B3641" s="158" t="s">
        <v>32</v>
      </c>
      <c r="C3641" s="158" t="s">
        <v>4549</v>
      </c>
      <c r="D3641" s="159">
        <v>44930.0</v>
      </c>
      <c r="E3641" s="157" t="s">
        <v>731</v>
      </c>
      <c r="F3641" s="160">
        <f>279446.85</f>
        <v>279446.85</v>
      </c>
      <c r="G3641" s="160">
        <f>'FACP$'!$F3641*0.16</f>
        <v>44711.496</v>
      </c>
      <c r="H3641" s="160">
        <f t="shared" si="122"/>
        <v>324158.346</v>
      </c>
      <c r="I3641" s="160"/>
      <c r="J3641" s="161">
        <v>287.0</v>
      </c>
      <c r="K3641" s="160">
        <v>43332.948399999994</v>
      </c>
      <c r="L3641" s="160">
        <f>+'FACP$'!$H3641-'FACP$'!$I3641-'FACP$'!$K3641</f>
        <v>280825.3976</v>
      </c>
      <c r="M3641" s="162" t="s">
        <v>395</v>
      </c>
      <c r="N3641" s="162" t="s">
        <v>554</v>
      </c>
      <c r="O3641" s="164">
        <v>45048.0</v>
      </c>
      <c r="P3641" s="164">
        <f t="array" ref="P3641">XLOOKUP('FACP$'!$B3641,'perfil de pagos'!A:A,'perfil de pagos'!B:B)+'FACP$'!$D3641</f>
        <v>44940</v>
      </c>
      <c r="Q3641" s="165">
        <f t="shared" si="2"/>
        <v>0</v>
      </c>
      <c r="R3641" s="167"/>
      <c r="S3641" s="167">
        <v>2140.0</v>
      </c>
      <c r="T3641" s="168">
        <f t="shared" si="3"/>
        <v>280825.3976</v>
      </c>
      <c r="U3641" s="168">
        <f t="shared" si="4"/>
        <v>0</v>
      </c>
      <c r="V3641" s="168">
        <f t="shared" si="5"/>
        <v>0</v>
      </c>
      <c r="W3641" s="168">
        <f t="shared" si="6"/>
        <v>0</v>
      </c>
      <c r="X3641" s="168">
        <f t="shared" si="7"/>
        <v>0</v>
      </c>
      <c r="Y3641" s="168">
        <f t="shared" si="8"/>
        <v>0</v>
      </c>
      <c r="Z3641" s="168">
        <f t="shared" si="9"/>
        <v>0</v>
      </c>
    </row>
    <row r="3642" ht="15.0" customHeight="1">
      <c r="A3642" s="157" t="s">
        <v>4565</v>
      </c>
      <c r="B3642" s="158" t="s">
        <v>16</v>
      </c>
      <c r="C3642" s="158" t="s">
        <v>4549</v>
      </c>
      <c r="D3642" s="159">
        <v>44936.0</v>
      </c>
      <c r="E3642" s="157" t="s">
        <v>731</v>
      </c>
      <c r="F3642" s="160">
        <v>464505.42</v>
      </c>
      <c r="G3642" s="160">
        <f>'FACP$'!$F3642*0.16</f>
        <v>74320.8672</v>
      </c>
      <c r="H3642" s="160">
        <f t="shared" si="122"/>
        <v>538826.2872</v>
      </c>
      <c r="I3642" s="160"/>
      <c r="J3642" s="161"/>
      <c r="K3642" s="160"/>
      <c r="L3642" s="160">
        <f>+'FACP$'!$H3642-'FACP$'!$I3642-'FACP$'!$K3642</f>
        <v>538826.2872</v>
      </c>
      <c r="M3642" s="162" t="s">
        <v>985</v>
      </c>
      <c r="N3642" s="162" t="s">
        <v>554</v>
      </c>
      <c r="O3642" s="164">
        <v>44971.0</v>
      </c>
      <c r="P3642" s="164">
        <f t="array" ref="P3642">XLOOKUP('FACP$'!$B3642,'perfil de pagos'!A:A,'perfil de pagos'!B:B)+'FACP$'!$D3642</f>
        <v>44946</v>
      </c>
      <c r="Q3642" s="165">
        <f t="shared" si="2"/>
        <v>0</v>
      </c>
      <c r="R3642" s="167"/>
      <c r="S3642" s="167">
        <v>1968.0</v>
      </c>
      <c r="T3642" s="168">
        <f t="shared" si="3"/>
        <v>538826.2872</v>
      </c>
      <c r="U3642" s="168">
        <f t="shared" si="4"/>
        <v>0</v>
      </c>
      <c r="V3642" s="168">
        <f t="shared" si="5"/>
        <v>0</v>
      </c>
      <c r="W3642" s="168">
        <f t="shared" si="6"/>
        <v>0</v>
      </c>
      <c r="X3642" s="168">
        <f t="shared" si="7"/>
        <v>0</v>
      </c>
      <c r="Y3642" s="168">
        <f t="shared" si="8"/>
        <v>0</v>
      </c>
      <c r="Z3642" s="168">
        <f t="shared" si="9"/>
        <v>0</v>
      </c>
    </row>
    <row r="3643" ht="15.0" customHeight="1">
      <c r="A3643" s="157" t="s">
        <v>4566</v>
      </c>
      <c r="B3643" s="158" t="s">
        <v>16</v>
      </c>
      <c r="C3643" s="158" t="s">
        <v>4551</v>
      </c>
      <c r="D3643" s="159">
        <v>44936.0</v>
      </c>
      <c r="E3643" s="157" t="s">
        <v>731</v>
      </c>
      <c r="F3643" s="160">
        <v>407639.73</v>
      </c>
      <c r="G3643" s="160">
        <f>'FACP$'!$F3643*0.16</f>
        <v>65222.3568</v>
      </c>
      <c r="H3643" s="160">
        <f t="shared" si="122"/>
        <v>472862.0868</v>
      </c>
      <c r="I3643" s="160"/>
      <c r="J3643" s="161"/>
      <c r="K3643" s="160"/>
      <c r="L3643" s="160">
        <f>+'FACP$'!$H3643-'FACP$'!$I3643-'FACP$'!$K3643</f>
        <v>472862.0868</v>
      </c>
      <c r="M3643" s="162" t="s">
        <v>985</v>
      </c>
      <c r="N3643" s="162" t="s">
        <v>554</v>
      </c>
      <c r="O3643" s="164">
        <v>44971.0</v>
      </c>
      <c r="P3643" s="164">
        <f t="array" ref="P3643">XLOOKUP('FACP$'!$B3643,'perfil de pagos'!A:A,'perfil de pagos'!B:B)+'FACP$'!$D3643</f>
        <v>44946</v>
      </c>
      <c r="Q3643" s="165">
        <f t="shared" si="2"/>
        <v>0</v>
      </c>
      <c r="R3643" s="167"/>
      <c r="S3643" s="167">
        <v>1968.0</v>
      </c>
      <c r="T3643" s="168">
        <f t="shared" si="3"/>
        <v>472862.0868</v>
      </c>
      <c r="U3643" s="168">
        <f t="shared" si="4"/>
        <v>0</v>
      </c>
      <c r="V3643" s="168">
        <f t="shared" si="5"/>
        <v>0</v>
      </c>
      <c r="W3643" s="168">
        <f t="shared" si="6"/>
        <v>0</v>
      </c>
      <c r="X3643" s="168">
        <f t="shared" si="7"/>
        <v>0</v>
      </c>
      <c r="Y3643" s="168">
        <f t="shared" si="8"/>
        <v>0</v>
      </c>
      <c r="Z3643" s="168">
        <f t="shared" si="9"/>
        <v>0</v>
      </c>
    </row>
    <row r="3644" ht="15.0" customHeight="1">
      <c r="A3644" s="157" t="s">
        <v>4567</v>
      </c>
      <c r="B3644" s="158" t="s">
        <v>18</v>
      </c>
      <c r="C3644" s="158" t="s">
        <v>4549</v>
      </c>
      <c r="D3644" s="159">
        <v>44936.0</v>
      </c>
      <c r="E3644" s="157" t="s">
        <v>731</v>
      </c>
      <c r="F3644" s="160">
        <v>104408.18</v>
      </c>
      <c r="G3644" s="160">
        <f>'FACP$'!$F3644*0.16</f>
        <v>16705.3088</v>
      </c>
      <c r="H3644" s="160">
        <f t="shared" si="122"/>
        <v>121113.4888</v>
      </c>
      <c r="I3644" s="160"/>
      <c r="J3644" s="161"/>
      <c r="K3644" s="160"/>
      <c r="L3644" s="160">
        <f>+'FACP$'!$H3644-'FACP$'!$I3644-'FACP$'!$K3644</f>
        <v>121113.4888</v>
      </c>
      <c r="M3644" s="162" t="s">
        <v>586</v>
      </c>
      <c r="N3644" s="162" t="s">
        <v>554</v>
      </c>
      <c r="O3644" s="164">
        <v>44981.0</v>
      </c>
      <c r="P3644" s="164">
        <f t="array" ref="P3644">XLOOKUP('FACP$'!$B3644,'perfil de pagos'!A:A,'perfil de pagos'!B:B)+'FACP$'!$D3644</f>
        <v>44946</v>
      </c>
      <c r="Q3644" s="165">
        <f t="shared" si="2"/>
        <v>0</v>
      </c>
      <c r="R3644" s="167"/>
      <c r="S3644" s="167">
        <v>1991.0</v>
      </c>
      <c r="T3644" s="168">
        <f t="shared" si="3"/>
        <v>121113.4888</v>
      </c>
      <c r="U3644" s="168">
        <f t="shared" si="4"/>
        <v>0</v>
      </c>
      <c r="V3644" s="168">
        <f t="shared" si="5"/>
        <v>0</v>
      </c>
      <c r="W3644" s="168">
        <f t="shared" si="6"/>
        <v>0</v>
      </c>
      <c r="X3644" s="168">
        <f t="shared" si="7"/>
        <v>0</v>
      </c>
      <c r="Y3644" s="168">
        <f t="shared" si="8"/>
        <v>0</v>
      </c>
      <c r="Z3644" s="168">
        <f t="shared" si="9"/>
        <v>0</v>
      </c>
    </row>
    <row r="3645" ht="15.0" customHeight="1">
      <c r="A3645" s="157" t="s">
        <v>4568</v>
      </c>
      <c r="B3645" s="158" t="s">
        <v>19</v>
      </c>
      <c r="C3645" s="158" t="s">
        <v>4549</v>
      </c>
      <c r="D3645" s="159">
        <v>44936.0</v>
      </c>
      <c r="E3645" s="157" t="s">
        <v>731</v>
      </c>
      <c r="F3645" s="160">
        <v>291754.65</v>
      </c>
      <c r="G3645" s="160">
        <f>'FACP$'!$F3645*0.16</f>
        <v>46680.744</v>
      </c>
      <c r="H3645" s="160">
        <f t="shared" si="122"/>
        <v>338435.394</v>
      </c>
      <c r="I3645" s="160"/>
      <c r="J3645" s="161"/>
      <c r="K3645" s="160"/>
      <c r="L3645" s="160">
        <f>+'FACP$'!$H3645-'FACP$'!$I3645-'FACP$'!$K3645</f>
        <v>338435.394</v>
      </c>
      <c r="M3645" s="162" t="s">
        <v>732</v>
      </c>
      <c r="N3645" s="162" t="s">
        <v>554</v>
      </c>
      <c r="O3645" s="164">
        <v>44981.0</v>
      </c>
      <c r="P3645" s="164">
        <f t="array" ref="P3645">XLOOKUP('FACP$'!$B3645,'perfil de pagos'!A:A,'perfil de pagos'!B:B)+'FACP$'!$D3645</f>
        <v>44946</v>
      </c>
      <c r="Q3645" s="165">
        <f t="shared" si="2"/>
        <v>0</v>
      </c>
      <c r="R3645" s="167"/>
      <c r="S3645" s="167">
        <v>1999.0</v>
      </c>
      <c r="T3645" s="168">
        <f t="shared" si="3"/>
        <v>338435.394</v>
      </c>
      <c r="U3645" s="168">
        <f t="shared" si="4"/>
        <v>0</v>
      </c>
      <c r="V3645" s="168">
        <f t="shared" si="5"/>
        <v>0</v>
      </c>
      <c r="W3645" s="168">
        <f t="shared" si="6"/>
        <v>0</v>
      </c>
      <c r="X3645" s="168">
        <f t="shared" si="7"/>
        <v>0</v>
      </c>
      <c r="Y3645" s="168">
        <f t="shared" si="8"/>
        <v>0</v>
      </c>
      <c r="Z3645" s="168">
        <f t="shared" si="9"/>
        <v>0</v>
      </c>
    </row>
    <row r="3646" ht="15.0" customHeight="1">
      <c r="A3646" s="157" t="s">
        <v>4569</v>
      </c>
      <c r="B3646" s="158" t="s">
        <v>22</v>
      </c>
      <c r="C3646" s="158" t="s">
        <v>4549</v>
      </c>
      <c r="D3646" s="159">
        <v>44936.0</v>
      </c>
      <c r="E3646" s="157" t="s">
        <v>731</v>
      </c>
      <c r="F3646" s="160">
        <v>210774.29</v>
      </c>
      <c r="G3646" s="160">
        <f>'FACP$'!$F3646*0.16</f>
        <v>33723.8864</v>
      </c>
      <c r="H3646" s="160">
        <f t="shared" si="122"/>
        <v>244498.1764</v>
      </c>
      <c r="I3646" s="160">
        <v>37801.081999999995</v>
      </c>
      <c r="J3646" s="161"/>
      <c r="K3646" s="160"/>
      <c r="L3646" s="160">
        <f>+'FACP$'!$H3646-'FACP$'!$I3646-'FACP$'!$K3646</f>
        <v>206697.0944</v>
      </c>
      <c r="M3646" s="162" t="s">
        <v>220</v>
      </c>
      <c r="N3646" s="162" t="s">
        <v>554</v>
      </c>
      <c r="O3646" s="164">
        <v>44988.0</v>
      </c>
      <c r="P3646" s="164">
        <f t="array" ref="P3646">XLOOKUP('FACP$'!$B3646,'perfil de pagos'!A:A,'perfil de pagos'!B:B)+'FACP$'!$D3646</f>
        <v>44946</v>
      </c>
      <c r="Q3646" s="165">
        <f t="shared" si="2"/>
        <v>0</v>
      </c>
      <c r="R3646" s="220" t="s">
        <v>4570</v>
      </c>
      <c r="S3646" s="167" t="s">
        <v>4571</v>
      </c>
      <c r="T3646" s="168">
        <f t="shared" si="3"/>
        <v>206697.0944</v>
      </c>
      <c r="U3646" s="168">
        <f t="shared" si="4"/>
        <v>0</v>
      </c>
      <c r="V3646" s="168">
        <f t="shared" si="5"/>
        <v>0</v>
      </c>
      <c r="W3646" s="168">
        <f t="shared" si="6"/>
        <v>0</v>
      </c>
      <c r="X3646" s="168">
        <f t="shared" si="7"/>
        <v>0</v>
      </c>
      <c r="Y3646" s="168">
        <f t="shared" si="8"/>
        <v>0</v>
      </c>
      <c r="Z3646" s="168">
        <f t="shared" si="9"/>
        <v>0</v>
      </c>
    </row>
    <row r="3647" ht="15.0" customHeight="1">
      <c r="A3647" s="157" t="s">
        <v>4572</v>
      </c>
      <c r="B3647" s="158" t="s">
        <v>25</v>
      </c>
      <c r="C3647" s="158" t="s">
        <v>4549</v>
      </c>
      <c r="D3647" s="159">
        <v>44936.0</v>
      </c>
      <c r="E3647" s="157" t="s">
        <v>731</v>
      </c>
      <c r="F3647" s="160">
        <v>83151.3</v>
      </c>
      <c r="G3647" s="160">
        <f>'FACP$'!$F3647*0.16</f>
        <v>13304.208</v>
      </c>
      <c r="H3647" s="160">
        <f t="shared" si="122"/>
        <v>96455.508</v>
      </c>
      <c r="I3647" s="160"/>
      <c r="J3647" s="161"/>
      <c r="K3647" s="160"/>
      <c r="L3647" s="160">
        <f>+'FACP$'!$H3647-'FACP$'!$I3647-'FACP$'!$K3647</f>
        <v>96455.508</v>
      </c>
      <c r="M3647" s="162" t="s">
        <v>4388</v>
      </c>
      <c r="N3647" s="162" t="s">
        <v>554</v>
      </c>
      <c r="O3647" s="164">
        <v>44970.0</v>
      </c>
      <c r="P3647" s="164">
        <f t="array" ref="P3647">XLOOKUP('FACP$'!$B3647,'perfil de pagos'!A:A,'perfil de pagos'!B:B)+'FACP$'!$D3647</f>
        <v>44946</v>
      </c>
      <c r="Q3647" s="165">
        <f t="shared" si="2"/>
        <v>0</v>
      </c>
      <c r="R3647" s="167"/>
      <c r="S3647" s="167">
        <v>1954.0</v>
      </c>
      <c r="T3647" s="168">
        <f t="shared" si="3"/>
        <v>96455.508</v>
      </c>
      <c r="U3647" s="168">
        <f t="shared" si="4"/>
        <v>0</v>
      </c>
      <c r="V3647" s="168">
        <f t="shared" si="5"/>
        <v>0</v>
      </c>
      <c r="W3647" s="168">
        <f t="shared" si="6"/>
        <v>0</v>
      </c>
      <c r="X3647" s="168">
        <f t="shared" si="7"/>
        <v>0</v>
      </c>
      <c r="Y3647" s="168">
        <f t="shared" si="8"/>
        <v>0</v>
      </c>
      <c r="Z3647" s="168">
        <f t="shared" si="9"/>
        <v>0</v>
      </c>
    </row>
    <row r="3648" ht="15.0" customHeight="1">
      <c r="A3648" s="157" t="s">
        <v>4573</v>
      </c>
      <c r="B3648" s="158" t="s">
        <v>29</v>
      </c>
      <c r="C3648" s="158" t="s">
        <v>4549</v>
      </c>
      <c r="D3648" s="159">
        <v>44936.0</v>
      </c>
      <c r="E3648" s="157" t="s">
        <v>731</v>
      </c>
      <c r="F3648" s="160">
        <v>498327.06</v>
      </c>
      <c r="G3648" s="160">
        <f>'FACP$'!$F3648*0.16</f>
        <v>79732.3296</v>
      </c>
      <c r="H3648" s="160">
        <f t="shared" si="122"/>
        <v>578059.3896</v>
      </c>
      <c r="I3648" s="160"/>
      <c r="J3648" s="161"/>
      <c r="K3648" s="160"/>
      <c r="L3648" s="160">
        <f>+'FACP$'!$H3648-'FACP$'!$I3648-'FACP$'!$K3648</f>
        <v>578059.3896</v>
      </c>
      <c r="M3648" s="162" t="s">
        <v>130</v>
      </c>
      <c r="N3648" s="162" t="s">
        <v>554</v>
      </c>
      <c r="O3648" s="164">
        <v>44942.0</v>
      </c>
      <c r="P3648" s="164">
        <f t="array" ref="P3648">XLOOKUP('FACP$'!$B3648,'perfil de pagos'!A:A,'perfil de pagos'!B:B)+'FACP$'!$D3648</f>
        <v>44946</v>
      </c>
      <c r="Q3648" s="165">
        <f t="shared" si="2"/>
        <v>0</v>
      </c>
      <c r="R3648" s="167"/>
      <c r="S3648" s="167">
        <v>1891.0</v>
      </c>
      <c r="T3648" s="168">
        <f t="shared" si="3"/>
        <v>578059.3896</v>
      </c>
      <c r="U3648" s="168">
        <f t="shared" si="4"/>
        <v>0</v>
      </c>
      <c r="V3648" s="168">
        <f t="shared" si="5"/>
        <v>0</v>
      </c>
      <c r="W3648" s="168">
        <f t="shared" si="6"/>
        <v>0</v>
      </c>
      <c r="X3648" s="168">
        <f t="shared" si="7"/>
        <v>0</v>
      </c>
      <c r="Y3648" s="168">
        <f t="shared" si="8"/>
        <v>0</v>
      </c>
      <c r="Z3648" s="168">
        <f t="shared" si="9"/>
        <v>0</v>
      </c>
    </row>
    <row r="3649" ht="15.0" customHeight="1">
      <c r="A3649" s="157" t="s">
        <v>4574</v>
      </c>
      <c r="B3649" s="158" t="s">
        <v>29</v>
      </c>
      <c r="C3649" s="158" t="s">
        <v>4551</v>
      </c>
      <c r="D3649" s="159">
        <v>44936.0</v>
      </c>
      <c r="E3649" s="157" t="s">
        <v>731</v>
      </c>
      <c r="F3649" s="160">
        <f>505535.27</f>
        <v>505535.27</v>
      </c>
      <c r="G3649" s="160">
        <f>'FACP$'!$F3649*0.16</f>
        <v>80885.6432</v>
      </c>
      <c r="H3649" s="160">
        <f t="shared" si="122"/>
        <v>586420.9132</v>
      </c>
      <c r="I3649" s="160"/>
      <c r="J3649" s="161">
        <v>287.0</v>
      </c>
      <c r="K3649" s="160">
        <v>43332.948399999994</v>
      </c>
      <c r="L3649" s="160">
        <f>+'FACP$'!$H3649-'FACP$'!$I3649-'FACP$'!$K3649</f>
        <v>543087.9648</v>
      </c>
      <c r="M3649" s="162" t="s">
        <v>130</v>
      </c>
      <c r="N3649" s="162" t="s">
        <v>554</v>
      </c>
      <c r="O3649" s="164">
        <v>44945.0</v>
      </c>
      <c r="P3649" s="164">
        <f t="array" ref="P3649">XLOOKUP('FACP$'!$B3649,'perfil de pagos'!A:A,'perfil de pagos'!B:B)+'FACP$'!$D3649</f>
        <v>44946</v>
      </c>
      <c r="Q3649" s="165">
        <f t="shared" si="2"/>
        <v>0</v>
      </c>
      <c r="R3649" s="220" t="s">
        <v>4575</v>
      </c>
      <c r="S3649" s="167"/>
      <c r="T3649" s="168">
        <f t="shared" si="3"/>
        <v>543087.9648</v>
      </c>
      <c r="U3649" s="168">
        <f t="shared" si="4"/>
        <v>0</v>
      </c>
      <c r="V3649" s="168">
        <f t="shared" si="5"/>
        <v>0</v>
      </c>
      <c r="W3649" s="168">
        <f t="shared" si="6"/>
        <v>0</v>
      </c>
      <c r="X3649" s="168">
        <f t="shared" si="7"/>
        <v>0</v>
      </c>
      <c r="Y3649" s="168">
        <f t="shared" si="8"/>
        <v>0</v>
      </c>
      <c r="Z3649" s="168">
        <f t="shared" si="9"/>
        <v>0</v>
      </c>
    </row>
    <row r="3650" ht="15.0" customHeight="1">
      <c r="A3650" s="157" t="s">
        <v>4576</v>
      </c>
      <c r="B3650" s="158" t="s">
        <v>29</v>
      </c>
      <c r="C3650" s="158" t="s">
        <v>4577</v>
      </c>
      <c r="D3650" s="159">
        <v>44936.0</v>
      </c>
      <c r="E3650" s="157" t="s">
        <v>731</v>
      </c>
      <c r="F3650" s="160">
        <v>95134.42</v>
      </c>
      <c r="G3650" s="160">
        <f>'FACP$'!$F3650*0.16</f>
        <v>15221.5072</v>
      </c>
      <c r="H3650" s="160">
        <f t="shared" si="122"/>
        <v>110355.9272</v>
      </c>
      <c r="I3650" s="160"/>
      <c r="J3650" s="161"/>
      <c r="K3650" s="160"/>
      <c r="L3650" s="160">
        <f>+'FACP$'!$H3650-'FACP$'!$I3650-'FACP$'!$K3650</f>
        <v>110355.9272</v>
      </c>
      <c r="M3650" s="162" t="s">
        <v>130</v>
      </c>
      <c r="N3650" s="162" t="s">
        <v>554</v>
      </c>
      <c r="O3650" s="164">
        <v>44942.0</v>
      </c>
      <c r="P3650" s="164">
        <f t="array" ref="P3650">XLOOKUP('FACP$'!$B3650,'perfil de pagos'!A:A,'perfil de pagos'!B:B)+'FACP$'!$D3650</f>
        <v>44946</v>
      </c>
      <c r="Q3650" s="165">
        <f t="shared" si="2"/>
        <v>0</v>
      </c>
      <c r="R3650" s="167"/>
      <c r="S3650" s="167">
        <v>1891.0</v>
      </c>
      <c r="T3650" s="168">
        <f t="shared" si="3"/>
        <v>110355.9272</v>
      </c>
      <c r="U3650" s="168">
        <f t="shared" si="4"/>
        <v>0</v>
      </c>
      <c r="V3650" s="168">
        <f t="shared" si="5"/>
        <v>0</v>
      </c>
      <c r="W3650" s="168">
        <f t="shared" si="6"/>
        <v>0</v>
      </c>
      <c r="X3650" s="168">
        <f t="shared" si="7"/>
        <v>0</v>
      </c>
      <c r="Y3650" s="168">
        <f t="shared" si="8"/>
        <v>0</v>
      </c>
      <c r="Z3650" s="168">
        <f t="shared" si="9"/>
        <v>0</v>
      </c>
    </row>
    <row r="3651" ht="15.0" customHeight="1">
      <c r="A3651" s="157" t="s">
        <v>4578</v>
      </c>
      <c r="B3651" s="158" t="s">
        <v>37</v>
      </c>
      <c r="C3651" s="158" t="s">
        <v>4549</v>
      </c>
      <c r="D3651" s="159">
        <v>44936.0</v>
      </c>
      <c r="E3651" s="157" t="s">
        <v>731</v>
      </c>
      <c r="F3651" s="160">
        <v>2584303.45</v>
      </c>
      <c r="G3651" s="160">
        <f>'FACP$'!$F3651*0.16</f>
        <v>413488.552</v>
      </c>
      <c r="H3651" s="160">
        <f t="shared" si="122"/>
        <v>2997792.002</v>
      </c>
      <c r="I3651" s="160"/>
      <c r="J3651" s="161"/>
      <c r="K3651" s="160"/>
      <c r="L3651" s="160">
        <f>+'FACP$'!$H3651-'FACP$'!$I3651-'FACP$'!$K3651</f>
        <v>2997792.002</v>
      </c>
      <c r="M3651" s="162" t="s">
        <v>116</v>
      </c>
      <c r="N3651" s="162" t="s">
        <v>554</v>
      </c>
      <c r="O3651" s="164">
        <v>44949.0</v>
      </c>
      <c r="P3651" s="164">
        <f t="array" ref="P3651">XLOOKUP('FACP$'!$B3651,'perfil de pagos'!A:A,'perfil de pagos'!B:B)+'FACP$'!$D3651</f>
        <v>44946</v>
      </c>
      <c r="Q3651" s="165">
        <f t="shared" si="2"/>
        <v>0</v>
      </c>
      <c r="R3651" s="167"/>
      <c r="S3651" s="167">
        <v>1907.0</v>
      </c>
      <c r="T3651" s="168">
        <f t="shared" si="3"/>
        <v>2997792.002</v>
      </c>
      <c r="U3651" s="168">
        <f t="shared" si="4"/>
        <v>0</v>
      </c>
      <c r="V3651" s="168">
        <f t="shared" si="5"/>
        <v>0</v>
      </c>
      <c r="W3651" s="168">
        <f t="shared" si="6"/>
        <v>0</v>
      </c>
      <c r="X3651" s="168">
        <f t="shared" si="7"/>
        <v>0</v>
      </c>
      <c r="Y3651" s="168">
        <f t="shared" si="8"/>
        <v>0</v>
      </c>
      <c r="Z3651" s="168">
        <f t="shared" si="9"/>
        <v>0</v>
      </c>
    </row>
    <row r="3652" ht="15.0" customHeight="1">
      <c r="A3652" s="157" t="s">
        <v>4579</v>
      </c>
      <c r="B3652" s="158" t="s">
        <v>38</v>
      </c>
      <c r="C3652" s="158" t="s">
        <v>4549</v>
      </c>
      <c r="D3652" s="159">
        <v>44936.0</v>
      </c>
      <c r="E3652" s="157" t="s">
        <v>731</v>
      </c>
      <c r="F3652" s="160">
        <v>774576.39</v>
      </c>
      <c r="G3652" s="160">
        <f>'FACP$'!$F3652*0.16</f>
        <v>123932.2224</v>
      </c>
      <c r="H3652" s="160">
        <f t="shared" si="122"/>
        <v>898508.6124</v>
      </c>
      <c r="I3652" s="160"/>
      <c r="J3652" s="161"/>
      <c r="K3652" s="160"/>
      <c r="L3652" s="160">
        <f>+'FACP$'!$H3652-'FACP$'!$I3652-'FACP$'!$K3652</f>
        <v>898508.6124</v>
      </c>
      <c r="M3652" s="162" t="s">
        <v>145</v>
      </c>
      <c r="N3652" s="162" t="s">
        <v>554</v>
      </c>
      <c r="O3652" s="164">
        <v>44988.0</v>
      </c>
      <c r="P3652" s="164">
        <f t="array" ref="P3652">XLOOKUP('FACP$'!$B3652,'perfil de pagos'!A:A,'perfil de pagos'!B:B)+'FACP$'!$D3652</f>
        <v>44966</v>
      </c>
      <c r="Q3652" s="165">
        <f t="shared" si="2"/>
        <v>0</v>
      </c>
      <c r="R3652" s="167"/>
      <c r="S3652" s="167">
        <v>2005.0</v>
      </c>
      <c r="T3652" s="168">
        <f t="shared" si="3"/>
        <v>898508.6124</v>
      </c>
      <c r="U3652" s="168">
        <f t="shared" si="4"/>
        <v>0</v>
      </c>
      <c r="V3652" s="168">
        <f t="shared" si="5"/>
        <v>0</v>
      </c>
      <c r="W3652" s="168">
        <f t="shared" si="6"/>
        <v>0</v>
      </c>
      <c r="X3652" s="168">
        <f t="shared" si="7"/>
        <v>0</v>
      </c>
      <c r="Y3652" s="168">
        <f t="shared" si="8"/>
        <v>0</v>
      </c>
      <c r="Z3652" s="168">
        <f t="shared" si="9"/>
        <v>0</v>
      </c>
    </row>
    <row r="3653" ht="15.0" customHeight="1">
      <c r="A3653" s="157" t="s">
        <v>4580</v>
      </c>
      <c r="B3653" s="158" t="s">
        <v>38</v>
      </c>
      <c r="C3653" s="158" t="s">
        <v>4549</v>
      </c>
      <c r="D3653" s="159">
        <v>44936.0</v>
      </c>
      <c r="E3653" s="157" t="s">
        <v>731</v>
      </c>
      <c r="F3653" s="160">
        <v>176736.51</v>
      </c>
      <c r="G3653" s="160">
        <f>'FACP$'!$F3653*0.16</f>
        <v>28277.8416</v>
      </c>
      <c r="H3653" s="160">
        <f t="shared" si="122"/>
        <v>205014.3516</v>
      </c>
      <c r="I3653" s="160"/>
      <c r="J3653" s="161"/>
      <c r="K3653" s="160"/>
      <c r="L3653" s="160">
        <f>+'FACP$'!$H3653-'FACP$'!$I3653-'FACP$'!$K3653</f>
        <v>205014.3516</v>
      </c>
      <c r="M3653" s="162" t="s">
        <v>642</v>
      </c>
      <c r="N3653" s="162" t="s">
        <v>554</v>
      </c>
      <c r="O3653" s="164">
        <v>44630.0</v>
      </c>
      <c r="P3653" s="164">
        <f t="array" ref="P3653">XLOOKUP('FACP$'!$B3653,'perfil de pagos'!A:A,'perfil de pagos'!B:B)+'FACP$'!$D3653</f>
        <v>44966</v>
      </c>
      <c r="Q3653" s="165">
        <f t="shared" si="2"/>
        <v>0</v>
      </c>
      <c r="R3653" s="167"/>
      <c r="S3653" s="167">
        <v>2016.0</v>
      </c>
      <c r="T3653" s="168">
        <f t="shared" si="3"/>
        <v>205014.3516</v>
      </c>
      <c r="U3653" s="168">
        <f t="shared" si="4"/>
        <v>0</v>
      </c>
      <c r="V3653" s="168">
        <f t="shared" si="5"/>
        <v>0</v>
      </c>
      <c r="W3653" s="168">
        <f t="shared" si="6"/>
        <v>0</v>
      </c>
      <c r="X3653" s="168">
        <f t="shared" si="7"/>
        <v>0</v>
      </c>
      <c r="Y3653" s="168">
        <f t="shared" si="8"/>
        <v>0</v>
      </c>
      <c r="Z3653" s="168">
        <f t="shared" si="9"/>
        <v>0</v>
      </c>
    </row>
    <row r="3654" ht="15.0" customHeight="1">
      <c r="A3654" s="157" t="s">
        <v>4581</v>
      </c>
      <c r="B3654" s="158" t="s">
        <v>31</v>
      </c>
      <c r="C3654" s="158" t="s">
        <v>4582</v>
      </c>
      <c r="D3654" s="159">
        <v>44936.0</v>
      </c>
      <c r="E3654" s="157" t="s">
        <v>731</v>
      </c>
      <c r="F3654" s="160">
        <f>364482.39</f>
        <v>364482.39</v>
      </c>
      <c r="G3654" s="160">
        <f>'FACP$'!$F3654*0.16</f>
        <v>58317.1824</v>
      </c>
      <c r="H3654" s="160">
        <f t="shared" si="122"/>
        <v>422799.5724</v>
      </c>
      <c r="I3654" s="252"/>
      <c r="J3654" s="253">
        <v>289.0</v>
      </c>
      <c r="K3654" s="252">
        <v>79376.3756</v>
      </c>
      <c r="L3654" s="160">
        <f>+'FACP$'!$H3654-'FACP$'!$I3654-'FACP$'!$K3654</f>
        <v>343423.1968</v>
      </c>
      <c r="M3654" s="162" t="s">
        <v>3183</v>
      </c>
      <c r="N3654" s="162" t="s">
        <v>554</v>
      </c>
      <c r="O3654" s="164">
        <v>45126.0</v>
      </c>
      <c r="P3654" s="164">
        <f t="array" ref="P3654">XLOOKUP('FACP$'!$B3654,'perfil de pagos'!A:A,'perfil de pagos'!B:B)+'FACP$'!$D3654</f>
        <v>44939</v>
      </c>
      <c r="Q3654" s="165">
        <f t="shared" si="2"/>
        <v>0</v>
      </c>
      <c r="R3654" s="220" t="s">
        <v>4583</v>
      </c>
      <c r="S3654" s="167">
        <v>2303.0</v>
      </c>
      <c r="T3654" s="168">
        <f t="shared" si="3"/>
        <v>343423.1968</v>
      </c>
      <c r="U3654" s="168">
        <f t="shared" si="4"/>
        <v>0</v>
      </c>
      <c r="V3654" s="168">
        <f t="shared" si="5"/>
        <v>0</v>
      </c>
      <c r="W3654" s="168">
        <f t="shared" si="6"/>
        <v>0</v>
      </c>
      <c r="X3654" s="168">
        <f t="shared" si="7"/>
        <v>0</v>
      </c>
      <c r="Y3654" s="168">
        <f t="shared" si="8"/>
        <v>0</v>
      </c>
      <c r="Z3654" s="168">
        <f t="shared" si="9"/>
        <v>0</v>
      </c>
    </row>
    <row r="3655" ht="15.0" customHeight="1">
      <c r="A3655" s="157" t="s">
        <v>4584</v>
      </c>
      <c r="B3655" s="158" t="s">
        <v>35</v>
      </c>
      <c r="C3655" s="158" t="s">
        <v>4585</v>
      </c>
      <c r="D3655" s="159">
        <v>44943.0</v>
      </c>
      <c r="E3655" s="157" t="s">
        <v>731</v>
      </c>
      <c r="F3655" s="160">
        <v>477989.48</v>
      </c>
      <c r="G3655" s="160">
        <f>'FACP$'!$F3655*0.16</f>
        <v>76478.3168</v>
      </c>
      <c r="H3655" s="160">
        <f t="shared" si="122"/>
        <v>554467.7968</v>
      </c>
      <c r="I3655" s="160"/>
      <c r="J3655" s="161"/>
      <c r="K3655" s="160"/>
      <c r="L3655" s="160">
        <f>+'FACP$'!$H3655-'FACP$'!$I3655-'FACP$'!$K3655</f>
        <v>554467.7968</v>
      </c>
      <c r="M3655" s="162" t="s">
        <v>276</v>
      </c>
      <c r="N3655" s="162" t="s">
        <v>554</v>
      </c>
      <c r="O3655" s="164">
        <v>44971.0</v>
      </c>
      <c r="P3655" s="164">
        <f t="array" ref="P3655">XLOOKUP('FACP$'!$B3655,'perfil de pagos'!A:A,'perfil de pagos'!B:B)+'FACP$'!$D3655</f>
        <v>44953</v>
      </c>
      <c r="Q3655" s="165">
        <f t="shared" si="2"/>
        <v>0</v>
      </c>
      <c r="R3655" s="167"/>
      <c r="S3655" s="167">
        <v>1966.0</v>
      </c>
      <c r="T3655" s="168">
        <f t="shared" si="3"/>
        <v>554467.7968</v>
      </c>
      <c r="U3655" s="168">
        <f t="shared" si="4"/>
        <v>0</v>
      </c>
      <c r="V3655" s="168">
        <f t="shared" si="5"/>
        <v>0</v>
      </c>
      <c r="W3655" s="168">
        <f t="shared" si="6"/>
        <v>0</v>
      </c>
      <c r="X3655" s="168">
        <f t="shared" si="7"/>
        <v>0</v>
      </c>
      <c r="Y3655" s="168">
        <f t="shared" si="8"/>
        <v>0</v>
      </c>
      <c r="Z3655" s="168">
        <f t="shared" si="9"/>
        <v>0</v>
      </c>
    </row>
    <row r="3656" ht="15.0" customHeight="1">
      <c r="A3656" s="157" t="s">
        <v>4586</v>
      </c>
      <c r="B3656" s="158" t="s">
        <v>36</v>
      </c>
      <c r="C3656" s="158" t="s">
        <v>4585</v>
      </c>
      <c r="D3656" s="159">
        <v>44943.0</v>
      </c>
      <c r="E3656" s="157" t="s">
        <v>731</v>
      </c>
      <c r="F3656" s="160">
        <v>82206.4</v>
      </c>
      <c r="G3656" s="160">
        <f>'FACP$'!$F3656*0.16</f>
        <v>13153.024</v>
      </c>
      <c r="H3656" s="160">
        <f t="shared" si="122"/>
        <v>95359.424</v>
      </c>
      <c r="I3656" s="160"/>
      <c r="J3656" s="161"/>
      <c r="K3656" s="160"/>
      <c r="L3656" s="160">
        <f>+'FACP$'!$H3656-'FACP$'!$I3656-'FACP$'!$K3656</f>
        <v>95359.424</v>
      </c>
      <c r="M3656" s="162" t="s">
        <v>278</v>
      </c>
      <c r="N3656" s="162" t="s">
        <v>554</v>
      </c>
      <c r="O3656" s="164">
        <v>44979.0</v>
      </c>
      <c r="P3656" s="164">
        <f t="array" ref="P3656">XLOOKUP('FACP$'!$B3656,'perfil de pagos'!A:A,'perfil de pagos'!B:B)+'FACP$'!$D3656</f>
        <v>44953</v>
      </c>
      <c r="Q3656" s="165">
        <f t="shared" si="2"/>
        <v>0</v>
      </c>
      <c r="R3656" s="167"/>
      <c r="S3656" s="167">
        <v>1989.0</v>
      </c>
      <c r="T3656" s="168">
        <f t="shared" si="3"/>
        <v>95359.424</v>
      </c>
      <c r="U3656" s="168">
        <f t="shared" si="4"/>
        <v>0</v>
      </c>
      <c r="V3656" s="168">
        <f t="shared" si="5"/>
        <v>0</v>
      </c>
      <c r="W3656" s="168">
        <f t="shared" si="6"/>
        <v>0</v>
      </c>
      <c r="X3656" s="168">
        <f t="shared" si="7"/>
        <v>0</v>
      </c>
      <c r="Y3656" s="168">
        <f t="shared" si="8"/>
        <v>0</v>
      </c>
      <c r="Z3656" s="168">
        <f t="shared" si="9"/>
        <v>0</v>
      </c>
    </row>
    <row r="3657" ht="15.0" customHeight="1">
      <c r="A3657" s="157" t="s">
        <v>4587</v>
      </c>
      <c r="B3657" s="158" t="s">
        <v>42</v>
      </c>
      <c r="C3657" s="158" t="s">
        <v>4585</v>
      </c>
      <c r="D3657" s="159">
        <v>44943.0</v>
      </c>
      <c r="E3657" s="157" t="s">
        <v>731</v>
      </c>
      <c r="F3657" s="160">
        <v>264455.71</v>
      </c>
      <c r="G3657" s="160">
        <f>'FACP$'!$F3657*0.16</f>
        <v>42312.9136</v>
      </c>
      <c r="H3657" s="160">
        <f t="shared" si="122"/>
        <v>306768.6236</v>
      </c>
      <c r="I3657" s="160"/>
      <c r="J3657" s="161"/>
      <c r="K3657" s="160"/>
      <c r="L3657" s="160">
        <f>+'FACP$'!$H3657-'FACP$'!$I3657-'FACP$'!$K3657</f>
        <v>306768.6236</v>
      </c>
      <c r="M3657" s="162" t="s">
        <v>42</v>
      </c>
      <c r="N3657" s="162" t="s">
        <v>554</v>
      </c>
      <c r="O3657" s="164">
        <v>44959.0</v>
      </c>
      <c r="P3657" s="164">
        <f t="array" ref="P3657">XLOOKUP('FACP$'!$B3657,'perfil de pagos'!A:A,'perfil de pagos'!B:B)+'FACP$'!$D3657</f>
        <v>44953</v>
      </c>
      <c r="Q3657" s="165">
        <f t="shared" si="2"/>
        <v>0</v>
      </c>
      <c r="R3657" s="167"/>
      <c r="S3657" s="167">
        <v>1938.0</v>
      </c>
      <c r="T3657" s="168">
        <f t="shared" si="3"/>
        <v>306768.6236</v>
      </c>
      <c r="U3657" s="168">
        <f t="shared" si="4"/>
        <v>0</v>
      </c>
      <c r="V3657" s="168">
        <f t="shared" si="5"/>
        <v>0</v>
      </c>
      <c r="W3657" s="168">
        <f t="shared" si="6"/>
        <v>0</v>
      </c>
      <c r="X3657" s="168">
        <f t="shared" si="7"/>
        <v>0</v>
      </c>
      <c r="Y3657" s="168">
        <f t="shared" si="8"/>
        <v>0</v>
      </c>
      <c r="Z3657" s="168">
        <f t="shared" si="9"/>
        <v>0</v>
      </c>
    </row>
    <row r="3658" ht="15.0" customHeight="1">
      <c r="A3658" s="157" t="s">
        <v>4588</v>
      </c>
      <c r="B3658" s="158" t="s">
        <v>43</v>
      </c>
      <c r="C3658" s="158" t="s">
        <v>4585</v>
      </c>
      <c r="D3658" s="159">
        <v>44943.0</v>
      </c>
      <c r="E3658" s="157" t="s">
        <v>731</v>
      </c>
      <c r="F3658" s="160">
        <v>1300230.0</v>
      </c>
      <c r="G3658" s="160">
        <f>'FACP$'!$F3658*0.16</f>
        <v>208036.8</v>
      </c>
      <c r="H3658" s="160">
        <f t="shared" si="122"/>
        <v>1508266.8</v>
      </c>
      <c r="I3658" s="160"/>
      <c r="J3658" s="161"/>
      <c r="K3658" s="160"/>
      <c r="L3658" s="160">
        <f>+'FACP$'!$H3658-'FACP$'!$I3658-'FACP$'!$K3658</f>
        <v>1508266.8</v>
      </c>
      <c r="M3658" s="162" t="s">
        <v>43</v>
      </c>
      <c r="N3658" s="162" t="s">
        <v>554</v>
      </c>
      <c r="O3658" s="164">
        <v>44957.0</v>
      </c>
      <c r="P3658" s="164">
        <f t="array" ref="P3658">XLOOKUP('FACP$'!$B3658,'perfil de pagos'!A:A,'perfil de pagos'!B:B)+'FACP$'!$D3658</f>
        <v>44968</v>
      </c>
      <c r="Q3658" s="165">
        <f t="shared" si="2"/>
        <v>0</v>
      </c>
      <c r="R3658" s="167"/>
      <c r="S3658" s="167">
        <v>1935.0</v>
      </c>
      <c r="T3658" s="168">
        <f t="shared" si="3"/>
        <v>1508266.8</v>
      </c>
      <c r="U3658" s="168">
        <f t="shared" si="4"/>
        <v>0</v>
      </c>
      <c r="V3658" s="168">
        <f t="shared" si="5"/>
        <v>0</v>
      </c>
      <c r="W3658" s="168">
        <f t="shared" si="6"/>
        <v>0</v>
      </c>
      <c r="X3658" s="168">
        <f t="shared" si="7"/>
        <v>0</v>
      </c>
      <c r="Y3658" s="168">
        <f t="shared" si="8"/>
        <v>0</v>
      </c>
      <c r="Z3658" s="168">
        <f t="shared" si="9"/>
        <v>0</v>
      </c>
    </row>
    <row r="3659" ht="15.0" customHeight="1">
      <c r="A3659" s="157" t="s">
        <v>4589</v>
      </c>
      <c r="B3659" s="158" t="s">
        <v>44</v>
      </c>
      <c r="C3659" s="158" t="s">
        <v>4585</v>
      </c>
      <c r="D3659" s="159">
        <v>44943.0</v>
      </c>
      <c r="E3659" s="157" t="s">
        <v>731</v>
      </c>
      <c r="F3659" s="160">
        <v>410947.16</v>
      </c>
      <c r="G3659" s="160">
        <f>'FACP$'!$F3659*0.16</f>
        <v>65751.5456</v>
      </c>
      <c r="H3659" s="160">
        <f t="shared" si="122"/>
        <v>476698.7056</v>
      </c>
      <c r="I3659" s="160"/>
      <c r="J3659" s="161"/>
      <c r="K3659" s="160"/>
      <c r="L3659" s="160">
        <f>+'FACP$'!$H3659-'FACP$'!$I3659-'FACP$'!$K3659</f>
        <v>476698.7056</v>
      </c>
      <c r="M3659" s="162" t="s">
        <v>361</v>
      </c>
      <c r="N3659" s="162" t="s">
        <v>554</v>
      </c>
      <c r="O3659" s="164">
        <v>44953.0</v>
      </c>
      <c r="P3659" s="164">
        <f t="array" ref="P3659">XLOOKUP('FACP$'!$B3659,'perfil de pagos'!A:A,'perfil de pagos'!B:B)+'FACP$'!$D3659</f>
        <v>44953</v>
      </c>
      <c r="Q3659" s="165">
        <f t="shared" si="2"/>
        <v>0</v>
      </c>
      <c r="R3659" s="167"/>
      <c r="S3659" s="167"/>
      <c r="T3659" s="168">
        <f t="shared" si="3"/>
        <v>476698.7056</v>
      </c>
      <c r="U3659" s="168">
        <f t="shared" si="4"/>
        <v>0</v>
      </c>
      <c r="V3659" s="168">
        <f t="shared" si="5"/>
        <v>0</v>
      </c>
      <c r="W3659" s="168">
        <f t="shared" si="6"/>
        <v>0</v>
      </c>
      <c r="X3659" s="168">
        <f t="shared" si="7"/>
        <v>0</v>
      </c>
      <c r="Y3659" s="168">
        <f t="shared" si="8"/>
        <v>0</v>
      </c>
      <c r="Z3659" s="168">
        <f t="shared" si="9"/>
        <v>0</v>
      </c>
    </row>
    <row r="3660" ht="15.0" customHeight="1">
      <c r="A3660" s="157" t="s">
        <v>4590</v>
      </c>
      <c r="B3660" s="158" t="s">
        <v>27</v>
      </c>
      <c r="C3660" s="158" t="s">
        <v>4585</v>
      </c>
      <c r="D3660" s="159">
        <v>44943.0</v>
      </c>
      <c r="E3660" s="157" t="s">
        <v>731</v>
      </c>
      <c r="F3660" s="160">
        <v>226993.06</v>
      </c>
      <c r="G3660" s="160">
        <f>'FACP$'!$F3660*0.16</f>
        <v>36318.8896</v>
      </c>
      <c r="H3660" s="160">
        <f t="shared" si="122"/>
        <v>263311.9496</v>
      </c>
      <c r="I3660" s="160"/>
      <c r="J3660" s="161"/>
      <c r="K3660" s="160"/>
      <c r="L3660" s="160">
        <f>+'FACP$'!$H3660-'FACP$'!$I3660-'FACP$'!$K3660</f>
        <v>263311.9496</v>
      </c>
      <c r="M3660" s="162" t="s">
        <v>158</v>
      </c>
      <c r="N3660" s="162" t="s">
        <v>554</v>
      </c>
      <c r="O3660" s="164">
        <v>44973.0</v>
      </c>
      <c r="P3660" s="164">
        <f t="array" ref="P3660">XLOOKUP('FACP$'!$B3660,'perfil de pagos'!A:A,'perfil de pagos'!B:B)+'FACP$'!$D3660</f>
        <v>44973</v>
      </c>
      <c r="Q3660" s="165">
        <f t="shared" si="2"/>
        <v>0</v>
      </c>
      <c r="R3660" s="167"/>
      <c r="S3660" s="167">
        <v>1970.0</v>
      </c>
      <c r="T3660" s="168">
        <f t="shared" si="3"/>
        <v>263311.9496</v>
      </c>
      <c r="U3660" s="168">
        <f t="shared" si="4"/>
        <v>0</v>
      </c>
      <c r="V3660" s="168">
        <f t="shared" si="5"/>
        <v>0</v>
      </c>
      <c r="W3660" s="168">
        <f t="shared" si="6"/>
        <v>0</v>
      </c>
      <c r="X3660" s="168">
        <f t="shared" si="7"/>
        <v>0</v>
      </c>
      <c r="Y3660" s="168">
        <f t="shared" si="8"/>
        <v>0</v>
      </c>
      <c r="Z3660" s="168">
        <f t="shared" si="9"/>
        <v>0</v>
      </c>
    </row>
    <row r="3661" ht="15.0" customHeight="1">
      <c r="A3661" s="157" t="s">
        <v>4591</v>
      </c>
      <c r="B3661" s="158" t="s">
        <v>27</v>
      </c>
      <c r="C3661" s="158" t="s">
        <v>4592</v>
      </c>
      <c r="D3661" s="159">
        <v>44943.0</v>
      </c>
      <c r="E3661" s="157" t="s">
        <v>731</v>
      </c>
      <c r="F3661" s="160">
        <v>166588.63</v>
      </c>
      <c r="G3661" s="160">
        <f>'FACP$'!$F3661*0.16</f>
        <v>26654.1808</v>
      </c>
      <c r="H3661" s="160">
        <f t="shared" si="122"/>
        <v>193242.8108</v>
      </c>
      <c r="I3661" s="160"/>
      <c r="J3661" s="161"/>
      <c r="K3661" s="160"/>
      <c r="L3661" s="160">
        <f>+'FACP$'!$H3661-'FACP$'!$I3661-'FACP$'!$K3661</f>
        <v>193242.8108</v>
      </c>
      <c r="M3661" s="162" t="s">
        <v>158</v>
      </c>
      <c r="N3661" s="162" t="s">
        <v>554</v>
      </c>
      <c r="O3661" s="164">
        <v>44973.0</v>
      </c>
      <c r="P3661" s="164">
        <f t="array" ref="P3661">XLOOKUP('FACP$'!$B3661,'perfil de pagos'!A:A,'perfil de pagos'!B:B)+'FACP$'!$D3661</f>
        <v>44973</v>
      </c>
      <c r="Q3661" s="165">
        <f t="shared" si="2"/>
        <v>0</v>
      </c>
      <c r="R3661" s="167"/>
      <c r="S3661" s="167">
        <v>1970.0</v>
      </c>
      <c r="T3661" s="168">
        <f t="shared" si="3"/>
        <v>193242.8108</v>
      </c>
      <c r="U3661" s="168">
        <f t="shared" si="4"/>
        <v>0</v>
      </c>
      <c r="V3661" s="168">
        <f t="shared" si="5"/>
        <v>0</v>
      </c>
      <c r="W3661" s="168">
        <f t="shared" si="6"/>
        <v>0</v>
      </c>
      <c r="X3661" s="168">
        <f t="shared" si="7"/>
        <v>0</v>
      </c>
      <c r="Y3661" s="168">
        <f t="shared" si="8"/>
        <v>0</v>
      </c>
      <c r="Z3661" s="168">
        <f t="shared" si="9"/>
        <v>0</v>
      </c>
    </row>
    <row r="3662" ht="15.0" customHeight="1">
      <c r="A3662" s="157" t="s">
        <v>4593</v>
      </c>
      <c r="B3662" s="158" t="s">
        <v>27</v>
      </c>
      <c r="C3662" s="158" t="s">
        <v>4585</v>
      </c>
      <c r="D3662" s="159">
        <v>44943.0</v>
      </c>
      <c r="E3662" s="157" t="s">
        <v>731</v>
      </c>
      <c r="F3662" s="160">
        <v>294862.05</v>
      </c>
      <c r="G3662" s="160">
        <f>'FACP$'!$F3662*0.16</f>
        <v>47177.928</v>
      </c>
      <c r="H3662" s="160">
        <f t="shared" si="122"/>
        <v>342039.978</v>
      </c>
      <c r="I3662" s="160"/>
      <c r="J3662" s="161"/>
      <c r="K3662" s="160"/>
      <c r="L3662" s="160">
        <f>+'FACP$'!$H3662-'FACP$'!$I3662-'FACP$'!$K3662</f>
        <v>342039.978</v>
      </c>
      <c r="M3662" s="162" t="s">
        <v>151</v>
      </c>
      <c r="N3662" s="162" t="s">
        <v>554</v>
      </c>
      <c r="O3662" s="164">
        <v>44973.0</v>
      </c>
      <c r="P3662" s="164">
        <f t="array" ref="P3662">XLOOKUP('FACP$'!$B3662,'perfil de pagos'!A:A,'perfil de pagos'!B:B)+'FACP$'!$D3662</f>
        <v>44973</v>
      </c>
      <c r="Q3662" s="165">
        <f t="shared" si="2"/>
        <v>0</v>
      </c>
      <c r="R3662" s="167"/>
      <c r="S3662" s="167">
        <v>1969.0</v>
      </c>
      <c r="T3662" s="168">
        <f t="shared" si="3"/>
        <v>342039.978</v>
      </c>
      <c r="U3662" s="168">
        <f t="shared" si="4"/>
        <v>0</v>
      </c>
      <c r="V3662" s="168">
        <f t="shared" si="5"/>
        <v>0</v>
      </c>
      <c r="W3662" s="168">
        <f t="shared" si="6"/>
        <v>0</v>
      </c>
      <c r="X3662" s="168">
        <f t="shared" si="7"/>
        <v>0</v>
      </c>
      <c r="Y3662" s="168">
        <f t="shared" si="8"/>
        <v>0</v>
      </c>
      <c r="Z3662" s="168">
        <f t="shared" si="9"/>
        <v>0</v>
      </c>
    </row>
    <row r="3663" ht="15.0" customHeight="1">
      <c r="A3663" s="157" t="s">
        <v>4594</v>
      </c>
      <c r="B3663" s="158" t="s">
        <v>27</v>
      </c>
      <c r="C3663" s="158" t="s">
        <v>4592</v>
      </c>
      <c r="D3663" s="159">
        <v>44943.0</v>
      </c>
      <c r="E3663" s="157" t="s">
        <v>731</v>
      </c>
      <c r="F3663" s="160">
        <v>187780.03</v>
      </c>
      <c r="G3663" s="160">
        <f>'FACP$'!$F3663*0.16</f>
        <v>30044.8048</v>
      </c>
      <c r="H3663" s="160">
        <f t="shared" si="122"/>
        <v>217824.8348</v>
      </c>
      <c r="I3663" s="160"/>
      <c r="J3663" s="161"/>
      <c r="K3663" s="160"/>
      <c r="L3663" s="160">
        <f>+'FACP$'!$H3663-'FACP$'!$I3663-'FACP$'!$K3663</f>
        <v>217824.8348</v>
      </c>
      <c r="M3663" s="162" t="s">
        <v>151</v>
      </c>
      <c r="N3663" s="162" t="s">
        <v>554</v>
      </c>
      <c r="O3663" s="164">
        <v>44973.0</v>
      </c>
      <c r="P3663" s="164">
        <f t="array" ref="P3663">XLOOKUP('FACP$'!$B3663,'perfil de pagos'!A:A,'perfil de pagos'!B:B)+'FACP$'!$D3663</f>
        <v>44973</v>
      </c>
      <c r="Q3663" s="165">
        <f t="shared" si="2"/>
        <v>0</v>
      </c>
      <c r="R3663" s="167"/>
      <c r="S3663" s="167">
        <v>1969.0</v>
      </c>
      <c r="T3663" s="168">
        <f t="shared" si="3"/>
        <v>217824.8348</v>
      </c>
      <c r="U3663" s="168">
        <f t="shared" si="4"/>
        <v>0</v>
      </c>
      <c r="V3663" s="168">
        <f t="shared" si="5"/>
        <v>0</v>
      </c>
      <c r="W3663" s="168">
        <f t="shared" si="6"/>
        <v>0</v>
      </c>
      <c r="X3663" s="168">
        <f t="shared" si="7"/>
        <v>0</v>
      </c>
      <c r="Y3663" s="168">
        <f t="shared" si="8"/>
        <v>0</v>
      </c>
      <c r="Z3663" s="168">
        <f t="shared" si="9"/>
        <v>0</v>
      </c>
    </row>
    <row r="3664" ht="15.0" customHeight="1">
      <c r="A3664" s="157" t="s">
        <v>4595</v>
      </c>
      <c r="B3664" s="158" t="s">
        <v>27</v>
      </c>
      <c r="C3664" s="158" t="s">
        <v>4596</v>
      </c>
      <c r="D3664" s="159">
        <v>44943.0</v>
      </c>
      <c r="E3664" s="157" t="s">
        <v>731</v>
      </c>
      <c r="F3664" s="160">
        <v>12670.77</v>
      </c>
      <c r="G3664" s="160">
        <f>'FACP$'!$F3664*0.16</f>
        <v>2027.3232</v>
      </c>
      <c r="H3664" s="160">
        <f t="shared" si="122"/>
        <v>14698.0932</v>
      </c>
      <c r="I3664" s="160"/>
      <c r="J3664" s="161"/>
      <c r="K3664" s="160"/>
      <c r="L3664" s="160">
        <f>+'FACP$'!$H3664-'FACP$'!$I3664-'FACP$'!$K3664</f>
        <v>14698.0932</v>
      </c>
      <c r="M3664" s="162" t="s">
        <v>151</v>
      </c>
      <c r="N3664" s="162" t="s">
        <v>554</v>
      </c>
      <c r="O3664" s="164">
        <v>44973.0</v>
      </c>
      <c r="P3664" s="164">
        <f t="array" ref="P3664">XLOOKUP('FACP$'!$B3664,'perfil de pagos'!A:A,'perfil de pagos'!B:B)+'FACP$'!$D3664</f>
        <v>44973</v>
      </c>
      <c r="Q3664" s="165">
        <f t="shared" si="2"/>
        <v>0</v>
      </c>
      <c r="R3664" s="167"/>
      <c r="S3664" s="167">
        <v>1969.0</v>
      </c>
      <c r="T3664" s="168">
        <f t="shared" si="3"/>
        <v>14698.0932</v>
      </c>
      <c r="U3664" s="168">
        <f t="shared" si="4"/>
        <v>0</v>
      </c>
      <c r="V3664" s="168">
        <f t="shared" si="5"/>
        <v>0</v>
      </c>
      <c r="W3664" s="168">
        <f t="shared" si="6"/>
        <v>0</v>
      </c>
      <c r="X3664" s="168">
        <f t="shared" si="7"/>
        <v>0</v>
      </c>
      <c r="Y3664" s="168">
        <f t="shared" si="8"/>
        <v>0</v>
      </c>
      <c r="Z3664" s="168">
        <f t="shared" si="9"/>
        <v>0</v>
      </c>
    </row>
    <row r="3665" ht="15.0" customHeight="1">
      <c r="A3665" s="157" t="s">
        <v>4597</v>
      </c>
      <c r="B3665" s="158" t="s">
        <v>27</v>
      </c>
      <c r="C3665" s="158" t="s">
        <v>4598</v>
      </c>
      <c r="D3665" s="159">
        <v>44943.0</v>
      </c>
      <c r="E3665" s="157" t="s">
        <v>731</v>
      </c>
      <c r="F3665" s="160">
        <v>11691.92</v>
      </c>
      <c r="G3665" s="160">
        <f>'FACP$'!$F3665*0.16</f>
        <v>1870.7072</v>
      </c>
      <c r="H3665" s="160">
        <f t="shared" si="122"/>
        <v>13562.6272</v>
      </c>
      <c r="I3665" s="160"/>
      <c r="J3665" s="161"/>
      <c r="K3665" s="160"/>
      <c r="L3665" s="160">
        <f>+'FACP$'!$H3665-'FACP$'!$I3665-'FACP$'!$K3665</f>
        <v>13562.6272</v>
      </c>
      <c r="M3665" s="162" t="s">
        <v>151</v>
      </c>
      <c r="N3665" s="162" t="s">
        <v>554</v>
      </c>
      <c r="O3665" s="164">
        <v>44973.0</v>
      </c>
      <c r="P3665" s="164">
        <f t="array" ref="P3665">XLOOKUP('FACP$'!$B3665,'perfil de pagos'!A:A,'perfil de pagos'!B:B)+'FACP$'!$D3665</f>
        <v>44973</v>
      </c>
      <c r="Q3665" s="165">
        <f t="shared" si="2"/>
        <v>0</v>
      </c>
      <c r="R3665" s="167"/>
      <c r="S3665" s="167">
        <v>1969.0</v>
      </c>
      <c r="T3665" s="168">
        <f t="shared" si="3"/>
        <v>13562.6272</v>
      </c>
      <c r="U3665" s="168">
        <f t="shared" si="4"/>
        <v>0</v>
      </c>
      <c r="V3665" s="168">
        <f t="shared" si="5"/>
        <v>0</v>
      </c>
      <c r="W3665" s="168">
        <f t="shared" si="6"/>
        <v>0</v>
      </c>
      <c r="X3665" s="168">
        <f t="shared" si="7"/>
        <v>0</v>
      </c>
      <c r="Y3665" s="168">
        <f t="shared" si="8"/>
        <v>0</v>
      </c>
      <c r="Z3665" s="168">
        <f t="shared" si="9"/>
        <v>0</v>
      </c>
    </row>
    <row r="3666" ht="15.0" customHeight="1">
      <c r="A3666" s="157" t="s">
        <v>4599</v>
      </c>
      <c r="B3666" s="158" t="s">
        <v>29</v>
      </c>
      <c r="C3666" s="158" t="s">
        <v>4482</v>
      </c>
      <c r="D3666" s="159">
        <v>44943.0</v>
      </c>
      <c r="E3666" s="157" t="s">
        <v>731</v>
      </c>
      <c r="F3666" s="160">
        <v>283896.51</v>
      </c>
      <c r="G3666" s="160">
        <f>'FACP$'!$F3666*0.16</f>
        <v>45423.4416</v>
      </c>
      <c r="H3666" s="160">
        <f t="shared" si="122"/>
        <v>329319.9516</v>
      </c>
      <c r="I3666" s="160"/>
      <c r="J3666" s="161"/>
      <c r="K3666" s="160"/>
      <c r="L3666" s="160">
        <f>+'FACP$'!$H3666-'FACP$'!$I3666-'FACP$'!$K3666</f>
        <v>329319.9516</v>
      </c>
      <c r="M3666" s="162" t="s">
        <v>130</v>
      </c>
      <c r="N3666" s="162" t="s">
        <v>554</v>
      </c>
      <c r="O3666" s="164">
        <v>44945.0</v>
      </c>
      <c r="P3666" s="164">
        <f t="array" ref="P3666">XLOOKUP('FACP$'!$B3666,'perfil de pagos'!A:A,'perfil de pagos'!B:B)+'FACP$'!$D3666</f>
        <v>44953</v>
      </c>
      <c r="Q3666" s="165">
        <f t="shared" si="2"/>
        <v>0</v>
      </c>
      <c r="R3666" s="167" t="s">
        <v>4600</v>
      </c>
      <c r="S3666" s="167"/>
      <c r="T3666" s="168">
        <f t="shared" si="3"/>
        <v>329319.9516</v>
      </c>
      <c r="U3666" s="168">
        <f t="shared" si="4"/>
        <v>0</v>
      </c>
      <c r="V3666" s="168">
        <f t="shared" si="5"/>
        <v>0</v>
      </c>
      <c r="W3666" s="168">
        <f t="shared" si="6"/>
        <v>0</v>
      </c>
      <c r="X3666" s="168">
        <f t="shared" si="7"/>
        <v>0</v>
      </c>
      <c r="Y3666" s="168">
        <f t="shared" si="8"/>
        <v>0</v>
      </c>
      <c r="Z3666" s="168">
        <f t="shared" si="9"/>
        <v>0</v>
      </c>
    </row>
    <row r="3667" ht="15.0" customHeight="1">
      <c r="A3667" s="157" t="s">
        <v>4601</v>
      </c>
      <c r="B3667" s="158" t="s">
        <v>31</v>
      </c>
      <c r="C3667" s="158" t="s">
        <v>4602</v>
      </c>
      <c r="D3667" s="159">
        <v>44943.0</v>
      </c>
      <c r="E3667" s="157" t="s">
        <v>731</v>
      </c>
      <c r="F3667" s="160">
        <v>431013.28</v>
      </c>
      <c r="G3667" s="160">
        <f>'FACP$'!$F3667*0.16</f>
        <v>68962.1248</v>
      </c>
      <c r="H3667" s="160">
        <f t="shared" si="122"/>
        <v>499975.4048</v>
      </c>
      <c r="I3667" s="252"/>
      <c r="J3667" s="253"/>
      <c r="K3667" s="252"/>
      <c r="L3667" s="160">
        <f>+'FACP$'!$H3667-'FACP$'!$I3667-'FACP$'!$K3667</f>
        <v>499975.4048</v>
      </c>
      <c r="M3667" s="162" t="s">
        <v>3183</v>
      </c>
      <c r="N3667" s="162" t="s">
        <v>554</v>
      </c>
      <c r="O3667" s="164">
        <v>45126.0</v>
      </c>
      <c r="P3667" s="164">
        <f t="array" ref="P3667">XLOOKUP('FACP$'!$B3667,'perfil de pagos'!A:A,'perfil de pagos'!B:B)+'FACP$'!$D3667</f>
        <v>44946</v>
      </c>
      <c r="Q3667" s="165">
        <f t="shared" si="2"/>
        <v>0</v>
      </c>
      <c r="R3667" s="220" t="s">
        <v>4583</v>
      </c>
      <c r="S3667" s="167">
        <v>2303.0</v>
      </c>
      <c r="T3667" s="168">
        <f t="shared" si="3"/>
        <v>499975.4048</v>
      </c>
      <c r="U3667" s="168">
        <f t="shared" si="4"/>
        <v>0</v>
      </c>
      <c r="V3667" s="168">
        <f t="shared" si="5"/>
        <v>0</v>
      </c>
      <c r="W3667" s="168">
        <f t="shared" si="6"/>
        <v>0</v>
      </c>
      <c r="X3667" s="168">
        <f t="shared" si="7"/>
        <v>0</v>
      </c>
      <c r="Y3667" s="168">
        <f t="shared" si="8"/>
        <v>0</v>
      </c>
      <c r="Z3667" s="168">
        <f t="shared" si="9"/>
        <v>0</v>
      </c>
    </row>
    <row r="3668" ht="15.0" customHeight="1">
      <c r="A3668" s="157" t="s">
        <v>4603</v>
      </c>
      <c r="B3668" s="158" t="s">
        <v>41</v>
      </c>
      <c r="C3668" s="158" t="s">
        <v>4585</v>
      </c>
      <c r="D3668" s="159">
        <v>44943.0</v>
      </c>
      <c r="E3668" s="157" t="s">
        <v>731</v>
      </c>
      <c r="F3668" s="160">
        <v>595881.23</v>
      </c>
      <c r="G3668" s="160">
        <f>'FACP$'!$F3668*0.16</f>
        <v>95340.9968</v>
      </c>
      <c r="H3668" s="160">
        <f t="shared" si="122"/>
        <v>691222.2268</v>
      </c>
      <c r="I3668" s="160"/>
      <c r="J3668" s="161"/>
      <c r="K3668" s="160"/>
      <c r="L3668" s="160">
        <f>+'FACP$'!$H3668-'FACP$'!$I3668-'FACP$'!$K3668</f>
        <v>691222.2268</v>
      </c>
      <c r="M3668" s="162" t="s">
        <v>121</v>
      </c>
      <c r="N3668" s="162" t="s">
        <v>554</v>
      </c>
      <c r="O3668" s="164">
        <v>44633.0</v>
      </c>
      <c r="P3668" s="164">
        <f t="array" ref="P3668">XLOOKUP('FACP$'!$B3668,'perfil de pagos'!A:A,'perfil de pagos'!B:B)+'FACP$'!$D3668</f>
        <v>44953</v>
      </c>
      <c r="Q3668" s="165">
        <f t="shared" si="2"/>
        <v>0</v>
      </c>
      <c r="R3668" s="167"/>
      <c r="S3668" s="167">
        <v>2039.0</v>
      </c>
      <c r="T3668" s="168">
        <f t="shared" si="3"/>
        <v>691222.2268</v>
      </c>
      <c r="U3668" s="168">
        <f t="shared" si="4"/>
        <v>0</v>
      </c>
      <c r="V3668" s="168">
        <f t="shared" si="5"/>
        <v>0</v>
      </c>
      <c r="W3668" s="168">
        <f t="shared" si="6"/>
        <v>0</v>
      </c>
      <c r="X3668" s="168">
        <f t="shared" si="7"/>
        <v>0</v>
      </c>
      <c r="Y3668" s="168">
        <f t="shared" si="8"/>
        <v>0</v>
      </c>
      <c r="Z3668" s="168">
        <f t="shared" si="9"/>
        <v>0</v>
      </c>
    </row>
    <row r="3669" ht="15.0" customHeight="1">
      <c r="A3669" s="157" t="s">
        <v>4604</v>
      </c>
      <c r="B3669" s="158" t="s">
        <v>15</v>
      </c>
      <c r="C3669" s="158" t="s">
        <v>4585</v>
      </c>
      <c r="D3669" s="159">
        <v>44950.0</v>
      </c>
      <c r="E3669" s="157" t="s">
        <v>731</v>
      </c>
      <c r="F3669" s="160">
        <v>1450273.86</v>
      </c>
      <c r="G3669" s="160">
        <f>'FACP$'!$F3669*0.16</f>
        <v>232043.8176</v>
      </c>
      <c r="H3669" s="160">
        <f t="shared" si="122"/>
        <v>1682317.678</v>
      </c>
      <c r="I3669" s="160"/>
      <c r="J3669" s="161"/>
      <c r="K3669" s="160"/>
      <c r="L3669" s="160">
        <f>+'FACP$'!$H3669-'FACP$'!$I3669-'FACP$'!$K3669</f>
        <v>1682317.678</v>
      </c>
      <c r="M3669" s="162" t="s">
        <v>443</v>
      </c>
      <c r="N3669" s="162" t="s">
        <v>554</v>
      </c>
      <c r="O3669" s="164">
        <v>44971.0</v>
      </c>
      <c r="P3669" s="164">
        <f t="array" ref="P3669">XLOOKUP('FACP$'!$B3669,'perfil de pagos'!A:A,'perfil de pagos'!B:B)+'FACP$'!$D3669</f>
        <v>44960</v>
      </c>
      <c r="Q3669" s="165">
        <f t="shared" si="2"/>
        <v>0</v>
      </c>
      <c r="R3669" s="167"/>
      <c r="S3669" s="167">
        <v>1965.0</v>
      </c>
      <c r="T3669" s="168">
        <f t="shared" si="3"/>
        <v>1682317.678</v>
      </c>
      <c r="U3669" s="168">
        <f t="shared" si="4"/>
        <v>0</v>
      </c>
      <c r="V3669" s="168">
        <f t="shared" si="5"/>
        <v>0</v>
      </c>
      <c r="W3669" s="168">
        <f t="shared" si="6"/>
        <v>0</v>
      </c>
      <c r="X3669" s="168">
        <f t="shared" si="7"/>
        <v>0</v>
      </c>
      <c r="Y3669" s="168">
        <f t="shared" si="8"/>
        <v>0</v>
      </c>
      <c r="Z3669" s="168">
        <f t="shared" si="9"/>
        <v>0</v>
      </c>
    </row>
    <row r="3670" ht="15.0" customHeight="1">
      <c r="A3670" s="157" t="s">
        <v>4605</v>
      </c>
      <c r="B3670" s="158" t="s">
        <v>32</v>
      </c>
      <c r="C3670" s="158" t="s">
        <v>4585</v>
      </c>
      <c r="D3670" s="159">
        <v>44950.0</v>
      </c>
      <c r="E3670" s="157" t="s">
        <v>731</v>
      </c>
      <c r="F3670" s="160">
        <v>189870.87</v>
      </c>
      <c r="G3670" s="160">
        <f>'FACP$'!$F3670*0.16</f>
        <v>30379.3392</v>
      </c>
      <c r="H3670" s="160">
        <f t="shared" si="122"/>
        <v>220250.2092</v>
      </c>
      <c r="I3670" s="160"/>
      <c r="J3670" s="161"/>
      <c r="K3670" s="160"/>
      <c r="L3670" s="160">
        <f>+'FACP$'!$H3670-'FACP$'!$I3670-'FACP$'!$K3670</f>
        <v>220250.2092</v>
      </c>
      <c r="M3670" s="162" t="s">
        <v>395</v>
      </c>
      <c r="N3670" s="162" t="s">
        <v>554</v>
      </c>
      <c r="O3670" s="164">
        <v>44960.0</v>
      </c>
      <c r="P3670" s="164">
        <f t="array" ref="P3670">XLOOKUP('FACP$'!$B3670,'perfil de pagos'!A:A,'perfil de pagos'!B:B)+'FACP$'!$D3670</f>
        <v>44960</v>
      </c>
      <c r="Q3670" s="165">
        <f t="shared" si="2"/>
        <v>0</v>
      </c>
      <c r="R3670" s="167" t="s">
        <v>4606</v>
      </c>
      <c r="S3670" s="167">
        <v>1939.0</v>
      </c>
      <c r="T3670" s="168">
        <f t="shared" si="3"/>
        <v>220250.2092</v>
      </c>
      <c r="U3670" s="168">
        <f t="shared" si="4"/>
        <v>0</v>
      </c>
      <c r="V3670" s="168">
        <f t="shared" si="5"/>
        <v>0</v>
      </c>
      <c r="W3670" s="168">
        <f t="shared" si="6"/>
        <v>0</v>
      </c>
      <c r="X3670" s="168">
        <f t="shared" si="7"/>
        <v>0</v>
      </c>
      <c r="Y3670" s="168">
        <f t="shared" si="8"/>
        <v>0</v>
      </c>
      <c r="Z3670" s="168">
        <f t="shared" si="9"/>
        <v>0</v>
      </c>
    </row>
    <row r="3671" ht="15.0" customHeight="1">
      <c r="A3671" s="157" t="s">
        <v>4607</v>
      </c>
      <c r="B3671" s="158" t="s">
        <v>31</v>
      </c>
      <c r="C3671" s="158" t="s">
        <v>4608</v>
      </c>
      <c r="D3671" s="159">
        <v>44951.0</v>
      </c>
      <c r="E3671" s="157" t="s">
        <v>731</v>
      </c>
      <c r="F3671" s="160">
        <v>350126.45</v>
      </c>
      <c r="G3671" s="160">
        <f>'FACP$'!$F3671*0.16</f>
        <v>56020.232</v>
      </c>
      <c r="H3671" s="160">
        <f t="shared" si="122"/>
        <v>406146.682</v>
      </c>
      <c r="I3671" s="252"/>
      <c r="J3671" s="253"/>
      <c r="K3671" s="252"/>
      <c r="L3671" s="160">
        <f>+'FACP$'!$H3671-'FACP$'!$I3671-'FACP$'!$K3671</f>
        <v>406146.682</v>
      </c>
      <c r="M3671" s="162" t="s">
        <v>3183</v>
      </c>
      <c r="N3671" s="162" t="s">
        <v>554</v>
      </c>
      <c r="O3671" s="164">
        <v>45126.0</v>
      </c>
      <c r="P3671" s="164">
        <f t="array" ref="P3671">XLOOKUP('FACP$'!$B3671,'perfil de pagos'!A:A,'perfil de pagos'!B:B)+'FACP$'!$D3671</f>
        <v>44954</v>
      </c>
      <c r="Q3671" s="165">
        <f t="shared" si="2"/>
        <v>0</v>
      </c>
      <c r="R3671" s="220" t="s">
        <v>4583</v>
      </c>
      <c r="S3671" s="167">
        <v>2303.0</v>
      </c>
      <c r="T3671" s="168">
        <f t="shared" si="3"/>
        <v>406146.682</v>
      </c>
      <c r="U3671" s="168">
        <f t="shared" si="4"/>
        <v>0</v>
      </c>
      <c r="V3671" s="168">
        <f t="shared" si="5"/>
        <v>0</v>
      </c>
      <c r="W3671" s="168">
        <f t="shared" si="6"/>
        <v>0</v>
      </c>
      <c r="X3671" s="168">
        <f t="shared" si="7"/>
        <v>0</v>
      </c>
      <c r="Y3671" s="168">
        <f t="shared" si="8"/>
        <v>0</v>
      </c>
      <c r="Z3671" s="168">
        <f t="shared" si="9"/>
        <v>0</v>
      </c>
    </row>
    <row r="3672" ht="15.0" customHeight="1">
      <c r="A3672" s="157" t="s">
        <v>4609</v>
      </c>
      <c r="B3672" s="158" t="s">
        <v>16</v>
      </c>
      <c r="C3672" s="158" t="s">
        <v>4585</v>
      </c>
      <c r="D3672" s="159">
        <v>44956.0</v>
      </c>
      <c r="E3672" s="157" t="s">
        <v>731</v>
      </c>
      <c r="F3672" s="160">
        <v>214524.45</v>
      </c>
      <c r="G3672" s="160">
        <f>'FACP$'!$F3672*0.16</f>
        <v>34323.912</v>
      </c>
      <c r="H3672" s="160">
        <f t="shared" si="122"/>
        <v>248848.362</v>
      </c>
      <c r="I3672" s="160"/>
      <c r="J3672" s="161"/>
      <c r="K3672" s="160"/>
      <c r="L3672" s="160">
        <f>+'FACP$'!$H3672-'FACP$'!$I3672-'FACP$'!$K3672</f>
        <v>248848.362</v>
      </c>
      <c r="M3672" s="162" t="s">
        <v>985</v>
      </c>
      <c r="N3672" s="162" t="s">
        <v>554</v>
      </c>
      <c r="O3672" s="164">
        <v>44971.0</v>
      </c>
      <c r="P3672" s="164">
        <f t="array" ref="P3672">XLOOKUP('FACP$'!$B3672,'perfil de pagos'!A:A,'perfil de pagos'!B:B)+'FACP$'!$D3672</f>
        <v>44966</v>
      </c>
      <c r="Q3672" s="165">
        <f t="shared" si="2"/>
        <v>0</v>
      </c>
      <c r="R3672" s="167"/>
      <c r="S3672" s="167">
        <v>1967.0</v>
      </c>
      <c r="T3672" s="168">
        <f t="shared" si="3"/>
        <v>248848.362</v>
      </c>
      <c r="U3672" s="168">
        <f t="shared" si="4"/>
        <v>0</v>
      </c>
      <c r="V3672" s="168">
        <f t="shared" si="5"/>
        <v>0</v>
      </c>
      <c r="W3672" s="168">
        <f t="shared" si="6"/>
        <v>0</v>
      </c>
      <c r="X3672" s="168">
        <f t="shared" si="7"/>
        <v>0</v>
      </c>
      <c r="Y3672" s="168">
        <f t="shared" si="8"/>
        <v>0</v>
      </c>
      <c r="Z3672" s="168">
        <f t="shared" si="9"/>
        <v>0</v>
      </c>
    </row>
    <row r="3673" ht="15.0" customHeight="1">
      <c r="A3673" s="157" t="s">
        <v>4610</v>
      </c>
      <c r="B3673" s="158" t="s">
        <v>16</v>
      </c>
      <c r="C3673" s="158" t="s">
        <v>4611</v>
      </c>
      <c r="D3673" s="159">
        <v>44956.0</v>
      </c>
      <c r="E3673" s="157" t="s">
        <v>731</v>
      </c>
      <c r="F3673" s="160">
        <v>219947.15</v>
      </c>
      <c r="G3673" s="160">
        <f>'FACP$'!$F3673*0.16</f>
        <v>35191.544</v>
      </c>
      <c r="H3673" s="160">
        <f t="shared" si="122"/>
        <v>255138.694</v>
      </c>
      <c r="I3673" s="160"/>
      <c r="J3673" s="161"/>
      <c r="K3673" s="160"/>
      <c r="L3673" s="160">
        <f>+'FACP$'!$H3673-'FACP$'!$I3673-'FACP$'!$K3673</f>
        <v>255138.694</v>
      </c>
      <c r="M3673" s="162" t="s">
        <v>985</v>
      </c>
      <c r="N3673" s="162" t="s">
        <v>554</v>
      </c>
      <c r="O3673" s="164">
        <v>44971.0</v>
      </c>
      <c r="P3673" s="164">
        <f t="array" ref="P3673">XLOOKUP('FACP$'!$B3673,'perfil de pagos'!A:A,'perfil de pagos'!B:B)+'FACP$'!$D3673</f>
        <v>44966</v>
      </c>
      <c r="Q3673" s="165">
        <f t="shared" si="2"/>
        <v>0</v>
      </c>
      <c r="R3673" s="167"/>
      <c r="S3673" s="167">
        <v>1967.0</v>
      </c>
      <c r="T3673" s="168">
        <f t="shared" si="3"/>
        <v>255138.694</v>
      </c>
      <c r="U3673" s="168">
        <f t="shared" si="4"/>
        <v>0</v>
      </c>
      <c r="V3673" s="168">
        <f t="shared" si="5"/>
        <v>0</v>
      </c>
      <c r="W3673" s="168">
        <f t="shared" si="6"/>
        <v>0</v>
      </c>
      <c r="X3673" s="168">
        <f t="shared" si="7"/>
        <v>0</v>
      </c>
      <c r="Y3673" s="168">
        <f t="shared" si="8"/>
        <v>0</v>
      </c>
      <c r="Z3673" s="168">
        <f t="shared" si="9"/>
        <v>0</v>
      </c>
    </row>
    <row r="3674" ht="15.0" customHeight="1">
      <c r="A3674" s="157" t="s">
        <v>4612</v>
      </c>
      <c r="B3674" s="158" t="s">
        <v>18</v>
      </c>
      <c r="C3674" s="158" t="s">
        <v>4585</v>
      </c>
      <c r="D3674" s="159">
        <v>44956.0</v>
      </c>
      <c r="E3674" s="157" t="s">
        <v>731</v>
      </c>
      <c r="F3674" s="160">
        <v>66254.34</v>
      </c>
      <c r="G3674" s="160">
        <f>'FACP$'!$F3674*0.16</f>
        <v>10600.6944</v>
      </c>
      <c r="H3674" s="160">
        <f t="shared" si="122"/>
        <v>76855.0344</v>
      </c>
      <c r="I3674" s="160"/>
      <c r="J3674" s="161"/>
      <c r="K3674" s="160"/>
      <c r="L3674" s="160">
        <f>+'FACP$'!$H3674-'FACP$'!$I3674-'FACP$'!$K3674</f>
        <v>76855.0344</v>
      </c>
      <c r="M3674" s="162" t="s">
        <v>586</v>
      </c>
      <c r="N3674" s="162" t="s">
        <v>554</v>
      </c>
      <c r="O3674" s="164">
        <v>44981.0</v>
      </c>
      <c r="P3674" s="164">
        <f t="array" ref="P3674">XLOOKUP('FACP$'!$B3674,'perfil de pagos'!A:A,'perfil de pagos'!B:B)+'FACP$'!$D3674</f>
        <v>44966</v>
      </c>
      <c r="Q3674" s="165">
        <f t="shared" si="2"/>
        <v>0</v>
      </c>
      <c r="R3674" s="167"/>
      <c r="S3674" s="167">
        <v>1999.0</v>
      </c>
      <c r="T3674" s="168">
        <f t="shared" si="3"/>
        <v>76855.0344</v>
      </c>
      <c r="U3674" s="168">
        <f t="shared" si="4"/>
        <v>0</v>
      </c>
      <c r="V3674" s="168">
        <f t="shared" si="5"/>
        <v>0</v>
      </c>
      <c r="W3674" s="168">
        <f t="shared" si="6"/>
        <v>0</v>
      </c>
      <c r="X3674" s="168">
        <f t="shared" si="7"/>
        <v>0</v>
      </c>
      <c r="Y3674" s="168">
        <f t="shared" si="8"/>
        <v>0</v>
      </c>
      <c r="Z3674" s="168">
        <f t="shared" si="9"/>
        <v>0</v>
      </c>
    </row>
    <row r="3675" ht="15.0" customHeight="1">
      <c r="A3675" s="157" t="s">
        <v>4613</v>
      </c>
      <c r="B3675" s="158" t="s">
        <v>19</v>
      </c>
      <c r="C3675" s="158" t="s">
        <v>4585</v>
      </c>
      <c r="D3675" s="159">
        <v>44956.0</v>
      </c>
      <c r="E3675" s="157" t="s">
        <v>731</v>
      </c>
      <c r="F3675" s="160">
        <v>128805.6</v>
      </c>
      <c r="G3675" s="160">
        <f>'FACP$'!$F3675*0.16</f>
        <v>20608.896</v>
      </c>
      <c r="H3675" s="160">
        <f t="shared" si="122"/>
        <v>149414.496</v>
      </c>
      <c r="I3675" s="160"/>
      <c r="J3675" s="161"/>
      <c r="K3675" s="160"/>
      <c r="L3675" s="160">
        <f>+'FACP$'!$H3675-'FACP$'!$I3675-'FACP$'!$K3675</f>
        <v>149414.496</v>
      </c>
      <c r="M3675" s="162" t="s">
        <v>732</v>
      </c>
      <c r="N3675" s="162" t="s">
        <v>554</v>
      </c>
      <c r="O3675" s="164">
        <v>44981.0</v>
      </c>
      <c r="P3675" s="164">
        <f t="array" ref="P3675">XLOOKUP('FACP$'!$B3675,'perfil de pagos'!A:A,'perfil de pagos'!B:B)+'FACP$'!$D3675</f>
        <v>44966</v>
      </c>
      <c r="Q3675" s="165">
        <f t="shared" si="2"/>
        <v>0</v>
      </c>
      <c r="R3675" s="167"/>
      <c r="S3675" s="167">
        <v>1991.0</v>
      </c>
      <c r="T3675" s="168">
        <f t="shared" si="3"/>
        <v>149414.496</v>
      </c>
      <c r="U3675" s="168">
        <f t="shared" si="4"/>
        <v>0</v>
      </c>
      <c r="V3675" s="168">
        <f t="shared" si="5"/>
        <v>0</v>
      </c>
      <c r="W3675" s="168">
        <f t="shared" si="6"/>
        <v>0</v>
      </c>
      <c r="X3675" s="168">
        <f t="shared" si="7"/>
        <v>0</v>
      </c>
      <c r="Y3675" s="168">
        <f t="shared" si="8"/>
        <v>0</v>
      </c>
      <c r="Z3675" s="168">
        <f t="shared" si="9"/>
        <v>0</v>
      </c>
    </row>
    <row r="3676" ht="15.0" customHeight="1">
      <c r="A3676" s="157" t="s">
        <v>4614</v>
      </c>
      <c r="B3676" s="158" t="s">
        <v>22</v>
      </c>
      <c r="C3676" s="158" t="s">
        <v>4585</v>
      </c>
      <c r="D3676" s="159">
        <v>44956.0</v>
      </c>
      <c r="E3676" s="157" t="s">
        <v>731</v>
      </c>
      <c r="F3676" s="160">
        <v>128353.51</v>
      </c>
      <c r="G3676" s="160">
        <f>'FACP$'!$F3676*0.16</f>
        <v>20536.5616</v>
      </c>
      <c r="H3676" s="160">
        <f t="shared" si="122"/>
        <v>148890.0716</v>
      </c>
      <c r="I3676" s="160"/>
      <c r="J3676" s="161"/>
      <c r="K3676" s="160"/>
      <c r="L3676" s="160">
        <f>+'FACP$'!$H3676-'FACP$'!$I3676-'FACP$'!$K3676</f>
        <v>148890.0716</v>
      </c>
      <c r="M3676" s="162" t="s">
        <v>220</v>
      </c>
      <c r="N3676" s="162" t="s">
        <v>554</v>
      </c>
      <c r="O3676" s="164">
        <v>44988.0</v>
      </c>
      <c r="P3676" s="164">
        <f t="array" ref="P3676">XLOOKUP('FACP$'!$B3676,'perfil de pagos'!A:A,'perfil de pagos'!B:B)+'FACP$'!$D3676</f>
        <v>44966</v>
      </c>
      <c r="Q3676" s="165">
        <f t="shared" si="2"/>
        <v>0</v>
      </c>
      <c r="R3676" s="167"/>
      <c r="S3676" s="167">
        <v>2004.0</v>
      </c>
      <c r="T3676" s="168">
        <f t="shared" si="3"/>
        <v>148890.0716</v>
      </c>
      <c r="U3676" s="168">
        <f t="shared" si="4"/>
        <v>0</v>
      </c>
      <c r="V3676" s="168">
        <f t="shared" si="5"/>
        <v>0</v>
      </c>
      <c r="W3676" s="168">
        <f t="shared" si="6"/>
        <v>0</v>
      </c>
      <c r="X3676" s="168">
        <f t="shared" si="7"/>
        <v>0</v>
      </c>
      <c r="Y3676" s="168">
        <f t="shared" si="8"/>
        <v>0</v>
      </c>
      <c r="Z3676" s="168">
        <f t="shared" si="9"/>
        <v>0</v>
      </c>
    </row>
    <row r="3677" ht="15.0" customHeight="1">
      <c r="A3677" s="157" t="s">
        <v>4615</v>
      </c>
      <c r="B3677" s="158" t="s">
        <v>25</v>
      </c>
      <c r="C3677" s="158" t="s">
        <v>4585</v>
      </c>
      <c r="D3677" s="159">
        <v>44956.0</v>
      </c>
      <c r="E3677" s="157" t="s">
        <v>731</v>
      </c>
      <c r="F3677" s="160">
        <v>50439.21</v>
      </c>
      <c r="G3677" s="160">
        <f>'FACP$'!$F3677*0.16</f>
        <v>8070.2736</v>
      </c>
      <c r="H3677" s="160">
        <f t="shared" si="122"/>
        <v>58509.4836</v>
      </c>
      <c r="I3677" s="160"/>
      <c r="J3677" s="161"/>
      <c r="K3677" s="160"/>
      <c r="L3677" s="160">
        <f>+'FACP$'!$H3677-'FACP$'!$I3677-'FACP$'!$K3677</f>
        <v>58509.4836</v>
      </c>
      <c r="M3677" s="162" t="s">
        <v>4388</v>
      </c>
      <c r="N3677" s="162" t="s">
        <v>554</v>
      </c>
      <c r="O3677" s="164">
        <v>44981.0</v>
      </c>
      <c r="P3677" s="164">
        <f t="array" ref="P3677">XLOOKUP('FACP$'!$B3677,'perfil de pagos'!A:A,'perfil de pagos'!B:B)+'FACP$'!$D3677</f>
        <v>44966</v>
      </c>
      <c r="Q3677" s="165">
        <f t="shared" si="2"/>
        <v>0</v>
      </c>
      <c r="R3677" s="167"/>
      <c r="S3677" s="167">
        <v>1997.0</v>
      </c>
      <c r="T3677" s="168">
        <f t="shared" si="3"/>
        <v>58509.4836</v>
      </c>
      <c r="U3677" s="168">
        <f t="shared" si="4"/>
        <v>0</v>
      </c>
      <c r="V3677" s="168">
        <f t="shared" si="5"/>
        <v>0</v>
      </c>
      <c r="W3677" s="168">
        <f t="shared" si="6"/>
        <v>0</v>
      </c>
      <c r="X3677" s="168">
        <f t="shared" si="7"/>
        <v>0</v>
      </c>
      <c r="Y3677" s="168">
        <f t="shared" si="8"/>
        <v>0</v>
      </c>
      <c r="Z3677" s="168">
        <f t="shared" si="9"/>
        <v>0</v>
      </c>
    </row>
    <row r="3678" ht="15.0" customHeight="1">
      <c r="A3678" s="157" t="s">
        <v>4616</v>
      </c>
      <c r="B3678" s="158" t="s">
        <v>29</v>
      </c>
      <c r="C3678" s="158" t="s">
        <v>4585</v>
      </c>
      <c r="D3678" s="159">
        <v>44956.0</v>
      </c>
      <c r="E3678" s="157" t="s">
        <v>731</v>
      </c>
      <c r="F3678" s="160">
        <v>281432.2</v>
      </c>
      <c r="G3678" s="160">
        <f>'FACP$'!$F3678*0.16</f>
        <v>45029.152</v>
      </c>
      <c r="H3678" s="160">
        <f t="shared" si="122"/>
        <v>326461.352</v>
      </c>
      <c r="I3678" s="160"/>
      <c r="J3678" s="161"/>
      <c r="K3678" s="160"/>
      <c r="L3678" s="160">
        <f>+'FACP$'!$H3678-'FACP$'!$I3678-'FACP$'!$K3678</f>
        <v>326461.352</v>
      </c>
      <c r="M3678" s="162" t="s">
        <v>130</v>
      </c>
      <c r="N3678" s="162" t="s">
        <v>554</v>
      </c>
      <c r="O3678" s="164">
        <v>44964.0</v>
      </c>
      <c r="P3678" s="164">
        <f t="array" ref="P3678">XLOOKUP('FACP$'!$B3678,'perfil de pagos'!A:A,'perfil de pagos'!B:B)+'FACP$'!$D3678</f>
        <v>44966</v>
      </c>
      <c r="Q3678" s="165">
        <f t="shared" si="2"/>
        <v>0</v>
      </c>
      <c r="R3678" s="167"/>
      <c r="S3678" s="167"/>
      <c r="T3678" s="168">
        <f t="shared" si="3"/>
        <v>326461.352</v>
      </c>
      <c r="U3678" s="168">
        <f t="shared" si="4"/>
        <v>0</v>
      </c>
      <c r="V3678" s="168">
        <f t="shared" si="5"/>
        <v>0</v>
      </c>
      <c r="W3678" s="168">
        <f t="shared" si="6"/>
        <v>0</v>
      </c>
      <c r="X3678" s="168">
        <f t="shared" si="7"/>
        <v>0</v>
      </c>
      <c r="Y3678" s="168">
        <f t="shared" si="8"/>
        <v>0</v>
      </c>
      <c r="Z3678" s="168">
        <f t="shared" si="9"/>
        <v>0</v>
      </c>
    </row>
    <row r="3679" ht="15.0" customHeight="1">
      <c r="A3679" s="157" t="s">
        <v>4617</v>
      </c>
      <c r="B3679" s="158" t="s">
        <v>29</v>
      </c>
      <c r="C3679" s="158" t="s">
        <v>4611</v>
      </c>
      <c r="D3679" s="159">
        <v>44956.0</v>
      </c>
      <c r="E3679" s="157" t="s">
        <v>731</v>
      </c>
      <c r="F3679" s="160">
        <v>397237.86</v>
      </c>
      <c r="G3679" s="160">
        <f>'FACP$'!$F3679*0.16</f>
        <v>63558.0576</v>
      </c>
      <c r="H3679" s="160">
        <f t="shared" si="122"/>
        <v>460795.9176</v>
      </c>
      <c r="I3679" s="160"/>
      <c r="J3679" s="161"/>
      <c r="K3679" s="160"/>
      <c r="L3679" s="160">
        <f>+'FACP$'!$H3679-'FACP$'!$I3679-'FACP$'!$K3679</f>
        <v>460795.9176</v>
      </c>
      <c r="M3679" s="162" t="s">
        <v>130</v>
      </c>
      <c r="N3679" s="162" t="s">
        <v>554</v>
      </c>
      <c r="O3679" s="164">
        <v>44966.0</v>
      </c>
      <c r="P3679" s="164">
        <f t="array" ref="P3679">XLOOKUP('FACP$'!$B3679,'perfil de pagos'!A:A,'perfil de pagos'!B:B)+'FACP$'!$D3679</f>
        <v>44966</v>
      </c>
      <c r="Q3679" s="165">
        <f t="shared" si="2"/>
        <v>0</v>
      </c>
      <c r="R3679" s="167"/>
      <c r="S3679" s="167">
        <v>1950.0</v>
      </c>
      <c r="T3679" s="168">
        <f t="shared" si="3"/>
        <v>460795.9176</v>
      </c>
      <c r="U3679" s="168">
        <f t="shared" si="4"/>
        <v>0</v>
      </c>
      <c r="V3679" s="168">
        <f t="shared" si="5"/>
        <v>0</v>
      </c>
      <c r="W3679" s="168">
        <f t="shared" si="6"/>
        <v>0</v>
      </c>
      <c r="X3679" s="168">
        <f t="shared" si="7"/>
        <v>0</v>
      </c>
      <c r="Y3679" s="168">
        <f t="shared" si="8"/>
        <v>0</v>
      </c>
      <c r="Z3679" s="168">
        <f t="shared" si="9"/>
        <v>0</v>
      </c>
    </row>
    <row r="3680" ht="15.0" customHeight="1">
      <c r="A3680" s="157" t="s">
        <v>4618</v>
      </c>
      <c r="B3680" s="158" t="s">
        <v>37</v>
      </c>
      <c r="C3680" s="158" t="s">
        <v>4585</v>
      </c>
      <c r="D3680" s="159">
        <v>44956.0</v>
      </c>
      <c r="E3680" s="157" t="s">
        <v>731</v>
      </c>
      <c r="F3680" s="160">
        <v>1568318.37</v>
      </c>
      <c r="G3680" s="160">
        <f>'FACP$'!$F3680*0.16</f>
        <v>250930.9392</v>
      </c>
      <c r="H3680" s="160">
        <f t="shared" si="122"/>
        <v>1819249.309</v>
      </c>
      <c r="I3680" s="160"/>
      <c r="J3680" s="161"/>
      <c r="K3680" s="160"/>
      <c r="L3680" s="160">
        <f>+'FACP$'!$H3680-'FACP$'!$I3680-'FACP$'!$K3680</f>
        <v>1819249.309</v>
      </c>
      <c r="M3680" s="162" t="s">
        <v>116</v>
      </c>
      <c r="N3680" s="162" t="s">
        <v>554</v>
      </c>
      <c r="O3680" s="164">
        <v>44964.0</v>
      </c>
      <c r="P3680" s="164">
        <f t="array" ref="P3680">XLOOKUP('FACP$'!$B3680,'perfil de pagos'!A:A,'perfil de pagos'!B:B)+'FACP$'!$D3680</f>
        <v>44966</v>
      </c>
      <c r="Q3680" s="165">
        <f t="shared" si="2"/>
        <v>0</v>
      </c>
      <c r="R3680" s="167"/>
      <c r="S3680" s="167">
        <v>1940.0</v>
      </c>
      <c r="T3680" s="168">
        <f t="shared" si="3"/>
        <v>1819249.309</v>
      </c>
      <c r="U3680" s="168">
        <f t="shared" si="4"/>
        <v>0</v>
      </c>
      <c r="V3680" s="168">
        <f t="shared" si="5"/>
        <v>0</v>
      </c>
      <c r="W3680" s="168">
        <f t="shared" si="6"/>
        <v>0</v>
      </c>
      <c r="X3680" s="168">
        <f t="shared" si="7"/>
        <v>0</v>
      </c>
      <c r="Y3680" s="168">
        <f t="shared" si="8"/>
        <v>0</v>
      </c>
      <c r="Z3680" s="168">
        <f t="shared" si="9"/>
        <v>0</v>
      </c>
    </row>
    <row r="3681" ht="15.0" customHeight="1">
      <c r="A3681" s="157" t="s">
        <v>4619</v>
      </c>
      <c r="B3681" s="158" t="s">
        <v>35</v>
      </c>
      <c r="C3681" s="158" t="s">
        <v>4620</v>
      </c>
      <c r="D3681" s="159">
        <v>44956.0</v>
      </c>
      <c r="E3681" s="157" t="s">
        <v>731</v>
      </c>
      <c r="F3681" s="160">
        <v>4500.0</v>
      </c>
      <c r="G3681" s="160">
        <f>'FACP$'!$F3681*0.16</f>
        <v>720</v>
      </c>
      <c r="H3681" s="160">
        <f t="shared" si="122"/>
        <v>5220</v>
      </c>
      <c r="I3681" s="160"/>
      <c r="J3681" s="161"/>
      <c r="K3681" s="160"/>
      <c r="L3681" s="160">
        <f>+'FACP$'!$H3681-'FACP$'!$I3681-'FACP$'!$K3681</f>
        <v>5220</v>
      </c>
      <c r="M3681" s="162" t="s">
        <v>276</v>
      </c>
      <c r="N3681" s="162" t="s">
        <v>554</v>
      </c>
      <c r="O3681" s="164">
        <v>44980.0</v>
      </c>
      <c r="P3681" s="164">
        <f t="array" ref="P3681">XLOOKUP('FACP$'!$B3681,'perfil de pagos'!A:A,'perfil de pagos'!B:B)+'FACP$'!$D3681</f>
        <v>44966</v>
      </c>
      <c r="Q3681" s="165">
        <f t="shared" si="2"/>
        <v>0</v>
      </c>
      <c r="R3681" s="167"/>
      <c r="S3681" s="167">
        <v>1990.0</v>
      </c>
      <c r="T3681" s="168">
        <f t="shared" si="3"/>
        <v>5220</v>
      </c>
      <c r="U3681" s="168">
        <f t="shared" si="4"/>
        <v>0</v>
      </c>
      <c r="V3681" s="168">
        <f t="shared" si="5"/>
        <v>0</v>
      </c>
      <c r="W3681" s="168">
        <f t="shared" si="6"/>
        <v>0</v>
      </c>
      <c r="X3681" s="168">
        <f t="shared" si="7"/>
        <v>0</v>
      </c>
      <c r="Y3681" s="168">
        <f t="shared" si="8"/>
        <v>0</v>
      </c>
      <c r="Z3681" s="168">
        <f t="shared" si="9"/>
        <v>0</v>
      </c>
    </row>
    <row r="3682" ht="15.0" customHeight="1">
      <c r="A3682" s="157" t="s">
        <v>4621</v>
      </c>
      <c r="B3682" s="158" t="s">
        <v>27</v>
      </c>
      <c r="C3682" s="158" t="s">
        <v>4622</v>
      </c>
      <c r="D3682" s="159">
        <v>44957.0</v>
      </c>
      <c r="E3682" s="157" t="s">
        <v>731</v>
      </c>
      <c r="F3682" s="160">
        <v>276265.51</v>
      </c>
      <c r="G3682" s="160">
        <f>'FACP$'!$F3682*0.16</f>
        <v>44202.4816</v>
      </c>
      <c r="H3682" s="160">
        <f t="shared" si="122"/>
        <v>320467.9916</v>
      </c>
      <c r="I3682" s="160"/>
      <c r="J3682" s="161"/>
      <c r="K3682" s="160"/>
      <c r="L3682" s="160">
        <f>+'FACP$'!$H3682-'FACP$'!$I3682-'FACP$'!$K3682</f>
        <v>320467.9916</v>
      </c>
      <c r="M3682" s="162" t="s">
        <v>151</v>
      </c>
      <c r="N3682" s="162" t="s">
        <v>554</v>
      </c>
      <c r="O3682" s="164">
        <v>44981.0</v>
      </c>
      <c r="P3682" s="164">
        <f t="array" ref="P3682">XLOOKUP('FACP$'!$B3682,'perfil de pagos'!A:A,'perfil de pagos'!B:B)+'FACP$'!$D3682</f>
        <v>44987</v>
      </c>
      <c r="Q3682" s="165">
        <f t="shared" si="2"/>
        <v>0</v>
      </c>
      <c r="R3682" s="167"/>
      <c r="S3682" s="167">
        <v>1994.0</v>
      </c>
      <c r="T3682" s="168">
        <f t="shared" si="3"/>
        <v>320467.9916</v>
      </c>
      <c r="U3682" s="168">
        <f t="shared" si="4"/>
        <v>0</v>
      </c>
      <c r="V3682" s="168">
        <f t="shared" si="5"/>
        <v>0</v>
      </c>
      <c r="W3682" s="168">
        <f t="shared" si="6"/>
        <v>0</v>
      </c>
      <c r="X3682" s="168">
        <f t="shared" si="7"/>
        <v>0</v>
      </c>
      <c r="Y3682" s="168">
        <f t="shared" si="8"/>
        <v>0</v>
      </c>
      <c r="Z3682" s="168">
        <f t="shared" si="9"/>
        <v>0</v>
      </c>
    </row>
    <row r="3683" ht="15.0" customHeight="1">
      <c r="A3683" s="157" t="s">
        <v>4623</v>
      </c>
      <c r="B3683" s="158" t="s">
        <v>27</v>
      </c>
      <c r="C3683" s="158" t="s">
        <v>4624</v>
      </c>
      <c r="D3683" s="159">
        <v>44957.0</v>
      </c>
      <c r="E3683" s="157" t="s">
        <v>731</v>
      </c>
      <c r="F3683" s="160">
        <v>173081.7</v>
      </c>
      <c r="G3683" s="160">
        <f>'FACP$'!$F3683*0.16</f>
        <v>27693.072</v>
      </c>
      <c r="H3683" s="160">
        <f t="shared" si="122"/>
        <v>200774.772</v>
      </c>
      <c r="I3683" s="160"/>
      <c r="J3683" s="161"/>
      <c r="K3683" s="160"/>
      <c r="L3683" s="160">
        <f>+'FACP$'!$H3683-'FACP$'!$I3683-'FACP$'!$K3683</f>
        <v>200774.772</v>
      </c>
      <c r="M3683" s="162" t="s">
        <v>151</v>
      </c>
      <c r="N3683" s="162" t="s">
        <v>554</v>
      </c>
      <c r="O3683" s="164">
        <v>44981.0</v>
      </c>
      <c r="P3683" s="164">
        <f t="array" ref="P3683">XLOOKUP('FACP$'!$B3683,'perfil de pagos'!A:A,'perfil de pagos'!B:B)+'FACP$'!$D3683</f>
        <v>44987</v>
      </c>
      <c r="Q3683" s="165">
        <f t="shared" si="2"/>
        <v>0</v>
      </c>
      <c r="R3683" s="167"/>
      <c r="S3683" s="167">
        <v>1994.0</v>
      </c>
      <c r="T3683" s="168">
        <f t="shared" si="3"/>
        <v>200774.772</v>
      </c>
      <c r="U3683" s="168">
        <f t="shared" si="4"/>
        <v>0</v>
      </c>
      <c r="V3683" s="168">
        <f t="shared" si="5"/>
        <v>0</v>
      </c>
      <c r="W3683" s="168">
        <f t="shared" si="6"/>
        <v>0</v>
      </c>
      <c r="X3683" s="168">
        <f t="shared" si="7"/>
        <v>0</v>
      </c>
      <c r="Y3683" s="168">
        <f t="shared" si="8"/>
        <v>0</v>
      </c>
      <c r="Z3683" s="168">
        <f t="shared" si="9"/>
        <v>0</v>
      </c>
    </row>
    <row r="3684" ht="15.0" customHeight="1">
      <c r="A3684" s="157" t="s">
        <v>4625</v>
      </c>
      <c r="B3684" s="158" t="s">
        <v>27</v>
      </c>
      <c r="C3684" s="158" t="s">
        <v>4626</v>
      </c>
      <c r="D3684" s="159">
        <v>44957.0</v>
      </c>
      <c r="E3684" s="157" t="s">
        <v>731</v>
      </c>
      <c r="F3684" s="160">
        <v>11241.47</v>
      </c>
      <c r="G3684" s="160">
        <f>'FACP$'!$F3684*0.16</f>
        <v>1798.6352</v>
      </c>
      <c r="H3684" s="160">
        <f t="shared" si="122"/>
        <v>13040.1052</v>
      </c>
      <c r="I3684" s="160"/>
      <c r="J3684" s="161"/>
      <c r="K3684" s="160"/>
      <c r="L3684" s="160">
        <f>+'FACP$'!$H3684-'FACP$'!$I3684-'FACP$'!$K3684</f>
        <v>13040.1052</v>
      </c>
      <c r="M3684" s="162" t="s">
        <v>151</v>
      </c>
      <c r="N3684" s="162" t="s">
        <v>554</v>
      </c>
      <c r="O3684" s="164">
        <v>44981.0</v>
      </c>
      <c r="P3684" s="164">
        <f t="array" ref="P3684">XLOOKUP('FACP$'!$B3684,'perfil de pagos'!A:A,'perfil de pagos'!B:B)+'FACP$'!$D3684</f>
        <v>44987</v>
      </c>
      <c r="Q3684" s="165">
        <f t="shared" si="2"/>
        <v>0</v>
      </c>
      <c r="R3684" s="167"/>
      <c r="S3684" s="167">
        <v>1994.0</v>
      </c>
      <c r="T3684" s="168">
        <f t="shared" si="3"/>
        <v>13040.1052</v>
      </c>
      <c r="U3684" s="168">
        <f t="shared" si="4"/>
        <v>0</v>
      </c>
      <c r="V3684" s="168">
        <f t="shared" si="5"/>
        <v>0</v>
      </c>
      <c r="W3684" s="168">
        <f t="shared" si="6"/>
        <v>0</v>
      </c>
      <c r="X3684" s="168">
        <f t="shared" si="7"/>
        <v>0</v>
      </c>
      <c r="Y3684" s="168">
        <f t="shared" si="8"/>
        <v>0</v>
      </c>
      <c r="Z3684" s="168">
        <f t="shared" si="9"/>
        <v>0</v>
      </c>
    </row>
    <row r="3685" ht="15.0" customHeight="1">
      <c r="A3685" s="157" t="s">
        <v>4627</v>
      </c>
      <c r="B3685" s="158" t="s">
        <v>27</v>
      </c>
      <c r="C3685" s="158" t="s">
        <v>4628</v>
      </c>
      <c r="D3685" s="159">
        <v>44957.0</v>
      </c>
      <c r="E3685" s="157" t="s">
        <v>731</v>
      </c>
      <c r="F3685" s="160">
        <v>11086.06</v>
      </c>
      <c r="G3685" s="160">
        <f>'FACP$'!$F3685*0.16</f>
        <v>1773.7696</v>
      </c>
      <c r="H3685" s="160">
        <f t="shared" si="122"/>
        <v>12859.8296</v>
      </c>
      <c r="I3685" s="160"/>
      <c r="J3685" s="161"/>
      <c r="K3685" s="160"/>
      <c r="L3685" s="160">
        <f>+'FACP$'!$H3685-'FACP$'!$I3685-'FACP$'!$K3685</f>
        <v>12859.8296</v>
      </c>
      <c r="M3685" s="162" t="s">
        <v>151</v>
      </c>
      <c r="N3685" s="162" t="s">
        <v>554</v>
      </c>
      <c r="O3685" s="164">
        <v>44981.0</v>
      </c>
      <c r="P3685" s="164">
        <f t="array" ref="P3685">XLOOKUP('FACP$'!$B3685,'perfil de pagos'!A:A,'perfil de pagos'!B:B)+'FACP$'!$D3685</f>
        <v>44987</v>
      </c>
      <c r="Q3685" s="165">
        <f t="shared" si="2"/>
        <v>0</v>
      </c>
      <c r="R3685" s="167"/>
      <c r="S3685" s="167">
        <v>1994.0</v>
      </c>
      <c r="T3685" s="168">
        <f t="shared" si="3"/>
        <v>12859.8296</v>
      </c>
      <c r="U3685" s="168">
        <f t="shared" si="4"/>
        <v>0</v>
      </c>
      <c r="V3685" s="168">
        <f t="shared" si="5"/>
        <v>0</v>
      </c>
      <c r="W3685" s="168">
        <f t="shared" si="6"/>
        <v>0</v>
      </c>
      <c r="X3685" s="168">
        <f t="shared" si="7"/>
        <v>0</v>
      </c>
      <c r="Y3685" s="168">
        <f t="shared" si="8"/>
        <v>0</v>
      </c>
      <c r="Z3685" s="168">
        <f t="shared" si="9"/>
        <v>0</v>
      </c>
    </row>
    <row r="3686" ht="15.0" customHeight="1">
      <c r="A3686" s="157" t="s">
        <v>4629</v>
      </c>
      <c r="B3686" s="158" t="s">
        <v>27</v>
      </c>
      <c r="C3686" s="158" t="s">
        <v>4622</v>
      </c>
      <c r="D3686" s="159">
        <v>44957.0</v>
      </c>
      <c r="E3686" s="157" t="s">
        <v>731</v>
      </c>
      <c r="F3686" s="160">
        <v>219266.21</v>
      </c>
      <c r="G3686" s="160">
        <f>'FACP$'!$F3686*0.16</f>
        <v>35082.5936</v>
      </c>
      <c r="H3686" s="160">
        <f t="shared" si="122"/>
        <v>254348.8036</v>
      </c>
      <c r="I3686" s="160"/>
      <c r="J3686" s="161"/>
      <c r="K3686" s="160"/>
      <c r="L3686" s="160">
        <f>+'FACP$'!$H3686-'FACP$'!$I3686-'FACP$'!$K3686</f>
        <v>254348.8036</v>
      </c>
      <c r="M3686" s="162" t="s">
        <v>158</v>
      </c>
      <c r="N3686" s="162" t="s">
        <v>554</v>
      </c>
      <c r="O3686" s="164">
        <v>44981.0</v>
      </c>
      <c r="P3686" s="164">
        <f t="array" ref="P3686">XLOOKUP('FACP$'!$B3686,'perfil de pagos'!A:A,'perfil de pagos'!B:B)+'FACP$'!$D3686</f>
        <v>44987</v>
      </c>
      <c r="Q3686" s="165">
        <f t="shared" si="2"/>
        <v>0</v>
      </c>
      <c r="R3686" s="167"/>
      <c r="S3686" s="167">
        <v>1993.0</v>
      </c>
      <c r="T3686" s="168">
        <f t="shared" si="3"/>
        <v>254348.8036</v>
      </c>
      <c r="U3686" s="168">
        <f t="shared" si="4"/>
        <v>0</v>
      </c>
      <c r="V3686" s="168">
        <f t="shared" si="5"/>
        <v>0</v>
      </c>
      <c r="W3686" s="168">
        <f t="shared" si="6"/>
        <v>0</v>
      </c>
      <c r="X3686" s="168">
        <f t="shared" si="7"/>
        <v>0</v>
      </c>
      <c r="Y3686" s="168">
        <f t="shared" si="8"/>
        <v>0</v>
      </c>
      <c r="Z3686" s="168">
        <f t="shared" si="9"/>
        <v>0</v>
      </c>
    </row>
    <row r="3687" ht="15.0" customHeight="1">
      <c r="A3687" s="157" t="s">
        <v>4630</v>
      </c>
      <c r="B3687" s="158" t="s">
        <v>27</v>
      </c>
      <c r="C3687" s="158" t="s">
        <v>4624</v>
      </c>
      <c r="D3687" s="159">
        <v>44957.0</v>
      </c>
      <c r="E3687" s="157" t="s">
        <v>731</v>
      </c>
      <c r="F3687" s="160">
        <v>162002.62</v>
      </c>
      <c r="G3687" s="160">
        <f>'FACP$'!$F3687*0.16</f>
        <v>25920.4192</v>
      </c>
      <c r="H3687" s="160">
        <f t="shared" si="122"/>
        <v>187923.0392</v>
      </c>
      <c r="I3687" s="160"/>
      <c r="J3687" s="161"/>
      <c r="K3687" s="160"/>
      <c r="L3687" s="160">
        <f>+'FACP$'!$H3687-'FACP$'!$I3687-'FACP$'!$K3687</f>
        <v>187923.0392</v>
      </c>
      <c r="M3687" s="162" t="s">
        <v>158</v>
      </c>
      <c r="N3687" s="162" t="s">
        <v>554</v>
      </c>
      <c r="O3687" s="164">
        <v>44981.0</v>
      </c>
      <c r="P3687" s="164">
        <f t="array" ref="P3687">XLOOKUP('FACP$'!$B3687,'perfil de pagos'!A:A,'perfil de pagos'!B:B)+'FACP$'!$D3687</f>
        <v>44987</v>
      </c>
      <c r="Q3687" s="165">
        <f t="shared" si="2"/>
        <v>0</v>
      </c>
      <c r="R3687" s="167"/>
      <c r="S3687" s="167">
        <v>1993.0</v>
      </c>
      <c r="T3687" s="168">
        <f t="shared" si="3"/>
        <v>187923.0392</v>
      </c>
      <c r="U3687" s="168">
        <f t="shared" si="4"/>
        <v>0</v>
      </c>
      <c r="V3687" s="168">
        <f t="shared" si="5"/>
        <v>0</v>
      </c>
      <c r="W3687" s="168">
        <f t="shared" si="6"/>
        <v>0</v>
      </c>
      <c r="X3687" s="168">
        <f t="shared" si="7"/>
        <v>0</v>
      </c>
      <c r="Y3687" s="168">
        <f t="shared" si="8"/>
        <v>0</v>
      </c>
      <c r="Z3687" s="168">
        <f t="shared" si="9"/>
        <v>0</v>
      </c>
    </row>
    <row r="3688" ht="15.0" customHeight="1">
      <c r="A3688" s="157" t="s">
        <v>4631</v>
      </c>
      <c r="B3688" s="209" t="s">
        <v>31</v>
      </c>
      <c r="C3688" s="209" t="s">
        <v>4632</v>
      </c>
      <c r="D3688" s="186">
        <v>44957.0</v>
      </c>
      <c r="E3688" s="210" t="s">
        <v>731</v>
      </c>
      <c r="F3688" s="211">
        <v>261218.08</v>
      </c>
      <c r="G3688" s="160">
        <f>'FACP$'!$F3688*0.16</f>
        <v>41794.8928</v>
      </c>
      <c r="H3688" s="160">
        <f t="shared" si="122"/>
        <v>303012.9728</v>
      </c>
      <c r="I3688" s="267"/>
      <c r="J3688" s="268"/>
      <c r="K3688" s="267"/>
      <c r="L3688" s="211">
        <f>+'FACP$'!$H3688-'FACP$'!$I3688-'FACP$'!$K3688</f>
        <v>303012.9728</v>
      </c>
      <c r="M3688" s="227" t="s">
        <v>3183</v>
      </c>
      <c r="N3688" s="227" t="s">
        <v>127</v>
      </c>
      <c r="O3688" s="245"/>
      <c r="P3688" s="164">
        <f t="array" ref="P3688">XLOOKUP('FACP$'!$B3688,'perfil de pagos'!A:A,'perfil de pagos'!B:B)+'FACP$'!$D3688</f>
        <v>44960</v>
      </c>
      <c r="Q3688" s="246">
        <f t="shared" si="2"/>
        <v>0</v>
      </c>
      <c r="R3688" s="223" t="s">
        <v>4633</v>
      </c>
      <c r="S3688" s="223"/>
      <c r="T3688" s="168">
        <f t="shared" si="3"/>
        <v>303012.9728</v>
      </c>
      <c r="U3688" s="168">
        <f t="shared" si="4"/>
        <v>0</v>
      </c>
      <c r="V3688" s="168">
        <f t="shared" si="5"/>
        <v>0</v>
      </c>
      <c r="W3688" s="168">
        <f t="shared" si="6"/>
        <v>0</v>
      </c>
      <c r="X3688" s="168">
        <f t="shared" si="7"/>
        <v>0</v>
      </c>
      <c r="Y3688" s="168">
        <f t="shared" si="8"/>
        <v>0</v>
      </c>
      <c r="Z3688" s="168">
        <f t="shared" si="9"/>
        <v>0</v>
      </c>
    </row>
    <row r="3689" ht="15.0" customHeight="1">
      <c r="A3689" s="157" t="s">
        <v>4634</v>
      </c>
      <c r="B3689" s="158" t="s">
        <v>38</v>
      </c>
      <c r="C3689" s="158" t="s">
        <v>4585</v>
      </c>
      <c r="D3689" s="159">
        <v>44958.0</v>
      </c>
      <c r="E3689" s="157" t="s">
        <v>731</v>
      </c>
      <c r="F3689" s="160">
        <v>598940.5</v>
      </c>
      <c r="G3689" s="160">
        <f>'FACP$'!$F3689*0.16</f>
        <v>95830.48</v>
      </c>
      <c r="H3689" s="160">
        <f t="shared" si="122"/>
        <v>694770.98</v>
      </c>
      <c r="I3689" s="160"/>
      <c r="J3689" s="161"/>
      <c r="K3689" s="160"/>
      <c r="L3689" s="160">
        <f>+'FACP$'!$H3689-'FACP$'!$I3689-'FACP$'!$K3689</f>
        <v>694770.98</v>
      </c>
      <c r="M3689" s="162" t="s">
        <v>145</v>
      </c>
      <c r="N3689" s="162" t="s">
        <v>554</v>
      </c>
      <c r="O3689" s="164">
        <v>44995.0</v>
      </c>
      <c r="P3689" s="164">
        <f t="array" ref="P3689">XLOOKUP('FACP$'!$B3689,'perfil de pagos'!A:A,'perfil de pagos'!B:B)+'FACP$'!$D3689</f>
        <v>44988</v>
      </c>
      <c r="Q3689" s="165">
        <f t="shared" si="2"/>
        <v>0</v>
      </c>
      <c r="R3689" s="167"/>
      <c r="S3689" s="167">
        <v>2016.0</v>
      </c>
      <c r="T3689" s="168">
        <f t="shared" si="3"/>
        <v>694770.98</v>
      </c>
      <c r="U3689" s="168">
        <f t="shared" si="4"/>
        <v>0</v>
      </c>
      <c r="V3689" s="168">
        <f t="shared" si="5"/>
        <v>0</v>
      </c>
      <c r="W3689" s="168">
        <f t="shared" si="6"/>
        <v>0</v>
      </c>
      <c r="X3689" s="168">
        <f t="shared" si="7"/>
        <v>0</v>
      </c>
      <c r="Y3689" s="168">
        <f t="shared" si="8"/>
        <v>0</v>
      </c>
      <c r="Z3689" s="168">
        <f t="shared" si="9"/>
        <v>0</v>
      </c>
    </row>
    <row r="3690" ht="15.0" customHeight="1">
      <c r="A3690" s="157" t="s">
        <v>4635</v>
      </c>
      <c r="B3690" s="158" t="s">
        <v>38</v>
      </c>
      <c r="C3690" s="158" t="s">
        <v>4585</v>
      </c>
      <c r="D3690" s="159">
        <v>44958.0</v>
      </c>
      <c r="E3690" s="157" t="s">
        <v>731</v>
      </c>
      <c r="F3690" s="160">
        <v>94131.5</v>
      </c>
      <c r="G3690" s="160">
        <f>'FACP$'!$F3690*0.16</f>
        <v>15061.04</v>
      </c>
      <c r="H3690" s="160">
        <f t="shared" si="122"/>
        <v>109192.54</v>
      </c>
      <c r="I3690" s="160"/>
      <c r="J3690" s="161"/>
      <c r="K3690" s="160"/>
      <c r="L3690" s="160">
        <f>+'FACP$'!$H3690-'FACP$'!$I3690-'FACP$'!$K3690</f>
        <v>109192.54</v>
      </c>
      <c r="M3690" s="162" t="s">
        <v>642</v>
      </c>
      <c r="N3690" s="162" t="s">
        <v>554</v>
      </c>
      <c r="O3690" s="164">
        <v>45006.0</v>
      </c>
      <c r="P3690" s="164">
        <f t="array" ref="P3690">XLOOKUP('FACP$'!$B3690,'perfil de pagos'!A:A,'perfil de pagos'!B:B)+'FACP$'!$D3690</f>
        <v>44988</v>
      </c>
      <c r="Q3690" s="165">
        <f t="shared" si="2"/>
        <v>0</v>
      </c>
      <c r="R3690" s="167"/>
      <c r="S3690" s="167">
        <v>2051.0</v>
      </c>
      <c r="T3690" s="168">
        <f t="shared" si="3"/>
        <v>109192.54</v>
      </c>
      <c r="U3690" s="168">
        <f t="shared" si="4"/>
        <v>0</v>
      </c>
      <c r="V3690" s="168">
        <f t="shared" si="5"/>
        <v>0</v>
      </c>
      <c r="W3690" s="168">
        <f t="shared" si="6"/>
        <v>0</v>
      </c>
      <c r="X3690" s="168">
        <f t="shared" si="7"/>
        <v>0</v>
      </c>
      <c r="Y3690" s="168">
        <f t="shared" si="8"/>
        <v>0</v>
      </c>
      <c r="Z3690" s="168">
        <f t="shared" si="9"/>
        <v>0</v>
      </c>
    </row>
    <row r="3691" ht="15.0" customHeight="1">
      <c r="A3691" s="157" t="s">
        <v>4636</v>
      </c>
      <c r="B3691" s="158" t="s">
        <v>31</v>
      </c>
      <c r="C3691" s="158" t="s">
        <v>4632</v>
      </c>
      <c r="D3691" s="159">
        <v>44958.0</v>
      </c>
      <c r="E3691" s="157" t="s">
        <v>731</v>
      </c>
      <c r="F3691" s="160">
        <v>261218.08</v>
      </c>
      <c r="G3691" s="160">
        <f>'FACP$'!$F3691*0.16</f>
        <v>41794.8928</v>
      </c>
      <c r="H3691" s="160">
        <f t="shared" si="122"/>
        <v>303012.9728</v>
      </c>
      <c r="I3691" s="252"/>
      <c r="J3691" s="253"/>
      <c r="K3691" s="252"/>
      <c r="L3691" s="160">
        <f>+'FACP$'!$H3691-'FACP$'!$I3691-'FACP$'!$K3691</f>
        <v>303012.9728</v>
      </c>
      <c r="M3691" s="162" t="s">
        <v>3183</v>
      </c>
      <c r="N3691" s="162" t="s">
        <v>554</v>
      </c>
      <c r="O3691" s="164">
        <v>45126.0</v>
      </c>
      <c r="P3691" s="164">
        <f t="array" ref="P3691">XLOOKUP('FACP$'!$B3691,'perfil de pagos'!A:A,'perfil de pagos'!B:B)+'FACP$'!$D3691</f>
        <v>44961</v>
      </c>
      <c r="Q3691" s="165">
        <f t="shared" si="2"/>
        <v>0</v>
      </c>
      <c r="R3691" s="220" t="s">
        <v>4583</v>
      </c>
      <c r="S3691" s="167">
        <v>2303.0</v>
      </c>
      <c r="T3691" s="168">
        <f t="shared" si="3"/>
        <v>303012.9728</v>
      </c>
      <c r="U3691" s="168">
        <f t="shared" si="4"/>
        <v>0</v>
      </c>
      <c r="V3691" s="168">
        <f t="shared" si="5"/>
        <v>0</v>
      </c>
      <c r="W3691" s="168">
        <f t="shared" si="6"/>
        <v>0</v>
      </c>
      <c r="X3691" s="168">
        <f t="shared" si="7"/>
        <v>0</v>
      </c>
      <c r="Y3691" s="168">
        <f t="shared" si="8"/>
        <v>0</v>
      </c>
      <c r="Z3691" s="168">
        <f t="shared" si="9"/>
        <v>0</v>
      </c>
    </row>
    <row r="3692" ht="15.0" customHeight="1">
      <c r="A3692" s="157" t="s">
        <v>4637</v>
      </c>
      <c r="B3692" s="158" t="s">
        <v>32</v>
      </c>
      <c r="C3692" s="158" t="s">
        <v>4638</v>
      </c>
      <c r="D3692" s="159">
        <v>44960.0</v>
      </c>
      <c r="E3692" s="157" t="s">
        <v>731</v>
      </c>
      <c r="F3692" s="160">
        <v>181886.8</v>
      </c>
      <c r="G3692" s="160">
        <f>'FACP$'!$F3692*0.16</f>
        <v>29101.888</v>
      </c>
      <c r="H3692" s="160">
        <f t="shared" si="122"/>
        <v>210988.688</v>
      </c>
      <c r="I3692" s="160"/>
      <c r="J3692" s="161"/>
      <c r="K3692" s="160"/>
      <c r="L3692" s="160">
        <f>+'FACP$'!$H3692-'FACP$'!$I3692-'FACP$'!$K3692</f>
        <v>210988.688</v>
      </c>
      <c r="M3692" s="162" t="s">
        <v>395</v>
      </c>
      <c r="N3692" s="162" t="s">
        <v>554</v>
      </c>
      <c r="O3692" s="164">
        <v>45030.0</v>
      </c>
      <c r="P3692" s="164">
        <f t="array" ref="P3692">XLOOKUP('FACP$'!$B3692,'perfil de pagos'!A:A,'perfil de pagos'!B:B)+'FACP$'!$D3692</f>
        <v>44970</v>
      </c>
      <c r="Q3692" s="165">
        <f t="shared" si="2"/>
        <v>0</v>
      </c>
      <c r="R3692" s="167"/>
      <c r="S3692" s="167">
        <v>2096.0</v>
      </c>
      <c r="T3692" s="168">
        <f t="shared" si="3"/>
        <v>210988.688</v>
      </c>
      <c r="U3692" s="168">
        <f t="shared" si="4"/>
        <v>0</v>
      </c>
      <c r="V3692" s="168">
        <f t="shared" si="5"/>
        <v>0</v>
      </c>
      <c r="W3692" s="168">
        <f t="shared" si="6"/>
        <v>0</v>
      </c>
      <c r="X3692" s="168">
        <f t="shared" si="7"/>
        <v>0</v>
      </c>
      <c r="Y3692" s="168">
        <f t="shared" si="8"/>
        <v>0</v>
      </c>
      <c r="Z3692" s="168">
        <f t="shared" si="9"/>
        <v>0</v>
      </c>
    </row>
    <row r="3693" ht="15.0" customHeight="1">
      <c r="A3693" s="157" t="s">
        <v>4639</v>
      </c>
      <c r="B3693" s="158" t="s">
        <v>15</v>
      </c>
      <c r="C3693" s="158" t="s">
        <v>4638</v>
      </c>
      <c r="D3693" s="159">
        <v>44960.0</v>
      </c>
      <c r="E3693" s="157" t="s">
        <v>731</v>
      </c>
      <c r="F3693" s="160">
        <v>1646509.5</v>
      </c>
      <c r="G3693" s="160">
        <f>'FACP$'!$F3693*0.16</f>
        <v>263441.52</v>
      </c>
      <c r="H3693" s="160">
        <f t="shared" si="122"/>
        <v>1909951.02</v>
      </c>
      <c r="I3693" s="160"/>
      <c r="J3693" s="161"/>
      <c r="K3693" s="160"/>
      <c r="L3693" s="160">
        <f>+'FACP$'!$H3693-'FACP$'!$I3693-'FACP$'!$K3693</f>
        <v>1909951.02</v>
      </c>
      <c r="M3693" s="162" t="s">
        <v>443</v>
      </c>
      <c r="N3693" s="162" t="s">
        <v>554</v>
      </c>
      <c r="O3693" s="164">
        <v>44987.0</v>
      </c>
      <c r="P3693" s="164">
        <f t="array" ref="P3693">XLOOKUP('FACP$'!$B3693,'perfil de pagos'!$A$4:$A$46,'perfil de pagos'!$B$4:$B$46+'FACP$'!$D3693)</f>
        <v>44970</v>
      </c>
      <c r="Q3693" s="165">
        <f t="shared" si="2"/>
        <v>0</v>
      </c>
      <c r="R3693" s="167"/>
      <c r="S3693" s="167">
        <v>2002.0</v>
      </c>
      <c r="T3693" s="168">
        <f t="shared" si="3"/>
        <v>1909951.02</v>
      </c>
      <c r="U3693" s="168">
        <f t="shared" si="4"/>
        <v>0</v>
      </c>
      <c r="V3693" s="168">
        <f t="shared" si="5"/>
        <v>0</v>
      </c>
      <c r="W3693" s="168">
        <f t="shared" si="6"/>
        <v>0</v>
      </c>
      <c r="X3693" s="168">
        <f t="shared" si="7"/>
        <v>0</v>
      </c>
      <c r="Y3693" s="168">
        <f t="shared" si="8"/>
        <v>0</v>
      </c>
      <c r="Z3693" s="168">
        <f t="shared" si="9"/>
        <v>0</v>
      </c>
    </row>
    <row r="3694" ht="15.0" customHeight="1">
      <c r="A3694" s="157" t="s">
        <v>4640</v>
      </c>
      <c r="B3694" s="158" t="s">
        <v>35</v>
      </c>
      <c r="C3694" s="158" t="s">
        <v>4638</v>
      </c>
      <c r="D3694" s="159">
        <v>44960.0</v>
      </c>
      <c r="E3694" s="157" t="s">
        <v>731</v>
      </c>
      <c r="F3694" s="160">
        <v>499803.25</v>
      </c>
      <c r="G3694" s="160">
        <f>'FACP$'!$F3694*0.16</f>
        <v>79968.52</v>
      </c>
      <c r="H3694" s="160">
        <f t="shared" si="122"/>
        <v>579771.77</v>
      </c>
      <c r="I3694" s="160"/>
      <c r="J3694" s="161"/>
      <c r="K3694" s="160"/>
      <c r="L3694" s="160">
        <f>+'FACP$'!$H3694-'FACP$'!$I3694-'FACP$'!$K3694</f>
        <v>579771.77</v>
      </c>
      <c r="M3694" s="162" t="s">
        <v>276</v>
      </c>
      <c r="N3694" s="162" t="s">
        <v>554</v>
      </c>
      <c r="O3694" s="164">
        <v>45014.0</v>
      </c>
      <c r="P3694" s="164">
        <f t="array" ref="P3694">XLOOKUP('FACP$'!$B3694,'perfil de pagos'!$A$4:$A$46,'perfil de pagos'!$B$4:$B$46+'FACP$'!$D3694)</f>
        <v>44970</v>
      </c>
      <c r="Q3694" s="165">
        <f t="shared" si="2"/>
        <v>0</v>
      </c>
      <c r="R3694" s="167"/>
      <c r="S3694" s="167">
        <v>2058.0</v>
      </c>
      <c r="T3694" s="168">
        <f t="shared" si="3"/>
        <v>579771.77</v>
      </c>
      <c r="U3694" s="168">
        <f t="shared" si="4"/>
        <v>0</v>
      </c>
      <c r="V3694" s="168">
        <f t="shared" si="5"/>
        <v>0</v>
      </c>
      <c r="W3694" s="168">
        <f t="shared" si="6"/>
        <v>0</v>
      </c>
      <c r="X3694" s="168">
        <f t="shared" si="7"/>
        <v>0</v>
      </c>
      <c r="Y3694" s="168">
        <f t="shared" si="8"/>
        <v>0</v>
      </c>
      <c r="Z3694" s="168">
        <f t="shared" si="9"/>
        <v>0</v>
      </c>
    </row>
    <row r="3695" ht="15.0" customHeight="1">
      <c r="A3695" s="157" t="s">
        <v>4641</v>
      </c>
      <c r="B3695" s="158" t="s">
        <v>36</v>
      </c>
      <c r="C3695" s="158" t="s">
        <v>4638</v>
      </c>
      <c r="D3695" s="159">
        <v>44960.0</v>
      </c>
      <c r="E3695" s="157" t="s">
        <v>731</v>
      </c>
      <c r="F3695" s="160">
        <v>90281.52</v>
      </c>
      <c r="G3695" s="160">
        <f>'FACP$'!$F3695*0.16</f>
        <v>14445.0432</v>
      </c>
      <c r="H3695" s="160">
        <f t="shared" si="122"/>
        <v>104726.5632</v>
      </c>
      <c r="I3695" s="160"/>
      <c r="J3695" s="161"/>
      <c r="K3695" s="160"/>
      <c r="L3695" s="160">
        <f>+'FACP$'!$H3695-'FACP$'!$I3695-'FACP$'!$K3695</f>
        <v>104726.5632</v>
      </c>
      <c r="M3695" s="162" t="s">
        <v>278</v>
      </c>
      <c r="N3695" s="162" t="s">
        <v>554</v>
      </c>
      <c r="O3695" s="164">
        <v>44979.0</v>
      </c>
      <c r="P3695" s="164">
        <f t="array" ref="P3695">XLOOKUP('FACP$'!$B3695,'perfil de pagos'!$A$4:$A$46,'perfil de pagos'!$B$4:$B$46+'FACP$'!$D3695)</f>
        <v>44970</v>
      </c>
      <c r="Q3695" s="165">
        <f t="shared" si="2"/>
        <v>0</v>
      </c>
      <c r="R3695" s="167"/>
      <c r="S3695" s="167">
        <v>1988.0</v>
      </c>
      <c r="T3695" s="168">
        <f t="shared" si="3"/>
        <v>104726.5632</v>
      </c>
      <c r="U3695" s="168">
        <f t="shared" si="4"/>
        <v>0</v>
      </c>
      <c r="V3695" s="168">
        <f t="shared" si="5"/>
        <v>0</v>
      </c>
      <c r="W3695" s="168">
        <f t="shared" si="6"/>
        <v>0</v>
      </c>
      <c r="X3695" s="168">
        <f t="shared" si="7"/>
        <v>0</v>
      </c>
      <c r="Y3695" s="168">
        <f t="shared" si="8"/>
        <v>0</v>
      </c>
      <c r="Z3695" s="168">
        <f t="shared" si="9"/>
        <v>0</v>
      </c>
    </row>
    <row r="3696" ht="15.0" customHeight="1">
      <c r="A3696" s="157" t="s">
        <v>4642</v>
      </c>
      <c r="B3696" s="158" t="s">
        <v>42</v>
      </c>
      <c r="C3696" s="158" t="s">
        <v>4638</v>
      </c>
      <c r="D3696" s="159">
        <v>44960.0</v>
      </c>
      <c r="E3696" s="157" t="s">
        <v>731</v>
      </c>
      <c r="F3696" s="160">
        <v>298174.13</v>
      </c>
      <c r="G3696" s="160">
        <f>'FACP$'!$F3696*0.16</f>
        <v>47707.8608</v>
      </c>
      <c r="H3696" s="160">
        <f t="shared" si="122"/>
        <v>345881.9908</v>
      </c>
      <c r="I3696" s="160"/>
      <c r="J3696" s="161"/>
      <c r="K3696" s="160"/>
      <c r="L3696" s="160">
        <f>+'FACP$'!$H3696-'FACP$'!$I3696-'FACP$'!$K3696</f>
        <v>345881.9908</v>
      </c>
      <c r="M3696" s="162" t="s">
        <v>42</v>
      </c>
      <c r="N3696" s="162" t="s">
        <v>554</v>
      </c>
      <c r="O3696" s="164">
        <v>44994.0</v>
      </c>
      <c r="P3696" s="164">
        <f t="array" ref="P3696">XLOOKUP('FACP$'!$B3696,'perfil de pagos'!$A$4:$A$46,'perfil de pagos'!$B$4:$B$46+'FACP$'!$D3696)</f>
        <v>44970</v>
      </c>
      <c r="Q3696" s="165">
        <f t="shared" si="2"/>
        <v>0</v>
      </c>
      <c r="R3696" s="167"/>
      <c r="S3696" s="167">
        <v>2015.0</v>
      </c>
      <c r="T3696" s="168">
        <f t="shared" si="3"/>
        <v>345881.9908</v>
      </c>
      <c r="U3696" s="168">
        <f t="shared" si="4"/>
        <v>0</v>
      </c>
      <c r="V3696" s="168">
        <f t="shared" si="5"/>
        <v>0</v>
      </c>
      <c r="W3696" s="168">
        <f t="shared" si="6"/>
        <v>0</v>
      </c>
      <c r="X3696" s="168">
        <f t="shared" si="7"/>
        <v>0</v>
      </c>
      <c r="Y3696" s="168">
        <f t="shared" si="8"/>
        <v>0</v>
      </c>
      <c r="Z3696" s="168">
        <f t="shared" si="9"/>
        <v>0</v>
      </c>
    </row>
    <row r="3697" ht="15.0" customHeight="1">
      <c r="A3697" s="157" t="s">
        <v>4643</v>
      </c>
      <c r="B3697" s="158" t="s">
        <v>44</v>
      </c>
      <c r="C3697" s="158" t="s">
        <v>4638</v>
      </c>
      <c r="D3697" s="159">
        <v>44960.0</v>
      </c>
      <c r="E3697" s="157" t="s">
        <v>731</v>
      </c>
      <c r="F3697" s="160">
        <v>472774.37</v>
      </c>
      <c r="G3697" s="160">
        <f>'FACP$'!$F3697*0.16</f>
        <v>75643.8992</v>
      </c>
      <c r="H3697" s="160">
        <f t="shared" si="122"/>
        <v>548418.2692</v>
      </c>
      <c r="I3697" s="160"/>
      <c r="J3697" s="161"/>
      <c r="K3697" s="160"/>
      <c r="L3697" s="160">
        <f>+'FACP$'!$H3697-'FACP$'!$I3697-'FACP$'!$K3697</f>
        <v>548418.2692</v>
      </c>
      <c r="M3697" s="162" t="s">
        <v>361</v>
      </c>
      <c r="N3697" s="162" t="s">
        <v>554</v>
      </c>
      <c r="O3697" s="164">
        <v>44973.0</v>
      </c>
      <c r="P3697" s="164">
        <f t="array" ref="P3697">XLOOKUP('FACP$'!$B3697,'perfil de pagos'!$A$4:$A$46,'perfil de pagos'!$B$4:$B$46+'FACP$'!$D3697)</f>
        <v>44970</v>
      </c>
      <c r="Q3697" s="165">
        <f t="shared" si="2"/>
        <v>0</v>
      </c>
      <c r="R3697" s="167"/>
      <c r="S3697" s="167">
        <v>1976.0</v>
      </c>
      <c r="T3697" s="168">
        <f t="shared" si="3"/>
        <v>548418.2692</v>
      </c>
      <c r="U3697" s="168">
        <f t="shared" si="4"/>
        <v>0</v>
      </c>
      <c r="V3697" s="168">
        <f t="shared" si="5"/>
        <v>0</v>
      </c>
      <c r="W3697" s="168">
        <f t="shared" si="6"/>
        <v>0</v>
      </c>
      <c r="X3697" s="168">
        <f t="shared" si="7"/>
        <v>0</v>
      </c>
      <c r="Y3697" s="168">
        <f t="shared" si="8"/>
        <v>0</v>
      </c>
      <c r="Z3697" s="168">
        <f t="shared" si="9"/>
        <v>0</v>
      </c>
    </row>
    <row r="3698" ht="15.0" customHeight="1">
      <c r="A3698" s="157" t="s">
        <v>4644</v>
      </c>
      <c r="B3698" s="158" t="s">
        <v>31</v>
      </c>
      <c r="C3698" s="158" t="s">
        <v>4645</v>
      </c>
      <c r="D3698" s="159">
        <v>44960.0</v>
      </c>
      <c r="E3698" s="157" t="s">
        <v>731</v>
      </c>
      <c r="F3698" s="160">
        <v>101717.0</v>
      </c>
      <c r="G3698" s="160">
        <f>'FACP$'!$F3698*0.16</f>
        <v>16274.72</v>
      </c>
      <c r="H3698" s="160">
        <f t="shared" si="122"/>
        <v>117991.72</v>
      </c>
      <c r="I3698" s="252"/>
      <c r="J3698" s="253"/>
      <c r="K3698" s="252"/>
      <c r="L3698" s="160">
        <f>+'FACP$'!$H3698-'FACP$'!$I3698-'FACP$'!$K3698</f>
        <v>117991.72</v>
      </c>
      <c r="M3698" s="162" t="s">
        <v>3183</v>
      </c>
      <c r="N3698" s="162" t="s">
        <v>554</v>
      </c>
      <c r="O3698" s="164">
        <v>45126.0</v>
      </c>
      <c r="P3698" s="164">
        <f t="array" ref="P3698">XLOOKUP('FACP$'!$B3698,'perfil de pagos'!$A$4:$A$46,'perfil de pagos'!$B$4:$B$46+'FACP$'!$D3698)</f>
        <v>44963</v>
      </c>
      <c r="Q3698" s="165">
        <f t="shared" si="2"/>
        <v>0</v>
      </c>
      <c r="R3698" s="220" t="s">
        <v>4583</v>
      </c>
      <c r="S3698" s="167">
        <v>2303.0</v>
      </c>
      <c r="T3698" s="168">
        <f t="shared" si="3"/>
        <v>117991.72</v>
      </c>
      <c r="U3698" s="168">
        <f t="shared" si="4"/>
        <v>0</v>
      </c>
      <c r="V3698" s="168">
        <f t="shared" si="5"/>
        <v>0</v>
      </c>
      <c r="W3698" s="168">
        <f t="shared" si="6"/>
        <v>0</v>
      </c>
      <c r="X3698" s="168">
        <f t="shared" si="7"/>
        <v>0</v>
      </c>
      <c r="Y3698" s="168">
        <f t="shared" si="8"/>
        <v>0</v>
      </c>
      <c r="Z3698" s="168">
        <f t="shared" si="9"/>
        <v>0</v>
      </c>
    </row>
    <row r="3699" ht="15.0" customHeight="1">
      <c r="A3699" s="157" t="s">
        <v>4646</v>
      </c>
      <c r="B3699" s="158" t="s">
        <v>27</v>
      </c>
      <c r="C3699" s="158" t="s">
        <v>4622</v>
      </c>
      <c r="D3699" s="159">
        <v>44960.0</v>
      </c>
      <c r="E3699" s="157" t="s">
        <v>731</v>
      </c>
      <c r="F3699" s="160">
        <v>8682.66</v>
      </c>
      <c r="G3699" s="160">
        <f>'FACP$'!$F3699*0.16</f>
        <v>1389.2256</v>
      </c>
      <c r="H3699" s="160">
        <f t="shared" si="122"/>
        <v>10071.8856</v>
      </c>
      <c r="I3699" s="160"/>
      <c r="J3699" s="161"/>
      <c r="K3699" s="160"/>
      <c r="L3699" s="160">
        <f>+'FACP$'!$H3699-'FACP$'!$I3699-'FACP$'!$K3699</f>
        <v>10071.8856</v>
      </c>
      <c r="M3699" s="162" t="s">
        <v>158</v>
      </c>
      <c r="N3699" s="162" t="s">
        <v>554</v>
      </c>
      <c r="O3699" s="164">
        <v>44981.0</v>
      </c>
      <c r="P3699" s="164">
        <f t="array" ref="P3699">XLOOKUP('FACP$'!$B3699,'perfil de pagos'!$A$4:$A$46,'perfil de pagos'!$B$4:$B$46+'FACP$'!$D3699)</f>
        <v>44990</v>
      </c>
      <c r="Q3699" s="165">
        <f t="shared" si="2"/>
        <v>0</v>
      </c>
      <c r="R3699" s="167"/>
      <c r="S3699" s="167">
        <v>1993.0</v>
      </c>
      <c r="T3699" s="168">
        <f t="shared" si="3"/>
        <v>10071.8856</v>
      </c>
      <c r="U3699" s="168">
        <f t="shared" si="4"/>
        <v>0</v>
      </c>
      <c r="V3699" s="168">
        <f t="shared" si="5"/>
        <v>0</v>
      </c>
      <c r="W3699" s="168">
        <f t="shared" si="6"/>
        <v>0</v>
      </c>
      <c r="X3699" s="168">
        <f t="shared" si="7"/>
        <v>0</v>
      </c>
      <c r="Y3699" s="168">
        <f t="shared" si="8"/>
        <v>0</v>
      </c>
      <c r="Z3699" s="168">
        <f t="shared" si="9"/>
        <v>0</v>
      </c>
    </row>
    <row r="3700" ht="15.0" customHeight="1">
      <c r="A3700" s="157" t="s">
        <v>4647</v>
      </c>
      <c r="B3700" s="158" t="s">
        <v>27</v>
      </c>
      <c r="C3700" s="158" t="s">
        <v>4624</v>
      </c>
      <c r="D3700" s="159">
        <v>44960.0</v>
      </c>
      <c r="E3700" s="157" t="s">
        <v>731</v>
      </c>
      <c r="F3700" s="160">
        <v>10692.97</v>
      </c>
      <c r="G3700" s="160">
        <f>'FACP$'!$F3700*0.16</f>
        <v>1710.8752</v>
      </c>
      <c r="H3700" s="160">
        <f t="shared" si="122"/>
        <v>12403.8452</v>
      </c>
      <c r="I3700" s="160"/>
      <c r="J3700" s="161"/>
      <c r="K3700" s="160"/>
      <c r="L3700" s="160">
        <f>+'FACP$'!$H3700-'FACP$'!$I3700-'FACP$'!$K3700</f>
        <v>12403.8452</v>
      </c>
      <c r="M3700" s="162" t="s">
        <v>158</v>
      </c>
      <c r="N3700" s="162" t="s">
        <v>554</v>
      </c>
      <c r="O3700" s="164">
        <v>44981.0</v>
      </c>
      <c r="P3700" s="164">
        <f t="array" ref="P3700">XLOOKUP('FACP$'!$B3700,'perfil de pagos'!$A$4:$A$46,'perfil de pagos'!$B$4:$B$46+'FACP$'!$D3700)</f>
        <v>44990</v>
      </c>
      <c r="Q3700" s="165">
        <f t="shared" si="2"/>
        <v>0</v>
      </c>
      <c r="R3700" s="167"/>
      <c r="S3700" s="167">
        <v>1993.0</v>
      </c>
      <c r="T3700" s="168">
        <f t="shared" si="3"/>
        <v>12403.8452</v>
      </c>
      <c r="U3700" s="168">
        <f t="shared" si="4"/>
        <v>0</v>
      </c>
      <c r="V3700" s="168">
        <f t="shared" si="5"/>
        <v>0</v>
      </c>
      <c r="W3700" s="168">
        <f t="shared" si="6"/>
        <v>0</v>
      </c>
      <c r="X3700" s="168">
        <f t="shared" si="7"/>
        <v>0</v>
      </c>
      <c r="Y3700" s="168">
        <f t="shared" si="8"/>
        <v>0</v>
      </c>
      <c r="Z3700" s="168">
        <f t="shared" si="9"/>
        <v>0</v>
      </c>
    </row>
    <row r="3701" ht="15.0" customHeight="1">
      <c r="A3701" s="157" t="s">
        <v>4648</v>
      </c>
      <c r="B3701" s="158" t="s">
        <v>27</v>
      </c>
      <c r="C3701" s="158" t="s">
        <v>4622</v>
      </c>
      <c r="D3701" s="159">
        <v>44960.0</v>
      </c>
      <c r="E3701" s="157" t="s">
        <v>731</v>
      </c>
      <c r="F3701" s="160">
        <v>10260.51</v>
      </c>
      <c r="G3701" s="160">
        <f>'FACP$'!$F3701*0.16</f>
        <v>1641.6816</v>
      </c>
      <c r="H3701" s="160">
        <f t="shared" si="122"/>
        <v>11902.1916</v>
      </c>
      <c r="I3701" s="160"/>
      <c r="J3701" s="161"/>
      <c r="K3701" s="160"/>
      <c r="L3701" s="160">
        <f>+'FACP$'!$H3701-'FACP$'!$I3701-'FACP$'!$K3701</f>
        <v>11902.1916</v>
      </c>
      <c r="M3701" s="162" t="s">
        <v>151</v>
      </c>
      <c r="N3701" s="162" t="s">
        <v>554</v>
      </c>
      <c r="O3701" s="164">
        <v>44981.0</v>
      </c>
      <c r="P3701" s="164">
        <f t="array" ref="P3701">XLOOKUP('FACP$'!$B3701,'perfil de pagos'!$A$4:$A$46,'perfil de pagos'!$B$4:$B$46+'FACP$'!$D3701)</f>
        <v>44990</v>
      </c>
      <c r="Q3701" s="165">
        <f t="shared" si="2"/>
        <v>0</v>
      </c>
      <c r="R3701" s="167"/>
      <c r="S3701" s="167">
        <v>1994.0</v>
      </c>
      <c r="T3701" s="168">
        <f t="shared" si="3"/>
        <v>11902.1916</v>
      </c>
      <c r="U3701" s="168">
        <f t="shared" si="4"/>
        <v>0</v>
      </c>
      <c r="V3701" s="168">
        <f t="shared" si="5"/>
        <v>0</v>
      </c>
      <c r="W3701" s="168">
        <f t="shared" si="6"/>
        <v>0</v>
      </c>
      <c r="X3701" s="168">
        <f t="shared" si="7"/>
        <v>0</v>
      </c>
      <c r="Y3701" s="168">
        <f t="shared" si="8"/>
        <v>0</v>
      </c>
      <c r="Z3701" s="168">
        <f t="shared" si="9"/>
        <v>0</v>
      </c>
    </row>
    <row r="3702" ht="15.0" customHeight="1">
      <c r="A3702" s="157" t="s">
        <v>4649</v>
      </c>
      <c r="B3702" s="158" t="s">
        <v>27</v>
      </c>
      <c r="C3702" s="158" t="s">
        <v>4624</v>
      </c>
      <c r="D3702" s="159">
        <v>44960.0</v>
      </c>
      <c r="E3702" s="157" t="s">
        <v>731</v>
      </c>
      <c r="F3702" s="160">
        <v>11069.3</v>
      </c>
      <c r="G3702" s="160">
        <f>'FACP$'!$F3702*0.16</f>
        <v>1771.088</v>
      </c>
      <c r="H3702" s="160">
        <f t="shared" si="122"/>
        <v>12840.388</v>
      </c>
      <c r="I3702" s="160"/>
      <c r="J3702" s="161"/>
      <c r="K3702" s="160"/>
      <c r="L3702" s="160">
        <f>+'FACP$'!$H3702-'FACP$'!$I3702-'FACP$'!$K3702</f>
        <v>12840.388</v>
      </c>
      <c r="M3702" s="162" t="s">
        <v>151</v>
      </c>
      <c r="N3702" s="162" t="s">
        <v>554</v>
      </c>
      <c r="O3702" s="164">
        <v>44981.0</v>
      </c>
      <c r="P3702" s="164">
        <f t="array" ref="P3702">XLOOKUP('FACP$'!$B3702,'perfil de pagos'!$A$4:$A$46,'perfil de pagos'!$B$4:$B$46+'FACP$'!$D3702)</f>
        <v>44990</v>
      </c>
      <c r="Q3702" s="165">
        <f t="shared" si="2"/>
        <v>0</v>
      </c>
      <c r="R3702" s="167"/>
      <c r="S3702" s="167">
        <v>1994.0</v>
      </c>
      <c r="T3702" s="168">
        <f t="shared" si="3"/>
        <v>12840.388</v>
      </c>
      <c r="U3702" s="168">
        <f t="shared" si="4"/>
        <v>0</v>
      </c>
      <c r="V3702" s="168">
        <f t="shared" si="5"/>
        <v>0</v>
      </c>
      <c r="W3702" s="168">
        <f t="shared" si="6"/>
        <v>0</v>
      </c>
      <c r="X3702" s="168">
        <f t="shared" si="7"/>
        <v>0</v>
      </c>
      <c r="Y3702" s="168">
        <f t="shared" si="8"/>
        <v>0</v>
      </c>
      <c r="Z3702" s="168">
        <f t="shared" si="9"/>
        <v>0</v>
      </c>
    </row>
    <row r="3703" ht="15.0" customHeight="1">
      <c r="A3703" s="157" t="s">
        <v>4650</v>
      </c>
      <c r="B3703" s="158" t="s">
        <v>27</v>
      </c>
      <c r="C3703" s="158" t="s">
        <v>4626</v>
      </c>
      <c r="D3703" s="159">
        <v>44960.0</v>
      </c>
      <c r="E3703" s="157" t="s">
        <v>731</v>
      </c>
      <c r="F3703" s="160">
        <v>411.59</v>
      </c>
      <c r="G3703" s="160">
        <f>'FACP$'!$F3703*0.16</f>
        <v>65.8544</v>
      </c>
      <c r="H3703" s="160">
        <f t="shared" si="122"/>
        <v>477.4444</v>
      </c>
      <c r="I3703" s="160"/>
      <c r="J3703" s="161"/>
      <c r="K3703" s="160"/>
      <c r="L3703" s="160">
        <f>+'FACP$'!$H3703-'FACP$'!$I3703-'FACP$'!$K3703</f>
        <v>477.4444</v>
      </c>
      <c r="M3703" s="162" t="s">
        <v>151</v>
      </c>
      <c r="N3703" s="162" t="s">
        <v>554</v>
      </c>
      <c r="O3703" s="164">
        <v>44981.0</v>
      </c>
      <c r="P3703" s="164">
        <f t="array" ref="P3703">XLOOKUP('FACP$'!$B3703,'perfil de pagos'!$A$4:$A$46,'perfil de pagos'!$B$4:$B$46+'FACP$'!$D3703)</f>
        <v>44990</v>
      </c>
      <c r="Q3703" s="165">
        <f t="shared" si="2"/>
        <v>0</v>
      </c>
      <c r="R3703" s="167"/>
      <c r="S3703" s="167">
        <v>1994.0</v>
      </c>
      <c r="T3703" s="168">
        <f t="shared" si="3"/>
        <v>477.4444</v>
      </c>
      <c r="U3703" s="168">
        <f t="shared" si="4"/>
        <v>0</v>
      </c>
      <c r="V3703" s="168">
        <f t="shared" si="5"/>
        <v>0</v>
      </c>
      <c r="W3703" s="168">
        <f t="shared" si="6"/>
        <v>0</v>
      </c>
      <c r="X3703" s="168">
        <f t="shared" si="7"/>
        <v>0</v>
      </c>
      <c r="Y3703" s="168">
        <f t="shared" si="8"/>
        <v>0</v>
      </c>
      <c r="Z3703" s="168">
        <f t="shared" si="9"/>
        <v>0</v>
      </c>
    </row>
    <row r="3704" ht="15.0" customHeight="1">
      <c r="A3704" s="157" t="s">
        <v>4651</v>
      </c>
      <c r="B3704" s="158" t="s">
        <v>27</v>
      </c>
      <c r="C3704" s="158" t="s">
        <v>4628</v>
      </c>
      <c r="D3704" s="159">
        <v>44960.0</v>
      </c>
      <c r="E3704" s="157" t="s">
        <v>731</v>
      </c>
      <c r="F3704" s="160">
        <v>338.18</v>
      </c>
      <c r="G3704" s="160">
        <f>'FACP$'!$F3704*0.16</f>
        <v>54.1088</v>
      </c>
      <c r="H3704" s="160">
        <f t="shared" si="122"/>
        <v>392.2888</v>
      </c>
      <c r="I3704" s="160"/>
      <c r="J3704" s="161"/>
      <c r="K3704" s="160"/>
      <c r="L3704" s="160">
        <f>+'FACP$'!$H3704-'FACP$'!$I3704-'FACP$'!$K3704</f>
        <v>392.2888</v>
      </c>
      <c r="M3704" s="162" t="s">
        <v>151</v>
      </c>
      <c r="N3704" s="162" t="s">
        <v>554</v>
      </c>
      <c r="O3704" s="164">
        <v>44981.0</v>
      </c>
      <c r="P3704" s="164">
        <f t="array" ref="P3704">XLOOKUP('FACP$'!$B3704,'perfil de pagos'!$A$4:$A$46,'perfil de pagos'!$B$4:$B$46+'FACP$'!$D3704)</f>
        <v>44990</v>
      </c>
      <c r="Q3704" s="165">
        <f t="shared" si="2"/>
        <v>0</v>
      </c>
      <c r="R3704" s="167"/>
      <c r="S3704" s="167">
        <v>1994.0</v>
      </c>
      <c r="T3704" s="168">
        <f t="shared" si="3"/>
        <v>392.2888</v>
      </c>
      <c r="U3704" s="168">
        <f t="shared" si="4"/>
        <v>0</v>
      </c>
      <c r="V3704" s="168">
        <f t="shared" si="5"/>
        <v>0</v>
      </c>
      <c r="W3704" s="168">
        <f t="shared" si="6"/>
        <v>0</v>
      </c>
      <c r="X3704" s="168">
        <f t="shared" si="7"/>
        <v>0</v>
      </c>
      <c r="Y3704" s="168">
        <f t="shared" si="8"/>
        <v>0</v>
      </c>
      <c r="Z3704" s="168">
        <f t="shared" si="9"/>
        <v>0</v>
      </c>
    </row>
    <row r="3705" ht="15.0" customHeight="1">
      <c r="A3705" s="157" t="s">
        <v>4652</v>
      </c>
      <c r="B3705" s="158" t="s">
        <v>43</v>
      </c>
      <c r="C3705" s="158" t="s">
        <v>4638</v>
      </c>
      <c r="D3705" s="159">
        <v>44599.0</v>
      </c>
      <c r="E3705" s="157" t="s">
        <v>731</v>
      </c>
      <c r="F3705" s="160">
        <v>1499425.97</v>
      </c>
      <c r="G3705" s="160">
        <f>'FACP$'!$F3705*0.16</f>
        <v>239908.1552</v>
      </c>
      <c r="H3705" s="160">
        <f t="shared" si="122"/>
        <v>1739334.125</v>
      </c>
      <c r="I3705" s="160"/>
      <c r="J3705" s="161"/>
      <c r="K3705" s="160"/>
      <c r="L3705" s="160">
        <f>+'FACP$'!$H3705-'FACP$'!$I3705-'FACP$'!$K3705</f>
        <v>1739334.125</v>
      </c>
      <c r="M3705" s="162" t="s">
        <v>43</v>
      </c>
      <c r="N3705" s="162" t="s">
        <v>554</v>
      </c>
      <c r="O3705" s="164">
        <v>44978.0</v>
      </c>
      <c r="P3705" s="164">
        <f t="array" ref="P3705">XLOOKUP('FACP$'!$B3705,'perfil de pagos'!$A$4:$A$46,'perfil de pagos'!$B$4:$B$46+'FACP$'!$D3705)</f>
        <v>44624</v>
      </c>
      <c r="Q3705" s="165">
        <f t="shared" si="2"/>
        <v>0</v>
      </c>
      <c r="R3705" s="167"/>
      <c r="S3705" s="167">
        <v>1986.0</v>
      </c>
      <c r="T3705" s="168">
        <f t="shared" si="3"/>
        <v>1739334.125</v>
      </c>
      <c r="U3705" s="168">
        <f t="shared" si="4"/>
        <v>0</v>
      </c>
      <c r="V3705" s="168">
        <f t="shared" si="5"/>
        <v>0</v>
      </c>
      <c r="W3705" s="168">
        <f t="shared" si="6"/>
        <v>0</v>
      </c>
      <c r="X3705" s="168">
        <f t="shared" si="7"/>
        <v>0</v>
      </c>
      <c r="Y3705" s="168">
        <f t="shared" si="8"/>
        <v>0</v>
      </c>
      <c r="Z3705" s="168">
        <f t="shared" si="9"/>
        <v>0</v>
      </c>
    </row>
    <row r="3706" ht="15.0" customHeight="1">
      <c r="A3706" s="157" t="s">
        <v>4653</v>
      </c>
      <c r="B3706" s="158" t="s">
        <v>38</v>
      </c>
      <c r="C3706" s="158" t="s">
        <v>4638</v>
      </c>
      <c r="D3706" s="159">
        <v>44965.0</v>
      </c>
      <c r="E3706" s="157" t="s">
        <v>731</v>
      </c>
      <c r="F3706" s="160">
        <v>42619.35</v>
      </c>
      <c r="G3706" s="160">
        <f>'FACP$'!$F3706*0.16</f>
        <v>6819.096</v>
      </c>
      <c r="H3706" s="160">
        <f t="shared" si="122"/>
        <v>49438.446</v>
      </c>
      <c r="I3706" s="160"/>
      <c r="J3706" s="161"/>
      <c r="K3706" s="160"/>
      <c r="L3706" s="160">
        <f>+'FACP$'!$H3706-'FACP$'!$I3706-'FACP$'!$K3706</f>
        <v>49438.446</v>
      </c>
      <c r="M3706" s="162" t="s">
        <v>4654</v>
      </c>
      <c r="N3706" s="162" t="s">
        <v>554</v>
      </c>
      <c r="O3706" s="164">
        <v>45008.0</v>
      </c>
      <c r="P3706" s="164">
        <f t="array" ref="P3706">XLOOKUP('FACP$'!$B3706,'perfil de pagos'!$A$4:$A$46,'perfil de pagos'!$B$4:$B$46+'FACP$'!$D3706)</f>
        <v>44995</v>
      </c>
      <c r="Q3706" s="165">
        <f t="shared" si="2"/>
        <v>0</v>
      </c>
      <c r="R3706" s="167"/>
      <c r="S3706" s="167">
        <v>2054.0</v>
      </c>
      <c r="T3706" s="168">
        <f t="shared" si="3"/>
        <v>49438.446</v>
      </c>
      <c r="U3706" s="168">
        <f t="shared" si="4"/>
        <v>0</v>
      </c>
      <c r="V3706" s="168">
        <f t="shared" si="5"/>
        <v>0</v>
      </c>
      <c r="W3706" s="168">
        <f t="shared" si="6"/>
        <v>0</v>
      </c>
      <c r="X3706" s="168">
        <f t="shared" si="7"/>
        <v>0</v>
      </c>
      <c r="Y3706" s="168">
        <f t="shared" si="8"/>
        <v>0</v>
      </c>
      <c r="Z3706" s="168">
        <f t="shared" si="9"/>
        <v>0</v>
      </c>
    </row>
    <row r="3707" ht="15.0" customHeight="1">
      <c r="A3707" s="157" t="s">
        <v>4655</v>
      </c>
      <c r="B3707" s="158" t="s">
        <v>16</v>
      </c>
      <c r="C3707" s="158" t="s">
        <v>4638</v>
      </c>
      <c r="D3707" s="159">
        <v>44965.0</v>
      </c>
      <c r="E3707" s="157" t="s">
        <v>731</v>
      </c>
      <c r="F3707" s="160">
        <v>282630.01</v>
      </c>
      <c r="G3707" s="160">
        <f>'FACP$'!$F3707*0.16</f>
        <v>45220.8016</v>
      </c>
      <c r="H3707" s="160">
        <f t="shared" si="122"/>
        <v>327850.8116</v>
      </c>
      <c r="I3707" s="160"/>
      <c r="J3707" s="161"/>
      <c r="K3707" s="160"/>
      <c r="L3707" s="160">
        <f>+'FACP$'!$H3707-'FACP$'!$I3707-'FACP$'!$K3707</f>
        <v>327850.8116</v>
      </c>
      <c r="M3707" s="162" t="s">
        <v>985</v>
      </c>
      <c r="N3707" s="162" t="s">
        <v>554</v>
      </c>
      <c r="O3707" s="164">
        <v>45012.0</v>
      </c>
      <c r="P3707" s="164">
        <f t="array" ref="P3707">XLOOKUP('FACP$'!$B3707,'perfil de pagos'!$A$4:$A$46,'perfil de pagos'!$B$4:$B$46+'FACP$'!$D3707)</f>
        <v>44975</v>
      </c>
      <c r="Q3707" s="165">
        <f t="shared" si="2"/>
        <v>0</v>
      </c>
      <c r="R3707" s="167"/>
      <c r="S3707" s="167">
        <v>2063.0</v>
      </c>
      <c r="T3707" s="168">
        <f t="shared" si="3"/>
        <v>327850.8116</v>
      </c>
      <c r="U3707" s="168">
        <f t="shared" si="4"/>
        <v>0</v>
      </c>
      <c r="V3707" s="168">
        <f t="shared" si="5"/>
        <v>0</v>
      </c>
      <c r="W3707" s="168">
        <f t="shared" si="6"/>
        <v>0</v>
      </c>
      <c r="X3707" s="168">
        <f t="shared" si="7"/>
        <v>0</v>
      </c>
      <c r="Y3707" s="168">
        <f t="shared" si="8"/>
        <v>0</v>
      </c>
      <c r="Z3707" s="168">
        <f t="shared" si="9"/>
        <v>0</v>
      </c>
    </row>
    <row r="3708" ht="15.0" customHeight="1">
      <c r="A3708" s="157" t="s">
        <v>4656</v>
      </c>
      <c r="B3708" s="158" t="s">
        <v>16</v>
      </c>
      <c r="C3708" s="158" t="s">
        <v>4657</v>
      </c>
      <c r="D3708" s="159">
        <v>44965.0</v>
      </c>
      <c r="E3708" s="157" t="s">
        <v>731</v>
      </c>
      <c r="F3708" s="160">
        <v>395246.58</v>
      </c>
      <c r="G3708" s="160">
        <f>'FACP$'!$F3708*0.16</f>
        <v>63239.4528</v>
      </c>
      <c r="H3708" s="160">
        <f t="shared" si="122"/>
        <v>458486.0328</v>
      </c>
      <c r="I3708" s="160"/>
      <c r="J3708" s="161"/>
      <c r="K3708" s="160"/>
      <c r="L3708" s="160">
        <f>+'FACP$'!$H3708-'FACP$'!$I3708-'FACP$'!$K3708</f>
        <v>458486.0328</v>
      </c>
      <c r="M3708" s="162" t="s">
        <v>985</v>
      </c>
      <c r="N3708" s="162" t="s">
        <v>554</v>
      </c>
      <c r="O3708" s="164">
        <v>45012.0</v>
      </c>
      <c r="P3708" s="164">
        <f t="array" ref="P3708">XLOOKUP('FACP$'!$B3708,'perfil de pagos'!$A$4:$A$46,'perfil de pagos'!$B$4:$B$46+'FACP$'!$D3708)</f>
        <v>44975</v>
      </c>
      <c r="Q3708" s="165">
        <f t="shared" si="2"/>
        <v>0</v>
      </c>
      <c r="R3708" s="167"/>
      <c r="S3708" s="167">
        <v>2063.0</v>
      </c>
      <c r="T3708" s="168">
        <f t="shared" si="3"/>
        <v>458486.0328</v>
      </c>
      <c r="U3708" s="168">
        <f t="shared" si="4"/>
        <v>0</v>
      </c>
      <c r="V3708" s="168">
        <f t="shared" si="5"/>
        <v>0</v>
      </c>
      <c r="W3708" s="168">
        <f t="shared" si="6"/>
        <v>0</v>
      </c>
      <c r="X3708" s="168">
        <f t="shared" si="7"/>
        <v>0</v>
      </c>
      <c r="Y3708" s="168">
        <f t="shared" si="8"/>
        <v>0</v>
      </c>
      <c r="Z3708" s="168">
        <f t="shared" si="9"/>
        <v>0</v>
      </c>
    </row>
    <row r="3709" ht="15.0" customHeight="1">
      <c r="A3709" s="157" t="s">
        <v>4658</v>
      </c>
      <c r="B3709" s="158" t="s">
        <v>18</v>
      </c>
      <c r="C3709" s="158" t="s">
        <v>4638</v>
      </c>
      <c r="D3709" s="159">
        <v>44965.0</v>
      </c>
      <c r="E3709" s="157" t="s">
        <v>731</v>
      </c>
      <c r="F3709" s="160">
        <v>89139.08</v>
      </c>
      <c r="G3709" s="160">
        <f>'FACP$'!$F3709*0.16</f>
        <v>14262.2528</v>
      </c>
      <c r="H3709" s="160">
        <f t="shared" si="122"/>
        <v>103401.3328</v>
      </c>
      <c r="I3709" s="160"/>
      <c r="J3709" s="161"/>
      <c r="K3709" s="160"/>
      <c r="L3709" s="160">
        <f>+'FACP$'!$H3709-'FACP$'!$I3709-'FACP$'!$K3709</f>
        <v>103401.3328</v>
      </c>
      <c r="M3709" s="162" t="s">
        <v>586</v>
      </c>
      <c r="N3709" s="162" t="s">
        <v>554</v>
      </c>
      <c r="O3709" s="164">
        <v>44981.0</v>
      </c>
      <c r="P3709" s="164">
        <f t="array" ref="P3709">XLOOKUP('FACP$'!$B3709,'perfil de pagos'!$A$4:$A$46,'perfil de pagos'!$B$4:$B$46+'FACP$'!$D3709)</f>
        <v>44975</v>
      </c>
      <c r="Q3709" s="165">
        <f t="shared" si="2"/>
        <v>0</v>
      </c>
      <c r="R3709" s="167"/>
      <c r="S3709" s="167">
        <v>1991.0</v>
      </c>
      <c r="T3709" s="168">
        <f t="shared" si="3"/>
        <v>103401.3328</v>
      </c>
      <c r="U3709" s="168">
        <f t="shared" si="4"/>
        <v>0</v>
      </c>
      <c r="V3709" s="168">
        <f t="shared" si="5"/>
        <v>0</v>
      </c>
      <c r="W3709" s="168">
        <f t="shared" si="6"/>
        <v>0</v>
      </c>
      <c r="X3709" s="168">
        <f t="shared" si="7"/>
        <v>0</v>
      </c>
      <c r="Y3709" s="168">
        <f t="shared" si="8"/>
        <v>0</v>
      </c>
      <c r="Z3709" s="168">
        <f t="shared" si="9"/>
        <v>0</v>
      </c>
    </row>
    <row r="3710" ht="15.0" customHeight="1">
      <c r="A3710" s="157" t="s">
        <v>4659</v>
      </c>
      <c r="B3710" s="158" t="s">
        <v>19</v>
      </c>
      <c r="C3710" s="158" t="s">
        <v>4638</v>
      </c>
      <c r="D3710" s="159">
        <v>44965.0</v>
      </c>
      <c r="E3710" s="157" t="s">
        <v>731</v>
      </c>
      <c r="F3710" s="160">
        <v>159038.3</v>
      </c>
      <c r="G3710" s="160">
        <f>'FACP$'!$F3710*0.16</f>
        <v>25446.128</v>
      </c>
      <c r="H3710" s="160">
        <f t="shared" si="122"/>
        <v>184484.428</v>
      </c>
      <c r="I3710" s="160"/>
      <c r="J3710" s="161"/>
      <c r="K3710" s="160"/>
      <c r="L3710" s="160">
        <f>+'FACP$'!$H3710-'FACP$'!$I3710-'FACP$'!$K3710</f>
        <v>184484.428</v>
      </c>
      <c r="M3710" s="162" t="s">
        <v>732</v>
      </c>
      <c r="N3710" s="162" t="s">
        <v>554</v>
      </c>
      <c r="O3710" s="164">
        <v>44981.0</v>
      </c>
      <c r="P3710" s="164">
        <f t="array" ref="P3710">XLOOKUP('FACP$'!$B3710,'perfil de pagos'!$A$4:$A$46,'perfil de pagos'!$B$4:$B$46+'FACP$'!$D3710)</f>
        <v>44975</v>
      </c>
      <c r="Q3710" s="165">
        <f t="shared" si="2"/>
        <v>0</v>
      </c>
      <c r="R3710" s="167"/>
      <c r="S3710" s="167">
        <v>1991.0</v>
      </c>
      <c r="T3710" s="168">
        <f t="shared" si="3"/>
        <v>184484.428</v>
      </c>
      <c r="U3710" s="168">
        <f t="shared" si="4"/>
        <v>0</v>
      </c>
      <c r="V3710" s="168">
        <f t="shared" si="5"/>
        <v>0</v>
      </c>
      <c r="W3710" s="168">
        <f t="shared" si="6"/>
        <v>0</v>
      </c>
      <c r="X3710" s="168">
        <f t="shared" si="7"/>
        <v>0</v>
      </c>
      <c r="Y3710" s="168">
        <f t="shared" si="8"/>
        <v>0</v>
      </c>
      <c r="Z3710" s="168">
        <f t="shared" si="9"/>
        <v>0</v>
      </c>
    </row>
    <row r="3711" ht="15.0" customHeight="1">
      <c r="A3711" s="157" t="s">
        <v>4660</v>
      </c>
      <c r="B3711" s="158" t="s">
        <v>22</v>
      </c>
      <c r="C3711" s="158" t="s">
        <v>4638</v>
      </c>
      <c r="D3711" s="159">
        <v>44965.0</v>
      </c>
      <c r="E3711" s="157" t="s">
        <v>731</v>
      </c>
      <c r="F3711" s="160">
        <v>157688.71</v>
      </c>
      <c r="G3711" s="160">
        <f>'FACP$'!$F3711*0.16</f>
        <v>25230.1936</v>
      </c>
      <c r="H3711" s="160">
        <f t="shared" si="122"/>
        <v>182918.9036</v>
      </c>
      <c r="I3711" s="160">
        <v>144412.83</v>
      </c>
      <c r="J3711" s="161"/>
      <c r="K3711" s="160"/>
      <c r="L3711" s="160">
        <f>+'FACP$'!$H3711-'FACP$'!$I3711-'FACP$'!$K3711</f>
        <v>38506.0736</v>
      </c>
      <c r="M3711" s="162" t="s">
        <v>220</v>
      </c>
      <c r="N3711" s="162" t="s">
        <v>554</v>
      </c>
      <c r="O3711" s="164">
        <v>45012.0</v>
      </c>
      <c r="P3711" s="164">
        <f t="array" ref="P3711">XLOOKUP('FACP$'!$B3711,'perfil de pagos'!$A$4:$A$46,'perfil de pagos'!$B$4:$B$46+'FACP$'!$D3711)</f>
        <v>44975</v>
      </c>
      <c r="Q3711" s="165">
        <f t="shared" si="2"/>
        <v>0</v>
      </c>
      <c r="R3711" s="167" t="s">
        <v>4661</v>
      </c>
      <c r="S3711" s="167" t="s">
        <v>4662</v>
      </c>
      <c r="T3711" s="168">
        <f t="shared" si="3"/>
        <v>38506.0736</v>
      </c>
      <c r="U3711" s="168">
        <f t="shared" si="4"/>
        <v>0</v>
      </c>
      <c r="V3711" s="168">
        <f t="shared" si="5"/>
        <v>0</v>
      </c>
      <c r="W3711" s="168">
        <f t="shared" si="6"/>
        <v>0</v>
      </c>
      <c r="X3711" s="168">
        <f t="shared" si="7"/>
        <v>0</v>
      </c>
      <c r="Y3711" s="168">
        <f t="shared" si="8"/>
        <v>0</v>
      </c>
      <c r="Z3711" s="168">
        <f t="shared" si="9"/>
        <v>0</v>
      </c>
    </row>
    <row r="3712" ht="15.0" customHeight="1">
      <c r="A3712" s="157" t="s">
        <v>4663</v>
      </c>
      <c r="B3712" s="158" t="s">
        <v>29</v>
      </c>
      <c r="C3712" s="158" t="s">
        <v>4638</v>
      </c>
      <c r="D3712" s="159">
        <v>44965.0</v>
      </c>
      <c r="E3712" s="157" t="s">
        <v>731</v>
      </c>
      <c r="F3712" s="160">
        <v>322076.17</v>
      </c>
      <c r="G3712" s="160">
        <f>'FACP$'!$F3712*0.16</f>
        <v>51532.1872</v>
      </c>
      <c r="H3712" s="160">
        <f t="shared" si="122"/>
        <v>373608.3572</v>
      </c>
      <c r="I3712" s="160"/>
      <c r="J3712" s="161"/>
      <c r="K3712" s="160"/>
      <c r="L3712" s="160">
        <f>+'FACP$'!$H3712-'FACP$'!$I3712-'FACP$'!$K3712</f>
        <v>373608.3572</v>
      </c>
      <c r="M3712" s="162" t="s">
        <v>130</v>
      </c>
      <c r="N3712" s="162" t="s">
        <v>554</v>
      </c>
      <c r="O3712" s="164">
        <v>44970.0</v>
      </c>
      <c r="P3712" s="164">
        <f t="array" ref="P3712">XLOOKUP('FACP$'!$B3712,'perfil de pagos'!$A$4:$A$46,'perfil de pagos'!$B$4:$B$46+'FACP$'!$D3712)</f>
        <v>44975</v>
      </c>
      <c r="Q3712" s="165">
        <f t="shared" si="2"/>
        <v>0</v>
      </c>
      <c r="R3712" s="167"/>
      <c r="S3712" s="167">
        <v>1953.0</v>
      </c>
      <c r="T3712" s="168">
        <f t="shared" si="3"/>
        <v>373608.3572</v>
      </c>
      <c r="U3712" s="168">
        <f t="shared" si="4"/>
        <v>0</v>
      </c>
      <c r="V3712" s="168">
        <f t="shared" si="5"/>
        <v>0</v>
      </c>
      <c r="W3712" s="168">
        <f t="shared" si="6"/>
        <v>0</v>
      </c>
      <c r="X3712" s="168">
        <f t="shared" si="7"/>
        <v>0</v>
      </c>
      <c r="Y3712" s="168">
        <f t="shared" si="8"/>
        <v>0</v>
      </c>
      <c r="Z3712" s="168">
        <f t="shared" si="9"/>
        <v>0</v>
      </c>
    </row>
    <row r="3713" ht="15.0" customHeight="1">
      <c r="A3713" s="157" t="s">
        <v>4664</v>
      </c>
      <c r="B3713" s="158" t="s">
        <v>29</v>
      </c>
      <c r="C3713" s="158" t="s">
        <v>4665</v>
      </c>
      <c r="D3713" s="159">
        <v>44965.0</v>
      </c>
      <c r="E3713" s="157" t="s">
        <v>731</v>
      </c>
      <c r="F3713" s="160">
        <v>489147.15</v>
      </c>
      <c r="G3713" s="160">
        <f>'FACP$'!$F3713*0.16</f>
        <v>78263.544</v>
      </c>
      <c r="H3713" s="160">
        <f t="shared" si="122"/>
        <v>567410.694</v>
      </c>
      <c r="I3713" s="160"/>
      <c r="J3713" s="161"/>
      <c r="K3713" s="160"/>
      <c r="L3713" s="160">
        <f>+'FACP$'!$H3713-'FACP$'!$I3713-'FACP$'!$K3713</f>
        <v>567410.694</v>
      </c>
      <c r="M3713" s="162" t="s">
        <v>130</v>
      </c>
      <c r="N3713" s="162" t="s">
        <v>554</v>
      </c>
      <c r="O3713" s="164">
        <v>44978.0</v>
      </c>
      <c r="P3713" s="164">
        <f t="array" ref="P3713">XLOOKUP('FACP$'!$B3713,'perfil de pagos'!$A$4:$A$46,'perfil de pagos'!$B$4:$B$46+'FACP$'!$D3713)</f>
        <v>44975</v>
      </c>
      <c r="Q3713" s="165">
        <f t="shared" si="2"/>
        <v>0</v>
      </c>
      <c r="R3713" s="167"/>
      <c r="S3713" s="167">
        <v>1987.0</v>
      </c>
      <c r="T3713" s="168">
        <f t="shared" si="3"/>
        <v>567410.694</v>
      </c>
      <c r="U3713" s="168">
        <f t="shared" si="4"/>
        <v>0</v>
      </c>
      <c r="V3713" s="168">
        <f t="shared" si="5"/>
        <v>0</v>
      </c>
      <c r="W3713" s="168">
        <f t="shared" si="6"/>
        <v>0</v>
      </c>
      <c r="X3713" s="168">
        <f t="shared" si="7"/>
        <v>0</v>
      </c>
      <c r="Y3713" s="168">
        <f t="shared" si="8"/>
        <v>0</v>
      </c>
      <c r="Z3713" s="168">
        <f t="shared" si="9"/>
        <v>0</v>
      </c>
    </row>
    <row r="3714" ht="15.0" customHeight="1">
      <c r="A3714" s="157" t="s">
        <v>4666</v>
      </c>
      <c r="B3714" s="158" t="s">
        <v>37</v>
      </c>
      <c r="C3714" s="158" t="s">
        <v>4638</v>
      </c>
      <c r="D3714" s="159">
        <v>44965.0</v>
      </c>
      <c r="E3714" s="157" t="s">
        <v>731</v>
      </c>
      <c r="F3714" s="160">
        <v>1729743.59</v>
      </c>
      <c r="G3714" s="160">
        <f>'FACP$'!$F3714*0.16</f>
        <v>276758.9744</v>
      </c>
      <c r="H3714" s="160">
        <f t="shared" si="122"/>
        <v>2006502.564</v>
      </c>
      <c r="I3714" s="160"/>
      <c r="J3714" s="161"/>
      <c r="K3714" s="160"/>
      <c r="L3714" s="160">
        <f>+'FACP$'!$H3714-'FACP$'!$I3714-'FACP$'!$K3714</f>
        <v>2006502.564</v>
      </c>
      <c r="M3714" s="162" t="s">
        <v>116</v>
      </c>
      <c r="N3714" s="162" t="s">
        <v>554</v>
      </c>
      <c r="O3714" s="164">
        <v>44977.0</v>
      </c>
      <c r="P3714" s="164">
        <f t="array" ref="P3714">XLOOKUP('FACP$'!$B3714,'perfil de pagos'!$A$4:$A$46,'perfil de pagos'!$B$4:$B$46+'FACP$'!$D3714)</f>
        <v>44975</v>
      </c>
      <c r="Q3714" s="165">
        <f t="shared" si="2"/>
        <v>0</v>
      </c>
      <c r="R3714" s="167"/>
      <c r="S3714" s="167">
        <v>1981.0</v>
      </c>
      <c r="T3714" s="168">
        <f t="shared" si="3"/>
        <v>2006502.564</v>
      </c>
      <c r="U3714" s="168">
        <f t="shared" si="4"/>
        <v>0</v>
      </c>
      <c r="V3714" s="168">
        <f t="shared" si="5"/>
        <v>0</v>
      </c>
      <c r="W3714" s="168">
        <f t="shared" si="6"/>
        <v>0</v>
      </c>
      <c r="X3714" s="168">
        <f t="shared" si="7"/>
        <v>0</v>
      </c>
      <c r="Y3714" s="168">
        <f t="shared" si="8"/>
        <v>0</v>
      </c>
      <c r="Z3714" s="168">
        <f t="shared" si="9"/>
        <v>0</v>
      </c>
    </row>
    <row r="3715" ht="15.0" customHeight="1">
      <c r="A3715" s="157" t="s">
        <v>4667</v>
      </c>
      <c r="B3715" s="158" t="s">
        <v>146</v>
      </c>
      <c r="C3715" s="158" t="s">
        <v>146</v>
      </c>
      <c r="D3715" s="159"/>
      <c r="E3715" s="157" t="s">
        <v>731</v>
      </c>
      <c r="F3715" s="160"/>
      <c r="G3715" s="160">
        <f>'FACP$'!$F3715*0.16</f>
        <v>0</v>
      </c>
      <c r="H3715" s="160">
        <f t="shared" si="122"/>
        <v>0</v>
      </c>
      <c r="I3715" s="160"/>
      <c r="J3715" s="161"/>
      <c r="K3715" s="160"/>
      <c r="L3715" s="160">
        <f>+'FACP$'!$H3715-'FACP$'!$I3715-'FACP$'!$K3715</f>
        <v>0</v>
      </c>
      <c r="M3715" s="162"/>
      <c r="N3715" s="162" t="s">
        <v>127</v>
      </c>
      <c r="O3715" s="164"/>
      <c r="P3715" s="164" t="str">
        <f t="array" ref="P3715">XLOOKUP('FACP$'!$B3715,'perfil de pagos'!$A$4:$A$46,'perfil de pagos'!$B$4:$B$46+'FACP$'!$D3715)</f>
        <v>#N/A</v>
      </c>
      <c r="Q3715" s="165">
        <f t="shared" si="2"/>
        <v>0</v>
      </c>
      <c r="R3715" s="220" t="s">
        <v>4668</v>
      </c>
      <c r="S3715" s="167"/>
      <c r="T3715" s="168">
        <f t="shared" si="3"/>
        <v>0</v>
      </c>
      <c r="U3715" s="168">
        <f t="shared" si="4"/>
        <v>0</v>
      </c>
      <c r="V3715" s="168">
        <f t="shared" si="5"/>
        <v>0</v>
      </c>
      <c r="W3715" s="168">
        <f t="shared" si="6"/>
        <v>0</v>
      </c>
      <c r="X3715" s="168">
        <f t="shared" si="7"/>
        <v>0</v>
      </c>
      <c r="Y3715" s="168">
        <f t="shared" si="8"/>
        <v>0</v>
      </c>
      <c r="Z3715" s="168">
        <f t="shared" si="9"/>
        <v>0</v>
      </c>
    </row>
    <row r="3716" ht="15.0" customHeight="1">
      <c r="A3716" s="157" t="s">
        <v>4669</v>
      </c>
      <c r="B3716" s="158" t="s">
        <v>25</v>
      </c>
      <c r="C3716" s="158" t="s">
        <v>4638</v>
      </c>
      <c r="D3716" s="159">
        <v>44965.0</v>
      </c>
      <c r="E3716" s="157" t="s">
        <v>731</v>
      </c>
      <c r="F3716" s="160">
        <v>51442.25</v>
      </c>
      <c r="G3716" s="160">
        <f>'FACP$'!$F3716*0.16</f>
        <v>8230.76</v>
      </c>
      <c r="H3716" s="160">
        <f t="shared" si="122"/>
        <v>59673.01</v>
      </c>
      <c r="I3716" s="160"/>
      <c r="J3716" s="161"/>
      <c r="K3716" s="160"/>
      <c r="L3716" s="160">
        <f>+'FACP$'!$H3716-'FACP$'!$I3716-'FACP$'!$K3716</f>
        <v>59673.01</v>
      </c>
      <c r="M3716" s="162" t="s">
        <v>4388</v>
      </c>
      <c r="N3716" s="162" t="s">
        <v>554</v>
      </c>
      <c r="O3716" s="164">
        <v>45021.0</v>
      </c>
      <c r="P3716" s="164">
        <f t="array" ref="P3716">XLOOKUP('FACP$'!$B3716,'perfil de pagos'!$A$4:$A$46,'perfil de pagos'!$B$4:$B$46+'FACP$'!$D3716)</f>
        <v>44975</v>
      </c>
      <c r="Q3716" s="165">
        <f t="shared" si="2"/>
        <v>0</v>
      </c>
      <c r="R3716" s="167"/>
      <c r="S3716" s="167">
        <v>2125.0</v>
      </c>
      <c r="T3716" s="168">
        <f t="shared" si="3"/>
        <v>59673.01</v>
      </c>
      <c r="U3716" s="168">
        <f t="shared" si="4"/>
        <v>0</v>
      </c>
      <c r="V3716" s="168">
        <f t="shared" si="5"/>
        <v>0</v>
      </c>
      <c r="W3716" s="168">
        <f t="shared" si="6"/>
        <v>0</v>
      </c>
      <c r="X3716" s="168">
        <f t="shared" si="7"/>
        <v>0</v>
      </c>
      <c r="Y3716" s="168">
        <f t="shared" si="8"/>
        <v>0</v>
      </c>
      <c r="Z3716" s="168">
        <f t="shared" si="9"/>
        <v>0</v>
      </c>
    </row>
    <row r="3717" ht="15.0" customHeight="1">
      <c r="A3717" s="157" t="s">
        <v>4670</v>
      </c>
      <c r="B3717" s="158" t="s">
        <v>41</v>
      </c>
      <c r="C3717" s="158" t="s">
        <v>4671</v>
      </c>
      <c r="D3717" s="159">
        <v>44966.0</v>
      </c>
      <c r="E3717" s="157" t="s">
        <v>731</v>
      </c>
      <c r="F3717" s="160">
        <v>861676.52</v>
      </c>
      <c r="G3717" s="160">
        <f>'FACP$'!$F3717*0.16</f>
        <v>137868.2432</v>
      </c>
      <c r="H3717" s="160">
        <f t="shared" si="122"/>
        <v>999544.7632</v>
      </c>
      <c r="I3717" s="160"/>
      <c r="J3717" s="161"/>
      <c r="K3717" s="160"/>
      <c r="L3717" s="160">
        <f>+'FACP$'!$H3717-'FACP$'!$I3717-'FACP$'!$K3717</f>
        <v>999544.7632</v>
      </c>
      <c r="M3717" s="162" t="s">
        <v>121</v>
      </c>
      <c r="N3717" s="162" t="s">
        <v>554</v>
      </c>
      <c r="O3717" s="164">
        <v>45002.0</v>
      </c>
      <c r="P3717" s="164">
        <f t="array" ref="P3717">XLOOKUP('FACP$'!$B3717,'perfil de pagos'!$A$4:$A$46,'perfil de pagos'!$B$4:$B$46+'FACP$'!$D3717)</f>
        <v>44976</v>
      </c>
      <c r="Q3717" s="165">
        <f t="shared" si="2"/>
        <v>0</v>
      </c>
      <c r="R3717" s="167"/>
      <c r="S3717" s="167" t="s">
        <v>4672</v>
      </c>
      <c r="T3717" s="168">
        <f t="shared" si="3"/>
        <v>999544.7632</v>
      </c>
      <c r="U3717" s="168">
        <f t="shared" si="4"/>
        <v>0</v>
      </c>
      <c r="V3717" s="168">
        <f t="shared" si="5"/>
        <v>0</v>
      </c>
      <c r="W3717" s="168">
        <f t="shared" si="6"/>
        <v>0</v>
      </c>
      <c r="X3717" s="168">
        <f t="shared" si="7"/>
        <v>0</v>
      </c>
      <c r="Y3717" s="168">
        <f t="shared" si="8"/>
        <v>0</v>
      </c>
      <c r="Z3717" s="168">
        <f t="shared" si="9"/>
        <v>0</v>
      </c>
    </row>
    <row r="3718" ht="15.0" customHeight="1">
      <c r="A3718" s="157" t="s">
        <v>4673</v>
      </c>
      <c r="B3718" s="158" t="s">
        <v>38</v>
      </c>
      <c r="C3718" s="158" t="s">
        <v>4671</v>
      </c>
      <c r="D3718" s="159">
        <v>44966.0</v>
      </c>
      <c r="E3718" s="157" t="s">
        <v>731</v>
      </c>
      <c r="F3718" s="160">
        <v>783183.77</v>
      </c>
      <c r="G3718" s="160">
        <f>'FACP$'!$F3718*0.16</f>
        <v>125309.4032</v>
      </c>
      <c r="H3718" s="160">
        <f t="shared" si="122"/>
        <v>908493.1732</v>
      </c>
      <c r="I3718" s="160"/>
      <c r="J3718" s="161"/>
      <c r="K3718" s="160"/>
      <c r="L3718" s="160">
        <f>+'FACP$'!$H3718-'FACP$'!$I3718-'FACP$'!$K3718</f>
        <v>908493.1732</v>
      </c>
      <c r="M3718" s="162" t="s">
        <v>145</v>
      </c>
      <c r="N3718" s="162" t="s">
        <v>554</v>
      </c>
      <c r="O3718" s="164">
        <v>45006.0</v>
      </c>
      <c r="P3718" s="164">
        <f t="array" ref="P3718">XLOOKUP('FACP$'!$B3718,'perfil de pagos'!$A$4:$A$46,'perfil de pagos'!$B$4:$B$46+'FACP$'!$D3718)</f>
        <v>44996</v>
      </c>
      <c r="Q3718" s="165">
        <f t="shared" si="2"/>
        <v>0</v>
      </c>
      <c r="R3718" s="167"/>
      <c r="S3718" s="167">
        <v>2050.0</v>
      </c>
      <c r="T3718" s="168">
        <f t="shared" si="3"/>
        <v>908493.1732</v>
      </c>
      <c r="U3718" s="168">
        <f t="shared" si="4"/>
        <v>0</v>
      </c>
      <c r="V3718" s="168">
        <f t="shared" si="5"/>
        <v>0</v>
      </c>
      <c r="W3718" s="168">
        <f t="shared" si="6"/>
        <v>0</v>
      </c>
      <c r="X3718" s="168">
        <f t="shared" si="7"/>
        <v>0</v>
      </c>
      <c r="Y3718" s="168">
        <f t="shared" si="8"/>
        <v>0</v>
      </c>
      <c r="Z3718" s="168">
        <f t="shared" si="9"/>
        <v>0</v>
      </c>
    </row>
    <row r="3719" ht="15.0" customHeight="1">
      <c r="A3719" s="157" t="s">
        <v>4674</v>
      </c>
      <c r="B3719" s="158" t="s">
        <v>38</v>
      </c>
      <c r="C3719" s="158" t="s">
        <v>4671</v>
      </c>
      <c r="D3719" s="159">
        <v>44966.0</v>
      </c>
      <c r="E3719" s="157" t="s">
        <v>731</v>
      </c>
      <c r="F3719" s="160">
        <v>125073.25</v>
      </c>
      <c r="G3719" s="160">
        <f>'FACP$'!$F3719*0.16</f>
        <v>20011.72</v>
      </c>
      <c r="H3719" s="160">
        <f t="shared" si="122"/>
        <v>145084.97</v>
      </c>
      <c r="I3719" s="160"/>
      <c r="J3719" s="161"/>
      <c r="K3719" s="160"/>
      <c r="L3719" s="160">
        <f>+'FACP$'!$H3719-'FACP$'!$I3719-'FACP$'!$K3719</f>
        <v>145084.97</v>
      </c>
      <c r="M3719" s="162" t="s">
        <v>642</v>
      </c>
      <c r="N3719" s="162" t="s">
        <v>554</v>
      </c>
      <c r="O3719" s="164">
        <v>45008.0</v>
      </c>
      <c r="P3719" s="164">
        <f t="array" ref="P3719">XLOOKUP('FACP$'!$B3719,'perfil de pagos'!$A$4:$A$46,'perfil de pagos'!$B$4:$B$46+'FACP$'!$D3719)</f>
        <v>44996</v>
      </c>
      <c r="Q3719" s="165">
        <f t="shared" si="2"/>
        <v>0</v>
      </c>
      <c r="R3719" s="167"/>
      <c r="S3719" s="167">
        <v>2054.0</v>
      </c>
      <c r="T3719" s="168">
        <f t="shared" si="3"/>
        <v>145084.97</v>
      </c>
      <c r="U3719" s="168">
        <f t="shared" si="4"/>
        <v>0</v>
      </c>
      <c r="V3719" s="168">
        <f t="shared" si="5"/>
        <v>0</v>
      </c>
      <c r="W3719" s="168">
        <f t="shared" si="6"/>
        <v>0</v>
      </c>
      <c r="X3719" s="168">
        <f t="shared" si="7"/>
        <v>0</v>
      </c>
      <c r="Y3719" s="168">
        <f t="shared" si="8"/>
        <v>0</v>
      </c>
      <c r="Z3719" s="168">
        <f t="shared" si="9"/>
        <v>0</v>
      </c>
    </row>
    <row r="3720" ht="15.0" customHeight="1">
      <c r="A3720" s="157" t="s">
        <v>4675</v>
      </c>
      <c r="B3720" s="158" t="s">
        <v>31</v>
      </c>
      <c r="C3720" s="158" t="s">
        <v>4676</v>
      </c>
      <c r="D3720" s="159">
        <v>44970.0</v>
      </c>
      <c r="E3720" s="157" t="s">
        <v>731</v>
      </c>
      <c r="F3720" s="160">
        <v>185065.81</v>
      </c>
      <c r="G3720" s="160">
        <f>'FACP$'!$F3720*0.16</f>
        <v>29610.5296</v>
      </c>
      <c r="H3720" s="160">
        <f t="shared" si="122"/>
        <v>214676.3396</v>
      </c>
      <c r="I3720" s="252"/>
      <c r="J3720" s="253"/>
      <c r="K3720" s="252"/>
      <c r="L3720" s="160">
        <f>+'FACP$'!$H3720-'FACP$'!$I3720-'FACP$'!$K3720</f>
        <v>214676.3396</v>
      </c>
      <c r="M3720" s="162" t="s">
        <v>3183</v>
      </c>
      <c r="N3720" s="162" t="s">
        <v>554</v>
      </c>
      <c r="O3720" s="164">
        <v>45126.0</v>
      </c>
      <c r="P3720" s="164">
        <f t="array" ref="P3720">XLOOKUP('FACP$'!$B3720,'perfil de pagos'!$A$4:$A$46,'perfil de pagos'!$B$4:$B$46+'FACP$'!$D3720)</f>
        <v>44973</v>
      </c>
      <c r="Q3720" s="165">
        <f t="shared" si="2"/>
        <v>0</v>
      </c>
      <c r="R3720" s="220" t="s">
        <v>4583</v>
      </c>
      <c r="S3720" s="167">
        <v>2303.0</v>
      </c>
      <c r="T3720" s="168">
        <f t="shared" si="3"/>
        <v>214676.3396</v>
      </c>
      <c r="U3720" s="168">
        <f t="shared" si="4"/>
        <v>0</v>
      </c>
      <c r="V3720" s="168">
        <f t="shared" si="5"/>
        <v>0</v>
      </c>
      <c r="W3720" s="168">
        <f t="shared" si="6"/>
        <v>0</v>
      </c>
      <c r="X3720" s="168">
        <f t="shared" si="7"/>
        <v>0</v>
      </c>
      <c r="Y3720" s="168">
        <f t="shared" si="8"/>
        <v>0</v>
      </c>
      <c r="Z3720" s="168">
        <f t="shared" si="9"/>
        <v>0</v>
      </c>
    </row>
    <row r="3721" ht="15.0" customHeight="1">
      <c r="A3721" s="157" t="s">
        <v>4677</v>
      </c>
      <c r="B3721" s="158" t="s">
        <v>31</v>
      </c>
      <c r="C3721" s="158" t="s">
        <v>4678</v>
      </c>
      <c r="D3721" s="159">
        <v>44974.0</v>
      </c>
      <c r="E3721" s="157" t="s">
        <v>731</v>
      </c>
      <c r="F3721" s="160">
        <v>177356.06</v>
      </c>
      <c r="G3721" s="160">
        <f>'FACP$'!$F3721*0.16</f>
        <v>28376.9696</v>
      </c>
      <c r="H3721" s="160">
        <f t="shared" si="122"/>
        <v>205733.0296</v>
      </c>
      <c r="I3721" s="160"/>
      <c r="J3721" s="161"/>
      <c r="K3721" s="160"/>
      <c r="L3721" s="160">
        <f>+'FACP$'!$H3721-'FACP$'!$I3721-'FACP$'!$K3721</f>
        <v>205733.0296</v>
      </c>
      <c r="M3721" s="162" t="s">
        <v>3183</v>
      </c>
      <c r="N3721" s="162" t="s">
        <v>554</v>
      </c>
      <c r="O3721" s="164">
        <v>45126.0</v>
      </c>
      <c r="P3721" s="164">
        <f t="array" ref="P3721">XLOOKUP('FACP$'!$B3721,'perfil de pagos'!$A$4:$A$46,'perfil de pagos'!$B$4:$B$46+'FACP$'!$D3721)</f>
        <v>44977</v>
      </c>
      <c r="Q3721" s="165">
        <f t="shared" si="2"/>
        <v>0</v>
      </c>
      <c r="R3721" s="220" t="s">
        <v>4583</v>
      </c>
      <c r="S3721" s="167">
        <v>2303.0</v>
      </c>
      <c r="T3721" s="168">
        <f t="shared" si="3"/>
        <v>205733.0296</v>
      </c>
      <c r="U3721" s="168">
        <f t="shared" si="4"/>
        <v>0</v>
      </c>
      <c r="V3721" s="168">
        <f t="shared" si="5"/>
        <v>0</v>
      </c>
      <c r="W3721" s="168">
        <f t="shared" si="6"/>
        <v>0</v>
      </c>
      <c r="X3721" s="168">
        <f t="shared" si="7"/>
        <v>0</v>
      </c>
      <c r="Y3721" s="168">
        <f t="shared" si="8"/>
        <v>0</v>
      </c>
      <c r="Z3721" s="168">
        <f t="shared" si="9"/>
        <v>0</v>
      </c>
    </row>
    <row r="3722" ht="15.0" customHeight="1">
      <c r="A3722" s="157" t="s">
        <v>4679</v>
      </c>
      <c r="B3722" s="158" t="s">
        <v>35</v>
      </c>
      <c r="C3722" s="158" t="s">
        <v>4680</v>
      </c>
      <c r="D3722" s="159">
        <v>44974.0</v>
      </c>
      <c r="E3722" s="157" t="s">
        <v>731</v>
      </c>
      <c r="F3722" s="160">
        <v>380604.84</v>
      </c>
      <c r="G3722" s="160">
        <f>'FACP$'!$F3722*0.16</f>
        <v>60896.7744</v>
      </c>
      <c r="H3722" s="160">
        <f t="shared" si="122"/>
        <v>441501.6144</v>
      </c>
      <c r="I3722" s="160"/>
      <c r="J3722" s="161"/>
      <c r="K3722" s="160"/>
      <c r="L3722" s="160">
        <f>+'FACP$'!$H3722-'FACP$'!$I3722-'FACP$'!$K3722</f>
        <v>441501.6144</v>
      </c>
      <c r="M3722" s="162" t="s">
        <v>276</v>
      </c>
      <c r="N3722" s="162" t="s">
        <v>554</v>
      </c>
      <c r="O3722" s="164">
        <v>45014.0</v>
      </c>
      <c r="P3722" s="164">
        <f t="array" ref="P3722">XLOOKUP('FACP$'!$B3722,'perfil de pagos'!$A$4:$A$46,'perfil de pagos'!$B$4:$B$46+'FACP$'!$D3722)</f>
        <v>44984</v>
      </c>
      <c r="Q3722" s="165">
        <f t="shared" si="2"/>
        <v>0</v>
      </c>
      <c r="R3722" s="167"/>
      <c r="S3722" s="167">
        <v>2058.0</v>
      </c>
      <c r="T3722" s="168">
        <f t="shared" si="3"/>
        <v>441501.6144</v>
      </c>
      <c r="U3722" s="168">
        <f t="shared" si="4"/>
        <v>0</v>
      </c>
      <c r="V3722" s="168">
        <f t="shared" si="5"/>
        <v>0</v>
      </c>
      <c r="W3722" s="168">
        <f t="shared" si="6"/>
        <v>0</v>
      </c>
      <c r="X3722" s="168">
        <f t="shared" si="7"/>
        <v>0</v>
      </c>
      <c r="Y3722" s="168">
        <f t="shared" si="8"/>
        <v>0</v>
      </c>
      <c r="Z3722" s="168">
        <f t="shared" si="9"/>
        <v>0</v>
      </c>
    </row>
    <row r="3723" ht="15.0" customHeight="1">
      <c r="A3723" s="157" t="s">
        <v>4681</v>
      </c>
      <c r="B3723" s="158" t="s">
        <v>36</v>
      </c>
      <c r="C3723" s="158" t="s">
        <v>4680</v>
      </c>
      <c r="D3723" s="159">
        <v>44974.0</v>
      </c>
      <c r="E3723" s="157" t="s">
        <v>731</v>
      </c>
      <c r="F3723" s="160">
        <v>58960.36</v>
      </c>
      <c r="G3723" s="160">
        <f>'FACP$'!$F3723*0.16</f>
        <v>9433.6576</v>
      </c>
      <c r="H3723" s="160">
        <f t="shared" si="122"/>
        <v>68394.0176</v>
      </c>
      <c r="I3723" s="160"/>
      <c r="J3723" s="161"/>
      <c r="K3723" s="160"/>
      <c r="L3723" s="160">
        <f>+'FACP$'!$H3723-'FACP$'!$I3723-'FACP$'!$K3723</f>
        <v>68394.0176</v>
      </c>
      <c r="M3723" s="162" t="s">
        <v>278</v>
      </c>
      <c r="N3723" s="162" t="s">
        <v>554</v>
      </c>
      <c r="O3723" s="164">
        <v>44977.0</v>
      </c>
      <c r="P3723" s="164">
        <f t="array" ref="P3723">XLOOKUP('FACP$'!$B3723,'perfil de pagos'!$A$4:$A$46,'perfil de pagos'!$B$4:$B$46+'FACP$'!$D3723)</f>
        <v>44984</v>
      </c>
      <c r="Q3723" s="165">
        <f t="shared" si="2"/>
        <v>0</v>
      </c>
      <c r="R3723" s="167"/>
      <c r="S3723" s="167">
        <v>1979.0</v>
      </c>
      <c r="T3723" s="168">
        <f t="shared" si="3"/>
        <v>68394.0176</v>
      </c>
      <c r="U3723" s="168">
        <f t="shared" si="4"/>
        <v>0</v>
      </c>
      <c r="V3723" s="168">
        <f t="shared" si="5"/>
        <v>0</v>
      </c>
      <c r="W3723" s="168">
        <f t="shared" si="6"/>
        <v>0</v>
      </c>
      <c r="X3723" s="168">
        <f t="shared" si="7"/>
        <v>0</v>
      </c>
      <c r="Y3723" s="168">
        <f t="shared" si="8"/>
        <v>0</v>
      </c>
      <c r="Z3723" s="168">
        <f t="shared" si="9"/>
        <v>0</v>
      </c>
    </row>
    <row r="3724" ht="15.0" customHeight="1">
      <c r="A3724" s="157" t="s">
        <v>4682</v>
      </c>
      <c r="B3724" s="158" t="s">
        <v>42</v>
      </c>
      <c r="C3724" s="158" t="s">
        <v>4680</v>
      </c>
      <c r="D3724" s="159">
        <v>44974.0</v>
      </c>
      <c r="E3724" s="157" t="s">
        <v>731</v>
      </c>
      <c r="F3724" s="160">
        <v>185083.3</v>
      </c>
      <c r="G3724" s="160">
        <f>'FACP$'!$F3724*0.16</f>
        <v>29613.328</v>
      </c>
      <c r="H3724" s="160">
        <f t="shared" si="122"/>
        <v>214696.628</v>
      </c>
      <c r="I3724" s="160"/>
      <c r="J3724" s="161"/>
      <c r="K3724" s="160"/>
      <c r="L3724" s="160">
        <f>+'FACP$'!$H3724-'FACP$'!$I3724-'FACP$'!$K3724</f>
        <v>214696.628</v>
      </c>
      <c r="M3724" s="162" t="s">
        <v>42</v>
      </c>
      <c r="N3724" s="162" t="s">
        <v>554</v>
      </c>
      <c r="O3724" s="164">
        <v>45001.0</v>
      </c>
      <c r="P3724" s="164">
        <f t="array" ref="P3724">XLOOKUP('FACP$'!$B3724,'perfil de pagos'!$A$4:$A$46,'perfil de pagos'!$B$4:$B$46+'FACP$'!$D3724)</f>
        <v>44984</v>
      </c>
      <c r="Q3724" s="165">
        <f t="shared" si="2"/>
        <v>0</v>
      </c>
      <c r="R3724" s="167"/>
      <c r="S3724" s="167">
        <v>2032.0</v>
      </c>
      <c r="T3724" s="168">
        <f t="shared" si="3"/>
        <v>214696.628</v>
      </c>
      <c r="U3724" s="168">
        <f t="shared" si="4"/>
        <v>0</v>
      </c>
      <c r="V3724" s="168">
        <f t="shared" si="5"/>
        <v>0</v>
      </c>
      <c r="W3724" s="168">
        <f t="shared" si="6"/>
        <v>0</v>
      </c>
      <c r="X3724" s="168">
        <f t="shared" si="7"/>
        <v>0</v>
      </c>
      <c r="Y3724" s="168">
        <f t="shared" si="8"/>
        <v>0</v>
      </c>
      <c r="Z3724" s="168">
        <f t="shared" si="9"/>
        <v>0</v>
      </c>
    </row>
    <row r="3725" ht="15.0" customHeight="1">
      <c r="A3725" s="157" t="s">
        <v>4683</v>
      </c>
      <c r="B3725" s="209" t="s">
        <v>43</v>
      </c>
      <c r="C3725" s="209" t="s">
        <v>4680</v>
      </c>
      <c r="D3725" s="186">
        <v>44974.0</v>
      </c>
      <c r="E3725" s="210" t="s">
        <v>731</v>
      </c>
      <c r="F3725" s="211">
        <v>1181564.48</v>
      </c>
      <c r="G3725" s="211">
        <f>'FACP$'!$F3725*0.16</f>
        <v>189050.3168</v>
      </c>
      <c r="H3725" s="160">
        <f t="shared" si="122"/>
        <v>1370614.797</v>
      </c>
      <c r="I3725" s="211"/>
      <c r="J3725" s="212"/>
      <c r="K3725" s="211"/>
      <c r="L3725" s="211">
        <f>+'FACP$'!$H3725-'FACP$'!$I3725-'FACP$'!$K3725</f>
        <v>1370614.797</v>
      </c>
      <c r="M3725" s="227" t="s">
        <v>43</v>
      </c>
      <c r="N3725" s="227" t="s">
        <v>127</v>
      </c>
      <c r="O3725" s="245"/>
      <c r="P3725" s="245">
        <f t="array" ref="P3725">XLOOKUP('FACP$'!$B3725,'perfil de pagos'!$A$4:$A$46,'perfil de pagos'!$B$4:$B$46+'FACP$'!$D3725)</f>
        <v>44999</v>
      </c>
      <c r="Q3725" s="246">
        <f t="shared" si="2"/>
        <v>0</v>
      </c>
      <c r="R3725" s="223" t="s">
        <v>4684</v>
      </c>
      <c r="S3725" s="223"/>
      <c r="T3725" s="297">
        <f t="shared" si="3"/>
        <v>1370614.797</v>
      </c>
      <c r="U3725" s="297">
        <f t="shared" si="4"/>
        <v>0</v>
      </c>
      <c r="V3725" s="297">
        <f t="shared" si="5"/>
        <v>0</v>
      </c>
      <c r="W3725" s="297">
        <f t="shared" si="6"/>
        <v>0</v>
      </c>
      <c r="X3725" s="297">
        <f t="shared" si="7"/>
        <v>0</v>
      </c>
      <c r="Y3725" s="297">
        <f t="shared" si="8"/>
        <v>0</v>
      </c>
      <c r="Z3725" s="297">
        <f t="shared" si="9"/>
        <v>0</v>
      </c>
    </row>
    <row r="3726" ht="15.0" customHeight="1">
      <c r="A3726" s="157" t="s">
        <v>4685</v>
      </c>
      <c r="B3726" s="158" t="s">
        <v>44</v>
      </c>
      <c r="C3726" s="158" t="s">
        <v>4680</v>
      </c>
      <c r="D3726" s="159">
        <v>44974.0</v>
      </c>
      <c r="E3726" s="157" t="s">
        <v>731</v>
      </c>
      <c r="F3726" s="160">
        <v>255781.97</v>
      </c>
      <c r="G3726" s="160">
        <f>'FACP$'!$F3726*0.16</f>
        <v>40925.1152</v>
      </c>
      <c r="H3726" s="160">
        <f t="shared" si="122"/>
        <v>296707.0852</v>
      </c>
      <c r="I3726" s="160"/>
      <c r="J3726" s="161"/>
      <c r="K3726" s="160"/>
      <c r="L3726" s="160">
        <f>+'FACP$'!$H3726-'FACP$'!$I3726-'FACP$'!$K3726</f>
        <v>296707.0852</v>
      </c>
      <c r="M3726" s="162" t="s">
        <v>361</v>
      </c>
      <c r="N3726" s="162" t="s">
        <v>554</v>
      </c>
      <c r="O3726" s="164">
        <v>44987.0</v>
      </c>
      <c r="P3726" s="164">
        <f t="array" ref="P3726">XLOOKUP('FACP$'!$B3726,'perfil de pagos'!$A$4:$A$46,'perfil de pagos'!$B$4:$B$46+'FACP$'!$D3726)</f>
        <v>44984</v>
      </c>
      <c r="Q3726" s="165">
        <f t="shared" si="2"/>
        <v>0</v>
      </c>
      <c r="R3726" s="167"/>
      <c r="S3726" s="167">
        <v>2003.0</v>
      </c>
      <c r="T3726" s="168">
        <f t="shared" si="3"/>
        <v>296707.0852</v>
      </c>
      <c r="U3726" s="168">
        <f t="shared" si="4"/>
        <v>0</v>
      </c>
      <c r="V3726" s="168">
        <f t="shared" si="5"/>
        <v>0</v>
      </c>
      <c r="W3726" s="168">
        <f t="shared" si="6"/>
        <v>0</v>
      </c>
      <c r="X3726" s="168">
        <f t="shared" si="7"/>
        <v>0</v>
      </c>
      <c r="Y3726" s="168">
        <f t="shared" si="8"/>
        <v>0</v>
      </c>
      <c r="Z3726" s="168">
        <f t="shared" si="9"/>
        <v>0</v>
      </c>
    </row>
    <row r="3727" ht="15.0" customHeight="1">
      <c r="A3727" s="157" t="s">
        <v>4686</v>
      </c>
      <c r="B3727" s="158" t="s">
        <v>27</v>
      </c>
      <c r="C3727" s="158" t="s">
        <v>4687</v>
      </c>
      <c r="D3727" s="159">
        <v>44974.0</v>
      </c>
      <c r="E3727" s="157" t="s">
        <v>731</v>
      </c>
      <c r="F3727" s="160">
        <v>248961.3</v>
      </c>
      <c r="G3727" s="160">
        <f>'FACP$'!$F3727*0.16</f>
        <v>39833.808</v>
      </c>
      <c r="H3727" s="160">
        <f t="shared" si="122"/>
        <v>288795.108</v>
      </c>
      <c r="I3727" s="160"/>
      <c r="J3727" s="161"/>
      <c r="K3727" s="160"/>
      <c r="L3727" s="160">
        <f>+'FACP$'!$H3727-'FACP$'!$I3727-'FACP$'!$K3727</f>
        <v>288795.108</v>
      </c>
      <c r="M3727" s="162" t="s">
        <v>151</v>
      </c>
      <c r="N3727" s="162" t="s">
        <v>554</v>
      </c>
      <c r="O3727" s="164">
        <v>44985.0</v>
      </c>
      <c r="P3727" s="164">
        <f t="array" ref="P3727">XLOOKUP('FACP$'!$B3727,'perfil de pagos'!$A$4:$A$46,'perfil de pagos'!$B$4:$B$46+'FACP$'!$D3727)</f>
        <v>45004</v>
      </c>
      <c r="Q3727" s="165">
        <f t="shared" si="2"/>
        <v>0</v>
      </c>
      <c r="R3727" s="167"/>
      <c r="S3727" s="167">
        <v>2001.0</v>
      </c>
      <c r="T3727" s="168">
        <f t="shared" si="3"/>
        <v>288795.108</v>
      </c>
      <c r="U3727" s="168">
        <f t="shared" si="4"/>
        <v>0</v>
      </c>
      <c r="V3727" s="168">
        <f t="shared" si="5"/>
        <v>0</v>
      </c>
      <c r="W3727" s="168">
        <f t="shared" si="6"/>
        <v>0</v>
      </c>
      <c r="X3727" s="168">
        <f t="shared" si="7"/>
        <v>0</v>
      </c>
      <c r="Y3727" s="168">
        <f t="shared" si="8"/>
        <v>0</v>
      </c>
      <c r="Z3727" s="168">
        <f t="shared" si="9"/>
        <v>0</v>
      </c>
    </row>
    <row r="3728" ht="15.0" customHeight="1">
      <c r="A3728" s="157" t="s">
        <v>4688</v>
      </c>
      <c r="B3728" s="158" t="s">
        <v>146</v>
      </c>
      <c r="C3728" s="158"/>
      <c r="D3728" s="159"/>
      <c r="E3728" s="157"/>
      <c r="F3728" s="160"/>
      <c r="G3728" s="160"/>
      <c r="H3728" s="160">
        <f t="shared" si="122"/>
        <v>0</v>
      </c>
      <c r="I3728" s="160"/>
      <c r="J3728" s="161"/>
      <c r="K3728" s="160"/>
      <c r="L3728" s="160">
        <f>+'FACP$'!$H3728-'FACP$'!$I3728-'FACP$'!$K3728</f>
        <v>0</v>
      </c>
      <c r="M3728" s="162"/>
      <c r="N3728" s="162" t="s">
        <v>127</v>
      </c>
      <c r="O3728" s="164"/>
      <c r="P3728" s="164">
        <f>D3728+10</f>
        <v>10</v>
      </c>
      <c r="Q3728" s="165">
        <f t="shared" si="2"/>
        <v>0</v>
      </c>
      <c r="R3728" s="167" t="s">
        <v>4511</v>
      </c>
      <c r="S3728" s="167"/>
      <c r="T3728" s="168">
        <f t="shared" si="3"/>
        <v>0</v>
      </c>
      <c r="U3728" s="168">
        <f t="shared" si="4"/>
        <v>0</v>
      </c>
      <c r="V3728" s="168">
        <f t="shared" si="5"/>
        <v>0</v>
      </c>
      <c r="W3728" s="168">
        <f t="shared" si="6"/>
        <v>0</v>
      </c>
      <c r="X3728" s="168">
        <f t="shared" si="7"/>
        <v>0</v>
      </c>
      <c r="Y3728" s="168">
        <f t="shared" si="8"/>
        <v>0</v>
      </c>
      <c r="Z3728" s="168">
        <f t="shared" si="9"/>
        <v>0</v>
      </c>
    </row>
    <row r="3729" ht="15.0" customHeight="1">
      <c r="A3729" s="157" t="s">
        <v>4689</v>
      </c>
      <c r="B3729" s="158" t="s">
        <v>27</v>
      </c>
      <c r="C3729" s="158" t="s">
        <v>4690</v>
      </c>
      <c r="D3729" s="159">
        <v>44974.0</v>
      </c>
      <c r="E3729" s="157" t="s">
        <v>731</v>
      </c>
      <c r="F3729" s="160">
        <v>188134.78</v>
      </c>
      <c r="G3729" s="160">
        <f>'FACP$'!$F3729*0.16</f>
        <v>30101.5648</v>
      </c>
      <c r="H3729" s="160">
        <f t="shared" si="122"/>
        <v>218236.3448</v>
      </c>
      <c r="I3729" s="160"/>
      <c r="J3729" s="161"/>
      <c r="K3729" s="160"/>
      <c r="L3729" s="160">
        <f>+'FACP$'!$H3729-'FACP$'!$I3729-'FACP$'!$K3729</f>
        <v>218236.3448</v>
      </c>
      <c r="M3729" s="162" t="s">
        <v>151</v>
      </c>
      <c r="N3729" s="162" t="s">
        <v>554</v>
      </c>
      <c r="O3729" s="164">
        <v>44998.0</v>
      </c>
      <c r="P3729" s="164">
        <f t="array" ref="P3729">XLOOKUP('FACP$'!$B3729,'perfil de pagos'!$A$4:$A$46,'perfil de pagos'!$B$4:$B$46+'FACP$'!$D3729)</f>
        <v>45004</v>
      </c>
      <c r="Q3729" s="165">
        <f t="shared" si="2"/>
        <v>0</v>
      </c>
      <c r="R3729" s="167"/>
      <c r="S3729" s="167">
        <v>2013.0</v>
      </c>
      <c r="T3729" s="168">
        <f t="shared" si="3"/>
        <v>218236.3448</v>
      </c>
      <c r="U3729" s="168">
        <f t="shared" si="4"/>
        <v>0</v>
      </c>
      <c r="V3729" s="168">
        <f t="shared" si="5"/>
        <v>0</v>
      </c>
      <c r="W3729" s="168">
        <f t="shared" si="6"/>
        <v>0</v>
      </c>
      <c r="X3729" s="168">
        <f t="shared" si="7"/>
        <v>0</v>
      </c>
      <c r="Y3729" s="168">
        <f t="shared" si="8"/>
        <v>0</v>
      </c>
      <c r="Z3729" s="168">
        <f t="shared" si="9"/>
        <v>0</v>
      </c>
    </row>
    <row r="3730" ht="15.0" customHeight="1">
      <c r="A3730" s="157" t="s">
        <v>4691</v>
      </c>
      <c r="B3730" s="158" t="s">
        <v>27</v>
      </c>
      <c r="C3730" s="158" t="s">
        <v>4692</v>
      </c>
      <c r="D3730" s="159">
        <v>44974.0</v>
      </c>
      <c r="E3730" s="157" t="s">
        <v>731</v>
      </c>
      <c r="F3730" s="160">
        <v>8948.57</v>
      </c>
      <c r="G3730" s="160">
        <f>'FACP$'!$F3730*0.16</f>
        <v>1431.7712</v>
      </c>
      <c r="H3730" s="160">
        <f t="shared" si="122"/>
        <v>10380.3412</v>
      </c>
      <c r="I3730" s="160"/>
      <c r="J3730" s="161"/>
      <c r="K3730" s="160"/>
      <c r="L3730" s="160">
        <f>+'FACP$'!$H3730-'FACP$'!$I3730-'FACP$'!$K3730</f>
        <v>10380.3412</v>
      </c>
      <c r="M3730" s="162" t="s">
        <v>151</v>
      </c>
      <c r="N3730" s="162" t="s">
        <v>554</v>
      </c>
      <c r="O3730" s="164">
        <v>44985.0</v>
      </c>
      <c r="P3730" s="164">
        <f t="array" ref="P3730">XLOOKUP('FACP$'!$B3730,'perfil de pagos'!$A$4:$A$46,'perfil de pagos'!$B$4:$B$46+'FACP$'!$D3730)</f>
        <v>45004</v>
      </c>
      <c r="Q3730" s="165">
        <f t="shared" si="2"/>
        <v>0</v>
      </c>
      <c r="R3730" s="167"/>
      <c r="S3730" s="167">
        <v>2001.0</v>
      </c>
      <c r="T3730" s="168">
        <f t="shared" si="3"/>
        <v>10380.3412</v>
      </c>
      <c r="U3730" s="168">
        <f t="shared" si="4"/>
        <v>0</v>
      </c>
      <c r="V3730" s="168">
        <f t="shared" si="5"/>
        <v>0</v>
      </c>
      <c r="W3730" s="168">
        <f t="shared" si="6"/>
        <v>0</v>
      </c>
      <c r="X3730" s="168">
        <f t="shared" si="7"/>
        <v>0</v>
      </c>
      <c r="Y3730" s="168">
        <f t="shared" si="8"/>
        <v>0</v>
      </c>
      <c r="Z3730" s="168">
        <f t="shared" si="9"/>
        <v>0</v>
      </c>
    </row>
    <row r="3731" ht="15.0" customHeight="1">
      <c r="A3731" s="157" t="s">
        <v>4693</v>
      </c>
      <c r="B3731" s="158" t="s">
        <v>27</v>
      </c>
      <c r="C3731" s="158" t="s">
        <v>4694</v>
      </c>
      <c r="D3731" s="159">
        <v>44974.0</v>
      </c>
      <c r="E3731" s="157" t="s">
        <v>731</v>
      </c>
      <c r="F3731" s="160">
        <v>10748.25</v>
      </c>
      <c r="G3731" s="160">
        <f>'FACP$'!$F3731*0.16</f>
        <v>1719.72</v>
      </c>
      <c r="H3731" s="160">
        <f t="shared" si="122"/>
        <v>12467.97</v>
      </c>
      <c r="I3731" s="160"/>
      <c r="J3731" s="161"/>
      <c r="K3731" s="160"/>
      <c r="L3731" s="160">
        <f>+'FACP$'!$H3731-'FACP$'!$I3731-'FACP$'!$K3731</f>
        <v>12467.97</v>
      </c>
      <c r="M3731" s="162" t="s">
        <v>151</v>
      </c>
      <c r="N3731" s="162" t="s">
        <v>554</v>
      </c>
      <c r="O3731" s="164">
        <v>44998.0</v>
      </c>
      <c r="P3731" s="164">
        <f t="array" ref="P3731">XLOOKUP('FACP$'!$B3731,'perfil de pagos'!$A$4:$A$46,'perfil de pagos'!$B$4:$B$46+'FACP$'!$D3731)</f>
        <v>45004</v>
      </c>
      <c r="Q3731" s="165">
        <f t="shared" si="2"/>
        <v>0</v>
      </c>
      <c r="R3731" s="167"/>
      <c r="S3731" s="167">
        <v>2013.0</v>
      </c>
      <c r="T3731" s="168">
        <f t="shared" si="3"/>
        <v>12467.97</v>
      </c>
      <c r="U3731" s="168">
        <f t="shared" si="4"/>
        <v>0</v>
      </c>
      <c r="V3731" s="168">
        <f t="shared" si="5"/>
        <v>0</v>
      </c>
      <c r="W3731" s="168">
        <f t="shared" si="6"/>
        <v>0</v>
      </c>
      <c r="X3731" s="168">
        <f t="shared" si="7"/>
        <v>0</v>
      </c>
      <c r="Y3731" s="168">
        <f t="shared" si="8"/>
        <v>0</v>
      </c>
      <c r="Z3731" s="168">
        <f t="shared" si="9"/>
        <v>0</v>
      </c>
    </row>
    <row r="3732" ht="15.0" customHeight="1">
      <c r="A3732" s="157" t="s">
        <v>4695</v>
      </c>
      <c r="B3732" s="158" t="s">
        <v>27</v>
      </c>
      <c r="C3732" s="158" t="s">
        <v>4687</v>
      </c>
      <c r="D3732" s="159">
        <v>44974.0</v>
      </c>
      <c r="E3732" s="157" t="s">
        <v>731</v>
      </c>
      <c r="F3732" s="160">
        <v>184781.64</v>
      </c>
      <c r="G3732" s="160">
        <f>'FACP$'!$F3732*0.16</f>
        <v>29565.0624</v>
      </c>
      <c r="H3732" s="160">
        <f t="shared" si="122"/>
        <v>214346.7024</v>
      </c>
      <c r="I3732" s="160"/>
      <c r="J3732" s="161"/>
      <c r="K3732" s="160"/>
      <c r="L3732" s="160">
        <f>+'FACP$'!$H3732-'FACP$'!$I3732-'FACP$'!$K3732</f>
        <v>214346.7024</v>
      </c>
      <c r="M3732" s="162" t="s">
        <v>158</v>
      </c>
      <c r="N3732" s="162" t="s">
        <v>554</v>
      </c>
      <c r="O3732" s="164">
        <v>44985.0</v>
      </c>
      <c r="P3732" s="164">
        <f t="array" ref="P3732">XLOOKUP('FACP$'!$B3732,'perfil de pagos'!$A$4:$A$46,'perfil de pagos'!$B$4:$B$46+'FACP$'!$D3732)</f>
        <v>45004</v>
      </c>
      <c r="Q3732" s="165">
        <f t="shared" si="2"/>
        <v>0</v>
      </c>
      <c r="R3732" s="167"/>
      <c r="S3732" s="167">
        <v>2000.0</v>
      </c>
      <c r="T3732" s="168">
        <f t="shared" si="3"/>
        <v>214346.7024</v>
      </c>
      <c r="U3732" s="168">
        <f t="shared" si="4"/>
        <v>0</v>
      </c>
      <c r="V3732" s="168">
        <f t="shared" si="5"/>
        <v>0</v>
      </c>
      <c r="W3732" s="168">
        <f t="shared" si="6"/>
        <v>0</v>
      </c>
      <c r="X3732" s="168">
        <f t="shared" si="7"/>
        <v>0</v>
      </c>
      <c r="Y3732" s="168">
        <f t="shared" si="8"/>
        <v>0</v>
      </c>
      <c r="Z3732" s="168">
        <f t="shared" si="9"/>
        <v>0</v>
      </c>
    </row>
    <row r="3733" ht="15.0" customHeight="1">
      <c r="A3733" s="157" t="s">
        <v>4696</v>
      </c>
      <c r="B3733" s="158" t="s">
        <v>27</v>
      </c>
      <c r="C3733" s="158" t="s">
        <v>4690</v>
      </c>
      <c r="D3733" s="159">
        <v>44974.0</v>
      </c>
      <c r="E3733" s="157" t="s">
        <v>731</v>
      </c>
      <c r="F3733" s="160">
        <v>162128.62</v>
      </c>
      <c r="G3733" s="160">
        <f>'FACP$'!$F3733*0.16</f>
        <v>25940.5792</v>
      </c>
      <c r="H3733" s="160">
        <f t="shared" si="122"/>
        <v>188069.1992</v>
      </c>
      <c r="I3733" s="160"/>
      <c r="J3733" s="161"/>
      <c r="K3733" s="160"/>
      <c r="L3733" s="160">
        <f>+'FACP$'!$H3733-'FACP$'!$I3733-'FACP$'!$K3733</f>
        <v>188069.1992</v>
      </c>
      <c r="M3733" s="162" t="s">
        <v>158</v>
      </c>
      <c r="N3733" s="162" t="s">
        <v>554</v>
      </c>
      <c r="O3733" s="164">
        <v>44998.0</v>
      </c>
      <c r="P3733" s="164">
        <f t="array" ref="P3733">XLOOKUP('FACP$'!$B3733,'perfil de pagos'!$A$4:$A$46,'perfil de pagos'!$B$4:$B$46+'FACP$'!$D3733)</f>
        <v>45004</v>
      </c>
      <c r="Q3733" s="165">
        <f t="shared" si="2"/>
        <v>0</v>
      </c>
      <c r="R3733" s="167"/>
      <c r="S3733" s="167">
        <v>2014.0</v>
      </c>
      <c r="T3733" s="168">
        <f t="shared" si="3"/>
        <v>188069.1992</v>
      </c>
      <c r="U3733" s="168">
        <f t="shared" si="4"/>
        <v>0</v>
      </c>
      <c r="V3733" s="168">
        <f t="shared" si="5"/>
        <v>0</v>
      </c>
      <c r="W3733" s="168">
        <f t="shared" si="6"/>
        <v>0</v>
      </c>
      <c r="X3733" s="168">
        <f t="shared" si="7"/>
        <v>0</v>
      </c>
      <c r="Y3733" s="168">
        <f t="shared" si="8"/>
        <v>0</v>
      </c>
      <c r="Z3733" s="168">
        <f t="shared" si="9"/>
        <v>0</v>
      </c>
      <c r="AA3733" s="81"/>
      <c r="AB3733" s="81"/>
      <c r="AC3733" s="81"/>
    </row>
    <row r="3734" ht="15.0" customHeight="1">
      <c r="A3734" s="157" t="s">
        <v>4697</v>
      </c>
      <c r="B3734" s="158" t="s">
        <v>43</v>
      </c>
      <c r="C3734" s="158" t="s">
        <v>4698</v>
      </c>
      <c r="D3734" s="159">
        <v>44977.0</v>
      </c>
      <c r="E3734" s="157" t="s">
        <v>731</v>
      </c>
      <c r="F3734" s="160">
        <v>1180796.64</v>
      </c>
      <c r="G3734" s="160">
        <f>'FACP$'!$F3734*0.16</f>
        <v>188927.4624</v>
      </c>
      <c r="H3734" s="160">
        <f t="shared" si="122"/>
        <v>1369724.102</v>
      </c>
      <c r="I3734" s="160"/>
      <c r="J3734" s="161"/>
      <c r="K3734" s="160"/>
      <c r="L3734" s="160">
        <f>+'FACP$'!$H3734-'FACP$'!$I3734-'FACP$'!$K3734</f>
        <v>1369724.102</v>
      </c>
      <c r="M3734" s="162" t="s">
        <v>43</v>
      </c>
      <c r="N3734" s="162" t="s">
        <v>554</v>
      </c>
      <c r="O3734" s="164">
        <v>45002.0</v>
      </c>
      <c r="P3734" s="164">
        <f t="array" ref="P3734">XLOOKUP('FACP$'!$B3734,'perfil de pagos'!$A$4:$A$46,'perfil de pagos'!$B$4:$B$46+'FACP$'!$D3734)</f>
        <v>45002</v>
      </c>
      <c r="Q3734" s="165">
        <f t="shared" si="2"/>
        <v>0</v>
      </c>
      <c r="R3734" s="167" t="s">
        <v>4699</v>
      </c>
      <c r="S3734" s="167">
        <v>2034.0</v>
      </c>
      <c r="T3734" s="168">
        <f t="shared" si="3"/>
        <v>1369724.102</v>
      </c>
      <c r="U3734" s="168">
        <f t="shared" si="4"/>
        <v>0</v>
      </c>
      <c r="V3734" s="168">
        <f t="shared" si="5"/>
        <v>0</v>
      </c>
      <c r="W3734" s="168">
        <f t="shared" si="6"/>
        <v>0</v>
      </c>
      <c r="X3734" s="168">
        <f t="shared" si="7"/>
        <v>0</v>
      </c>
      <c r="Y3734" s="168">
        <f t="shared" si="8"/>
        <v>0</v>
      </c>
      <c r="Z3734" s="168">
        <f t="shared" si="9"/>
        <v>0</v>
      </c>
      <c r="AA3734" s="81"/>
      <c r="AB3734" s="81"/>
      <c r="AC3734" s="81"/>
    </row>
    <row r="3735" ht="15.0" customHeight="1">
      <c r="A3735" s="157" t="s">
        <v>4700</v>
      </c>
      <c r="B3735" s="158" t="s">
        <v>15</v>
      </c>
      <c r="C3735" s="158" t="s">
        <v>4698</v>
      </c>
      <c r="D3735" s="159">
        <v>44977.0</v>
      </c>
      <c r="E3735" s="157" t="s">
        <v>731</v>
      </c>
      <c r="F3735" s="160">
        <v>1006186.1</v>
      </c>
      <c r="G3735" s="160">
        <f>'FACP$'!$F3735*0.16</f>
        <v>160989.776</v>
      </c>
      <c r="H3735" s="160">
        <f t="shared" si="122"/>
        <v>1167175.876</v>
      </c>
      <c r="I3735" s="160"/>
      <c r="J3735" s="161"/>
      <c r="K3735" s="160"/>
      <c r="L3735" s="160">
        <f>+'FACP$'!$H3735-'FACP$'!$I3735-'FACP$'!$K3735</f>
        <v>1167175.876</v>
      </c>
      <c r="M3735" s="162" t="s">
        <v>443</v>
      </c>
      <c r="N3735" s="162" t="s">
        <v>554</v>
      </c>
      <c r="O3735" s="164">
        <v>45002.0</v>
      </c>
      <c r="P3735" s="164">
        <f t="array" ref="P3735">XLOOKUP('FACP$'!$B3735,'perfil de pagos'!$A$4:$A$46,'perfil de pagos'!$B$4:$B$46+'FACP$'!$D3735)</f>
        <v>44987</v>
      </c>
      <c r="Q3735" s="165">
        <f t="shared" si="2"/>
        <v>0</v>
      </c>
      <c r="R3735" s="167"/>
      <c r="S3735" s="167">
        <v>2033.0</v>
      </c>
      <c r="T3735" s="168">
        <f t="shared" si="3"/>
        <v>1167175.876</v>
      </c>
      <c r="U3735" s="168">
        <f t="shared" si="4"/>
        <v>0</v>
      </c>
      <c r="V3735" s="168">
        <f t="shared" si="5"/>
        <v>0</v>
      </c>
      <c r="W3735" s="168">
        <f t="shared" si="6"/>
        <v>0</v>
      </c>
      <c r="X3735" s="168">
        <f t="shared" si="7"/>
        <v>0</v>
      </c>
      <c r="Y3735" s="168">
        <f t="shared" si="8"/>
        <v>0</v>
      </c>
      <c r="Z3735" s="168">
        <f t="shared" si="9"/>
        <v>0</v>
      </c>
    </row>
    <row r="3736" ht="15.0" customHeight="1">
      <c r="A3736" s="157" t="s">
        <v>4701</v>
      </c>
      <c r="B3736" s="158" t="s">
        <v>41</v>
      </c>
      <c r="C3736" s="158" t="s">
        <v>4698</v>
      </c>
      <c r="D3736" s="159">
        <v>44977.0</v>
      </c>
      <c r="E3736" s="157" t="s">
        <v>731</v>
      </c>
      <c r="F3736" s="160">
        <v>714670.66</v>
      </c>
      <c r="G3736" s="160">
        <f>'FACP$'!$F3736*0.16</f>
        <v>114347.3056</v>
      </c>
      <c r="H3736" s="160">
        <f t="shared" si="122"/>
        <v>829017.9656</v>
      </c>
      <c r="I3736" s="160"/>
      <c r="J3736" s="161"/>
      <c r="K3736" s="160"/>
      <c r="L3736" s="160">
        <f>+'FACP$'!$H3736-'FACP$'!$I3736-'FACP$'!$K3736</f>
        <v>829017.9656</v>
      </c>
      <c r="M3736" s="162" t="s">
        <v>121</v>
      </c>
      <c r="N3736" s="162" t="s">
        <v>554</v>
      </c>
      <c r="O3736" s="164">
        <v>45034.0</v>
      </c>
      <c r="P3736" s="164">
        <f t="array" ref="P3736">XLOOKUP('FACP$'!$B3736,'perfil de pagos'!$A$4:$A$46,'perfil de pagos'!$B$4:$B$46+'FACP$'!$D3736)</f>
        <v>44987</v>
      </c>
      <c r="Q3736" s="165">
        <f t="shared" si="2"/>
        <v>0</v>
      </c>
      <c r="R3736" s="167"/>
      <c r="S3736" s="167">
        <v>2116.0</v>
      </c>
      <c r="T3736" s="168">
        <f t="shared" si="3"/>
        <v>829017.9656</v>
      </c>
      <c r="U3736" s="168">
        <f t="shared" si="4"/>
        <v>0</v>
      </c>
      <c r="V3736" s="168">
        <f t="shared" si="5"/>
        <v>0</v>
      </c>
      <c r="W3736" s="168">
        <f t="shared" si="6"/>
        <v>0</v>
      </c>
      <c r="X3736" s="168">
        <f t="shared" si="7"/>
        <v>0</v>
      </c>
      <c r="Y3736" s="168">
        <f t="shared" si="8"/>
        <v>0</v>
      </c>
      <c r="Z3736" s="168">
        <f t="shared" si="9"/>
        <v>0</v>
      </c>
    </row>
    <row r="3737" ht="15.0" customHeight="1">
      <c r="A3737" s="157" t="s">
        <v>4702</v>
      </c>
      <c r="B3737" s="158" t="s">
        <v>31</v>
      </c>
      <c r="C3737" s="158" t="s">
        <v>4703</v>
      </c>
      <c r="D3737" s="159">
        <v>44979.0</v>
      </c>
      <c r="E3737" s="157" t="s">
        <v>731</v>
      </c>
      <c r="F3737" s="160">
        <v>255484.02</v>
      </c>
      <c r="G3737" s="160">
        <f>'FACP$'!$F3737*0.16</f>
        <v>40877.4432</v>
      </c>
      <c r="H3737" s="160">
        <f t="shared" si="122"/>
        <v>296361.4632</v>
      </c>
      <c r="I3737" s="160"/>
      <c r="J3737" s="161"/>
      <c r="K3737" s="160"/>
      <c r="L3737" s="160">
        <f>+'FACP$'!$H3737-'FACP$'!$I3737-'FACP$'!$K3737</f>
        <v>296361.4632</v>
      </c>
      <c r="M3737" s="162" t="s">
        <v>3183</v>
      </c>
      <c r="N3737" s="162" t="s">
        <v>554</v>
      </c>
      <c r="O3737" s="164">
        <v>45126.0</v>
      </c>
      <c r="P3737" s="164">
        <f t="array" ref="P3737">XLOOKUP('FACP$'!$B3737,'perfil de pagos'!$A$4:$A$46,'perfil de pagos'!$B$4:$B$46+'FACP$'!$D3737)</f>
        <v>44982</v>
      </c>
      <c r="Q3737" s="165">
        <f t="shared" si="2"/>
        <v>0</v>
      </c>
      <c r="R3737" s="220" t="s">
        <v>4583</v>
      </c>
      <c r="S3737" s="167">
        <v>2303.0</v>
      </c>
      <c r="T3737" s="168">
        <f t="shared" si="3"/>
        <v>296361.4632</v>
      </c>
      <c r="U3737" s="168">
        <f t="shared" si="4"/>
        <v>0</v>
      </c>
      <c r="V3737" s="168">
        <f t="shared" si="5"/>
        <v>0</v>
      </c>
      <c r="W3737" s="168">
        <f t="shared" si="6"/>
        <v>0</v>
      </c>
      <c r="X3737" s="168">
        <f t="shared" si="7"/>
        <v>0</v>
      </c>
      <c r="Y3737" s="168">
        <f t="shared" si="8"/>
        <v>0</v>
      </c>
      <c r="Z3737" s="168">
        <f t="shared" si="9"/>
        <v>0</v>
      </c>
    </row>
    <row r="3738" ht="15.0" customHeight="1">
      <c r="A3738" s="157" t="s">
        <v>4704</v>
      </c>
      <c r="B3738" s="158" t="s">
        <v>32</v>
      </c>
      <c r="C3738" s="158" t="s">
        <v>4705</v>
      </c>
      <c r="D3738" s="159">
        <v>44979.0</v>
      </c>
      <c r="E3738" s="157" t="s">
        <v>731</v>
      </c>
      <c r="F3738" s="160">
        <v>76290.04</v>
      </c>
      <c r="G3738" s="160">
        <f>'FACP$'!$F3738*0.16</f>
        <v>12206.4064</v>
      </c>
      <c r="H3738" s="160">
        <f t="shared" si="122"/>
        <v>88496.4464</v>
      </c>
      <c r="I3738" s="160"/>
      <c r="J3738" s="161"/>
      <c r="K3738" s="160"/>
      <c r="L3738" s="160">
        <f>+'FACP$'!$H3738-'FACP$'!$I3738-'FACP$'!$K3738</f>
        <v>88496.4464</v>
      </c>
      <c r="M3738" s="162" t="s">
        <v>395</v>
      </c>
      <c r="N3738" s="162" t="s">
        <v>554</v>
      </c>
      <c r="O3738" s="164">
        <v>45100.0</v>
      </c>
      <c r="P3738" s="164">
        <f t="array" ref="P3738">XLOOKUP('FACP$'!$B3738,'perfil de pagos'!$A$4:$A$46,'perfil de pagos'!$B$4:$B$46+'FACP$'!$D3738)</f>
        <v>44989</v>
      </c>
      <c r="Q3738" s="165">
        <f t="shared" si="2"/>
        <v>0</v>
      </c>
      <c r="R3738" s="167"/>
      <c r="S3738" s="167">
        <v>2231.0</v>
      </c>
      <c r="T3738" s="168">
        <f t="shared" si="3"/>
        <v>88496.4464</v>
      </c>
      <c r="U3738" s="168">
        <f t="shared" si="4"/>
        <v>0</v>
      </c>
      <c r="V3738" s="168">
        <f t="shared" si="5"/>
        <v>0</v>
      </c>
      <c r="W3738" s="168">
        <f t="shared" si="6"/>
        <v>0</v>
      </c>
      <c r="X3738" s="168">
        <f t="shared" si="7"/>
        <v>0</v>
      </c>
      <c r="Y3738" s="168">
        <f t="shared" si="8"/>
        <v>0</v>
      </c>
      <c r="Z3738" s="168">
        <f t="shared" si="9"/>
        <v>0</v>
      </c>
    </row>
    <row r="3739" ht="15.0" customHeight="1">
      <c r="A3739" s="157" t="s">
        <v>4706</v>
      </c>
      <c r="B3739" s="158" t="s">
        <v>38</v>
      </c>
      <c r="C3739" s="158" t="s">
        <v>4698</v>
      </c>
      <c r="D3739" s="159">
        <v>44984.0</v>
      </c>
      <c r="E3739" s="157" t="s">
        <v>731</v>
      </c>
      <c r="F3739" s="160">
        <v>15090.74</v>
      </c>
      <c r="G3739" s="160">
        <f>'FACP$'!$F3739*0.16</f>
        <v>2414.5184</v>
      </c>
      <c r="H3739" s="160">
        <f t="shared" si="122"/>
        <v>17505.2584</v>
      </c>
      <c r="I3739" s="160"/>
      <c r="J3739" s="161"/>
      <c r="K3739" s="160"/>
      <c r="L3739" s="160">
        <f>+'FACP$'!$H3739-'FACP$'!$I3739-'FACP$'!$K3739</f>
        <v>17505.2584</v>
      </c>
      <c r="M3739" s="162" t="s">
        <v>4707</v>
      </c>
      <c r="N3739" s="162" t="s">
        <v>554</v>
      </c>
      <c r="O3739" s="164">
        <v>45030.0</v>
      </c>
      <c r="P3739" s="164">
        <f t="array" ref="P3739">XLOOKUP('FACP$'!$B3739,'perfil de pagos'!$A$4:$A$46,'perfil de pagos'!$B$4:$B$46+'FACP$'!$D3739)</f>
        <v>45014</v>
      </c>
      <c r="Q3739" s="165">
        <f t="shared" si="2"/>
        <v>0</v>
      </c>
      <c r="R3739" s="167"/>
      <c r="S3739" s="167">
        <v>2097.0</v>
      </c>
      <c r="T3739" s="168">
        <f t="shared" si="3"/>
        <v>17505.2584</v>
      </c>
      <c r="U3739" s="168">
        <f t="shared" si="4"/>
        <v>0</v>
      </c>
      <c r="V3739" s="168">
        <f t="shared" si="5"/>
        <v>0</v>
      </c>
      <c r="W3739" s="168">
        <f t="shared" si="6"/>
        <v>0</v>
      </c>
      <c r="X3739" s="168">
        <f t="shared" si="7"/>
        <v>0</v>
      </c>
      <c r="Y3739" s="168">
        <f t="shared" si="8"/>
        <v>0</v>
      </c>
      <c r="Z3739" s="168">
        <f t="shared" si="9"/>
        <v>0</v>
      </c>
    </row>
    <row r="3740" ht="15.0" customHeight="1">
      <c r="A3740" s="157" t="s">
        <v>4708</v>
      </c>
      <c r="B3740" s="158" t="s">
        <v>38</v>
      </c>
      <c r="C3740" s="158" t="s">
        <v>4698</v>
      </c>
      <c r="D3740" s="159">
        <v>44984.0</v>
      </c>
      <c r="E3740" s="157" t="s">
        <v>731</v>
      </c>
      <c r="F3740" s="160">
        <v>80139.41</v>
      </c>
      <c r="G3740" s="160">
        <f>'FACP$'!$F3740*0.16</f>
        <v>12822.3056</v>
      </c>
      <c r="H3740" s="160">
        <f t="shared" si="122"/>
        <v>92961.7156</v>
      </c>
      <c r="I3740" s="160"/>
      <c r="J3740" s="161"/>
      <c r="K3740" s="160"/>
      <c r="L3740" s="160">
        <f>+'FACP$'!$H3740-'FACP$'!$I3740-'FACP$'!$K3740</f>
        <v>92961.7156</v>
      </c>
      <c r="M3740" s="162" t="s">
        <v>4654</v>
      </c>
      <c r="N3740" s="162" t="s">
        <v>554</v>
      </c>
      <c r="O3740" s="164">
        <v>45030.0</v>
      </c>
      <c r="P3740" s="164">
        <f t="array" ref="P3740">XLOOKUP('FACP$'!$B3740,'perfil de pagos'!$A$4:$A$46,'perfil de pagos'!$B$4:$B$46+'FACP$'!$D3740)</f>
        <v>45014</v>
      </c>
      <c r="Q3740" s="165">
        <f t="shared" si="2"/>
        <v>0</v>
      </c>
      <c r="R3740" s="167"/>
      <c r="S3740" s="167">
        <v>2097.0</v>
      </c>
      <c r="T3740" s="168">
        <f t="shared" si="3"/>
        <v>92961.7156</v>
      </c>
      <c r="U3740" s="168">
        <f t="shared" si="4"/>
        <v>0</v>
      </c>
      <c r="V3740" s="168">
        <f t="shared" si="5"/>
        <v>0</v>
      </c>
      <c r="W3740" s="168">
        <f t="shared" si="6"/>
        <v>0</v>
      </c>
      <c r="X3740" s="168">
        <f t="shared" si="7"/>
        <v>0</v>
      </c>
      <c r="Y3740" s="168">
        <f t="shared" si="8"/>
        <v>0</v>
      </c>
      <c r="Z3740" s="168">
        <f t="shared" si="9"/>
        <v>0</v>
      </c>
    </row>
    <row r="3741" ht="15.0" customHeight="1">
      <c r="A3741" s="157" t="s">
        <v>4709</v>
      </c>
      <c r="B3741" s="158" t="s">
        <v>37</v>
      </c>
      <c r="C3741" s="158" t="s">
        <v>4698</v>
      </c>
      <c r="D3741" s="159">
        <v>44984.0</v>
      </c>
      <c r="E3741" s="157" t="s">
        <v>731</v>
      </c>
      <c r="F3741" s="160">
        <v>1224753.88</v>
      </c>
      <c r="G3741" s="160">
        <f>'FACP$'!$F3741*0.16</f>
        <v>195960.6208</v>
      </c>
      <c r="H3741" s="160">
        <f t="shared" si="122"/>
        <v>1420714.501</v>
      </c>
      <c r="I3741" s="160"/>
      <c r="J3741" s="161"/>
      <c r="K3741" s="160"/>
      <c r="L3741" s="160">
        <f>+'FACP$'!$H3741-'FACP$'!$I3741-'FACP$'!$K3741</f>
        <v>1420714.501</v>
      </c>
      <c r="M3741" s="162" t="s">
        <v>116</v>
      </c>
      <c r="N3741" s="162" t="s">
        <v>554</v>
      </c>
      <c r="O3741" s="164">
        <v>44991.0</v>
      </c>
      <c r="P3741" s="164">
        <f t="array" ref="P3741">XLOOKUP('FACP$'!$B3741,'perfil de pagos'!$A$4:$A$46,'perfil de pagos'!$B$4:$B$46+'FACP$'!$D3741)</f>
        <v>44994</v>
      </c>
      <c r="Q3741" s="165">
        <f t="shared" si="2"/>
        <v>0</v>
      </c>
      <c r="R3741" s="167"/>
      <c r="S3741" s="167">
        <v>2006.0</v>
      </c>
      <c r="T3741" s="168">
        <f t="shared" si="3"/>
        <v>1420714.501</v>
      </c>
      <c r="U3741" s="168">
        <f t="shared" si="4"/>
        <v>0</v>
      </c>
      <c r="V3741" s="168">
        <f t="shared" si="5"/>
        <v>0</v>
      </c>
      <c r="W3741" s="168">
        <f t="shared" si="6"/>
        <v>0</v>
      </c>
      <c r="X3741" s="168">
        <f t="shared" si="7"/>
        <v>0</v>
      </c>
      <c r="Y3741" s="168">
        <f t="shared" si="8"/>
        <v>0</v>
      </c>
      <c r="Z3741" s="168">
        <f t="shared" si="9"/>
        <v>0</v>
      </c>
    </row>
    <row r="3742" ht="15.0" customHeight="1">
      <c r="A3742" s="157" t="s">
        <v>4710</v>
      </c>
      <c r="B3742" s="158" t="s">
        <v>38</v>
      </c>
      <c r="C3742" s="158" t="s">
        <v>4711</v>
      </c>
      <c r="D3742" s="159">
        <v>44984.0</v>
      </c>
      <c r="E3742" s="157" t="s">
        <v>731</v>
      </c>
      <c r="F3742" s="160">
        <v>30557.0</v>
      </c>
      <c r="G3742" s="160">
        <f>'FACP$'!$F3742*0.16</f>
        <v>4889.12</v>
      </c>
      <c r="H3742" s="160">
        <f t="shared" si="122"/>
        <v>35446.12</v>
      </c>
      <c r="I3742" s="160"/>
      <c r="J3742" s="161"/>
      <c r="K3742" s="160"/>
      <c r="L3742" s="160">
        <f>+'FACP$'!$H3742-'FACP$'!$I3742-'FACP$'!$K3742</f>
        <v>35446.12</v>
      </c>
      <c r="M3742" s="162" t="s">
        <v>4707</v>
      </c>
      <c r="N3742" s="162" t="s">
        <v>554</v>
      </c>
      <c r="O3742" s="164">
        <v>45030.0</v>
      </c>
      <c r="P3742" s="164">
        <f t="array" ref="P3742">XLOOKUP('FACP$'!$B3742,'perfil de pagos'!$A$4:$A$46,'perfil de pagos'!$B$4:$B$46+'FACP$'!$D3742)</f>
        <v>45014</v>
      </c>
      <c r="Q3742" s="165">
        <f t="shared" si="2"/>
        <v>0</v>
      </c>
      <c r="R3742" s="167"/>
      <c r="S3742" s="167">
        <v>2097.0</v>
      </c>
      <c r="T3742" s="168">
        <f t="shared" si="3"/>
        <v>35446.12</v>
      </c>
      <c r="U3742" s="168">
        <f t="shared" si="4"/>
        <v>0</v>
      </c>
      <c r="V3742" s="168">
        <f t="shared" si="5"/>
        <v>0</v>
      </c>
      <c r="W3742" s="168">
        <f t="shared" si="6"/>
        <v>0</v>
      </c>
      <c r="X3742" s="168">
        <f t="shared" si="7"/>
        <v>0</v>
      </c>
      <c r="Y3742" s="168">
        <f t="shared" si="8"/>
        <v>0</v>
      </c>
      <c r="Z3742" s="168">
        <f t="shared" si="9"/>
        <v>0</v>
      </c>
      <c r="AA3742" s="81"/>
      <c r="AB3742" s="81"/>
      <c r="AC3742" s="81"/>
    </row>
    <row r="3743" ht="15.0" customHeight="1">
      <c r="A3743" s="157" t="s">
        <v>4712</v>
      </c>
      <c r="B3743" s="158" t="s">
        <v>27</v>
      </c>
      <c r="C3743" s="158" t="s">
        <v>4713</v>
      </c>
      <c r="D3743" s="159">
        <v>44985.0</v>
      </c>
      <c r="E3743" s="157" t="s">
        <v>731</v>
      </c>
      <c r="F3743" s="160">
        <v>145779.78</v>
      </c>
      <c r="G3743" s="160">
        <f>'FACP$'!$F3743*0.16</f>
        <v>23324.7648</v>
      </c>
      <c r="H3743" s="160">
        <f t="shared" si="122"/>
        <v>169104.5448</v>
      </c>
      <c r="I3743" s="160"/>
      <c r="J3743" s="161"/>
      <c r="K3743" s="160"/>
      <c r="L3743" s="160">
        <f>+'FACP$'!$H3743-'FACP$'!$I3743-'FACP$'!$K3743</f>
        <v>169104.5448</v>
      </c>
      <c r="M3743" s="162" t="s">
        <v>158</v>
      </c>
      <c r="N3743" s="162" t="s">
        <v>554</v>
      </c>
      <c r="O3743" s="164">
        <v>45002.0</v>
      </c>
      <c r="P3743" s="164">
        <f t="array" ref="P3743">XLOOKUP('FACP$'!$B3743,'perfil de pagos'!$A$4:$A$46,'perfil de pagos'!$B$4:$B$46+'FACP$'!$D3743)</f>
        <v>45015</v>
      </c>
      <c r="Q3743" s="165">
        <f t="shared" si="2"/>
        <v>0</v>
      </c>
      <c r="R3743" s="167"/>
      <c r="S3743" s="167">
        <v>2035.0</v>
      </c>
      <c r="T3743" s="168">
        <f t="shared" si="3"/>
        <v>169104.5448</v>
      </c>
      <c r="U3743" s="168">
        <f t="shared" si="4"/>
        <v>0</v>
      </c>
      <c r="V3743" s="168">
        <f t="shared" si="5"/>
        <v>0</v>
      </c>
      <c r="W3743" s="168">
        <f t="shared" si="6"/>
        <v>0</v>
      </c>
      <c r="X3743" s="168">
        <f t="shared" si="7"/>
        <v>0</v>
      </c>
      <c r="Y3743" s="168">
        <f t="shared" si="8"/>
        <v>0</v>
      </c>
      <c r="Z3743" s="168">
        <f t="shared" si="9"/>
        <v>0</v>
      </c>
      <c r="AA3743" s="81"/>
      <c r="AB3743" s="81"/>
      <c r="AC3743" s="81"/>
    </row>
    <row r="3744" ht="15.0" customHeight="1">
      <c r="A3744" s="157" t="s">
        <v>4714</v>
      </c>
      <c r="B3744" s="158" t="s">
        <v>27</v>
      </c>
      <c r="C3744" s="158" t="s">
        <v>4715</v>
      </c>
      <c r="D3744" s="159">
        <v>44985.0</v>
      </c>
      <c r="E3744" s="157" t="s">
        <v>731</v>
      </c>
      <c r="F3744" s="160">
        <v>135685.32</v>
      </c>
      <c r="G3744" s="160">
        <f>'FACP$'!$F3744*0.16</f>
        <v>21709.6512</v>
      </c>
      <c r="H3744" s="160">
        <f t="shared" si="122"/>
        <v>157394.9712</v>
      </c>
      <c r="I3744" s="160"/>
      <c r="J3744" s="161"/>
      <c r="K3744" s="160"/>
      <c r="L3744" s="160">
        <f>+'FACP$'!$H3744-'FACP$'!$I3744-'FACP$'!$K3744</f>
        <v>157394.9712</v>
      </c>
      <c r="M3744" s="162" t="s">
        <v>158</v>
      </c>
      <c r="N3744" s="162" t="s">
        <v>554</v>
      </c>
      <c r="O3744" s="164">
        <v>45002.0</v>
      </c>
      <c r="P3744" s="164">
        <f t="array" ref="P3744">XLOOKUP('FACP$'!$B3744,'perfil de pagos'!$A$4:$A$46,'perfil de pagos'!$B$4:$B$46+'FACP$'!$D3744)</f>
        <v>45015</v>
      </c>
      <c r="Q3744" s="165">
        <f t="shared" si="2"/>
        <v>0</v>
      </c>
      <c r="R3744" s="167"/>
      <c r="S3744" s="167">
        <v>2035.0</v>
      </c>
      <c r="T3744" s="168">
        <f t="shared" si="3"/>
        <v>157394.9712</v>
      </c>
      <c r="U3744" s="168">
        <f t="shared" si="4"/>
        <v>0</v>
      </c>
      <c r="V3744" s="168">
        <f t="shared" si="5"/>
        <v>0</v>
      </c>
      <c r="W3744" s="168">
        <f t="shared" si="6"/>
        <v>0</v>
      </c>
      <c r="X3744" s="168">
        <f t="shared" si="7"/>
        <v>0</v>
      </c>
      <c r="Y3744" s="168">
        <f t="shared" si="8"/>
        <v>0</v>
      </c>
      <c r="Z3744" s="168">
        <f t="shared" si="9"/>
        <v>0</v>
      </c>
    </row>
    <row r="3745" ht="15.0" customHeight="1">
      <c r="A3745" s="157" t="s">
        <v>4716</v>
      </c>
      <c r="B3745" s="158" t="s">
        <v>27</v>
      </c>
      <c r="C3745" s="158" t="s">
        <v>4713</v>
      </c>
      <c r="D3745" s="159">
        <v>44985.0</v>
      </c>
      <c r="E3745" s="157" t="s">
        <v>731</v>
      </c>
      <c r="F3745" s="160">
        <v>228015.41</v>
      </c>
      <c r="G3745" s="160">
        <f>'FACP$'!$F3745*0.16</f>
        <v>36482.4656</v>
      </c>
      <c r="H3745" s="160">
        <f t="shared" si="122"/>
        <v>264497.8756</v>
      </c>
      <c r="I3745" s="160"/>
      <c r="J3745" s="161"/>
      <c r="K3745" s="160"/>
      <c r="L3745" s="160">
        <f>+'FACP$'!$H3745-'FACP$'!$I3745-'FACP$'!$K3745</f>
        <v>264497.8756</v>
      </c>
      <c r="M3745" s="162" t="s">
        <v>151</v>
      </c>
      <c r="N3745" s="162" t="s">
        <v>554</v>
      </c>
      <c r="O3745" s="164">
        <v>45002.0</v>
      </c>
      <c r="P3745" s="164">
        <f t="array" ref="P3745">XLOOKUP('FACP$'!$B3745,'perfil de pagos'!$A$4:$A$46,'perfil de pagos'!$B$4:$B$46+'FACP$'!$D3745)</f>
        <v>45015</v>
      </c>
      <c r="Q3745" s="165">
        <f t="shared" si="2"/>
        <v>0</v>
      </c>
      <c r="R3745" s="167"/>
      <c r="S3745" s="167">
        <v>2037.0</v>
      </c>
      <c r="T3745" s="168">
        <f t="shared" si="3"/>
        <v>264497.8756</v>
      </c>
      <c r="U3745" s="168">
        <f t="shared" si="4"/>
        <v>0</v>
      </c>
      <c r="V3745" s="168">
        <f t="shared" si="5"/>
        <v>0</v>
      </c>
      <c r="W3745" s="168">
        <f t="shared" si="6"/>
        <v>0</v>
      </c>
      <c r="X3745" s="168">
        <f t="shared" si="7"/>
        <v>0</v>
      </c>
      <c r="Y3745" s="168">
        <f t="shared" si="8"/>
        <v>0</v>
      </c>
      <c r="Z3745" s="168">
        <f t="shared" si="9"/>
        <v>0</v>
      </c>
    </row>
    <row r="3746" ht="15.0" customHeight="1">
      <c r="A3746" s="157" t="s">
        <v>4717</v>
      </c>
      <c r="B3746" s="158" t="s">
        <v>27</v>
      </c>
      <c r="C3746" s="158" t="s">
        <v>4715</v>
      </c>
      <c r="D3746" s="159">
        <v>44985.0</v>
      </c>
      <c r="E3746" s="157" t="s">
        <v>731</v>
      </c>
      <c r="F3746" s="160">
        <v>194519.12</v>
      </c>
      <c r="G3746" s="160">
        <f>'FACP$'!$F3746*0.16</f>
        <v>31123.0592</v>
      </c>
      <c r="H3746" s="160">
        <f t="shared" si="122"/>
        <v>225642.1792</v>
      </c>
      <c r="I3746" s="160"/>
      <c r="J3746" s="161"/>
      <c r="K3746" s="160"/>
      <c r="L3746" s="160">
        <f>+'FACP$'!$H3746-'FACP$'!$I3746-'FACP$'!$K3746</f>
        <v>225642.1792</v>
      </c>
      <c r="M3746" s="162" t="s">
        <v>151</v>
      </c>
      <c r="N3746" s="162" t="s">
        <v>554</v>
      </c>
      <c r="O3746" s="164">
        <v>45002.0</v>
      </c>
      <c r="P3746" s="164">
        <f t="array" ref="P3746">XLOOKUP('FACP$'!$B3746,'perfil de pagos'!$A$4:$A$46,'perfil de pagos'!$B$4:$B$46+'FACP$'!$D3746)</f>
        <v>45015</v>
      </c>
      <c r="Q3746" s="165">
        <f t="shared" si="2"/>
        <v>0</v>
      </c>
      <c r="R3746" s="167"/>
      <c r="S3746" s="167">
        <v>2037.0</v>
      </c>
      <c r="T3746" s="168">
        <f t="shared" si="3"/>
        <v>225642.1792</v>
      </c>
      <c r="U3746" s="168">
        <f t="shared" si="4"/>
        <v>0</v>
      </c>
      <c r="V3746" s="168">
        <f t="shared" si="5"/>
        <v>0</v>
      </c>
      <c r="W3746" s="168">
        <f t="shared" si="6"/>
        <v>0</v>
      </c>
      <c r="X3746" s="168">
        <f t="shared" si="7"/>
        <v>0</v>
      </c>
      <c r="Y3746" s="168">
        <f t="shared" si="8"/>
        <v>0</v>
      </c>
      <c r="Z3746" s="168">
        <f t="shared" si="9"/>
        <v>0</v>
      </c>
    </row>
    <row r="3747" ht="15.0" customHeight="1">
      <c r="A3747" s="157" t="s">
        <v>4718</v>
      </c>
      <c r="B3747" s="158" t="s">
        <v>27</v>
      </c>
      <c r="C3747" s="158" t="s">
        <v>4719</v>
      </c>
      <c r="D3747" s="159">
        <v>44985.0</v>
      </c>
      <c r="E3747" s="157" t="s">
        <v>731</v>
      </c>
      <c r="F3747" s="160">
        <v>8177.53</v>
      </c>
      <c r="G3747" s="160">
        <f>'FACP$'!$F3747*0.16</f>
        <v>1308.4048</v>
      </c>
      <c r="H3747" s="160">
        <f t="shared" si="122"/>
        <v>9485.9348</v>
      </c>
      <c r="I3747" s="160"/>
      <c r="J3747" s="161"/>
      <c r="K3747" s="160"/>
      <c r="L3747" s="160">
        <f>+'FACP$'!$H3747-'FACP$'!$I3747-'FACP$'!$K3747</f>
        <v>9485.9348</v>
      </c>
      <c r="M3747" s="162" t="s">
        <v>151</v>
      </c>
      <c r="N3747" s="162" t="s">
        <v>554</v>
      </c>
      <c r="O3747" s="164">
        <v>45002.0</v>
      </c>
      <c r="P3747" s="164">
        <f t="array" ref="P3747">XLOOKUP('FACP$'!$B3747,'perfil de pagos'!$A$4:$A$46,'perfil de pagos'!$B$4:$B$46+'FACP$'!$D3747)</f>
        <v>45015</v>
      </c>
      <c r="Q3747" s="165">
        <f t="shared" si="2"/>
        <v>0</v>
      </c>
      <c r="R3747" s="167"/>
      <c r="S3747" s="167">
        <v>2037.0</v>
      </c>
      <c r="T3747" s="168">
        <f t="shared" si="3"/>
        <v>9485.9348</v>
      </c>
      <c r="U3747" s="168">
        <f t="shared" si="4"/>
        <v>0</v>
      </c>
      <c r="V3747" s="168">
        <f t="shared" si="5"/>
        <v>0</v>
      </c>
      <c r="W3747" s="168">
        <f t="shared" si="6"/>
        <v>0</v>
      </c>
      <c r="X3747" s="168">
        <f t="shared" si="7"/>
        <v>0</v>
      </c>
      <c r="Y3747" s="168">
        <f t="shared" si="8"/>
        <v>0</v>
      </c>
      <c r="Z3747" s="168">
        <f t="shared" si="9"/>
        <v>0</v>
      </c>
    </row>
    <row r="3748" ht="15.0" customHeight="1">
      <c r="A3748" s="157" t="s">
        <v>4720</v>
      </c>
      <c r="B3748" s="158" t="s">
        <v>27</v>
      </c>
      <c r="C3748" s="158" t="s">
        <v>4721</v>
      </c>
      <c r="D3748" s="159">
        <v>44985.0</v>
      </c>
      <c r="E3748" s="157" t="s">
        <v>731</v>
      </c>
      <c r="F3748" s="160">
        <v>10720.54</v>
      </c>
      <c r="G3748" s="160">
        <f>'FACP$'!$F3748*0.16</f>
        <v>1715.2864</v>
      </c>
      <c r="H3748" s="160">
        <f t="shared" si="122"/>
        <v>12435.8264</v>
      </c>
      <c r="I3748" s="160"/>
      <c r="J3748" s="161"/>
      <c r="K3748" s="160"/>
      <c r="L3748" s="160">
        <f>+'FACP$'!$H3748-'FACP$'!$I3748-'FACP$'!$K3748</f>
        <v>12435.8264</v>
      </c>
      <c r="M3748" s="162" t="s">
        <v>151</v>
      </c>
      <c r="N3748" s="162" t="s">
        <v>554</v>
      </c>
      <c r="O3748" s="164">
        <v>45002.0</v>
      </c>
      <c r="P3748" s="164">
        <f t="array" ref="P3748">XLOOKUP('FACP$'!$B3748,'perfil de pagos'!$A$4:$A$46,'perfil de pagos'!$B$4:$B$46+'FACP$'!$D3748)</f>
        <v>45015</v>
      </c>
      <c r="Q3748" s="165">
        <f t="shared" si="2"/>
        <v>0</v>
      </c>
      <c r="R3748" s="167"/>
      <c r="S3748" s="167">
        <v>2037.0</v>
      </c>
      <c r="T3748" s="168">
        <f t="shared" si="3"/>
        <v>12435.8264</v>
      </c>
      <c r="U3748" s="168">
        <f t="shared" si="4"/>
        <v>0</v>
      </c>
      <c r="V3748" s="168">
        <f t="shared" si="5"/>
        <v>0</v>
      </c>
      <c r="W3748" s="168">
        <f t="shared" si="6"/>
        <v>0</v>
      </c>
      <c r="X3748" s="168">
        <f t="shared" si="7"/>
        <v>0</v>
      </c>
      <c r="Y3748" s="168">
        <f t="shared" si="8"/>
        <v>0</v>
      </c>
      <c r="Z3748" s="168">
        <f t="shared" si="9"/>
        <v>0</v>
      </c>
    </row>
    <row r="3749" ht="15.0" customHeight="1">
      <c r="A3749" s="157" t="s">
        <v>4722</v>
      </c>
      <c r="B3749" s="158" t="s">
        <v>16</v>
      </c>
      <c r="C3749" s="158" t="s">
        <v>4698</v>
      </c>
      <c r="D3749" s="159">
        <v>44985.0</v>
      </c>
      <c r="E3749" s="157" t="s">
        <v>731</v>
      </c>
      <c r="F3749" s="160">
        <v>191065.19</v>
      </c>
      <c r="G3749" s="160">
        <f>'FACP$'!$F3749*0.16</f>
        <v>30570.4304</v>
      </c>
      <c r="H3749" s="160">
        <f t="shared" si="122"/>
        <v>221635.6204</v>
      </c>
      <c r="I3749" s="160"/>
      <c r="J3749" s="161"/>
      <c r="K3749" s="160"/>
      <c r="L3749" s="160">
        <f>+'FACP$'!$H3749-'FACP$'!$I3749-'FACP$'!$K3749</f>
        <v>221635.6204</v>
      </c>
      <c r="M3749" s="162" t="s">
        <v>985</v>
      </c>
      <c r="N3749" s="162" t="s">
        <v>554</v>
      </c>
      <c r="O3749" s="164">
        <v>45012.0</v>
      </c>
      <c r="P3749" s="164">
        <f t="array" ref="P3749">XLOOKUP('FACP$'!$B3749,'perfil de pagos'!$A$4:$A$46,'perfil de pagos'!$B$4:$B$46+'FACP$'!$D3749)</f>
        <v>44995</v>
      </c>
      <c r="Q3749" s="165">
        <f t="shared" si="2"/>
        <v>0</v>
      </c>
      <c r="R3749" s="167"/>
      <c r="S3749" s="167">
        <v>2065.0</v>
      </c>
      <c r="T3749" s="168">
        <f t="shared" si="3"/>
        <v>221635.6204</v>
      </c>
      <c r="U3749" s="168">
        <f t="shared" si="4"/>
        <v>0</v>
      </c>
      <c r="V3749" s="168">
        <f t="shared" si="5"/>
        <v>0</v>
      </c>
      <c r="W3749" s="168">
        <f t="shared" si="6"/>
        <v>0</v>
      </c>
      <c r="X3749" s="168">
        <f t="shared" si="7"/>
        <v>0</v>
      </c>
      <c r="Y3749" s="168">
        <f t="shared" si="8"/>
        <v>0</v>
      </c>
      <c r="Z3749" s="168">
        <f t="shared" si="9"/>
        <v>0</v>
      </c>
    </row>
    <row r="3750" ht="15.0" customHeight="1">
      <c r="A3750" s="157" t="s">
        <v>4723</v>
      </c>
      <c r="B3750" s="158" t="s">
        <v>16</v>
      </c>
      <c r="C3750" s="158" t="s">
        <v>4711</v>
      </c>
      <c r="D3750" s="159">
        <v>44985.0</v>
      </c>
      <c r="E3750" s="157" t="s">
        <v>731</v>
      </c>
      <c r="F3750" s="160">
        <v>277377.68</v>
      </c>
      <c r="G3750" s="160">
        <f>'FACP$'!$F3750*0.16</f>
        <v>44380.4288</v>
      </c>
      <c r="H3750" s="160">
        <f t="shared" si="122"/>
        <v>321758.1088</v>
      </c>
      <c r="I3750" s="160"/>
      <c r="J3750" s="161"/>
      <c r="K3750" s="160"/>
      <c r="L3750" s="160">
        <f>+'FACP$'!$H3750-'FACP$'!$I3750-'FACP$'!$K3750</f>
        <v>321758.1088</v>
      </c>
      <c r="M3750" s="162" t="s">
        <v>985</v>
      </c>
      <c r="N3750" s="162" t="s">
        <v>554</v>
      </c>
      <c r="O3750" s="164">
        <v>45012.0</v>
      </c>
      <c r="P3750" s="164">
        <f t="array" ref="P3750">XLOOKUP('FACP$'!$B3750,'perfil de pagos'!$A$4:$A$46,'perfil de pagos'!$B$4:$B$46+'FACP$'!$D3750)</f>
        <v>44995</v>
      </c>
      <c r="Q3750" s="165">
        <f t="shared" si="2"/>
        <v>0</v>
      </c>
      <c r="R3750" s="167"/>
      <c r="S3750" s="167">
        <v>2065.0</v>
      </c>
      <c r="T3750" s="168">
        <f t="shared" si="3"/>
        <v>321758.1088</v>
      </c>
      <c r="U3750" s="168">
        <f t="shared" si="4"/>
        <v>0</v>
      </c>
      <c r="V3750" s="168">
        <f t="shared" si="5"/>
        <v>0</v>
      </c>
      <c r="W3750" s="168">
        <f t="shared" si="6"/>
        <v>0</v>
      </c>
      <c r="X3750" s="168">
        <f t="shared" si="7"/>
        <v>0</v>
      </c>
      <c r="Y3750" s="168">
        <f t="shared" si="8"/>
        <v>0</v>
      </c>
      <c r="Z3750" s="168">
        <f t="shared" si="9"/>
        <v>0</v>
      </c>
    </row>
    <row r="3751" ht="15.0" customHeight="1">
      <c r="A3751" s="157" t="s">
        <v>4724</v>
      </c>
      <c r="B3751" s="158" t="s">
        <v>18</v>
      </c>
      <c r="C3751" s="158" t="s">
        <v>4698</v>
      </c>
      <c r="D3751" s="159">
        <v>44985.0</v>
      </c>
      <c r="E3751" s="157" t="s">
        <v>731</v>
      </c>
      <c r="F3751" s="160">
        <v>62082.61</v>
      </c>
      <c r="G3751" s="160">
        <f>'FACP$'!$F3751*0.16</f>
        <v>9933.2176</v>
      </c>
      <c r="H3751" s="160">
        <f t="shared" si="122"/>
        <v>72015.8276</v>
      </c>
      <c r="I3751" s="160"/>
      <c r="J3751" s="161"/>
      <c r="K3751" s="160"/>
      <c r="L3751" s="160">
        <f>+'FACP$'!$H3751-'FACP$'!$I3751-'FACP$'!$K3751</f>
        <v>72015.8276</v>
      </c>
      <c r="M3751" s="162" t="s">
        <v>586</v>
      </c>
      <c r="N3751" s="162" t="s">
        <v>554</v>
      </c>
      <c r="O3751" s="164">
        <v>45021.0</v>
      </c>
      <c r="P3751" s="164">
        <f t="array" ref="P3751">XLOOKUP('FACP$'!$B3751,'perfil de pagos'!$A$4:$A$46,'perfil de pagos'!$B$4:$B$46+'FACP$'!$D3751)</f>
        <v>44995</v>
      </c>
      <c r="Q3751" s="165">
        <f t="shared" si="2"/>
        <v>0</v>
      </c>
      <c r="R3751" s="167"/>
      <c r="S3751" s="167">
        <v>2087.0</v>
      </c>
      <c r="T3751" s="168">
        <f t="shared" si="3"/>
        <v>72015.8276</v>
      </c>
      <c r="U3751" s="168">
        <f t="shared" si="4"/>
        <v>0</v>
      </c>
      <c r="V3751" s="168">
        <f t="shared" si="5"/>
        <v>0</v>
      </c>
      <c r="W3751" s="168">
        <f t="shared" si="6"/>
        <v>0</v>
      </c>
      <c r="X3751" s="168">
        <f t="shared" si="7"/>
        <v>0</v>
      </c>
      <c r="Y3751" s="168">
        <f t="shared" si="8"/>
        <v>0</v>
      </c>
      <c r="Z3751" s="168">
        <f t="shared" si="9"/>
        <v>0</v>
      </c>
    </row>
    <row r="3752" ht="15.0" customHeight="1">
      <c r="A3752" s="157" t="s">
        <v>4725</v>
      </c>
      <c r="B3752" s="158" t="s">
        <v>19</v>
      </c>
      <c r="C3752" s="158" t="s">
        <v>4698</v>
      </c>
      <c r="D3752" s="159">
        <v>44985.0</v>
      </c>
      <c r="E3752" s="157" t="s">
        <v>731</v>
      </c>
      <c r="F3752" s="160">
        <v>108431.21</v>
      </c>
      <c r="G3752" s="160">
        <f>'FACP$'!$F3752*0.16</f>
        <v>17348.9936</v>
      </c>
      <c r="H3752" s="160">
        <f t="shared" si="122"/>
        <v>125780.2036</v>
      </c>
      <c r="I3752" s="160"/>
      <c r="J3752" s="161"/>
      <c r="K3752" s="160"/>
      <c r="L3752" s="160">
        <f>+'FACP$'!$H3752-'FACP$'!$I3752-'FACP$'!$K3752</f>
        <v>125780.2036</v>
      </c>
      <c r="M3752" s="162" t="s">
        <v>732</v>
      </c>
      <c r="N3752" s="162" t="s">
        <v>554</v>
      </c>
      <c r="O3752" s="164">
        <v>45021.0</v>
      </c>
      <c r="P3752" s="164">
        <f t="array" ref="P3752">XLOOKUP('FACP$'!$B3752,'perfil de pagos'!$A$4:$A$46,'perfil de pagos'!$B$4:$B$46+'FACP$'!$D3752)</f>
        <v>44995</v>
      </c>
      <c r="Q3752" s="165">
        <f t="shared" si="2"/>
        <v>0</v>
      </c>
      <c r="R3752" s="167"/>
      <c r="S3752" s="167">
        <v>2087.0</v>
      </c>
      <c r="T3752" s="168">
        <f t="shared" si="3"/>
        <v>125780.2036</v>
      </c>
      <c r="U3752" s="168">
        <f t="shared" si="4"/>
        <v>0</v>
      </c>
      <c r="V3752" s="168">
        <f t="shared" si="5"/>
        <v>0</v>
      </c>
      <c r="W3752" s="168">
        <f t="shared" si="6"/>
        <v>0</v>
      </c>
      <c r="X3752" s="168">
        <f t="shared" si="7"/>
        <v>0</v>
      </c>
      <c r="Y3752" s="168">
        <f t="shared" si="8"/>
        <v>0</v>
      </c>
      <c r="Z3752" s="168">
        <f t="shared" si="9"/>
        <v>0</v>
      </c>
    </row>
    <row r="3753" ht="15.0" customHeight="1">
      <c r="A3753" s="157" t="s">
        <v>4726</v>
      </c>
      <c r="B3753" s="158" t="s">
        <v>22</v>
      </c>
      <c r="C3753" s="158" t="s">
        <v>4698</v>
      </c>
      <c r="D3753" s="159">
        <v>44985.0</v>
      </c>
      <c r="E3753" s="157" t="s">
        <v>731</v>
      </c>
      <c r="F3753" s="160">
        <v>121959.71</v>
      </c>
      <c r="G3753" s="160">
        <f>'FACP$'!$F3753*0.16</f>
        <v>19513.5536</v>
      </c>
      <c r="H3753" s="160">
        <f t="shared" si="122"/>
        <v>141473.2636</v>
      </c>
      <c r="I3753" s="160"/>
      <c r="J3753" s="161"/>
      <c r="K3753" s="160"/>
      <c r="L3753" s="160">
        <f>+'FACP$'!$H3753-'FACP$'!$I3753-'FACP$'!$K3753</f>
        <v>141473.2636</v>
      </c>
      <c r="M3753" s="162" t="s">
        <v>220</v>
      </c>
      <c r="N3753" s="162" t="s">
        <v>554</v>
      </c>
      <c r="O3753" s="164">
        <v>45012.0</v>
      </c>
      <c r="P3753" s="164">
        <f t="array" ref="P3753">XLOOKUP('FACP$'!$B3753,'perfil de pagos'!$A$4:$A$46,'perfil de pagos'!$B$4:$B$46+'FACP$'!$D3753)</f>
        <v>44995</v>
      </c>
      <c r="Q3753" s="165">
        <f t="shared" si="2"/>
        <v>0</v>
      </c>
      <c r="R3753" s="167"/>
      <c r="S3753" s="167">
        <v>2062.0</v>
      </c>
      <c r="T3753" s="168">
        <f t="shared" si="3"/>
        <v>141473.2636</v>
      </c>
      <c r="U3753" s="168">
        <f t="shared" si="4"/>
        <v>0</v>
      </c>
      <c r="V3753" s="168">
        <f t="shared" si="5"/>
        <v>0</v>
      </c>
      <c r="W3753" s="168">
        <f t="shared" si="6"/>
        <v>0</v>
      </c>
      <c r="X3753" s="168">
        <f t="shared" si="7"/>
        <v>0</v>
      </c>
      <c r="Y3753" s="168">
        <f t="shared" si="8"/>
        <v>0</v>
      </c>
      <c r="Z3753" s="168">
        <f t="shared" si="9"/>
        <v>0</v>
      </c>
    </row>
    <row r="3754" ht="15.0" customHeight="1">
      <c r="A3754" s="157" t="s">
        <v>4727</v>
      </c>
      <c r="B3754" s="158" t="s">
        <v>25</v>
      </c>
      <c r="C3754" s="158" t="s">
        <v>4698</v>
      </c>
      <c r="D3754" s="159">
        <v>44985.0</v>
      </c>
      <c r="E3754" s="157" t="s">
        <v>731</v>
      </c>
      <c r="F3754" s="160">
        <v>37578.39</v>
      </c>
      <c r="G3754" s="160">
        <f>'FACP$'!$F3754*0.16</f>
        <v>6012.5424</v>
      </c>
      <c r="H3754" s="160">
        <f t="shared" si="122"/>
        <v>43590.9324</v>
      </c>
      <c r="I3754" s="160"/>
      <c r="J3754" s="161"/>
      <c r="K3754" s="160"/>
      <c r="L3754" s="160">
        <f>+'FACP$'!$H3754-'FACP$'!$I3754-'FACP$'!$K3754</f>
        <v>43590.9324</v>
      </c>
      <c r="M3754" s="162" t="s">
        <v>4388</v>
      </c>
      <c r="N3754" s="162" t="s">
        <v>554</v>
      </c>
      <c r="O3754" s="164">
        <v>45021.0</v>
      </c>
      <c r="P3754" s="164">
        <f t="array" ref="P3754">XLOOKUP('FACP$'!$B3754,'perfil de pagos'!$A$4:$A$46,'perfil de pagos'!$B$4:$B$46+'FACP$'!$D3754)</f>
        <v>44995</v>
      </c>
      <c r="Q3754" s="165">
        <f t="shared" si="2"/>
        <v>0</v>
      </c>
      <c r="R3754" s="167"/>
      <c r="S3754" s="167">
        <v>2125.0</v>
      </c>
      <c r="T3754" s="168">
        <f t="shared" si="3"/>
        <v>43590.9324</v>
      </c>
      <c r="U3754" s="168">
        <f t="shared" si="4"/>
        <v>0</v>
      </c>
      <c r="V3754" s="168">
        <f t="shared" si="5"/>
        <v>0</v>
      </c>
      <c r="W3754" s="168">
        <f t="shared" si="6"/>
        <v>0</v>
      </c>
      <c r="X3754" s="168">
        <f t="shared" si="7"/>
        <v>0</v>
      </c>
      <c r="Y3754" s="168">
        <f t="shared" si="8"/>
        <v>0</v>
      </c>
      <c r="Z3754" s="168">
        <f t="shared" si="9"/>
        <v>0</v>
      </c>
    </row>
    <row r="3755" ht="15.0" customHeight="1">
      <c r="A3755" s="157" t="s">
        <v>4728</v>
      </c>
      <c r="B3755" s="158" t="s">
        <v>38</v>
      </c>
      <c r="C3755" s="158" t="s">
        <v>4698</v>
      </c>
      <c r="D3755" s="159">
        <v>44985.0</v>
      </c>
      <c r="E3755" s="157" t="s">
        <v>731</v>
      </c>
      <c r="F3755" s="160">
        <v>545386.9</v>
      </c>
      <c r="G3755" s="160">
        <f>'FACP$'!$F3755*0.16</f>
        <v>87261.904</v>
      </c>
      <c r="H3755" s="160">
        <f t="shared" si="122"/>
        <v>632648.804</v>
      </c>
      <c r="I3755" s="160"/>
      <c r="J3755" s="161"/>
      <c r="K3755" s="160"/>
      <c r="L3755" s="160">
        <f>+'FACP$'!$H3755-'FACP$'!$I3755-'FACP$'!$K3755</f>
        <v>632648.804</v>
      </c>
      <c r="M3755" s="162" t="s">
        <v>145</v>
      </c>
      <c r="N3755" s="162" t="s">
        <v>554</v>
      </c>
      <c r="O3755" s="164">
        <v>45030.0</v>
      </c>
      <c r="P3755" s="164">
        <f t="array" ref="P3755">XLOOKUP('FACP$'!$B3755,'perfil de pagos'!$A$4:$A$46,'perfil de pagos'!$B$4:$B$46+'FACP$'!$D3755)</f>
        <v>45015</v>
      </c>
      <c r="Q3755" s="165">
        <f t="shared" si="2"/>
        <v>0</v>
      </c>
      <c r="R3755" s="167"/>
      <c r="S3755" s="167">
        <v>2097.0</v>
      </c>
      <c r="T3755" s="168">
        <f t="shared" si="3"/>
        <v>632648.804</v>
      </c>
      <c r="U3755" s="168">
        <f t="shared" si="4"/>
        <v>0</v>
      </c>
      <c r="V3755" s="168">
        <f t="shared" si="5"/>
        <v>0</v>
      </c>
      <c r="W3755" s="168">
        <f t="shared" si="6"/>
        <v>0</v>
      </c>
      <c r="X3755" s="168">
        <f t="shared" si="7"/>
        <v>0</v>
      </c>
      <c r="Y3755" s="168">
        <f t="shared" si="8"/>
        <v>0</v>
      </c>
      <c r="Z3755" s="168">
        <f t="shared" si="9"/>
        <v>0</v>
      </c>
    </row>
    <row r="3756" ht="15.0" customHeight="1">
      <c r="A3756" s="157" t="s">
        <v>4729</v>
      </c>
      <c r="B3756" s="158" t="s">
        <v>38</v>
      </c>
      <c r="C3756" s="158" t="s">
        <v>4698</v>
      </c>
      <c r="D3756" s="159">
        <v>44985.0</v>
      </c>
      <c r="E3756" s="157" t="s">
        <v>731</v>
      </c>
      <c r="F3756" s="160">
        <v>90676.94</v>
      </c>
      <c r="G3756" s="160">
        <f>'FACP$'!$F3756*0.16</f>
        <v>14508.3104</v>
      </c>
      <c r="H3756" s="160">
        <f t="shared" si="122"/>
        <v>105185.2504</v>
      </c>
      <c r="I3756" s="160"/>
      <c r="J3756" s="161"/>
      <c r="K3756" s="160"/>
      <c r="L3756" s="160">
        <f>+'FACP$'!$H3756-'FACP$'!$I3756-'FACP$'!$K3756</f>
        <v>105185.2504</v>
      </c>
      <c r="M3756" s="162" t="s">
        <v>642</v>
      </c>
      <c r="N3756" s="162" t="s">
        <v>554</v>
      </c>
      <c r="O3756" s="164">
        <v>45030.0</v>
      </c>
      <c r="P3756" s="164">
        <f t="array" ref="P3756">XLOOKUP('FACP$'!$B3756,'perfil de pagos'!$A$4:$A$46,'perfil de pagos'!$B$4:$B$46+'FACP$'!$D3756)</f>
        <v>45015</v>
      </c>
      <c r="Q3756" s="165">
        <f t="shared" si="2"/>
        <v>0</v>
      </c>
      <c r="R3756" s="167"/>
      <c r="S3756" s="167">
        <v>2097.0</v>
      </c>
      <c r="T3756" s="168">
        <f t="shared" si="3"/>
        <v>105185.2504</v>
      </c>
      <c r="U3756" s="168">
        <f t="shared" si="4"/>
        <v>0</v>
      </c>
      <c r="V3756" s="168">
        <f t="shared" si="5"/>
        <v>0</v>
      </c>
      <c r="W3756" s="168">
        <f t="shared" si="6"/>
        <v>0</v>
      </c>
      <c r="X3756" s="168">
        <f t="shared" si="7"/>
        <v>0</v>
      </c>
      <c r="Y3756" s="168">
        <f t="shared" si="8"/>
        <v>0</v>
      </c>
      <c r="Z3756" s="168">
        <f t="shared" si="9"/>
        <v>0</v>
      </c>
    </row>
    <row r="3757" ht="15.0" customHeight="1">
      <c r="A3757" s="157" t="s">
        <v>4730</v>
      </c>
      <c r="B3757" s="158" t="s">
        <v>29</v>
      </c>
      <c r="C3757" s="158" t="s">
        <v>4698</v>
      </c>
      <c r="D3757" s="159">
        <v>44985.0</v>
      </c>
      <c r="E3757" s="157" t="s">
        <v>731</v>
      </c>
      <c r="F3757" s="160">
        <v>221446.74</v>
      </c>
      <c r="G3757" s="160">
        <f>'FACP$'!$F3757*0.16</f>
        <v>35431.4784</v>
      </c>
      <c r="H3757" s="160">
        <f t="shared" si="122"/>
        <v>256878.2184</v>
      </c>
      <c r="I3757" s="160"/>
      <c r="J3757" s="161"/>
      <c r="K3757" s="160"/>
      <c r="L3757" s="160">
        <f>+'FACP$'!$H3757-'FACP$'!$I3757-'FACP$'!$K3757</f>
        <v>256878.2184</v>
      </c>
      <c r="M3757" s="162" t="s">
        <v>130</v>
      </c>
      <c r="N3757" s="162" t="s">
        <v>554</v>
      </c>
      <c r="O3757" s="164">
        <v>44998.0</v>
      </c>
      <c r="P3757" s="164">
        <f t="array" ref="P3757">XLOOKUP('FACP$'!$B3757,'perfil de pagos'!$A$4:$A$46,'perfil de pagos'!$B$4:$B$46+'FACP$'!$D3757)</f>
        <v>44995</v>
      </c>
      <c r="Q3757" s="165">
        <f t="shared" si="2"/>
        <v>0</v>
      </c>
      <c r="R3757" s="167"/>
      <c r="S3757" s="167">
        <v>2027.0</v>
      </c>
      <c r="T3757" s="168">
        <f t="shared" si="3"/>
        <v>256878.2184</v>
      </c>
      <c r="U3757" s="168">
        <f t="shared" si="4"/>
        <v>0</v>
      </c>
      <c r="V3757" s="168">
        <f t="shared" si="5"/>
        <v>0</v>
      </c>
      <c r="W3757" s="168">
        <f t="shared" si="6"/>
        <v>0</v>
      </c>
      <c r="X3757" s="168">
        <f t="shared" si="7"/>
        <v>0</v>
      </c>
      <c r="Y3757" s="168">
        <f t="shared" si="8"/>
        <v>0</v>
      </c>
      <c r="Z3757" s="168">
        <f t="shared" si="9"/>
        <v>0</v>
      </c>
    </row>
    <row r="3758" ht="15.0" customHeight="1">
      <c r="A3758" s="157" t="s">
        <v>4731</v>
      </c>
      <c r="B3758" s="158" t="s">
        <v>29</v>
      </c>
      <c r="C3758" s="158" t="s">
        <v>4711</v>
      </c>
      <c r="D3758" s="159">
        <v>44985.0</v>
      </c>
      <c r="E3758" s="157" t="s">
        <v>731</v>
      </c>
      <c r="F3758" s="160">
        <v>353465.85</v>
      </c>
      <c r="G3758" s="160">
        <f>'FACP$'!$F3758*0.16</f>
        <v>56554.536</v>
      </c>
      <c r="H3758" s="160">
        <f t="shared" si="122"/>
        <v>410020.386</v>
      </c>
      <c r="I3758" s="160"/>
      <c r="J3758" s="161"/>
      <c r="K3758" s="160"/>
      <c r="L3758" s="160">
        <f>+'FACP$'!$H3758-'FACP$'!$I3758-'FACP$'!$K3758</f>
        <v>410020.386</v>
      </c>
      <c r="M3758" s="162" t="s">
        <v>130</v>
      </c>
      <c r="N3758" s="162" t="s">
        <v>554</v>
      </c>
      <c r="O3758" s="164">
        <v>44998.0</v>
      </c>
      <c r="P3758" s="164">
        <f t="array" ref="P3758">XLOOKUP('FACP$'!$B3758,'perfil de pagos'!$A$4:$A$46,'perfil de pagos'!$B$4:$B$46+'FACP$'!$D3758)</f>
        <v>44995</v>
      </c>
      <c r="Q3758" s="165">
        <f t="shared" si="2"/>
        <v>0</v>
      </c>
      <c r="R3758" s="167"/>
      <c r="S3758" s="167">
        <v>2027.0</v>
      </c>
      <c r="T3758" s="168">
        <f t="shared" si="3"/>
        <v>410020.386</v>
      </c>
      <c r="U3758" s="168">
        <f t="shared" si="4"/>
        <v>0</v>
      </c>
      <c r="V3758" s="168">
        <f t="shared" si="5"/>
        <v>0</v>
      </c>
      <c r="W3758" s="168">
        <f t="shared" si="6"/>
        <v>0</v>
      </c>
      <c r="X3758" s="168">
        <f t="shared" si="7"/>
        <v>0</v>
      </c>
      <c r="Y3758" s="168">
        <f t="shared" si="8"/>
        <v>0</v>
      </c>
      <c r="Z3758" s="168">
        <f t="shared" si="9"/>
        <v>0</v>
      </c>
    </row>
    <row r="3759" ht="15.0" customHeight="1">
      <c r="A3759" s="157" t="s">
        <v>4732</v>
      </c>
      <c r="B3759" s="158" t="s">
        <v>15</v>
      </c>
      <c r="C3759" s="158" t="s">
        <v>4733</v>
      </c>
      <c r="D3759" s="159">
        <v>44991.0</v>
      </c>
      <c r="E3759" s="157" t="s">
        <v>731</v>
      </c>
      <c r="F3759" s="160">
        <v>715242.78</v>
      </c>
      <c r="G3759" s="160">
        <f>'FACP$'!$F3759*0.16</f>
        <v>114438.8448</v>
      </c>
      <c r="H3759" s="160">
        <f t="shared" si="122"/>
        <v>829681.6248</v>
      </c>
      <c r="I3759" s="160"/>
      <c r="J3759" s="161"/>
      <c r="K3759" s="160"/>
      <c r="L3759" s="160">
        <f>+'FACP$'!$H3759-'FACP$'!$I3759-'FACP$'!$K3759</f>
        <v>829681.6248</v>
      </c>
      <c r="M3759" s="162" t="s">
        <v>443</v>
      </c>
      <c r="N3759" s="162" t="s">
        <v>554</v>
      </c>
      <c r="O3759" s="164">
        <v>45013.0</v>
      </c>
      <c r="P3759" s="164">
        <f t="array" ref="P3759">XLOOKUP('FACP$'!$B3759,'perfil de pagos'!$A$4:$A$46,'perfil de pagos'!$B$4:$B$46+'FACP$'!$D3759)</f>
        <v>45001</v>
      </c>
      <c r="Q3759" s="165">
        <f t="shared" si="2"/>
        <v>0</v>
      </c>
      <c r="R3759" s="167"/>
      <c r="S3759" s="167">
        <v>2068.0</v>
      </c>
      <c r="T3759" s="168">
        <f t="shared" si="3"/>
        <v>829681.6248</v>
      </c>
      <c r="U3759" s="168">
        <f t="shared" si="4"/>
        <v>0</v>
      </c>
      <c r="V3759" s="168">
        <f t="shared" si="5"/>
        <v>0</v>
      </c>
      <c r="W3759" s="168">
        <f t="shared" si="6"/>
        <v>0</v>
      </c>
      <c r="X3759" s="168">
        <f t="shared" si="7"/>
        <v>0</v>
      </c>
      <c r="Y3759" s="168">
        <f t="shared" si="8"/>
        <v>0</v>
      </c>
      <c r="Z3759" s="168">
        <f t="shared" si="9"/>
        <v>0</v>
      </c>
    </row>
    <row r="3760" ht="15.0" customHeight="1">
      <c r="A3760" s="157" t="s">
        <v>4734</v>
      </c>
      <c r="B3760" s="158" t="s">
        <v>32</v>
      </c>
      <c r="C3760" s="158" t="s">
        <v>4733</v>
      </c>
      <c r="D3760" s="159">
        <v>44991.0</v>
      </c>
      <c r="E3760" s="157" t="s">
        <v>731</v>
      </c>
      <c r="F3760" s="160">
        <v>22658.66</v>
      </c>
      <c r="G3760" s="160">
        <f>'FACP$'!$F3760*0.16</f>
        <v>3625.3856</v>
      </c>
      <c r="H3760" s="160">
        <f t="shared" si="122"/>
        <v>26284.0456</v>
      </c>
      <c r="I3760" s="160"/>
      <c r="J3760" s="161"/>
      <c r="K3760" s="160"/>
      <c r="L3760" s="160">
        <f>+'FACP$'!$H3760-'FACP$'!$I3760-'FACP$'!$K3760</f>
        <v>26284.0456</v>
      </c>
      <c r="M3760" s="162" t="s">
        <v>395</v>
      </c>
      <c r="N3760" s="162" t="s">
        <v>554</v>
      </c>
      <c r="O3760" s="164">
        <v>45120.0</v>
      </c>
      <c r="P3760" s="164">
        <f t="array" ref="P3760">XLOOKUP('FACP$'!$B3760,'perfil de pagos'!$A$4:$A$46,'perfil de pagos'!$B$4:$B$46+'FACP$'!$D3760)</f>
        <v>45001</v>
      </c>
      <c r="Q3760" s="165">
        <f t="shared" si="2"/>
        <v>0</v>
      </c>
      <c r="R3760" s="167"/>
      <c r="S3760" s="167">
        <v>2266.0</v>
      </c>
      <c r="T3760" s="168">
        <f t="shared" si="3"/>
        <v>26284.0456</v>
      </c>
      <c r="U3760" s="168">
        <f t="shared" si="4"/>
        <v>0</v>
      </c>
      <c r="V3760" s="168">
        <f t="shared" si="5"/>
        <v>0</v>
      </c>
      <c r="W3760" s="168">
        <f t="shared" si="6"/>
        <v>0</v>
      </c>
      <c r="X3760" s="168">
        <f t="shared" si="7"/>
        <v>0</v>
      </c>
      <c r="Y3760" s="168">
        <f t="shared" si="8"/>
        <v>0</v>
      </c>
      <c r="Z3760" s="168">
        <f t="shared" si="9"/>
        <v>0</v>
      </c>
    </row>
    <row r="3761" ht="15.0" customHeight="1">
      <c r="A3761" s="157" t="s">
        <v>4735</v>
      </c>
      <c r="B3761" s="158" t="s">
        <v>35</v>
      </c>
      <c r="C3761" s="158" t="s">
        <v>4733</v>
      </c>
      <c r="D3761" s="159">
        <v>44991.0</v>
      </c>
      <c r="E3761" s="157" t="s">
        <v>731</v>
      </c>
      <c r="F3761" s="160">
        <v>310449.39</v>
      </c>
      <c r="G3761" s="160">
        <f>'FACP$'!$F3761*0.16</f>
        <v>49671.9024</v>
      </c>
      <c r="H3761" s="160">
        <f t="shared" si="122"/>
        <v>360121.2924</v>
      </c>
      <c r="I3761" s="160"/>
      <c r="J3761" s="161"/>
      <c r="K3761" s="160"/>
      <c r="L3761" s="160">
        <f>+'FACP$'!$H3761-'FACP$'!$I3761-'FACP$'!$K3761</f>
        <v>360121.2924</v>
      </c>
      <c r="M3761" s="162" t="s">
        <v>276</v>
      </c>
      <c r="N3761" s="162" t="s">
        <v>554</v>
      </c>
      <c r="O3761" s="164">
        <v>45049.0</v>
      </c>
      <c r="P3761" s="164">
        <f t="array" ref="P3761">XLOOKUP('FACP$'!$B3761,'perfil de pagos'!$A$4:$A$46,'perfil de pagos'!$B$4:$B$46+'FACP$'!$D3761)</f>
        <v>45001</v>
      </c>
      <c r="Q3761" s="165">
        <f t="shared" si="2"/>
        <v>0</v>
      </c>
      <c r="R3761" s="167"/>
      <c r="S3761" s="167">
        <v>2137.0</v>
      </c>
      <c r="T3761" s="168">
        <f t="shared" si="3"/>
        <v>360121.2924</v>
      </c>
      <c r="U3761" s="168">
        <f t="shared" si="4"/>
        <v>0</v>
      </c>
      <c r="V3761" s="168">
        <f t="shared" si="5"/>
        <v>0</v>
      </c>
      <c r="W3761" s="168">
        <f t="shared" si="6"/>
        <v>0</v>
      </c>
      <c r="X3761" s="168">
        <f t="shared" si="7"/>
        <v>0</v>
      </c>
      <c r="Y3761" s="168">
        <f t="shared" si="8"/>
        <v>0</v>
      </c>
      <c r="Z3761" s="168">
        <f t="shared" si="9"/>
        <v>0</v>
      </c>
    </row>
    <row r="3762" ht="15.0" customHeight="1">
      <c r="A3762" s="157" t="s">
        <v>4736</v>
      </c>
      <c r="B3762" s="158" t="s">
        <v>36</v>
      </c>
      <c r="C3762" s="158" t="s">
        <v>4733</v>
      </c>
      <c r="D3762" s="159">
        <v>44991.0</v>
      </c>
      <c r="E3762" s="157" t="s">
        <v>731</v>
      </c>
      <c r="F3762" s="160">
        <v>72488.45</v>
      </c>
      <c r="G3762" s="160">
        <f>'FACP$'!$F3762*0.16</f>
        <v>11598.152</v>
      </c>
      <c r="H3762" s="160">
        <f t="shared" si="122"/>
        <v>84086.602</v>
      </c>
      <c r="I3762" s="160"/>
      <c r="J3762" s="161"/>
      <c r="K3762" s="160"/>
      <c r="L3762" s="160">
        <f>+'FACP$'!$H3762-'FACP$'!$I3762-'FACP$'!$K3762</f>
        <v>84086.602</v>
      </c>
      <c r="M3762" s="162" t="s">
        <v>278</v>
      </c>
      <c r="N3762" s="162" t="s">
        <v>554</v>
      </c>
      <c r="O3762" s="164">
        <v>44998.0</v>
      </c>
      <c r="P3762" s="164">
        <f t="array" ref="P3762">XLOOKUP('FACP$'!$B3762,'perfil de pagos'!$A$4:$A$46,'perfil de pagos'!$B$4:$B$46+'FACP$'!$D3762)</f>
        <v>45001</v>
      </c>
      <c r="Q3762" s="165">
        <f t="shared" si="2"/>
        <v>0</v>
      </c>
      <c r="R3762" s="167"/>
      <c r="S3762" s="167">
        <v>2021.0</v>
      </c>
      <c r="T3762" s="168">
        <f t="shared" si="3"/>
        <v>84086.602</v>
      </c>
      <c r="U3762" s="168">
        <f t="shared" si="4"/>
        <v>0</v>
      </c>
      <c r="V3762" s="168">
        <f t="shared" si="5"/>
        <v>0</v>
      </c>
      <c r="W3762" s="168">
        <f t="shared" si="6"/>
        <v>0</v>
      </c>
      <c r="X3762" s="168">
        <f t="shared" si="7"/>
        <v>0</v>
      </c>
      <c r="Y3762" s="168">
        <f t="shared" si="8"/>
        <v>0</v>
      </c>
      <c r="Z3762" s="168">
        <f t="shared" si="9"/>
        <v>0</v>
      </c>
    </row>
    <row r="3763" ht="15.0" customHeight="1">
      <c r="A3763" s="157" t="s">
        <v>4737</v>
      </c>
      <c r="B3763" s="158" t="s">
        <v>41</v>
      </c>
      <c r="C3763" s="158" t="s">
        <v>4733</v>
      </c>
      <c r="D3763" s="159">
        <v>44991.0</v>
      </c>
      <c r="E3763" s="157" t="s">
        <v>731</v>
      </c>
      <c r="F3763" s="160">
        <v>644054.92</v>
      </c>
      <c r="G3763" s="160">
        <f>'FACP$'!$F3763*0.16</f>
        <v>103048.7872</v>
      </c>
      <c r="H3763" s="160">
        <f t="shared" si="122"/>
        <v>747103.7072</v>
      </c>
      <c r="I3763" s="160"/>
      <c r="J3763" s="161"/>
      <c r="K3763" s="160"/>
      <c r="L3763" s="160">
        <f>+'FACP$'!$H3763-'FACP$'!$I3763-'FACP$'!$K3763</f>
        <v>747103.7072</v>
      </c>
      <c r="M3763" s="162" t="s">
        <v>121</v>
      </c>
      <c r="N3763" s="162" t="s">
        <v>554</v>
      </c>
      <c r="O3763" s="164">
        <v>45034.0</v>
      </c>
      <c r="P3763" s="164">
        <f t="array" ref="P3763">XLOOKUP('FACP$'!$B3763,'perfil de pagos'!$A$4:$A$46,'perfil de pagos'!$B$4:$B$46+'FACP$'!$D3763)</f>
        <v>45001</v>
      </c>
      <c r="Q3763" s="165">
        <f t="shared" si="2"/>
        <v>0</v>
      </c>
      <c r="R3763" s="167"/>
      <c r="S3763" s="167">
        <v>2116.0</v>
      </c>
      <c r="T3763" s="168">
        <f t="shared" si="3"/>
        <v>747103.7072</v>
      </c>
      <c r="U3763" s="168">
        <f t="shared" si="4"/>
        <v>0</v>
      </c>
      <c r="V3763" s="168">
        <f t="shared" si="5"/>
        <v>0</v>
      </c>
      <c r="W3763" s="168">
        <f t="shared" si="6"/>
        <v>0</v>
      </c>
      <c r="X3763" s="168">
        <f t="shared" si="7"/>
        <v>0</v>
      </c>
      <c r="Y3763" s="168">
        <f t="shared" si="8"/>
        <v>0</v>
      </c>
      <c r="Z3763" s="168">
        <f t="shared" si="9"/>
        <v>0</v>
      </c>
    </row>
    <row r="3764" ht="15.0" customHeight="1">
      <c r="A3764" s="157" t="s">
        <v>4738</v>
      </c>
      <c r="B3764" s="158" t="s">
        <v>42</v>
      </c>
      <c r="C3764" s="158" t="s">
        <v>4733</v>
      </c>
      <c r="D3764" s="159">
        <v>44991.0</v>
      </c>
      <c r="E3764" s="157" t="s">
        <v>731</v>
      </c>
      <c r="F3764" s="160">
        <v>174512.98</v>
      </c>
      <c r="G3764" s="160">
        <f>'FACP$'!$F3764*0.16</f>
        <v>27922.0768</v>
      </c>
      <c r="H3764" s="160">
        <f t="shared" si="122"/>
        <v>202435.0568</v>
      </c>
      <c r="I3764" s="160"/>
      <c r="J3764" s="161"/>
      <c r="K3764" s="160"/>
      <c r="L3764" s="160">
        <f>+'FACP$'!$H3764-'FACP$'!$I3764-'FACP$'!$K3764</f>
        <v>202435.0568</v>
      </c>
      <c r="M3764" s="162" t="s">
        <v>42</v>
      </c>
      <c r="N3764" s="162" t="s">
        <v>554</v>
      </c>
      <c r="O3764" s="164">
        <v>45021.0</v>
      </c>
      <c r="P3764" s="164">
        <f t="array" ref="P3764">XLOOKUP('FACP$'!$B3764,'perfil de pagos'!$A$4:$A$46,'perfil de pagos'!$B$4:$B$46+'FACP$'!$D3764)</f>
        <v>45001</v>
      </c>
      <c r="Q3764" s="165">
        <f t="shared" si="2"/>
        <v>0</v>
      </c>
      <c r="R3764" s="167"/>
      <c r="S3764" s="167">
        <v>2109.0</v>
      </c>
      <c r="T3764" s="168">
        <f t="shared" si="3"/>
        <v>202435.0568</v>
      </c>
      <c r="U3764" s="168">
        <f t="shared" si="4"/>
        <v>0</v>
      </c>
      <c r="V3764" s="168">
        <f t="shared" si="5"/>
        <v>0</v>
      </c>
      <c r="W3764" s="168">
        <f t="shared" si="6"/>
        <v>0</v>
      </c>
      <c r="X3764" s="168">
        <f t="shared" si="7"/>
        <v>0</v>
      </c>
      <c r="Y3764" s="168">
        <f t="shared" si="8"/>
        <v>0</v>
      </c>
      <c r="Z3764" s="168">
        <f t="shared" si="9"/>
        <v>0</v>
      </c>
    </row>
    <row r="3765" ht="15.0" customHeight="1">
      <c r="A3765" s="157" t="s">
        <v>4739</v>
      </c>
      <c r="B3765" s="158" t="s">
        <v>43</v>
      </c>
      <c r="C3765" s="158" t="s">
        <v>4733</v>
      </c>
      <c r="D3765" s="159">
        <v>44991.0</v>
      </c>
      <c r="E3765" s="157" t="s">
        <v>731</v>
      </c>
      <c r="F3765" s="160">
        <v>843830.68</v>
      </c>
      <c r="G3765" s="160">
        <f>'FACP$'!$F3765*0.16</f>
        <v>135012.9088</v>
      </c>
      <c r="H3765" s="160">
        <f t="shared" si="122"/>
        <v>978843.5888</v>
      </c>
      <c r="I3765" s="160"/>
      <c r="J3765" s="161"/>
      <c r="K3765" s="160"/>
      <c r="L3765" s="160">
        <f>+'FACP$'!$H3765-'FACP$'!$I3765-'FACP$'!$K3765</f>
        <v>978843.5888</v>
      </c>
      <c r="M3765" s="162" t="s">
        <v>43</v>
      </c>
      <c r="N3765" s="162" t="s">
        <v>127</v>
      </c>
      <c r="O3765" s="164"/>
      <c r="P3765" s="164">
        <f t="array" ref="P3765">XLOOKUP('FACP$'!$B3765,'perfil de pagos'!$A$4:$A$46,'perfil de pagos'!$B$4:$B$46+'FACP$'!$D3765)</f>
        <v>45016</v>
      </c>
      <c r="Q3765" s="165">
        <f t="shared" si="2"/>
        <v>0</v>
      </c>
      <c r="R3765" s="167" t="s">
        <v>4740</v>
      </c>
      <c r="S3765" s="167"/>
      <c r="T3765" s="168">
        <f t="shared" si="3"/>
        <v>978843.5888</v>
      </c>
      <c r="U3765" s="168">
        <f t="shared" si="4"/>
        <v>0</v>
      </c>
      <c r="V3765" s="168">
        <f t="shared" si="5"/>
        <v>0</v>
      </c>
      <c r="W3765" s="168">
        <f t="shared" si="6"/>
        <v>0</v>
      </c>
      <c r="X3765" s="168">
        <f t="shared" si="7"/>
        <v>0</v>
      </c>
      <c r="Y3765" s="168">
        <f t="shared" si="8"/>
        <v>0</v>
      </c>
      <c r="Z3765" s="168">
        <f t="shared" si="9"/>
        <v>0</v>
      </c>
    </row>
    <row r="3766" ht="15.0" customHeight="1">
      <c r="A3766" s="157" t="s">
        <v>4741</v>
      </c>
      <c r="B3766" s="158" t="s">
        <v>44</v>
      </c>
      <c r="C3766" s="158" t="s">
        <v>4733</v>
      </c>
      <c r="D3766" s="159">
        <v>44991.0</v>
      </c>
      <c r="E3766" s="157" t="s">
        <v>731</v>
      </c>
      <c r="F3766" s="160">
        <v>174566.59</v>
      </c>
      <c r="G3766" s="160">
        <f>'FACP$'!$F3766*0.16</f>
        <v>27930.6544</v>
      </c>
      <c r="H3766" s="160">
        <f t="shared" si="122"/>
        <v>202497.2444</v>
      </c>
      <c r="I3766" s="160"/>
      <c r="J3766" s="161"/>
      <c r="K3766" s="160"/>
      <c r="L3766" s="160">
        <f>+'FACP$'!$H3766-'FACP$'!$I3766-'FACP$'!$K3766</f>
        <v>202497.2444</v>
      </c>
      <c r="M3766" s="162" t="s">
        <v>361</v>
      </c>
      <c r="N3766" s="162" t="s">
        <v>554</v>
      </c>
      <c r="O3766" s="164">
        <v>44995.0</v>
      </c>
      <c r="P3766" s="164">
        <f t="array" ref="P3766">XLOOKUP('FACP$'!$B3766,'perfil de pagos'!$A$4:$A$46,'perfil de pagos'!$B$4:$B$46+'FACP$'!$D3766)</f>
        <v>45001</v>
      </c>
      <c r="Q3766" s="165">
        <f t="shared" si="2"/>
        <v>0</v>
      </c>
      <c r="R3766" s="167"/>
      <c r="S3766" s="167">
        <v>2017.0</v>
      </c>
      <c r="T3766" s="168">
        <f t="shared" si="3"/>
        <v>202497.2444</v>
      </c>
      <c r="U3766" s="168">
        <f t="shared" si="4"/>
        <v>0</v>
      </c>
      <c r="V3766" s="168">
        <f t="shared" si="5"/>
        <v>0</v>
      </c>
      <c r="W3766" s="168">
        <f t="shared" si="6"/>
        <v>0</v>
      </c>
      <c r="X3766" s="168">
        <f t="shared" si="7"/>
        <v>0</v>
      </c>
      <c r="Y3766" s="168">
        <f t="shared" si="8"/>
        <v>0</v>
      </c>
      <c r="Z3766" s="168">
        <f t="shared" si="9"/>
        <v>0</v>
      </c>
    </row>
    <row r="3767" ht="15.0" customHeight="1">
      <c r="A3767" s="157" t="s">
        <v>4742</v>
      </c>
      <c r="B3767" s="158" t="s">
        <v>27</v>
      </c>
      <c r="C3767" s="158" t="s">
        <v>4743</v>
      </c>
      <c r="D3767" s="159">
        <v>44991.0</v>
      </c>
      <c r="E3767" s="157" t="s">
        <v>731</v>
      </c>
      <c r="F3767" s="160">
        <v>2470.91</v>
      </c>
      <c r="G3767" s="160">
        <f>'FACP$'!$F3767*0.16</f>
        <v>395.3456</v>
      </c>
      <c r="H3767" s="160">
        <f t="shared" si="122"/>
        <v>2866.2556</v>
      </c>
      <c r="I3767" s="160"/>
      <c r="J3767" s="161"/>
      <c r="K3767" s="160"/>
      <c r="L3767" s="160">
        <f>+'FACP$'!$H3767-'FACP$'!$I3767-'FACP$'!$K3767</f>
        <v>2866.2556</v>
      </c>
      <c r="M3767" s="162" t="s">
        <v>158</v>
      </c>
      <c r="N3767" s="162" t="s">
        <v>554</v>
      </c>
      <c r="O3767" s="164">
        <v>45007.0</v>
      </c>
      <c r="P3767" s="164">
        <f t="array" ref="P3767">XLOOKUP('FACP$'!$B3767,'perfil de pagos'!$A$4:$A$46,'perfil de pagos'!$B$4:$B$46+'FACP$'!$D3767)</f>
        <v>45021</v>
      </c>
      <c r="Q3767" s="165">
        <f t="shared" si="2"/>
        <v>0</v>
      </c>
      <c r="R3767" s="167"/>
      <c r="S3767" s="167">
        <v>2053.0</v>
      </c>
      <c r="T3767" s="168">
        <f t="shared" si="3"/>
        <v>2866.2556</v>
      </c>
      <c r="U3767" s="168">
        <f t="shared" si="4"/>
        <v>0</v>
      </c>
      <c r="V3767" s="168">
        <f t="shared" si="5"/>
        <v>0</v>
      </c>
      <c r="W3767" s="168">
        <f t="shared" si="6"/>
        <v>0</v>
      </c>
      <c r="X3767" s="168">
        <f t="shared" si="7"/>
        <v>0</v>
      </c>
      <c r="Y3767" s="168">
        <f t="shared" si="8"/>
        <v>0</v>
      </c>
      <c r="Z3767" s="168">
        <f t="shared" si="9"/>
        <v>0</v>
      </c>
    </row>
    <row r="3768" ht="15.0" customHeight="1">
      <c r="A3768" s="157" t="s">
        <v>4744</v>
      </c>
      <c r="B3768" s="158" t="s">
        <v>27</v>
      </c>
      <c r="C3768" s="158" t="s">
        <v>4745</v>
      </c>
      <c r="D3768" s="159">
        <v>44991.0</v>
      </c>
      <c r="E3768" s="157" t="s">
        <v>731</v>
      </c>
      <c r="F3768" s="160">
        <v>2086.1</v>
      </c>
      <c r="G3768" s="160">
        <f>'FACP$'!$F3768*0.16</f>
        <v>333.776</v>
      </c>
      <c r="H3768" s="160">
        <f t="shared" si="122"/>
        <v>2419.876</v>
      </c>
      <c r="I3768" s="160"/>
      <c r="J3768" s="161"/>
      <c r="K3768" s="160"/>
      <c r="L3768" s="160">
        <f>+'FACP$'!$H3768-'FACP$'!$I3768-'FACP$'!$K3768</f>
        <v>2419.876</v>
      </c>
      <c r="M3768" s="162" t="s">
        <v>158</v>
      </c>
      <c r="N3768" s="162" t="s">
        <v>554</v>
      </c>
      <c r="O3768" s="164">
        <v>45007.0</v>
      </c>
      <c r="P3768" s="164">
        <f t="array" ref="P3768">XLOOKUP('FACP$'!$B3768,'perfil de pagos'!$A$4:$A$46,'perfil de pagos'!$B$4:$B$46+'FACP$'!$D3768)</f>
        <v>45021</v>
      </c>
      <c r="Q3768" s="165">
        <f t="shared" si="2"/>
        <v>0</v>
      </c>
      <c r="R3768" s="167"/>
      <c r="S3768" s="167">
        <v>2053.0</v>
      </c>
      <c r="T3768" s="168">
        <f t="shared" si="3"/>
        <v>2419.876</v>
      </c>
      <c r="U3768" s="168">
        <f t="shared" si="4"/>
        <v>0</v>
      </c>
      <c r="V3768" s="168">
        <f t="shared" si="5"/>
        <v>0</v>
      </c>
      <c r="W3768" s="168">
        <f t="shared" si="6"/>
        <v>0</v>
      </c>
      <c r="X3768" s="168">
        <f t="shared" si="7"/>
        <v>0</v>
      </c>
      <c r="Y3768" s="168">
        <f t="shared" si="8"/>
        <v>0</v>
      </c>
      <c r="Z3768" s="168">
        <f t="shared" si="9"/>
        <v>0</v>
      </c>
    </row>
    <row r="3769" ht="15.0" customHeight="1">
      <c r="A3769" s="157" t="s">
        <v>4746</v>
      </c>
      <c r="B3769" s="158" t="s">
        <v>27</v>
      </c>
      <c r="C3769" s="158" t="s">
        <v>4743</v>
      </c>
      <c r="D3769" s="159">
        <v>44991.0</v>
      </c>
      <c r="E3769" s="157" t="s">
        <v>731</v>
      </c>
      <c r="F3769" s="160">
        <v>3850.59</v>
      </c>
      <c r="G3769" s="160">
        <f>'FACP$'!$F3769*0.16</f>
        <v>616.0944</v>
      </c>
      <c r="H3769" s="160">
        <f t="shared" si="122"/>
        <v>4466.6844</v>
      </c>
      <c r="I3769" s="160"/>
      <c r="J3769" s="161"/>
      <c r="K3769" s="160"/>
      <c r="L3769" s="160">
        <f>+'FACP$'!$H3769-'FACP$'!$I3769-'FACP$'!$K3769</f>
        <v>4466.6844</v>
      </c>
      <c r="M3769" s="162" t="s">
        <v>151</v>
      </c>
      <c r="N3769" s="162" t="s">
        <v>554</v>
      </c>
      <c r="O3769" s="164">
        <v>45007.0</v>
      </c>
      <c r="P3769" s="164">
        <f t="array" ref="P3769">XLOOKUP('FACP$'!$B3769,'perfil de pagos'!$A$4:$A$46,'perfil de pagos'!$B$4:$B$46+'FACP$'!$D3769)</f>
        <v>45021</v>
      </c>
      <c r="Q3769" s="165">
        <f t="shared" si="2"/>
        <v>0</v>
      </c>
      <c r="R3769" s="167"/>
      <c r="S3769" s="167">
        <v>2052.0</v>
      </c>
      <c r="T3769" s="168">
        <f t="shared" si="3"/>
        <v>4466.6844</v>
      </c>
      <c r="U3769" s="168">
        <f t="shared" si="4"/>
        <v>0</v>
      </c>
      <c r="V3769" s="168">
        <f t="shared" si="5"/>
        <v>0</v>
      </c>
      <c r="W3769" s="168">
        <f t="shared" si="6"/>
        <v>0</v>
      </c>
      <c r="X3769" s="168">
        <f t="shared" si="7"/>
        <v>0</v>
      </c>
      <c r="Y3769" s="168">
        <f t="shared" si="8"/>
        <v>0</v>
      </c>
      <c r="Z3769" s="168">
        <f t="shared" si="9"/>
        <v>0</v>
      </c>
    </row>
    <row r="3770" ht="15.0" customHeight="1">
      <c r="A3770" s="157" t="s">
        <v>4747</v>
      </c>
      <c r="B3770" s="158" t="s">
        <v>27</v>
      </c>
      <c r="C3770" s="158" t="s">
        <v>4745</v>
      </c>
      <c r="D3770" s="159">
        <v>44991.0</v>
      </c>
      <c r="E3770" s="157" t="s">
        <v>731</v>
      </c>
      <c r="F3770" s="160">
        <v>4945.49</v>
      </c>
      <c r="G3770" s="160">
        <f>'FACP$'!$F3770*0.16</f>
        <v>791.2784</v>
      </c>
      <c r="H3770" s="160">
        <f t="shared" si="122"/>
        <v>5736.7684</v>
      </c>
      <c r="I3770" s="160"/>
      <c r="J3770" s="161"/>
      <c r="K3770" s="160"/>
      <c r="L3770" s="160">
        <f>+'FACP$'!$H3770-'FACP$'!$I3770-'FACP$'!$K3770</f>
        <v>5736.7684</v>
      </c>
      <c r="M3770" s="162" t="s">
        <v>151</v>
      </c>
      <c r="N3770" s="162" t="s">
        <v>554</v>
      </c>
      <c r="O3770" s="164">
        <v>45007.0</v>
      </c>
      <c r="P3770" s="164">
        <f t="array" ref="P3770">XLOOKUP('FACP$'!$B3770,'perfil de pagos'!$A$4:$A$46,'perfil de pagos'!$B$4:$B$46+'FACP$'!$D3770)</f>
        <v>45021</v>
      </c>
      <c r="Q3770" s="165">
        <f t="shared" si="2"/>
        <v>0</v>
      </c>
      <c r="R3770" s="167"/>
      <c r="S3770" s="167">
        <v>2052.0</v>
      </c>
      <c r="T3770" s="168">
        <f t="shared" si="3"/>
        <v>5736.7684</v>
      </c>
      <c r="U3770" s="168">
        <f t="shared" si="4"/>
        <v>0</v>
      </c>
      <c r="V3770" s="168">
        <f t="shared" si="5"/>
        <v>0</v>
      </c>
      <c r="W3770" s="168">
        <f t="shared" si="6"/>
        <v>0</v>
      </c>
      <c r="X3770" s="168">
        <f t="shared" si="7"/>
        <v>0</v>
      </c>
      <c r="Y3770" s="168">
        <f t="shared" si="8"/>
        <v>0</v>
      </c>
      <c r="Z3770" s="168">
        <f t="shared" si="9"/>
        <v>0</v>
      </c>
    </row>
    <row r="3771" ht="15.0" customHeight="1">
      <c r="A3771" s="157" t="s">
        <v>4748</v>
      </c>
      <c r="B3771" s="158" t="s">
        <v>27</v>
      </c>
      <c r="C3771" s="158" t="s">
        <v>4749</v>
      </c>
      <c r="D3771" s="159">
        <v>44991.0</v>
      </c>
      <c r="E3771" s="157" t="s">
        <v>731</v>
      </c>
      <c r="F3771" s="160">
        <v>238.98</v>
      </c>
      <c r="G3771" s="160">
        <f>'FACP$'!$F3771*0.16</f>
        <v>38.2368</v>
      </c>
      <c r="H3771" s="160">
        <f t="shared" si="122"/>
        <v>277.2168</v>
      </c>
      <c r="I3771" s="160"/>
      <c r="J3771" s="161"/>
      <c r="K3771" s="160"/>
      <c r="L3771" s="160">
        <f>+'FACP$'!$H3771-'FACP$'!$I3771-'FACP$'!$K3771</f>
        <v>277.2168</v>
      </c>
      <c r="M3771" s="162" t="s">
        <v>151</v>
      </c>
      <c r="N3771" s="162" t="s">
        <v>554</v>
      </c>
      <c r="O3771" s="164">
        <v>45007.0</v>
      </c>
      <c r="P3771" s="164">
        <f t="array" ref="P3771">XLOOKUP('FACP$'!$B3771,'perfil de pagos'!$A$4:$A$46,'perfil de pagos'!$B$4:$B$46+'FACP$'!$D3771)</f>
        <v>45021</v>
      </c>
      <c r="Q3771" s="165">
        <f t="shared" si="2"/>
        <v>0</v>
      </c>
      <c r="R3771" s="167"/>
      <c r="S3771" s="167">
        <v>2052.0</v>
      </c>
      <c r="T3771" s="168">
        <f t="shared" si="3"/>
        <v>277.2168</v>
      </c>
      <c r="U3771" s="168">
        <f t="shared" si="4"/>
        <v>0</v>
      </c>
      <c r="V3771" s="168">
        <f t="shared" si="5"/>
        <v>0</v>
      </c>
      <c r="W3771" s="168">
        <f t="shared" si="6"/>
        <v>0</v>
      </c>
      <c r="X3771" s="168">
        <f t="shared" si="7"/>
        <v>0</v>
      </c>
      <c r="Y3771" s="168">
        <f t="shared" si="8"/>
        <v>0</v>
      </c>
      <c r="Z3771" s="168">
        <f t="shared" si="9"/>
        <v>0</v>
      </c>
    </row>
    <row r="3772" ht="15.0" customHeight="1">
      <c r="A3772" s="157" t="s">
        <v>4750</v>
      </c>
      <c r="B3772" s="158" t="s">
        <v>27</v>
      </c>
      <c r="C3772" s="158" t="s">
        <v>4751</v>
      </c>
      <c r="D3772" s="159">
        <v>44991.0</v>
      </c>
      <c r="E3772" s="157" t="s">
        <v>731</v>
      </c>
      <c r="F3772" s="160">
        <v>307.67</v>
      </c>
      <c r="G3772" s="160">
        <f>'FACP$'!$F3772*0.16</f>
        <v>49.2272</v>
      </c>
      <c r="H3772" s="160">
        <f t="shared" si="122"/>
        <v>356.8972</v>
      </c>
      <c r="I3772" s="160"/>
      <c r="J3772" s="161"/>
      <c r="K3772" s="160"/>
      <c r="L3772" s="160">
        <f>+'FACP$'!$H3772-'FACP$'!$I3772-'FACP$'!$K3772</f>
        <v>356.8972</v>
      </c>
      <c r="M3772" s="162" t="s">
        <v>151</v>
      </c>
      <c r="N3772" s="162" t="s">
        <v>554</v>
      </c>
      <c r="O3772" s="164">
        <v>45007.0</v>
      </c>
      <c r="P3772" s="164">
        <f t="array" ref="P3772">XLOOKUP('FACP$'!$B3772,'perfil de pagos'!$A$4:$A$46,'perfil de pagos'!$B$4:$B$46+'FACP$'!$D3772)</f>
        <v>45021</v>
      </c>
      <c r="Q3772" s="165">
        <f t="shared" si="2"/>
        <v>0</v>
      </c>
      <c r="R3772" s="167"/>
      <c r="S3772" s="167">
        <v>2052.0</v>
      </c>
      <c r="T3772" s="168">
        <f t="shared" si="3"/>
        <v>356.8972</v>
      </c>
      <c r="U3772" s="168">
        <f t="shared" si="4"/>
        <v>0</v>
      </c>
      <c r="V3772" s="168">
        <f t="shared" si="5"/>
        <v>0</v>
      </c>
      <c r="W3772" s="168">
        <f t="shared" si="6"/>
        <v>0</v>
      </c>
      <c r="X3772" s="168">
        <f t="shared" si="7"/>
        <v>0</v>
      </c>
      <c r="Y3772" s="168">
        <f t="shared" si="8"/>
        <v>0</v>
      </c>
      <c r="Z3772" s="168">
        <f t="shared" si="9"/>
        <v>0</v>
      </c>
    </row>
    <row r="3773" ht="15.0" customHeight="1">
      <c r="A3773" s="157" t="s">
        <v>4752</v>
      </c>
      <c r="B3773" s="158" t="s">
        <v>16</v>
      </c>
      <c r="C3773" s="158" t="s">
        <v>4753</v>
      </c>
      <c r="D3773" s="159">
        <v>44991.0</v>
      </c>
      <c r="E3773" s="157" t="s">
        <v>731</v>
      </c>
      <c r="F3773" s="160">
        <v>3997.28</v>
      </c>
      <c r="G3773" s="160">
        <f>'FACP$'!$F3773*0.16</f>
        <v>639.5648</v>
      </c>
      <c r="H3773" s="160">
        <f t="shared" si="122"/>
        <v>4636.8448</v>
      </c>
      <c r="I3773" s="160"/>
      <c r="J3773" s="161"/>
      <c r="K3773" s="160"/>
      <c r="L3773" s="160">
        <f>+'FACP$'!$H3773-'FACP$'!$I3773-'FACP$'!$K3773</f>
        <v>4636.8448</v>
      </c>
      <c r="M3773" s="162" t="s">
        <v>985</v>
      </c>
      <c r="N3773" s="162" t="s">
        <v>554</v>
      </c>
      <c r="O3773" s="164">
        <v>45015.0</v>
      </c>
      <c r="P3773" s="164">
        <f t="array" ref="P3773">XLOOKUP('FACP$'!$B3773,'perfil de pagos'!$A$4:$A$46,'perfil de pagos'!$B$4:$B$46+'FACP$'!$D3773)</f>
        <v>45001</v>
      </c>
      <c r="Q3773" s="165">
        <f t="shared" si="2"/>
        <v>0</v>
      </c>
      <c r="R3773" s="167"/>
      <c r="S3773" s="167">
        <v>2072.0</v>
      </c>
      <c r="T3773" s="168">
        <f t="shared" si="3"/>
        <v>4636.8448</v>
      </c>
      <c r="U3773" s="168">
        <f t="shared" si="4"/>
        <v>0</v>
      </c>
      <c r="V3773" s="168">
        <f t="shared" si="5"/>
        <v>0</v>
      </c>
      <c r="W3773" s="168">
        <f t="shared" si="6"/>
        <v>0</v>
      </c>
      <c r="X3773" s="168">
        <f t="shared" si="7"/>
        <v>0</v>
      </c>
      <c r="Y3773" s="168">
        <f t="shared" si="8"/>
        <v>0</v>
      </c>
      <c r="Z3773" s="168">
        <f t="shared" si="9"/>
        <v>0</v>
      </c>
    </row>
    <row r="3774" ht="15.0" customHeight="1">
      <c r="A3774" s="157" t="s">
        <v>4754</v>
      </c>
      <c r="B3774" s="158" t="s">
        <v>16</v>
      </c>
      <c r="C3774" s="158" t="s">
        <v>4755</v>
      </c>
      <c r="D3774" s="159">
        <v>44991.0</v>
      </c>
      <c r="E3774" s="157" t="s">
        <v>731</v>
      </c>
      <c r="F3774" s="160">
        <v>5552.35</v>
      </c>
      <c r="G3774" s="160">
        <f>'FACP$'!$F3774*0.16</f>
        <v>888.376</v>
      </c>
      <c r="H3774" s="160">
        <f t="shared" si="122"/>
        <v>6440.726</v>
      </c>
      <c r="I3774" s="160"/>
      <c r="J3774" s="161"/>
      <c r="K3774" s="160"/>
      <c r="L3774" s="160">
        <f>+'FACP$'!$H3774-'FACP$'!$I3774-'FACP$'!$K3774</f>
        <v>6440.726</v>
      </c>
      <c r="M3774" s="162" t="s">
        <v>985</v>
      </c>
      <c r="N3774" s="162" t="s">
        <v>554</v>
      </c>
      <c r="O3774" s="164">
        <v>45015.0</v>
      </c>
      <c r="P3774" s="164">
        <f t="array" ref="P3774">XLOOKUP('FACP$'!$B3774,'perfil de pagos'!$A$4:$A$46,'perfil de pagos'!$B$4:$B$46+'FACP$'!$D3774)</f>
        <v>45001</v>
      </c>
      <c r="Q3774" s="165">
        <f t="shared" si="2"/>
        <v>0</v>
      </c>
      <c r="R3774" s="167"/>
      <c r="S3774" s="167">
        <v>2072.0</v>
      </c>
      <c r="T3774" s="168">
        <f t="shared" si="3"/>
        <v>6440.726</v>
      </c>
      <c r="U3774" s="168">
        <f t="shared" si="4"/>
        <v>0</v>
      </c>
      <c r="V3774" s="168">
        <f t="shared" si="5"/>
        <v>0</v>
      </c>
      <c r="W3774" s="168">
        <f t="shared" si="6"/>
        <v>0</v>
      </c>
      <c r="X3774" s="168">
        <f t="shared" si="7"/>
        <v>0</v>
      </c>
      <c r="Y3774" s="168">
        <f t="shared" si="8"/>
        <v>0</v>
      </c>
      <c r="Z3774" s="168">
        <f t="shared" si="9"/>
        <v>0</v>
      </c>
    </row>
    <row r="3775" ht="15.0" customHeight="1">
      <c r="A3775" s="157" t="s">
        <v>4756</v>
      </c>
      <c r="B3775" s="158" t="s">
        <v>18</v>
      </c>
      <c r="C3775" s="158" t="s">
        <v>4753</v>
      </c>
      <c r="D3775" s="159">
        <v>44991.0</v>
      </c>
      <c r="E3775" s="157" t="s">
        <v>731</v>
      </c>
      <c r="F3775" s="160">
        <v>1389.33</v>
      </c>
      <c r="G3775" s="160">
        <f>'FACP$'!$F3775*0.16</f>
        <v>222.2928</v>
      </c>
      <c r="H3775" s="160">
        <f t="shared" si="122"/>
        <v>1611.6228</v>
      </c>
      <c r="I3775" s="160"/>
      <c r="J3775" s="161"/>
      <c r="K3775" s="160"/>
      <c r="L3775" s="160">
        <f>+'FACP$'!$H3775-'FACP$'!$I3775-'FACP$'!$K3775</f>
        <v>1611.6228</v>
      </c>
      <c r="M3775" s="162" t="s">
        <v>586</v>
      </c>
      <c r="N3775" s="162" t="s">
        <v>127</v>
      </c>
      <c r="O3775" s="164"/>
      <c r="P3775" s="164">
        <f t="array" ref="P3775">XLOOKUP('FACP$'!$B3775,'perfil de pagos'!$A$4:$A$46,'perfil de pagos'!$B$4:$B$46+'FACP$'!$D3775)</f>
        <v>45001</v>
      </c>
      <c r="Q3775" s="165">
        <f t="shared" si="2"/>
        <v>0</v>
      </c>
      <c r="R3775" s="167" t="s">
        <v>4757</v>
      </c>
      <c r="S3775" s="167"/>
      <c r="T3775" s="168">
        <f t="shared" si="3"/>
        <v>1611.6228</v>
      </c>
      <c r="U3775" s="168">
        <f t="shared" si="4"/>
        <v>0</v>
      </c>
      <c r="V3775" s="168">
        <f t="shared" si="5"/>
        <v>0</v>
      </c>
      <c r="W3775" s="168">
        <f t="shared" si="6"/>
        <v>0</v>
      </c>
      <c r="X3775" s="168">
        <f t="shared" si="7"/>
        <v>0</v>
      </c>
      <c r="Y3775" s="168">
        <f t="shared" si="8"/>
        <v>0</v>
      </c>
      <c r="Z3775" s="168">
        <f t="shared" si="9"/>
        <v>0</v>
      </c>
    </row>
    <row r="3776" ht="15.0" customHeight="1">
      <c r="A3776" s="157" t="s">
        <v>4758</v>
      </c>
      <c r="B3776" s="158" t="s">
        <v>19</v>
      </c>
      <c r="C3776" s="158" t="s">
        <v>4753</v>
      </c>
      <c r="D3776" s="159">
        <v>44991.0</v>
      </c>
      <c r="E3776" s="157" t="s">
        <v>731</v>
      </c>
      <c r="F3776" s="160">
        <v>2345.83</v>
      </c>
      <c r="G3776" s="160">
        <f>'FACP$'!$F3776*0.16</f>
        <v>375.3328</v>
      </c>
      <c r="H3776" s="160">
        <f t="shared" si="122"/>
        <v>2721.1628</v>
      </c>
      <c r="I3776" s="160"/>
      <c r="J3776" s="161"/>
      <c r="K3776" s="160"/>
      <c r="L3776" s="160">
        <f>+'FACP$'!$H3776-'FACP$'!$I3776-'FACP$'!$K3776</f>
        <v>2721.1628</v>
      </c>
      <c r="M3776" s="162" t="s">
        <v>732</v>
      </c>
      <c r="N3776" s="162" t="s">
        <v>554</v>
      </c>
      <c r="O3776" s="164">
        <v>45021.0</v>
      </c>
      <c r="P3776" s="164">
        <f t="array" ref="P3776">XLOOKUP('FACP$'!$B3776,'perfil de pagos'!$A$4:$A$46,'perfil de pagos'!$B$4:$B$46+'FACP$'!$D3776)</f>
        <v>45001</v>
      </c>
      <c r="Q3776" s="165">
        <f t="shared" si="2"/>
        <v>0</v>
      </c>
      <c r="R3776" s="167"/>
      <c r="S3776" s="167">
        <v>2087.0</v>
      </c>
      <c r="T3776" s="168">
        <f t="shared" si="3"/>
        <v>2721.1628</v>
      </c>
      <c r="U3776" s="168">
        <f t="shared" si="4"/>
        <v>0</v>
      </c>
      <c r="V3776" s="168">
        <f t="shared" si="5"/>
        <v>0</v>
      </c>
      <c r="W3776" s="168">
        <f t="shared" si="6"/>
        <v>0</v>
      </c>
      <c r="X3776" s="168">
        <f t="shared" si="7"/>
        <v>0</v>
      </c>
      <c r="Y3776" s="168">
        <f t="shared" si="8"/>
        <v>0</v>
      </c>
      <c r="Z3776" s="168">
        <f t="shared" si="9"/>
        <v>0</v>
      </c>
    </row>
    <row r="3777" ht="15.0" customHeight="1">
      <c r="A3777" s="157" t="s">
        <v>4759</v>
      </c>
      <c r="B3777" s="158" t="s">
        <v>22</v>
      </c>
      <c r="C3777" s="158" t="s">
        <v>4753</v>
      </c>
      <c r="D3777" s="159">
        <v>44991.0</v>
      </c>
      <c r="E3777" s="157" t="s">
        <v>731</v>
      </c>
      <c r="F3777" s="160">
        <v>2650.33</v>
      </c>
      <c r="G3777" s="160">
        <f>'FACP$'!$F3777*0.16</f>
        <v>424.0528</v>
      </c>
      <c r="H3777" s="160">
        <f t="shared" si="122"/>
        <v>3074.3828</v>
      </c>
      <c r="I3777" s="160"/>
      <c r="J3777" s="161"/>
      <c r="K3777" s="160"/>
      <c r="L3777" s="160">
        <f>+'FACP$'!$H3777-'FACP$'!$I3777-'FACP$'!$K3777</f>
        <v>3074.3828</v>
      </c>
      <c r="M3777" s="162" t="s">
        <v>220</v>
      </c>
      <c r="N3777" s="162" t="s">
        <v>554</v>
      </c>
      <c r="O3777" s="164">
        <v>45012.0</v>
      </c>
      <c r="P3777" s="164">
        <f t="array" ref="P3777">XLOOKUP('FACP$'!$B3777,'perfil de pagos'!$A$4:$A$46,'perfil de pagos'!$B$4:$B$46+'FACP$'!$D3777)</f>
        <v>45001</v>
      </c>
      <c r="Q3777" s="165">
        <f t="shared" si="2"/>
        <v>0</v>
      </c>
      <c r="R3777" s="167"/>
      <c r="S3777" s="167">
        <v>2062.0</v>
      </c>
      <c r="T3777" s="168">
        <f t="shared" si="3"/>
        <v>3074.3828</v>
      </c>
      <c r="U3777" s="168">
        <f t="shared" si="4"/>
        <v>0</v>
      </c>
      <c r="V3777" s="168">
        <f t="shared" si="5"/>
        <v>0</v>
      </c>
      <c r="W3777" s="168">
        <f t="shared" si="6"/>
        <v>0</v>
      </c>
      <c r="X3777" s="168">
        <f t="shared" si="7"/>
        <v>0</v>
      </c>
      <c r="Y3777" s="168">
        <f t="shared" si="8"/>
        <v>0</v>
      </c>
      <c r="Z3777" s="168">
        <f t="shared" si="9"/>
        <v>0</v>
      </c>
    </row>
    <row r="3778" ht="15.0" customHeight="1">
      <c r="A3778" s="157" t="s">
        <v>4760</v>
      </c>
      <c r="B3778" s="158" t="s">
        <v>25</v>
      </c>
      <c r="C3778" s="158" t="s">
        <v>4753</v>
      </c>
      <c r="D3778" s="159">
        <v>44991.0</v>
      </c>
      <c r="E3778" s="157" t="s">
        <v>731</v>
      </c>
      <c r="F3778" s="160">
        <v>878.69</v>
      </c>
      <c r="G3778" s="160">
        <f>'FACP$'!$F3778*0.16</f>
        <v>140.5904</v>
      </c>
      <c r="H3778" s="160">
        <f t="shared" si="122"/>
        <v>1019.2804</v>
      </c>
      <c r="I3778" s="160"/>
      <c r="J3778" s="161"/>
      <c r="K3778" s="160"/>
      <c r="L3778" s="160">
        <f>+'FACP$'!$H3778-'FACP$'!$I3778-'FACP$'!$K3778</f>
        <v>1019.2804</v>
      </c>
      <c r="M3778" s="162" t="s">
        <v>4388</v>
      </c>
      <c r="N3778" s="162" t="s">
        <v>554</v>
      </c>
      <c r="O3778" s="164">
        <v>45021.0</v>
      </c>
      <c r="P3778" s="164">
        <f t="array" ref="P3778">XLOOKUP('FACP$'!$B3778,'perfil de pagos'!$A$4:$A$46,'perfil de pagos'!$B$4:$B$46+'FACP$'!$D3778)</f>
        <v>45001</v>
      </c>
      <c r="Q3778" s="165">
        <f t="shared" si="2"/>
        <v>0</v>
      </c>
      <c r="R3778" s="167"/>
      <c r="S3778" s="167">
        <v>2125.0</v>
      </c>
      <c r="T3778" s="168">
        <f t="shared" si="3"/>
        <v>1019.2804</v>
      </c>
      <c r="U3778" s="168">
        <f t="shared" si="4"/>
        <v>0</v>
      </c>
      <c r="V3778" s="168">
        <f t="shared" si="5"/>
        <v>0</v>
      </c>
      <c r="W3778" s="168">
        <f t="shared" si="6"/>
        <v>0</v>
      </c>
      <c r="X3778" s="168">
        <f t="shared" si="7"/>
        <v>0</v>
      </c>
      <c r="Y3778" s="168">
        <f t="shared" si="8"/>
        <v>0</v>
      </c>
      <c r="Z3778" s="168">
        <f t="shared" si="9"/>
        <v>0</v>
      </c>
    </row>
    <row r="3779" ht="15.0" customHeight="1">
      <c r="A3779" s="157" t="s">
        <v>4761</v>
      </c>
      <c r="B3779" s="158" t="s">
        <v>29</v>
      </c>
      <c r="C3779" s="158" t="s">
        <v>4753</v>
      </c>
      <c r="D3779" s="159">
        <v>44991.0</v>
      </c>
      <c r="E3779" s="157" t="s">
        <v>731</v>
      </c>
      <c r="F3779" s="160">
        <v>5031.25</v>
      </c>
      <c r="G3779" s="160">
        <f>'FACP$'!$F3779*0.16</f>
        <v>805</v>
      </c>
      <c r="H3779" s="160">
        <f t="shared" si="122"/>
        <v>5836.25</v>
      </c>
      <c r="I3779" s="160"/>
      <c r="J3779" s="161"/>
      <c r="K3779" s="160"/>
      <c r="L3779" s="160">
        <f>+'FACP$'!$H3779-'FACP$'!$I3779-'FACP$'!$K3779</f>
        <v>5836.25</v>
      </c>
      <c r="M3779" s="162" t="s">
        <v>130</v>
      </c>
      <c r="N3779" s="162" t="s">
        <v>554</v>
      </c>
      <c r="O3779" s="164">
        <v>44998.0</v>
      </c>
      <c r="P3779" s="164">
        <f t="array" ref="P3779">XLOOKUP('FACP$'!$B3779,'perfil de pagos'!$A$4:$A$46,'perfil de pagos'!$B$4:$B$46+'FACP$'!$D3779)</f>
        <v>45001</v>
      </c>
      <c r="Q3779" s="165">
        <f t="shared" si="2"/>
        <v>0</v>
      </c>
      <c r="R3779" s="167"/>
      <c r="S3779" s="167">
        <v>2027.0</v>
      </c>
      <c r="T3779" s="168">
        <f t="shared" si="3"/>
        <v>5836.25</v>
      </c>
      <c r="U3779" s="168">
        <f t="shared" si="4"/>
        <v>0</v>
      </c>
      <c r="V3779" s="168">
        <f t="shared" si="5"/>
        <v>0</v>
      </c>
      <c r="W3779" s="168">
        <f t="shared" si="6"/>
        <v>0</v>
      </c>
      <c r="X3779" s="168">
        <f t="shared" si="7"/>
        <v>0</v>
      </c>
      <c r="Y3779" s="168">
        <f t="shared" si="8"/>
        <v>0</v>
      </c>
      <c r="Z3779" s="168">
        <f t="shared" si="9"/>
        <v>0</v>
      </c>
    </row>
    <row r="3780" ht="15.0" customHeight="1">
      <c r="A3780" s="157" t="s">
        <v>4762</v>
      </c>
      <c r="B3780" s="158" t="s">
        <v>29</v>
      </c>
      <c r="C3780" s="158" t="s">
        <v>4755</v>
      </c>
      <c r="D3780" s="159">
        <v>44991.0</v>
      </c>
      <c r="E3780" s="157" t="s">
        <v>731</v>
      </c>
      <c r="F3780" s="160">
        <v>8308.31</v>
      </c>
      <c r="G3780" s="160">
        <f>'FACP$'!$F3780*0.16</f>
        <v>1329.3296</v>
      </c>
      <c r="H3780" s="160">
        <f t="shared" si="122"/>
        <v>9637.6396</v>
      </c>
      <c r="I3780" s="160"/>
      <c r="J3780" s="161"/>
      <c r="K3780" s="160"/>
      <c r="L3780" s="160">
        <f>+'FACP$'!$H3780-'FACP$'!$I3780-'FACP$'!$K3780</f>
        <v>9637.6396</v>
      </c>
      <c r="M3780" s="162" t="s">
        <v>130</v>
      </c>
      <c r="N3780" s="162" t="s">
        <v>554</v>
      </c>
      <c r="O3780" s="164">
        <v>45006.0</v>
      </c>
      <c r="P3780" s="164">
        <f t="array" ref="P3780">XLOOKUP('FACP$'!$B3780,'perfil de pagos'!$A$4:$A$46,'perfil de pagos'!$B$4:$B$46+'FACP$'!$D3780)</f>
        <v>45001</v>
      </c>
      <c r="Q3780" s="165">
        <f t="shared" si="2"/>
        <v>0</v>
      </c>
      <c r="R3780" s="167"/>
      <c r="S3780" s="167">
        <v>2036.0</v>
      </c>
      <c r="T3780" s="168">
        <f t="shared" si="3"/>
        <v>9637.6396</v>
      </c>
      <c r="U3780" s="168">
        <f t="shared" si="4"/>
        <v>0</v>
      </c>
      <c r="V3780" s="168">
        <f t="shared" si="5"/>
        <v>0</v>
      </c>
      <c r="W3780" s="168">
        <f t="shared" si="6"/>
        <v>0</v>
      </c>
      <c r="X3780" s="168">
        <f t="shared" si="7"/>
        <v>0</v>
      </c>
      <c r="Y3780" s="168">
        <f t="shared" si="8"/>
        <v>0</v>
      </c>
      <c r="Z3780" s="168">
        <f t="shared" si="9"/>
        <v>0</v>
      </c>
    </row>
    <row r="3781" ht="15.0" customHeight="1">
      <c r="A3781" s="157" t="s">
        <v>4763</v>
      </c>
      <c r="B3781" s="158" t="s">
        <v>37</v>
      </c>
      <c r="C3781" s="158" t="s">
        <v>4753</v>
      </c>
      <c r="D3781" s="159">
        <v>44991.0</v>
      </c>
      <c r="E3781" s="157" t="s">
        <v>731</v>
      </c>
      <c r="F3781" s="160">
        <v>24974.9</v>
      </c>
      <c r="G3781" s="160">
        <f>'FACP$'!$F3781*0.16</f>
        <v>3995.984</v>
      </c>
      <c r="H3781" s="160">
        <f t="shared" si="122"/>
        <v>28970.884</v>
      </c>
      <c r="I3781" s="160"/>
      <c r="J3781" s="161"/>
      <c r="K3781" s="160"/>
      <c r="L3781" s="160">
        <f>+'FACP$'!$H3781-'FACP$'!$I3781-'FACP$'!$K3781</f>
        <v>28970.884</v>
      </c>
      <c r="M3781" s="162" t="s">
        <v>116</v>
      </c>
      <c r="N3781" s="162" t="s">
        <v>554</v>
      </c>
      <c r="O3781" s="164">
        <v>45006.0</v>
      </c>
      <c r="P3781" s="164">
        <f t="array" ref="P3781">XLOOKUP('FACP$'!$B3781,'perfil de pagos'!$A$4:$A$46,'perfil de pagos'!$B$4:$B$46+'FACP$'!$D3781)</f>
        <v>45001</v>
      </c>
      <c r="Q3781" s="165">
        <f t="shared" si="2"/>
        <v>0</v>
      </c>
      <c r="R3781" s="167"/>
      <c r="S3781" s="167">
        <v>2038.0</v>
      </c>
      <c r="T3781" s="168">
        <f t="shared" si="3"/>
        <v>28970.884</v>
      </c>
      <c r="U3781" s="168">
        <f t="shared" si="4"/>
        <v>0</v>
      </c>
      <c r="V3781" s="168">
        <f t="shared" si="5"/>
        <v>0</v>
      </c>
      <c r="W3781" s="168">
        <f t="shared" si="6"/>
        <v>0</v>
      </c>
      <c r="X3781" s="168">
        <f t="shared" si="7"/>
        <v>0</v>
      </c>
      <c r="Y3781" s="168">
        <f t="shared" si="8"/>
        <v>0</v>
      </c>
      <c r="Z3781" s="168">
        <f t="shared" si="9"/>
        <v>0</v>
      </c>
    </row>
    <row r="3782" ht="15.0" customHeight="1">
      <c r="A3782" s="157" t="s">
        <v>4764</v>
      </c>
      <c r="B3782" s="158" t="s">
        <v>38</v>
      </c>
      <c r="C3782" s="158" t="s">
        <v>4753</v>
      </c>
      <c r="D3782" s="159">
        <v>44993.0</v>
      </c>
      <c r="E3782" s="157" t="s">
        <v>731</v>
      </c>
      <c r="F3782" s="160">
        <v>12608.25</v>
      </c>
      <c r="G3782" s="160">
        <f>'FACP$'!$F3782*0.16</f>
        <v>2017.32</v>
      </c>
      <c r="H3782" s="160">
        <f t="shared" si="122"/>
        <v>14625.57</v>
      </c>
      <c r="I3782" s="160"/>
      <c r="J3782" s="161"/>
      <c r="K3782" s="160"/>
      <c r="L3782" s="160">
        <f>+'FACP$'!$H3782-'FACP$'!$I3782-'FACP$'!$K3782</f>
        <v>14625.57</v>
      </c>
      <c r="M3782" s="162" t="s">
        <v>145</v>
      </c>
      <c r="N3782" s="162" t="s">
        <v>554</v>
      </c>
      <c r="O3782" s="164">
        <v>45030.0</v>
      </c>
      <c r="P3782" s="164">
        <f t="array" ref="P3782">XLOOKUP('FACP$'!$B3782,'perfil de pagos'!$A$4:$A$46,'perfil de pagos'!$B$4:$B$46+'FACP$'!$D3782)</f>
        <v>45023</v>
      </c>
      <c r="Q3782" s="165">
        <f t="shared" si="2"/>
        <v>0</v>
      </c>
      <c r="R3782" s="167"/>
      <c r="S3782" s="167">
        <v>2097.0</v>
      </c>
      <c r="T3782" s="168">
        <f t="shared" si="3"/>
        <v>14625.57</v>
      </c>
      <c r="U3782" s="168">
        <f t="shared" si="4"/>
        <v>0</v>
      </c>
      <c r="V3782" s="168">
        <f t="shared" si="5"/>
        <v>0</v>
      </c>
      <c r="W3782" s="168">
        <f t="shared" si="6"/>
        <v>0</v>
      </c>
      <c r="X3782" s="168">
        <f t="shared" si="7"/>
        <v>0</v>
      </c>
      <c r="Y3782" s="168">
        <f t="shared" si="8"/>
        <v>0</v>
      </c>
      <c r="Z3782" s="168">
        <f t="shared" si="9"/>
        <v>0</v>
      </c>
    </row>
    <row r="3783" ht="15.0" customHeight="1">
      <c r="A3783" s="157" t="s">
        <v>4765</v>
      </c>
      <c r="B3783" s="158" t="s">
        <v>38</v>
      </c>
      <c r="C3783" s="158" t="s">
        <v>4753</v>
      </c>
      <c r="D3783" s="159">
        <v>44993.0</v>
      </c>
      <c r="E3783" s="157" t="s">
        <v>731</v>
      </c>
      <c r="F3783" s="160">
        <v>1244.14</v>
      </c>
      <c r="G3783" s="160">
        <f>'FACP$'!$F3783*0.16</f>
        <v>199.0624</v>
      </c>
      <c r="H3783" s="160">
        <f t="shared" si="122"/>
        <v>1443.2024</v>
      </c>
      <c r="I3783" s="160"/>
      <c r="J3783" s="161"/>
      <c r="K3783" s="160"/>
      <c r="L3783" s="160">
        <f>+'FACP$'!$H3783-'FACP$'!$I3783-'FACP$'!$K3783</f>
        <v>1443.2024</v>
      </c>
      <c r="M3783" s="162" t="s">
        <v>642</v>
      </c>
      <c r="N3783" s="162" t="s">
        <v>554</v>
      </c>
      <c r="O3783" s="164">
        <v>45030.0</v>
      </c>
      <c r="P3783" s="164">
        <f t="array" ref="P3783">XLOOKUP('FACP$'!$B3783,'perfil de pagos'!$A$4:$A$46,'perfil de pagos'!$B$4:$B$46+'FACP$'!$D3783)</f>
        <v>45023</v>
      </c>
      <c r="Q3783" s="165">
        <f t="shared" si="2"/>
        <v>0</v>
      </c>
      <c r="R3783" s="167"/>
      <c r="S3783" s="167">
        <v>2097.0</v>
      </c>
      <c r="T3783" s="168">
        <f t="shared" si="3"/>
        <v>1443.2024</v>
      </c>
      <c r="U3783" s="168">
        <f t="shared" si="4"/>
        <v>0</v>
      </c>
      <c r="V3783" s="168">
        <f t="shared" si="5"/>
        <v>0</v>
      </c>
      <c r="W3783" s="168">
        <f t="shared" si="6"/>
        <v>0</v>
      </c>
      <c r="X3783" s="168">
        <f t="shared" si="7"/>
        <v>0</v>
      </c>
      <c r="Y3783" s="168">
        <f t="shared" si="8"/>
        <v>0</v>
      </c>
      <c r="Z3783" s="168">
        <f t="shared" si="9"/>
        <v>0</v>
      </c>
    </row>
    <row r="3784" ht="15.0" customHeight="1">
      <c r="A3784" s="157" t="s">
        <v>4766</v>
      </c>
      <c r="B3784" s="158" t="s">
        <v>38</v>
      </c>
      <c r="C3784" s="158" t="s">
        <v>4767</v>
      </c>
      <c r="D3784" s="159">
        <v>44993.0</v>
      </c>
      <c r="E3784" s="157" t="s">
        <v>731</v>
      </c>
      <c r="F3784" s="160">
        <v>13367.28</v>
      </c>
      <c r="G3784" s="160">
        <f>'FACP$'!$F3784*0.16</f>
        <v>2138.7648</v>
      </c>
      <c r="H3784" s="160">
        <f t="shared" si="122"/>
        <v>15506.0448</v>
      </c>
      <c r="I3784" s="160"/>
      <c r="J3784" s="161"/>
      <c r="K3784" s="160"/>
      <c r="L3784" s="160">
        <f>+'FACP$'!$H3784-'FACP$'!$I3784-'FACP$'!$K3784</f>
        <v>15506.0448</v>
      </c>
      <c r="M3784" s="162" t="s">
        <v>4707</v>
      </c>
      <c r="N3784" s="162" t="s">
        <v>554</v>
      </c>
      <c r="O3784" s="164">
        <v>45055.0</v>
      </c>
      <c r="P3784" s="164">
        <f t="array" ref="P3784">XLOOKUP('FACP$'!$B3784,'perfil de pagos'!$A$4:$A$46,'perfil de pagos'!$B$4:$B$46+'FACP$'!$D3784)</f>
        <v>45023</v>
      </c>
      <c r="Q3784" s="165">
        <f t="shared" si="2"/>
        <v>0</v>
      </c>
      <c r="R3784" s="167"/>
      <c r="S3784" s="167">
        <v>2163.0</v>
      </c>
      <c r="T3784" s="168">
        <f t="shared" si="3"/>
        <v>15506.0448</v>
      </c>
      <c r="U3784" s="168">
        <f t="shared" si="4"/>
        <v>0</v>
      </c>
      <c r="V3784" s="168">
        <f t="shared" si="5"/>
        <v>0</v>
      </c>
      <c r="W3784" s="168">
        <f t="shared" si="6"/>
        <v>0</v>
      </c>
      <c r="X3784" s="168">
        <f t="shared" si="7"/>
        <v>0</v>
      </c>
      <c r="Y3784" s="168">
        <f t="shared" si="8"/>
        <v>0</v>
      </c>
      <c r="Z3784" s="168">
        <f t="shared" si="9"/>
        <v>0</v>
      </c>
    </row>
    <row r="3785" ht="15.0" customHeight="1">
      <c r="A3785" s="157" t="s">
        <v>4768</v>
      </c>
      <c r="B3785" s="158" t="s">
        <v>38</v>
      </c>
      <c r="C3785" s="158" t="s">
        <v>4769</v>
      </c>
      <c r="D3785" s="159">
        <v>44993.0</v>
      </c>
      <c r="E3785" s="157" t="s">
        <v>731</v>
      </c>
      <c r="F3785" s="160">
        <v>28444.92</v>
      </c>
      <c r="G3785" s="160">
        <f>'FACP$'!$F3785*0.16</f>
        <v>4551.1872</v>
      </c>
      <c r="H3785" s="160">
        <f t="shared" si="122"/>
        <v>32996.1072</v>
      </c>
      <c r="I3785" s="160"/>
      <c r="J3785" s="161"/>
      <c r="K3785" s="160"/>
      <c r="L3785" s="160">
        <f>+'FACP$'!$H3785-'FACP$'!$I3785-'FACP$'!$K3785</f>
        <v>32996.1072</v>
      </c>
      <c r="M3785" s="162" t="s">
        <v>4707</v>
      </c>
      <c r="N3785" s="162" t="s">
        <v>554</v>
      </c>
      <c r="O3785" s="164">
        <v>45055.0</v>
      </c>
      <c r="P3785" s="164">
        <f t="array" ref="P3785">XLOOKUP('FACP$'!$B3785,'perfil de pagos'!$A$4:$A$46,'perfil de pagos'!$B$4:$B$46+'FACP$'!$D3785)</f>
        <v>45023</v>
      </c>
      <c r="Q3785" s="165">
        <f t="shared" si="2"/>
        <v>0</v>
      </c>
      <c r="R3785" s="167"/>
      <c r="S3785" s="167">
        <v>2163.0</v>
      </c>
      <c r="T3785" s="168">
        <f t="shared" si="3"/>
        <v>32996.1072</v>
      </c>
      <c r="U3785" s="168">
        <f t="shared" si="4"/>
        <v>0</v>
      </c>
      <c r="V3785" s="168">
        <f t="shared" si="5"/>
        <v>0</v>
      </c>
      <c r="W3785" s="168">
        <f t="shared" si="6"/>
        <v>0</v>
      </c>
      <c r="X3785" s="168">
        <f t="shared" si="7"/>
        <v>0</v>
      </c>
      <c r="Y3785" s="168">
        <f t="shared" si="8"/>
        <v>0</v>
      </c>
      <c r="Z3785" s="168">
        <f t="shared" si="9"/>
        <v>0</v>
      </c>
    </row>
    <row r="3786" ht="15.0" customHeight="1">
      <c r="A3786" s="157" t="s">
        <v>4770</v>
      </c>
      <c r="B3786" s="158" t="s">
        <v>38</v>
      </c>
      <c r="C3786" s="158" t="s">
        <v>4767</v>
      </c>
      <c r="D3786" s="159">
        <v>44993.0</v>
      </c>
      <c r="E3786" s="157" t="s">
        <v>731</v>
      </c>
      <c r="F3786" s="160">
        <v>112243.05</v>
      </c>
      <c r="G3786" s="160">
        <f>'FACP$'!$F3786*0.16</f>
        <v>17958.888</v>
      </c>
      <c r="H3786" s="160">
        <f t="shared" si="122"/>
        <v>130201.938</v>
      </c>
      <c r="I3786" s="160"/>
      <c r="J3786" s="161"/>
      <c r="K3786" s="160"/>
      <c r="L3786" s="160">
        <f>+'FACP$'!$H3786-'FACP$'!$I3786-'FACP$'!$K3786</f>
        <v>130201.938</v>
      </c>
      <c r="M3786" s="162" t="s">
        <v>4654</v>
      </c>
      <c r="N3786" s="162" t="s">
        <v>554</v>
      </c>
      <c r="O3786" s="164">
        <v>45055.0</v>
      </c>
      <c r="P3786" s="164">
        <f t="array" ref="P3786">XLOOKUP('FACP$'!$B3786,'perfil de pagos'!$A$4:$A$46,'perfil de pagos'!$B$4:$B$46+'FACP$'!$D3786)</f>
        <v>45023</v>
      </c>
      <c r="Q3786" s="165">
        <f t="shared" si="2"/>
        <v>0</v>
      </c>
      <c r="R3786" s="167"/>
      <c r="S3786" s="167">
        <v>2163.0</v>
      </c>
      <c r="T3786" s="168">
        <f t="shared" si="3"/>
        <v>130201.938</v>
      </c>
      <c r="U3786" s="168">
        <f t="shared" si="4"/>
        <v>0</v>
      </c>
      <c r="V3786" s="168">
        <f t="shared" si="5"/>
        <v>0</v>
      </c>
      <c r="W3786" s="168">
        <f t="shared" si="6"/>
        <v>0</v>
      </c>
      <c r="X3786" s="168">
        <f t="shared" si="7"/>
        <v>0</v>
      </c>
      <c r="Y3786" s="168">
        <f t="shared" si="8"/>
        <v>0</v>
      </c>
      <c r="Z3786" s="168">
        <f t="shared" si="9"/>
        <v>0</v>
      </c>
    </row>
    <row r="3787" ht="15.0" customHeight="1">
      <c r="A3787" s="157" t="s">
        <v>4771</v>
      </c>
      <c r="B3787" s="158" t="s">
        <v>16</v>
      </c>
      <c r="C3787" s="158" t="s">
        <v>4767</v>
      </c>
      <c r="D3787" s="159">
        <v>44993.0</v>
      </c>
      <c r="E3787" s="157" t="s">
        <v>731</v>
      </c>
      <c r="F3787" s="160">
        <v>201818.1</v>
      </c>
      <c r="G3787" s="160">
        <f>'FACP$'!$F3787*0.16</f>
        <v>32290.896</v>
      </c>
      <c r="H3787" s="160">
        <f t="shared" si="122"/>
        <v>234108.996</v>
      </c>
      <c r="I3787" s="160"/>
      <c r="J3787" s="161"/>
      <c r="K3787" s="160"/>
      <c r="L3787" s="160">
        <f>+'FACP$'!$H3787-'FACP$'!$I3787-'FACP$'!$K3787</f>
        <v>234108.996</v>
      </c>
      <c r="M3787" s="162" t="s">
        <v>985</v>
      </c>
      <c r="N3787" s="162" t="s">
        <v>554</v>
      </c>
      <c r="O3787" s="164">
        <v>45012.0</v>
      </c>
      <c r="P3787" s="164">
        <f t="array" ref="P3787">XLOOKUP('FACP$'!$B3787,'perfil de pagos'!$A$4:$A$46,'perfil de pagos'!$B$4:$B$46+'FACP$'!$D3787)</f>
        <v>45003</v>
      </c>
      <c r="Q3787" s="165">
        <f t="shared" si="2"/>
        <v>0</v>
      </c>
      <c r="R3787" s="167"/>
      <c r="S3787" s="167">
        <v>2064.0</v>
      </c>
      <c r="T3787" s="168">
        <f t="shared" si="3"/>
        <v>234108.996</v>
      </c>
      <c r="U3787" s="168">
        <f t="shared" si="4"/>
        <v>0</v>
      </c>
      <c r="V3787" s="168">
        <f t="shared" si="5"/>
        <v>0</v>
      </c>
      <c r="W3787" s="168">
        <f t="shared" si="6"/>
        <v>0</v>
      </c>
      <c r="X3787" s="168">
        <f t="shared" si="7"/>
        <v>0</v>
      </c>
      <c r="Y3787" s="168">
        <f t="shared" si="8"/>
        <v>0</v>
      </c>
      <c r="Z3787" s="168">
        <f t="shared" si="9"/>
        <v>0</v>
      </c>
    </row>
    <row r="3788" ht="15.0" customHeight="1">
      <c r="A3788" s="157" t="s">
        <v>4772</v>
      </c>
      <c r="B3788" s="158" t="s">
        <v>16</v>
      </c>
      <c r="C3788" s="158" t="s">
        <v>4769</v>
      </c>
      <c r="D3788" s="159">
        <v>44993.0</v>
      </c>
      <c r="E3788" s="157" t="s">
        <v>731</v>
      </c>
      <c r="F3788" s="160">
        <v>344601.03</v>
      </c>
      <c r="G3788" s="160">
        <f>'FACP$'!$F3788*0.16</f>
        <v>55136.1648</v>
      </c>
      <c r="H3788" s="160">
        <f t="shared" si="122"/>
        <v>399737.1948</v>
      </c>
      <c r="I3788" s="160"/>
      <c r="J3788" s="161"/>
      <c r="K3788" s="160"/>
      <c r="L3788" s="160">
        <f>+'FACP$'!$H3788-'FACP$'!$I3788-'FACP$'!$K3788</f>
        <v>399737.1948</v>
      </c>
      <c r="M3788" s="162" t="s">
        <v>985</v>
      </c>
      <c r="N3788" s="162" t="s">
        <v>554</v>
      </c>
      <c r="O3788" s="164">
        <v>45012.0</v>
      </c>
      <c r="P3788" s="164">
        <f t="array" ref="P3788">XLOOKUP('FACP$'!$B3788,'perfil de pagos'!$A$4:$A$46,'perfil de pagos'!$B$4:$B$46+'FACP$'!$D3788)</f>
        <v>45003</v>
      </c>
      <c r="Q3788" s="165">
        <f t="shared" si="2"/>
        <v>0</v>
      </c>
      <c r="R3788" s="167"/>
      <c r="S3788" s="167">
        <v>2064.0</v>
      </c>
      <c r="T3788" s="168">
        <f t="shared" si="3"/>
        <v>399737.1948</v>
      </c>
      <c r="U3788" s="168">
        <f t="shared" si="4"/>
        <v>0</v>
      </c>
      <c r="V3788" s="168">
        <f t="shared" si="5"/>
        <v>0</v>
      </c>
      <c r="W3788" s="168">
        <f t="shared" si="6"/>
        <v>0</v>
      </c>
      <c r="X3788" s="168">
        <f t="shared" si="7"/>
        <v>0</v>
      </c>
      <c r="Y3788" s="168">
        <f t="shared" si="8"/>
        <v>0</v>
      </c>
      <c r="Z3788" s="168">
        <f t="shared" si="9"/>
        <v>0</v>
      </c>
    </row>
    <row r="3789" ht="15.0" customHeight="1">
      <c r="A3789" s="157" t="s">
        <v>4773</v>
      </c>
      <c r="B3789" s="158" t="s">
        <v>18</v>
      </c>
      <c r="C3789" s="158" t="s">
        <v>4767</v>
      </c>
      <c r="D3789" s="159">
        <v>44993.0</v>
      </c>
      <c r="E3789" s="157" t="s">
        <v>731</v>
      </c>
      <c r="F3789" s="160">
        <v>60844.46</v>
      </c>
      <c r="G3789" s="160">
        <f>'FACP$'!$F3789*0.16</f>
        <v>9735.1136</v>
      </c>
      <c r="H3789" s="160">
        <f t="shared" si="122"/>
        <v>70579.5736</v>
      </c>
      <c r="I3789" s="160"/>
      <c r="J3789" s="161"/>
      <c r="K3789" s="160"/>
      <c r="L3789" s="160">
        <f>+'FACP$'!$H3789-'FACP$'!$I3789-'FACP$'!$K3789</f>
        <v>70579.5736</v>
      </c>
      <c r="M3789" s="162" t="s">
        <v>586</v>
      </c>
      <c r="N3789" s="162" t="s">
        <v>554</v>
      </c>
      <c r="O3789" s="164">
        <v>45021.0</v>
      </c>
      <c r="P3789" s="164">
        <f t="array" ref="P3789">XLOOKUP('FACP$'!$B3789,'perfil de pagos'!$A$4:$A$46,'perfil de pagos'!$B$4:$B$46+'FACP$'!$D3789)</f>
        <v>45003</v>
      </c>
      <c r="Q3789" s="165">
        <f t="shared" si="2"/>
        <v>0</v>
      </c>
      <c r="R3789" s="167"/>
      <c r="S3789" s="167">
        <v>2087.0</v>
      </c>
      <c r="T3789" s="168">
        <f t="shared" si="3"/>
        <v>70579.5736</v>
      </c>
      <c r="U3789" s="168">
        <f t="shared" si="4"/>
        <v>0</v>
      </c>
      <c r="V3789" s="168">
        <f t="shared" si="5"/>
        <v>0</v>
      </c>
      <c r="W3789" s="168">
        <f t="shared" si="6"/>
        <v>0</v>
      </c>
      <c r="X3789" s="168">
        <f t="shared" si="7"/>
        <v>0</v>
      </c>
      <c r="Y3789" s="168">
        <f t="shared" si="8"/>
        <v>0</v>
      </c>
      <c r="Z3789" s="168">
        <f t="shared" si="9"/>
        <v>0</v>
      </c>
    </row>
    <row r="3790" ht="15.0" customHeight="1">
      <c r="A3790" s="157" t="s">
        <v>4774</v>
      </c>
      <c r="B3790" s="158" t="s">
        <v>19</v>
      </c>
      <c r="C3790" s="158" t="s">
        <v>4767</v>
      </c>
      <c r="D3790" s="159">
        <v>44993.0</v>
      </c>
      <c r="E3790" s="157" t="s">
        <v>731</v>
      </c>
      <c r="F3790" s="160">
        <v>122967.82</v>
      </c>
      <c r="G3790" s="160">
        <f>'FACP$'!$F3790*0.16</f>
        <v>19674.8512</v>
      </c>
      <c r="H3790" s="160">
        <f t="shared" si="122"/>
        <v>142642.6712</v>
      </c>
      <c r="I3790" s="160"/>
      <c r="J3790" s="161"/>
      <c r="K3790" s="160"/>
      <c r="L3790" s="160">
        <f>+'FACP$'!$H3790-'FACP$'!$I3790-'FACP$'!$K3790</f>
        <v>142642.6712</v>
      </c>
      <c r="M3790" s="162" t="s">
        <v>732</v>
      </c>
      <c r="N3790" s="162" t="s">
        <v>554</v>
      </c>
      <c r="O3790" s="164">
        <v>45021.0</v>
      </c>
      <c r="P3790" s="164">
        <f t="array" ref="P3790">XLOOKUP('FACP$'!$B3790,'perfil de pagos'!$A$4:$A$46,'perfil de pagos'!$B$4:$B$46+'FACP$'!$D3790)</f>
        <v>45003</v>
      </c>
      <c r="Q3790" s="165">
        <f t="shared" si="2"/>
        <v>0</v>
      </c>
      <c r="R3790" s="167"/>
      <c r="S3790" s="167">
        <v>2087.0</v>
      </c>
      <c r="T3790" s="168">
        <f t="shared" si="3"/>
        <v>142642.6712</v>
      </c>
      <c r="U3790" s="168">
        <f t="shared" si="4"/>
        <v>0</v>
      </c>
      <c r="V3790" s="168">
        <f t="shared" si="5"/>
        <v>0</v>
      </c>
      <c r="W3790" s="168">
        <f t="shared" si="6"/>
        <v>0</v>
      </c>
      <c r="X3790" s="168">
        <f t="shared" si="7"/>
        <v>0</v>
      </c>
      <c r="Y3790" s="168">
        <f t="shared" si="8"/>
        <v>0</v>
      </c>
      <c r="Z3790" s="168">
        <f t="shared" si="9"/>
        <v>0</v>
      </c>
    </row>
    <row r="3791" ht="15.0" customHeight="1">
      <c r="A3791" s="157" t="s">
        <v>4775</v>
      </c>
      <c r="B3791" s="158" t="s">
        <v>22</v>
      </c>
      <c r="C3791" s="158" t="s">
        <v>4767</v>
      </c>
      <c r="D3791" s="159">
        <v>44993.0</v>
      </c>
      <c r="E3791" s="157" t="s">
        <v>731</v>
      </c>
      <c r="F3791" s="160">
        <v>111226.38</v>
      </c>
      <c r="G3791" s="160">
        <f>'FACP$'!$F3791*0.16</f>
        <v>17796.2208</v>
      </c>
      <c r="H3791" s="160">
        <f t="shared" si="122"/>
        <v>129022.6008</v>
      </c>
      <c r="I3791" s="160"/>
      <c r="J3791" s="161"/>
      <c r="K3791" s="160"/>
      <c r="L3791" s="160">
        <f>+'FACP$'!$H3791-'FACP$'!$I3791-'FACP$'!$K3791</f>
        <v>129022.6008</v>
      </c>
      <c r="M3791" s="162" t="s">
        <v>220</v>
      </c>
      <c r="N3791" s="162" t="s">
        <v>554</v>
      </c>
      <c r="O3791" s="164">
        <v>45012.0</v>
      </c>
      <c r="P3791" s="164">
        <f t="array" ref="P3791">XLOOKUP('FACP$'!$B3791,'perfil de pagos'!$A$4:$A$46,'perfil de pagos'!$B$4:$B$46+'FACP$'!$D3791)</f>
        <v>45003</v>
      </c>
      <c r="Q3791" s="165">
        <f t="shared" si="2"/>
        <v>0</v>
      </c>
      <c r="R3791" s="167"/>
      <c r="S3791" s="167">
        <v>2062.0</v>
      </c>
      <c r="T3791" s="168">
        <f t="shared" si="3"/>
        <v>129022.6008</v>
      </c>
      <c r="U3791" s="168">
        <f t="shared" si="4"/>
        <v>0</v>
      </c>
      <c r="V3791" s="168">
        <f t="shared" si="5"/>
        <v>0</v>
      </c>
      <c r="W3791" s="168">
        <f t="shared" si="6"/>
        <v>0</v>
      </c>
      <c r="X3791" s="168">
        <f t="shared" si="7"/>
        <v>0</v>
      </c>
      <c r="Y3791" s="168">
        <f t="shared" si="8"/>
        <v>0</v>
      </c>
      <c r="Z3791" s="168">
        <f t="shared" si="9"/>
        <v>0</v>
      </c>
    </row>
    <row r="3792" ht="15.0" customHeight="1">
      <c r="A3792" s="157" t="s">
        <v>4776</v>
      </c>
      <c r="B3792" s="158" t="s">
        <v>25</v>
      </c>
      <c r="C3792" s="158" t="s">
        <v>4767</v>
      </c>
      <c r="D3792" s="159">
        <v>44993.0</v>
      </c>
      <c r="E3792" s="157" t="s">
        <v>731</v>
      </c>
      <c r="F3792" s="160">
        <v>35089.83</v>
      </c>
      <c r="G3792" s="160">
        <f>'FACP$'!$F3792*0.16</f>
        <v>5614.3728</v>
      </c>
      <c r="H3792" s="160">
        <f t="shared" si="122"/>
        <v>40704.2028</v>
      </c>
      <c r="I3792" s="160"/>
      <c r="J3792" s="161"/>
      <c r="K3792" s="160"/>
      <c r="L3792" s="160">
        <f>+'FACP$'!$H3792-'FACP$'!$I3792-'FACP$'!$K3792</f>
        <v>40704.2028</v>
      </c>
      <c r="M3792" s="162" t="s">
        <v>4388</v>
      </c>
      <c r="N3792" s="162" t="s">
        <v>554</v>
      </c>
      <c r="O3792" s="164">
        <v>45021.0</v>
      </c>
      <c r="P3792" s="164">
        <f t="array" ref="P3792">XLOOKUP('FACP$'!$B3792,'perfil de pagos'!$A$4:$A$46,'perfil de pagos'!$B$4:$B$46+'FACP$'!$D3792)</f>
        <v>45003</v>
      </c>
      <c r="Q3792" s="165">
        <f t="shared" si="2"/>
        <v>0</v>
      </c>
      <c r="R3792" s="167"/>
      <c r="S3792" s="167">
        <v>2125.0</v>
      </c>
      <c r="T3792" s="168">
        <f t="shared" si="3"/>
        <v>40704.2028</v>
      </c>
      <c r="U3792" s="168">
        <f t="shared" si="4"/>
        <v>0</v>
      </c>
      <c r="V3792" s="168">
        <f t="shared" si="5"/>
        <v>0</v>
      </c>
      <c r="W3792" s="168">
        <f t="shared" si="6"/>
        <v>0</v>
      </c>
      <c r="X3792" s="168">
        <f t="shared" si="7"/>
        <v>0</v>
      </c>
      <c r="Y3792" s="168">
        <f t="shared" si="8"/>
        <v>0</v>
      </c>
      <c r="Z3792" s="168">
        <f t="shared" si="9"/>
        <v>0</v>
      </c>
    </row>
    <row r="3793" ht="15.0" customHeight="1">
      <c r="A3793" s="157" t="s">
        <v>4777</v>
      </c>
      <c r="B3793" s="158" t="s">
        <v>29</v>
      </c>
      <c r="C3793" s="158" t="s">
        <v>4767</v>
      </c>
      <c r="D3793" s="159">
        <v>44993.0</v>
      </c>
      <c r="E3793" s="157" t="s">
        <v>731</v>
      </c>
      <c r="F3793" s="160">
        <v>246320.96</v>
      </c>
      <c r="G3793" s="160">
        <f>'FACP$'!$F3793*0.16</f>
        <v>39411.3536</v>
      </c>
      <c r="H3793" s="160">
        <f t="shared" si="122"/>
        <v>285732.3136</v>
      </c>
      <c r="I3793" s="160"/>
      <c r="J3793" s="161"/>
      <c r="K3793" s="160"/>
      <c r="L3793" s="160">
        <f>+'FACP$'!$H3793-'FACP$'!$I3793-'FACP$'!$K3793</f>
        <v>285732.3136</v>
      </c>
      <c r="M3793" s="162" t="s">
        <v>130</v>
      </c>
      <c r="N3793" s="162" t="s">
        <v>554</v>
      </c>
      <c r="O3793" s="164">
        <v>45001.0</v>
      </c>
      <c r="P3793" s="164">
        <f t="array" ref="P3793">XLOOKUP('FACP$'!$B3793,'perfil de pagos'!$A$4:$A$46,'perfil de pagos'!$B$4:$B$46+'FACP$'!$D3793)</f>
        <v>45003</v>
      </c>
      <c r="Q3793" s="165">
        <f t="shared" si="2"/>
        <v>0</v>
      </c>
      <c r="R3793" s="167"/>
      <c r="S3793" s="167">
        <v>2031.0</v>
      </c>
      <c r="T3793" s="168">
        <f t="shared" si="3"/>
        <v>285732.3136</v>
      </c>
      <c r="U3793" s="168">
        <f t="shared" si="4"/>
        <v>0</v>
      </c>
      <c r="V3793" s="168">
        <f t="shared" si="5"/>
        <v>0</v>
      </c>
      <c r="W3793" s="168">
        <f t="shared" si="6"/>
        <v>0</v>
      </c>
      <c r="X3793" s="168">
        <f t="shared" si="7"/>
        <v>0</v>
      </c>
      <c r="Y3793" s="168">
        <f t="shared" si="8"/>
        <v>0</v>
      </c>
      <c r="Z3793" s="168">
        <f t="shared" si="9"/>
        <v>0</v>
      </c>
    </row>
    <row r="3794" ht="15.0" customHeight="1">
      <c r="A3794" s="157" t="s">
        <v>4778</v>
      </c>
      <c r="B3794" s="158" t="s">
        <v>29</v>
      </c>
      <c r="C3794" s="158" t="s">
        <v>4769</v>
      </c>
      <c r="D3794" s="159">
        <v>44993.0</v>
      </c>
      <c r="E3794" s="157" t="s">
        <v>731</v>
      </c>
      <c r="F3794" s="160">
        <v>423348.81</v>
      </c>
      <c r="G3794" s="160">
        <f>'FACP$'!$F3794*0.16</f>
        <v>67735.8096</v>
      </c>
      <c r="H3794" s="160">
        <f t="shared" si="122"/>
        <v>491084.6196</v>
      </c>
      <c r="I3794" s="160"/>
      <c r="J3794" s="161"/>
      <c r="K3794" s="160"/>
      <c r="L3794" s="160">
        <f>+'FACP$'!$H3794-'FACP$'!$I3794-'FACP$'!$K3794</f>
        <v>491084.6196</v>
      </c>
      <c r="M3794" s="162" t="s">
        <v>130</v>
      </c>
      <c r="N3794" s="162" t="s">
        <v>554</v>
      </c>
      <c r="O3794" s="164">
        <v>45006.0</v>
      </c>
      <c r="P3794" s="164">
        <f t="array" ref="P3794">XLOOKUP('FACP$'!$B3794,'perfil de pagos'!$A$4:$A$46,'perfil de pagos'!$B$4:$B$46+'FACP$'!$D3794)</f>
        <v>45003</v>
      </c>
      <c r="Q3794" s="165">
        <f t="shared" si="2"/>
        <v>0</v>
      </c>
      <c r="R3794" s="167"/>
      <c r="S3794" s="167">
        <v>2036.0</v>
      </c>
      <c r="T3794" s="168">
        <f t="shared" si="3"/>
        <v>491084.6196</v>
      </c>
      <c r="U3794" s="168">
        <f t="shared" si="4"/>
        <v>0</v>
      </c>
      <c r="V3794" s="168">
        <f t="shared" si="5"/>
        <v>0</v>
      </c>
      <c r="W3794" s="168">
        <f t="shared" si="6"/>
        <v>0</v>
      </c>
      <c r="X3794" s="168">
        <f t="shared" si="7"/>
        <v>0</v>
      </c>
      <c r="Y3794" s="168">
        <f t="shared" si="8"/>
        <v>0</v>
      </c>
      <c r="Z3794" s="168">
        <f t="shared" si="9"/>
        <v>0</v>
      </c>
    </row>
    <row r="3795" ht="15.0" customHeight="1">
      <c r="A3795" s="157" t="s">
        <v>4779</v>
      </c>
      <c r="B3795" s="158" t="s">
        <v>37</v>
      </c>
      <c r="C3795" s="158" t="s">
        <v>4767</v>
      </c>
      <c r="D3795" s="159">
        <v>44993.0</v>
      </c>
      <c r="E3795" s="157" t="s">
        <v>731</v>
      </c>
      <c r="F3795" s="160">
        <v>1332832.15</v>
      </c>
      <c r="G3795" s="160">
        <f>'FACP$'!$F3795*0.16</f>
        <v>213253.144</v>
      </c>
      <c r="H3795" s="160">
        <f t="shared" si="122"/>
        <v>1546085.294</v>
      </c>
      <c r="I3795" s="160"/>
      <c r="J3795" s="161"/>
      <c r="K3795" s="160"/>
      <c r="L3795" s="160">
        <f>+'FACP$'!$H3795-'FACP$'!$I3795-'FACP$'!$K3795</f>
        <v>1546085.294</v>
      </c>
      <c r="M3795" s="162" t="s">
        <v>116</v>
      </c>
      <c r="N3795" s="162" t="s">
        <v>554</v>
      </c>
      <c r="O3795" s="164">
        <v>45012.0</v>
      </c>
      <c r="P3795" s="164">
        <f t="array" ref="P3795">XLOOKUP('FACP$'!$B3795,'perfil de pagos'!$A$4:$A$46,'perfil de pagos'!$B$4:$B$46+'FACP$'!$D3795)</f>
        <v>45003</v>
      </c>
      <c r="Q3795" s="165">
        <f t="shared" si="2"/>
        <v>0</v>
      </c>
      <c r="R3795" s="167"/>
      <c r="S3795" s="167">
        <v>2066.0</v>
      </c>
      <c r="T3795" s="168">
        <f t="shared" si="3"/>
        <v>1546085.294</v>
      </c>
      <c r="U3795" s="168">
        <f t="shared" si="4"/>
        <v>0</v>
      </c>
      <c r="V3795" s="168">
        <f t="shared" si="5"/>
        <v>0</v>
      </c>
      <c r="W3795" s="168">
        <f t="shared" si="6"/>
        <v>0</v>
      </c>
      <c r="X3795" s="168">
        <f t="shared" si="7"/>
        <v>0</v>
      </c>
      <c r="Y3795" s="168">
        <f t="shared" si="8"/>
        <v>0</v>
      </c>
      <c r="Z3795" s="168">
        <f t="shared" si="9"/>
        <v>0</v>
      </c>
    </row>
    <row r="3796" ht="15.0" customHeight="1">
      <c r="A3796" s="157" t="s">
        <v>4780</v>
      </c>
      <c r="B3796" s="158" t="s">
        <v>38</v>
      </c>
      <c r="C3796" s="158" t="s">
        <v>4767</v>
      </c>
      <c r="D3796" s="159">
        <v>44994.0</v>
      </c>
      <c r="E3796" s="157" t="s">
        <v>731</v>
      </c>
      <c r="F3796" s="160">
        <v>501942.74</v>
      </c>
      <c r="G3796" s="160">
        <f>'FACP$'!$F3796*0.16</f>
        <v>80310.8384</v>
      </c>
      <c r="H3796" s="160">
        <f t="shared" si="122"/>
        <v>582253.5784</v>
      </c>
      <c r="I3796" s="160"/>
      <c r="J3796" s="161"/>
      <c r="K3796" s="160"/>
      <c r="L3796" s="160">
        <f>+'FACP$'!$H3796-'FACP$'!$I3796-'FACP$'!$K3796</f>
        <v>582253.5784</v>
      </c>
      <c r="M3796" s="162" t="s">
        <v>145</v>
      </c>
      <c r="N3796" s="162" t="s">
        <v>554</v>
      </c>
      <c r="O3796" s="164">
        <v>45055.0</v>
      </c>
      <c r="P3796" s="164">
        <f t="array" ref="P3796">XLOOKUP('FACP$'!$B3796,'perfil de pagos'!$A$4:$A$46,'perfil de pagos'!$B$4:$B$46+'FACP$'!$D3796)</f>
        <v>45024</v>
      </c>
      <c r="Q3796" s="165">
        <f t="shared" si="2"/>
        <v>0</v>
      </c>
      <c r="R3796" s="167"/>
      <c r="S3796" s="167">
        <v>2163.0</v>
      </c>
      <c r="T3796" s="168">
        <f t="shared" si="3"/>
        <v>582253.5784</v>
      </c>
      <c r="U3796" s="168">
        <f t="shared" si="4"/>
        <v>0</v>
      </c>
      <c r="V3796" s="168">
        <f t="shared" si="5"/>
        <v>0</v>
      </c>
      <c r="W3796" s="168">
        <f t="shared" si="6"/>
        <v>0</v>
      </c>
      <c r="X3796" s="168">
        <f t="shared" si="7"/>
        <v>0</v>
      </c>
      <c r="Y3796" s="168">
        <f t="shared" si="8"/>
        <v>0</v>
      </c>
      <c r="Z3796" s="168">
        <f t="shared" si="9"/>
        <v>0</v>
      </c>
    </row>
    <row r="3797" ht="15.0" customHeight="1">
      <c r="A3797" s="157" t="s">
        <v>4781</v>
      </c>
      <c r="B3797" s="158" t="s">
        <v>38</v>
      </c>
      <c r="C3797" s="158" t="s">
        <v>4767</v>
      </c>
      <c r="D3797" s="159">
        <v>44994.0</v>
      </c>
      <c r="E3797" s="157" t="s">
        <v>731</v>
      </c>
      <c r="F3797" s="160">
        <v>92321.21</v>
      </c>
      <c r="G3797" s="160">
        <f>'FACP$'!$F3797*0.16</f>
        <v>14771.3936</v>
      </c>
      <c r="H3797" s="160">
        <f t="shared" si="122"/>
        <v>107092.6036</v>
      </c>
      <c r="I3797" s="160"/>
      <c r="J3797" s="161"/>
      <c r="K3797" s="160"/>
      <c r="L3797" s="160">
        <f>+'FACP$'!$H3797-'FACP$'!$I3797-'FACP$'!$K3797</f>
        <v>107092.6036</v>
      </c>
      <c r="M3797" s="162" t="s">
        <v>642</v>
      </c>
      <c r="N3797" s="162" t="s">
        <v>554</v>
      </c>
      <c r="O3797" s="164">
        <v>45055.0</v>
      </c>
      <c r="P3797" s="164">
        <f t="array" ref="P3797">XLOOKUP('FACP$'!$B3797,'perfil de pagos'!$A$4:$A$46,'perfil de pagos'!$B$4:$B$46+'FACP$'!$D3797)</f>
        <v>45024</v>
      </c>
      <c r="Q3797" s="165">
        <f t="shared" si="2"/>
        <v>0</v>
      </c>
      <c r="R3797" s="167"/>
      <c r="S3797" s="167">
        <v>2163.0</v>
      </c>
      <c r="T3797" s="168">
        <f t="shared" si="3"/>
        <v>107092.6036</v>
      </c>
      <c r="U3797" s="168">
        <f t="shared" si="4"/>
        <v>0</v>
      </c>
      <c r="V3797" s="168">
        <f t="shared" si="5"/>
        <v>0</v>
      </c>
      <c r="W3797" s="168">
        <f t="shared" si="6"/>
        <v>0</v>
      </c>
      <c r="X3797" s="168">
        <f t="shared" si="7"/>
        <v>0</v>
      </c>
      <c r="Y3797" s="168">
        <f t="shared" si="8"/>
        <v>0</v>
      </c>
      <c r="Z3797" s="168">
        <f t="shared" si="9"/>
        <v>0</v>
      </c>
    </row>
    <row r="3798" ht="15.0" customHeight="1">
      <c r="A3798" s="157" t="s">
        <v>4782</v>
      </c>
      <c r="B3798" s="158" t="s">
        <v>31</v>
      </c>
      <c r="C3798" s="158" t="s">
        <v>4783</v>
      </c>
      <c r="D3798" s="159">
        <v>44999.0</v>
      </c>
      <c r="E3798" s="157" t="s">
        <v>731</v>
      </c>
      <c r="F3798" s="160">
        <v>77658.45</v>
      </c>
      <c r="G3798" s="160">
        <f>'FACP$'!$F3798*0.16</f>
        <v>12425.352</v>
      </c>
      <c r="H3798" s="160">
        <f t="shared" si="122"/>
        <v>90083.802</v>
      </c>
      <c r="I3798" s="160"/>
      <c r="J3798" s="161"/>
      <c r="K3798" s="160"/>
      <c r="L3798" s="160">
        <f>+'FACP$'!$H3798-'FACP$'!$I3798-'FACP$'!$K3798</f>
        <v>90083.802</v>
      </c>
      <c r="M3798" s="162" t="s">
        <v>3183</v>
      </c>
      <c r="N3798" s="162" t="s">
        <v>554</v>
      </c>
      <c r="O3798" s="164">
        <v>45126.0</v>
      </c>
      <c r="P3798" s="164">
        <f t="array" ref="P3798">XLOOKUP('FACP$'!$B3798,'perfil de pagos'!$A$4:$A$46,'perfil de pagos'!$B$4:$B$46+'FACP$'!$D3798)</f>
        <v>45002</v>
      </c>
      <c r="Q3798" s="165">
        <f t="shared" si="2"/>
        <v>0</v>
      </c>
      <c r="R3798" s="220" t="s">
        <v>4583</v>
      </c>
      <c r="S3798" s="167">
        <v>2303.0</v>
      </c>
      <c r="T3798" s="168">
        <f t="shared" si="3"/>
        <v>90083.802</v>
      </c>
      <c r="U3798" s="168">
        <f t="shared" si="4"/>
        <v>0</v>
      </c>
      <c r="V3798" s="168">
        <f t="shared" si="5"/>
        <v>0</v>
      </c>
      <c r="W3798" s="168">
        <f t="shared" si="6"/>
        <v>0</v>
      </c>
      <c r="X3798" s="168">
        <f t="shared" si="7"/>
        <v>0</v>
      </c>
      <c r="Y3798" s="168">
        <f t="shared" si="8"/>
        <v>0</v>
      </c>
      <c r="Z3798" s="168">
        <f t="shared" si="9"/>
        <v>0</v>
      </c>
    </row>
    <row r="3799" ht="15.0" customHeight="1">
      <c r="A3799" s="157" t="s">
        <v>4784</v>
      </c>
      <c r="B3799" s="158" t="s">
        <v>35</v>
      </c>
      <c r="C3799" s="158" t="s">
        <v>4785</v>
      </c>
      <c r="D3799" s="159">
        <v>45001.0</v>
      </c>
      <c r="E3799" s="157" t="s">
        <v>731</v>
      </c>
      <c r="F3799" s="160">
        <v>318475.39</v>
      </c>
      <c r="G3799" s="160">
        <f>'FACP$'!$F3799*0.16</f>
        <v>50956.0624</v>
      </c>
      <c r="H3799" s="160">
        <f t="shared" si="122"/>
        <v>369431.4524</v>
      </c>
      <c r="I3799" s="160"/>
      <c r="J3799" s="161"/>
      <c r="K3799" s="160"/>
      <c r="L3799" s="160">
        <f>+'FACP$'!$H3799-'FACP$'!$I3799-'FACP$'!$K3799</f>
        <v>369431.4524</v>
      </c>
      <c r="M3799" s="162" t="s">
        <v>276</v>
      </c>
      <c r="N3799" s="162" t="s">
        <v>554</v>
      </c>
      <c r="O3799" s="164">
        <v>45086.0</v>
      </c>
      <c r="P3799" s="164">
        <f t="array" ref="P3799">XLOOKUP('FACP$'!$B3799,'perfil de pagos'!$A$4:$A$46,'perfil de pagos'!$B$4:$B$46+'FACP$'!$D3799)</f>
        <v>45011</v>
      </c>
      <c r="Q3799" s="165">
        <f t="shared" si="2"/>
        <v>0</v>
      </c>
      <c r="R3799" s="167"/>
      <c r="S3799" s="167">
        <v>2207.0</v>
      </c>
      <c r="T3799" s="168">
        <f t="shared" si="3"/>
        <v>369431.4524</v>
      </c>
      <c r="U3799" s="168">
        <f t="shared" si="4"/>
        <v>0</v>
      </c>
      <c r="V3799" s="168">
        <f t="shared" si="5"/>
        <v>0</v>
      </c>
      <c r="W3799" s="168">
        <f t="shared" si="6"/>
        <v>0</v>
      </c>
      <c r="X3799" s="168">
        <f t="shared" si="7"/>
        <v>0</v>
      </c>
      <c r="Y3799" s="168">
        <f t="shared" si="8"/>
        <v>0</v>
      </c>
      <c r="Z3799" s="168">
        <f t="shared" si="9"/>
        <v>0</v>
      </c>
    </row>
    <row r="3800" ht="15.0" customHeight="1">
      <c r="A3800" s="157" t="s">
        <v>4786</v>
      </c>
      <c r="B3800" s="158" t="s">
        <v>36</v>
      </c>
      <c r="C3800" s="158" t="s">
        <v>4785</v>
      </c>
      <c r="D3800" s="159">
        <v>45001.0</v>
      </c>
      <c r="E3800" s="157" t="s">
        <v>731</v>
      </c>
      <c r="F3800" s="160">
        <v>71385.08</v>
      </c>
      <c r="G3800" s="160">
        <f>'FACP$'!$F3800*0.16</f>
        <v>11421.6128</v>
      </c>
      <c r="H3800" s="160">
        <f t="shared" si="122"/>
        <v>82806.6928</v>
      </c>
      <c r="I3800" s="160"/>
      <c r="J3800" s="161"/>
      <c r="K3800" s="160"/>
      <c r="L3800" s="160">
        <f>+'FACP$'!$H3800-'FACP$'!$I3800-'FACP$'!$K3800</f>
        <v>82806.6928</v>
      </c>
      <c r="M3800" s="162" t="s">
        <v>278</v>
      </c>
      <c r="N3800" s="162" t="s">
        <v>554</v>
      </c>
      <c r="O3800" s="164">
        <v>45015.0</v>
      </c>
      <c r="P3800" s="164">
        <f t="array" ref="P3800">XLOOKUP('FACP$'!$B3800,'perfil de pagos'!$A$4:$A$46,'perfil de pagos'!$B$4:$B$46+'FACP$'!$D3800)</f>
        <v>45011</v>
      </c>
      <c r="Q3800" s="165">
        <f t="shared" si="2"/>
        <v>0</v>
      </c>
      <c r="R3800" s="167"/>
      <c r="S3800" s="167"/>
      <c r="T3800" s="168">
        <f t="shared" si="3"/>
        <v>82806.6928</v>
      </c>
      <c r="U3800" s="168">
        <f t="shared" si="4"/>
        <v>0</v>
      </c>
      <c r="V3800" s="168">
        <f t="shared" si="5"/>
        <v>0</v>
      </c>
      <c r="W3800" s="168">
        <f t="shared" si="6"/>
        <v>0</v>
      </c>
      <c r="X3800" s="168">
        <f t="shared" si="7"/>
        <v>0</v>
      </c>
      <c r="Y3800" s="168">
        <f t="shared" si="8"/>
        <v>0</v>
      </c>
      <c r="Z3800" s="168">
        <f t="shared" si="9"/>
        <v>0</v>
      </c>
    </row>
    <row r="3801" ht="15.0" customHeight="1">
      <c r="A3801" s="157" t="s">
        <v>4787</v>
      </c>
      <c r="B3801" s="158" t="s">
        <v>41</v>
      </c>
      <c r="C3801" s="158" t="s">
        <v>4785</v>
      </c>
      <c r="D3801" s="159">
        <v>45001.0</v>
      </c>
      <c r="E3801" s="157" t="s">
        <v>731</v>
      </c>
      <c r="F3801" s="160">
        <v>539765.28</v>
      </c>
      <c r="G3801" s="160">
        <f>'FACP$'!$F3801*0.16</f>
        <v>86362.4448</v>
      </c>
      <c r="H3801" s="160">
        <f t="shared" si="122"/>
        <v>626127.7248</v>
      </c>
      <c r="I3801" s="160"/>
      <c r="J3801" s="161"/>
      <c r="K3801" s="160"/>
      <c r="L3801" s="160">
        <f>+'FACP$'!$H3801-'FACP$'!$I3801-'FACP$'!$K3801</f>
        <v>626127.7248</v>
      </c>
      <c r="M3801" s="162" t="s">
        <v>121</v>
      </c>
      <c r="N3801" s="162" t="s">
        <v>554</v>
      </c>
      <c r="O3801" s="164">
        <v>45034.0</v>
      </c>
      <c r="P3801" s="164">
        <f t="array" ref="P3801">XLOOKUP('FACP$'!$B3801,'perfil de pagos'!$A$4:$A$46,'perfil de pagos'!$B$4:$B$46+'FACP$'!$D3801)</f>
        <v>45011</v>
      </c>
      <c r="Q3801" s="165">
        <f t="shared" si="2"/>
        <v>0</v>
      </c>
      <c r="R3801" s="167"/>
      <c r="S3801" s="167">
        <v>2116.0</v>
      </c>
      <c r="T3801" s="168">
        <f t="shared" si="3"/>
        <v>626127.7248</v>
      </c>
      <c r="U3801" s="168">
        <f t="shared" si="4"/>
        <v>0</v>
      </c>
      <c r="V3801" s="168">
        <f t="shared" si="5"/>
        <v>0</v>
      </c>
      <c r="W3801" s="168">
        <f t="shared" si="6"/>
        <v>0</v>
      </c>
      <c r="X3801" s="168">
        <f t="shared" si="7"/>
        <v>0</v>
      </c>
      <c r="Y3801" s="168">
        <f t="shared" si="8"/>
        <v>0</v>
      </c>
      <c r="Z3801" s="168">
        <f t="shared" si="9"/>
        <v>0</v>
      </c>
    </row>
    <row r="3802" ht="15.0" customHeight="1">
      <c r="A3802" s="157" t="s">
        <v>4788</v>
      </c>
      <c r="B3802" s="158" t="s">
        <v>42</v>
      </c>
      <c r="C3802" s="158" t="s">
        <v>4785</v>
      </c>
      <c r="D3802" s="159">
        <v>45001.0</v>
      </c>
      <c r="E3802" s="157" t="s">
        <v>731</v>
      </c>
      <c r="F3802" s="160">
        <v>113946.48</v>
      </c>
      <c r="G3802" s="160">
        <f>'FACP$'!$F3802*0.16</f>
        <v>18231.4368</v>
      </c>
      <c r="H3802" s="160">
        <f t="shared" si="122"/>
        <v>132177.9168</v>
      </c>
      <c r="I3802" s="160"/>
      <c r="J3802" s="161"/>
      <c r="K3802" s="160"/>
      <c r="L3802" s="160">
        <f>+'FACP$'!$H3802-'FACP$'!$I3802-'FACP$'!$K3802</f>
        <v>132177.9168</v>
      </c>
      <c r="M3802" s="162" t="s">
        <v>42</v>
      </c>
      <c r="N3802" s="162" t="s">
        <v>554</v>
      </c>
      <c r="O3802" s="164">
        <v>45021.0</v>
      </c>
      <c r="P3802" s="164">
        <f t="array" ref="P3802">XLOOKUP('FACP$'!$B3802,'perfil de pagos'!$A$4:$A$46,'perfil de pagos'!$B$4:$B$46+'FACP$'!$D3802)</f>
        <v>45011</v>
      </c>
      <c r="Q3802" s="165">
        <f t="shared" si="2"/>
        <v>0</v>
      </c>
      <c r="R3802" s="167"/>
      <c r="S3802" s="167">
        <v>2109.0</v>
      </c>
      <c r="T3802" s="168">
        <f t="shared" si="3"/>
        <v>132177.9168</v>
      </c>
      <c r="U3802" s="168">
        <f t="shared" si="4"/>
        <v>0</v>
      </c>
      <c r="V3802" s="168">
        <f t="shared" si="5"/>
        <v>0</v>
      </c>
      <c r="W3802" s="168">
        <f t="shared" si="6"/>
        <v>0</v>
      </c>
      <c r="X3802" s="168">
        <f t="shared" si="7"/>
        <v>0</v>
      </c>
      <c r="Y3802" s="168">
        <f t="shared" si="8"/>
        <v>0</v>
      </c>
      <c r="Z3802" s="168">
        <f t="shared" si="9"/>
        <v>0</v>
      </c>
    </row>
    <row r="3803" ht="15.0" customHeight="1">
      <c r="A3803" s="157" t="s">
        <v>4789</v>
      </c>
      <c r="B3803" s="158" t="s">
        <v>44</v>
      </c>
      <c r="C3803" s="158" t="s">
        <v>4785</v>
      </c>
      <c r="D3803" s="159">
        <v>45001.0</v>
      </c>
      <c r="E3803" s="157" t="s">
        <v>731</v>
      </c>
      <c r="F3803" s="160">
        <v>157666.39</v>
      </c>
      <c r="G3803" s="160">
        <f>'FACP$'!$F3803*0.16</f>
        <v>25226.6224</v>
      </c>
      <c r="H3803" s="160">
        <f t="shared" si="122"/>
        <v>182893.0124</v>
      </c>
      <c r="I3803" s="160"/>
      <c r="J3803" s="161"/>
      <c r="K3803" s="160"/>
      <c r="L3803" s="160">
        <f>+'FACP$'!$H3803-'FACP$'!$I3803-'FACP$'!$K3803</f>
        <v>182893.0124</v>
      </c>
      <c r="M3803" s="162" t="s">
        <v>361</v>
      </c>
      <c r="N3803" s="162" t="s">
        <v>554</v>
      </c>
      <c r="O3803" s="164">
        <v>45009.0</v>
      </c>
      <c r="P3803" s="164">
        <f t="array" ref="P3803">XLOOKUP('FACP$'!$B3803,'perfil de pagos'!$A$4:$A$46,'perfil de pagos'!$B$4:$B$46+'FACP$'!$D3803)</f>
        <v>45011</v>
      </c>
      <c r="Q3803" s="165">
        <f t="shared" si="2"/>
        <v>0</v>
      </c>
      <c r="R3803" s="167"/>
      <c r="S3803" s="167">
        <v>2061.0</v>
      </c>
      <c r="T3803" s="168">
        <f t="shared" si="3"/>
        <v>182893.0124</v>
      </c>
      <c r="U3803" s="168">
        <f t="shared" si="4"/>
        <v>0</v>
      </c>
      <c r="V3803" s="168">
        <f t="shared" si="5"/>
        <v>0</v>
      </c>
      <c r="W3803" s="168">
        <f t="shared" si="6"/>
        <v>0</v>
      </c>
      <c r="X3803" s="168">
        <f t="shared" si="7"/>
        <v>0</v>
      </c>
      <c r="Y3803" s="168">
        <f t="shared" si="8"/>
        <v>0</v>
      </c>
      <c r="Z3803" s="168">
        <f t="shared" si="9"/>
        <v>0</v>
      </c>
    </row>
    <row r="3804" ht="15.0" customHeight="1">
      <c r="A3804" s="157" t="s">
        <v>4790</v>
      </c>
      <c r="B3804" s="158" t="s">
        <v>43</v>
      </c>
      <c r="C3804" s="158" t="s">
        <v>4785</v>
      </c>
      <c r="D3804" s="159">
        <v>45001.0</v>
      </c>
      <c r="E3804" s="157" t="s">
        <v>731</v>
      </c>
      <c r="F3804" s="160">
        <v>632783.9</v>
      </c>
      <c r="G3804" s="160">
        <f>'FACP$'!$F3804*0.16</f>
        <v>101245.424</v>
      </c>
      <c r="H3804" s="160">
        <f t="shared" si="122"/>
        <v>734029.324</v>
      </c>
      <c r="I3804" s="160"/>
      <c r="J3804" s="161"/>
      <c r="K3804" s="160"/>
      <c r="L3804" s="160">
        <f>+'FACP$'!$H3804-'FACP$'!$I3804-'FACP$'!$K3804</f>
        <v>734029.324</v>
      </c>
      <c r="M3804" s="162" t="s">
        <v>43</v>
      </c>
      <c r="N3804" s="162" t="s">
        <v>554</v>
      </c>
      <c r="O3804" s="164">
        <v>45044.0</v>
      </c>
      <c r="P3804" s="164">
        <f t="array" ref="P3804">XLOOKUP('FACP$'!$B3804,'perfil de pagos'!$A$4:$A$46,'perfil de pagos'!$B$4:$B$46+'FACP$'!$D3804)</f>
        <v>45026</v>
      </c>
      <c r="Q3804" s="165">
        <f t="shared" si="2"/>
        <v>0</v>
      </c>
      <c r="R3804" s="167"/>
      <c r="S3804" s="167">
        <v>2132.0</v>
      </c>
      <c r="T3804" s="168">
        <f t="shared" si="3"/>
        <v>734029.324</v>
      </c>
      <c r="U3804" s="168">
        <f t="shared" si="4"/>
        <v>0</v>
      </c>
      <c r="V3804" s="168">
        <f t="shared" si="5"/>
        <v>0</v>
      </c>
      <c r="W3804" s="168">
        <f t="shared" si="6"/>
        <v>0</v>
      </c>
      <c r="X3804" s="168">
        <f t="shared" si="7"/>
        <v>0</v>
      </c>
      <c r="Y3804" s="168">
        <f t="shared" si="8"/>
        <v>0</v>
      </c>
      <c r="Z3804" s="168">
        <f t="shared" si="9"/>
        <v>0</v>
      </c>
    </row>
    <row r="3805" ht="15.0" customHeight="1">
      <c r="A3805" s="157" t="s">
        <v>4791</v>
      </c>
      <c r="B3805" s="158" t="s">
        <v>15</v>
      </c>
      <c r="C3805" s="158" t="s">
        <v>4785</v>
      </c>
      <c r="D3805" s="159">
        <v>45006.0</v>
      </c>
      <c r="E3805" s="157" t="s">
        <v>731</v>
      </c>
      <c r="F3805" s="160">
        <v>617873.39</v>
      </c>
      <c r="G3805" s="160">
        <f>'FACP$'!$F3805*0.16</f>
        <v>98859.7424</v>
      </c>
      <c r="H3805" s="160">
        <f t="shared" si="122"/>
        <v>716733.1324</v>
      </c>
      <c r="I3805" s="160"/>
      <c r="J3805" s="161"/>
      <c r="K3805" s="160"/>
      <c r="L3805" s="160">
        <f>+'FACP$'!$H3805-'FACP$'!$I3805-'FACP$'!$K3805</f>
        <v>716733.1324</v>
      </c>
      <c r="M3805" s="162" t="s">
        <v>443</v>
      </c>
      <c r="N3805" s="162" t="s">
        <v>554</v>
      </c>
      <c r="O3805" s="164">
        <v>45027.0</v>
      </c>
      <c r="P3805" s="164">
        <f t="array" ref="P3805">XLOOKUP('FACP$'!$B3805,'perfil de pagos'!$A$4:$A$46,'perfil de pagos'!$B$4:$B$46+'FACP$'!$D3805)</f>
        <v>45016</v>
      </c>
      <c r="Q3805" s="165">
        <f t="shared" si="2"/>
        <v>0</v>
      </c>
      <c r="R3805" s="167"/>
      <c r="S3805" s="167">
        <v>2092.0</v>
      </c>
      <c r="T3805" s="168">
        <f t="shared" si="3"/>
        <v>716733.1324</v>
      </c>
      <c r="U3805" s="168">
        <f t="shared" si="4"/>
        <v>0</v>
      </c>
      <c r="V3805" s="168">
        <f t="shared" si="5"/>
        <v>0</v>
      </c>
      <c r="W3805" s="168">
        <f t="shared" si="6"/>
        <v>0</v>
      </c>
      <c r="X3805" s="168">
        <f t="shared" si="7"/>
        <v>0</v>
      </c>
      <c r="Y3805" s="168">
        <f t="shared" si="8"/>
        <v>0</v>
      </c>
      <c r="Z3805" s="168">
        <f t="shared" si="9"/>
        <v>0</v>
      </c>
    </row>
    <row r="3806" ht="15.0" customHeight="1">
      <c r="A3806" s="157" t="s">
        <v>4792</v>
      </c>
      <c r="B3806" s="158" t="s">
        <v>27</v>
      </c>
      <c r="C3806" s="158" t="s">
        <v>4793</v>
      </c>
      <c r="D3806" s="159">
        <v>45006.0</v>
      </c>
      <c r="E3806" s="157" t="s">
        <v>731</v>
      </c>
      <c r="F3806" s="160">
        <v>182586.91</v>
      </c>
      <c r="G3806" s="160">
        <f>'FACP$'!$F3806*0.16</f>
        <v>29213.9056</v>
      </c>
      <c r="H3806" s="160">
        <f t="shared" si="122"/>
        <v>211800.8156</v>
      </c>
      <c r="I3806" s="160"/>
      <c r="J3806" s="161"/>
      <c r="K3806" s="160"/>
      <c r="L3806" s="160">
        <f>+'FACP$'!$H3806-'FACP$'!$I3806-'FACP$'!$K3806</f>
        <v>211800.8156</v>
      </c>
      <c r="M3806" s="162" t="s">
        <v>158</v>
      </c>
      <c r="N3806" s="162" t="s">
        <v>554</v>
      </c>
      <c r="O3806" s="164">
        <v>45014.0</v>
      </c>
      <c r="P3806" s="164">
        <f t="array" ref="P3806">XLOOKUP('FACP$'!$B3806,'perfil de pagos'!$A$4:$A$46,'perfil de pagos'!$B$4:$B$46+'FACP$'!$D3806)</f>
        <v>45036</v>
      </c>
      <c r="Q3806" s="165">
        <f t="shared" si="2"/>
        <v>0</v>
      </c>
      <c r="R3806" s="167"/>
      <c r="S3806" s="167">
        <v>2071.0</v>
      </c>
      <c r="T3806" s="168">
        <f t="shared" si="3"/>
        <v>211800.8156</v>
      </c>
      <c r="U3806" s="168">
        <f t="shared" si="4"/>
        <v>0</v>
      </c>
      <c r="V3806" s="168">
        <f t="shared" si="5"/>
        <v>0</v>
      </c>
      <c r="W3806" s="168">
        <f t="shared" si="6"/>
        <v>0</v>
      </c>
      <c r="X3806" s="168">
        <f t="shared" si="7"/>
        <v>0</v>
      </c>
      <c r="Y3806" s="168">
        <f t="shared" si="8"/>
        <v>0</v>
      </c>
      <c r="Z3806" s="168">
        <f t="shared" si="9"/>
        <v>0</v>
      </c>
    </row>
    <row r="3807" ht="15.0" customHeight="1">
      <c r="A3807" s="157" t="s">
        <v>4794</v>
      </c>
      <c r="B3807" s="158" t="s">
        <v>27</v>
      </c>
      <c r="C3807" s="158" t="s">
        <v>4795</v>
      </c>
      <c r="D3807" s="159">
        <v>45006.0</v>
      </c>
      <c r="E3807" s="157" t="s">
        <v>731</v>
      </c>
      <c r="F3807" s="160">
        <v>151232.12</v>
      </c>
      <c r="G3807" s="160">
        <f>'FACP$'!$F3807*0.16</f>
        <v>24197.1392</v>
      </c>
      <c r="H3807" s="160">
        <f t="shared" si="122"/>
        <v>175429.2592</v>
      </c>
      <c r="I3807" s="160"/>
      <c r="J3807" s="161"/>
      <c r="K3807" s="160"/>
      <c r="L3807" s="160">
        <f>+'FACP$'!$H3807-'FACP$'!$I3807-'FACP$'!$K3807</f>
        <v>175429.2592</v>
      </c>
      <c r="M3807" s="162" t="s">
        <v>158</v>
      </c>
      <c r="N3807" s="162" t="s">
        <v>554</v>
      </c>
      <c r="O3807" s="164">
        <v>45021.0</v>
      </c>
      <c r="P3807" s="164">
        <f t="array" ref="P3807">XLOOKUP('FACP$'!$B3807,'perfil de pagos'!$A$4:$A$46,'perfil de pagos'!$B$4:$B$46+'FACP$'!$D3807)</f>
        <v>45036</v>
      </c>
      <c r="Q3807" s="165">
        <f t="shared" si="2"/>
        <v>0</v>
      </c>
      <c r="R3807" s="167"/>
      <c r="S3807" s="167">
        <v>2088.0</v>
      </c>
      <c r="T3807" s="168">
        <f t="shared" si="3"/>
        <v>175429.2592</v>
      </c>
      <c r="U3807" s="168">
        <f t="shared" si="4"/>
        <v>0</v>
      </c>
      <c r="V3807" s="168">
        <f t="shared" si="5"/>
        <v>0</v>
      </c>
      <c r="W3807" s="168">
        <f t="shared" si="6"/>
        <v>0</v>
      </c>
      <c r="X3807" s="168">
        <f t="shared" si="7"/>
        <v>0</v>
      </c>
      <c r="Y3807" s="168">
        <f t="shared" si="8"/>
        <v>0</v>
      </c>
      <c r="Z3807" s="168">
        <f t="shared" si="9"/>
        <v>0</v>
      </c>
    </row>
    <row r="3808" ht="15.0" customHeight="1">
      <c r="A3808" s="157" t="s">
        <v>4796</v>
      </c>
      <c r="B3808" s="158" t="s">
        <v>27</v>
      </c>
      <c r="C3808" s="158" t="s">
        <v>4793</v>
      </c>
      <c r="D3808" s="159">
        <v>45006.0</v>
      </c>
      <c r="E3808" s="157" t="s">
        <v>731</v>
      </c>
      <c r="F3808" s="160">
        <v>255361.6</v>
      </c>
      <c r="G3808" s="160">
        <f>'FACP$'!$F3808*0.16</f>
        <v>40857.856</v>
      </c>
      <c r="H3808" s="160">
        <f t="shared" si="122"/>
        <v>296219.456</v>
      </c>
      <c r="I3808" s="160"/>
      <c r="J3808" s="161"/>
      <c r="K3808" s="160"/>
      <c r="L3808" s="160">
        <f>+'FACP$'!$H3808-'FACP$'!$I3808-'FACP$'!$K3808</f>
        <v>296219.456</v>
      </c>
      <c r="M3808" s="162" t="s">
        <v>151</v>
      </c>
      <c r="N3808" s="162" t="s">
        <v>554</v>
      </c>
      <c r="O3808" s="164">
        <v>45014.0</v>
      </c>
      <c r="P3808" s="164">
        <f t="array" ref="P3808">XLOOKUP('FACP$'!$B3808,'perfil de pagos'!$A$4:$A$46,'perfil de pagos'!$B$4:$B$46+'FACP$'!$D3808)</f>
        <v>45036</v>
      </c>
      <c r="Q3808" s="165">
        <f t="shared" si="2"/>
        <v>0</v>
      </c>
      <c r="R3808" s="167"/>
      <c r="S3808" s="167">
        <v>2069.0</v>
      </c>
      <c r="T3808" s="168">
        <f t="shared" si="3"/>
        <v>296219.456</v>
      </c>
      <c r="U3808" s="168">
        <f t="shared" si="4"/>
        <v>0</v>
      </c>
      <c r="V3808" s="168">
        <f t="shared" si="5"/>
        <v>0</v>
      </c>
      <c r="W3808" s="168">
        <f t="shared" si="6"/>
        <v>0</v>
      </c>
      <c r="X3808" s="168">
        <f t="shared" si="7"/>
        <v>0</v>
      </c>
      <c r="Y3808" s="168">
        <f t="shared" si="8"/>
        <v>0</v>
      </c>
      <c r="Z3808" s="168">
        <f t="shared" si="9"/>
        <v>0</v>
      </c>
    </row>
    <row r="3809" ht="15.0" customHeight="1">
      <c r="A3809" s="157" t="s">
        <v>4797</v>
      </c>
      <c r="B3809" s="158" t="s">
        <v>27</v>
      </c>
      <c r="C3809" s="158" t="s">
        <v>4795</v>
      </c>
      <c r="D3809" s="159">
        <v>45006.0</v>
      </c>
      <c r="E3809" s="157" t="s">
        <v>731</v>
      </c>
      <c r="F3809" s="160">
        <v>200885.34</v>
      </c>
      <c r="G3809" s="160">
        <f>'FACP$'!$F3809*0.16</f>
        <v>32141.6544</v>
      </c>
      <c r="H3809" s="160">
        <f t="shared" si="122"/>
        <v>233026.9944</v>
      </c>
      <c r="I3809" s="160"/>
      <c r="J3809" s="161"/>
      <c r="K3809" s="160"/>
      <c r="L3809" s="160">
        <f>+'FACP$'!$H3809-'FACP$'!$I3809-'FACP$'!$K3809</f>
        <v>233026.9944</v>
      </c>
      <c r="M3809" s="162" t="s">
        <v>151</v>
      </c>
      <c r="N3809" s="162" t="s">
        <v>554</v>
      </c>
      <c r="O3809" s="164">
        <v>45021.0</v>
      </c>
      <c r="P3809" s="164">
        <f t="array" ref="P3809">XLOOKUP('FACP$'!$B3809,'perfil de pagos'!$A$4:$A$46,'perfil de pagos'!$B$4:$B$46+'FACP$'!$D3809)</f>
        <v>45036</v>
      </c>
      <c r="Q3809" s="165">
        <f t="shared" si="2"/>
        <v>0</v>
      </c>
      <c r="R3809" s="167"/>
      <c r="S3809" s="167">
        <v>2089.0</v>
      </c>
      <c r="T3809" s="168">
        <f t="shared" si="3"/>
        <v>233026.9944</v>
      </c>
      <c r="U3809" s="168">
        <f t="shared" si="4"/>
        <v>0</v>
      </c>
      <c r="V3809" s="168">
        <f t="shared" si="5"/>
        <v>0</v>
      </c>
      <c r="W3809" s="168">
        <f t="shared" si="6"/>
        <v>0</v>
      </c>
      <c r="X3809" s="168">
        <f t="shared" si="7"/>
        <v>0</v>
      </c>
      <c r="Y3809" s="168">
        <f t="shared" si="8"/>
        <v>0</v>
      </c>
      <c r="Z3809" s="168">
        <f t="shared" si="9"/>
        <v>0</v>
      </c>
    </row>
    <row r="3810" ht="15.0" customHeight="1">
      <c r="A3810" s="157" t="s">
        <v>4798</v>
      </c>
      <c r="B3810" s="158" t="s">
        <v>27</v>
      </c>
      <c r="C3810" s="158" t="s">
        <v>4799</v>
      </c>
      <c r="D3810" s="159">
        <v>45006.0</v>
      </c>
      <c r="E3810" s="157" t="s">
        <v>731</v>
      </c>
      <c r="F3810" s="160">
        <v>10555.17</v>
      </c>
      <c r="G3810" s="160">
        <f>'FACP$'!$F3810*0.16</f>
        <v>1688.8272</v>
      </c>
      <c r="H3810" s="160">
        <f t="shared" si="122"/>
        <v>12243.9972</v>
      </c>
      <c r="I3810" s="160"/>
      <c r="J3810" s="161"/>
      <c r="K3810" s="160"/>
      <c r="L3810" s="160">
        <f>+'FACP$'!$H3810-'FACP$'!$I3810-'FACP$'!$K3810</f>
        <v>12243.9972</v>
      </c>
      <c r="M3810" s="162" t="s">
        <v>151</v>
      </c>
      <c r="N3810" s="162" t="s">
        <v>554</v>
      </c>
      <c r="O3810" s="164">
        <v>45014.0</v>
      </c>
      <c r="P3810" s="164">
        <f t="array" ref="P3810">XLOOKUP('FACP$'!$B3810,'perfil de pagos'!$A$4:$A$46,'perfil de pagos'!$B$4:$B$46+'FACP$'!$D3810)</f>
        <v>45036</v>
      </c>
      <c r="Q3810" s="165">
        <f t="shared" si="2"/>
        <v>0</v>
      </c>
      <c r="R3810" s="167"/>
      <c r="S3810" s="167">
        <v>2069.0</v>
      </c>
      <c r="T3810" s="168">
        <f t="shared" si="3"/>
        <v>12243.9972</v>
      </c>
      <c r="U3810" s="168">
        <f t="shared" si="4"/>
        <v>0</v>
      </c>
      <c r="V3810" s="168">
        <f t="shared" si="5"/>
        <v>0</v>
      </c>
      <c r="W3810" s="168">
        <f t="shared" si="6"/>
        <v>0</v>
      </c>
      <c r="X3810" s="168">
        <f t="shared" si="7"/>
        <v>0</v>
      </c>
      <c r="Y3810" s="168">
        <f t="shared" si="8"/>
        <v>0</v>
      </c>
      <c r="Z3810" s="168">
        <f t="shared" si="9"/>
        <v>0</v>
      </c>
    </row>
    <row r="3811" ht="15.0" customHeight="1">
      <c r="A3811" s="157" t="s">
        <v>4800</v>
      </c>
      <c r="B3811" s="158" t="s">
        <v>27</v>
      </c>
      <c r="C3811" s="158" t="s">
        <v>4801</v>
      </c>
      <c r="D3811" s="159">
        <v>45006.0</v>
      </c>
      <c r="E3811" s="157" t="s">
        <v>731</v>
      </c>
      <c r="F3811" s="160">
        <v>11758.35</v>
      </c>
      <c r="G3811" s="160">
        <f>'FACP$'!$F3811*0.16</f>
        <v>1881.336</v>
      </c>
      <c r="H3811" s="160">
        <f t="shared" si="122"/>
        <v>13639.686</v>
      </c>
      <c r="I3811" s="160"/>
      <c r="J3811" s="161"/>
      <c r="K3811" s="160"/>
      <c r="L3811" s="160">
        <f>+'FACP$'!$H3811-'FACP$'!$I3811-'FACP$'!$K3811</f>
        <v>13639.686</v>
      </c>
      <c r="M3811" s="162" t="s">
        <v>151</v>
      </c>
      <c r="N3811" s="162" t="s">
        <v>554</v>
      </c>
      <c r="O3811" s="164">
        <v>45021.0</v>
      </c>
      <c r="P3811" s="164">
        <f t="array" ref="P3811">XLOOKUP('FACP$'!$B3811,'perfil de pagos'!$A$4:$A$46,'perfil de pagos'!$B$4:$B$46+'FACP$'!$D3811)</f>
        <v>45036</v>
      </c>
      <c r="Q3811" s="165">
        <f t="shared" si="2"/>
        <v>0</v>
      </c>
      <c r="R3811" s="167"/>
      <c r="S3811" s="167">
        <v>2089.0</v>
      </c>
      <c r="T3811" s="168">
        <f t="shared" si="3"/>
        <v>13639.686</v>
      </c>
      <c r="U3811" s="168">
        <f t="shared" si="4"/>
        <v>0</v>
      </c>
      <c r="V3811" s="168">
        <f t="shared" si="5"/>
        <v>0</v>
      </c>
      <c r="W3811" s="168">
        <f t="shared" si="6"/>
        <v>0</v>
      </c>
      <c r="X3811" s="168">
        <f t="shared" si="7"/>
        <v>0</v>
      </c>
      <c r="Y3811" s="168">
        <f t="shared" si="8"/>
        <v>0</v>
      </c>
      <c r="Z3811" s="168">
        <f t="shared" si="9"/>
        <v>0</v>
      </c>
    </row>
    <row r="3812" ht="15.0" customHeight="1">
      <c r="A3812" s="157" t="s">
        <v>4802</v>
      </c>
      <c r="B3812" s="158" t="s">
        <v>18</v>
      </c>
      <c r="C3812" s="158" t="s">
        <v>4803</v>
      </c>
      <c r="D3812" s="159">
        <v>45007.0</v>
      </c>
      <c r="E3812" s="157" t="s">
        <v>731</v>
      </c>
      <c r="F3812" s="160">
        <v>65735.86</v>
      </c>
      <c r="G3812" s="160">
        <f>'FACP$'!$F3812*0.16</f>
        <v>10517.7376</v>
      </c>
      <c r="H3812" s="160">
        <f t="shared" si="122"/>
        <v>76253.5976</v>
      </c>
      <c r="I3812" s="160"/>
      <c r="J3812" s="161"/>
      <c r="K3812" s="160"/>
      <c r="L3812" s="160">
        <f>+'FACP$'!$H3812-'FACP$'!$I3812-'FACP$'!$K3812</f>
        <v>76253.5976</v>
      </c>
      <c r="M3812" s="162" t="s">
        <v>586</v>
      </c>
      <c r="N3812" s="162" t="s">
        <v>554</v>
      </c>
      <c r="O3812" s="164">
        <v>45021.0</v>
      </c>
      <c r="P3812" s="164">
        <f t="array" ref="P3812">XLOOKUP('FACP$'!$B3812,'perfil de pagos'!$A$4:$A$46,'perfil de pagos'!$B$4:$B$46+'FACP$'!$D3812)</f>
        <v>45017</v>
      </c>
      <c r="Q3812" s="165">
        <f t="shared" si="2"/>
        <v>0</v>
      </c>
      <c r="R3812" s="167"/>
      <c r="S3812" s="167">
        <v>2087.0</v>
      </c>
      <c r="T3812" s="168">
        <f t="shared" si="3"/>
        <v>76253.5976</v>
      </c>
      <c r="U3812" s="168">
        <f t="shared" si="4"/>
        <v>0</v>
      </c>
      <c r="V3812" s="168">
        <f t="shared" si="5"/>
        <v>0</v>
      </c>
      <c r="W3812" s="168">
        <f t="shared" si="6"/>
        <v>0</v>
      </c>
      <c r="X3812" s="168">
        <f t="shared" si="7"/>
        <v>0</v>
      </c>
      <c r="Y3812" s="168">
        <f t="shared" si="8"/>
        <v>0</v>
      </c>
      <c r="Z3812" s="168">
        <f t="shared" si="9"/>
        <v>0</v>
      </c>
    </row>
    <row r="3813" ht="15.0" customHeight="1">
      <c r="A3813" s="157" t="s">
        <v>4804</v>
      </c>
      <c r="B3813" s="158" t="s">
        <v>19</v>
      </c>
      <c r="C3813" s="158" t="s">
        <v>4803</v>
      </c>
      <c r="D3813" s="159">
        <v>45007.0</v>
      </c>
      <c r="E3813" s="157" t="s">
        <v>731</v>
      </c>
      <c r="F3813" s="160">
        <v>133937.36</v>
      </c>
      <c r="G3813" s="160">
        <f>'FACP$'!$F3813*0.16</f>
        <v>21429.9776</v>
      </c>
      <c r="H3813" s="160">
        <f t="shared" si="122"/>
        <v>155367.3376</v>
      </c>
      <c r="I3813" s="160"/>
      <c r="J3813" s="161"/>
      <c r="K3813" s="160"/>
      <c r="L3813" s="160">
        <f>+'FACP$'!$H3813-'FACP$'!$I3813-'FACP$'!$K3813</f>
        <v>155367.3376</v>
      </c>
      <c r="M3813" s="162" t="s">
        <v>732</v>
      </c>
      <c r="N3813" s="162" t="s">
        <v>554</v>
      </c>
      <c r="O3813" s="164">
        <v>45021.0</v>
      </c>
      <c r="P3813" s="164">
        <f t="array" ref="P3813">XLOOKUP('FACP$'!$B3813,'perfil de pagos'!$A$4:$A$46,'perfil de pagos'!$B$4:$B$46+'FACP$'!$D3813)</f>
        <v>45017</v>
      </c>
      <c r="Q3813" s="165">
        <f t="shared" si="2"/>
        <v>0</v>
      </c>
      <c r="R3813" s="167"/>
      <c r="S3813" s="167">
        <v>2087.0</v>
      </c>
      <c r="T3813" s="168">
        <f t="shared" si="3"/>
        <v>155367.3376</v>
      </c>
      <c r="U3813" s="168">
        <f t="shared" si="4"/>
        <v>0</v>
      </c>
      <c r="V3813" s="168">
        <f t="shared" si="5"/>
        <v>0</v>
      </c>
      <c r="W3813" s="168">
        <f t="shared" si="6"/>
        <v>0</v>
      </c>
      <c r="X3813" s="168">
        <f t="shared" si="7"/>
        <v>0</v>
      </c>
      <c r="Y3813" s="168">
        <f t="shared" si="8"/>
        <v>0</v>
      </c>
      <c r="Z3813" s="168">
        <f t="shared" si="9"/>
        <v>0</v>
      </c>
    </row>
    <row r="3814" ht="15.0" customHeight="1">
      <c r="A3814" s="157" t="s">
        <v>4805</v>
      </c>
      <c r="B3814" s="158" t="s">
        <v>22</v>
      </c>
      <c r="C3814" s="158" t="s">
        <v>4803</v>
      </c>
      <c r="D3814" s="159">
        <v>45007.0</v>
      </c>
      <c r="E3814" s="157" t="s">
        <v>731</v>
      </c>
      <c r="F3814" s="160">
        <v>147781.98</v>
      </c>
      <c r="G3814" s="160">
        <f>'FACP$'!$F3814*0.16</f>
        <v>23645.1168</v>
      </c>
      <c r="H3814" s="160">
        <f t="shared" si="122"/>
        <v>171427.0968</v>
      </c>
      <c r="I3814" s="160"/>
      <c r="J3814" s="161"/>
      <c r="K3814" s="160"/>
      <c r="L3814" s="160">
        <f>+'FACP$'!$H3814-'FACP$'!$I3814-'FACP$'!$K3814</f>
        <v>171427.0968</v>
      </c>
      <c r="M3814" s="162" t="s">
        <v>220</v>
      </c>
      <c r="N3814" s="162" t="s">
        <v>554</v>
      </c>
      <c r="O3814" s="164">
        <v>45063.0</v>
      </c>
      <c r="P3814" s="164">
        <f t="array" ref="P3814">XLOOKUP('FACP$'!$B3814,'perfil de pagos'!$A$4:$A$46,'perfil de pagos'!$B$4:$B$46+'FACP$'!$D3814)</f>
        <v>45017</v>
      </c>
      <c r="Q3814" s="165">
        <f t="shared" si="2"/>
        <v>0</v>
      </c>
      <c r="R3814" s="167"/>
      <c r="S3814" s="167">
        <v>2165.0</v>
      </c>
      <c r="T3814" s="168">
        <f t="shared" si="3"/>
        <v>171427.0968</v>
      </c>
      <c r="U3814" s="168">
        <f t="shared" si="4"/>
        <v>0</v>
      </c>
      <c r="V3814" s="168">
        <f t="shared" si="5"/>
        <v>0</v>
      </c>
      <c r="W3814" s="168">
        <f t="shared" si="6"/>
        <v>0</v>
      </c>
      <c r="X3814" s="168">
        <f t="shared" si="7"/>
        <v>0</v>
      </c>
      <c r="Y3814" s="168">
        <f t="shared" si="8"/>
        <v>0</v>
      </c>
      <c r="Z3814" s="168">
        <f t="shared" si="9"/>
        <v>0</v>
      </c>
    </row>
    <row r="3815" ht="15.0" customHeight="1">
      <c r="A3815" s="157" t="s">
        <v>4806</v>
      </c>
      <c r="B3815" s="158" t="s">
        <v>25</v>
      </c>
      <c r="C3815" s="158" t="s">
        <v>4803</v>
      </c>
      <c r="D3815" s="159">
        <v>45007.0</v>
      </c>
      <c r="E3815" s="157" t="s">
        <v>731</v>
      </c>
      <c r="F3815" s="160">
        <v>43290.51</v>
      </c>
      <c r="G3815" s="160">
        <f>'FACP$'!$F3815*0.16</f>
        <v>6926.4816</v>
      </c>
      <c r="H3815" s="160">
        <f t="shared" si="122"/>
        <v>50216.9916</v>
      </c>
      <c r="I3815" s="160"/>
      <c r="J3815" s="161"/>
      <c r="K3815" s="160"/>
      <c r="L3815" s="160">
        <f>+'FACP$'!$H3815-'FACP$'!$I3815-'FACP$'!$K3815</f>
        <v>50216.9916</v>
      </c>
      <c r="M3815" s="162" t="s">
        <v>4388</v>
      </c>
      <c r="N3815" s="162" t="s">
        <v>554</v>
      </c>
      <c r="O3815" s="164">
        <v>45021.0</v>
      </c>
      <c r="P3815" s="164">
        <f t="array" ref="P3815">XLOOKUP('FACP$'!$B3815,'perfil de pagos'!$A$4:$A$46,'perfil de pagos'!$B$4:$B$46+'FACP$'!$D3815)</f>
        <v>45017</v>
      </c>
      <c r="Q3815" s="165">
        <f t="shared" si="2"/>
        <v>0</v>
      </c>
      <c r="R3815" s="167"/>
      <c r="S3815" s="167">
        <v>2125.0</v>
      </c>
      <c r="T3815" s="168">
        <f t="shared" si="3"/>
        <v>50216.9916</v>
      </c>
      <c r="U3815" s="168">
        <f t="shared" si="4"/>
        <v>0</v>
      </c>
      <c r="V3815" s="168">
        <f t="shared" si="5"/>
        <v>0</v>
      </c>
      <c r="W3815" s="168">
        <f t="shared" si="6"/>
        <v>0</v>
      </c>
      <c r="X3815" s="168">
        <f t="shared" si="7"/>
        <v>0</v>
      </c>
      <c r="Y3815" s="168">
        <f t="shared" si="8"/>
        <v>0</v>
      </c>
      <c r="Z3815" s="168">
        <f t="shared" si="9"/>
        <v>0</v>
      </c>
    </row>
    <row r="3816" ht="15.0" customHeight="1">
      <c r="A3816" s="157" t="s">
        <v>4807</v>
      </c>
      <c r="B3816" s="158" t="s">
        <v>29</v>
      </c>
      <c r="C3816" s="158" t="s">
        <v>4803</v>
      </c>
      <c r="D3816" s="159">
        <v>45007.0</v>
      </c>
      <c r="E3816" s="157" t="s">
        <v>731</v>
      </c>
      <c r="F3816" s="160">
        <v>228899.41</v>
      </c>
      <c r="G3816" s="160">
        <f>'FACP$'!$F3816*0.16</f>
        <v>36623.9056</v>
      </c>
      <c r="H3816" s="160">
        <f t="shared" si="122"/>
        <v>265523.3156</v>
      </c>
      <c r="I3816" s="160"/>
      <c r="J3816" s="161"/>
      <c r="K3816" s="160"/>
      <c r="L3816" s="160">
        <f>+'FACP$'!$H3816-'FACP$'!$I3816-'FACP$'!$K3816</f>
        <v>265523.3156</v>
      </c>
      <c r="M3816" s="162" t="s">
        <v>130</v>
      </c>
      <c r="N3816" s="162" t="s">
        <v>554</v>
      </c>
      <c r="O3816" s="164">
        <v>45019.0</v>
      </c>
      <c r="P3816" s="164">
        <f t="array" ref="P3816">XLOOKUP('FACP$'!$B3816,'perfil de pagos'!$A$4:$A$46,'perfil de pagos'!$B$4:$B$46+'FACP$'!$D3816)</f>
        <v>45017</v>
      </c>
      <c r="Q3816" s="165">
        <f t="shared" si="2"/>
        <v>0</v>
      </c>
      <c r="R3816" s="167"/>
      <c r="S3816" s="167">
        <v>2084.0</v>
      </c>
      <c r="T3816" s="168">
        <f t="shared" si="3"/>
        <v>265523.3156</v>
      </c>
      <c r="U3816" s="168">
        <f t="shared" si="4"/>
        <v>0</v>
      </c>
      <c r="V3816" s="168">
        <f t="shared" si="5"/>
        <v>0</v>
      </c>
      <c r="W3816" s="168">
        <f t="shared" si="6"/>
        <v>0</v>
      </c>
      <c r="X3816" s="168">
        <f t="shared" si="7"/>
        <v>0</v>
      </c>
      <c r="Y3816" s="168">
        <f t="shared" si="8"/>
        <v>0</v>
      </c>
      <c r="Z3816" s="168">
        <f t="shared" si="9"/>
        <v>0</v>
      </c>
    </row>
    <row r="3817" ht="15.0" customHeight="1">
      <c r="A3817" s="157" t="s">
        <v>4808</v>
      </c>
      <c r="B3817" s="158" t="s">
        <v>29</v>
      </c>
      <c r="C3817" s="158" t="s">
        <v>4809</v>
      </c>
      <c r="D3817" s="159">
        <v>45007.0</v>
      </c>
      <c r="E3817" s="157" t="s">
        <v>731</v>
      </c>
      <c r="F3817" s="160">
        <v>343921.85</v>
      </c>
      <c r="G3817" s="160">
        <f>'FACP$'!$F3817*0.16</f>
        <v>55027.496</v>
      </c>
      <c r="H3817" s="160">
        <f t="shared" si="122"/>
        <v>398949.346</v>
      </c>
      <c r="I3817" s="160"/>
      <c r="J3817" s="161"/>
      <c r="K3817" s="160"/>
      <c r="L3817" s="160">
        <f>+'FACP$'!$H3817-'FACP$'!$I3817-'FACP$'!$K3817</f>
        <v>398949.346</v>
      </c>
      <c r="M3817" s="162" t="s">
        <v>130</v>
      </c>
      <c r="N3817" s="162" t="s">
        <v>554</v>
      </c>
      <c r="O3817" s="164">
        <v>45026.0</v>
      </c>
      <c r="P3817" s="164">
        <f t="array" ref="P3817">XLOOKUP('FACP$'!$B3817,'perfil de pagos'!$A$4:$A$46,'perfil de pagos'!$B$4:$B$46+'FACP$'!$D3817)</f>
        <v>45017</v>
      </c>
      <c r="Q3817" s="165">
        <f t="shared" si="2"/>
        <v>0</v>
      </c>
      <c r="R3817" s="167"/>
      <c r="S3817" s="167">
        <v>2091.0</v>
      </c>
      <c r="T3817" s="168">
        <f t="shared" si="3"/>
        <v>398949.346</v>
      </c>
      <c r="U3817" s="168">
        <f t="shared" si="4"/>
        <v>0</v>
      </c>
      <c r="V3817" s="168">
        <f t="shared" si="5"/>
        <v>0</v>
      </c>
      <c r="W3817" s="168">
        <f t="shared" si="6"/>
        <v>0</v>
      </c>
      <c r="X3817" s="168">
        <f t="shared" si="7"/>
        <v>0</v>
      </c>
      <c r="Y3817" s="168">
        <f t="shared" si="8"/>
        <v>0</v>
      </c>
      <c r="Z3817" s="168">
        <f t="shared" si="9"/>
        <v>0</v>
      </c>
    </row>
    <row r="3818" ht="15.0" customHeight="1">
      <c r="A3818" s="157" t="s">
        <v>4810</v>
      </c>
      <c r="B3818" s="158" t="s">
        <v>37</v>
      </c>
      <c r="C3818" s="158" t="s">
        <v>4803</v>
      </c>
      <c r="D3818" s="159">
        <v>45007.0</v>
      </c>
      <c r="E3818" s="157" t="s">
        <v>731</v>
      </c>
      <c r="F3818" s="160">
        <v>1383953.98</v>
      </c>
      <c r="G3818" s="160">
        <f>'FACP$'!$F3818*0.16</f>
        <v>221432.6368</v>
      </c>
      <c r="H3818" s="160">
        <f t="shared" si="122"/>
        <v>1605386.617</v>
      </c>
      <c r="I3818" s="160"/>
      <c r="J3818" s="161"/>
      <c r="K3818" s="160"/>
      <c r="L3818" s="160">
        <f>+'FACP$'!$H3818-'FACP$'!$I3818-'FACP$'!$K3818</f>
        <v>1605386.617</v>
      </c>
      <c r="M3818" s="162" t="s">
        <v>116</v>
      </c>
      <c r="N3818" s="162" t="s">
        <v>554</v>
      </c>
      <c r="O3818" s="164">
        <v>45020.0</v>
      </c>
      <c r="P3818" s="164">
        <f t="array" ref="P3818">XLOOKUP('FACP$'!$B3818,'perfil de pagos'!$A$4:$A$46,'perfil de pagos'!$B$4:$B$46+'FACP$'!$D3818)</f>
        <v>45017</v>
      </c>
      <c r="Q3818" s="165">
        <f t="shared" si="2"/>
        <v>0</v>
      </c>
      <c r="R3818" s="167"/>
      <c r="S3818" s="167">
        <v>2086.0</v>
      </c>
      <c r="T3818" s="168">
        <f t="shared" si="3"/>
        <v>1605386.617</v>
      </c>
      <c r="U3818" s="168">
        <f t="shared" si="4"/>
        <v>0</v>
      </c>
      <c r="V3818" s="168">
        <f t="shared" si="5"/>
        <v>0</v>
      </c>
      <c r="W3818" s="168">
        <f t="shared" si="6"/>
        <v>0</v>
      </c>
      <c r="X3818" s="168">
        <f t="shared" si="7"/>
        <v>0</v>
      </c>
      <c r="Y3818" s="168">
        <f t="shared" si="8"/>
        <v>0</v>
      </c>
      <c r="Z3818" s="168">
        <f t="shared" si="9"/>
        <v>0</v>
      </c>
    </row>
    <row r="3819" ht="15.0" customHeight="1">
      <c r="A3819" s="157" t="s">
        <v>4811</v>
      </c>
      <c r="B3819" s="158" t="s">
        <v>38</v>
      </c>
      <c r="C3819" s="158" t="s">
        <v>4803</v>
      </c>
      <c r="D3819" s="159">
        <v>45008.0</v>
      </c>
      <c r="E3819" s="157" t="s">
        <v>731</v>
      </c>
      <c r="F3819" s="160">
        <v>75106.48</v>
      </c>
      <c r="G3819" s="160">
        <f>'FACP$'!$F3819*0.16</f>
        <v>12017.0368</v>
      </c>
      <c r="H3819" s="160">
        <f t="shared" si="122"/>
        <v>87123.5168</v>
      </c>
      <c r="I3819" s="160"/>
      <c r="J3819" s="161"/>
      <c r="K3819" s="160"/>
      <c r="L3819" s="160">
        <f>+'FACP$'!$H3819-'FACP$'!$I3819-'FACP$'!$K3819</f>
        <v>87123.5168</v>
      </c>
      <c r="M3819" s="162" t="s">
        <v>4707</v>
      </c>
      <c r="N3819" s="162" t="s">
        <v>554</v>
      </c>
      <c r="O3819" s="164">
        <v>45055.0</v>
      </c>
      <c r="P3819" s="164">
        <f t="array" ref="P3819">XLOOKUP('FACP$'!$B3819,'perfil de pagos'!$A$4:$A$46,'perfil de pagos'!$B$4:$B$46+'FACP$'!$D3819)</f>
        <v>45038</v>
      </c>
      <c r="Q3819" s="165">
        <f t="shared" si="2"/>
        <v>0</v>
      </c>
      <c r="R3819" s="167"/>
      <c r="S3819" s="167">
        <v>2163.0</v>
      </c>
      <c r="T3819" s="168">
        <f t="shared" si="3"/>
        <v>87123.5168</v>
      </c>
      <c r="U3819" s="168">
        <f t="shared" si="4"/>
        <v>0</v>
      </c>
      <c r="V3819" s="168">
        <f t="shared" si="5"/>
        <v>0</v>
      </c>
      <c r="W3819" s="168">
        <f t="shared" si="6"/>
        <v>0</v>
      </c>
      <c r="X3819" s="168">
        <f t="shared" si="7"/>
        <v>0</v>
      </c>
      <c r="Y3819" s="168">
        <f t="shared" si="8"/>
        <v>0</v>
      </c>
      <c r="Z3819" s="168">
        <f t="shared" si="9"/>
        <v>0</v>
      </c>
    </row>
    <row r="3820" ht="15.0" customHeight="1">
      <c r="A3820" s="157" t="s">
        <v>4812</v>
      </c>
      <c r="B3820" s="158" t="s">
        <v>38</v>
      </c>
      <c r="C3820" s="158" t="s">
        <v>4809</v>
      </c>
      <c r="D3820" s="159">
        <v>45008.0</v>
      </c>
      <c r="E3820" s="157" t="s">
        <v>731</v>
      </c>
      <c r="F3820" s="160">
        <v>75586.42</v>
      </c>
      <c r="G3820" s="160">
        <f>'FACP$'!$F3820*0.16</f>
        <v>12093.8272</v>
      </c>
      <c r="H3820" s="160">
        <f t="shared" si="122"/>
        <v>87680.2472</v>
      </c>
      <c r="I3820" s="160"/>
      <c r="J3820" s="161"/>
      <c r="K3820" s="160"/>
      <c r="L3820" s="160">
        <f>+'FACP$'!$H3820-'FACP$'!$I3820-'FACP$'!$K3820</f>
        <v>87680.2472</v>
      </c>
      <c r="M3820" s="162" t="s">
        <v>4707</v>
      </c>
      <c r="N3820" s="162" t="s">
        <v>554</v>
      </c>
      <c r="O3820" s="164">
        <v>45055.0</v>
      </c>
      <c r="P3820" s="164">
        <f t="array" ref="P3820">XLOOKUP('FACP$'!$B3820,'perfil de pagos'!$A$4:$A$46,'perfil de pagos'!$B$4:$B$46+'FACP$'!$D3820)</f>
        <v>45038</v>
      </c>
      <c r="Q3820" s="165">
        <f t="shared" si="2"/>
        <v>0</v>
      </c>
      <c r="R3820" s="167"/>
      <c r="S3820" s="167">
        <v>2163.0</v>
      </c>
      <c r="T3820" s="168">
        <f t="shared" si="3"/>
        <v>87680.2472</v>
      </c>
      <c r="U3820" s="168">
        <f t="shared" si="4"/>
        <v>0</v>
      </c>
      <c r="V3820" s="168">
        <f t="shared" si="5"/>
        <v>0</v>
      </c>
      <c r="W3820" s="168">
        <f t="shared" si="6"/>
        <v>0</v>
      </c>
      <c r="X3820" s="168">
        <f t="shared" si="7"/>
        <v>0</v>
      </c>
      <c r="Y3820" s="168">
        <f t="shared" si="8"/>
        <v>0</v>
      </c>
      <c r="Z3820" s="168">
        <f t="shared" si="9"/>
        <v>0</v>
      </c>
    </row>
    <row r="3821" ht="15.0" customHeight="1">
      <c r="A3821" s="157" t="s">
        <v>4813</v>
      </c>
      <c r="B3821" s="158" t="s">
        <v>38</v>
      </c>
      <c r="C3821" s="158" t="s">
        <v>4803</v>
      </c>
      <c r="D3821" s="159">
        <v>45008.0</v>
      </c>
      <c r="E3821" s="157" t="s">
        <v>731</v>
      </c>
      <c r="F3821" s="160">
        <v>156682.5</v>
      </c>
      <c r="G3821" s="160">
        <f>'FACP$'!$F3821*0.16</f>
        <v>25069.2</v>
      </c>
      <c r="H3821" s="160">
        <f t="shared" si="122"/>
        <v>181751.7</v>
      </c>
      <c r="I3821" s="160"/>
      <c r="J3821" s="161"/>
      <c r="K3821" s="160"/>
      <c r="L3821" s="160">
        <f>+'FACP$'!$H3821-'FACP$'!$I3821-'FACP$'!$K3821</f>
        <v>181751.7</v>
      </c>
      <c r="M3821" s="162" t="s">
        <v>4654</v>
      </c>
      <c r="N3821" s="162" t="s">
        <v>554</v>
      </c>
      <c r="O3821" s="164">
        <v>45055.0</v>
      </c>
      <c r="P3821" s="164">
        <f t="array" ref="P3821">XLOOKUP('FACP$'!$B3821,'perfil de pagos'!$A$4:$A$46,'perfil de pagos'!$B$4:$B$46+'FACP$'!$D3821)</f>
        <v>45038</v>
      </c>
      <c r="Q3821" s="165">
        <f t="shared" si="2"/>
        <v>0</v>
      </c>
      <c r="R3821" s="167"/>
      <c r="S3821" s="167">
        <v>2163.0</v>
      </c>
      <c r="T3821" s="168">
        <f t="shared" si="3"/>
        <v>181751.7</v>
      </c>
      <c r="U3821" s="168">
        <f t="shared" si="4"/>
        <v>0</v>
      </c>
      <c r="V3821" s="168">
        <f t="shared" si="5"/>
        <v>0</v>
      </c>
      <c r="W3821" s="168">
        <f t="shared" si="6"/>
        <v>0</v>
      </c>
      <c r="X3821" s="168">
        <f t="shared" si="7"/>
        <v>0</v>
      </c>
      <c r="Y3821" s="168">
        <f t="shared" si="8"/>
        <v>0</v>
      </c>
      <c r="Z3821" s="168">
        <f t="shared" si="9"/>
        <v>0</v>
      </c>
    </row>
    <row r="3822" ht="15.0" customHeight="1">
      <c r="A3822" s="157" t="s">
        <v>4814</v>
      </c>
      <c r="B3822" s="158" t="s">
        <v>16</v>
      </c>
      <c r="C3822" s="158" t="s">
        <v>4803</v>
      </c>
      <c r="D3822" s="159">
        <v>45009.0</v>
      </c>
      <c r="E3822" s="157" t="s">
        <v>731</v>
      </c>
      <c r="F3822" s="160">
        <v>219282.64</v>
      </c>
      <c r="G3822" s="160">
        <f>'FACP$'!$F3822*0.16</f>
        <v>35085.2224</v>
      </c>
      <c r="H3822" s="160">
        <f t="shared" si="122"/>
        <v>254367.8624</v>
      </c>
      <c r="I3822" s="160"/>
      <c r="J3822" s="161"/>
      <c r="K3822" s="160"/>
      <c r="L3822" s="160">
        <f>+'FACP$'!$H3822-'FACP$'!$I3822-'FACP$'!$K3822</f>
        <v>254367.8624</v>
      </c>
      <c r="M3822" s="162" t="s">
        <v>985</v>
      </c>
      <c r="N3822" s="162" t="s">
        <v>554</v>
      </c>
      <c r="O3822" s="164">
        <v>45029.0</v>
      </c>
      <c r="P3822" s="164">
        <f t="array" ref="P3822">XLOOKUP('FACP$'!$B3822,'perfil de pagos'!$A$4:$A$46,'perfil de pagos'!$B$4:$B$46+'FACP$'!$D3822)</f>
        <v>45019</v>
      </c>
      <c r="Q3822" s="165">
        <f t="shared" si="2"/>
        <v>0</v>
      </c>
      <c r="R3822" s="167"/>
      <c r="S3822" s="167">
        <v>2095.0</v>
      </c>
      <c r="T3822" s="168">
        <f t="shared" si="3"/>
        <v>254367.8624</v>
      </c>
      <c r="U3822" s="168">
        <f t="shared" si="4"/>
        <v>0</v>
      </c>
      <c r="V3822" s="168">
        <f t="shared" si="5"/>
        <v>0</v>
      </c>
      <c r="W3822" s="168">
        <f t="shared" si="6"/>
        <v>0</v>
      </c>
      <c r="X3822" s="168">
        <f t="shared" si="7"/>
        <v>0</v>
      </c>
      <c r="Y3822" s="168">
        <f t="shared" si="8"/>
        <v>0</v>
      </c>
      <c r="Z3822" s="168">
        <f t="shared" si="9"/>
        <v>0</v>
      </c>
    </row>
    <row r="3823" ht="15.0" customHeight="1">
      <c r="A3823" s="157" t="s">
        <v>4815</v>
      </c>
      <c r="B3823" s="158" t="s">
        <v>16</v>
      </c>
      <c r="C3823" s="158" t="s">
        <v>4809</v>
      </c>
      <c r="D3823" s="159">
        <v>45009.0</v>
      </c>
      <c r="E3823" s="157" t="s">
        <v>731</v>
      </c>
      <c r="F3823" s="160">
        <v>327064.16</v>
      </c>
      <c r="G3823" s="160">
        <f>'FACP$'!$F3823*0.16</f>
        <v>52330.2656</v>
      </c>
      <c r="H3823" s="160">
        <f t="shared" si="122"/>
        <v>379394.4256</v>
      </c>
      <c r="I3823" s="160"/>
      <c r="J3823" s="161"/>
      <c r="K3823" s="160"/>
      <c r="L3823" s="160">
        <f>+'FACP$'!$H3823-'FACP$'!$I3823-'FACP$'!$K3823</f>
        <v>379394.4256</v>
      </c>
      <c r="M3823" s="162" t="s">
        <v>985</v>
      </c>
      <c r="N3823" s="162" t="s">
        <v>554</v>
      </c>
      <c r="O3823" s="164">
        <v>45029.0</v>
      </c>
      <c r="P3823" s="164">
        <f t="array" ref="P3823">XLOOKUP('FACP$'!$B3823,'perfil de pagos'!$A$4:$A$46,'perfil de pagos'!$B$4:$B$46+'FACP$'!$D3823)</f>
        <v>45019</v>
      </c>
      <c r="Q3823" s="165">
        <f t="shared" si="2"/>
        <v>0</v>
      </c>
      <c r="R3823" s="167"/>
      <c r="S3823" s="167">
        <v>2095.0</v>
      </c>
      <c r="T3823" s="168">
        <f t="shared" si="3"/>
        <v>379394.4256</v>
      </c>
      <c r="U3823" s="168">
        <f t="shared" si="4"/>
        <v>0</v>
      </c>
      <c r="V3823" s="168">
        <f t="shared" si="5"/>
        <v>0</v>
      </c>
      <c r="W3823" s="168">
        <f t="shared" si="6"/>
        <v>0</v>
      </c>
      <c r="X3823" s="168">
        <f t="shared" si="7"/>
        <v>0</v>
      </c>
      <c r="Y3823" s="168">
        <f t="shared" si="8"/>
        <v>0</v>
      </c>
      <c r="Z3823" s="168">
        <f t="shared" si="9"/>
        <v>0</v>
      </c>
    </row>
    <row r="3824" ht="15.0" customHeight="1">
      <c r="A3824" s="157" t="s">
        <v>4816</v>
      </c>
      <c r="B3824" s="158" t="s">
        <v>38</v>
      </c>
      <c r="C3824" s="158" t="s">
        <v>4803</v>
      </c>
      <c r="D3824" s="159">
        <v>45009.0</v>
      </c>
      <c r="E3824" s="157" t="s">
        <v>731</v>
      </c>
      <c r="F3824" s="160">
        <v>522883.26</v>
      </c>
      <c r="G3824" s="160">
        <f>'FACP$'!$F3824*0.16</f>
        <v>83661.3216</v>
      </c>
      <c r="H3824" s="160">
        <f t="shared" si="122"/>
        <v>606544.5816</v>
      </c>
      <c r="I3824" s="160"/>
      <c r="J3824" s="161"/>
      <c r="K3824" s="160"/>
      <c r="L3824" s="160">
        <f>+'FACP$'!$H3824-'FACP$'!$I3824-'FACP$'!$K3824</f>
        <v>606544.5816</v>
      </c>
      <c r="M3824" s="162" t="s">
        <v>145</v>
      </c>
      <c r="N3824" s="162" t="s">
        <v>554</v>
      </c>
      <c r="O3824" s="164">
        <v>45065.0</v>
      </c>
      <c r="P3824" s="164">
        <f t="array" ref="P3824">XLOOKUP('FACP$'!$B3824,'perfil de pagos'!$A$4:$A$46,'perfil de pagos'!$B$4:$B$46+'FACP$'!$D3824)</f>
        <v>45039</v>
      </c>
      <c r="Q3824" s="165">
        <f t="shared" si="2"/>
        <v>0</v>
      </c>
      <c r="R3824" s="167"/>
      <c r="S3824" s="167">
        <v>2168.0</v>
      </c>
      <c r="T3824" s="168">
        <f t="shared" si="3"/>
        <v>606544.5816</v>
      </c>
      <c r="U3824" s="168">
        <f t="shared" si="4"/>
        <v>0</v>
      </c>
      <c r="V3824" s="168">
        <f t="shared" si="5"/>
        <v>0</v>
      </c>
      <c r="W3824" s="168">
        <f t="shared" si="6"/>
        <v>0</v>
      </c>
      <c r="X3824" s="168">
        <f t="shared" si="7"/>
        <v>0</v>
      </c>
      <c r="Y3824" s="168">
        <f t="shared" si="8"/>
        <v>0</v>
      </c>
      <c r="Z3824" s="168">
        <f t="shared" si="9"/>
        <v>0</v>
      </c>
      <c r="AA3824" s="81"/>
      <c r="AB3824" s="81"/>
      <c r="AC3824" s="81"/>
    </row>
    <row r="3825" ht="15.0" customHeight="1">
      <c r="A3825" s="157" t="s">
        <v>4817</v>
      </c>
      <c r="B3825" s="158" t="s">
        <v>38</v>
      </c>
      <c r="C3825" s="158" t="s">
        <v>4803</v>
      </c>
      <c r="D3825" s="159">
        <v>45009.0</v>
      </c>
      <c r="E3825" s="157" t="s">
        <v>731</v>
      </c>
      <c r="F3825" s="160">
        <v>112820.34</v>
      </c>
      <c r="G3825" s="160">
        <f>'FACP$'!$F3825*0.16</f>
        <v>18051.2544</v>
      </c>
      <c r="H3825" s="160">
        <f t="shared" si="122"/>
        <v>130871.5944</v>
      </c>
      <c r="I3825" s="160"/>
      <c r="J3825" s="161"/>
      <c r="K3825" s="160"/>
      <c r="L3825" s="160">
        <f>+'FACP$'!$H3825-'FACP$'!$I3825-'FACP$'!$K3825</f>
        <v>130871.5944</v>
      </c>
      <c r="M3825" s="162" t="s">
        <v>642</v>
      </c>
      <c r="N3825" s="162" t="s">
        <v>554</v>
      </c>
      <c r="O3825" s="164">
        <v>45065.0</v>
      </c>
      <c r="P3825" s="164">
        <f t="array" ref="P3825">XLOOKUP('FACP$'!$B3825,'perfil de pagos'!$A$4:$A$46,'perfil de pagos'!$B$4:$B$46+'FACP$'!$D3825)</f>
        <v>45039</v>
      </c>
      <c r="Q3825" s="165">
        <f t="shared" si="2"/>
        <v>0</v>
      </c>
      <c r="R3825" s="167"/>
      <c r="S3825" s="167">
        <v>2168.0</v>
      </c>
      <c r="T3825" s="168">
        <f t="shared" si="3"/>
        <v>130871.5944</v>
      </c>
      <c r="U3825" s="168">
        <f t="shared" si="4"/>
        <v>0</v>
      </c>
      <c r="V3825" s="168">
        <f t="shared" si="5"/>
        <v>0</v>
      </c>
      <c r="W3825" s="168">
        <f t="shared" si="6"/>
        <v>0</v>
      </c>
      <c r="X3825" s="168">
        <f t="shared" si="7"/>
        <v>0</v>
      </c>
      <c r="Y3825" s="168">
        <f t="shared" si="8"/>
        <v>0</v>
      </c>
      <c r="Z3825" s="168">
        <f t="shared" si="9"/>
        <v>0</v>
      </c>
    </row>
    <row r="3826" ht="15.0" customHeight="1">
      <c r="A3826" s="157" t="s">
        <v>4818</v>
      </c>
      <c r="B3826" s="158" t="s">
        <v>43</v>
      </c>
      <c r="C3826" s="158" t="s">
        <v>4819</v>
      </c>
      <c r="D3826" s="159">
        <v>45015.0</v>
      </c>
      <c r="E3826" s="157" t="s">
        <v>731</v>
      </c>
      <c r="F3826" s="160">
        <v>843830.68</v>
      </c>
      <c r="G3826" s="160">
        <f>'FACP$'!$F3826*0.16</f>
        <v>135012.9088</v>
      </c>
      <c r="H3826" s="160">
        <f t="shared" si="122"/>
        <v>978843.5888</v>
      </c>
      <c r="I3826" s="160"/>
      <c r="J3826" s="161"/>
      <c r="K3826" s="160"/>
      <c r="L3826" s="160">
        <f>+'FACP$'!$H3826-'FACP$'!$I3826-'FACP$'!$K3826</f>
        <v>978843.5888</v>
      </c>
      <c r="M3826" s="162" t="s">
        <v>43</v>
      </c>
      <c r="N3826" s="162" t="s">
        <v>127</v>
      </c>
      <c r="O3826" s="164">
        <v>45026.0</v>
      </c>
      <c r="P3826" s="164">
        <f t="array" ref="P3826">XLOOKUP('FACP$'!$B3826,'perfil de pagos'!$A$4:$A$46,'perfil de pagos'!$B$4:$B$46+'FACP$'!$D3826)</f>
        <v>45040</v>
      </c>
      <c r="Q3826" s="165">
        <f t="shared" si="2"/>
        <v>0</v>
      </c>
      <c r="R3826" s="167" t="s">
        <v>4820</v>
      </c>
      <c r="S3826" s="167">
        <v>2090.0</v>
      </c>
      <c r="T3826" s="168">
        <f t="shared" si="3"/>
        <v>978843.5888</v>
      </c>
      <c r="U3826" s="168">
        <f t="shared" si="4"/>
        <v>0</v>
      </c>
      <c r="V3826" s="168">
        <f t="shared" si="5"/>
        <v>0</v>
      </c>
      <c r="W3826" s="168">
        <f t="shared" si="6"/>
        <v>0</v>
      </c>
      <c r="X3826" s="168">
        <f t="shared" si="7"/>
        <v>0</v>
      </c>
      <c r="Y3826" s="168">
        <f t="shared" si="8"/>
        <v>0</v>
      </c>
      <c r="Z3826" s="168">
        <f t="shared" si="9"/>
        <v>0</v>
      </c>
    </row>
    <row r="3827" ht="15.0" customHeight="1">
      <c r="A3827" s="157" t="s">
        <v>4821</v>
      </c>
      <c r="B3827" s="158" t="s">
        <v>27</v>
      </c>
      <c r="C3827" s="158" t="s">
        <v>4822</v>
      </c>
      <c r="D3827" s="159">
        <v>45016.0</v>
      </c>
      <c r="E3827" s="157" t="s">
        <v>731</v>
      </c>
      <c r="F3827" s="160">
        <v>171944.58</v>
      </c>
      <c r="G3827" s="160">
        <f>'FACP$'!$F3827*0.16</f>
        <v>27511.1328</v>
      </c>
      <c r="H3827" s="160">
        <f t="shared" si="122"/>
        <v>199455.7128</v>
      </c>
      <c r="I3827" s="160"/>
      <c r="J3827" s="161"/>
      <c r="K3827" s="160"/>
      <c r="L3827" s="160">
        <f>+'FACP$'!$H3827-'FACP$'!$I3827-'FACP$'!$K3827</f>
        <v>199455.7128</v>
      </c>
      <c r="M3827" s="162" t="s">
        <v>158</v>
      </c>
      <c r="N3827" s="162" t="s">
        <v>554</v>
      </c>
      <c r="O3827" s="164">
        <v>45029.0</v>
      </c>
      <c r="P3827" s="164">
        <f t="array" ref="P3827">XLOOKUP('FACP$'!$B3827,'perfil de pagos'!$A$4:$A$46,'perfil de pagos'!$B$4:$B$46+'FACP$'!$D3827)</f>
        <v>45046</v>
      </c>
      <c r="Q3827" s="165">
        <f t="shared" si="2"/>
        <v>0</v>
      </c>
      <c r="R3827" s="167"/>
      <c r="S3827" s="167">
        <v>2094.0</v>
      </c>
      <c r="T3827" s="168">
        <f t="shared" si="3"/>
        <v>199455.7128</v>
      </c>
      <c r="U3827" s="168">
        <f t="shared" si="4"/>
        <v>0</v>
      </c>
      <c r="V3827" s="168">
        <f t="shared" si="5"/>
        <v>0</v>
      </c>
      <c r="W3827" s="168">
        <f t="shared" si="6"/>
        <v>0</v>
      </c>
      <c r="X3827" s="168">
        <f t="shared" si="7"/>
        <v>0</v>
      </c>
      <c r="Y3827" s="168">
        <f t="shared" si="8"/>
        <v>0</v>
      </c>
      <c r="Z3827" s="168">
        <f t="shared" si="9"/>
        <v>0</v>
      </c>
    </row>
    <row r="3828" ht="15.0" customHeight="1">
      <c r="A3828" s="157" t="s">
        <v>4823</v>
      </c>
      <c r="B3828" s="158" t="s">
        <v>27</v>
      </c>
      <c r="C3828" s="158" t="s">
        <v>4824</v>
      </c>
      <c r="D3828" s="159">
        <v>45016.0</v>
      </c>
      <c r="E3828" s="157" t="s">
        <v>731</v>
      </c>
      <c r="F3828" s="160">
        <v>156270.88</v>
      </c>
      <c r="G3828" s="160">
        <f>'FACP$'!$F3828*0.16</f>
        <v>25003.3408</v>
      </c>
      <c r="H3828" s="160">
        <f t="shared" si="122"/>
        <v>181274.2208</v>
      </c>
      <c r="I3828" s="160"/>
      <c r="J3828" s="161"/>
      <c r="K3828" s="160"/>
      <c r="L3828" s="160">
        <f>+'FACP$'!$H3828-'FACP$'!$I3828-'FACP$'!$K3828</f>
        <v>181274.2208</v>
      </c>
      <c r="M3828" s="162" t="s">
        <v>158</v>
      </c>
      <c r="N3828" s="162" t="s">
        <v>554</v>
      </c>
      <c r="O3828" s="164">
        <v>45035.0</v>
      </c>
      <c r="P3828" s="164">
        <f t="array" ref="P3828">XLOOKUP('FACP$'!$B3828,'perfil de pagos'!$A$4:$A$46,'perfil de pagos'!$B$4:$B$46+'FACP$'!$D3828)</f>
        <v>45046</v>
      </c>
      <c r="Q3828" s="165">
        <f t="shared" si="2"/>
        <v>0</v>
      </c>
      <c r="R3828" s="167"/>
      <c r="S3828" s="167">
        <v>2113.0</v>
      </c>
      <c r="T3828" s="168">
        <f t="shared" si="3"/>
        <v>181274.2208</v>
      </c>
      <c r="U3828" s="168">
        <f t="shared" si="4"/>
        <v>0</v>
      </c>
      <c r="V3828" s="168">
        <f t="shared" si="5"/>
        <v>0</v>
      </c>
      <c r="W3828" s="168">
        <f t="shared" si="6"/>
        <v>0</v>
      </c>
      <c r="X3828" s="168">
        <f t="shared" si="7"/>
        <v>0</v>
      </c>
      <c r="Y3828" s="168">
        <f t="shared" si="8"/>
        <v>0</v>
      </c>
      <c r="Z3828" s="168">
        <f t="shared" si="9"/>
        <v>0</v>
      </c>
    </row>
    <row r="3829" ht="15.0" customHeight="1">
      <c r="A3829" s="157" t="s">
        <v>4825</v>
      </c>
      <c r="B3829" s="158" t="s">
        <v>27</v>
      </c>
      <c r="C3829" s="158" t="s">
        <v>4822</v>
      </c>
      <c r="D3829" s="159">
        <v>45016.0</v>
      </c>
      <c r="E3829" s="157" t="s">
        <v>731</v>
      </c>
      <c r="F3829" s="160">
        <v>247871.41</v>
      </c>
      <c r="G3829" s="160">
        <f>'FACP$'!$F3829*0.16</f>
        <v>39659.4256</v>
      </c>
      <c r="H3829" s="160">
        <f t="shared" si="122"/>
        <v>287530.8356</v>
      </c>
      <c r="I3829" s="160"/>
      <c r="J3829" s="161">
        <v>304.0</v>
      </c>
      <c r="K3829" s="160">
        <f>'NCP$'!H227</f>
        <v>665.2136</v>
      </c>
      <c r="L3829" s="160">
        <f>+'FACP$'!$H3829-'FACP$'!$I3829-'FACP$'!$K3829</f>
        <v>286865.622</v>
      </c>
      <c r="M3829" s="162" t="s">
        <v>151</v>
      </c>
      <c r="N3829" s="162" t="s">
        <v>554</v>
      </c>
      <c r="O3829" s="164">
        <v>45029.0</v>
      </c>
      <c r="P3829" s="164">
        <f t="array" ref="P3829">XLOOKUP('FACP$'!$B3829,'perfil de pagos'!$A$4:$A$46,'perfil de pagos'!$B$4:$B$46+'FACP$'!$D3829)</f>
        <v>45046</v>
      </c>
      <c r="Q3829" s="165">
        <f t="shared" si="2"/>
        <v>0</v>
      </c>
      <c r="R3829" s="167"/>
      <c r="S3829" s="167">
        <v>2093.0</v>
      </c>
      <c r="T3829" s="168">
        <f t="shared" si="3"/>
        <v>286865.622</v>
      </c>
      <c r="U3829" s="168">
        <f t="shared" si="4"/>
        <v>0</v>
      </c>
      <c r="V3829" s="168">
        <f t="shared" si="5"/>
        <v>0</v>
      </c>
      <c r="W3829" s="168">
        <f t="shared" si="6"/>
        <v>0</v>
      </c>
      <c r="X3829" s="168">
        <f t="shared" si="7"/>
        <v>0</v>
      </c>
      <c r="Y3829" s="168">
        <f t="shared" si="8"/>
        <v>0</v>
      </c>
      <c r="Z3829" s="168">
        <f t="shared" si="9"/>
        <v>0</v>
      </c>
    </row>
    <row r="3830" ht="15.0" customHeight="1">
      <c r="A3830" s="157" t="s">
        <v>4826</v>
      </c>
      <c r="B3830" s="158" t="s">
        <v>27</v>
      </c>
      <c r="C3830" s="158" t="s">
        <v>4824</v>
      </c>
      <c r="D3830" s="159">
        <v>45016.0</v>
      </c>
      <c r="E3830" s="157" t="s">
        <v>731</v>
      </c>
      <c r="F3830" s="160">
        <v>220566.91</v>
      </c>
      <c r="G3830" s="160">
        <f>'FACP$'!$F3830*0.16</f>
        <v>35290.7056</v>
      </c>
      <c r="H3830" s="160">
        <f t="shared" si="122"/>
        <v>255857.6156</v>
      </c>
      <c r="I3830" s="160"/>
      <c r="J3830" s="161">
        <v>305.0</v>
      </c>
      <c r="K3830" s="160">
        <f>'NCP$'!H228</f>
        <v>183.28</v>
      </c>
      <c r="L3830" s="160">
        <f>+'FACP$'!$H3830-'FACP$'!$I3830-'FACP$'!$K3830</f>
        <v>255674.3356</v>
      </c>
      <c r="M3830" s="162" t="s">
        <v>151</v>
      </c>
      <c r="N3830" s="162" t="s">
        <v>554</v>
      </c>
      <c r="O3830" s="164">
        <v>45035.0</v>
      </c>
      <c r="P3830" s="164">
        <f t="array" ref="P3830">XLOOKUP('FACP$'!$B3830,'perfil de pagos'!$A$4:$A$46,'perfil de pagos'!$B$4:$B$46+'FACP$'!$D3830)</f>
        <v>45046</v>
      </c>
      <c r="Q3830" s="165">
        <f t="shared" si="2"/>
        <v>0</v>
      </c>
      <c r="R3830" s="167"/>
      <c r="S3830" s="167">
        <v>2112.0</v>
      </c>
      <c r="T3830" s="168">
        <f t="shared" si="3"/>
        <v>255674.3356</v>
      </c>
      <c r="U3830" s="168">
        <f t="shared" si="4"/>
        <v>0</v>
      </c>
      <c r="V3830" s="168">
        <f t="shared" si="5"/>
        <v>0</v>
      </c>
      <c r="W3830" s="168">
        <f t="shared" si="6"/>
        <v>0</v>
      </c>
      <c r="X3830" s="168">
        <f t="shared" si="7"/>
        <v>0</v>
      </c>
      <c r="Y3830" s="168">
        <f t="shared" si="8"/>
        <v>0</v>
      </c>
      <c r="Z3830" s="168">
        <f t="shared" si="9"/>
        <v>0</v>
      </c>
    </row>
    <row r="3831" ht="15.0" customHeight="1">
      <c r="A3831" s="157" t="s">
        <v>4827</v>
      </c>
      <c r="B3831" s="158" t="s">
        <v>27</v>
      </c>
      <c r="C3831" s="158" t="s">
        <v>4828</v>
      </c>
      <c r="D3831" s="159">
        <v>45016.0</v>
      </c>
      <c r="E3831" s="157" t="s">
        <v>731</v>
      </c>
      <c r="F3831" s="160">
        <v>9814.72</v>
      </c>
      <c r="G3831" s="160">
        <f>'FACP$'!$F3831*0.16</f>
        <v>1570.3552</v>
      </c>
      <c r="H3831" s="160">
        <f t="shared" si="122"/>
        <v>11385.0752</v>
      </c>
      <c r="I3831" s="160"/>
      <c r="J3831" s="161"/>
      <c r="K3831" s="160"/>
      <c r="L3831" s="160">
        <f>+'FACP$'!$H3831-'FACP$'!$I3831-'FACP$'!$K3831</f>
        <v>11385.0752</v>
      </c>
      <c r="M3831" s="162" t="s">
        <v>151</v>
      </c>
      <c r="N3831" s="162" t="s">
        <v>554</v>
      </c>
      <c r="O3831" s="164">
        <v>45029.0</v>
      </c>
      <c r="P3831" s="164">
        <f t="array" ref="P3831">XLOOKUP('FACP$'!$B3831,'perfil de pagos'!$A$4:$A$46,'perfil de pagos'!$B$4:$B$46+'FACP$'!$D3831)</f>
        <v>45046</v>
      </c>
      <c r="Q3831" s="165">
        <f t="shared" si="2"/>
        <v>0</v>
      </c>
      <c r="R3831" s="167"/>
      <c r="S3831" s="167">
        <v>2093.0</v>
      </c>
      <c r="T3831" s="168">
        <f t="shared" si="3"/>
        <v>11385.0752</v>
      </c>
      <c r="U3831" s="168">
        <f t="shared" si="4"/>
        <v>0</v>
      </c>
      <c r="V3831" s="168">
        <f t="shared" si="5"/>
        <v>0</v>
      </c>
      <c r="W3831" s="168">
        <f t="shared" si="6"/>
        <v>0</v>
      </c>
      <c r="X3831" s="168">
        <f t="shared" si="7"/>
        <v>0</v>
      </c>
      <c r="Y3831" s="168">
        <f t="shared" si="8"/>
        <v>0</v>
      </c>
      <c r="Z3831" s="168">
        <f t="shared" si="9"/>
        <v>0</v>
      </c>
    </row>
    <row r="3832" ht="15.0" customHeight="1">
      <c r="A3832" s="157" t="s">
        <v>4829</v>
      </c>
      <c r="B3832" s="158" t="s">
        <v>27</v>
      </c>
      <c r="C3832" s="158" t="s">
        <v>4830</v>
      </c>
      <c r="D3832" s="159">
        <v>45016.0</v>
      </c>
      <c r="E3832" s="157" t="s">
        <v>731</v>
      </c>
      <c r="F3832" s="160">
        <v>12945.8</v>
      </c>
      <c r="G3832" s="160">
        <f>'FACP$'!$F3832*0.16</f>
        <v>2071.328</v>
      </c>
      <c r="H3832" s="160">
        <f t="shared" si="122"/>
        <v>15017.128</v>
      </c>
      <c r="I3832" s="160"/>
      <c r="J3832" s="161"/>
      <c r="K3832" s="160"/>
      <c r="L3832" s="160">
        <f>+'FACP$'!$H3832-'FACP$'!$I3832-'FACP$'!$K3832</f>
        <v>15017.128</v>
      </c>
      <c r="M3832" s="162" t="s">
        <v>151</v>
      </c>
      <c r="N3832" s="162" t="s">
        <v>554</v>
      </c>
      <c r="O3832" s="164">
        <v>45035.0</v>
      </c>
      <c r="P3832" s="164">
        <f t="array" ref="P3832">XLOOKUP('FACP$'!$B3832,'perfil de pagos'!$A$4:$A$46,'perfil de pagos'!$B$4:$B$46+'FACP$'!$D3832)</f>
        <v>45046</v>
      </c>
      <c r="Q3832" s="165">
        <f t="shared" si="2"/>
        <v>0</v>
      </c>
      <c r="R3832" s="167"/>
      <c r="S3832" s="167">
        <v>2112.0</v>
      </c>
      <c r="T3832" s="168">
        <f t="shared" si="3"/>
        <v>15017.128</v>
      </c>
      <c r="U3832" s="168">
        <f t="shared" si="4"/>
        <v>0</v>
      </c>
      <c r="V3832" s="168">
        <f t="shared" si="5"/>
        <v>0</v>
      </c>
      <c r="W3832" s="168">
        <f t="shared" si="6"/>
        <v>0</v>
      </c>
      <c r="X3832" s="168">
        <f t="shared" si="7"/>
        <v>0</v>
      </c>
      <c r="Y3832" s="168">
        <f t="shared" si="8"/>
        <v>0</v>
      </c>
      <c r="Z3832" s="168">
        <f t="shared" si="9"/>
        <v>0</v>
      </c>
    </row>
    <row r="3833" ht="15.0" customHeight="1">
      <c r="A3833" s="157" t="s">
        <v>4831</v>
      </c>
      <c r="B3833" s="158" t="s">
        <v>15</v>
      </c>
      <c r="C3833" s="158" t="s">
        <v>4832</v>
      </c>
      <c r="D3833" s="159">
        <v>45019.0</v>
      </c>
      <c r="E3833" s="157" t="s">
        <v>731</v>
      </c>
      <c r="F3833" s="160">
        <v>645182.33</v>
      </c>
      <c r="G3833" s="160">
        <f>'FACP$'!$F3833*0.16</f>
        <v>103229.1728</v>
      </c>
      <c r="H3833" s="160">
        <f t="shared" si="122"/>
        <v>748411.5028</v>
      </c>
      <c r="I3833" s="160"/>
      <c r="J3833" s="161"/>
      <c r="K3833" s="160"/>
      <c r="L3833" s="160">
        <f>+'FACP$'!$H3833-'FACP$'!$I3833-'FACP$'!$K3833</f>
        <v>748411.5028</v>
      </c>
      <c r="M3833" s="162" t="s">
        <v>443</v>
      </c>
      <c r="N3833" s="162" t="s">
        <v>554</v>
      </c>
      <c r="O3833" s="164">
        <v>45044.0</v>
      </c>
      <c r="P3833" s="164">
        <f t="array" ref="P3833">XLOOKUP('FACP$'!$B3833,'perfil de pagos'!$A$4:$A$46,'perfil de pagos'!$B$4:$B$46+'FACP$'!$D3833)</f>
        <v>45029</v>
      </c>
      <c r="Q3833" s="165">
        <f t="shared" si="2"/>
        <v>0</v>
      </c>
      <c r="R3833" s="167"/>
      <c r="S3833" s="167">
        <v>2133.0</v>
      </c>
      <c r="T3833" s="168">
        <f t="shared" si="3"/>
        <v>748411.5028</v>
      </c>
      <c r="U3833" s="168">
        <f t="shared" si="4"/>
        <v>0</v>
      </c>
      <c r="V3833" s="168">
        <f t="shared" si="5"/>
        <v>0</v>
      </c>
      <c r="W3833" s="168">
        <f t="shared" si="6"/>
        <v>0</v>
      </c>
      <c r="X3833" s="168">
        <f t="shared" si="7"/>
        <v>0</v>
      </c>
      <c r="Y3833" s="168">
        <f t="shared" si="8"/>
        <v>0</v>
      </c>
      <c r="Z3833" s="168">
        <f t="shared" si="9"/>
        <v>0</v>
      </c>
    </row>
    <row r="3834" ht="15.0" customHeight="1">
      <c r="A3834" s="157" t="s">
        <v>4833</v>
      </c>
      <c r="B3834" s="158" t="s">
        <v>35</v>
      </c>
      <c r="C3834" s="158" t="s">
        <v>4832</v>
      </c>
      <c r="D3834" s="159">
        <v>45019.0</v>
      </c>
      <c r="E3834" s="157" t="s">
        <v>731</v>
      </c>
      <c r="F3834" s="160">
        <v>377007.84</v>
      </c>
      <c r="G3834" s="160">
        <f>'FACP$'!$F3834*0.16</f>
        <v>60321.2544</v>
      </c>
      <c r="H3834" s="160">
        <f t="shared" si="122"/>
        <v>437329.0944</v>
      </c>
      <c r="I3834" s="160"/>
      <c r="J3834" s="161"/>
      <c r="K3834" s="160"/>
      <c r="L3834" s="160">
        <f>+'FACP$'!$H3834-'FACP$'!$I3834-'FACP$'!$K3834</f>
        <v>437329.0944</v>
      </c>
      <c r="M3834" s="162" t="s">
        <v>276</v>
      </c>
      <c r="N3834" s="162" t="s">
        <v>554</v>
      </c>
      <c r="O3834" s="164">
        <v>45086.0</v>
      </c>
      <c r="P3834" s="164">
        <f t="array" ref="P3834">XLOOKUP('FACP$'!$B3834,'perfil de pagos'!$A$4:$A$46,'perfil de pagos'!$B$4:$B$46+'FACP$'!$D3834)</f>
        <v>45029</v>
      </c>
      <c r="Q3834" s="165">
        <f t="shared" si="2"/>
        <v>0</v>
      </c>
      <c r="R3834" s="167"/>
      <c r="S3834" s="167">
        <v>2207.0</v>
      </c>
      <c r="T3834" s="168">
        <f t="shared" si="3"/>
        <v>437329.0944</v>
      </c>
      <c r="U3834" s="168">
        <f t="shared" si="4"/>
        <v>0</v>
      </c>
      <c r="V3834" s="168">
        <f t="shared" si="5"/>
        <v>0</v>
      </c>
      <c r="W3834" s="168">
        <f t="shared" si="6"/>
        <v>0</v>
      </c>
      <c r="X3834" s="168">
        <f t="shared" si="7"/>
        <v>0</v>
      </c>
      <c r="Y3834" s="168">
        <f t="shared" si="8"/>
        <v>0</v>
      </c>
      <c r="Z3834" s="168">
        <f t="shared" si="9"/>
        <v>0</v>
      </c>
    </row>
    <row r="3835" ht="15.0" customHeight="1">
      <c r="A3835" s="157" t="s">
        <v>4834</v>
      </c>
      <c r="B3835" s="158" t="s">
        <v>36</v>
      </c>
      <c r="C3835" s="158" t="s">
        <v>4832</v>
      </c>
      <c r="D3835" s="159">
        <v>45019.0</v>
      </c>
      <c r="E3835" s="157" t="s">
        <v>731</v>
      </c>
      <c r="F3835" s="160">
        <v>101441.95</v>
      </c>
      <c r="G3835" s="160">
        <f>'FACP$'!$F3835*0.16</f>
        <v>16230.712</v>
      </c>
      <c r="H3835" s="160">
        <f t="shared" si="122"/>
        <v>117672.662</v>
      </c>
      <c r="I3835" s="160"/>
      <c r="J3835" s="161"/>
      <c r="K3835" s="160"/>
      <c r="L3835" s="160">
        <f>+'FACP$'!$H3835-'FACP$'!$I3835-'FACP$'!$K3835</f>
        <v>117672.662</v>
      </c>
      <c r="M3835" s="162" t="s">
        <v>278</v>
      </c>
      <c r="N3835" s="162" t="s">
        <v>554</v>
      </c>
      <c r="O3835" s="164">
        <v>45020.0</v>
      </c>
      <c r="P3835" s="164">
        <f t="array" ref="P3835">XLOOKUP('FACP$'!$B3835,'perfil de pagos'!$A$4:$A$46,'perfil de pagos'!$B$4:$B$46+'FACP$'!$D3835)</f>
        <v>45029</v>
      </c>
      <c r="Q3835" s="165">
        <f t="shared" si="2"/>
        <v>0</v>
      </c>
      <c r="R3835" s="167"/>
      <c r="S3835" s="167">
        <v>2085.0</v>
      </c>
      <c r="T3835" s="168">
        <f t="shared" si="3"/>
        <v>117672.662</v>
      </c>
      <c r="U3835" s="168">
        <f t="shared" si="4"/>
        <v>0</v>
      </c>
      <c r="V3835" s="168">
        <f t="shared" si="5"/>
        <v>0</v>
      </c>
      <c r="W3835" s="168">
        <f t="shared" si="6"/>
        <v>0</v>
      </c>
      <c r="X3835" s="168">
        <f t="shared" si="7"/>
        <v>0</v>
      </c>
      <c r="Y3835" s="168">
        <f t="shared" si="8"/>
        <v>0</v>
      </c>
      <c r="Z3835" s="168">
        <f t="shared" si="9"/>
        <v>0</v>
      </c>
    </row>
    <row r="3836" ht="15.0" customHeight="1">
      <c r="A3836" s="157" t="s">
        <v>4835</v>
      </c>
      <c r="B3836" s="158" t="s">
        <v>44</v>
      </c>
      <c r="C3836" s="158" t="s">
        <v>4832</v>
      </c>
      <c r="D3836" s="159">
        <v>45019.0</v>
      </c>
      <c r="E3836" s="157" t="s">
        <v>731</v>
      </c>
      <c r="F3836" s="160">
        <v>94557.92</v>
      </c>
      <c r="G3836" s="160">
        <f>'FACP$'!$F3836*0.16</f>
        <v>15129.2672</v>
      </c>
      <c r="H3836" s="160">
        <f t="shared" si="122"/>
        <v>109687.1872</v>
      </c>
      <c r="I3836" s="160"/>
      <c r="J3836" s="161"/>
      <c r="K3836" s="160"/>
      <c r="L3836" s="160">
        <f>+'FACP$'!$H3836-'FACP$'!$I3836-'FACP$'!$K3836</f>
        <v>109687.1872</v>
      </c>
      <c r="M3836" s="162" t="s">
        <v>361</v>
      </c>
      <c r="N3836" s="162" t="s">
        <v>554</v>
      </c>
      <c r="O3836" s="164">
        <v>45030.0</v>
      </c>
      <c r="P3836" s="164">
        <f t="array" ref="P3836">XLOOKUP('FACP$'!$B3836,'perfil de pagos'!$A$4:$A$46,'perfil de pagos'!$B$4:$B$46+'FACP$'!$D3836)</f>
        <v>45029</v>
      </c>
      <c r="Q3836" s="165">
        <f t="shared" si="2"/>
        <v>0</v>
      </c>
      <c r="R3836" s="167"/>
      <c r="S3836" s="167">
        <v>2098.0</v>
      </c>
      <c r="T3836" s="168">
        <f t="shared" si="3"/>
        <v>109687.1872</v>
      </c>
      <c r="U3836" s="168">
        <f t="shared" si="4"/>
        <v>0</v>
      </c>
      <c r="V3836" s="168">
        <f t="shared" si="5"/>
        <v>0</v>
      </c>
      <c r="W3836" s="168">
        <f t="shared" si="6"/>
        <v>0</v>
      </c>
      <c r="X3836" s="168">
        <f t="shared" si="7"/>
        <v>0</v>
      </c>
      <c r="Y3836" s="168">
        <f t="shared" si="8"/>
        <v>0</v>
      </c>
      <c r="Z3836" s="168">
        <f t="shared" si="9"/>
        <v>0</v>
      </c>
    </row>
    <row r="3837" ht="15.0" customHeight="1">
      <c r="A3837" s="157" t="s">
        <v>4836</v>
      </c>
      <c r="B3837" s="158" t="s">
        <v>41</v>
      </c>
      <c r="C3837" s="158" t="s">
        <v>4832</v>
      </c>
      <c r="D3837" s="159">
        <v>45019.0</v>
      </c>
      <c r="E3837" s="157" t="s">
        <v>731</v>
      </c>
      <c r="F3837" s="160">
        <v>595531.48</v>
      </c>
      <c r="G3837" s="160">
        <f>'FACP$'!$F3837*0.16</f>
        <v>95285.0368</v>
      </c>
      <c r="H3837" s="160">
        <f t="shared" si="122"/>
        <v>690816.5168</v>
      </c>
      <c r="I3837" s="160"/>
      <c r="J3837" s="161"/>
      <c r="K3837" s="160"/>
      <c r="L3837" s="160">
        <f>+'FACP$'!$H3837-'FACP$'!$I3837-'FACP$'!$K3837</f>
        <v>690816.5168</v>
      </c>
      <c r="M3837" s="162" t="s">
        <v>121</v>
      </c>
      <c r="N3837" s="162" t="s">
        <v>554</v>
      </c>
      <c r="O3837" s="164">
        <v>45051.0</v>
      </c>
      <c r="P3837" s="164">
        <f t="array" ref="P3837">XLOOKUP('FACP$'!$B3837,'perfil de pagos'!$A$4:$A$46,'perfil de pagos'!$B$4:$B$46+'FACP$'!$D3837)</f>
        <v>45029</v>
      </c>
      <c r="Q3837" s="165">
        <f t="shared" si="2"/>
        <v>0</v>
      </c>
      <c r="R3837" s="167"/>
      <c r="S3837" s="167">
        <v>2144.0</v>
      </c>
      <c r="T3837" s="168">
        <f t="shared" si="3"/>
        <v>690816.5168</v>
      </c>
      <c r="U3837" s="168">
        <f t="shared" si="4"/>
        <v>0</v>
      </c>
      <c r="V3837" s="168">
        <f t="shared" si="5"/>
        <v>0</v>
      </c>
      <c r="W3837" s="168">
        <f t="shared" si="6"/>
        <v>0</v>
      </c>
      <c r="X3837" s="168">
        <f t="shared" si="7"/>
        <v>0</v>
      </c>
      <c r="Y3837" s="168">
        <f t="shared" si="8"/>
        <v>0</v>
      </c>
      <c r="Z3837" s="168">
        <f t="shared" si="9"/>
        <v>0</v>
      </c>
    </row>
    <row r="3838" ht="15.0" customHeight="1">
      <c r="A3838" s="157" t="s">
        <v>4837</v>
      </c>
      <c r="B3838" s="158" t="s">
        <v>43</v>
      </c>
      <c r="C3838" s="158" t="s">
        <v>4832</v>
      </c>
      <c r="D3838" s="159">
        <v>45019.0</v>
      </c>
      <c r="E3838" s="157" t="s">
        <v>731</v>
      </c>
      <c r="F3838" s="160">
        <v>468430.91</v>
      </c>
      <c r="G3838" s="160">
        <f>'FACP$'!$F3838*0.16</f>
        <v>74948.9456</v>
      </c>
      <c r="H3838" s="160">
        <f t="shared" si="122"/>
        <v>543379.8556</v>
      </c>
      <c r="I3838" s="160"/>
      <c r="J3838" s="161"/>
      <c r="K3838" s="160"/>
      <c r="L3838" s="160">
        <f>+'FACP$'!$H3838-'FACP$'!$I3838-'FACP$'!$K3838</f>
        <v>543379.8556</v>
      </c>
      <c r="M3838" s="162" t="s">
        <v>43</v>
      </c>
      <c r="N3838" s="162" t="s">
        <v>127</v>
      </c>
      <c r="O3838" s="164"/>
      <c r="P3838" s="164">
        <f t="array" ref="P3838">XLOOKUP('FACP$'!$B3838,'perfil de pagos'!$A$4:$A$46,'perfil de pagos'!$B$4:$B$46+'FACP$'!$D3838)</f>
        <v>45044</v>
      </c>
      <c r="Q3838" s="165">
        <f t="shared" si="2"/>
        <v>0</v>
      </c>
      <c r="R3838" s="167" t="s">
        <v>4838</v>
      </c>
      <c r="S3838" s="167"/>
      <c r="T3838" s="168">
        <f t="shared" si="3"/>
        <v>543379.8556</v>
      </c>
      <c r="U3838" s="168">
        <f t="shared" si="4"/>
        <v>0</v>
      </c>
      <c r="V3838" s="168">
        <f t="shared" si="5"/>
        <v>0</v>
      </c>
      <c r="W3838" s="168">
        <f t="shared" si="6"/>
        <v>0</v>
      </c>
      <c r="X3838" s="168">
        <f t="shared" si="7"/>
        <v>0</v>
      </c>
      <c r="Y3838" s="168">
        <f t="shared" si="8"/>
        <v>0</v>
      </c>
      <c r="Z3838" s="168">
        <f t="shared" si="9"/>
        <v>0</v>
      </c>
    </row>
    <row r="3839" ht="15.0" customHeight="1">
      <c r="A3839" s="157" t="s">
        <v>4839</v>
      </c>
      <c r="B3839" s="158" t="s">
        <v>42</v>
      </c>
      <c r="C3839" s="158" t="s">
        <v>4832</v>
      </c>
      <c r="D3839" s="159">
        <v>45019.0</v>
      </c>
      <c r="E3839" s="157" t="s">
        <v>731</v>
      </c>
      <c r="F3839" s="160">
        <v>106673.82</v>
      </c>
      <c r="G3839" s="160">
        <f>'FACP$'!$F3839*0.16</f>
        <v>17067.8112</v>
      </c>
      <c r="H3839" s="160">
        <f t="shared" si="122"/>
        <v>123741.6312</v>
      </c>
      <c r="I3839" s="160"/>
      <c r="J3839" s="161"/>
      <c r="K3839" s="160"/>
      <c r="L3839" s="160">
        <f>+'FACP$'!$H3839-'FACP$'!$I3839-'FACP$'!$K3839</f>
        <v>123741.6312</v>
      </c>
      <c r="M3839" s="162" t="s">
        <v>42</v>
      </c>
      <c r="N3839" s="162" t="s">
        <v>554</v>
      </c>
      <c r="O3839" s="164">
        <v>45036.0</v>
      </c>
      <c r="P3839" s="164">
        <f t="array" ref="P3839">XLOOKUP('FACP$'!$B3839,'perfil de pagos'!$A$4:$A$46,'perfil de pagos'!$B$4:$B$46+'FACP$'!$D3839)</f>
        <v>45029</v>
      </c>
      <c r="Q3839" s="165">
        <f t="shared" si="2"/>
        <v>0</v>
      </c>
      <c r="R3839" s="167"/>
      <c r="S3839" s="167">
        <v>2117.0</v>
      </c>
      <c r="T3839" s="168">
        <f t="shared" si="3"/>
        <v>123741.6312</v>
      </c>
      <c r="U3839" s="168">
        <f t="shared" si="4"/>
        <v>0</v>
      </c>
      <c r="V3839" s="168">
        <f t="shared" si="5"/>
        <v>0</v>
      </c>
      <c r="W3839" s="168">
        <f t="shared" si="6"/>
        <v>0</v>
      </c>
      <c r="X3839" s="168">
        <f t="shared" si="7"/>
        <v>0</v>
      </c>
      <c r="Y3839" s="168">
        <f t="shared" si="8"/>
        <v>0</v>
      </c>
      <c r="Z3839" s="168">
        <f t="shared" si="9"/>
        <v>0</v>
      </c>
    </row>
    <row r="3840" ht="15.0" customHeight="1">
      <c r="A3840" s="157" t="s">
        <v>4840</v>
      </c>
      <c r="B3840" s="158" t="s">
        <v>27</v>
      </c>
      <c r="C3840" s="158" t="s">
        <v>4832</v>
      </c>
      <c r="D3840" s="159">
        <v>45019.0</v>
      </c>
      <c r="E3840" s="157" t="s">
        <v>731</v>
      </c>
      <c r="F3840" s="160">
        <v>54.58</v>
      </c>
      <c r="G3840" s="160">
        <f>'FACP$'!$F3840*0.16</f>
        <v>8.7328</v>
      </c>
      <c r="H3840" s="160">
        <f t="shared" si="122"/>
        <v>63.3128</v>
      </c>
      <c r="I3840" s="160"/>
      <c r="J3840" s="161"/>
      <c r="K3840" s="160"/>
      <c r="L3840" s="160">
        <f>+'FACP$'!$H3840-'FACP$'!$I3840-'FACP$'!$K3840</f>
        <v>63.3128</v>
      </c>
      <c r="M3840" s="162" t="s">
        <v>158</v>
      </c>
      <c r="N3840" s="162" t="s">
        <v>554</v>
      </c>
      <c r="O3840" s="164">
        <v>45035.0</v>
      </c>
      <c r="P3840" s="164">
        <f t="array" ref="P3840">XLOOKUP('FACP$'!$B3840,'perfil de pagos'!$A$4:$A$46,'perfil de pagos'!$B$4:$B$46+'FACP$'!$D3840)</f>
        <v>45049</v>
      </c>
      <c r="Q3840" s="165">
        <f t="shared" si="2"/>
        <v>0</v>
      </c>
      <c r="R3840" s="167"/>
      <c r="S3840" s="167">
        <v>2113.0</v>
      </c>
      <c r="T3840" s="168">
        <f t="shared" si="3"/>
        <v>63.3128</v>
      </c>
      <c r="U3840" s="168">
        <f t="shared" si="4"/>
        <v>0</v>
      </c>
      <c r="V3840" s="168">
        <f t="shared" si="5"/>
        <v>0</v>
      </c>
      <c r="W3840" s="168">
        <f t="shared" si="6"/>
        <v>0</v>
      </c>
      <c r="X3840" s="168">
        <f t="shared" si="7"/>
        <v>0</v>
      </c>
      <c r="Y3840" s="168">
        <f t="shared" si="8"/>
        <v>0</v>
      </c>
      <c r="Z3840" s="168">
        <f t="shared" si="9"/>
        <v>0</v>
      </c>
    </row>
    <row r="3841" ht="15.0" customHeight="1">
      <c r="A3841" s="157" t="s">
        <v>4841</v>
      </c>
      <c r="B3841" s="158" t="s">
        <v>27</v>
      </c>
      <c r="C3841" s="158" t="s">
        <v>4842</v>
      </c>
      <c r="D3841" s="159">
        <v>45019.0</v>
      </c>
      <c r="E3841" s="157" t="s">
        <v>731</v>
      </c>
      <c r="F3841" s="160">
        <v>506.32</v>
      </c>
      <c r="G3841" s="160">
        <f>'FACP$'!$F3841*0.16</f>
        <v>81.0112</v>
      </c>
      <c r="H3841" s="160">
        <f t="shared" si="122"/>
        <v>587.3312</v>
      </c>
      <c r="I3841" s="160"/>
      <c r="J3841" s="161"/>
      <c r="K3841" s="160"/>
      <c r="L3841" s="160">
        <f>+'FACP$'!$H3841-'FACP$'!$I3841-'FACP$'!$K3841</f>
        <v>587.3312</v>
      </c>
      <c r="M3841" s="162" t="s">
        <v>158</v>
      </c>
      <c r="N3841" s="162" t="s">
        <v>554</v>
      </c>
      <c r="O3841" s="164">
        <v>45035.0</v>
      </c>
      <c r="P3841" s="164">
        <f t="array" ref="P3841">XLOOKUP('FACP$'!$B3841,'perfil de pagos'!$A$4:$A$46,'perfil de pagos'!$B$4:$B$46+'FACP$'!$D3841)</f>
        <v>45049</v>
      </c>
      <c r="Q3841" s="165">
        <f t="shared" si="2"/>
        <v>0</v>
      </c>
      <c r="R3841" s="167"/>
      <c r="S3841" s="167">
        <v>2113.0</v>
      </c>
      <c r="T3841" s="168">
        <f t="shared" si="3"/>
        <v>587.3312</v>
      </c>
      <c r="U3841" s="168">
        <f t="shared" si="4"/>
        <v>0</v>
      </c>
      <c r="V3841" s="168">
        <f t="shared" si="5"/>
        <v>0</v>
      </c>
      <c r="W3841" s="168">
        <f t="shared" si="6"/>
        <v>0</v>
      </c>
      <c r="X3841" s="168">
        <f t="shared" si="7"/>
        <v>0</v>
      </c>
      <c r="Y3841" s="168">
        <f t="shared" si="8"/>
        <v>0</v>
      </c>
      <c r="Z3841" s="168">
        <f t="shared" si="9"/>
        <v>0</v>
      </c>
    </row>
    <row r="3842" ht="15.0" customHeight="1">
      <c r="A3842" s="157" t="s">
        <v>4843</v>
      </c>
      <c r="B3842" s="158" t="s">
        <v>27</v>
      </c>
      <c r="C3842" s="158" t="s">
        <v>4832</v>
      </c>
      <c r="D3842" s="159">
        <v>45019.0</v>
      </c>
      <c r="E3842" s="157" t="s">
        <v>731</v>
      </c>
      <c r="F3842" s="160">
        <v>573.46</v>
      </c>
      <c r="G3842" s="160">
        <f>'FACP$'!$F3842*0.16</f>
        <v>91.7536</v>
      </c>
      <c r="H3842" s="160">
        <f t="shared" si="122"/>
        <v>665.2136</v>
      </c>
      <c r="I3842" s="160"/>
      <c r="J3842" s="161"/>
      <c r="K3842" s="160"/>
      <c r="L3842" s="160">
        <f>+'FACP$'!$H3842-'FACP$'!$I3842-'FACP$'!$K3842</f>
        <v>665.2136</v>
      </c>
      <c r="M3842" s="162"/>
      <c r="N3842" s="162" t="s">
        <v>127</v>
      </c>
      <c r="O3842" s="164"/>
      <c r="P3842" s="164">
        <f t="array" ref="P3842">XLOOKUP('FACP$'!$B3842,'perfil de pagos'!$A$4:$A$46,'perfil de pagos'!$B$4:$B$46+'FACP$'!$D3842)</f>
        <v>45049</v>
      </c>
      <c r="Q3842" s="165">
        <f t="shared" si="2"/>
        <v>0</v>
      </c>
      <c r="R3842" s="167" t="s">
        <v>4844</v>
      </c>
      <c r="S3842" s="167"/>
      <c r="T3842" s="168">
        <f t="shared" si="3"/>
        <v>665.2136</v>
      </c>
      <c r="U3842" s="168">
        <f t="shared" si="4"/>
        <v>0</v>
      </c>
      <c r="V3842" s="168">
        <f t="shared" si="5"/>
        <v>0</v>
      </c>
      <c r="W3842" s="168">
        <f t="shared" si="6"/>
        <v>0</v>
      </c>
      <c r="X3842" s="168">
        <f t="shared" si="7"/>
        <v>0</v>
      </c>
      <c r="Y3842" s="168">
        <f t="shared" si="8"/>
        <v>0</v>
      </c>
      <c r="Z3842" s="168">
        <f t="shared" si="9"/>
        <v>0</v>
      </c>
    </row>
    <row r="3843" ht="15.0" customHeight="1">
      <c r="A3843" s="157" t="s">
        <v>4845</v>
      </c>
      <c r="B3843" s="158" t="s">
        <v>27</v>
      </c>
      <c r="C3843" s="158" t="s">
        <v>4842</v>
      </c>
      <c r="D3843" s="159">
        <v>45019.0</v>
      </c>
      <c r="E3843" s="157" t="s">
        <v>731</v>
      </c>
      <c r="F3843" s="160">
        <v>158.0</v>
      </c>
      <c r="G3843" s="160">
        <f>'FACP$'!$F3843*0.16</f>
        <v>25.28</v>
      </c>
      <c r="H3843" s="160">
        <f t="shared" si="122"/>
        <v>183.28</v>
      </c>
      <c r="I3843" s="160"/>
      <c r="J3843" s="161"/>
      <c r="K3843" s="160"/>
      <c r="L3843" s="160">
        <f>+'FACP$'!$H3843-'FACP$'!$I3843-'FACP$'!$K3843</f>
        <v>183.28</v>
      </c>
      <c r="M3843" s="162"/>
      <c r="N3843" s="162" t="s">
        <v>127</v>
      </c>
      <c r="O3843" s="164"/>
      <c r="P3843" s="164">
        <f t="array" ref="P3843">XLOOKUP('FACP$'!$B3843,'perfil de pagos'!$A$4:$A$46,'perfil de pagos'!$B$4:$B$46+'FACP$'!$D3843)</f>
        <v>45049</v>
      </c>
      <c r="Q3843" s="165">
        <f t="shared" si="2"/>
        <v>0</v>
      </c>
      <c r="R3843" s="167" t="s">
        <v>4844</v>
      </c>
      <c r="S3843" s="167"/>
      <c r="T3843" s="168">
        <f t="shared" si="3"/>
        <v>183.28</v>
      </c>
      <c r="U3843" s="168">
        <f t="shared" si="4"/>
        <v>0</v>
      </c>
      <c r="V3843" s="168">
        <f t="shared" si="5"/>
        <v>0</v>
      </c>
      <c r="W3843" s="168">
        <f t="shared" si="6"/>
        <v>0</v>
      </c>
      <c r="X3843" s="168">
        <f t="shared" si="7"/>
        <v>0</v>
      </c>
      <c r="Y3843" s="168">
        <f t="shared" si="8"/>
        <v>0</v>
      </c>
      <c r="Z3843" s="168">
        <f t="shared" si="9"/>
        <v>0</v>
      </c>
    </row>
    <row r="3844" ht="15.0" customHeight="1">
      <c r="A3844" s="157" t="s">
        <v>4846</v>
      </c>
      <c r="B3844" s="158" t="s">
        <v>27</v>
      </c>
      <c r="C3844" s="158" t="s">
        <v>4847</v>
      </c>
      <c r="D3844" s="159">
        <v>45019.0</v>
      </c>
      <c r="E3844" s="157" t="s">
        <v>731</v>
      </c>
      <c r="F3844" s="160">
        <v>80.25</v>
      </c>
      <c r="G3844" s="160">
        <f>'FACP$'!$F3844*0.16</f>
        <v>12.84</v>
      </c>
      <c r="H3844" s="160">
        <f t="shared" si="122"/>
        <v>93.09</v>
      </c>
      <c r="I3844" s="160"/>
      <c r="J3844" s="161"/>
      <c r="K3844" s="160"/>
      <c r="L3844" s="160">
        <f>+'FACP$'!$H3844-'FACP$'!$I3844-'FACP$'!$K3844</f>
        <v>93.09</v>
      </c>
      <c r="M3844" s="162" t="s">
        <v>151</v>
      </c>
      <c r="N3844" s="162" t="s">
        <v>554</v>
      </c>
      <c r="O3844" s="164">
        <v>45035.0</v>
      </c>
      <c r="P3844" s="164">
        <f t="array" ref="P3844">XLOOKUP('FACP$'!$B3844,'perfil de pagos'!$A$4:$A$46,'perfil de pagos'!$B$4:$B$46+'FACP$'!$D3844)</f>
        <v>45049</v>
      </c>
      <c r="Q3844" s="165">
        <f t="shared" si="2"/>
        <v>0</v>
      </c>
      <c r="R3844" s="167"/>
      <c r="S3844" s="167">
        <v>2112.0</v>
      </c>
      <c r="T3844" s="168">
        <f t="shared" si="3"/>
        <v>93.09</v>
      </c>
      <c r="U3844" s="168">
        <f t="shared" si="4"/>
        <v>0</v>
      </c>
      <c r="V3844" s="168">
        <f t="shared" si="5"/>
        <v>0</v>
      </c>
      <c r="W3844" s="168">
        <f t="shared" si="6"/>
        <v>0</v>
      </c>
      <c r="X3844" s="168">
        <f t="shared" si="7"/>
        <v>0</v>
      </c>
      <c r="Y3844" s="168">
        <f t="shared" si="8"/>
        <v>0</v>
      </c>
      <c r="Z3844" s="168">
        <f t="shared" si="9"/>
        <v>0</v>
      </c>
    </row>
    <row r="3845" ht="15.0" customHeight="1">
      <c r="A3845" s="157" t="s">
        <v>4848</v>
      </c>
      <c r="B3845" s="158" t="s">
        <v>27</v>
      </c>
      <c r="C3845" s="158" t="s">
        <v>4849</v>
      </c>
      <c r="D3845" s="159">
        <v>45019.0</v>
      </c>
      <c r="E3845" s="157" t="s">
        <v>731</v>
      </c>
      <c r="F3845" s="160">
        <v>138.03</v>
      </c>
      <c r="G3845" s="160">
        <f>'FACP$'!$F3845*0.16</f>
        <v>22.0848</v>
      </c>
      <c r="H3845" s="160">
        <f t="shared" si="122"/>
        <v>160.1148</v>
      </c>
      <c r="I3845" s="160"/>
      <c r="J3845" s="161"/>
      <c r="K3845" s="160"/>
      <c r="L3845" s="160">
        <f>+'FACP$'!$H3845-'FACP$'!$I3845-'FACP$'!$K3845</f>
        <v>160.1148</v>
      </c>
      <c r="M3845" s="162" t="s">
        <v>151</v>
      </c>
      <c r="N3845" s="162" t="s">
        <v>554</v>
      </c>
      <c r="O3845" s="164">
        <v>45035.0</v>
      </c>
      <c r="P3845" s="164">
        <f t="array" ref="P3845">XLOOKUP('FACP$'!$B3845,'perfil de pagos'!$A$4:$A$46,'perfil de pagos'!$B$4:$B$46+'FACP$'!$D3845)</f>
        <v>45049</v>
      </c>
      <c r="Q3845" s="165">
        <f t="shared" si="2"/>
        <v>0</v>
      </c>
      <c r="R3845" s="167"/>
      <c r="S3845" s="167">
        <v>2112.0</v>
      </c>
      <c r="T3845" s="168">
        <f t="shared" si="3"/>
        <v>160.1148</v>
      </c>
      <c r="U3845" s="168">
        <f t="shared" si="4"/>
        <v>0</v>
      </c>
      <c r="V3845" s="168">
        <f t="shared" si="5"/>
        <v>0</v>
      </c>
      <c r="W3845" s="168">
        <f t="shared" si="6"/>
        <v>0</v>
      </c>
      <c r="X3845" s="168">
        <f t="shared" si="7"/>
        <v>0</v>
      </c>
      <c r="Y3845" s="168">
        <f t="shared" si="8"/>
        <v>0</v>
      </c>
      <c r="Z3845" s="168">
        <f t="shared" si="9"/>
        <v>0</v>
      </c>
    </row>
    <row r="3846" ht="15.0" customHeight="1">
      <c r="A3846" s="157" t="s">
        <v>4850</v>
      </c>
      <c r="B3846" s="158" t="s">
        <v>40</v>
      </c>
      <c r="C3846" s="158" t="s">
        <v>4851</v>
      </c>
      <c r="D3846" s="159">
        <v>45020.0</v>
      </c>
      <c r="E3846" s="157" t="s">
        <v>731</v>
      </c>
      <c r="F3846" s="160">
        <v>212000.0</v>
      </c>
      <c r="G3846" s="160">
        <f>'FACP$'!$F3846*0.16</f>
        <v>33920</v>
      </c>
      <c r="H3846" s="160">
        <f t="shared" si="122"/>
        <v>245920</v>
      </c>
      <c r="I3846" s="160"/>
      <c r="J3846" s="161"/>
      <c r="K3846" s="160"/>
      <c r="L3846" s="160">
        <f>+'FACP$'!$H3846-'FACP$'!$I3846-'FACP$'!$K3846</f>
        <v>245920</v>
      </c>
      <c r="M3846" s="162" t="s">
        <v>490</v>
      </c>
      <c r="N3846" s="162" t="s">
        <v>127</v>
      </c>
      <c r="O3846" s="164"/>
      <c r="P3846" s="164">
        <f t="array" ref="P3846">XLOOKUP('FACP$'!$B3846,'perfil de pagos'!$A$4:$A$46,'perfil de pagos'!$B$4:$B$46+'FACP$'!$D3846)</f>
        <v>45050</v>
      </c>
      <c r="Q3846" s="165">
        <f t="shared" si="2"/>
        <v>0</v>
      </c>
      <c r="R3846" s="167" t="s">
        <v>4852</v>
      </c>
      <c r="S3846" s="167"/>
      <c r="T3846" s="168">
        <f t="shared" si="3"/>
        <v>245920</v>
      </c>
      <c r="U3846" s="168">
        <f t="shared" si="4"/>
        <v>0</v>
      </c>
      <c r="V3846" s="168">
        <f t="shared" si="5"/>
        <v>0</v>
      </c>
      <c r="W3846" s="168">
        <f t="shared" si="6"/>
        <v>0</v>
      </c>
      <c r="X3846" s="168">
        <f t="shared" si="7"/>
        <v>0</v>
      </c>
      <c r="Y3846" s="168">
        <f t="shared" si="8"/>
        <v>0</v>
      </c>
      <c r="Z3846" s="168">
        <f t="shared" si="9"/>
        <v>0</v>
      </c>
    </row>
    <row r="3847" ht="15.0" customHeight="1">
      <c r="A3847" s="157" t="s">
        <v>4853</v>
      </c>
      <c r="B3847" s="158" t="s">
        <v>40</v>
      </c>
      <c r="C3847" s="158" t="s">
        <v>4851</v>
      </c>
      <c r="D3847" s="159">
        <v>45020.0</v>
      </c>
      <c r="E3847" s="157" t="s">
        <v>731</v>
      </c>
      <c r="F3847" s="160">
        <v>18500.0</v>
      </c>
      <c r="G3847" s="160">
        <f>'FACP$'!$F3847*0.16</f>
        <v>2960</v>
      </c>
      <c r="H3847" s="160">
        <f t="shared" si="122"/>
        <v>21460</v>
      </c>
      <c r="I3847" s="160"/>
      <c r="J3847" s="161"/>
      <c r="K3847" s="160"/>
      <c r="L3847" s="160">
        <f>+'FACP$'!$H3847-'FACP$'!$I3847-'FACP$'!$K3847</f>
        <v>21460</v>
      </c>
      <c r="M3847" s="162" t="s">
        <v>490</v>
      </c>
      <c r="N3847" s="162" t="s">
        <v>127</v>
      </c>
      <c r="O3847" s="164"/>
      <c r="P3847" s="164">
        <f t="array" ref="P3847">XLOOKUP('FACP$'!$B3847,'perfil de pagos'!$A$4:$A$46,'perfil de pagos'!$B$4:$B$46+'FACP$'!$D3847)</f>
        <v>45050</v>
      </c>
      <c r="Q3847" s="165">
        <f t="shared" si="2"/>
        <v>0</v>
      </c>
      <c r="R3847" s="167"/>
      <c r="S3847" s="167"/>
      <c r="T3847" s="168">
        <f t="shared" si="3"/>
        <v>21460</v>
      </c>
      <c r="U3847" s="168">
        <f t="shared" si="4"/>
        <v>0</v>
      </c>
      <c r="V3847" s="168">
        <f t="shared" si="5"/>
        <v>0</v>
      </c>
      <c r="W3847" s="168">
        <f t="shared" si="6"/>
        <v>0</v>
      </c>
      <c r="X3847" s="168">
        <f t="shared" si="7"/>
        <v>0</v>
      </c>
      <c r="Y3847" s="168">
        <f t="shared" si="8"/>
        <v>0</v>
      </c>
      <c r="Z3847" s="168">
        <f t="shared" si="9"/>
        <v>0</v>
      </c>
    </row>
    <row r="3848" ht="15.0" customHeight="1">
      <c r="A3848" s="157" t="s">
        <v>4854</v>
      </c>
      <c r="B3848" s="158" t="s">
        <v>32</v>
      </c>
      <c r="C3848" s="158" t="s">
        <v>4855</v>
      </c>
      <c r="D3848" s="159">
        <v>45020.0</v>
      </c>
      <c r="E3848" s="157" t="s">
        <v>731</v>
      </c>
      <c r="F3848" s="160">
        <v>18024.32</v>
      </c>
      <c r="G3848" s="160">
        <f>'FACP$'!$F3848*0.16</f>
        <v>2883.8912</v>
      </c>
      <c r="H3848" s="160">
        <f t="shared" si="122"/>
        <v>20908.2112</v>
      </c>
      <c r="I3848" s="160"/>
      <c r="J3848" s="161"/>
      <c r="K3848" s="160"/>
      <c r="L3848" s="160">
        <f>+'FACP$'!$H3848-'FACP$'!$I3848-'FACP$'!$K3848</f>
        <v>20908.2112</v>
      </c>
      <c r="M3848" s="162" t="s">
        <v>395</v>
      </c>
      <c r="N3848" s="162" t="s">
        <v>554</v>
      </c>
      <c r="O3848" s="164">
        <v>45120.0</v>
      </c>
      <c r="P3848" s="164">
        <f t="array" ref="P3848">XLOOKUP('FACP$'!$B3848,'perfil de pagos'!$A$4:$A$46,'perfil de pagos'!$B$4:$B$46+'FACP$'!$D3848)</f>
        <v>45030</v>
      </c>
      <c r="Q3848" s="165">
        <f t="shared" si="2"/>
        <v>0</v>
      </c>
      <c r="R3848" s="167"/>
      <c r="S3848" s="167">
        <v>2266.0</v>
      </c>
      <c r="T3848" s="168">
        <f t="shared" si="3"/>
        <v>20908.2112</v>
      </c>
      <c r="U3848" s="168">
        <f t="shared" si="4"/>
        <v>0</v>
      </c>
      <c r="V3848" s="168">
        <f t="shared" si="5"/>
        <v>0</v>
      </c>
      <c r="W3848" s="168">
        <f t="shared" si="6"/>
        <v>0</v>
      </c>
      <c r="X3848" s="168">
        <f t="shared" si="7"/>
        <v>0</v>
      </c>
      <c r="Y3848" s="168">
        <f t="shared" si="8"/>
        <v>0</v>
      </c>
      <c r="Z3848" s="168">
        <f t="shared" si="9"/>
        <v>0</v>
      </c>
    </row>
    <row r="3849" ht="15.0" customHeight="1">
      <c r="A3849" s="157" t="s">
        <v>4856</v>
      </c>
      <c r="B3849" s="158" t="s">
        <v>40</v>
      </c>
      <c r="C3849" s="158" t="s">
        <v>4851</v>
      </c>
      <c r="D3849" s="159">
        <v>45020.0</v>
      </c>
      <c r="E3849" s="157" t="s">
        <v>731</v>
      </c>
      <c r="F3849" s="160">
        <v>212000.0</v>
      </c>
      <c r="G3849" s="160">
        <f>'FACP$'!$F3849*0.16</f>
        <v>33920</v>
      </c>
      <c r="H3849" s="160">
        <f t="shared" si="122"/>
        <v>245920</v>
      </c>
      <c r="I3849" s="160"/>
      <c r="J3849" s="161"/>
      <c r="K3849" s="160"/>
      <c r="L3849" s="160">
        <f>+'FACP$'!$H3849-'FACP$'!$I3849-'FACP$'!$K3849</f>
        <v>245920</v>
      </c>
      <c r="M3849" s="162" t="s">
        <v>490</v>
      </c>
      <c r="N3849" s="162" t="s">
        <v>127</v>
      </c>
      <c r="O3849" s="164"/>
      <c r="P3849" s="164">
        <f t="array" ref="P3849">XLOOKUP('FACP$'!$B3849,'perfil de pagos'!$A$4:$A$46,'perfil de pagos'!$B$4:$B$46+'FACP$'!$D3849)</f>
        <v>45050</v>
      </c>
      <c r="Q3849" s="165">
        <f t="shared" si="2"/>
        <v>0</v>
      </c>
      <c r="R3849" s="167"/>
      <c r="S3849" s="167"/>
      <c r="T3849" s="168">
        <f t="shared" si="3"/>
        <v>245920</v>
      </c>
      <c r="U3849" s="168">
        <f t="shared" si="4"/>
        <v>0</v>
      </c>
      <c r="V3849" s="168">
        <f t="shared" si="5"/>
        <v>0</v>
      </c>
      <c r="W3849" s="168">
        <f t="shared" si="6"/>
        <v>0</v>
      </c>
      <c r="X3849" s="168">
        <f t="shared" si="7"/>
        <v>0</v>
      </c>
      <c r="Y3849" s="168">
        <f t="shared" si="8"/>
        <v>0</v>
      </c>
      <c r="Z3849" s="168">
        <f t="shared" si="9"/>
        <v>0</v>
      </c>
    </row>
    <row r="3850" ht="15.0" customHeight="1">
      <c r="A3850" s="157" t="s">
        <v>4857</v>
      </c>
      <c r="B3850" s="158" t="s">
        <v>38</v>
      </c>
      <c r="C3850" s="158" t="s">
        <v>4832</v>
      </c>
      <c r="D3850" s="159">
        <v>45020.0</v>
      </c>
      <c r="E3850" s="157" t="s">
        <v>731</v>
      </c>
      <c r="F3850" s="160">
        <v>95266.42</v>
      </c>
      <c r="G3850" s="160">
        <f>'FACP$'!$F3850*0.16</f>
        <v>15242.6272</v>
      </c>
      <c r="H3850" s="160">
        <f t="shared" si="122"/>
        <v>110509.0472</v>
      </c>
      <c r="I3850" s="160"/>
      <c r="J3850" s="161"/>
      <c r="K3850" s="160"/>
      <c r="L3850" s="160">
        <f>+'FACP$'!$H3850-'FACP$'!$I3850-'FACP$'!$K3850</f>
        <v>110509.0472</v>
      </c>
      <c r="M3850" s="162" t="s">
        <v>4707</v>
      </c>
      <c r="N3850" s="162" t="s">
        <v>554</v>
      </c>
      <c r="O3850" s="164">
        <v>45065.0</v>
      </c>
      <c r="P3850" s="164">
        <f t="array" ref="P3850">XLOOKUP('FACP$'!$B3850,'perfil de pagos'!$A$4:$A$46,'perfil de pagos'!$B$4:$B$46+'FACP$'!$D3850)</f>
        <v>45050</v>
      </c>
      <c r="Q3850" s="165">
        <f t="shared" si="2"/>
        <v>0</v>
      </c>
      <c r="R3850" s="167"/>
      <c r="S3850" s="167">
        <v>2168.0</v>
      </c>
      <c r="T3850" s="168">
        <f t="shared" si="3"/>
        <v>110509.0472</v>
      </c>
      <c r="U3850" s="168">
        <f t="shared" si="4"/>
        <v>0</v>
      </c>
      <c r="V3850" s="168">
        <f t="shared" si="5"/>
        <v>0</v>
      </c>
      <c r="W3850" s="168">
        <f t="shared" si="6"/>
        <v>0</v>
      </c>
      <c r="X3850" s="168">
        <f t="shared" si="7"/>
        <v>0</v>
      </c>
      <c r="Y3850" s="168">
        <f t="shared" si="8"/>
        <v>0</v>
      </c>
      <c r="Z3850" s="168">
        <f t="shared" si="9"/>
        <v>0</v>
      </c>
    </row>
    <row r="3851" ht="15.0" customHeight="1">
      <c r="A3851" s="157" t="s">
        <v>4858</v>
      </c>
      <c r="B3851" s="158" t="s">
        <v>38</v>
      </c>
      <c r="C3851" s="158" t="s">
        <v>4842</v>
      </c>
      <c r="D3851" s="159">
        <v>45020.0</v>
      </c>
      <c r="E3851" s="157" t="s">
        <v>731</v>
      </c>
      <c r="F3851" s="160">
        <v>134075.76</v>
      </c>
      <c r="G3851" s="160">
        <f>'FACP$'!$F3851*0.16</f>
        <v>21452.1216</v>
      </c>
      <c r="H3851" s="160">
        <f t="shared" si="122"/>
        <v>155527.8816</v>
      </c>
      <c r="I3851" s="160"/>
      <c r="J3851" s="161"/>
      <c r="K3851" s="160"/>
      <c r="L3851" s="160">
        <f>+'FACP$'!$H3851-'FACP$'!$I3851-'FACP$'!$K3851</f>
        <v>155527.8816</v>
      </c>
      <c r="M3851" s="162" t="s">
        <v>4707</v>
      </c>
      <c r="N3851" s="162" t="s">
        <v>554</v>
      </c>
      <c r="O3851" s="164">
        <v>45065.0</v>
      </c>
      <c r="P3851" s="164">
        <f t="array" ref="P3851">XLOOKUP('FACP$'!$B3851,'perfil de pagos'!$A$4:$A$46,'perfil de pagos'!$B$4:$B$46+'FACP$'!$D3851)</f>
        <v>45050</v>
      </c>
      <c r="Q3851" s="165">
        <f t="shared" si="2"/>
        <v>0</v>
      </c>
      <c r="R3851" s="167"/>
      <c r="S3851" s="167">
        <v>2168.0</v>
      </c>
      <c r="T3851" s="168">
        <f t="shared" si="3"/>
        <v>155527.8816</v>
      </c>
      <c r="U3851" s="168">
        <f t="shared" si="4"/>
        <v>0</v>
      </c>
      <c r="V3851" s="168">
        <f t="shared" si="5"/>
        <v>0</v>
      </c>
      <c r="W3851" s="168">
        <f t="shared" si="6"/>
        <v>0</v>
      </c>
      <c r="X3851" s="168">
        <f t="shared" si="7"/>
        <v>0</v>
      </c>
      <c r="Y3851" s="168">
        <f t="shared" si="8"/>
        <v>0</v>
      </c>
      <c r="Z3851" s="168">
        <f t="shared" si="9"/>
        <v>0</v>
      </c>
    </row>
    <row r="3852" ht="15.0" customHeight="1">
      <c r="A3852" s="157" t="s">
        <v>4859</v>
      </c>
      <c r="B3852" s="158" t="s">
        <v>38</v>
      </c>
      <c r="C3852" s="158" t="s">
        <v>4842</v>
      </c>
      <c r="D3852" s="159">
        <v>45020.0</v>
      </c>
      <c r="E3852" s="157" t="s">
        <v>731</v>
      </c>
      <c r="F3852" s="160">
        <v>192581.96</v>
      </c>
      <c r="G3852" s="160">
        <f>'FACP$'!$F3852*0.16</f>
        <v>30813.1136</v>
      </c>
      <c r="H3852" s="160">
        <f t="shared" si="122"/>
        <v>223395.0736</v>
      </c>
      <c r="I3852" s="160"/>
      <c r="J3852" s="161"/>
      <c r="K3852" s="160"/>
      <c r="L3852" s="160">
        <f>+'FACP$'!$H3852-'FACP$'!$I3852-'FACP$'!$K3852</f>
        <v>223395.0736</v>
      </c>
      <c r="M3852" s="162" t="s">
        <v>4654</v>
      </c>
      <c r="N3852" s="162" t="s">
        <v>554</v>
      </c>
      <c r="O3852" s="164">
        <v>45065.0</v>
      </c>
      <c r="P3852" s="164">
        <f t="array" ref="P3852">XLOOKUP('FACP$'!$B3852,'perfil de pagos'!$A$4:$A$46,'perfil de pagos'!$B$4:$B$46+'FACP$'!$D3852)</f>
        <v>45050</v>
      </c>
      <c r="Q3852" s="165">
        <f t="shared" si="2"/>
        <v>0</v>
      </c>
      <c r="R3852" s="167"/>
      <c r="S3852" s="167">
        <v>2169.0</v>
      </c>
      <c r="T3852" s="168">
        <f t="shared" si="3"/>
        <v>223395.0736</v>
      </c>
      <c r="U3852" s="168">
        <f t="shared" si="4"/>
        <v>0</v>
      </c>
      <c r="V3852" s="168">
        <f t="shared" si="5"/>
        <v>0</v>
      </c>
      <c r="W3852" s="168">
        <f t="shared" si="6"/>
        <v>0</v>
      </c>
      <c r="X3852" s="168">
        <f t="shared" si="7"/>
        <v>0</v>
      </c>
      <c r="Y3852" s="168">
        <f t="shared" si="8"/>
        <v>0</v>
      </c>
      <c r="Z3852" s="168">
        <f t="shared" si="9"/>
        <v>0</v>
      </c>
    </row>
    <row r="3853" ht="15.0" customHeight="1">
      <c r="A3853" s="157" t="s">
        <v>4860</v>
      </c>
      <c r="B3853" s="158" t="s">
        <v>43</v>
      </c>
      <c r="C3853" s="158" t="s">
        <v>4767</v>
      </c>
      <c r="D3853" s="159">
        <v>45026.0</v>
      </c>
      <c r="E3853" s="157" t="s">
        <v>731</v>
      </c>
      <c r="F3853" s="160">
        <v>843830.68</v>
      </c>
      <c r="G3853" s="160">
        <f>'FACP$'!$F3853*0.16</f>
        <v>135012.9088</v>
      </c>
      <c r="H3853" s="160">
        <f t="shared" si="122"/>
        <v>978843.5888</v>
      </c>
      <c r="I3853" s="160"/>
      <c r="J3853" s="161"/>
      <c r="K3853" s="160"/>
      <c r="L3853" s="160">
        <f>+'FACP$'!$H3853-'FACP$'!$I3853-'FACP$'!$K3853</f>
        <v>978843.5888</v>
      </c>
      <c r="M3853" s="162" t="s">
        <v>43</v>
      </c>
      <c r="N3853" s="162" t="s">
        <v>554</v>
      </c>
      <c r="O3853" s="164">
        <v>45026.0</v>
      </c>
      <c r="P3853" s="164">
        <f t="array" ref="P3853">XLOOKUP('FACP$'!$B3853,'perfil de pagos'!$A$4:$A$46,'perfil de pagos'!$B$4:$B$46+'FACP$'!$D3853)</f>
        <v>45051</v>
      </c>
      <c r="Q3853" s="165">
        <f t="shared" si="2"/>
        <v>0</v>
      </c>
      <c r="R3853" s="167" t="s">
        <v>4861</v>
      </c>
      <c r="S3853" s="167"/>
      <c r="T3853" s="168">
        <f t="shared" si="3"/>
        <v>978843.5888</v>
      </c>
      <c r="U3853" s="168">
        <f t="shared" si="4"/>
        <v>0</v>
      </c>
      <c r="V3853" s="168">
        <f t="shared" si="5"/>
        <v>0</v>
      </c>
      <c r="W3853" s="168">
        <f t="shared" si="6"/>
        <v>0</v>
      </c>
      <c r="X3853" s="168">
        <f t="shared" si="7"/>
        <v>0</v>
      </c>
      <c r="Y3853" s="168">
        <f t="shared" si="8"/>
        <v>0</v>
      </c>
      <c r="Z3853" s="168">
        <f t="shared" si="9"/>
        <v>0</v>
      </c>
    </row>
    <row r="3854" ht="15.0" customHeight="1">
      <c r="A3854" s="157" t="s">
        <v>4862</v>
      </c>
      <c r="B3854" s="158" t="s">
        <v>43</v>
      </c>
      <c r="C3854" s="158" t="s">
        <v>4832</v>
      </c>
      <c r="D3854" s="159">
        <v>45026.0</v>
      </c>
      <c r="E3854" s="157" t="s">
        <v>731</v>
      </c>
      <c r="F3854" s="160">
        <v>468430.39</v>
      </c>
      <c r="G3854" s="160">
        <f>'FACP$'!$F3854*0.16</f>
        <v>74948.8624</v>
      </c>
      <c r="H3854" s="160">
        <f t="shared" si="122"/>
        <v>543379.2524</v>
      </c>
      <c r="I3854" s="160"/>
      <c r="J3854" s="161"/>
      <c r="K3854" s="160"/>
      <c r="L3854" s="160">
        <f>+'FACP$'!$H3854-'FACP$'!$I3854-'FACP$'!$K3854</f>
        <v>543379.2524</v>
      </c>
      <c r="M3854" s="162" t="s">
        <v>43</v>
      </c>
      <c r="N3854" s="162" t="s">
        <v>554</v>
      </c>
      <c r="O3854" s="164">
        <v>45051.0</v>
      </c>
      <c r="P3854" s="164">
        <f t="array" ref="P3854">XLOOKUP('FACP$'!$B3854,'perfil de pagos'!$A$4:$A$46,'perfil de pagos'!$B$4:$B$46+'FACP$'!$D3854)</f>
        <v>45051</v>
      </c>
      <c r="Q3854" s="165">
        <f t="shared" si="2"/>
        <v>0</v>
      </c>
      <c r="R3854" s="167" t="s">
        <v>4863</v>
      </c>
      <c r="S3854" s="167">
        <v>2143.0</v>
      </c>
      <c r="T3854" s="168">
        <f t="shared" si="3"/>
        <v>543379.2524</v>
      </c>
      <c r="U3854" s="168">
        <f t="shared" si="4"/>
        <v>0</v>
      </c>
      <c r="V3854" s="168">
        <f t="shared" si="5"/>
        <v>0</v>
      </c>
      <c r="W3854" s="168">
        <f t="shared" si="6"/>
        <v>0</v>
      </c>
      <c r="X3854" s="168">
        <f t="shared" si="7"/>
        <v>0</v>
      </c>
      <c r="Y3854" s="168">
        <f t="shared" si="8"/>
        <v>0</v>
      </c>
      <c r="Z3854" s="168">
        <f t="shared" si="9"/>
        <v>0</v>
      </c>
    </row>
    <row r="3855" ht="15.0" customHeight="1">
      <c r="A3855" s="157" t="s">
        <v>4864</v>
      </c>
      <c r="B3855" s="158" t="s">
        <v>16</v>
      </c>
      <c r="C3855" s="158" t="s">
        <v>4832</v>
      </c>
      <c r="D3855" s="159">
        <v>45027.0</v>
      </c>
      <c r="E3855" s="157" t="s">
        <v>731</v>
      </c>
      <c r="F3855" s="160">
        <v>225207.0</v>
      </c>
      <c r="G3855" s="160">
        <f>'FACP$'!$F3855*0.16</f>
        <v>36033.12</v>
      </c>
      <c r="H3855" s="160">
        <f t="shared" si="122"/>
        <v>261240.12</v>
      </c>
      <c r="I3855" s="160"/>
      <c r="J3855" s="161"/>
      <c r="K3855" s="160"/>
      <c r="L3855" s="160">
        <f>+'FACP$'!$H3855-'FACP$'!$I3855-'FACP$'!$K3855</f>
        <v>261240.12</v>
      </c>
      <c r="M3855" s="162" t="s">
        <v>985</v>
      </c>
      <c r="N3855" s="162" t="s">
        <v>554</v>
      </c>
      <c r="O3855" s="164">
        <v>45037.0</v>
      </c>
      <c r="P3855" s="164">
        <f t="array" ref="P3855">XLOOKUP('FACP$'!$B3855,'perfil de pagos'!$A$4:$A$46,'perfil de pagos'!$B$4:$B$46+'FACP$'!$D3855)</f>
        <v>45037</v>
      </c>
      <c r="Q3855" s="165">
        <f t="shared" si="2"/>
        <v>0</v>
      </c>
      <c r="R3855" s="167"/>
      <c r="S3855" s="167">
        <v>2118.0</v>
      </c>
      <c r="T3855" s="168">
        <f t="shared" si="3"/>
        <v>261240.12</v>
      </c>
      <c r="U3855" s="168">
        <f t="shared" si="4"/>
        <v>0</v>
      </c>
      <c r="V3855" s="168">
        <f t="shared" si="5"/>
        <v>0</v>
      </c>
      <c r="W3855" s="168">
        <f t="shared" si="6"/>
        <v>0</v>
      </c>
      <c r="X3855" s="168">
        <f t="shared" si="7"/>
        <v>0</v>
      </c>
      <c r="Y3855" s="168">
        <f t="shared" si="8"/>
        <v>0</v>
      </c>
      <c r="Z3855" s="168">
        <f t="shared" si="9"/>
        <v>0</v>
      </c>
    </row>
    <row r="3856" ht="15.0" customHeight="1">
      <c r="A3856" s="157" t="s">
        <v>4865</v>
      </c>
      <c r="B3856" s="158" t="s">
        <v>16</v>
      </c>
      <c r="C3856" s="158" t="s">
        <v>4842</v>
      </c>
      <c r="D3856" s="159">
        <v>45027.0</v>
      </c>
      <c r="E3856" s="157" t="s">
        <v>731</v>
      </c>
      <c r="F3856" s="160">
        <v>373980.71</v>
      </c>
      <c r="G3856" s="160">
        <f>'FACP$'!$F3856*0.16</f>
        <v>59836.9136</v>
      </c>
      <c r="H3856" s="160">
        <f t="shared" si="122"/>
        <v>433817.6236</v>
      </c>
      <c r="I3856" s="160"/>
      <c r="J3856" s="161"/>
      <c r="K3856" s="160"/>
      <c r="L3856" s="160">
        <f>+'FACP$'!$H3856-'FACP$'!$I3856-'FACP$'!$K3856</f>
        <v>433817.6236</v>
      </c>
      <c r="M3856" s="162" t="s">
        <v>985</v>
      </c>
      <c r="N3856" s="162" t="s">
        <v>554</v>
      </c>
      <c r="O3856" s="164">
        <v>45037.0</v>
      </c>
      <c r="P3856" s="164">
        <f t="array" ref="P3856">XLOOKUP('FACP$'!$B3856,'perfil de pagos'!$A$4:$A$46,'perfil de pagos'!$B$4:$B$46+'FACP$'!$D3856)</f>
        <v>45037</v>
      </c>
      <c r="Q3856" s="165">
        <f t="shared" si="2"/>
        <v>0</v>
      </c>
      <c r="R3856" s="167"/>
      <c r="S3856" s="167">
        <v>2118.0</v>
      </c>
      <c r="T3856" s="168">
        <f t="shared" si="3"/>
        <v>433817.6236</v>
      </c>
      <c r="U3856" s="168">
        <f t="shared" si="4"/>
        <v>0</v>
      </c>
      <c r="V3856" s="168">
        <f t="shared" si="5"/>
        <v>0</v>
      </c>
      <c r="W3856" s="168">
        <f t="shared" si="6"/>
        <v>0</v>
      </c>
      <c r="X3856" s="168">
        <f t="shared" si="7"/>
        <v>0</v>
      </c>
      <c r="Y3856" s="168">
        <f t="shared" si="8"/>
        <v>0</v>
      </c>
      <c r="Z3856" s="168">
        <f t="shared" si="9"/>
        <v>0</v>
      </c>
    </row>
    <row r="3857" ht="15.0" customHeight="1">
      <c r="A3857" s="157" t="s">
        <v>4866</v>
      </c>
      <c r="B3857" s="158" t="s">
        <v>18</v>
      </c>
      <c r="C3857" s="158" t="s">
        <v>4832</v>
      </c>
      <c r="D3857" s="159">
        <v>45027.0</v>
      </c>
      <c r="E3857" s="157" t="s">
        <v>731</v>
      </c>
      <c r="F3857" s="160">
        <v>72686.93</v>
      </c>
      <c r="G3857" s="160">
        <f>'FACP$'!$F3857*0.16</f>
        <v>11629.9088</v>
      </c>
      <c r="H3857" s="160">
        <f t="shared" si="122"/>
        <v>84316.8388</v>
      </c>
      <c r="I3857" s="160"/>
      <c r="J3857" s="161"/>
      <c r="K3857" s="160"/>
      <c r="L3857" s="160">
        <f>+'FACP$'!$H3857-'FACP$'!$I3857-'FACP$'!$K3857</f>
        <v>84316.8388</v>
      </c>
      <c r="M3857" s="162" t="s">
        <v>586</v>
      </c>
      <c r="N3857" s="162" t="s">
        <v>554</v>
      </c>
      <c r="O3857" s="164">
        <v>45091.0</v>
      </c>
      <c r="P3857" s="164">
        <f t="array" ref="P3857">XLOOKUP('FACP$'!$B3857,'perfil de pagos'!$A$4:$A$46,'perfil de pagos'!$B$4:$B$46+'FACP$'!$D3857)</f>
        <v>45037</v>
      </c>
      <c r="Q3857" s="165">
        <f t="shared" si="2"/>
        <v>0</v>
      </c>
      <c r="R3857" s="167"/>
      <c r="S3857" s="167">
        <v>2224.0</v>
      </c>
      <c r="T3857" s="168">
        <f t="shared" si="3"/>
        <v>84316.8388</v>
      </c>
      <c r="U3857" s="168">
        <f t="shared" si="4"/>
        <v>0</v>
      </c>
      <c r="V3857" s="168">
        <f t="shared" si="5"/>
        <v>0</v>
      </c>
      <c r="W3857" s="168">
        <f t="shared" si="6"/>
        <v>0</v>
      </c>
      <c r="X3857" s="168">
        <f t="shared" si="7"/>
        <v>0</v>
      </c>
      <c r="Y3857" s="168">
        <f t="shared" si="8"/>
        <v>0</v>
      </c>
      <c r="Z3857" s="168">
        <f t="shared" si="9"/>
        <v>0</v>
      </c>
    </row>
    <row r="3858" ht="15.0" customHeight="1">
      <c r="A3858" s="157" t="s">
        <v>4867</v>
      </c>
      <c r="B3858" s="158" t="s">
        <v>19</v>
      </c>
      <c r="C3858" s="158" t="s">
        <v>4832</v>
      </c>
      <c r="D3858" s="159">
        <v>45027.0</v>
      </c>
      <c r="E3858" s="157" t="s">
        <v>731</v>
      </c>
      <c r="F3858" s="160">
        <v>149953.82</v>
      </c>
      <c r="G3858" s="160">
        <f>'FACP$'!$F3858*0.16</f>
        <v>23992.6112</v>
      </c>
      <c r="H3858" s="160">
        <f t="shared" si="122"/>
        <v>173946.4312</v>
      </c>
      <c r="I3858" s="160"/>
      <c r="J3858" s="161"/>
      <c r="K3858" s="160"/>
      <c r="L3858" s="160">
        <f>+'FACP$'!$H3858-'FACP$'!$I3858-'FACP$'!$K3858</f>
        <v>173946.4312</v>
      </c>
      <c r="M3858" s="162" t="s">
        <v>732</v>
      </c>
      <c r="N3858" s="162" t="s">
        <v>554</v>
      </c>
      <c r="O3858" s="164">
        <v>45091.0</v>
      </c>
      <c r="P3858" s="164">
        <f t="array" ref="P3858">XLOOKUP('FACP$'!$B3858,'perfil de pagos'!$A$4:$A$46,'perfil de pagos'!$B$4:$B$46+'FACP$'!$D3858)</f>
        <v>45037</v>
      </c>
      <c r="Q3858" s="165">
        <f t="shared" si="2"/>
        <v>0</v>
      </c>
      <c r="R3858" s="167"/>
      <c r="S3858" s="167">
        <v>2224.0</v>
      </c>
      <c r="T3858" s="168">
        <f t="shared" si="3"/>
        <v>173946.4312</v>
      </c>
      <c r="U3858" s="168">
        <f t="shared" si="4"/>
        <v>0</v>
      </c>
      <c r="V3858" s="168">
        <f t="shared" si="5"/>
        <v>0</v>
      </c>
      <c r="W3858" s="168">
        <f t="shared" si="6"/>
        <v>0</v>
      </c>
      <c r="X3858" s="168">
        <f t="shared" si="7"/>
        <v>0</v>
      </c>
      <c r="Y3858" s="168">
        <f t="shared" si="8"/>
        <v>0</v>
      </c>
      <c r="Z3858" s="168">
        <f t="shared" si="9"/>
        <v>0</v>
      </c>
    </row>
    <row r="3859" ht="15.0" customHeight="1">
      <c r="A3859" s="157" t="s">
        <v>4868</v>
      </c>
      <c r="B3859" s="158" t="s">
        <v>22</v>
      </c>
      <c r="C3859" s="158" t="s">
        <v>4832</v>
      </c>
      <c r="D3859" s="159">
        <v>45027.0</v>
      </c>
      <c r="E3859" s="157" t="s">
        <v>731</v>
      </c>
      <c r="F3859" s="160">
        <v>143960.69</v>
      </c>
      <c r="G3859" s="160">
        <f>'FACP$'!$F3859*0.16</f>
        <v>23033.7104</v>
      </c>
      <c r="H3859" s="160">
        <f t="shared" si="122"/>
        <v>166994.4004</v>
      </c>
      <c r="I3859" s="160"/>
      <c r="J3859" s="161"/>
      <c r="K3859" s="160"/>
      <c r="L3859" s="160">
        <f>+'FACP$'!$H3859-'FACP$'!$I3859-'FACP$'!$K3859</f>
        <v>166994.4004</v>
      </c>
      <c r="M3859" s="162" t="s">
        <v>220</v>
      </c>
      <c r="N3859" s="162" t="s">
        <v>554</v>
      </c>
      <c r="O3859" s="164">
        <v>45063.0</v>
      </c>
      <c r="P3859" s="164">
        <f t="array" ref="P3859">XLOOKUP('FACP$'!$B3859,'perfil de pagos'!$A$4:$A$46,'perfil de pagos'!$B$4:$B$46+'FACP$'!$D3859)</f>
        <v>45037</v>
      </c>
      <c r="Q3859" s="165">
        <f t="shared" si="2"/>
        <v>0</v>
      </c>
      <c r="R3859" s="167"/>
      <c r="S3859" s="167">
        <v>2165.0</v>
      </c>
      <c r="T3859" s="168">
        <f t="shared" si="3"/>
        <v>166994.4004</v>
      </c>
      <c r="U3859" s="168">
        <f t="shared" si="4"/>
        <v>0</v>
      </c>
      <c r="V3859" s="168">
        <f t="shared" si="5"/>
        <v>0</v>
      </c>
      <c r="W3859" s="168">
        <f t="shared" si="6"/>
        <v>0</v>
      </c>
      <c r="X3859" s="168">
        <f t="shared" si="7"/>
        <v>0</v>
      </c>
      <c r="Y3859" s="168">
        <f t="shared" si="8"/>
        <v>0</v>
      </c>
      <c r="Z3859" s="168">
        <f t="shared" si="9"/>
        <v>0</v>
      </c>
    </row>
    <row r="3860" ht="15.0" customHeight="1">
      <c r="A3860" s="157" t="s">
        <v>4869</v>
      </c>
      <c r="B3860" s="158" t="s">
        <v>25</v>
      </c>
      <c r="C3860" s="158" t="s">
        <v>4832</v>
      </c>
      <c r="D3860" s="159">
        <v>45027.0</v>
      </c>
      <c r="E3860" s="157" t="s">
        <v>731</v>
      </c>
      <c r="F3860" s="160">
        <v>51075.04</v>
      </c>
      <c r="G3860" s="160">
        <f>'FACP$'!$F3860*0.16</f>
        <v>8172.0064</v>
      </c>
      <c r="H3860" s="160">
        <f t="shared" si="122"/>
        <v>59247.0464</v>
      </c>
      <c r="I3860" s="160"/>
      <c r="J3860" s="161"/>
      <c r="K3860" s="160"/>
      <c r="L3860" s="160">
        <f>+'FACP$'!$H3860-'FACP$'!$I3860-'FACP$'!$K3860</f>
        <v>59247.0464</v>
      </c>
      <c r="M3860" s="162" t="s">
        <v>4388</v>
      </c>
      <c r="N3860" s="162" t="s">
        <v>554</v>
      </c>
      <c r="O3860" s="164">
        <v>45160.0</v>
      </c>
      <c r="P3860" s="164">
        <f t="array" ref="P3860">XLOOKUP('FACP$'!$B3860,'perfil de pagos'!$A$4:$A$46,'perfil de pagos'!$B$4:$B$46+'FACP$'!$D3860)</f>
        <v>45037</v>
      </c>
      <c r="Q3860" s="165">
        <f t="shared" si="2"/>
        <v>0</v>
      </c>
      <c r="R3860" s="167"/>
      <c r="S3860" s="167"/>
      <c r="T3860" s="168">
        <f t="shared" si="3"/>
        <v>59247.0464</v>
      </c>
      <c r="U3860" s="168">
        <f t="shared" si="4"/>
        <v>0</v>
      </c>
      <c r="V3860" s="168">
        <f t="shared" si="5"/>
        <v>0</v>
      </c>
      <c r="W3860" s="168">
        <f t="shared" si="6"/>
        <v>0</v>
      </c>
      <c r="X3860" s="168">
        <f t="shared" si="7"/>
        <v>0</v>
      </c>
      <c r="Y3860" s="168">
        <f t="shared" si="8"/>
        <v>0</v>
      </c>
      <c r="Z3860" s="168">
        <f t="shared" si="9"/>
        <v>0</v>
      </c>
    </row>
    <row r="3861" ht="15.0" customHeight="1">
      <c r="A3861" s="157" t="s">
        <v>4870</v>
      </c>
      <c r="B3861" s="158" t="s">
        <v>29</v>
      </c>
      <c r="C3861" s="158" t="s">
        <v>4832</v>
      </c>
      <c r="D3861" s="159">
        <v>45027.0</v>
      </c>
      <c r="E3861" s="157" t="s">
        <v>731</v>
      </c>
      <c r="F3861" s="160">
        <v>262945.37</v>
      </c>
      <c r="G3861" s="160">
        <f>'FACP$'!$F3861*0.16</f>
        <v>42071.2592</v>
      </c>
      <c r="H3861" s="160">
        <f t="shared" si="122"/>
        <v>305016.6292</v>
      </c>
      <c r="I3861" s="160"/>
      <c r="J3861" s="161"/>
      <c r="K3861" s="160"/>
      <c r="L3861" s="160">
        <f>+'FACP$'!$H3861-'FACP$'!$I3861-'FACP$'!$K3861</f>
        <v>305016.6292</v>
      </c>
      <c r="M3861" s="162" t="s">
        <v>130</v>
      </c>
      <c r="N3861" s="162" t="s">
        <v>554</v>
      </c>
      <c r="O3861" s="164">
        <v>45033.0</v>
      </c>
      <c r="P3861" s="164">
        <f t="array" ref="P3861">XLOOKUP('FACP$'!$B3861,'perfil de pagos'!$A$4:$A$46,'perfil de pagos'!$B$4:$B$46+'FACP$'!$D3861)</f>
        <v>45037</v>
      </c>
      <c r="Q3861" s="165">
        <f t="shared" si="2"/>
        <v>0</v>
      </c>
      <c r="R3861" s="167"/>
      <c r="S3861" s="167">
        <v>2099.0</v>
      </c>
      <c r="T3861" s="168">
        <f t="shared" si="3"/>
        <v>305016.6292</v>
      </c>
      <c r="U3861" s="168">
        <f t="shared" si="4"/>
        <v>0</v>
      </c>
      <c r="V3861" s="168">
        <f t="shared" si="5"/>
        <v>0</v>
      </c>
      <c r="W3861" s="168">
        <f t="shared" si="6"/>
        <v>0</v>
      </c>
      <c r="X3861" s="168">
        <f t="shared" si="7"/>
        <v>0</v>
      </c>
      <c r="Y3861" s="168">
        <f t="shared" si="8"/>
        <v>0</v>
      </c>
      <c r="Z3861" s="168">
        <f t="shared" si="9"/>
        <v>0</v>
      </c>
      <c r="AA3861" s="81"/>
      <c r="AB3861" s="81"/>
      <c r="AC3861" s="81"/>
    </row>
    <row r="3862" ht="15.0" customHeight="1">
      <c r="A3862" s="157" t="s">
        <v>4871</v>
      </c>
      <c r="B3862" s="158" t="s">
        <v>29</v>
      </c>
      <c r="C3862" s="158" t="s">
        <v>4872</v>
      </c>
      <c r="D3862" s="159">
        <v>45027.0</v>
      </c>
      <c r="E3862" s="157" t="s">
        <v>731</v>
      </c>
      <c r="F3862" s="160">
        <v>393899.63</v>
      </c>
      <c r="G3862" s="160">
        <f>'FACP$'!$F3862*0.16</f>
        <v>63023.9408</v>
      </c>
      <c r="H3862" s="160">
        <f t="shared" si="122"/>
        <v>456923.5708</v>
      </c>
      <c r="I3862" s="160"/>
      <c r="J3862" s="161"/>
      <c r="K3862" s="160"/>
      <c r="L3862" s="160">
        <f>+'FACP$'!$H3862-'FACP$'!$I3862-'FACP$'!$K3862</f>
        <v>456923.5708</v>
      </c>
      <c r="M3862" s="162" t="s">
        <v>130</v>
      </c>
      <c r="N3862" s="162" t="s">
        <v>554</v>
      </c>
      <c r="O3862" s="164">
        <v>45043.0</v>
      </c>
      <c r="P3862" s="164">
        <f t="array" ref="P3862">XLOOKUP('FACP$'!$B3862,'perfil de pagos'!$A$4:$A$46,'perfil de pagos'!$B$4:$B$46+'FACP$'!$D3862)</f>
        <v>45037</v>
      </c>
      <c r="Q3862" s="165">
        <f t="shared" si="2"/>
        <v>0</v>
      </c>
      <c r="R3862" s="167"/>
      <c r="S3862" s="167">
        <v>2127.0</v>
      </c>
      <c r="T3862" s="168">
        <f t="shared" si="3"/>
        <v>456923.5708</v>
      </c>
      <c r="U3862" s="168">
        <f t="shared" si="4"/>
        <v>0</v>
      </c>
      <c r="V3862" s="168">
        <f t="shared" si="5"/>
        <v>0</v>
      </c>
      <c r="W3862" s="168">
        <f t="shared" si="6"/>
        <v>0</v>
      </c>
      <c r="X3862" s="168">
        <f t="shared" si="7"/>
        <v>0</v>
      </c>
      <c r="Y3862" s="168">
        <f t="shared" si="8"/>
        <v>0</v>
      </c>
      <c r="Z3862" s="168">
        <f t="shared" si="9"/>
        <v>0</v>
      </c>
    </row>
    <row r="3863" ht="15.0" customHeight="1">
      <c r="A3863" s="157" t="s">
        <v>4873</v>
      </c>
      <c r="B3863" s="158" t="s">
        <v>37</v>
      </c>
      <c r="C3863" s="158" t="s">
        <v>4832</v>
      </c>
      <c r="D3863" s="159">
        <v>45027.0</v>
      </c>
      <c r="E3863" s="157" t="s">
        <v>731</v>
      </c>
      <c r="F3863" s="160">
        <v>1361506.99</v>
      </c>
      <c r="G3863" s="160">
        <f>'FACP$'!$F3863*0.16</f>
        <v>217841.1184</v>
      </c>
      <c r="H3863" s="160">
        <f t="shared" si="122"/>
        <v>1579348.108</v>
      </c>
      <c r="I3863" s="160"/>
      <c r="J3863" s="161"/>
      <c r="K3863" s="160"/>
      <c r="L3863" s="160">
        <f>+'FACP$'!$H3863-'FACP$'!$I3863-'FACP$'!$K3863</f>
        <v>1579348.108</v>
      </c>
      <c r="M3863" s="162" t="s">
        <v>116</v>
      </c>
      <c r="N3863" s="162" t="s">
        <v>554</v>
      </c>
      <c r="O3863" s="164">
        <v>45033.0</v>
      </c>
      <c r="P3863" s="164">
        <f t="array" ref="P3863">XLOOKUP('FACP$'!$B3863,'perfil de pagos'!$A$4:$A$46,'perfil de pagos'!$B$4:$B$46+'FACP$'!$D3863)</f>
        <v>45037</v>
      </c>
      <c r="Q3863" s="165">
        <f t="shared" si="2"/>
        <v>0</v>
      </c>
      <c r="R3863" s="167"/>
      <c r="S3863" s="167">
        <v>2100.0</v>
      </c>
      <c r="T3863" s="168">
        <f t="shared" si="3"/>
        <v>1579348.108</v>
      </c>
      <c r="U3863" s="168">
        <f t="shared" si="4"/>
        <v>0</v>
      </c>
      <c r="V3863" s="168">
        <f t="shared" si="5"/>
        <v>0</v>
      </c>
      <c r="W3863" s="168">
        <f t="shared" si="6"/>
        <v>0</v>
      </c>
      <c r="X3863" s="168">
        <f t="shared" si="7"/>
        <v>0</v>
      </c>
      <c r="Y3863" s="168">
        <f t="shared" si="8"/>
        <v>0</v>
      </c>
      <c r="Z3863" s="168">
        <f t="shared" si="9"/>
        <v>0</v>
      </c>
    </row>
    <row r="3864" ht="15.0" customHeight="1">
      <c r="A3864" s="157" t="s">
        <v>4874</v>
      </c>
      <c r="B3864" s="158" t="s">
        <v>38</v>
      </c>
      <c r="C3864" s="158" t="s">
        <v>4832</v>
      </c>
      <c r="D3864" s="159">
        <v>45027.0</v>
      </c>
      <c r="E3864" s="157" t="s">
        <v>600</v>
      </c>
      <c r="F3864" s="160">
        <v>586850.79</v>
      </c>
      <c r="G3864" s="160">
        <f>'FACP$'!$F3864*0.16</f>
        <v>93896.1264</v>
      </c>
      <c r="H3864" s="160">
        <f t="shared" si="122"/>
        <v>680746.9164</v>
      </c>
      <c r="I3864" s="160"/>
      <c r="J3864" s="161"/>
      <c r="K3864" s="160"/>
      <c r="L3864" s="160">
        <f>+'FACP$'!$H3864-'FACP$'!$I3864-'FACP$'!$K3864</f>
        <v>680746.9164</v>
      </c>
      <c r="M3864" s="162" t="s">
        <v>145</v>
      </c>
      <c r="N3864" s="162" t="s">
        <v>554</v>
      </c>
      <c r="O3864" s="164">
        <v>45065.0</v>
      </c>
      <c r="P3864" s="164">
        <f t="array" ref="P3864">XLOOKUP('FACP$'!$B3864,'perfil de pagos'!$A$4:$A$46,'perfil de pagos'!$B$4:$B$46+'FACP$'!$D3864)</f>
        <v>45057</v>
      </c>
      <c r="Q3864" s="165">
        <f t="shared" si="2"/>
        <v>0</v>
      </c>
      <c r="R3864" s="167"/>
      <c r="S3864" s="167">
        <v>2168.0</v>
      </c>
      <c r="T3864" s="168">
        <f t="shared" si="3"/>
        <v>680746.9164</v>
      </c>
      <c r="U3864" s="168">
        <f t="shared" si="4"/>
        <v>0</v>
      </c>
      <c r="V3864" s="168">
        <f t="shared" si="5"/>
        <v>0</v>
      </c>
      <c r="W3864" s="168">
        <f t="shared" si="6"/>
        <v>0</v>
      </c>
      <c r="X3864" s="168">
        <f t="shared" si="7"/>
        <v>0</v>
      </c>
      <c r="Y3864" s="168">
        <f t="shared" si="8"/>
        <v>0</v>
      </c>
      <c r="Z3864" s="168">
        <f t="shared" si="9"/>
        <v>0</v>
      </c>
    </row>
    <row r="3865" ht="15.0" customHeight="1">
      <c r="A3865" s="157" t="s">
        <v>4875</v>
      </c>
      <c r="B3865" s="158" t="s">
        <v>38</v>
      </c>
      <c r="C3865" s="158" t="s">
        <v>4832</v>
      </c>
      <c r="D3865" s="159">
        <v>45027.0</v>
      </c>
      <c r="E3865" s="157" t="s">
        <v>731</v>
      </c>
      <c r="F3865" s="160">
        <v>127895.23</v>
      </c>
      <c r="G3865" s="160">
        <f>'FACP$'!$F3865*0.16</f>
        <v>20463.2368</v>
      </c>
      <c r="H3865" s="160">
        <f t="shared" si="122"/>
        <v>148358.4668</v>
      </c>
      <c r="I3865" s="160"/>
      <c r="J3865" s="161"/>
      <c r="K3865" s="160"/>
      <c r="L3865" s="160">
        <f>+'FACP$'!$H3865-'FACP$'!$I3865-'FACP$'!$K3865</f>
        <v>148358.4668</v>
      </c>
      <c r="M3865" s="162" t="s">
        <v>434</v>
      </c>
      <c r="N3865" s="162" t="s">
        <v>554</v>
      </c>
      <c r="O3865" s="164">
        <v>45086.0</v>
      </c>
      <c r="P3865" s="164">
        <f t="array" ref="P3865">XLOOKUP('FACP$'!$B3865,'perfil de pagos'!$A$4:$A$46,'perfil de pagos'!$B$4:$B$46+'FACP$'!$D3865)</f>
        <v>45057</v>
      </c>
      <c r="Q3865" s="165">
        <f t="shared" si="2"/>
        <v>0</v>
      </c>
      <c r="R3865" s="167"/>
      <c r="S3865" s="167">
        <v>2208.0</v>
      </c>
      <c r="T3865" s="168">
        <f t="shared" si="3"/>
        <v>148358.4668</v>
      </c>
      <c r="U3865" s="168">
        <f t="shared" si="4"/>
        <v>0</v>
      </c>
      <c r="V3865" s="168">
        <f t="shared" si="5"/>
        <v>0</v>
      </c>
      <c r="W3865" s="168">
        <f t="shared" si="6"/>
        <v>0</v>
      </c>
      <c r="X3865" s="168">
        <f t="shared" si="7"/>
        <v>0</v>
      </c>
      <c r="Y3865" s="168">
        <f t="shared" si="8"/>
        <v>0</v>
      </c>
      <c r="Z3865" s="168">
        <f t="shared" si="9"/>
        <v>0</v>
      </c>
    </row>
    <row r="3866" ht="15.0" customHeight="1">
      <c r="A3866" s="157" t="s">
        <v>4876</v>
      </c>
      <c r="B3866" s="158" t="s">
        <v>15</v>
      </c>
      <c r="C3866" s="158" t="s">
        <v>4877</v>
      </c>
      <c r="D3866" s="159">
        <v>45034.0</v>
      </c>
      <c r="E3866" s="157" t="s">
        <v>731</v>
      </c>
      <c r="F3866" s="160">
        <v>360050.41</v>
      </c>
      <c r="G3866" s="160">
        <f>'FACP$'!$F3866*0.16</f>
        <v>57608.0656</v>
      </c>
      <c r="H3866" s="160">
        <f t="shared" si="122"/>
        <v>417658.4756</v>
      </c>
      <c r="I3866" s="160"/>
      <c r="J3866" s="161"/>
      <c r="K3866" s="160"/>
      <c r="L3866" s="160">
        <f>+'FACP$'!$H3866-'FACP$'!$I3866-'FACP$'!$K3866</f>
        <v>417658.4756</v>
      </c>
      <c r="M3866" s="162" t="s">
        <v>443</v>
      </c>
      <c r="N3866" s="162" t="s">
        <v>554</v>
      </c>
      <c r="O3866" s="164">
        <v>45055.0</v>
      </c>
      <c r="P3866" s="164">
        <f t="array" ref="P3866">XLOOKUP('FACP$'!$B3866,'perfil de pagos'!$A$4:$A$46,'perfil de pagos'!$B$4:$B$46+'FACP$'!$D3866)</f>
        <v>45044</v>
      </c>
      <c r="Q3866" s="165">
        <f t="shared" si="2"/>
        <v>0</v>
      </c>
      <c r="R3866" s="167"/>
      <c r="S3866" s="167">
        <v>2154.0</v>
      </c>
      <c r="T3866" s="168">
        <f t="shared" si="3"/>
        <v>417658.4756</v>
      </c>
      <c r="U3866" s="168">
        <f t="shared" si="4"/>
        <v>0</v>
      </c>
      <c r="V3866" s="168">
        <f t="shared" si="5"/>
        <v>0</v>
      </c>
      <c r="W3866" s="168">
        <f t="shared" si="6"/>
        <v>0</v>
      </c>
      <c r="X3866" s="168">
        <f t="shared" si="7"/>
        <v>0</v>
      </c>
      <c r="Y3866" s="168">
        <f t="shared" si="8"/>
        <v>0</v>
      </c>
      <c r="Z3866" s="168">
        <f t="shared" si="9"/>
        <v>0</v>
      </c>
    </row>
    <row r="3867" ht="15.0" customHeight="1">
      <c r="A3867" s="157" t="s">
        <v>4878</v>
      </c>
      <c r="B3867" s="158" t="s">
        <v>35</v>
      </c>
      <c r="C3867" s="158" t="s">
        <v>4877</v>
      </c>
      <c r="D3867" s="159">
        <v>45034.0</v>
      </c>
      <c r="E3867" s="157" t="s">
        <v>731</v>
      </c>
      <c r="F3867" s="160">
        <v>251038.07</v>
      </c>
      <c r="G3867" s="160">
        <f>'FACP$'!$F3867*0.16</f>
        <v>40166.0912</v>
      </c>
      <c r="H3867" s="160">
        <f t="shared" si="122"/>
        <v>291204.1612</v>
      </c>
      <c r="I3867" s="160"/>
      <c r="J3867" s="161"/>
      <c r="K3867" s="160"/>
      <c r="L3867" s="160">
        <f>+'FACP$'!$H3867-'FACP$'!$I3867-'FACP$'!$K3867</f>
        <v>291204.1612</v>
      </c>
      <c r="M3867" s="162" t="s">
        <v>276</v>
      </c>
      <c r="N3867" s="162" t="s">
        <v>554</v>
      </c>
      <c r="O3867" s="164">
        <v>45103.0</v>
      </c>
      <c r="P3867" s="164">
        <f t="array" ref="P3867">XLOOKUP('FACP$'!$B3867,'perfil de pagos'!$A$4:$A$46,'perfil de pagos'!$B$4:$B$46+'FACP$'!$D3867)</f>
        <v>45044</v>
      </c>
      <c r="Q3867" s="165">
        <f t="shared" si="2"/>
        <v>0</v>
      </c>
      <c r="R3867" s="167"/>
      <c r="S3867" s="167">
        <v>2239.0</v>
      </c>
      <c r="T3867" s="168">
        <f t="shared" si="3"/>
        <v>291204.1612</v>
      </c>
      <c r="U3867" s="168">
        <f t="shared" si="4"/>
        <v>0</v>
      </c>
      <c r="V3867" s="168">
        <f t="shared" si="5"/>
        <v>0</v>
      </c>
      <c r="W3867" s="168">
        <f t="shared" si="6"/>
        <v>0</v>
      </c>
      <c r="X3867" s="168">
        <f t="shared" si="7"/>
        <v>0</v>
      </c>
      <c r="Y3867" s="168">
        <f t="shared" si="8"/>
        <v>0</v>
      </c>
      <c r="Z3867" s="168">
        <f t="shared" si="9"/>
        <v>0</v>
      </c>
    </row>
    <row r="3868" ht="15.0" customHeight="1">
      <c r="A3868" s="157" t="s">
        <v>4879</v>
      </c>
      <c r="B3868" s="158" t="s">
        <v>36</v>
      </c>
      <c r="C3868" s="158" t="s">
        <v>4877</v>
      </c>
      <c r="D3868" s="159">
        <v>45034.0</v>
      </c>
      <c r="E3868" s="157" t="s">
        <v>731</v>
      </c>
      <c r="F3868" s="160">
        <v>98076.61</v>
      </c>
      <c r="G3868" s="160">
        <f>'FACP$'!$F3868*0.16</f>
        <v>15692.2576</v>
      </c>
      <c r="H3868" s="160">
        <f t="shared" si="122"/>
        <v>113768.8676</v>
      </c>
      <c r="I3868" s="160"/>
      <c r="J3868" s="161"/>
      <c r="K3868" s="160"/>
      <c r="L3868" s="160">
        <f>+'FACP$'!$H3868-'FACP$'!$I3868-'FACP$'!$K3868</f>
        <v>113768.8676</v>
      </c>
      <c r="M3868" s="162" t="s">
        <v>278</v>
      </c>
      <c r="N3868" s="162" t="s">
        <v>554</v>
      </c>
      <c r="O3868" s="164">
        <v>45044.0</v>
      </c>
      <c r="P3868" s="164">
        <f t="array" ref="P3868">XLOOKUP('FACP$'!$B3868,'perfil de pagos'!$A$4:$A$46,'perfil de pagos'!$B$4:$B$46+'FACP$'!$D3868)</f>
        <v>45044</v>
      </c>
      <c r="Q3868" s="165">
        <f t="shared" si="2"/>
        <v>0</v>
      </c>
      <c r="R3868" s="167"/>
      <c r="S3868" s="167">
        <v>2131.0</v>
      </c>
      <c r="T3868" s="168">
        <f t="shared" si="3"/>
        <v>113768.8676</v>
      </c>
      <c r="U3868" s="168">
        <f t="shared" si="4"/>
        <v>0</v>
      </c>
      <c r="V3868" s="168">
        <f t="shared" si="5"/>
        <v>0</v>
      </c>
      <c r="W3868" s="168">
        <f t="shared" si="6"/>
        <v>0</v>
      </c>
      <c r="X3868" s="168">
        <f t="shared" si="7"/>
        <v>0</v>
      </c>
      <c r="Y3868" s="168">
        <f t="shared" si="8"/>
        <v>0</v>
      </c>
      <c r="Z3868" s="168">
        <f t="shared" si="9"/>
        <v>0</v>
      </c>
    </row>
    <row r="3869" ht="15.0" customHeight="1">
      <c r="A3869" s="157" t="s">
        <v>4880</v>
      </c>
      <c r="B3869" s="158" t="s">
        <v>41</v>
      </c>
      <c r="C3869" s="158" t="s">
        <v>4877</v>
      </c>
      <c r="D3869" s="159">
        <v>45034.0</v>
      </c>
      <c r="E3869" s="157" t="s">
        <v>731</v>
      </c>
      <c r="F3869" s="160">
        <v>399783.07</v>
      </c>
      <c r="G3869" s="160">
        <f>'FACP$'!$F3869*0.16</f>
        <v>63965.2912</v>
      </c>
      <c r="H3869" s="160">
        <f t="shared" si="122"/>
        <v>463748.3612</v>
      </c>
      <c r="I3869" s="160"/>
      <c r="J3869" s="161"/>
      <c r="K3869" s="160"/>
      <c r="L3869" s="160">
        <f>+'FACP$'!$H3869-'FACP$'!$I3869-'FACP$'!$K3869</f>
        <v>463748.3612</v>
      </c>
      <c r="M3869" s="162" t="s">
        <v>121</v>
      </c>
      <c r="N3869" s="162" t="s">
        <v>554</v>
      </c>
      <c r="O3869" s="164">
        <v>45065.0</v>
      </c>
      <c r="P3869" s="164">
        <f t="array" ref="P3869">XLOOKUP('FACP$'!$B3869,'perfil de pagos'!$A$4:$A$46,'perfil de pagos'!$B$4:$B$46+'FACP$'!$D3869)</f>
        <v>45044</v>
      </c>
      <c r="Q3869" s="165">
        <f t="shared" si="2"/>
        <v>0</v>
      </c>
      <c r="R3869" s="167"/>
      <c r="S3869" s="167">
        <v>2166.0</v>
      </c>
      <c r="T3869" s="168">
        <f t="shared" si="3"/>
        <v>463748.3612</v>
      </c>
      <c r="U3869" s="168">
        <f t="shared" si="4"/>
        <v>0</v>
      </c>
      <c r="V3869" s="168">
        <f t="shared" si="5"/>
        <v>0</v>
      </c>
      <c r="W3869" s="168">
        <f t="shared" si="6"/>
        <v>0</v>
      </c>
      <c r="X3869" s="168">
        <f t="shared" si="7"/>
        <v>0</v>
      </c>
      <c r="Y3869" s="168">
        <f t="shared" si="8"/>
        <v>0</v>
      </c>
      <c r="Z3869" s="168">
        <f t="shared" si="9"/>
        <v>0</v>
      </c>
    </row>
    <row r="3870" ht="15.0" customHeight="1">
      <c r="A3870" s="157" t="s">
        <v>4881</v>
      </c>
      <c r="B3870" s="158" t="s">
        <v>42</v>
      </c>
      <c r="C3870" s="158" t="s">
        <v>4877</v>
      </c>
      <c r="D3870" s="159">
        <v>45034.0</v>
      </c>
      <c r="E3870" s="157" t="s">
        <v>731</v>
      </c>
      <c r="F3870" s="160">
        <v>69600.15</v>
      </c>
      <c r="G3870" s="160">
        <f>'FACP$'!$F3870*0.16</f>
        <v>11136.024</v>
      </c>
      <c r="H3870" s="160">
        <f t="shared" si="122"/>
        <v>80736.174</v>
      </c>
      <c r="I3870" s="160"/>
      <c r="J3870" s="161"/>
      <c r="K3870" s="160"/>
      <c r="L3870" s="160">
        <f>+'FACP$'!$H3870-'FACP$'!$I3870-'FACP$'!$K3870</f>
        <v>80736.174</v>
      </c>
      <c r="M3870" s="162" t="s">
        <v>42</v>
      </c>
      <c r="N3870" s="162" t="s">
        <v>554</v>
      </c>
      <c r="O3870" s="164">
        <v>45057.0</v>
      </c>
      <c r="P3870" s="164">
        <f t="array" ref="P3870">XLOOKUP('FACP$'!$B3870,'perfil de pagos'!$A$4:$A$46,'perfil de pagos'!$B$4:$B$46+'FACP$'!$D3870)</f>
        <v>45044</v>
      </c>
      <c r="Q3870" s="165">
        <f t="shared" si="2"/>
        <v>0</v>
      </c>
      <c r="R3870" s="167"/>
      <c r="S3870" s="167">
        <v>2155.0</v>
      </c>
      <c r="T3870" s="168">
        <f t="shared" si="3"/>
        <v>80736.174</v>
      </c>
      <c r="U3870" s="168">
        <f t="shared" si="4"/>
        <v>0</v>
      </c>
      <c r="V3870" s="168">
        <f t="shared" si="5"/>
        <v>0</v>
      </c>
      <c r="W3870" s="168">
        <f t="shared" si="6"/>
        <v>0</v>
      </c>
      <c r="X3870" s="168">
        <f t="shared" si="7"/>
        <v>0</v>
      </c>
      <c r="Y3870" s="168">
        <f t="shared" si="8"/>
        <v>0</v>
      </c>
      <c r="Z3870" s="168">
        <f t="shared" si="9"/>
        <v>0</v>
      </c>
    </row>
    <row r="3871" ht="15.0" customHeight="1">
      <c r="A3871" s="157" t="s">
        <v>4882</v>
      </c>
      <c r="B3871" s="158" t="s">
        <v>44</v>
      </c>
      <c r="C3871" s="158" t="s">
        <v>4877</v>
      </c>
      <c r="D3871" s="159">
        <v>45034.0</v>
      </c>
      <c r="E3871" s="157" t="s">
        <v>731</v>
      </c>
      <c r="F3871" s="160">
        <v>60378.79</v>
      </c>
      <c r="G3871" s="160">
        <f>'FACP$'!$F3871*0.16</f>
        <v>9660.6064</v>
      </c>
      <c r="H3871" s="160">
        <f t="shared" si="122"/>
        <v>70039.3964</v>
      </c>
      <c r="I3871" s="160"/>
      <c r="J3871" s="161"/>
      <c r="K3871" s="160"/>
      <c r="L3871" s="160">
        <f>+'FACP$'!$H3871-'FACP$'!$I3871-'FACP$'!$K3871</f>
        <v>70039.3964</v>
      </c>
      <c r="M3871" s="162" t="s">
        <v>361</v>
      </c>
      <c r="N3871" s="162" t="s">
        <v>554</v>
      </c>
      <c r="O3871" s="164">
        <v>45037.0</v>
      </c>
      <c r="P3871" s="164">
        <f t="array" ref="P3871">XLOOKUP('FACP$'!$B3871,'perfil de pagos'!$A$4:$A$46,'perfil de pagos'!$B$4:$B$46+'FACP$'!$D3871)</f>
        <v>45044</v>
      </c>
      <c r="Q3871" s="165">
        <f t="shared" si="2"/>
        <v>0</v>
      </c>
      <c r="R3871" s="167"/>
      <c r="S3871" s="167">
        <v>2114.0</v>
      </c>
      <c r="T3871" s="168">
        <f t="shared" si="3"/>
        <v>70039.3964</v>
      </c>
      <c r="U3871" s="168">
        <f t="shared" si="4"/>
        <v>0</v>
      </c>
      <c r="V3871" s="168">
        <f t="shared" si="5"/>
        <v>0</v>
      </c>
      <c r="W3871" s="168">
        <f t="shared" si="6"/>
        <v>0</v>
      </c>
      <c r="X3871" s="168">
        <f t="shared" si="7"/>
        <v>0</v>
      </c>
      <c r="Y3871" s="168">
        <f t="shared" si="8"/>
        <v>0</v>
      </c>
      <c r="Z3871" s="168">
        <f t="shared" si="9"/>
        <v>0</v>
      </c>
    </row>
    <row r="3872" ht="15.0" customHeight="1">
      <c r="A3872" s="157" t="s">
        <v>4883</v>
      </c>
      <c r="B3872" s="158" t="s">
        <v>43</v>
      </c>
      <c r="C3872" s="158" t="s">
        <v>4877</v>
      </c>
      <c r="D3872" s="159">
        <v>45034.0</v>
      </c>
      <c r="E3872" s="157" t="s">
        <v>731</v>
      </c>
      <c r="F3872" s="160">
        <v>182895.32</v>
      </c>
      <c r="G3872" s="160">
        <f>'FACP$'!$F3872*0.16</f>
        <v>29263.2512</v>
      </c>
      <c r="H3872" s="160">
        <f t="shared" si="122"/>
        <v>212158.5712</v>
      </c>
      <c r="I3872" s="160"/>
      <c r="J3872" s="161"/>
      <c r="K3872" s="160"/>
      <c r="L3872" s="160">
        <f>+'FACP$'!$H3872-'FACP$'!$I3872-'FACP$'!$K3872</f>
        <v>212158.5712</v>
      </c>
      <c r="M3872" s="162" t="s">
        <v>43</v>
      </c>
      <c r="N3872" s="162" t="s">
        <v>554</v>
      </c>
      <c r="O3872" s="164">
        <v>45065.0</v>
      </c>
      <c r="P3872" s="164">
        <f t="array" ref="P3872">XLOOKUP('FACP$'!$B3872,'perfil de pagos'!$A$4:$A$46,'perfil de pagos'!$B$4:$B$46+'FACP$'!$D3872)</f>
        <v>45059</v>
      </c>
      <c r="Q3872" s="165">
        <f t="shared" si="2"/>
        <v>0</v>
      </c>
      <c r="R3872" s="167"/>
      <c r="S3872" s="167">
        <v>2167.0</v>
      </c>
      <c r="T3872" s="168">
        <f t="shared" si="3"/>
        <v>212158.5712</v>
      </c>
      <c r="U3872" s="168">
        <f t="shared" si="4"/>
        <v>0</v>
      </c>
      <c r="V3872" s="168">
        <f t="shared" si="5"/>
        <v>0</v>
      </c>
      <c r="W3872" s="168">
        <f t="shared" si="6"/>
        <v>0</v>
      </c>
      <c r="X3872" s="168">
        <f t="shared" si="7"/>
        <v>0</v>
      </c>
      <c r="Y3872" s="168">
        <f t="shared" si="8"/>
        <v>0</v>
      </c>
      <c r="Z3872" s="168">
        <f t="shared" si="9"/>
        <v>0</v>
      </c>
    </row>
    <row r="3873" ht="15.0" customHeight="1">
      <c r="A3873" s="157" t="s">
        <v>4884</v>
      </c>
      <c r="B3873" s="158" t="s">
        <v>27</v>
      </c>
      <c r="C3873" s="158" t="s">
        <v>4885</v>
      </c>
      <c r="D3873" s="159">
        <v>45034.0</v>
      </c>
      <c r="E3873" s="157" t="s">
        <v>731</v>
      </c>
      <c r="F3873" s="160">
        <v>146373.53</v>
      </c>
      <c r="G3873" s="160">
        <f>'FACP$'!$F3873*0.16</f>
        <v>23419.7648</v>
      </c>
      <c r="H3873" s="160">
        <f t="shared" si="122"/>
        <v>169793.2948</v>
      </c>
      <c r="I3873" s="160"/>
      <c r="J3873" s="161"/>
      <c r="K3873" s="160"/>
      <c r="L3873" s="160">
        <f>+'FACP$'!$H3873-'FACP$'!$I3873-'FACP$'!$K3873</f>
        <v>169793.2948</v>
      </c>
      <c r="M3873" s="162" t="s">
        <v>158</v>
      </c>
      <c r="N3873" s="162" t="s">
        <v>554</v>
      </c>
      <c r="O3873" s="164">
        <v>45044.0</v>
      </c>
      <c r="P3873" s="164">
        <f t="array" ref="P3873">XLOOKUP('FACP$'!$B3873,'perfil de pagos'!$A$4:$A$46,'perfil de pagos'!$B$4:$B$46+'FACP$'!$D3873)</f>
        <v>45064</v>
      </c>
      <c r="Q3873" s="165">
        <f t="shared" si="2"/>
        <v>0</v>
      </c>
      <c r="R3873" s="167"/>
      <c r="S3873" s="167">
        <v>2128.0</v>
      </c>
      <c r="T3873" s="168">
        <f t="shared" si="3"/>
        <v>169793.2948</v>
      </c>
      <c r="U3873" s="168">
        <f t="shared" si="4"/>
        <v>0</v>
      </c>
      <c r="V3873" s="168">
        <f t="shared" si="5"/>
        <v>0</v>
      </c>
      <c r="W3873" s="168">
        <f t="shared" si="6"/>
        <v>0</v>
      </c>
      <c r="X3873" s="168">
        <f t="shared" si="7"/>
        <v>0</v>
      </c>
      <c r="Y3873" s="168">
        <f t="shared" si="8"/>
        <v>0</v>
      </c>
      <c r="Z3873" s="168">
        <f t="shared" si="9"/>
        <v>0</v>
      </c>
    </row>
    <row r="3874" ht="15.0" customHeight="1">
      <c r="A3874" s="157" t="s">
        <v>4886</v>
      </c>
      <c r="B3874" s="158" t="s">
        <v>27</v>
      </c>
      <c r="C3874" s="158" t="s">
        <v>4887</v>
      </c>
      <c r="D3874" s="159">
        <v>45034.0</v>
      </c>
      <c r="E3874" s="157" t="s">
        <v>731</v>
      </c>
      <c r="F3874" s="160">
        <v>138165.34</v>
      </c>
      <c r="G3874" s="160">
        <f>'FACP$'!$F3874*0.16</f>
        <v>22106.4544</v>
      </c>
      <c r="H3874" s="160">
        <f t="shared" si="122"/>
        <v>160271.7944</v>
      </c>
      <c r="I3874" s="160"/>
      <c r="J3874" s="161"/>
      <c r="K3874" s="160"/>
      <c r="L3874" s="160">
        <f>+'FACP$'!$H3874-'FACP$'!$I3874-'FACP$'!$K3874</f>
        <v>160271.7944</v>
      </c>
      <c r="M3874" s="162" t="s">
        <v>158</v>
      </c>
      <c r="N3874" s="162" t="s">
        <v>554</v>
      </c>
      <c r="O3874" s="164">
        <v>45051.0</v>
      </c>
      <c r="P3874" s="164">
        <f t="array" ref="P3874">XLOOKUP('FACP$'!$B3874,'perfil de pagos'!$A$4:$A$46,'perfil de pagos'!$B$4:$B$46+'FACP$'!$D3874)</f>
        <v>45064</v>
      </c>
      <c r="Q3874" s="165">
        <f t="shared" si="2"/>
        <v>0</v>
      </c>
      <c r="R3874" s="167"/>
      <c r="S3874" s="167">
        <v>2142.0</v>
      </c>
      <c r="T3874" s="168">
        <f t="shared" si="3"/>
        <v>160271.7944</v>
      </c>
      <c r="U3874" s="168">
        <f t="shared" si="4"/>
        <v>0</v>
      </c>
      <c r="V3874" s="168">
        <f t="shared" si="5"/>
        <v>0</v>
      </c>
      <c r="W3874" s="168">
        <f t="shared" si="6"/>
        <v>0</v>
      </c>
      <c r="X3874" s="168">
        <f t="shared" si="7"/>
        <v>0</v>
      </c>
      <c r="Y3874" s="168">
        <f t="shared" si="8"/>
        <v>0</v>
      </c>
      <c r="Z3874" s="168">
        <f t="shared" si="9"/>
        <v>0</v>
      </c>
    </row>
    <row r="3875" ht="15.0" customHeight="1">
      <c r="A3875" s="157" t="s">
        <v>4888</v>
      </c>
      <c r="B3875" s="158" t="s">
        <v>27</v>
      </c>
      <c r="C3875" s="158" t="s">
        <v>4885</v>
      </c>
      <c r="D3875" s="159">
        <v>45034.0</v>
      </c>
      <c r="E3875" s="157" t="s">
        <v>731</v>
      </c>
      <c r="F3875" s="160">
        <v>292447.64</v>
      </c>
      <c r="G3875" s="160">
        <f>'FACP$'!$F3875*0.16</f>
        <v>46791.6224</v>
      </c>
      <c r="H3875" s="160">
        <f t="shared" si="122"/>
        <v>339239.2624</v>
      </c>
      <c r="I3875" s="160"/>
      <c r="J3875" s="161"/>
      <c r="K3875" s="160"/>
      <c r="L3875" s="160">
        <f>+'FACP$'!$H3875-'FACP$'!$I3875-'FACP$'!$K3875</f>
        <v>339239.2624</v>
      </c>
      <c r="M3875" s="162" t="s">
        <v>151</v>
      </c>
      <c r="N3875" s="162" t="s">
        <v>554</v>
      </c>
      <c r="O3875" s="164">
        <v>45044.0</v>
      </c>
      <c r="P3875" s="164">
        <f t="array" ref="P3875">XLOOKUP('FACP$'!$B3875,'perfil de pagos'!$A$4:$A$46,'perfil de pagos'!$B$4:$B$46+'FACP$'!$D3875)</f>
        <v>45064</v>
      </c>
      <c r="Q3875" s="165">
        <f t="shared" si="2"/>
        <v>0</v>
      </c>
      <c r="R3875" s="167"/>
      <c r="S3875" s="167">
        <v>2129.0</v>
      </c>
      <c r="T3875" s="168">
        <f t="shared" si="3"/>
        <v>339239.2624</v>
      </c>
      <c r="U3875" s="168">
        <f t="shared" si="4"/>
        <v>0</v>
      </c>
      <c r="V3875" s="168">
        <f t="shared" si="5"/>
        <v>0</v>
      </c>
      <c r="W3875" s="168">
        <f t="shared" si="6"/>
        <v>0</v>
      </c>
      <c r="X3875" s="168">
        <f t="shared" si="7"/>
        <v>0</v>
      </c>
      <c r="Y3875" s="168">
        <f t="shared" si="8"/>
        <v>0</v>
      </c>
      <c r="Z3875" s="168">
        <f t="shared" si="9"/>
        <v>0</v>
      </c>
    </row>
    <row r="3876" ht="15.0" customHeight="1">
      <c r="A3876" s="157" t="s">
        <v>4889</v>
      </c>
      <c r="B3876" s="158" t="s">
        <v>27</v>
      </c>
      <c r="C3876" s="158" t="s">
        <v>4887</v>
      </c>
      <c r="D3876" s="159">
        <v>45034.0</v>
      </c>
      <c r="E3876" s="157" t="s">
        <v>731</v>
      </c>
      <c r="F3876" s="160">
        <v>243762.96</v>
      </c>
      <c r="G3876" s="160">
        <f>'FACP$'!$F3876*0.16</f>
        <v>39002.0736</v>
      </c>
      <c r="H3876" s="160">
        <f t="shared" si="122"/>
        <v>282765.0336</v>
      </c>
      <c r="I3876" s="160"/>
      <c r="J3876" s="161"/>
      <c r="K3876" s="160"/>
      <c r="L3876" s="160">
        <f>+'FACP$'!$H3876-'FACP$'!$I3876-'FACP$'!$K3876</f>
        <v>282765.0336</v>
      </c>
      <c r="M3876" s="162" t="s">
        <v>151</v>
      </c>
      <c r="N3876" s="162" t="s">
        <v>554</v>
      </c>
      <c r="O3876" s="164">
        <v>45051.0</v>
      </c>
      <c r="P3876" s="164">
        <f t="array" ref="P3876">XLOOKUP('FACP$'!$B3876,'perfil de pagos'!$A$4:$A$46,'perfil de pagos'!$B$4:$B$46+'FACP$'!$D3876)</f>
        <v>45064</v>
      </c>
      <c r="Q3876" s="165">
        <f t="shared" si="2"/>
        <v>0</v>
      </c>
      <c r="R3876" s="167"/>
      <c r="S3876" s="167">
        <v>2145.0</v>
      </c>
      <c r="T3876" s="168">
        <f t="shared" si="3"/>
        <v>282765.0336</v>
      </c>
      <c r="U3876" s="168">
        <f t="shared" si="4"/>
        <v>0</v>
      </c>
      <c r="V3876" s="168">
        <f t="shared" si="5"/>
        <v>0</v>
      </c>
      <c r="W3876" s="168">
        <f t="shared" si="6"/>
        <v>0</v>
      </c>
      <c r="X3876" s="168">
        <f t="shared" si="7"/>
        <v>0</v>
      </c>
      <c r="Y3876" s="168">
        <f t="shared" si="8"/>
        <v>0</v>
      </c>
      <c r="Z3876" s="168">
        <f t="shared" si="9"/>
        <v>0</v>
      </c>
    </row>
    <row r="3877" ht="15.0" customHeight="1">
      <c r="A3877" s="157" t="s">
        <v>4890</v>
      </c>
      <c r="B3877" s="158" t="s">
        <v>27</v>
      </c>
      <c r="C3877" s="158" t="s">
        <v>4891</v>
      </c>
      <c r="D3877" s="159">
        <v>45034.0</v>
      </c>
      <c r="E3877" s="157" t="s">
        <v>731</v>
      </c>
      <c r="F3877" s="160">
        <v>10617.07</v>
      </c>
      <c r="G3877" s="160">
        <f>'FACP$'!$F3877*0.16</f>
        <v>1698.7312</v>
      </c>
      <c r="H3877" s="160">
        <f t="shared" si="122"/>
        <v>12315.8012</v>
      </c>
      <c r="I3877" s="160"/>
      <c r="J3877" s="161"/>
      <c r="K3877" s="160"/>
      <c r="L3877" s="160">
        <f>+'FACP$'!$H3877-'FACP$'!$I3877-'FACP$'!$K3877</f>
        <v>12315.8012</v>
      </c>
      <c r="M3877" s="162" t="s">
        <v>151</v>
      </c>
      <c r="N3877" s="162" t="s">
        <v>554</v>
      </c>
      <c r="O3877" s="164">
        <v>45044.0</v>
      </c>
      <c r="P3877" s="164">
        <f t="array" ref="P3877">XLOOKUP('FACP$'!$B3877,'perfil de pagos'!$A$4:$A$46,'perfil de pagos'!$B$4:$B$46+'FACP$'!$D3877)</f>
        <v>45064</v>
      </c>
      <c r="Q3877" s="165">
        <f t="shared" si="2"/>
        <v>0</v>
      </c>
      <c r="R3877" s="167"/>
      <c r="S3877" s="167">
        <v>2129.0</v>
      </c>
      <c r="T3877" s="168">
        <f t="shared" si="3"/>
        <v>12315.8012</v>
      </c>
      <c r="U3877" s="168">
        <f t="shared" si="4"/>
        <v>0</v>
      </c>
      <c r="V3877" s="168">
        <f t="shared" si="5"/>
        <v>0</v>
      </c>
      <c r="W3877" s="168">
        <f t="shared" si="6"/>
        <v>0</v>
      </c>
      <c r="X3877" s="168">
        <f t="shared" si="7"/>
        <v>0</v>
      </c>
      <c r="Y3877" s="168">
        <f t="shared" si="8"/>
        <v>0</v>
      </c>
      <c r="Z3877" s="168">
        <f t="shared" si="9"/>
        <v>0</v>
      </c>
    </row>
    <row r="3878" ht="15.0" customHeight="1">
      <c r="A3878" s="157" t="s">
        <v>4892</v>
      </c>
      <c r="B3878" s="158" t="s">
        <v>27</v>
      </c>
      <c r="C3878" s="158" t="s">
        <v>4893</v>
      </c>
      <c r="D3878" s="159">
        <v>45034.0</v>
      </c>
      <c r="E3878" s="157" t="s">
        <v>731</v>
      </c>
      <c r="F3878" s="160">
        <v>14423.18</v>
      </c>
      <c r="G3878" s="160">
        <f>'FACP$'!$F3878*0.16</f>
        <v>2307.7088</v>
      </c>
      <c r="H3878" s="160">
        <f t="shared" si="122"/>
        <v>16730.8888</v>
      </c>
      <c r="I3878" s="160"/>
      <c r="J3878" s="161"/>
      <c r="K3878" s="160"/>
      <c r="L3878" s="160">
        <f>+'FACP$'!$H3878-'FACP$'!$I3878-'FACP$'!$K3878</f>
        <v>16730.8888</v>
      </c>
      <c r="M3878" s="162" t="s">
        <v>151</v>
      </c>
      <c r="N3878" s="162" t="s">
        <v>554</v>
      </c>
      <c r="O3878" s="164">
        <v>45051.0</v>
      </c>
      <c r="P3878" s="164">
        <f t="array" ref="P3878">XLOOKUP('FACP$'!$B3878,'perfil de pagos'!$A$4:$A$46,'perfil de pagos'!$B$4:$B$46+'FACP$'!$D3878)</f>
        <v>45064</v>
      </c>
      <c r="Q3878" s="165">
        <f t="shared" si="2"/>
        <v>0</v>
      </c>
      <c r="R3878" s="167"/>
      <c r="S3878" s="167">
        <v>2145.0</v>
      </c>
      <c r="T3878" s="168">
        <f t="shared" si="3"/>
        <v>16730.8888</v>
      </c>
      <c r="U3878" s="168">
        <f t="shared" si="4"/>
        <v>0</v>
      </c>
      <c r="V3878" s="168">
        <f t="shared" si="5"/>
        <v>0</v>
      </c>
      <c r="W3878" s="168">
        <f t="shared" si="6"/>
        <v>0</v>
      </c>
      <c r="X3878" s="168">
        <f t="shared" si="7"/>
        <v>0</v>
      </c>
      <c r="Y3878" s="168">
        <f t="shared" si="8"/>
        <v>0</v>
      </c>
      <c r="Z3878" s="168">
        <f t="shared" si="9"/>
        <v>0</v>
      </c>
    </row>
    <row r="3879" ht="15.0" customHeight="1">
      <c r="A3879" s="157" t="s">
        <v>4894</v>
      </c>
      <c r="B3879" s="158" t="s">
        <v>36</v>
      </c>
      <c r="C3879" s="158" t="s">
        <v>4895</v>
      </c>
      <c r="D3879" s="159">
        <v>45035.0</v>
      </c>
      <c r="E3879" s="157" t="s">
        <v>731</v>
      </c>
      <c r="F3879" s="160">
        <v>85937.61</v>
      </c>
      <c r="G3879" s="160">
        <f>'FACP$'!$F3879*0.16</f>
        <v>13750.0176</v>
      </c>
      <c r="H3879" s="160">
        <f t="shared" si="122"/>
        <v>99687.6276</v>
      </c>
      <c r="I3879" s="160"/>
      <c r="J3879" s="161"/>
      <c r="K3879" s="160"/>
      <c r="L3879" s="160">
        <f>+'FACP$'!$H3879-'FACP$'!$I3879-'FACP$'!$K3879</f>
        <v>99687.6276</v>
      </c>
      <c r="M3879" s="162" t="s">
        <v>278</v>
      </c>
      <c r="N3879" s="162" t="s">
        <v>554</v>
      </c>
      <c r="O3879" s="164">
        <v>45044.0</v>
      </c>
      <c r="P3879" s="164">
        <f t="array" ref="P3879">XLOOKUP('FACP$'!$B3879,'perfil de pagos'!$A$4:$A$46,'perfil de pagos'!$B$4:$B$46+'FACP$'!$D3879)</f>
        <v>45045</v>
      </c>
      <c r="Q3879" s="165">
        <f t="shared" si="2"/>
        <v>0</v>
      </c>
      <c r="R3879" s="167"/>
      <c r="S3879" s="167">
        <v>2130.0</v>
      </c>
      <c r="T3879" s="168">
        <f t="shared" si="3"/>
        <v>99687.6276</v>
      </c>
      <c r="U3879" s="168">
        <f t="shared" si="4"/>
        <v>0</v>
      </c>
      <c r="V3879" s="168">
        <f t="shared" si="5"/>
        <v>0</v>
      </c>
      <c r="W3879" s="168">
        <f t="shared" si="6"/>
        <v>0</v>
      </c>
      <c r="X3879" s="168">
        <f t="shared" si="7"/>
        <v>0</v>
      </c>
      <c r="Y3879" s="168">
        <f t="shared" si="8"/>
        <v>0</v>
      </c>
      <c r="Z3879" s="168">
        <f t="shared" si="9"/>
        <v>0</v>
      </c>
    </row>
    <row r="3880" ht="15.0" customHeight="1">
      <c r="A3880" s="157" t="s">
        <v>4896</v>
      </c>
      <c r="B3880" s="158" t="s">
        <v>38</v>
      </c>
      <c r="C3880" s="158" t="s">
        <v>4897</v>
      </c>
      <c r="D3880" s="159">
        <v>45036.0</v>
      </c>
      <c r="E3880" s="157" t="s">
        <v>731</v>
      </c>
      <c r="F3880" s="160">
        <v>73844.17</v>
      </c>
      <c r="G3880" s="160">
        <f>'FACP$'!$F3880*0.16</f>
        <v>11815.0672</v>
      </c>
      <c r="H3880" s="160">
        <f t="shared" si="122"/>
        <v>85659.2372</v>
      </c>
      <c r="I3880" s="160"/>
      <c r="J3880" s="161"/>
      <c r="K3880" s="160"/>
      <c r="L3880" s="160">
        <f>+'FACP$'!$H3880-'FACP$'!$I3880-'FACP$'!$K3880</f>
        <v>85659.2372</v>
      </c>
      <c r="M3880" s="162" t="s">
        <v>4707</v>
      </c>
      <c r="N3880" s="162" t="s">
        <v>554</v>
      </c>
      <c r="O3880" s="164">
        <v>45086.0</v>
      </c>
      <c r="P3880" s="164">
        <f t="array" ref="P3880">XLOOKUP('FACP$'!$B3880,'perfil de pagos'!$A$4:$A$46,'perfil de pagos'!$B$4:$B$46+'FACP$'!$D3880)</f>
        <v>45066</v>
      </c>
      <c r="Q3880" s="165">
        <f t="shared" si="2"/>
        <v>0</v>
      </c>
      <c r="R3880" s="167"/>
      <c r="S3880" s="167">
        <v>2208.0</v>
      </c>
      <c r="T3880" s="168">
        <f t="shared" si="3"/>
        <v>85659.2372</v>
      </c>
      <c r="U3880" s="168">
        <f t="shared" si="4"/>
        <v>0</v>
      </c>
      <c r="V3880" s="168">
        <f t="shared" si="5"/>
        <v>0</v>
      </c>
      <c r="W3880" s="168">
        <f t="shared" si="6"/>
        <v>0</v>
      </c>
      <c r="X3880" s="168">
        <f t="shared" si="7"/>
        <v>0</v>
      </c>
      <c r="Y3880" s="168">
        <f t="shared" si="8"/>
        <v>0</v>
      </c>
      <c r="Z3880" s="168">
        <f t="shared" si="9"/>
        <v>0</v>
      </c>
    </row>
    <row r="3881" ht="15.0" customHeight="1">
      <c r="A3881" s="157" t="s">
        <v>4898</v>
      </c>
      <c r="B3881" s="158" t="s">
        <v>38</v>
      </c>
      <c r="C3881" s="158" t="s">
        <v>4895</v>
      </c>
      <c r="D3881" s="159">
        <v>45036.0</v>
      </c>
      <c r="E3881" s="157" t="s">
        <v>731</v>
      </c>
      <c r="F3881" s="160">
        <v>127986.04</v>
      </c>
      <c r="G3881" s="160">
        <f>'FACP$'!$F3881*0.16</f>
        <v>20477.7664</v>
      </c>
      <c r="H3881" s="160">
        <f t="shared" si="122"/>
        <v>148463.8064</v>
      </c>
      <c r="I3881" s="160"/>
      <c r="J3881" s="161"/>
      <c r="K3881" s="160"/>
      <c r="L3881" s="160">
        <f>+'FACP$'!$H3881-'FACP$'!$I3881-'FACP$'!$K3881</f>
        <v>148463.8064</v>
      </c>
      <c r="M3881" s="162" t="s">
        <v>4707</v>
      </c>
      <c r="N3881" s="162" t="s">
        <v>554</v>
      </c>
      <c r="O3881" s="164">
        <v>45105.0</v>
      </c>
      <c r="P3881" s="164">
        <f t="array" ref="P3881">XLOOKUP('FACP$'!$B3881,'perfil de pagos'!$A$4:$A$46,'perfil de pagos'!$B$4:$B$46+'FACP$'!$D3881)</f>
        <v>45066</v>
      </c>
      <c r="Q3881" s="165">
        <f t="shared" si="2"/>
        <v>0</v>
      </c>
      <c r="R3881" s="167"/>
      <c r="S3881" s="167">
        <v>2240.0</v>
      </c>
      <c r="T3881" s="168">
        <f t="shared" si="3"/>
        <v>148463.8064</v>
      </c>
      <c r="U3881" s="168">
        <f t="shared" si="4"/>
        <v>0</v>
      </c>
      <c r="V3881" s="168">
        <f t="shared" si="5"/>
        <v>0</v>
      </c>
      <c r="W3881" s="168">
        <f t="shared" si="6"/>
        <v>0</v>
      </c>
      <c r="X3881" s="168">
        <f t="shared" si="7"/>
        <v>0</v>
      </c>
      <c r="Y3881" s="168">
        <f t="shared" si="8"/>
        <v>0</v>
      </c>
      <c r="Z3881" s="168">
        <f t="shared" si="9"/>
        <v>0</v>
      </c>
    </row>
    <row r="3882" ht="15.0" customHeight="1">
      <c r="A3882" s="157" t="s">
        <v>4899</v>
      </c>
      <c r="B3882" s="158" t="s">
        <v>38</v>
      </c>
      <c r="C3882" s="158" t="s">
        <v>4877</v>
      </c>
      <c r="D3882" s="159">
        <v>45036.0</v>
      </c>
      <c r="E3882" s="157" t="s">
        <v>731</v>
      </c>
      <c r="F3882" s="160">
        <v>137701.36</v>
      </c>
      <c r="G3882" s="160">
        <f>'FACP$'!$F3882*0.16</f>
        <v>22032.2176</v>
      </c>
      <c r="H3882" s="160">
        <f t="shared" si="122"/>
        <v>159733.5776</v>
      </c>
      <c r="I3882" s="160"/>
      <c r="J3882" s="161"/>
      <c r="K3882" s="160"/>
      <c r="L3882" s="160">
        <f>+'FACP$'!$H3882-'FACP$'!$I3882-'FACP$'!$K3882</f>
        <v>159733.5776</v>
      </c>
      <c r="M3882" s="162" t="s">
        <v>4654</v>
      </c>
      <c r="N3882" s="162" t="s">
        <v>554</v>
      </c>
      <c r="O3882" s="164">
        <v>45086.0</v>
      </c>
      <c r="P3882" s="164">
        <f t="array" ref="P3882">XLOOKUP('FACP$'!$B3882,'perfil de pagos'!$A$4:$A$46,'perfil de pagos'!$B$4:$B$46+'FACP$'!$D3882)</f>
        <v>45066</v>
      </c>
      <c r="Q3882" s="165">
        <f t="shared" si="2"/>
        <v>0</v>
      </c>
      <c r="R3882" s="167"/>
      <c r="S3882" s="167">
        <v>2208.0</v>
      </c>
      <c r="T3882" s="168">
        <f t="shared" si="3"/>
        <v>159733.5776</v>
      </c>
      <c r="U3882" s="168">
        <f t="shared" si="4"/>
        <v>0</v>
      </c>
      <c r="V3882" s="168">
        <f t="shared" si="5"/>
        <v>0</v>
      </c>
      <c r="W3882" s="168">
        <f t="shared" si="6"/>
        <v>0</v>
      </c>
      <c r="X3882" s="168">
        <f t="shared" si="7"/>
        <v>0</v>
      </c>
      <c r="Y3882" s="168">
        <f t="shared" si="8"/>
        <v>0</v>
      </c>
      <c r="Z3882" s="168">
        <f t="shared" si="9"/>
        <v>0</v>
      </c>
    </row>
    <row r="3883" ht="15.0" customHeight="1">
      <c r="A3883" s="157" t="s">
        <v>4900</v>
      </c>
      <c r="B3883" s="158" t="s">
        <v>37</v>
      </c>
      <c r="C3883" s="158" t="s">
        <v>4877</v>
      </c>
      <c r="D3883" s="159">
        <v>45043.0</v>
      </c>
      <c r="E3883" s="157" t="s">
        <v>731</v>
      </c>
      <c r="F3883" s="160">
        <v>1042137.27</v>
      </c>
      <c r="G3883" s="160">
        <f>'FACP$'!$F3883*0.16</f>
        <v>166741.9632</v>
      </c>
      <c r="H3883" s="160">
        <f t="shared" si="122"/>
        <v>1208879.233</v>
      </c>
      <c r="I3883" s="160"/>
      <c r="J3883" s="161"/>
      <c r="K3883" s="160"/>
      <c r="L3883" s="160">
        <f>+'FACP$'!$H3883-'FACP$'!$I3883-'FACP$'!$K3883</f>
        <v>1208879.233</v>
      </c>
      <c r="M3883" s="162" t="s">
        <v>116</v>
      </c>
      <c r="N3883" s="162" t="s">
        <v>554</v>
      </c>
      <c r="O3883" s="164">
        <v>45054.0</v>
      </c>
      <c r="P3883" s="164">
        <f t="array" ref="P3883">XLOOKUP('FACP$'!$B3883,'perfil de pagos'!$A$4:$A$46,'perfil de pagos'!$B$4:$B$46+'FACP$'!$D3883)</f>
        <v>45053</v>
      </c>
      <c r="Q3883" s="165">
        <f t="shared" si="2"/>
        <v>0</v>
      </c>
      <c r="R3883" s="167"/>
      <c r="S3883" s="167">
        <v>2146.0</v>
      </c>
      <c r="T3883" s="168">
        <f t="shared" si="3"/>
        <v>1208879.233</v>
      </c>
      <c r="U3883" s="168">
        <f t="shared" si="4"/>
        <v>0</v>
      </c>
      <c r="V3883" s="168">
        <f t="shared" si="5"/>
        <v>0</v>
      </c>
      <c r="W3883" s="168">
        <f t="shared" si="6"/>
        <v>0</v>
      </c>
      <c r="X3883" s="168">
        <f t="shared" si="7"/>
        <v>0</v>
      </c>
      <c r="Y3883" s="168">
        <f t="shared" si="8"/>
        <v>0</v>
      </c>
      <c r="Z3883" s="168">
        <f t="shared" si="9"/>
        <v>0</v>
      </c>
    </row>
    <row r="3884" ht="15.0" customHeight="1">
      <c r="A3884" s="157" t="s">
        <v>4901</v>
      </c>
      <c r="B3884" s="158" t="s">
        <v>16</v>
      </c>
      <c r="C3884" s="158" t="s">
        <v>4877</v>
      </c>
      <c r="D3884" s="159">
        <v>45044.0</v>
      </c>
      <c r="E3884" s="157" t="s">
        <v>731</v>
      </c>
      <c r="F3884" s="160">
        <v>184586.56</v>
      </c>
      <c r="G3884" s="160">
        <f>'FACP$'!$F3884*0.16</f>
        <v>29533.8496</v>
      </c>
      <c r="H3884" s="160">
        <f t="shared" si="122"/>
        <v>214120.4096</v>
      </c>
      <c r="I3884" s="160"/>
      <c r="J3884" s="161">
        <f>'NCP$'!A232</f>
        <v>309</v>
      </c>
      <c r="K3884" s="160">
        <f>'NCP$'!H232</f>
        <v>248.0892</v>
      </c>
      <c r="L3884" s="160">
        <f>+'FACP$'!$H3884-'FACP$'!$I3884-'FACP$'!$K3884</f>
        <v>213872.3204</v>
      </c>
      <c r="M3884" s="162" t="s">
        <v>985</v>
      </c>
      <c r="N3884" s="162" t="s">
        <v>554</v>
      </c>
      <c r="O3884" s="164">
        <v>45048.0</v>
      </c>
      <c r="P3884" s="164">
        <f t="array" ref="P3884">XLOOKUP('FACP$'!$B3884,'perfil de pagos'!$A$4:$A$46,'perfil de pagos'!$B$4:$B$46+'FACP$'!$D3884)</f>
        <v>45054</v>
      </c>
      <c r="Q3884" s="165">
        <f t="shared" si="2"/>
        <v>0</v>
      </c>
      <c r="R3884" s="167"/>
      <c r="S3884" s="167">
        <v>2178.0</v>
      </c>
      <c r="T3884" s="168">
        <f t="shared" si="3"/>
        <v>213872.3204</v>
      </c>
      <c r="U3884" s="168">
        <f t="shared" si="4"/>
        <v>0</v>
      </c>
      <c r="V3884" s="168">
        <f t="shared" si="5"/>
        <v>0</v>
      </c>
      <c r="W3884" s="168">
        <f t="shared" si="6"/>
        <v>0</v>
      </c>
      <c r="X3884" s="168">
        <f t="shared" si="7"/>
        <v>0</v>
      </c>
      <c r="Y3884" s="168">
        <f t="shared" si="8"/>
        <v>0</v>
      </c>
      <c r="Z3884" s="168">
        <f t="shared" si="9"/>
        <v>0</v>
      </c>
    </row>
    <row r="3885" ht="15.0" customHeight="1">
      <c r="A3885" s="157" t="s">
        <v>4902</v>
      </c>
      <c r="B3885" s="158" t="s">
        <v>16</v>
      </c>
      <c r="C3885" s="158" t="s">
        <v>4895</v>
      </c>
      <c r="D3885" s="159">
        <v>45044.0</v>
      </c>
      <c r="E3885" s="157" t="s">
        <v>731</v>
      </c>
      <c r="F3885" s="160">
        <v>296550.22</v>
      </c>
      <c r="G3885" s="160">
        <f>'FACP$'!$F3885*0.16</f>
        <v>47448.0352</v>
      </c>
      <c r="H3885" s="160">
        <f t="shared" si="122"/>
        <v>343998.2552</v>
      </c>
      <c r="I3885" s="160"/>
      <c r="J3885" s="161">
        <f>'NCP$'!A233</f>
        <v>310</v>
      </c>
      <c r="K3885" s="160">
        <f>'NCP$'!H233</f>
        <v>314.7196</v>
      </c>
      <c r="L3885" s="160">
        <f>+'FACP$'!$H3885-'FACP$'!$I3885-'FACP$'!$K3885</f>
        <v>343683.5356</v>
      </c>
      <c r="M3885" s="162" t="s">
        <v>985</v>
      </c>
      <c r="N3885" s="162" t="s">
        <v>554</v>
      </c>
      <c r="O3885" s="164">
        <v>45048.0</v>
      </c>
      <c r="P3885" s="164">
        <f t="array" ref="P3885">XLOOKUP('FACP$'!$B3885,'perfil de pagos'!$A$4:$A$46,'perfil de pagos'!$B$4:$B$46+'FACP$'!$D3885)</f>
        <v>45054</v>
      </c>
      <c r="Q3885" s="165">
        <f t="shared" si="2"/>
        <v>0</v>
      </c>
      <c r="R3885" s="167"/>
      <c r="S3885" s="167">
        <v>2178.0</v>
      </c>
      <c r="T3885" s="168">
        <f t="shared" si="3"/>
        <v>343683.5356</v>
      </c>
      <c r="U3885" s="168">
        <f t="shared" si="4"/>
        <v>0</v>
      </c>
      <c r="V3885" s="168">
        <f t="shared" si="5"/>
        <v>0</v>
      </c>
      <c r="W3885" s="168">
        <f t="shared" si="6"/>
        <v>0</v>
      </c>
      <c r="X3885" s="168">
        <f t="shared" si="7"/>
        <v>0</v>
      </c>
      <c r="Y3885" s="168">
        <f t="shared" si="8"/>
        <v>0</v>
      </c>
      <c r="Z3885" s="168">
        <f t="shared" si="9"/>
        <v>0</v>
      </c>
    </row>
    <row r="3886" ht="15.0" customHeight="1">
      <c r="A3886" s="157" t="s">
        <v>4903</v>
      </c>
      <c r="B3886" s="158" t="s">
        <v>18</v>
      </c>
      <c r="C3886" s="158" t="s">
        <v>4877</v>
      </c>
      <c r="D3886" s="159">
        <v>45044.0</v>
      </c>
      <c r="E3886" s="157" t="s">
        <v>731</v>
      </c>
      <c r="F3886" s="160">
        <v>55711.29</v>
      </c>
      <c r="G3886" s="160">
        <f>'FACP$'!$F3886*0.16</f>
        <v>8913.8064</v>
      </c>
      <c r="H3886" s="160">
        <f t="shared" si="122"/>
        <v>64625.0964</v>
      </c>
      <c r="I3886" s="160"/>
      <c r="J3886" s="161">
        <f>'NCP$'!A234</f>
        <v>311</v>
      </c>
      <c r="K3886" s="160">
        <f>'NCP$'!H234</f>
        <v>24.07</v>
      </c>
      <c r="L3886" s="160">
        <f>+'FACP$'!$H3886-'FACP$'!$I3886-'FACP$'!$K3886</f>
        <v>64601.0264</v>
      </c>
      <c r="M3886" s="162" t="s">
        <v>586</v>
      </c>
      <c r="N3886" s="162" t="s">
        <v>554</v>
      </c>
      <c r="O3886" s="164">
        <v>45091.0</v>
      </c>
      <c r="P3886" s="164">
        <f t="array" ref="P3886">XLOOKUP('FACP$'!$B3886,'perfil de pagos'!$A$4:$A$46,'perfil de pagos'!$B$4:$B$46+'FACP$'!$D3886)</f>
        <v>45054</v>
      </c>
      <c r="Q3886" s="165">
        <f t="shared" si="2"/>
        <v>0</v>
      </c>
      <c r="R3886" s="167"/>
      <c r="S3886" s="167">
        <v>2224.0</v>
      </c>
      <c r="T3886" s="168">
        <f t="shared" si="3"/>
        <v>64601.0264</v>
      </c>
      <c r="U3886" s="168">
        <f t="shared" si="4"/>
        <v>0</v>
      </c>
      <c r="V3886" s="168">
        <f t="shared" si="5"/>
        <v>0</v>
      </c>
      <c r="W3886" s="168">
        <f t="shared" si="6"/>
        <v>0</v>
      </c>
      <c r="X3886" s="168">
        <f t="shared" si="7"/>
        <v>0</v>
      </c>
      <c r="Y3886" s="168">
        <f t="shared" si="8"/>
        <v>0</v>
      </c>
      <c r="Z3886" s="168">
        <f t="shared" si="9"/>
        <v>0</v>
      </c>
    </row>
    <row r="3887" ht="15.0" customHeight="1">
      <c r="A3887" s="157" t="s">
        <v>4904</v>
      </c>
      <c r="B3887" s="158" t="s">
        <v>19</v>
      </c>
      <c r="C3887" s="158" t="s">
        <v>4877</v>
      </c>
      <c r="D3887" s="159">
        <v>45044.0</v>
      </c>
      <c r="E3887" s="157" t="s">
        <v>731</v>
      </c>
      <c r="F3887" s="160">
        <v>103563.03</v>
      </c>
      <c r="G3887" s="160">
        <f>'FACP$'!$F3887*0.16</f>
        <v>16570.0848</v>
      </c>
      <c r="H3887" s="160">
        <f t="shared" si="122"/>
        <v>120133.1148</v>
      </c>
      <c r="I3887" s="160"/>
      <c r="J3887" s="161">
        <f>'NCP$'!A235</f>
        <v>313</v>
      </c>
      <c r="K3887" s="160">
        <f>'NCP$'!H235</f>
        <v>107.2188</v>
      </c>
      <c r="L3887" s="160">
        <f>+'FACP$'!$H3887-'FACP$'!$I3887-'FACP$'!$K3887</f>
        <v>120025.896</v>
      </c>
      <c r="M3887" s="162" t="s">
        <v>732</v>
      </c>
      <c r="N3887" s="162" t="s">
        <v>554</v>
      </c>
      <c r="O3887" s="164">
        <v>45091.0</v>
      </c>
      <c r="P3887" s="164">
        <f t="array" ref="P3887">XLOOKUP('FACP$'!$B3887,'perfil de pagos'!$A$4:$A$46,'perfil de pagos'!$B$4:$B$46+'FACP$'!$D3887)</f>
        <v>45054</v>
      </c>
      <c r="Q3887" s="165">
        <f t="shared" si="2"/>
        <v>0</v>
      </c>
      <c r="R3887" s="167"/>
      <c r="S3887" s="167">
        <v>2224.0</v>
      </c>
      <c r="T3887" s="168">
        <f t="shared" si="3"/>
        <v>120025.896</v>
      </c>
      <c r="U3887" s="168">
        <f t="shared" si="4"/>
        <v>0</v>
      </c>
      <c r="V3887" s="168">
        <f t="shared" si="5"/>
        <v>0</v>
      </c>
      <c r="W3887" s="168">
        <f t="shared" si="6"/>
        <v>0</v>
      </c>
      <c r="X3887" s="168">
        <f t="shared" si="7"/>
        <v>0</v>
      </c>
      <c r="Y3887" s="168">
        <f t="shared" si="8"/>
        <v>0</v>
      </c>
      <c r="Z3887" s="168">
        <f t="shared" si="9"/>
        <v>0</v>
      </c>
    </row>
    <row r="3888" ht="15.0" customHeight="1">
      <c r="A3888" s="157" t="s">
        <v>4905</v>
      </c>
      <c r="B3888" s="158" t="s">
        <v>22</v>
      </c>
      <c r="C3888" s="158" t="s">
        <v>4877</v>
      </c>
      <c r="D3888" s="159">
        <v>45044.0</v>
      </c>
      <c r="E3888" s="157" t="s">
        <v>731</v>
      </c>
      <c r="F3888" s="160">
        <v>101717.67</v>
      </c>
      <c r="G3888" s="160">
        <f>'FACP$'!$F3888*0.16</f>
        <v>16274.8272</v>
      </c>
      <c r="H3888" s="160">
        <f t="shared" si="122"/>
        <v>117992.4972</v>
      </c>
      <c r="I3888" s="160"/>
      <c r="J3888" s="161">
        <f>'NCP$'!A236</f>
        <v>315</v>
      </c>
      <c r="K3888" s="160">
        <f>'NCP$'!H236</f>
        <v>195.8776</v>
      </c>
      <c r="L3888" s="160">
        <f>+'FACP$'!$H3888-'FACP$'!$I3888-'FACP$'!$K3888</f>
        <v>117796.6196</v>
      </c>
      <c r="M3888" s="162" t="s">
        <v>220</v>
      </c>
      <c r="N3888" s="162" t="s">
        <v>554</v>
      </c>
      <c r="O3888" s="164">
        <v>45063.0</v>
      </c>
      <c r="P3888" s="164">
        <f t="array" ref="P3888">XLOOKUP('FACP$'!$B3888,'perfil de pagos'!$A$4:$A$46,'perfil de pagos'!$B$4:$B$46+'FACP$'!$D3888)</f>
        <v>45054</v>
      </c>
      <c r="Q3888" s="165">
        <f t="shared" si="2"/>
        <v>0</v>
      </c>
      <c r="R3888" s="167"/>
      <c r="S3888" s="167">
        <v>2165.0</v>
      </c>
      <c r="T3888" s="168">
        <f t="shared" si="3"/>
        <v>117796.6196</v>
      </c>
      <c r="U3888" s="168">
        <f t="shared" si="4"/>
        <v>0</v>
      </c>
      <c r="V3888" s="168">
        <f t="shared" si="5"/>
        <v>0</v>
      </c>
      <c r="W3888" s="168">
        <f t="shared" si="6"/>
        <v>0</v>
      </c>
      <c r="X3888" s="168">
        <f t="shared" si="7"/>
        <v>0</v>
      </c>
      <c r="Y3888" s="168">
        <f t="shared" si="8"/>
        <v>0</v>
      </c>
      <c r="Z3888" s="168">
        <f t="shared" si="9"/>
        <v>0</v>
      </c>
    </row>
    <row r="3889" ht="15.0" customHeight="1">
      <c r="A3889" s="157" t="s">
        <v>4906</v>
      </c>
      <c r="B3889" s="158" t="s">
        <v>25</v>
      </c>
      <c r="C3889" s="158" t="s">
        <v>4877</v>
      </c>
      <c r="D3889" s="159">
        <v>45044.0</v>
      </c>
      <c r="E3889" s="157" t="s">
        <v>731</v>
      </c>
      <c r="F3889" s="160">
        <v>38381.68</v>
      </c>
      <c r="G3889" s="160">
        <f>'FACP$'!$F3889*0.16</f>
        <v>6141.0688</v>
      </c>
      <c r="H3889" s="160">
        <f t="shared" si="122"/>
        <v>44522.7488</v>
      </c>
      <c r="I3889" s="160"/>
      <c r="J3889" s="161"/>
      <c r="K3889" s="160"/>
      <c r="L3889" s="160">
        <f>+'FACP$'!$H3889-'FACP$'!$I3889-'FACP$'!$K3889</f>
        <v>44522.7488</v>
      </c>
      <c r="M3889" s="162" t="s">
        <v>4388</v>
      </c>
      <c r="N3889" s="162" t="s">
        <v>554</v>
      </c>
      <c r="O3889" s="164">
        <v>45160.0</v>
      </c>
      <c r="P3889" s="164">
        <f t="array" ref="P3889">XLOOKUP('FACP$'!$B3889,'perfil de pagos'!$A$4:$A$46,'perfil de pagos'!$B$4:$B$46+'FACP$'!$D3889)</f>
        <v>45054</v>
      </c>
      <c r="Q3889" s="165">
        <f t="shared" si="2"/>
        <v>0</v>
      </c>
      <c r="R3889" s="167"/>
      <c r="S3889" s="167"/>
      <c r="T3889" s="168">
        <f t="shared" si="3"/>
        <v>44522.7488</v>
      </c>
      <c r="U3889" s="168">
        <f t="shared" si="4"/>
        <v>0</v>
      </c>
      <c r="V3889" s="168">
        <f t="shared" si="5"/>
        <v>0</v>
      </c>
      <c r="W3889" s="168">
        <f t="shared" si="6"/>
        <v>0</v>
      </c>
      <c r="X3889" s="168">
        <f t="shared" si="7"/>
        <v>0</v>
      </c>
      <c r="Y3889" s="168">
        <f t="shared" si="8"/>
        <v>0</v>
      </c>
      <c r="Z3889" s="168">
        <f t="shared" si="9"/>
        <v>0</v>
      </c>
    </row>
    <row r="3890" ht="15.0" customHeight="1">
      <c r="A3890" s="157" t="s">
        <v>4907</v>
      </c>
      <c r="B3890" s="158" t="s">
        <v>29</v>
      </c>
      <c r="C3890" s="158" t="s">
        <v>4877</v>
      </c>
      <c r="D3890" s="159">
        <v>45044.0</v>
      </c>
      <c r="E3890" s="157" t="s">
        <v>731</v>
      </c>
      <c r="F3890" s="160">
        <v>229337.2</v>
      </c>
      <c r="G3890" s="160">
        <f>'FACP$'!$F3890*0.16</f>
        <v>36693.952</v>
      </c>
      <c r="H3890" s="160">
        <f t="shared" si="122"/>
        <v>266031.152</v>
      </c>
      <c r="I3890" s="160"/>
      <c r="J3890" s="161">
        <f>'NCP$'!A237</f>
        <v>317</v>
      </c>
      <c r="K3890" s="160">
        <f>'NCP$'!H237</f>
        <v>420.6276</v>
      </c>
      <c r="L3890" s="160">
        <f>+'FACP$'!$H3890-'FACP$'!$I3890-'FACP$'!$K3890</f>
        <v>265610.5244</v>
      </c>
      <c r="M3890" s="162" t="s">
        <v>130</v>
      </c>
      <c r="N3890" s="162" t="s">
        <v>554</v>
      </c>
      <c r="O3890" s="164">
        <v>45054.0</v>
      </c>
      <c r="P3890" s="164">
        <f t="array" ref="P3890">XLOOKUP('FACP$'!$B3890,'perfil de pagos'!$A$4:$A$46,'perfil de pagos'!$B$4:$B$46+'FACP$'!$D3890)</f>
        <v>45054</v>
      </c>
      <c r="Q3890" s="165">
        <f t="shared" si="2"/>
        <v>0</v>
      </c>
      <c r="R3890" s="167"/>
      <c r="S3890" s="167">
        <v>2150.0</v>
      </c>
      <c r="T3890" s="168">
        <f t="shared" si="3"/>
        <v>265610.5244</v>
      </c>
      <c r="U3890" s="168">
        <f t="shared" si="4"/>
        <v>0</v>
      </c>
      <c r="V3890" s="168">
        <f t="shared" si="5"/>
        <v>0</v>
      </c>
      <c r="W3890" s="168">
        <f t="shared" si="6"/>
        <v>0</v>
      </c>
      <c r="X3890" s="168">
        <f t="shared" si="7"/>
        <v>0</v>
      </c>
      <c r="Y3890" s="168">
        <f t="shared" si="8"/>
        <v>0</v>
      </c>
      <c r="Z3890" s="168">
        <f t="shared" si="9"/>
        <v>0</v>
      </c>
    </row>
    <row r="3891" ht="15.0" customHeight="1">
      <c r="A3891" s="157" t="s">
        <v>4908</v>
      </c>
      <c r="B3891" s="158" t="s">
        <v>29</v>
      </c>
      <c r="C3891" s="158" t="s">
        <v>4895</v>
      </c>
      <c r="D3891" s="159">
        <v>45044.0</v>
      </c>
      <c r="E3891" s="157" t="s">
        <v>731</v>
      </c>
      <c r="F3891" s="160">
        <v>402550.71</v>
      </c>
      <c r="G3891" s="160">
        <f>'FACP$'!$F3891*0.16</f>
        <v>64408.1136</v>
      </c>
      <c r="H3891" s="160">
        <f t="shared" si="122"/>
        <v>466958.8236</v>
      </c>
      <c r="I3891" s="160"/>
      <c r="J3891" s="161">
        <f>'NCP$'!A238</f>
        <v>318</v>
      </c>
      <c r="K3891" s="160">
        <f>'NCP$'!H238</f>
        <v>694.376</v>
      </c>
      <c r="L3891" s="160">
        <f>+'FACP$'!$H3891-'FACP$'!$I3891-'FACP$'!$K3891</f>
        <v>466264.4476</v>
      </c>
      <c r="M3891" s="162" t="s">
        <v>130</v>
      </c>
      <c r="N3891" s="162" t="s">
        <v>554</v>
      </c>
      <c r="O3891" s="164">
        <v>45069.0</v>
      </c>
      <c r="P3891" s="164">
        <f t="array" ref="P3891">XLOOKUP('FACP$'!$B3891,'perfil de pagos'!$A$4:$A$46,'perfil de pagos'!$B$4:$B$46+'FACP$'!$D3891)</f>
        <v>45054</v>
      </c>
      <c r="Q3891" s="165">
        <f t="shared" si="2"/>
        <v>0</v>
      </c>
      <c r="R3891" s="167" t="s">
        <v>4909</v>
      </c>
      <c r="S3891" s="167"/>
      <c r="T3891" s="168">
        <f t="shared" si="3"/>
        <v>466264.4476</v>
      </c>
      <c r="U3891" s="168">
        <f t="shared" si="4"/>
        <v>0</v>
      </c>
      <c r="V3891" s="168">
        <f t="shared" si="5"/>
        <v>0</v>
      </c>
      <c r="W3891" s="168">
        <f t="shared" si="6"/>
        <v>0</v>
      </c>
      <c r="X3891" s="168">
        <f t="shared" si="7"/>
        <v>0</v>
      </c>
      <c r="Y3891" s="168">
        <f t="shared" si="8"/>
        <v>0</v>
      </c>
      <c r="Z3891" s="168">
        <f t="shared" si="9"/>
        <v>0</v>
      </c>
    </row>
    <row r="3892" ht="15.0" customHeight="1">
      <c r="A3892" s="157" t="s">
        <v>4910</v>
      </c>
      <c r="B3892" s="158" t="s">
        <v>38</v>
      </c>
      <c r="C3892" s="158" t="s">
        <v>4877</v>
      </c>
      <c r="D3892" s="159">
        <v>45044.0</v>
      </c>
      <c r="E3892" s="157" t="s">
        <v>731</v>
      </c>
      <c r="F3892" s="160">
        <v>76264.7</v>
      </c>
      <c r="G3892" s="160">
        <f>'FACP$'!$F3892*0.16</f>
        <v>12202.352</v>
      </c>
      <c r="H3892" s="160">
        <f t="shared" si="122"/>
        <v>88467.052</v>
      </c>
      <c r="I3892" s="160"/>
      <c r="J3892" s="161">
        <f>'NCP$'!A240</f>
        <v>321</v>
      </c>
      <c r="K3892" s="160">
        <f>'NCP$'!H240</f>
        <v>74.6344</v>
      </c>
      <c r="L3892" s="160">
        <f>+'FACP$'!$H3892-'FACP$'!$I3892-'FACP$'!$K3892</f>
        <v>88392.4176</v>
      </c>
      <c r="M3892" s="162" t="s">
        <v>642</v>
      </c>
      <c r="N3892" s="162" t="s">
        <v>554</v>
      </c>
      <c r="O3892" s="164">
        <v>45105.0</v>
      </c>
      <c r="P3892" s="164">
        <f t="array" ref="P3892">XLOOKUP('FACP$'!$B3892,'perfil de pagos'!$A$4:$A$46,'perfil de pagos'!$B$4:$B$46+'FACP$'!$D3892)</f>
        <v>45074</v>
      </c>
      <c r="Q3892" s="165">
        <f t="shared" si="2"/>
        <v>0</v>
      </c>
      <c r="R3892" s="167"/>
      <c r="S3892" s="167">
        <v>2240.0</v>
      </c>
      <c r="T3892" s="168">
        <f t="shared" si="3"/>
        <v>88392.4176</v>
      </c>
      <c r="U3892" s="168">
        <f t="shared" si="4"/>
        <v>0</v>
      </c>
      <c r="V3892" s="168">
        <f t="shared" si="5"/>
        <v>0</v>
      </c>
      <c r="W3892" s="168">
        <f t="shared" si="6"/>
        <v>0</v>
      </c>
      <c r="X3892" s="168">
        <f t="shared" si="7"/>
        <v>0</v>
      </c>
      <c r="Y3892" s="168">
        <f t="shared" si="8"/>
        <v>0</v>
      </c>
      <c r="Z3892" s="168">
        <f t="shared" si="9"/>
        <v>0</v>
      </c>
    </row>
    <row r="3893" ht="15.0" customHeight="1">
      <c r="A3893" s="157" t="s">
        <v>4911</v>
      </c>
      <c r="B3893" s="158" t="s">
        <v>38</v>
      </c>
      <c r="C3893" s="158" t="s">
        <v>4877</v>
      </c>
      <c r="D3893" s="159">
        <v>45044.0</v>
      </c>
      <c r="E3893" s="157" t="s">
        <v>731</v>
      </c>
      <c r="F3893" s="160">
        <v>470972.27</v>
      </c>
      <c r="G3893" s="160">
        <f>'FACP$'!$F3893*0.16</f>
        <v>75355.5632</v>
      </c>
      <c r="H3893" s="160">
        <f t="shared" si="122"/>
        <v>546327.8332</v>
      </c>
      <c r="I3893" s="160"/>
      <c r="J3893" s="161">
        <f>'NCP$'!A239</f>
        <v>319</v>
      </c>
      <c r="K3893" s="160">
        <f>'NCP$'!H239</f>
        <v>1551.5464</v>
      </c>
      <c r="L3893" s="160">
        <f>+'FACP$'!$H3893-'FACP$'!$I3893-'FACP$'!$K3893</f>
        <v>544776.2868</v>
      </c>
      <c r="M3893" s="162" t="s">
        <v>145</v>
      </c>
      <c r="N3893" s="162" t="s">
        <v>554</v>
      </c>
      <c r="O3893" s="164">
        <v>45105.0</v>
      </c>
      <c r="P3893" s="164">
        <f t="array" ref="P3893">XLOOKUP('FACP$'!$B3893,'perfil de pagos'!$A$4:$A$46,'perfil de pagos'!$B$4:$B$46+'FACP$'!$D3893)</f>
        <v>45074</v>
      </c>
      <c r="Q3893" s="165">
        <f t="shared" si="2"/>
        <v>0</v>
      </c>
      <c r="R3893" s="167"/>
      <c r="S3893" s="167">
        <v>2240.0</v>
      </c>
      <c r="T3893" s="168">
        <f t="shared" si="3"/>
        <v>544776.2868</v>
      </c>
      <c r="U3893" s="168">
        <f t="shared" si="4"/>
        <v>0</v>
      </c>
      <c r="V3893" s="168">
        <f t="shared" si="5"/>
        <v>0</v>
      </c>
      <c r="W3893" s="168">
        <f t="shared" si="6"/>
        <v>0</v>
      </c>
      <c r="X3893" s="168">
        <f t="shared" si="7"/>
        <v>0</v>
      </c>
      <c r="Y3893" s="168">
        <f t="shared" si="8"/>
        <v>0</v>
      </c>
      <c r="Z3893" s="168">
        <f t="shared" si="9"/>
        <v>0</v>
      </c>
    </row>
    <row r="3894" ht="15.0" customHeight="1">
      <c r="A3894" s="157" t="s">
        <v>4912</v>
      </c>
      <c r="B3894" s="158" t="s">
        <v>27</v>
      </c>
      <c r="C3894" s="158" t="s">
        <v>4913</v>
      </c>
      <c r="D3894" s="159">
        <v>45044.0</v>
      </c>
      <c r="E3894" s="157" t="s">
        <v>731</v>
      </c>
      <c r="F3894" s="160">
        <v>148468.96</v>
      </c>
      <c r="G3894" s="160">
        <f>'FACP$'!$F3894*0.16</f>
        <v>23755.0336</v>
      </c>
      <c r="H3894" s="160">
        <f t="shared" si="122"/>
        <v>172223.9936</v>
      </c>
      <c r="I3894" s="160"/>
      <c r="J3894" s="161">
        <f>'NCP$'!A242</f>
        <v>325</v>
      </c>
      <c r="K3894" s="160">
        <f>'NCP$'!H242</f>
        <v>655.5044</v>
      </c>
      <c r="L3894" s="160">
        <f>+'FACP$'!$H3894-'FACP$'!$I3894-'FACP$'!$K3894</f>
        <v>171568.4892</v>
      </c>
      <c r="M3894" s="162" t="s">
        <v>158</v>
      </c>
      <c r="N3894" s="162" t="s">
        <v>554</v>
      </c>
      <c r="O3894" s="164">
        <v>45068.0</v>
      </c>
      <c r="P3894" s="164">
        <f t="array" ref="P3894">XLOOKUP('FACP$'!$B3894,'perfil de pagos'!$A$4:$A$46,'perfil de pagos'!$B$4:$B$46+'FACP$'!$D3894)</f>
        <v>45074</v>
      </c>
      <c r="Q3894" s="165">
        <f t="shared" si="2"/>
        <v>0</v>
      </c>
      <c r="R3894" s="167"/>
      <c r="S3894" s="167">
        <v>2174.0</v>
      </c>
      <c r="T3894" s="168">
        <f t="shared" si="3"/>
        <v>171568.4892</v>
      </c>
      <c r="U3894" s="168">
        <f t="shared" si="4"/>
        <v>0</v>
      </c>
      <c r="V3894" s="168">
        <f t="shared" si="5"/>
        <v>0</v>
      </c>
      <c r="W3894" s="168">
        <f t="shared" si="6"/>
        <v>0</v>
      </c>
      <c r="X3894" s="168">
        <f t="shared" si="7"/>
        <v>0</v>
      </c>
      <c r="Y3894" s="168">
        <f t="shared" si="8"/>
        <v>0</v>
      </c>
      <c r="Z3894" s="168">
        <f t="shared" si="9"/>
        <v>0</v>
      </c>
    </row>
    <row r="3895" ht="15.0" customHeight="1">
      <c r="A3895" s="157" t="s">
        <v>4914</v>
      </c>
      <c r="B3895" s="158" t="s">
        <v>27</v>
      </c>
      <c r="C3895" s="158" t="s">
        <v>4915</v>
      </c>
      <c r="D3895" s="159">
        <v>45044.0</v>
      </c>
      <c r="E3895" s="157" t="s">
        <v>731</v>
      </c>
      <c r="F3895" s="160">
        <v>138029.86</v>
      </c>
      <c r="G3895" s="160">
        <f>'FACP$'!$F3895*0.16</f>
        <v>22084.7776</v>
      </c>
      <c r="H3895" s="160">
        <f t="shared" si="122"/>
        <v>160114.6376</v>
      </c>
      <c r="I3895" s="160"/>
      <c r="J3895" s="161"/>
      <c r="K3895" s="160"/>
      <c r="L3895" s="160">
        <f>+'FACP$'!$H3895-'FACP$'!$I3895-'FACP$'!$K3895</f>
        <v>160114.6376</v>
      </c>
      <c r="M3895" s="162" t="s">
        <v>158</v>
      </c>
      <c r="N3895" s="162" t="s">
        <v>554</v>
      </c>
      <c r="O3895" s="164">
        <v>45069.0</v>
      </c>
      <c r="P3895" s="164">
        <f t="array" ref="P3895">XLOOKUP('FACP$'!$B3895,'perfil de pagos'!$A$4:$A$46,'perfil de pagos'!$B$4:$B$46+'FACP$'!$D3895)</f>
        <v>45074</v>
      </c>
      <c r="Q3895" s="165">
        <f t="shared" si="2"/>
        <v>0</v>
      </c>
      <c r="R3895" s="167"/>
      <c r="S3895" s="167">
        <v>2175.0</v>
      </c>
      <c r="T3895" s="168">
        <f t="shared" si="3"/>
        <v>160114.6376</v>
      </c>
      <c r="U3895" s="168">
        <f t="shared" si="4"/>
        <v>0</v>
      </c>
      <c r="V3895" s="168">
        <f t="shared" si="5"/>
        <v>0</v>
      </c>
      <c r="W3895" s="168">
        <f t="shared" si="6"/>
        <v>0</v>
      </c>
      <c r="X3895" s="168">
        <f t="shared" si="7"/>
        <v>0</v>
      </c>
      <c r="Y3895" s="168">
        <f t="shared" si="8"/>
        <v>0</v>
      </c>
      <c r="Z3895" s="168">
        <f t="shared" si="9"/>
        <v>0</v>
      </c>
    </row>
    <row r="3896" ht="15.0" customHeight="1">
      <c r="A3896" s="157" t="s">
        <v>4916</v>
      </c>
      <c r="B3896" s="158" t="s">
        <v>27</v>
      </c>
      <c r="C3896" s="158" t="s">
        <v>4913</v>
      </c>
      <c r="D3896" s="159">
        <v>45044.0</v>
      </c>
      <c r="E3896" s="157" t="s">
        <v>731</v>
      </c>
      <c r="F3896" s="160">
        <v>361076.0</v>
      </c>
      <c r="G3896" s="160">
        <f>'FACP$'!$F3896*0.16</f>
        <v>57772.16</v>
      </c>
      <c r="H3896" s="160">
        <f t="shared" si="122"/>
        <v>418848.16</v>
      </c>
      <c r="I3896" s="160"/>
      <c r="J3896" s="161"/>
      <c r="K3896" s="160"/>
      <c r="L3896" s="160">
        <f>+'FACP$'!$H3896-'FACP$'!$I3896-'FACP$'!$K3896</f>
        <v>418848.16</v>
      </c>
      <c r="M3896" s="162" t="s">
        <v>151</v>
      </c>
      <c r="N3896" s="162" t="s">
        <v>554</v>
      </c>
      <c r="O3896" s="164">
        <v>45068.0</v>
      </c>
      <c r="P3896" s="164">
        <f t="array" ref="P3896">XLOOKUP('FACP$'!$B3896,'perfil de pagos'!$A$4:$A$46,'perfil de pagos'!$B$4:$B$46+'FACP$'!$D3896)</f>
        <v>45074</v>
      </c>
      <c r="Q3896" s="165">
        <f t="shared" si="2"/>
        <v>0</v>
      </c>
      <c r="R3896" s="167"/>
      <c r="S3896" s="167">
        <v>2173.0</v>
      </c>
      <c r="T3896" s="168">
        <f t="shared" si="3"/>
        <v>418848.16</v>
      </c>
      <c r="U3896" s="168">
        <f t="shared" si="4"/>
        <v>0</v>
      </c>
      <c r="V3896" s="168">
        <f t="shared" si="5"/>
        <v>0</v>
      </c>
      <c r="W3896" s="168">
        <f t="shared" si="6"/>
        <v>0</v>
      </c>
      <c r="X3896" s="168">
        <f t="shared" si="7"/>
        <v>0</v>
      </c>
      <c r="Y3896" s="168">
        <f t="shared" si="8"/>
        <v>0</v>
      </c>
      <c r="Z3896" s="168">
        <f t="shared" si="9"/>
        <v>0</v>
      </c>
    </row>
    <row r="3897" ht="15.0" customHeight="1">
      <c r="A3897" s="157" t="s">
        <v>4917</v>
      </c>
      <c r="B3897" s="158" t="s">
        <v>27</v>
      </c>
      <c r="C3897" s="158" t="s">
        <v>4915</v>
      </c>
      <c r="D3897" s="159">
        <v>45044.0</v>
      </c>
      <c r="E3897" s="157" t="s">
        <v>731</v>
      </c>
      <c r="F3897" s="160">
        <v>311552.11</v>
      </c>
      <c r="G3897" s="160">
        <f>'FACP$'!$F3897*0.16</f>
        <v>49848.3376</v>
      </c>
      <c r="H3897" s="160">
        <f t="shared" si="122"/>
        <v>361400.4476</v>
      </c>
      <c r="I3897" s="160"/>
      <c r="J3897" s="161">
        <f>+'NCP$'!A229</f>
        <v>306</v>
      </c>
      <c r="K3897" s="160">
        <f>+'NCP$'!H229</f>
        <v>5058.3772</v>
      </c>
      <c r="L3897" s="160">
        <f>+'FACP$'!$H3897-'FACP$'!$I3897-'FACP$'!$K3897</f>
        <v>356342.0704</v>
      </c>
      <c r="M3897" s="162" t="s">
        <v>151</v>
      </c>
      <c r="N3897" s="162" t="s">
        <v>554</v>
      </c>
      <c r="O3897" s="164">
        <v>45070.0</v>
      </c>
      <c r="P3897" s="164">
        <f t="array" ref="P3897">XLOOKUP('FACP$'!$B3897,'perfil de pagos'!$A$4:$A$46,'perfil de pagos'!$B$4:$B$46+'FACP$'!$D3897)</f>
        <v>45074</v>
      </c>
      <c r="Q3897" s="165">
        <f t="shared" si="2"/>
        <v>0</v>
      </c>
      <c r="R3897" s="167"/>
      <c r="S3897" s="167"/>
      <c r="T3897" s="168">
        <f t="shared" si="3"/>
        <v>356342.0704</v>
      </c>
      <c r="U3897" s="168">
        <f t="shared" si="4"/>
        <v>0</v>
      </c>
      <c r="V3897" s="168">
        <f t="shared" si="5"/>
        <v>0</v>
      </c>
      <c r="W3897" s="168">
        <f t="shared" si="6"/>
        <v>0</v>
      </c>
      <c r="X3897" s="168">
        <f t="shared" si="7"/>
        <v>0</v>
      </c>
      <c r="Y3897" s="168">
        <f t="shared" si="8"/>
        <v>0</v>
      </c>
      <c r="Z3897" s="168">
        <f t="shared" si="9"/>
        <v>0</v>
      </c>
    </row>
    <row r="3898" ht="15.0" customHeight="1">
      <c r="A3898" s="157" t="s">
        <v>4918</v>
      </c>
      <c r="B3898" s="158" t="s">
        <v>27</v>
      </c>
      <c r="C3898" s="158" t="s">
        <v>4919</v>
      </c>
      <c r="D3898" s="159">
        <v>45044.0</v>
      </c>
      <c r="E3898" s="157" t="s">
        <v>731</v>
      </c>
      <c r="F3898" s="160">
        <v>12143.47</v>
      </c>
      <c r="G3898" s="160">
        <f>'FACP$'!$F3898*0.16</f>
        <v>1942.9552</v>
      </c>
      <c r="H3898" s="160">
        <f t="shared" si="122"/>
        <v>14086.4252</v>
      </c>
      <c r="I3898" s="160"/>
      <c r="J3898" s="161">
        <f>+'NCP$'!A230</f>
        <v>307</v>
      </c>
      <c r="K3898" s="160">
        <f>+'NCP$'!H230</f>
        <v>238.4844</v>
      </c>
      <c r="L3898" s="160">
        <f>+'FACP$'!$H3898-'FACP$'!$I3898-'FACP$'!$K3898</f>
        <v>13847.9408</v>
      </c>
      <c r="M3898" s="162" t="s">
        <v>151</v>
      </c>
      <c r="N3898" s="162" t="s">
        <v>554</v>
      </c>
      <c r="O3898" s="164">
        <v>45068.0</v>
      </c>
      <c r="P3898" s="164">
        <f t="array" ref="P3898">XLOOKUP('FACP$'!$B3898,'perfil de pagos'!$A$4:$A$46,'perfil de pagos'!$B$4:$B$46+'FACP$'!$D3898)</f>
        <v>45074</v>
      </c>
      <c r="Q3898" s="165">
        <f t="shared" si="2"/>
        <v>0</v>
      </c>
      <c r="R3898" s="167"/>
      <c r="S3898" s="167">
        <v>2173.0</v>
      </c>
      <c r="T3898" s="168">
        <f t="shared" si="3"/>
        <v>13847.9408</v>
      </c>
      <c r="U3898" s="168">
        <f t="shared" si="4"/>
        <v>0</v>
      </c>
      <c r="V3898" s="168">
        <f t="shared" si="5"/>
        <v>0</v>
      </c>
      <c r="W3898" s="168">
        <f t="shared" si="6"/>
        <v>0</v>
      </c>
      <c r="X3898" s="168">
        <f t="shared" si="7"/>
        <v>0</v>
      </c>
      <c r="Y3898" s="168">
        <f t="shared" si="8"/>
        <v>0</v>
      </c>
      <c r="Z3898" s="168">
        <f t="shared" si="9"/>
        <v>0</v>
      </c>
    </row>
    <row r="3899" ht="15.0" customHeight="1">
      <c r="A3899" s="157" t="s">
        <v>4920</v>
      </c>
      <c r="B3899" s="158" t="s">
        <v>27</v>
      </c>
      <c r="C3899" s="158" t="s">
        <v>4921</v>
      </c>
      <c r="D3899" s="159">
        <v>45044.0</v>
      </c>
      <c r="E3899" s="157" t="s">
        <v>731</v>
      </c>
      <c r="F3899" s="160">
        <v>16420.41</v>
      </c>
      <c r="G3899" s="160">
        <f>'FACP$'!$F3899*0.16</f>
        <v>2627.2656</v>
      </c>
      <c r="H3899" s="160">
        <f t="shared" si="122"/>
        <v>19047.6756</v>
      </c>
      <c r="I3899" s="160"/>
      <c r="J3899" s="161">
        <f>+'NCP$'!A231</f>
        <v>308</v>
      </c>
      <c r="K3899" s="160">
        <f>+'NCP$'!H231</f>
        <v>322.48</v>
      </c>
      <c r="L3899" s="160">
        <f>+'FACP$'!$H3899-'FACP$'!$I3899-'FACP$'!$K3899</f>
        <v>18725.1956</v>
      </c>
      <c r="M3899" s="162" t="s">
        <v>151</v>
      </c>
      <c r="N3899" s="162" t="s">
        <v>554</v>
      </c>
      <c r="O3899" s="164">
        <v>45070.0</v>
      </c>
      <c r="P3899" s="164">
        <f t="array" ref="P3899">XLOOKUP('FACP$'!$B3899,'perfil de pagos'!$A$4:$A$46,'perfil de pagos'!$B$4:$B$46+'FACP$'!$D3899)</f>
        <v>45074</v>
      </c>
      <c r="Q3899" s="165">
        <f t="shared" si="2"/>
        <v>0</v>
      </c>
      <c r="R3899" s="167"/>
      <c r="S3899" s="167"/>
      <c r="T3899" s="168">
        <f t="shared" si="3"/>
        <v>18725.1956</v>
      </c>
      <c r="U3899" s="168">
        <f t="shared" si="4"/>
        <v>0</v>
      </c>
      <c r="V3899" s="168">
        <f t="shared" si="5"/>
        <v>0</v>
      </c>
      <c r="W3899" s="168">
        <f t="shared" si="6"/>
        <v>0</v>
      </c>
      <c r="X3899" s="168">
        <f t="shared" si="7"/>
        <v>0</v>
      </c>
      <c r="Y3899" s="168">
        <f t="shared" si="8"/>
        <v>0</v>
      </c>
      <c r="Z3899" s="168">
        <f t="shared" si="9"/>
        <v>0</v>
      </c>
    </row>
    <row r="3900" ht="15.0" customHeight="1">
      <c r="A3900" s="157" t="s">
        <v>4922</v>
      </c>
      <c r="B3900" s="158" t="s">
        <v>146</v>
      </c>
      <c r="C3900" s="158"/>
      <c r="D3900" s="159"/>
      <c r="E3900" s="157" t="s">
        <v>731</v>
      </c>
      <c r="F3900" s="160"/>
      <c r="G3900" s="160">
        <f>'FACP$'!$F3900*0.16</f>
        <v>0</v>
      </c>
      <c r="H3900" s="160">
        <f t="shared" si="122"/>
        <v>0</v>
      </c>
      <c r="I3900" s="160"/>
      <c r="J3900" s="161"/>
      <c r="K3900" s="160"/>
      <c r="L3900" s="160">
        <f>+'FACP$'!$H3900-'FACP$'!$I3900-'FACP$'!$K3900</f>
        <v>0</v>
      </c>
      <c r="M3900" s="162"/>
      <c r="N3900" s="162" t="s">
        <v>127</v>
      </c>
      <c r="O3900" s="164"/>
      <c r="P3900" s="164" t="str">
        <f t="array" ref="P3900">XLOOKUP('FACP$'!$B3900,'perfil de pagos'!$A$4:$A$46,'perfil de pagos'!$B$4:$B$46+'FACP$'!$D3900)</f>
        <v>#N/A</v>
      </c>
      <c r="Q3900" s="165">
        <f t="shared" si="2"/>
        <v>0</v>
      </c>
      <c r="R3900" s="167" t="s">
        <v>4923</v>
      </c>
      <c r="S3900" s="167"/>
      <c r="T3900" s="168">
        <f t="shared" si="3"/>
        <v>0</v>
      </c>
      <c r="U3900" s="168">
        <f t="shared" si="4"/>
        <v>0</v>
      </c>
      <c r="V3900" s="168">
        <f t="shared" si="5"/>
        <v>0</v>
      </c>
      <c r="W3900" s="168">
        <f t="shared" si="6"/>
        <v>0</v>
      </c>
      <c r="X3900" s="168">
        <f t="shared" si="7"/>
        <v>0</v>
      </c>
      <c r="Y3900" s="168">
        <f t="shared" si="8"/>
        <v>0</v>
      </c>
      <c r="Z3900" s="168">
        <f t="shared" si="9"/>
        <v>0</v>
      </c>
    </row>
    <row r="3901" ht="15.0" customHeight="1">
      <c r="A3901" s="157" t="s">
        <v>4924</v>
      </c>
      <c r="B3901" s="158" t="s">
        <v>40</v>
      </c>
      <c r="C3901" s="158" t="s">
        <v>4851</v>
      </c>
      <c r="D3901" s="159">
        <v>45048.0</v>
      </c>
      <c r="E3901" s="157" t="s">
        <v>731</v>
      </c>
      <c r="F3901" s="160">
        <v>115300.0</v>
      </c>
      <c r="G3901" s="160">
        <f>'FACP$'!$F3901*0.16</f>
        <v>18448</v>
      </c>
      <c r="H3901" s="160">
        <f t="shared" si="122"/>
        <v>133748</v>
      </c>
      <c r="I3901" s="160"/>
      <c r="J3901" s="161"/>
      <c r="K3901" s="160"/>
      <c r="L3901" s="160">
        <f>+'FACP$'!$H3901-'FACP$'!$I3901-'FACP$'!$K3901</f>
        <v>133748</v>
      </c>
      <c r="M3901" s="162" t="s">
        <v>490</v>
      </c>
      <c r="N3901" s="162" t="s">
        <v>127</v>
      </c>
      <c r="O3901" s="164"/>
      <c r="P3901" s="164">
        <f t="array" ref="P3901">XLOOKUP('FACP$'!$B3901,'perfil de pagos'!$A$4:$A$46,'perfil de pagos'!$B$4:$B$46+'FACP$'!$D3901)</f>
        <v>45078</v>
      </c>
      <c r="Q3901" s="165">
        <f t="shared" si="2"/>
        <v>0</v>
      </c>
      <c r="R3901" s="167" t="s">
        <v>4923</v>
      </c>
      <c r="S3901" s="167"/>
      <c r="T3901" s="168">
        <f t="shared" si="3"/>
        <v>133748</v>
      </c>
      <c r="U3901" s="168">
        <f t="shared" si="4"/>
        <v>0</v>
      </c>
      <c r="V3901" s="168">
        <f t="shared" si="5"/>
        <v>0</v>
      </c>
      <c r="W3901" s="168">
        <f t="shared" si="6"/>
        <v>0</v>
      </c>
      <c r="X3901" s="168">
        <f t="shared" si="7"/>
        <v>0</v>
      </c>
      <c r="Y3901" s="168">
        <f t="shared" si="8"/>
        <v>0</v>
      </c>
      <c r="Z3901" s="168">
        <f t="shared" si="9"/>
        <v>0</v>
      </c>
    </row>
    <row r="3902" ht="15.0" customHeight="1">
      <c r="A3902" s="157" t="s">
        <v>4925</v>
      </c>
      <c r="B3902" s="158" t="s">
        <v>40</v>
      </c>
      <c r="C3902" s="158"/>
      <c r="D3902" s="159"/>
      <c r="E3902" s="157"/>
      <c r="F3902" s="160"/>
      <c r="G3902" s="160"/>
      <c r="H3902" s="160">
        <f t="shared" si="122"/>
        <v>0</v>
      </c>
      <c r="I3902" s="160"/>
      <c r="J3902" s="161"/>
      <c r="K3902" s="160"/>
      <c r="L3902" s="160">
        <f>+'FACP$'!$H3902-'FACP$'!$I3902-'FACP$'!$K3902</f>
        <v>0</v>
      </c>
      <c r="M3902" s="162"/>
      <c r="N3902" s="162" t="s">
        <v>127</v>
      </c>
      <c r="O3902" s="164"/>
      <c r="P3902" s="164">
        <f t="shared" ref="P3902:P3903" si="123">D3902+10</f>
        <v>10</v>
      </c>
      <c r="Q3902" s="165">
        <f t="shared" si="2"/>
        <v>0</v>
      </c>
      <c r="R3902" s="167" t="s">
        <v>4923</v>
      </c>
      <c r="S3902" s="167"/>
      <c r="T3902" s="168">
        <f t="shared" si="3"/>
        <v>0</v>
      </c>
      <c r="U3902" s="168">
        <f t="shared" si="4"/>
        <v>0</v>
      </c>
      <c r="V3902" s="168">
        <f t="shared" si="5"/>
        <v>0</v>
      </c>
      <c r="W3902" s="168">
        <f t="shared" si="6"/>
        <v>0</v>
      </c>
      <c r="X3902" s="168">
        <f t="shared" si="7"/>
        <v>0</v>
      </c>
      <c r="Y3902" s="168">
        <f t="shared" si="8"/>
        <v>0</v>
      </c>
      <c r="Z3902" s="168">
        <f t="shared" si="9"/>
        <v>0</v>
      </c>
    </row>
    <row r="3903" ht="15.0" customHeight="1">
      <c r="A3903" s="157" t="s">
        <v>4926</v>
      </c>
      <c r="B3903" s="158" t="s">
        <v>40</v>
      </c>
      <c r="C3903" s="158"/>
      <c r="D3903" s="159"/>
      <c r="E3903" s="157"/>
      <c r="F3903" s="160"/>
      <c r="G3903" s="160"/>
      <c r="H3903" s="160">
        <f t="shared" si="122"/>
        <v>0</v>
      </c>
      <c r="I3903" s="160"/>
      <c r="J3903" s="161"/>
      <c r="K3903" s="160"/>
      <c r="L3903" s="160">
        <f>+'FACP$'!$H3903-'FACP$'!$I3903-'FACP$'!$K3903</f>
        <v>0</v>
      </c>
      <c r="M3903" s="162"/>
      <c r="N3903" s="162" t="s">
        <v>127</v>
      </c>
      <c r="O3903" s="164"/>
      <c r="P3903" s="164">
        <f t="shared" si="123"/>
        <v>10</v>
      </c>
      <c r="Q3903" s="165">
        <f t="shared" si="2"/>
        <v>0</v>
      </c>
      <c r="R3903" s="167" t="s">
        <v>4923</v>
      </c>
      <c r="S3903" s="167"/>
      <c r="T3903" s="168">
        <f t="shared" si="3"/>
        <v>0</v>
      </c>
      <c r="U3903" s="168">
        <f t="shared" si="4"/>
        <v>0</v>
      </c>
      <c r="V3903" s="168">
        <f t="shared" si="5"/>
        <v>0</v>
      </c>
      <c r="W3903" s="168">
        <f t="shared" si="6"/>
        <v>0</v>
      </c>
      <c r="X3903" s="168">
        <f t="shared" si="7"/>
        <v>0</v>
      </c>
      <c r="Y3903" s="168">
        <f t="shared" si="8"/>
        <v>0</v>
      </c>
      <c r="Z3903" s="168">
        <f t="shared" si="9"/>
        <v>0</v>
      </c>
    </row>
    <row r="3904" ht="15.0" customHeight="1">
      <c r="A3904" s="157" t="s">
        <v>4927</v>
      </c>
      <c r="B3904" s="158" t="s">
        <v>15</v>
      </c>
      <c r="C3904" s="158" t="s">
        <v>4928</v>
      </c>
      <c r="D3904" s="159">
        <v>45050.0</v>
      </c>
      <c r="E3904" s="157" t="s">
        <v>731</v>
      </c>
      <c r="F3904" s="160">
        <v>463519.15</v>
      </c>
      <c r="G3904" s="160">
        <f>'FACP$'!$F3904*0.16</f>
        <v>74163.064</v>
      </c>
      <c r="H3904" s="160">
        <f t="shared" si="122"/>
        <v>537682.214</v>
      </c>
      <c r="I3904" s="160"/>
      <c r="J3904" s="161"/>
      <c r="K3904" s="160"/>
      <c r="L3904" s="160">
        <f>+'FACP$'!$H3904-'FACP$'!$I3904-'FACP$'!$K3904</f>
        <v>537682.214</v>
      </c>
      <c r="M3904" s="162" t="s">
        <v>443</v>
      </c>
      <c r="N3904" s="162" t="s">
        <v>554</v>
      </c>
      <c r="O3904" s="164">
        <v>45078.0</v>
      </c>
      <c r="P3904" s="164">
        <f t="array" ref="P3904">XLOOKUP('FACP$'!$B3904,'perfil de pagos'!$A$4:$A$46,'perfil de pagos'!$B$4:$B$46+'FACP$'!$D3904)</f>
        <v>45060</v>
      </c>
      <c r="Q3904" s="165">
        <f t="shared" si="2"/>
        <v>0</v>
      </c>
      <c r="R3904" s="167"/>
      <c r="S3904" s="167">
        <v>2192.0</v>
      </c>
      <c r="T3904" s="168">
        <f t="shared" si="3"/>
        <v>537682.214</v>
      </c>
      <c r="U3904" s="168">
        <f t="shared" si="4"/>
        <v>0</v>
      </c>
      <c r="V3904" s="168">
        <f t="shared" si="5"/>
        <v>0</v>
      </c>
      <c r="W3904" s="168">
        <f t="shared" si="6"/>
        <v>0</v>
      </c>
      <c r="X3904" s="168">
        <f t="shared" si="7"/>
        <v>0</v>
      </c>
      <c r="Y3904" s="168">
        <f t="shared" si="8"/>
        <v>0</v>
      </c>
      <c r="Z3904" s="168">
        <f t="shared" si="9"/>
        <v>0</v>
      </c>
    </row>
    <row r="3905" ht="15.0" customHeight="1">
      <c r="A3905" s="157" t="s">
        <v>4929</v>
      </c>
      <c r="B3905" s="158" t="s">
        <v>35</v>
      </c>
      <c r="C3905" s="158" t="s">
        <v>4928</v>
      </c>
      <c r="D3905" s="159">
        <v>45050.0</v>
      </c>
      <c r="E3905" s="157" t="s">
        <v>731</v>
      </c>
      <c r="F3905" s="160">
        <v>291124.11</v>
      </c>
      <c r="G3905" s="160">
        <f>'FACP$'!$F3905*0.16</f>
        <v>46579.8576</v>
      </c>
      <c r="H3905" s="160">
        <f t="shared" si="122"/>
        <v>337703.9676</v>
      </c>
      <c r="I3905" s="160"/>
      <c r="J3905" s="161"/>
      <c r="K3905" s="160"/>
      <c r="L3905" s="160">
        <f>+'FACP$'!$H3905-'FACP$'!$I3905-'FACP$'!$K3905</f>
        <v>337703.9676</v>
      </c>
      <c r="M3905" s="162" t="s">
        <v>276</v>
      </c>
      <c r="N3905" s="162" t="s">
        <v>554</v>
      </c>
      <c r="O3905" s="164">
        <v>45107.0</v>
      </c>
      <c r="P3905" s="164">
        <f t="array" ref="P3905">XLOOKUP('FACP$'!$B3905,'perfil de pagos'!$A$4:$A$46,'perfil de pagos'!$B$4:$B$46+'FACP$'!$D3905)</f>
        <v>45060</v>
      </c>
      <c r="Q3905" s="165">
        <f t="shared" si="2"/>
        <v>0</v>
      </c>
      <c r="R3905" s="167"/>
      <c r="S3905" s="167">
        <v>2245.0</v>
      </c>
      <c r="T3905" s="168">
        <f t="shared" si="3"/>
        <v>337703.9676</v>
      </c>
      <c r="U3905" s="168">
        <f t="shared" si="4"/>
        <v>0</v>
      </c>
      <c r="V3905" s="168">
        <f t="shared" si="5"/>
        <v>0</v>
      </c>
      <c r="W3905" s="168">
        <f t="shared" si="6"/>
        <v>0</v>
      </c>
      <c r="X3905" s="168">
        <f t="shared" si="7"/>
        <v>0</v>
      </c>
      <c r="Y3905" s="168">
        <f t="shared" si="8"/>
        <v>0</v>
      </c>
      <c r="Z3905" s="168">
        <f t="shared" si="9"/>
        <v>0</v>
      </c>
    </row>
    <row r="3906" ht="15.0" customHeight="1">
      <c r="A3906" s="157" t="s">
        <v>4930</v>
      </c>
      <c r="B3906" s="158" t="s">
        <v>36</v>
      </c>
      <c r="C3906" s="158" t="s">
        <v>4928</v>
      </c>
      <c r="D3906" s="159">
        <v>45050.0</v>
      </c>
      <c r="E3906" s="157" t="s">
        <v>731</v>
      </c>
      <c r="F3906" s="160">
        <v>117345.33</v>
      </c>
      <c r="G3906" s="160">
        <f>'FACP$'!$F3906*0.16</f>
        <v>18775.2528</v>
      </c>
      <c r="H3906" s="160">
        <f t="shared" si="122"/>
        <v>136120.5828</v>
      </c>
      <c r="I3906" s="160"/>
      <c r="J3906" s="161"/>
      <c r="K3906" s="160"/>
      <c r="L3906" s="160">
        <f>+'FACP$'!$H3906-'FACP$'!$I3906-'FACP$'!$K3906</f>
        <v>136120.5828</v>
      </c>
      <c r="M3906" s="162" t="s">
        <v>278</v>
      </c>
      <c r="N3906" s="162" t="s">
        <v>554</v>
      </c>
      <c r="O3906" s="164">
        <v>45050.0</v>
      </c>
      <c r="P3906" s="164">
        <f t="array" ref="P3906">XLOOKUP('FACP$'!$B3906,'perfil de pagos'!$A$4:$A$46,'perfil de pagos'!$B$4:$B$46+'FACP$'!$D3906)</f>
        <v>45060</v>
      </c>
      <c r="Q3906" s="165">
        <f t="shared" si="2"/>
        <v>0</v>
      </c>
      <c r="R3906" s="167"/>
      <c r="S3906" s="167">
        <v>2141.0</v>
      </c>
      <c r="T3906" s="168">
        <f t="shared" si="3"/>
        <v>136120.5828</v>
      </c>
      <c r="U3906" s="168">
        <f t="shared" si="4"/>
        <v>0</v>
      </c>
      <c r="V3906" s="168">
        <f t="shared" si="5"/>
        <v>0</v>
      </c>
      <c r="W3906" s="168">
        <f t="shared" si="6"/>
        <v>0</v>
      </c>
      <c r="X3906" s="168">
        <f t="shared" si="7"/>
        <v>0</v>
      </c>
      <c r="Y3906" s="168">
        <f t="shared" si="8"/>
        <v>0</v>
      </c>
      <c r="Z3906" s="168">
        <f t="shared" si="9"/>
        <v>0</v>
      </c>
    </row>
    <row r="3907" ht="15.0" customHeight="1">
      <c r="A3907" s="157" t="s">
        <v>4931</v>
      </c>
      <c r="B3907" s="158" t="s">
        <v>36</v>
      </c>
      <c r="C3907" s="158" t="s">
        <v>4932</v>
      </c>
      <c r="D3907" s="159">
        <v>45050.0</v>
      </c>
      <c r="E3907" s="157" t="s">
        <v>731</v>
      </c>
      <c r="F3907" s="160">
        <v>112717.2</v>
      </c>
      <c r="G3907" s="160">
        <f>'FACP$'!$F3907*0.16</f>
        <v>18034.752</v>
      </c>
      <c r="H3907" s="160">
        <f t="shared" si="122"/>
        <v>130751.952</v>
      </c>
      <c r="I3907" s="160"/>
      <c r="J3907" s="161"/>
      <c r="K3907" s="160"/>
      <c r="L3907" s="160">
        <f>+'FACP$'!$H3907-'FACP$'!$I3907-'FACP$'!$K3907</f>
        <v>130751.952</v>
      </c>
      <c r="M3907" s="162" t="s">
        <v>278</v>
      </c>
      <c r="N3907" s="162" t="s">
        <v>554</v>
      </c>
      <c r="O3907" s="164">
        <v>45055.0</v>
      </c>
      <c r="P3907" s="164">
        <f t="array" ref="P3907">XLOOKUP('FACP$'!$B3907,'perfil de pagos'!$A$4:$A$46,'perfil de pagos'!$B$4:$B$46+'FACP$'!$D3907)</f>
        <v>45060</v>
      </c>
      <c r="Q3907" s="165">
        <f t="shared" si="2"/>
        <v>0</v>
      </c>
      <c r="R3907" s="167"/>
      <c r="S3907" s="167">
        <v>2153.0</v>
      </c>
      <c r="T3907" s="168">
        <f t="shared" si="3"/>
        <v>130751.952</v>
      </c>
      <c r="U3907" s="168">
        <f t="shared" si="4"/>
        <v>0</v>
      </c>
      <c r="V3907" s="168">
        <f t="shared" si="5"/>
        <v>0</v>
      </c>
      <c r="W3907" s="168">
        <f t="shared" si="6"/>
        <v>0</v>
      </c>
      <c r="X3907" s="168">
        <f t="shared" si="7"/>
        <v>0</v>
      </c>
      <c r="Y3907" s="168">
        <f t="shared" si="8"/>
        <v>0</v>
      </c>
      <c r="Z3907" s="168">
        <f t="shared" si="9"/>
        <v>0</v>
      </c>
    </row>
    <row r="3908" ht="15.0" customHeight="1">
      <c r="A3908" s="157" t="s">
        <v>4933</v>
      </c>
      <c r="B3908" s="158" t="s">
        <v>38</v>
      </c>
      <c r="C3908" s="158" t="s">
        <v>4928</v>
      </c>
      <c r="D3908" s="159">
        <v>45050.0</v>
      </c>
      <c r="E3908" s="157" t="s">
        <v>731</v>
      </c>
      <c r="F3908" s="160">
        <v>116079.01</v>
      </c>
      <c r="G3908" s="160">
        <f>'FACP$'!$F3908*0.16</f>
        <v>18572.6416</v>
      </c>
      <c r="H3908" s="160">
        <f t="shared" si="122"/>
        <v>134651.6516</v>
      </c>
      <c r="I3908" s="172"/>
      <c r="J3908" s="161"/>
      <c r="K3908" s="160"/>
      <c r="L3908" s="160">
        <f>+'FACP$'!$H3908-'FACP$'!$I3908-'FACP$'!$K3908</f>
        <v>134651.6516</v>
      </c>
      <c r="M3908" s="162" t="s">
        <v>4707</v>
      </c>
      <c r="N3908" s="162" t="s">
        <v>554</v>
      </c>
      <c r="O3908" s="164">
        <v>45105.0</v>
      </c>
      <c r="P3908" s="164">
        <f t="array" ref="P3908">XLOOKUP('FACP$'!$B3908,'perfil de pagos'!$A$4:$A$46,'perfil de pagos'!$B$4:$B$46+'FACP$'!$D3908)</f>
        <v>45080</v>
      </c>
      <c r="Q3908" s="165">
        <f t="shared" si="2"/>
        <v>0</v>
      </c>
      <c r="R3908" s="167"/>
      <c r="S3908" s="167">
        <v>2240.0</v>
      </c>
      <c r="T3908" s="168">
        <f t="shared" si="3"/>
        <v>134651.6516</v>
      </c>
      <c r="U3908" s="168">
        <f t="shared" si="4"/>
        <v>0</v>
      </c>
      <c r="V3908" s="168">
        <f t="shared" si="5"/>
        <v>0</v>
      </c>
      <c r="W3908" s="168">
        <f t="shared" si="6"/>
        <v>0</v>
      </c>
      <c r="X3908" s="168">
        <f t="shared" si="7"/>
        <v>0</v>
      </c>
      <c r="Y3908" s="168">
        <f t="shared" si="8"/>
        <v>0</v>
      </c>
      <c r="Z3908" s="168">
        <f t="shared" si="9"/>
        <v>0</v>
      </c>
    </row>
    <row r="3909" ht="15.0" customHeight="1">
      <c r="A3909" s="157" t="s">
        <v>4934</v>
      </c>
      <c r="B3909" s="158" t="s">
        <v>38</v>
      </c>
      <c r="C3909" s="158" t="s">
        <v>4932</v>
      </c>
      <c r="D3909" s="159">
        <v>45050.0</v>
      </c>
      <c r="E3909" s="157" t="s">
        <v>731</v>
      </c>
      <c r="F3909" s="160">
        <v>231185.14</v>
      </c>
      <c r="G3909" s="160">
        <f>'FACP$'!$F3909*0.16</f>
        <v>36989.6224</v>
      </c>
      <c r="H3909" s="160">
        <f t="shared" si="122"/>
        <v>268174.7624</v>
      </c>
      <c r="I3909" s="160">
        <v>2020.02</v>
      </c>
      <c r="J3909" s="161"/>
      <c r="K3909" s="160"/>
      <c r="L3909" s="160">
        <f>+'FACP$'!$H3909-'FACP$'!$I3909-'FACP$'!$K3909</f>
        <v>266154.7424</v>
      </c>
      <c r="M3909" s="162" t="s">
        <v>4707</v>
      </c>
      <c r="N3909" s="162" t="s">
        <v>554</v>
      </c>
      <c r="O3909" s="164">
        <v>45126.0</v>
      </c>
      <c r="P3909" s="164">
        <f t="array" ref="P3909">XLOOKUP('FACP$'!$B3909,'perfil de pagos'!$A$4:$A$46,'perfil de pagos'!$B$4:$B$46+'FACP$'!$D3909)</f>
        <v>45080</v>
      </c>
      <c r="Q3909" s="165">
        <f t="shared" si="2"/>
        <v>0</v>
      </c>
      <c r="R3909" s="167"/>
      <c r="S3909" s="220" t="s">
        <v>4935</v>
      </c>
      <c r="T3909" s="168">
        <f t="shared" si="3"/>
        <v>266154.7424</v>
      </c>
      <c r="U3909" s="168">
        <f t="shared" si="4"/>
        <v>0</v>
      </c>
      <c r="V3909" s="168">
        <f t="shared" si="5"/>
        <v>0</v>
      </c>
      <c r="W3909" s="168">
        <f t="shared" si="6"/>
        <v>0</v>
      </c>
      <c r="X3909" s="168">
        <f t="shared" si="7"/>
        <v>0</v>
      </c>
      <c r="Y3909" s="168">
        <f t="shared" si="8"/>
        <v>0</v>
      </c>
      <c r="Z3909" s="168">
        <f t="shared" si="9"/>
        <v>0</v>
      </c>
    </row>
    <row r="3910" ht="15.0" customHeight="1">
      <c r="A3910" s="157" t="s">
        <v>4936</v>
      </c>
      <c r="B3910" s="158" t="s">
        <v>38</v>
      </c>
      <c r="C3910" s="158" t="s">
        <v>4928</v>
      </c>
      <c r="D3910" s="159">
        <v>45050.0</v>
      </c>
      <c r="E3910" s="157" t="s">
        <v>731</v>
      </c>
      <c r="F3910" s="160">
        <v>146891.5</v>
      </c>
      <c r="G3910" s="160">
        <f>'FACP$'!$F3910*0.16</f>
        <v>23502.64</v>
      </c>
      <c r="H3910" s="160">
        <f t="shared" si="122"/>
        <v>170394.14</v>
      </c>
      <c r="I3910" s="160"/>
      <c r="J3910" s="161"/>
      <c r="K3910" s="160"/>
      <c r="L3910" s="160">
        <f>+'FACP$'!$H3910-'FACP$'!$I3910-'FACP$'!$K3910</f>
        <v>170394.14</v>
      </c>
      <c r="M3910" s="162" t="s">
        <v>4654</v>
      </c>
      <c r="N3910" s="162" t="s">
        <v>554</v>
      </c>
      <c r="O3910" s="164">
        <v>45105.0</v>
      </c>
      <c r="P3910" s="164">
        <f t="array" ref="P3910">XLOOKUP('FACP$'!$B3910,'perfil de pagos'!$A$4:$A$46,'perfil de pagos'!$B$4:$B$46+'FACP$'!$D3910)</f>
        <v>45080</v>
      </c>
      <c r="Q3910" s="165">
        <f t="shared" si="2"/>
        <v>0</v>
      </c>
      <c r="R3910" s="167"/>
      <c r="S3910" s="167">
        <v>2240.0</v>
      </c>
      <c r="T3910" s="168">
        <f t="shared" si="3"/>
        <v>170394.14</v>
      </c>
      <c r="U3910" s="168">
        <f t="shared" si="4"/>
        <v>0</v>
      </c>
      <c r="V3910" s="168">
        <f t="shared" si="5"/>
        <v>0</v>
      </c>
      <c r="W3910" s="168">
        <f t="shared" si="6"/>
        <v>0</v>
      </c>
      <c r="X3910" s="168">
        <f t="shared" si="7"/>
        <v>0</v>
      </c>
      <c r="Y3910" s="168">
        <f t="shared" si="8"/>
        <v>0</v>
      </c>
      <c r="Z3910" s="168">
        <f t="shared" si="9"/>
        <v>0</v>
      </c>
    </row>
    <row r="3911" ht="15.0" customHeight="1">
      <c r="A3911" s="157" t="s">
        <v>4937</v>
      </c>
      <c r="B3911" s="158" t="s">
        <v>41</v>
      </c>
      <c r="C3911" s="158" t="s">
        <v>4928</v>
      </c>
      <c r="D3911" s="159">
        <v>45050.0</v>
      </c>
      <c r="E3911" s="157" t="s">
        <v>731</v>
      </c>
      <c r="F3911" s="160">
        <v>495541.62</v>
      </c>
      <c r="G3911" s="160">
        <f>'FACP$'!$F3911*0.16</f>
        <v>79286.6592</v>
      </c>
      <c r="H3911" s="160">
        <f t="shared" si="122"/>
        <v>574828.2792</v>
      </c>
      <c r="I3911" s="160"/>
      <c r="J3911" s="161"/>
      <c r="K3911" s="160"/>
      <c r="L3911" s="160">
        <f>+'FACP$'!$H3911-'FACP$'!$I3911-'FACP$'!$K3911</f>
        <v>574828.2792</v>
      </c>
      <c r="M3911" s="162" t="s">
        <v>121</v>
      </c>
      <c r="N3911" s="162" t="s">
        <v>554</v>
      </c>
      <c r="O3911" s="164">
        <v>45085.0</v>
      </c>
      <c r="P3911" s="164">
        <f t="array" ref="P3911">XLOOKUP('FACP$'!$B3911,'perfil de pagos'!$A$4:$A$46,'perfil de pagos'!$B$4:$B$46+'FACP$'!$D3911)</f>
        <v>45060</v>
      </c>
      <c r="Q3911" s="165">
        <f t="shared" si="2"/>
        <v>0</v>
      </c>
      <c r="R3911" s="167"/>
      <c r="S3911" s="167">
        <v>2206.0</v>
      </c>
      <c r="T3911" s="168">
        <f t="shared" si="3"/>
        <v>574828.2792</v>
      </c>
      <c r="U3911" s="168">
        <f t="shared" si="4"/>
        <v>0</v>
      </c>
      <c r="V3911" s="168">
        <f t="shared" si="5"/>
        <v>0</v>
      </c>
      <c r="W3911" s="168">
        <f t="shared" si="6"/>
        <v>0</v>
      </c>
      <c r="X3911" s="168">
        <f t="shared" si="7"/>
        <v>0</v>
      </c>
      <c r="Y3911" s="168">
        <f t="shared" si="8"/>
        <v>0</v>
      </c>
      <c r="Z3911" s="168">
        <f t="shared" si="9"/>
        <v>0</v>
      </c>
    </row>
    <row r="3912" ht="15.0" customHeight="1">
      <c r="A3912" s="157" t="s">
        <v>4938</v>
      </c>
      <c r="B3912" s="158" t="s">
        <v>42</v>
      </c>
      <c r="C3912" s="158" t="s">
        <v>4928</v>
      </c>
      <c r="D3912" s="159">
        <v>45050.0</v>
      </c>
      <c r="E3912" s="157" t="s">
        <v>731</v>
      </c>
      <c r="F3912" s="160">
        <v>90231.22</v>
      </c>
      <c r="G3912" s="160">
        <f>'FACP$'!$F3912*0.16</f>
        <v>14436.9952</v>
      </c>
      <c r="H3912" s="160">
        <f t="shared" si="122"/>
        <v>104668.2152</v>
      </c>
      <c r="I3912" s="160"/>
      <c r="J3912" s="161">
        <f>+'NCP$'!A243</f>
        <v>326</v>
      </c>
      <c r="K3912" s="160">
        <f>+'NCP$'!H243</f>
        <v>2313.446</v>
      </c>
      <c r="L3912" s="160">
        <f>+'FACP$'!$H3912-'FACP$'!$I3912-'FACP$'!$K3912</f>
        <v>102354.7692</v>
      </c>
      <c r="M3912" s="162" t="s">
        <v>42</v>
      </c>
      <c r="N3912" s="162" t="s">
        <v>554</v>
      </c>
      <c r="O3912" s="164">
        <v>45010.0</v>
      </c>
      <c r="P3912" s="164">
        <f t="array" ref="P3912">XLOOKUP('FACP$'!$B3912,'perfil de pagos'!$A$4:$A$46,'perfil de pagos'!$B$4:$B$46+'FACP$'!$D3912)</f>
        <v>45060</v>
      </c>
      <c r="Q3912" s="165">
        <f t="shared" si="2"/>
        <v>0</v>
      </c>
      <c r="R3912" s="167"/>
      <c r="S3912" s="167">
        <v>2179.0</v>
      </c>
      <c r="T3912" s="168">
        <f t="shared" si="3"/>
        <v>102354.7692</v>
      </c>
      <c r="U3912" s="168">
        <f t="shared" si="4"/>
        <v>0</v>
      </c>
      <c r="V3912" s="168">
        <f t="shared" si="5"/>
        <v>0</v>
      </c>
      <c r="W3912" s="168">
        <f t="shared" si="6"/>
        <v>0</v>
      </c>
      <c r="X3912" s="168">
        <f t="shared" si="7"/>
        <v>0</v>
      </c>
      <c r="Y3912" s="168">
        <f t="shared" si="8"/>
        <v>0</v>
      </c>
      <c r="Z3912" s="168">
        <f t="shared" si="9"/>
        <v>0</v>
      </c>
    </row>
    <row r="3913" ht="15.0" customHeight="1">
      <c r="A3913" s="157" t="s">
        <v>4939</v>
      </c>
      <c r="B3913" s="158" t="s">
        <v>44</v>
      </c>
      <c r="C3913" s="158" t="s">
        <v>4928</v>
      </c>
      <c r="D3913" s="159">
        <v>45050.0</v>
      </c>
      <c r="E3913" s="157" t="s">
        <v>731</v>
      </c>
      <c r="F3913" s="160">
        <v>47118.9</v>
      </c>
      <c r="G3913" s="160">
        <f>'FACP$'!$F3913*0.16</f>
        <v>7539.024</v>
      </c>
      <c r="H3913" s="160">
        <f t="shared" si="122"/>
        <v>54657.924</v>
      </c>
      <c r="I3913" s="160"/>
      <c r="J3913" s="161"/>
      <c r="K3913" s="160"/>
      <c r="L3913" s="160">
        <f>+'FACP$'!$H3913-'FACP$'!$I3913-'FACP$'!$K3913</f>
        <v>54657.924</v>
      </c>
      <c r="M3913" s="162" t="s">
        <v>361</v>
      </c>
      <c r="N3913" s="162" t="s">
        <v>554</v>
      </c>
      <c r="O3913" s="164">
        <v>45058.0</v>
      </c>
      <c r="P3913" s="164">
        <f t="array" ref="P3913">XLOOKUP('FACP$'!$B3913,'perfil de pagos'!$A$4:$A$46,'perfil de pagos'!$B$4:$B$46+'FACP$'!$D3913)</f>
        <v>45060</v>
      </c>
      <c r="Q3913" s="165">
        <f t="shared" si="2"/>
        <v>0</v>
      </c>
      <c r="R3913" s="167"/>
      <c r="S3913" s="167">
        <v>2156.0</v>
      </c>
      <c r="T3913" s="168">
        <f t="shared" si="3"/>
        <v>54657.924</v>
      </c>
      <c r="U3913" s="168">
        <f t="shared" si="4"/>
        <v>0</v>
      </c>
      <c r="V3913" s="168">
        <f t="shared" si="5"/>
        <v>0</v>
      </c>
      <c r="W3913" s="168">
        <f t="shared" si="6"/>
        <v>0</v>
      </c>
      <c r="X3913" s="168">
        <f t="shared" si="7"/>
        <v>0</v>
      </c>
      <c r="Y3913" s="168">
        <f t="shared" si="8"/>
        <v>0</v>
      </c>
      <c r="Z3913" s="168">
        <f t="shared" si="9"/>
        <v>0</v>
      </c>
    </row>
    <row r="3914" ht="15.0" customHeight="1">
      <c r="A3914" s="157" t="s">
        <v>4940</v>
      </c>
      <c r="B3914" s="158" t="s">
        <v>43</v>
      </c>
      <c r="C3914" s="158" t="s">
        <v>4928</v>
      </c>
      <c r="D3914" s="159">
        <v>45050.0</v>
      </c>
      <c r="E3914" s="157" t="s">
        <v>731</v>
      </c>
      <c r="F3914" s="160">
        <v>204474.33</v>
      </c>
      <c r="G3914" s="160">
        <f>'FACP$'!$F3914*0.16</f>
        <v>32715.8928</v>
      </c>
      <c r="H3914" s="160">
        <f t="shared" si="122"/>
        <v>237190.2228</v>
      </c>
      <c r="I3914" s="160"/>
      <c r="J3914" s="161"/>
      <c r="K3914" s="160"/>
      <c r="L3914" s="160">
        <f>+'FACP$'!$H3914-'FACP$'!$I3914-'FACP$'!$K3914</f>
        <v>237190.2228</v>
      </c>
      <c r="M3914" s="162" t="s">
        <v>43</v>
      </c>
      <c r="N3914" s="162" t="s">
        <v>554</v>
      </c>
      <c r="O3914" s="164">
        <v>45125.0</v>
      </c>
      <c r="P3914" s="164">
        <f t="array" ref="P3914">XLOOKUP('FACP$'!$B3914,'perfil de pagos'!$A$4:$A$46,'perfil de pagos'!$B$4:$B$46+'FACP$'!$D3914)</f>
        <v>45075</v>
      </c>
      <c r="Q3914" s="165">
        <f t="shared" si="2"/>
        <v>0</v>
      </c>
      <c r="R3914" s="167"/>
      <c r="S3914" s="167">
        <v>2277.0</v>
      </c>
      <c r="T3914" s="168">
        <f t="shared" si="3"/>
        <v>237190.2228</v>
      </c>
      <c r="U3914" s="168">
        <f t="shared" si="4"/>
        <v>0</v>
      </c>
      <c r="V3914" s="168">
        <f t="shared" si="5"/>
        <v>0</v>
      </c>
      <c r="W3914" s="168">
        <f t="shared" si="6"/>
        <v>0</v>
      </c>
      <c r="X3914" s="168">
        <f t="shared" si="7"/>
        <v>0</v>
      </c>
      <c r="Y3914" s="168">
        <f t="shared" si="8"/>
        <v>0</v>
      </c>
      <c r="Z3914" s="168">
        <f t="shared" si="9"/>
        <v>0</v>
      </c>
    </row>
    <row r="3915" ht="15.0" customHeight="1">
      <c r="A3915" s="157" t="s">
        <v>4941</v>
      </c>
      <c r="B3915" s="158" t="s">
        <v>27</v>
      </c>
      <c r="C3915" s="158" t="s">
        <v>4942</v>
      </c>
      <c r="D3915" s="159">
        <v>45050.0</v>
      </c>
      <c r="E3915" s="157" t="s">
        <v>731</v>
      </c>
      <c r="F3915" s="160">
        <v>1017.49</v>
      </c>
      <c r="G3915" s="160">
        <f>'FACP$'!$F3915*0.16</f>
        <v>162.7984</v>
      </c>
      <c r="H3915" s="160">
        <f t="shared" si="122"/>
        <v>1180.2884</v>
      </c>
      <c r="I3915" s="160"/>
      <c r="J3915" s="161"/>
      <c r="K3915" s="160"/>
      <c r="L3915" s="160">
        <f>+'FACP$'!$H3915-'FACP$'!$I3915-'FACP$'!$K3915</f>
        <v>1180.2884</v>
      </c>
      <c r="M3915" s="162" t="s">
        <v>158</v>
      </c>
      <c r="N3915" s="162" t="s">
        <v>554</v>
      </c>
      <c r="O3915" s="164">
        <v>45069.0</v>
      </c>
      <c r="P3915" s="164">
        <f t="array" ref="P3915">XLOOKUP('FACP$'!$B3915,'perfil de pagos'!$A$4:$A$46,'perfil de pagos'!$B$4:$B$46+'FACP$'!$D3915)</f>
        <v>45080</v>
      </c>
      <c r="Q3915" s="165">
        <f t="shared" si="2"/>
        <v>0</v>
      </c>
      <c r="R3915" s="167"/>
      <c r="S3915" s="167">
        <v>2175.0</v>
      </c>
      <c r="T3915" s="168">
        <f t="shared" si="3"/>
        <v>1180.2884</v>
      </c>
      <c r="U3915" s="168">
        <f t="shared" si="4"/>
        <v>0</v>
      </c>
      <c r="V3915" s="168">
        <f t="shared" si="5"/>
        <v>0</v>
      </c>
      <c r="W3915" s="168">
        <f t="shared" si="6"/>
        <v>0</v>
      </c>
      <c r="X3915" s="168">
        <f t="shared" si="7"/>
        <v>0</v>
      </c>
      <c r="Y3915" s="168">
        <f t="shared" si="8"/>
        <v>0</v>
      </c>
      <c r="Z3915" s="168">
        <f t="shared" si="9"/>
        <v>0</v>
      </c>
    </row>
    <row r="3916" ht="15.0" customHeight="1">
      <c r="A3916" s="157" t="s">
        <v>4943</v>
      </c>
      <c r="B3916" s="158" t="s">
        <v>27</v>
      </c>
      <c r="C3916" s="158" t="s">
        <v>4944</v>
      </c>
      <c r="D3916" s="159">
        <v>45050.0</v>
      </c>
      <c r="E3916" s="157" t="s">
        <v>731</v>
      </c>
      <c r="F3916" s="160">
        <v>1848.5</v>
      </c>
      <c r="G3916" s="160">
        <f>'FACP$'!$F3916*0.16</f>
        <v>295.76</v>
      </c>
      <c r="H3916" s="160">
        <f t="shared" si="122"/>
        <v>2144.26</v>
      </c>
      <c r="I3916" s="160"/>
      <c r="J3916" s="161"/>
      <c r="K3916" s="160"/>
      <c r="L3916" s="160">
        <f>+'FACP$'!$H3916-'FACP$'!$I3916-'FACP$'!$K3916</f>
        <v>2144.26</v>
      </c>
      <c r="M3916" s="162" t="s">
        <v>158</v>
      </c>
      <c r="N3916" s="162" t="s">
        <v>554</v>
      </c>
      <c r="O3916" s="164">
        <v>45069.0</v>
      </c>
      <c r="P3916" s="164">
        <f t="array" ref="P3916">XLOOKUP('FACP$'!$B3916,'perfil de pagos'!$A$4:$A$46,'perfil de pagos'!$B$4:$B$46+'FACP$'!$D3916)</f>
        <v>45080</v>
      </c>
      <c r="Q3916" s="165">
        <f t="shared" si="2"/>
        <v>0</v>
      </c>
      <c r="R3916" s="167"/>
      <c r="S3916" s="167">
        <v>2175.0</v>
      </c>
      <c r="T3916" s="168">
        <f t="shared" si="3"/>
        <v>2144.26</v>
      </c>
      <c r="U3916" s="168">
        <f t="shared" si="4"/>
        <v>0</v>
      </c>
      <c r="V3916" s="168">
        <f t="shared" si="5"/>
        <v>0</v>
      </c>
      <c r="W3916" s="168">
        <f t="shared" si="6"/>
        <v>0</v>
      </c>
      <c r="X3916" s="168">
        <f t="shared" si="7"/>
        <v>0</v>
      </c>
      <c r="Y3916" s="168">
        <f t="shared" si="8"/>
        <v>0</v>
      </c>
      <c r="Z3916" s="168">
        <f t="shared" si="9"/>
        <v>0</v>
      </c>
    </row>
    <row r="3917" ht="15.0" customHeight="1">
      <c r="A3917" s="157" t="s">
        <v>4945</v>
      </c>
      <c r="B3917" s="158" t="s">
        <v>27</v>
      </c>
      <c r="C3917" s="158" t="s">
        <v>4942</v>
      </c>
      <c r="D3917" s="159">
        <v>45050.0</v>
      </c>
      <c r="E3917" s="157" t="s">
        <v>731</v>
      </c>
      <c r="F3917" s="160">
        <v>439.52</v>
      </c>
      <c r="G3917" s="160">
        <f>'FACP$'!$F3917*0.16</f>
        <v>70.3232</v>
      </c>
      <c r="H3917" s="160">
        <f t="shared" si="122"/>
        <v>509.8432</v>
      </c>
      <c r="I3917" s="160"/>
      <c r="J3917" s="161"/>
      <c r="K3917" s="160"/>
      <c r="L3917" s="160">
        <f>+'FACP$'!$H3917-'FACP$'!$I3917-'FACP$'!$K3917</f>
        <v>509.8432</v>
      </c>
      <c r="M3917" s="162" t="s">
        <v>151</v>
      </c>
      <c r="N3917" s="162" t="s">
        <v>554</v>
      </c>
      <c r="O3917" s="164">
        <v>45070.0</v>
      </c>
      <c r="P3917" s="164">
        <f t="array" ref="P3917">XLOOKUP('FACP$'!$B3917,'perfil de pagos'!$A$4:$A$46,'perfil de pagos'!$B$4:$B$46+'FACP$'!$D3917)</f>
        <v>45080</v>
      </c>
      <c r="Q3917" s="165">
        <f t="shared" si="2"/>
        <v>0</v>
      </c>
      <c r="R3917" s="167"/>
      <c r="S3917" s="167"/>
      <c r="T3917" s="168">
        <f t="shared" si="3"/>
        <v>509.8432</v>
      </c>
      <c r="U3917" s="168">
        <f t="shared" si="4"/>
        <v>0</v>
      </c>
      <c r="V3917" s="168">
        <f t="shared" si="5"/>
        <v>0</v>
      </c>
      <c r="W3917" s="168">
        <f t="shared" si="6"/>
        <v>0</v>
      </c>
      <c r="X3917" s="168">
        <f t="shared" si="7"/>
        <v>0</v>
      </c>
      <c r="Y3917" s="168">
        <f t="shared" si="8"/>
        <v>0</v>
      </c>
      <c r="Z3917" s="168">
        <f t="shared" si="9"/>
        <v>0</v>
      </c>
    </row>
    <row r="3918" ht="15.0" customHeight="1">
      <c r="A3918" s="157" t="s">
        <v>4946</v>
      </c>
      <c r="B3918" s="158" t="s">
        <v>25</v>
      </c>
      <c r="C3918" s="158" t="s">
        <v>4947</v>
      </c>
      <c r="D3918" s="159">
        <v>45050.0</v>
      </c>
      <c r="E3918" s="157" t="s">
        <v>731</v>
      </c>
      <c r="F3918" s="160">
        <v>12.7</v>
      </c>
      <c r="G3918" s="160">
        <f>'FACP$'!$F3918*0.16</f>
        <v>2.032</v>
      </c>
      <c r="H3918" s="160">
        <f t="shared" si="122"/>
        <v>14.732</v>
      </c>
      <c r="I3918" s="160"/>
      <c r="J3918" s="161"/>
      <c r="K3918" s="160"/>
      <c r="L3918" s="160">
        <f>+'FACP$'!$H3918-'FACP$'!$I3918-'FACP$'!$K3918</f>
        <v>14.732</v>
      </c>
      <c r="M3918" s="162" t="s">
        <v>4388</v>
      </c>
      <c r="N3918" s="162" t="s">
        <v>554</v>
      </c>
      <c r="O3918" s="164">
        <v>45160.0</v>
      </c>
      <c r="P3918" s="164">
        <f t="array" ref="P3918">XLOOKUP('FACP$'!$B3918,'perfil de pagos'!$A$4:$A$46,'perfil de pagos'!$B$4:$B$46+'FACP$'!$D3918)</f>
        <v>45060</v>
      </c>
      <c r="Q3918" s="165">
        <f t="shared" si="2"/>
        <v>0</v>
      </c>
      <c r="R3918" s="167"/>
      <c r="S3918" s="167"/>
      <c r="T3918" s="168">
        <f t="shared" si="3"/>
        <v>14.732</v>
      </c>
      <c r="U3918" s="168">
        <f t="shared" si="4"/>
        <v>0</v>
      </c>
      <c r="V3918" s="168">
        <f t="shared" si="5"/>
        <v>0</v>
      </c>
      <c r="W3918" s="168">
        <f t="shared" si="6"/>
        <v>0</v>
      </c>
      <c r="X3918" s="168">
        <f t="shared" si="7"/>
        <v>0</v>
      </c>
      <c r="Y3918" s="168">
        <f t="shared" si="8"/>
        <v>0</v>
      </c>
      <c r="Z3918" s="168">
        <f t="shared" si="9"/>
        <v>0</v>
      </c>
    </row>
    <row r="3919" ht="15.0" customHeight="1">
      <c r="A3919" s="157" t="s">
        <v>4948</v>
      </c>
      <c r="B3919" s="158" t="s">
        <v>40</v>
      </c>
      <c r="C3919" s="158"/>
      <c r="D3919" s="159"/>
      <c r="E3919" s="157"/>
      <c r="F3919" s="160"/>
      <c r="G3919" s="160"/>
      <c r="H3919" s="160">
        <f t="shared" si="122"/>
        <v>0</v>
      </c>
      <c r="I3919" s="160"/>
      <c r="J3919" s="161"/>
      <c r="K3919" s="160"/>
      <c r="L3919" s="160">
        <f>+'FACP$'!$H3919-'FACP$'!$I3919-'FACP$'!$K3919</f>
        <v>0</v>
      </c>
      <c r="M3919" s="162"/>
      <c r="N3919" s="162" t="s">
        <v>127</v>
      </c>
      <c r="O3919" s="164"/>
      <c r="P3919" s="164">
        <f>D3919+10</f>
        <v>10</v>
      </c>
      <c r="Q3919" s="165">
        <f t="shared" si="2"/>
        <v>0</v>
      </c>
      <c r="R3919" s="167" t="s">
        <v>4949</v>
      </c>
      <c r="S3919" s="167"/>
      <c r="T3919" s="168">
        <f t="shared" si="3"/>
        <v>0</v>
      </c>
      <c r="U3919" s="168">
        <f t="shared" si="4"/>
        <v>0</v>
      </c>
      <c r="V3919" s="168">
        <f t="shared" si="5"/>
        <v>0</v>
      </c>
      <c r="W3919" s="168">
        <f t="shared" si="6"/>
        <v>0</v>
      </c>
      <c r="X3919" s="168">
        <f t="shared" si="7"/>
        <v>0</v>
      </c>
      <c r="Y3919" s="168">
        <f t="shared" si="8"/>
        <v>0</v>
      </c>
      <c r="Z3919" s="168">
        <f t="shared" si="9"/>
        <v>0</v>
      </c>
    </row>
    <row r="3920" ht="15.0" customHeight="1">
      <c r="A3920" s="157" t="s">
        <v>4950</v>
      </c>
      <c r="B3920" s="158" t="s">
        <v>40</v>
      </c>
      <c r="C3920" s="158" t="s">
        <v>4851</v>
      </c>
      <c r="D3920" s="159">
        <v>45050.0</v>
      </c>
      <c r="E3920" s="157" t="s">
        <v>731</v>
      </c>
      <c r="F3920" s="160">
        <v>115300.0</v>
      </c>
      <c r="G3920" s="160">
        <f>'FACP$'!$F3920*0.16</f>
        <v>18448</v>
      </c>
      <c r="H3920" s="160">
        <f t="shared" si="122"/>
        <v>133748</v>
      </c>
      <c r="I3920" s="160"/>
      <c r="J3920" s="161"/>
      <c r="K3920" s="160"/>
      <c r="L3920" s="160">
        <f>+'FACP$'!$H3920-'FACP$'!$I3920-'FACP$'!$K3920</f>
        <v>133748</v>
      </c>
      <c r="M3920" s="162" t="s">
        <v>490</v>
      </c>
      <c r="N3920" s="162" t="s">
        <v>554</v>
      </c>
      <c r="O3920" s="164">
        <v>45069.0</v>
      </c>
      <c r="P3920" s="164">
        <f t="array" ref="P3920">XLOOKUP('FACP$'!$B3920,'perfil de pagos'!$A$4:$A$46,'perfil de pagos'!$B$4:$B$46+'FACP$'!$D3920)</f>
        <v>45080</v>
      </c>
      <c r="Q3920" s="165">
        <f t="shared" si="2"/>
        <v>0</v>
      </c>
      <c r="R3920" s="167" t="s">
        <v>4951</v>
      </c>
      <c r="S3920" s="167">
        <v>2201.0</v>
      </c>
      <c r="T3920" s="168">
        <f t="shared" si="3"/>
        <v>133748</v>
      </c>
      <c r="U3920" s="168">
        <f t="shared" si="4"/>
        <v>0</v>
      </c>
      <c r="V3920" s="168">
        <f t="shared" si="5"/>
        <v>0</v>
      </c>
      <c r="W3920" s="168">
        <f t="shared" si="6"/>
        <v>0</v>
      </c>
      <c r="X3920" s="168">
        <f t="shared" si="7"/>
        <v>0</v>
      </c>
      <c r="Y3920" s="168">
        <f t="shared" si="8"/>
        <v>0</v>
      </c>
      <c r="Z3920" s="168">
        <f t="shared" si="9"/>
        <v>0</v>
      </c>
    </row>
    <row r="3921" ht="15.0" customHeight="1">
      <c r="A3921" s="157" t="s">
        <v>4952</v>
      </c>
      <c r="B3921" s="158" t="s">
        <v>16</v>
      </c>
      <c r="C3921" s="158" t="s">
        <v>4928</v>
      </c>
      <c r="D3921" s="159">
        <v>45054.0</v>
      </c>
      <c r="E3921" s="157" t="s">
        <v>731</v>
      </c>
      <c r="F3921" s="160">
        <v>202162.27</v>
      </c>
      <c r="G3921" s="160">
        <f>'FACP$'!$F3921*0.16</f>
        <v>32345.9632</v>
      </c>
      <c r="H3921" s="160">
        <f t="shared" si="122"/>
        <v>234508.2332</v>
      </c>
      <c r="I3921" s="160"/>
      <c r="J3921" s="161"/>
      <c r="K3921" s="160"/>
      <c r="L3921" s="160">
        <f>+'FACP$'!$H3921-'FACP$'!$I3921-'FACP$'!$K3921</f>
        <v>234508.2332</v>
      </c>
      <c r="M3921" s="162" t="s">
        <v>985</v>
      </c>
      <c r="N3921" s="162" t="s">
        <v>554</v>
      </c>
      <c r="O3921" s="164">
        <v>45069.0</v>
      </c>
      <c r="P3921" s="164">
        <f t="array" ref="P3921">XLOOKUP('FACP$'!$B3921,'perfil de pagos'!$A$4:$A$46,'perfil de pagos'!$B$4:$B$46+'FACP$'!$D3921)</f>
        <v>45064</v>
      </c>
      <c r="Q3921" s="165">
        <f t="shared" si="2"/>
        <v>0</v>
      </c>
      <c r="R3921" s="167"/>
      <c r="S3921" s="167">
        <v>2177.0</v>
      </c>
      <c r="T3921" s="168">
        <f t="shared" si="3"/>
        <v>234508.2332</v>
      </c>
      <c r="U3921" s="168">
        <f t="shared" si="4"/>
        <v>0</v>
      </c>
      <c r="V3921" s="168">
        <f t="shared" si="5"/>
        <v>0</v>
      </c>
      <c r="W3921" s="168">
        <f t="shared" si="6"/>
        <v>0</v>
      </c>
      <c r="X3921" s="168">
        <f t="shared" si="7"/>
        <v>0</v>
      </c>
      <c r="Y3921" s="168">
        <f t="shared" si="8"/>
        <v>0</v>
      </c>
      <c r="Z3921" s="168">
        <f t="shared" si="9"/>
        <v>0</v>
      </c>
    </row>
    <row r="3922" ht="15.0" customHeight="1">
      <c r="A3922" s="157" t="s">
        <v>4953</v>
      </c>
      <c r="B3922" s="158" t="s">
        <v>16</v>
      </c>
      <c r="C3922" s="158" t="s">
        <v>4932</v>
      </c>
      <c r="D3922" s="159">
        <v>45054.0</v>
      </c>
      <c r="E3922" s="157" t="s">
        <v>731</v>
      </c>
      <c r="F3922" s="160">
        <v>358785.04</v>
      </c>
      <c r="G3922" s="160">
        <f>'FACP$'!$F3922*0.16</f>
        <v>57405.6064</v>
      </c>
      <c r="H3922" s="160">
        <f t="shared" si="122"/>
        <v>416190.6464</v>
      </c>
      <c r="I3922" s="160"/>
      <c r="J3922" s="161"/>
      <c r="K3922" s="160"/>
      <c r="L3922" s="160">
        <f>+'FACP$'!$H3922-'FACP$'!$I3922-'FACP$'!$K3922</f>
        <v>416190.6464</v>
      </c>
      <c r="M3922" s="162" t="s">
        <v>985</v>
      </c>
      <c r="N3922" s="162" t="s">
        <v>554</v>
      </c>
      <c r="O3922" s="164">
        <v>45069.0</v>
      </c>
      <c r="P3922" s="164">
        <f t="array" ref="P3922">XLOOKUP('FACP$'!$B3922,'perfil de pagos'!$A$4:$A$46,'perfil de pagos'!$B$4:$B$46+'FACP$'!$D3922)</f>
        <v>45064</v>
      </c>
      <c r="Q3922" s="165">
        <f t="shared" si="2"/>
        <v>0</v>
      </c>
      <c r="R3922" s="167"/>
      <c r="S3922" s="167">
        <v>2177.0</v>
      </c>
      <c r="T3922" s="168">
        <f t="shared" si="3"/>
        <v>416190.6464</v>
      </c>
      <c r="U3922" s="168">
        <f t="shared" si="4"/>
        <v>0</v>
      </c>
      <c r="V3922" s="168">
        <f t="shared" si="5"/>
        <v>0</v>
      </c>
      <c r="W3922" s="168">
        <f t="shared" si="6"/>
        <v>0</v>
      </c>
      <c r="X3922" s="168">
        <f t="shared" si="7"/>
        <v>0</v>
      </c>
      <c r="Y3922" s="168">
        <f t="shared" si="8"/>
        <v>0</v>
      </c>
      <c r="Z3922" s="168">
        <f t="shared" si="9"/>
        <v>0</v>
      </c>
    </row>
    <row r="3923" ht="15.0" customHeight="1">
      <c r="A3923" s="157" t="s">
        <v>4954</v>
      </c>
      <c r="B3923" s="158" t="s">
        <v>18</v>
      </c>
      <c r="C3923" s="158" t="s">
        <v>4928</v>
      </c>
      <c r="D3923" s="159">
        <v>45054.0</v>
      </c>
      <c r="E3923" s="157" t="s">
        <v>731</v>
      </c>
      <c r="F3923" s="160">
        <v>58439.2</v>
      </c>
      <c r="G3923" s="160">
        <f>'FACP$'!$F3923*0.16</f>
        <v>9350.272</v>
      </c>
      <c r="H3923" s="160">
        <f t="shared" si="122"/>
        <v>67789.472</v>
      </c>
      <c r="I3923" s="160"/>
      <c r="J3923" s="161"/>
      <c r="K3923" s="160"/>
      <c r="L3923" s="160">
        <f>+'FACP$'!$H3923-'FACP$'!$I3923-'FACP$'!$K3923</f>
        <v>67789.472</v>
      </c>
      <c r="M3923" s="162" t="s">
        <v>586</v>
      </c>
      <c r="N3923" s="162" t="s">
        <v>554</v>
      </c>
      <c r="O3923" s="164">
        <v>45091.0</v>
      </c>
      <c r="P3923" s="164">
        <f t="array" ref="P3923">XLOOKUP('FACP$'!$B3923,'perfil de pagos'!$A$4:$A$46,'perfil de pagos'!$B$4:$B$46+'FACP$'!$D3923)</f>
        <v>45064</v>
      </c>
      <c r="Q3923" s="165">
        <f t="shared" si="2"/>
        <v>0</v>
      </c>
      <c r="R3923" s="167"/>
      <c r="S3923" s="167">
        <v>2224.0</v>
      </c>
      <c r="T3923" s="168">
        <f t="shared" si="3"/>
        <v>67789.472</v>
      </c>
      <c r="U3923" s="168">
        <f t="shared" si="4"/>
        <v>0</v>
      </c>
      <c r="V3923" s="168">
        <f t="shared" si="5"/>
        <v>0</v>
      </c>
      <c r="W3923" s="168">
        <f t="shared" si="6"/>
        <v>0</v>
      </c>
      <c r="X3923" s="168">
        <f t="shared" si="7"/>
        <v>0</v>
      </c>
      <c r="Y3923" s="168">
        <f t="shared" si="8"/>
        <v>0</v>
      </c>
      <c r="Z3923" s="168">
        <f t="shared" si="9"/>
        <v>0</v>
      </c>
    </row>
    <row r="3924" ht="15.0" customHeight="1">
      <c r="A3924" s="157" t="s">
        <v>4955</v>
      </c>
      <c r="B3924" s="158" t="s">
        <v>19</v>
      </c>
      <c r="C3924" s="158" t="s">
        <v>4928</v>
      </c>
      <c r="D3924" s="159">
        <v>45054.0</v>
      </c>
      <c r="E3924" s="157" t="s">
        <v>731</v>
      </c>
      <c r="F3924" s="160">
        <v>117650.16</v>
      </c>
      <c r="G3924" s="160">
        <f>'FACP$'!$F3924*0.16</f>
        <v>18824.0256</v>
      </c>
      <c r="H3924" s="160">
        <f t="shared" si="122"/>
        <v>136474.1856</v>
      </c>
      <c r="I3924" s="160"/>
      <c r="J3924" s="161"/>
      <c r="K3924" s="160"/>
      <c r="L3924" s="160">
        <f>+'FACP$'!$H3924-'FACP$'!$I3924-'FACP$'!$K3924</f>
        <v>136474.1856</v>
      </c>
      <c r="M3924" s="162" t="s">
        <v>732</v>
      </c>
      <c r="N3924" s="162" t="s">
        <v>554</v>
      </c>
      <c r="O3924" s="164">
        <v>45091.0</v>
      </c>
      <c r="P3924" s="164">
        <f t="array" ref="P3924">XLOOKUP('FACP$'!$B3924,'perfil de pagos'!$A$4:$A$46,'perfil de pagos'!$B$4:$B$46+'FACP$'!$D3924)</f>
        <v>45064</v>
      </c>
      <c r="Q3924" s="165">
        <f t="shared" si="2"/>
        <v>0</v>
      </c>
      <c r="R3924" s="167"/>
      <c r="S3924" s="167">
        <v>2224.0</v>
      </c>
      <c r="T3924" s="168">
        <f t="shared" si="3"/>
        <v>136474.1856</v>
      </c>
      <c r="U3924" s="168">
        <f t="shared" si="4"/>
        <v>0</v>
      </c>
      <c r="V3924" s="168">
        <f t="shared" si="5"/>
        <v>0</v>
      </c>
      <c r="W3924" s="168">
        <f t="shared" si="6"/>
        <v>0</v>
      </c>
      <c r="X3924" s="168">
        <f t="shared" si="7"/>
        <v>0</v>
      </c>
      <c r="Y3924" s="168">
        <f t="shared" si="8"/>
        <v>0</v>
      </c>
      <c r="Z3924" s="168">
        <f t="shared" si="9"/>
        <v>0</v>
      </c>
    </row>
    <row r="3925" ht="15.0" customHeight="1">
      <c r="A3925" s="157" t="s">
        <v>4956</v>
      </c>
      <c r="B3925" s="158" t="s">
        <v>22</v>
      </c>
      <c r="C3925" s="158" t="s">
        <v>4928</v>
      </c>
      <c r="D3925" s="159">
        <v>45054.0</v>
      </c>
      <c r="E3925" s="157" t="s">
        <v>731</v>
      </c>
      <c r="F3925" s="160">
        <v>130064.86</v>
      </c>
      <c r="G3925" s="160">
        <f>'FACP$'!$F3925*0.16</f>
        <v>20810.3776</v>
      </c>
      <c r="H3925" s="160">
        <f t="shared" si="122"/>
        <v>150875.2376</v>
      </c>
      <c r="I3925" s="160"/>
      <c r="J3925" s="161"/>
      <c r="K3925" s="160"/>
      <c r="L3925" s="160">
        <f>+'FACP$'!$H3925-'FACP$'!$I3925-'FACP$'!$K3925</f>
        <v>150875.2376</v>
      </c>
      <c r="M3925" s="162" t="s">
        <v>220</v>
      </c>
      <c r="N3925" s="162" t="s">
        <v>554</v>
      </c>
      <c r="O3925" s="164">
        <v>45100.0</v>
      </c>
      <c r="P3925" s="164">
        <f t="array" ref="P3925">XLOOKUP('FACP$'!$B3925,'perfil de pagos'!$A$4:$A$46,'perfil de pagos'!$B$4:$B$46+'FACP$'!$D3925)</f>
        <v>45064</v>
      </c>
      <c r="Q3925" s="165">
        <f t="shared" si="2"/>
        <v>0</v>
      </c>
      <c r="R3925" s="167"/>
      <c r="S3925" s="167">
        <v>2230.0</v>
      </c>
      <c r="T3925" s="168">
        <f t="shared" si="3"/>
        <v>150875.2376</v>
      </c>
      <c r="U3925" s="168">
        <f t="shared" si="4"/>
        <v>0</v>
      </c>
      <c r="V3925" s="168">
        <f t="shared" si="5"/>
        <v>0</v>
      </c>
      <c r="W3925" s="168">
        <f t="shared" si="6"/>
        <v>0</v>
      </c>
      <c r="X3925" s="168">
        <f t="shared" si="7"/>
        <v>0</v>
      </c>
      <c r="Y3925" s="168">
        <f t="shared" si="8"/>
        <v>0</v>
      </c>
      <c r="Z3925" s="168">
        <f t="shared" si="9"/>
        <v>0</v>
      </c>
    </row>
    <row r="3926" ht="15.0" customHeight="1">
      <c r="A3926" s="157" t="s">
        <v>4957</v>
      </c>
      <c r="B3926" s="158" t="s">
        <v>25</v>
      </c>
      <c r="C3926" s="158" t="s">
        <v>4928</v>
      </c>
      <c r="D3926" s="159">
        <v>45054.0</v>
      </c>
      <c r="E3926" s="157" t="s">
        <v>731</v>
      </c>
      <c r="F3926" s="160">
        <v>38368.54</v>
      </c>
      <c r="G3926" s="160">
        <f>'FACP$'!$F3926*0.16</f>
        <v>6138.9664</v>
      </c>
      <c r="H3926" s="160">
        <f t="shared" si="122"/>
        <v>44507.5064</v>
      </c>
      <c r="I3926" s="160"/>
      <c r="J3926" s="161"/>
      <c r="K3926" s="160"/>
      <c r="L3926" s="160">
        <f>+'FACP$'!$H3926-'FACP$'!$I3926-'FACP$'!$K3926</f>
        <v>44507.5064</v>
      </c>
      <c r="M3926" s="162" t="s">
        <v>4388</v>
      </c>
      <c r="N3926" s="162" t="s">
        <v>554</v>
      </c>
      <c r="O3926" s="164">
        <v>45160.0</v>
      </c>
      <c r="P3926" s="164">
        <f t="array" ref="P3926">XLOOKUP('FACP$'!$B3926,'perfil de pagos'!$A$4:$A$46,'perfil de pagos'!$B$4:$B$46+'FACP$'!$D3926)</f>
        <v>45064</v>
      </c>
      <c r="Q3926" s="165">
        <f t="shared" si="2"/>
        <v>0</v>
      </c>
      <c r="R3926" s="167"/>
      <c r="S3926" s="167"/>
      <c r="T3926" s="168">
        <f t="shared" si="3"/>
        <v>44507.5064</v>
      </c>
      <c r="U3926" s="168">
        <f t="shared" si="4"/>
        <v>0</v>
      </c>
      <c r="V3926" s="168">
        <f t="shared" si="5"/>
        <v>0</v>
      </c>
      <c r="W3926" s="168">
        <f t="shared" si="6"/>
        <v>0</v>
      </c>
      <c r="X3926" s="168">
        <f t="shared" si="7"/>
        <v>0</v>
      </c>
      <c r="Y3926" s="168">
        <f t="shared" si="8"/>
        <v>0</v>
      </c>
      <c r="Z3926" s="168">
        <f t="shared" si="9"/>
        <v>0</v>
      </c>
    </row>
    <row r="3927" ht="15.0" customHeight="1">
      <c r="A3927" s="157" t="s">
        <v>4958</v>
      </c>
      <c r="B3927" s="158" t="s">
        <v>29</v>
      </c>
      <c r="C3927" s="158" t="s">
        <v>4928</v>
      </c>
      <c r="D3927" s="159">
        <v>45054.0</v>
      </c>
      <c r="E3927" s="157" t="s">
        <v>731</v>
      </c>
      <c r="F3927" s="160">
        <v>204262.36</v>
      </c>
      <c r="G3927" s="160">
        <f>'FACP$'!$F3927*0.16</f>
        <v>32681.9776</v>
      </c>
      <c r="H3927" s="160">
        <f t="shared" si="122"/>
        <v>236944.3376</v>
      </c>
      <c r="I3927" s="160"/>
      <c r="J3927" s="161"/>
      <c r="K3927" s="160"/>
      <c r="L3927" s="160">
        <f>+'FACP$'!$H3927-'FACP$'!$I3927-'FACP$'!$K3927</f>
        <v>236944.3376</v>
      </c>
      <c r="M3927" s="162" t="s">
        <v>130</v>
      </c>
      <c r="N3927" s="162" t="s">
        <v>554</v>
      </c>
      <c r="O3927" s="164">
        <v>45061.0</v>
      </c>
      <c r="P3927" s="164">
        <f t="array" ref="P3927">XLOOKUP('FACP$'!$B3927,'perfil de pagos'!$A$4:$A$46,'perfil de pagos'!$B$4:$B$46+'FACP$'!$D3927)</f>
        <v>45064</v>
      </c>
      <c r="Q3927" s="165">
        <f t="shared" si="2"/>
        <v>0</v>
      </c>
      <c r="R3927" s="167"/>
      <c r="S3927" s="167">
        <v>2157.0</v>
      </c>
      <c r="T3927" s="168">
        <f t="shared" si="3"/>
        <v>236944.3376</v>
      </c>
      <c r="U3927" s="168">
        <f t="shared" si="4"/>
        <v>0</v>
      </c>
      <c r="V3927" s="168">
        <f t="shared" si="5"/>
        <v>0</v>
      </c>
      <c r="W3927" s="168">
        <f t="shared" si="6"/>
        <v>0</v>
      </c>
      <c r="X3927" s="168">
        <f t="shared" si="7"/>
        <v>0</v>
      </c>
      <c r="Y3927" s="168">
        <f t="shared" si="8"/>
        <v>0</v>
      </c>
      <c r="Z3927" s="168">
        <f t="shared" si="9"/>
        <v>0</v>
      </c>
    </row>
    <row r="3928" ht="15.0" customHeight="1">
      <c r="A3928" s="157" t="s">
        <v>4959</v>
      </c>
      <c r="B3928" s="158" t="s">
        <v>29</v>
      </c>
      <c r="C3928" s="158" t="s">
        <v>4960</v>
      </c>
      <c r="D3928" s="159">
        <v>45054.0</v>
      </c>
      <c r="E3928" s="157" t="s">
        <v>731</v>
      </c>
      <c r="F3928" s="160">
        <v>315893.41</v>
      </c>
      <c r="G3928" s="160">
        <f>'FACP$'!$F3928*0.16</f>
        <v>50542.9456</v>
      </c>
      <c r="H3928" s="160">
        <f t="shared" si="122"/>
        <v>366436.3556</v>
      </c>
      <c r="I3928" s="160">
        <v>299075.15</v>
      </c>
      <c r="J3928" s="161">
        <f>+'NCP$'!A251</f>
        <v>338</v>
      </c>
      <c r="K3928" s="160">
        <f>+'NCP$'!H251</f>
        <v>67361.2116</v>
      </c>
      <c r="L3928" s="160">
        <v>0.0</v>
      </c>
      <c r="M3928" s="162" t="s">
        <v>130</v>
      </c>
      <c r="N3928" s="162" t="s">
        <v>554</v>
      </c>
      <c r="O3928" s="164"/>
      <c r="P3928" s="164">
        <f t="array" ref="P3928">XLOOKUP('FACP$'!$B3928,'perfil de pagos'!$A$4:$A$46,'perfil de pagos'!$B$4:$B$46+'FACP$'!$D3928)</f>
        <v>45064</v>
      </c>
      <c r="Q3928" s="165">
        <f t="shared" si="2"/>
        <v>0</v>
      </c>
      <c r="R3928" s="167" t="s">
        <v>4909</v>
      </c>
      <c r="S3928" s="167"/>
      <c r="T3928" s="168">
        <f t="shared" si="3"/>
        <v>0</v>
      </c>
      <c r="U3928" s="168">
        <f t="shared" si="4"/>
        <v>0</v>
      </c>
      <c r="V3928" s="168">
        <f t="shared" si="5"/>
        <v>0</v>
      </c>
      <c r="W3928" s="168">
        <f t="shared" si="6"/>
        <v>0</v>
      </c>
      <c r="X3928" s="168">
        <f t="shared" si="7"/>
        <v>0</v>
      </c>
      <c r="Y3928" s="168">
        <f t="shared" si="8"/>
        <v>0</v>
      </c>
      <c r="Z3928" s="168">
        <f t="shared" si="9"/>
        <v>0</v>
      </c>
    </row>
    <row r="3929" ht="15.0" customHeight="1">
      <c r="A3929" s="157" t="s">
        <v>4961</v>
      </c>
      <c r="B3929" s="158" t="s">
        <v>38</v>
      </c>
      <c r="C3929" s="158" t="s">
        <v>4928</v>
      </c>
      <c r="D3929" s="159">
        <v>45054.0</v>
      </c>
      <c r="E3929" s="157" t="s">
        <v>731</v>
      </c>
      <c r="F3929" s="160">
        <v>215722.08</v>
      </c>
      <c r="G3929" s="160">
        <f>'FACP$'!$F3929*0.16</f>
        <v>34515.5328</v>
      </c>
      <c r="H3929" s="160">
        <f t="shared" si="122"/>
        <v>250237.6128</v>
      </c>
      <c r="I3929" s="160"/>
      <c r="J3929" s="161"/>
      <c r="K3929" s="160"/>
      <c r="L3929" s="160">
        <f>+'FACP$'!$H3929-'FACP$'!$I3929-'FACP$'!$K3929</f>
        <v>250237.6128</v>
      </c>
      <c r="M3929" s="162" t="s">
        <v>145</v>
      </c>
      <c r="N3929" s="162" t="s">
        <v>554</v>
      </c>
      <c r="O3929" s="164">
        <v>45105.0</v>
      </c>
      <c r="P3929" s="164">
        <f t="array" ref="P3929">XLOOKUP('FACP$'!$B3929,'perfil de pagos'!$A$4:$A$46,'perfil de pagos'!$B$4:$B$46+'FACP$'!$D3929)</f>
        <v>45084</v>
      </c>
      <c r="Q3929" s="165">
        <f t="shared" si="2"/>
        <v>0</v>
      </c>
      <c r="R3929" s="167"/>
      <c r="S3929" s="167">
        <v>2240.0</v>
      </c>
      <c r="T3929" s="168">
        <f t="shared" si="3"/>
        <v>250237.6128</v>
      </c>
      <c r="U3929" s="168">
        <f t="shared" si="4"/>
        <v>0</v>
      </c>
      <c r="V3929" s="168">
        <f t="shared" si="5"/>
        <v>0</v>
      </c>
      <c r="W3929" s="168">
        <f t="shared" si="6"/>
        <v>0</v>
      </c>
      <c r="X3929" s="168">
        <f t="shared" si="7"/>
        <v>0</v>
      </c>
      <c r="Y3929" s="168">
        <f t="shared" si="8"/>
        <v>0</v>
      </c>
      <c r="Z3929" s="168">
        <f t="shared" si="9"/>
        <v>0</v>
      </c>
    </row>
    <row r="3930" ht="15.0" customHeight="1">
      <c r="A3930" s="157" t="s">
        <v>4962</v>
      </c>
      <c r="B3930" s="158" t="s">
        <v>38</v>
      </c>
      <c r="C3930" s="158" t="s">
        <v>4928</v>
      </c>
      <c r="D3930" s="159">
        <v>45054.0</v>
      </c>
      <c r="E3930" s="157" t="s">
        <v>731</v>
      </c>
      <c r="F3930" s="160">
        <v>109821.41</v>
      </c>
      <c r="G3930" s="160">
        <f>'FACP$'!$F3930*0.16</f>
        <v>17571.4256</v>
      </c>
      <c r="H3930" s="160">
        <f t="shared" si="122"/>
        <v>127392.8356</v>
      </c>
      <c r="I3930" s="160"/>
      <c r="J3930" s="161"/>
      <c r="K3930" s="160"/>
      <c r="L3930" s="160">
        <f>+'FACP$'!$H3930-'FACP$'!$I3930-'FACP$'!$K3930</f>
        <v>127392.8356</v>
      </c>
      <c r="M3930" s="162" t="s">
        <v>642</v>
      </c>
      <c r="N3930" s="162" t="s">
        <v>554</v>
      </c>
      <c r="O3930" s="164">
        <v>45105.0</v>
      </c>
      <c r="P3930" s="164">
        <f t="array" ref="P3930">XLOOKUP('FACP$'!$B3930,'perfil de pagos'!$A$4:$A$46,'perfil de pagos'!$B$4:$B$46+'FACP$'!$D3930)</f>
        <v>45084</v>
      </c>
      <c r="Q3930" s="165">
        <f t="shared" si="2"/>
        <v>0</v>
      </c>
      <c r="R3930" s="167"/>
      <c r="S3930" s="167">
        <v>2240.0</v>
      </c>
      <c r="T3930" s="168">
        <f t="shared" si="3"/>
        <v>127392.8356</v>
      </c>
      <c r="U3930" s="168">
        <f t="shared" si="4"/>
        <v>0</v>
      </c>
      <c r="V3930" s="168">
        <f t="shared" si="5"/>
        <v>0</v>
      </c>
      <c r="W3930" s="168">
        <f t="shared" si="6"/>
        <v>0</v>
      </c>
      <c r="X3930" s="168">
        <f t="shared" si="7"/>
        <v>0</v>
      </c>
      <c r="Y3930" s="168">
        <f t="shared" si="8"/>
        <v>0</v>
      </c>
      <c r="Z3930" s="168">
        <f t="shared" si="9"/>
        <v>0</v>
      </c>
    </row>
    <row r="3931" ht="15.0" customHeight="1">
      <c r="A3931" s="157" t="s">
        <v>4963</v>
      </c>
      <c r="B3931" s="158" t="s">
        <v>37</v>
      </c>
      <c r="C3931" s="158" t="s">
        <v>4928</v>
      </c>
      <c r="D3931" s="159">
        <v>45054.0</v>
      </c>
      <c r="E3931" s="157" t="s">
        <v>731</v>
      </c>
      <c r="F3931" s="160">
        <v>1244919.42</v>
      </c>
      <c r="G3931" s="160">
        <f>'FACP$'!$F3931*0.16</f>
        <v>199187.1072</v>
      </c>
      <c r="H3931" s="160">
        <f t="shared" si="122"/>
        <v>1444106.527</v>
      </c>
      <c r="I3931" s="160"/>
      <c r="J3931" s="161">
        <f>'NCP$'!A241</f>
        <v>323</v>
      </c>
      <c r="K3931" s="160">
        <f>'NCP$'!H241</f>
        <v>1746.6004</v>
      </c>
      <c r="L3931" s="160">
        <f>+'FACP$'!$H3931-'FACP$'!$I3931-'FACP$'!$K3931</f>
        <v>1442359.927</v>
      </c>
      <c r="M3931" s="162" t="s">
        <v>116</v>
      </c>
      <c r="N3931" s="162" t="s">
        <v>554</v>
      </c>
      <c r="O3931" s="164">
        <v>45075.0</v>
      </c>
      <c r="P3931" s="164">
        <f t="array" ref="P3931">XLOOKUP('FACP$'!$B3931,'perfil de pagos'!$A$4:$A$46,'perfil de pagos'!$B$4:$B$46+'FACP$'!$D3931)</f>
        <v>45064</v>
      </c>
      <c r="Q3931" s="165">
        <f t="shared" si="2"/>
        <v>0</v>
      </c>
      <c r="R3931" s="167"/>
      <c r="S3931" s="167">
        <v>2182.0</v>
      </c>
      <c r="T3931" s="168">
        <f t="shared" si="3"/>
        <v>1442359.927</v>
      </c>
      <c r="U3931" s="168">
        <f t="shared" si="4"/>
        <v>0</v>
      </c>
      <c r="V3931" s="168">
        <f t="shared" si="5"/>
        <v>0</v>
      </c>
      <c r="W3931" s="168">
        <f t="shared" si="6"/>
        <v>0</v>
      </c>
      <c r="X3931" s="168">
        <f t="shared" si="7"/>
        <v>0</v>
      </c>
      <c r="Y3931" s="168">
        <f t="shared" si="8"/>
        <v>0</v>
      </c>
      <c r="Z3931" s="168">
        <f t="shared" si="9"/>
        <v>0</v>
      </c>
    </row>
    <row r="3932" ht="15.0" customHeight="1">
      <c r="A3932" s="157" t="s">
        <v>4964</v>
      </c>
      <c r="B3932" s="158" t="s">
        <v>35</v>
      </c>
      <c r="C3932" s="158" t="s">
        <v>4965</v>
      </c>
      <c r="D3932" s="159">
        <v>45065.0</v>
      </c>
      <c r="E3932" s="157" t="s">
        <v>731</v>
      </c>
      <c r="F3932" s="160">
        <v>241219.29</v>
      </c>
      <c r="G3932" s="160">
        <f>'FACP$'!$F3932*0.16</f>
        <v>38595.0864</v>
      </c>
      <c r="H3932" s="160">
        <f t="shared" si="122"/>
        <v>279814.3764</v>
      </c>
      <c r="I3932" s="160">
        <v>139907.19</v>
      </c>
      <c r="J3932" s="161"/>
      <c r="K3932" s="160"/>
      <c r="L3932" s="160">
        <f>+'FACP$'!$H3932-'FACP$'!$I3932-'FACP$'!$K3932</f>
        <v>139907.1864</v>
      </c>
      <c r="M3932" s="162" t="s">
        <v>276</v>
      </c>
      <c r="N3932" s="162" t="s">
        <v>554</v>
      </c>
      <c r="O3932" s="164">
        <v>45177.0</v>
      </c>
      <c r="P3932" s="164">
        <f t="array" ref="P3932">XLOOKUP('FACP$'!$B3932,'perfil de pagos'!$A$4:$A$46,'perfil de pagos'!$B$4:$B$46+'FACP$'!$D3932)</f>
        <v>45075</v>
      </c>
      <c r="Q3932" s="165">
        <f t="shared" si="2"/>
        <v>0</v>
      </c>
      <c r="R3932" s="220" t="s">
        <v>4966</v>
      </c>
      <c r="S3932" s="167" t="s">
        <v>4967</v>
      </c>
      <c r="T3932" s="168">
        <f t="shared" si="3"/>
        <v>139907.1864</v>
      </c>
      <c r="U3932" s="168">
        <f t="shared" si="4"/>
        <v>0</v>
      </c>
      <c r="V3932" s="168">
        <f t="shared" si="5"/>
        <v>0</v>
      </c>
      <c r="W3932" s="168">
        <f t="shared" si="6"/>
        <v>0</v>
      </c>
      <c r="X3932" s="168">
        <f t="shared" si="7"/>
        <v>0</v>
      </c>
      <c r="Y3932" s="168">
        <f t="shared" si="8"/>
        <v>0</v>
      </c>
      <c r="Z3932" s="168">
        <f t="shared" si="9"/>
        <v>0</v>
      </c>
    </row>
    <row r="3933" ht="15.0" customHeight="1">
      <c r="A3933" s="157" t="s">
        <v>4968</v>
      </c>
      <c r="B3933" s="158" t="s">
        <v>36</v>
      </c>
      <c r="C3933" s="158" t="s">
        <v>4965</v>
      </c>
      <c r="D3933" s="159">
        <v>45065.0</v>
      </c>
      <c r="E3933" s="157" t="s">
        <v>731</v>
      </c>
      <c r="F3933" s="160">
        <v>84968.19</v>
      </c>
      <c r="G3933" s="160">
        <f>'FACP$'!$F3933*0.16</f>
        <v>13594.9104</v>
      </c>
      <c r="H3933" s="160">
        <f t="shared" si="122"/>
        <v>98563.1004</v>
      </c>
      <c r="I3933" s="160"/>
      <c r="J3933" s="161"/>
      <c r="K3933" s="160"/>
      <c r="L3933" s="160">
        <f>+'FACP$'!$H3933-'FACP$'!$I3933-'FACP$'!$K3933</f>
        <v>98563.1004</v>
      </c>
      <c r="M3933" s="162" t="s">
        <v>278</v>
      </c>
      <c r="N3933" s="162" t="s">
        <v>554</v>
      </c>
      <c r="O3933" s="164">
        <v>45069.0</v>
      </c>
      <c r="P3933" s="164">
        <f t="array" ref="P3933">XLOOKUP('FACP$'!$B3933,'perfil de pagos'!$A$4:$A$46,'perfil de pagos'!$B$4:$B$46+'FACP$'!$D3933)</f>
        <v>45075</v>
      </c>
      <c r="Q3933" s="165">
        <f t="shared" si="2"/>
        <v>0</v>
      </c>
      <c r="R3933" s="167"/>
      <c r="S3933" s="167">
        <v>2176.0</v>
      </c>
      <c r="T3933" s="168">
        <f t="shared" si="3"/>
        <v>98563.1004</v>
      </c>
      <c r="U3933" s="168">
        <f t="shared" si="4"/>
        <v>0</v>
      </c>
      <c r="V3933" s="168">
        <f t="shared" si="5"/>
        <v>0</v>
      </c>
      <c r="W3933" s="168">
        <f t="shared" si="6"/>
        <v>0</v>
      </c>
      <c r="X3933" s="168">
        <f t="shared" si="7"/>
        <v>0</v>
      </c>
      <c r="Y3933" s="168">
        <f t="shared" si="8"/>
        <v>0</v>
      </c>
      <c r="Z3933" s="168">
        <f t="shared" si="9"/>
        <v>0</v>
      </c>
    </row>
    <row r="3934" ht="15.0" customHeight="1">
      <c r="A3934" s="157" t="s">
        <v>4969</v>
      </c>
      <c r="B3934" s="158" t="s">
        <v>36</v>
      </c>
      <c r="C3934" s="158" t="s">
        <v>4970</v>
      </c>
      <c r="D3934" s="159">
        <v>45065.0</v>
      </c>
      <c r="E3934" s="157" t="s">
        <v>731</v>
      </c>
      <c r="F3934" s="160">
        <v>85348.69</v>
      </c>
      <c r="G3934" s="160">
        <f>'FACP$'!$F3934*0.16</f>
        <v>13655.7904</v>
      </c>
      <c r="H3934" s="160">
        <f t="shared" si="122"/>
        <v>99004.4804</v>
      </c>
      <c r="I3934" s="160"/>
      <c r="J3934" s="161"/>
      <c r="K3934" s="160"/>
      <c r="L3934" s="160">
        <f>+'FACP$'!$H3934-'FACP$'!$I3934-'FACP$'!$K3934</f>
        <v>99004.4804</v>
      </c>
      <c r="M3934" s="162" t="s">
        <v>278</v>
      </c>
      <c r="N3934" s="162" t="s">
        <v>554</v>
      </c>
      <c r="O3934" s="164">
        <v>45069.0</v>
      </c>
      <c r="P3934" s="164">
        <f t="array" ref="P3934">XLOOKUP('FACP$'!$B3934,'perfil de pagos'!$A$4:$A$46,'perfil de pagos'!$B$4:$B$46+'FACP$'!$D3934)</f>
        <v>45075</v>
      </c>
      <c r="Q3934" s="165">
        <f t="shared" si="2"/>
        <v>0</v>
      </c>
      <c r="R3934" s="167"/>
      <c r="S3934" s="167"/>
      <c r="T3934" s="168">
        <f t="shared" si="3"/>
        <v>99004.4804</v>
      </c>
      <c r="U3934" s="168">
        <f t="shared" si="4"/>
        <v>0</v>
      </c>
      <c r="V3934" s="168">
        <f t="shared" si="5"/>
        <v>0</v>
      </c>
      <c r="W3934" s="168">
        <f t="shared" si="6"/>
        <v>0</v>
      </c>
      <c r="X3934" s="168">
        <f t="shared" si="7"/>
        <v>0</v>
      </c>
      <c r="Y3934" s="168">
        <f t="shared" si="8"/>
        <v>0</v>
      </c>
      <c r="Z3934" s="168">
        <f t="shared" si="9"/>
        <v>0</v>
      </c>
    </row>
    <row r="3935" ht="15.0" customHeight="1">
      <c r="A3935" s="157" t="s">
        <v>4971</v>
      </c>
      <c r="B3935" s="158" t="s">
        <v>41</v>
      </c>
      <c r="C3935" s="158" t="s">
        <v>4965</v>
      </c>
      <c r="D3935" s="159">
        <v>45065.0</v>
      </c>
      <c r="E3935" s="157" t="s">
        <v>731</v>
      </c>
      <c r="F3935" s="160">
        <v>273716.89</v>
      </c>
      <c r="G3935" s="160">
        <f>'FACP$'!$F3935*0.16</f>
        <v>43794.7024</v>
      </c>
      <c r="H3935" s="160">
        <f t="shared" si="122"/>
        <v>317511.5924</v>
      </c>
      <c r="I3935" s="160"/>
      <c r="J3935" s="161"/>
      <c r="K3935" s="160"/>
      <c r="L3935" s="160">
        <f>+'FACP$'!$H3935-'FACP$'!$I3935-'FACP$'!$K3935</f>
        <v>317511.5924</v>
      </c>
      <c r="M3935" s="162" t="s">
        <v>121</v>
      </c>
      <c r="N3935" s="162" t="s">
        <v>554</v>
      </c>
      <c r="O3935" s="164">
        <v>45106.0</v>
      </c>
      <c r="P3935" s="164">
        <f t="array" ref="P3935">XLOOKUP('FACP$'!$B3935,'perfil de pagos'!$A$4:$A$46,'perfil de pagos'!$B$4:$B$46+'FACP$'!$D3935)</f>
        <v>45075</v>
      </c>
      <c r="Q3935" s="165">
        <f t="shared" si="2"/>
        <v>0</v>
      </c>
      <c r="R3935" s="167"/>
      <c r="S3935" s="167">
        <v>2247.0</v>
      </c>
      <c r="T3935" s="168">
        <f t="shared" si="3"/>
        <v>317511.5924</v>
      </c>
      <c r="U3935" s="168">
        <f t="shared" si="4"/>
        <v>0</v>
      </c>
      <c r="V3935" s="168">
        <f t="shared" si="5"/>
        <v>0</v>
      </c>
      <c r="W3935" s="168">
        <f t="shared" si="6"/>
        <v>0</v>
      </c>
      <c r="X3935" s="168">
        <f t="shared" si="7"/>
        <v>0</v>
      </c>
      <c r="Y3935" s="168">
        <f t="shared" si="8"/>
        <v>0</v>
      </c>
      <c r="Z3935" s="168">
        <f t="shared" si="9"/>
        <v>0</v>
      </c>
    </row>
    <row r="3936" ht="15.0" customHeight="1">
      <c r="A3936" s="157" t="s">
        <v>4972</v>
      </c>
      <c r="B3936" s="158" t="s">
        <v>42</v>
      </c>
      <c r="C3936" s="158" t="s">
        <v>4965</v>
      </c>
      <c r="D3936" s="159">
        <v>45065.0</v>
      </c>
      <c r="E3936" s="157" t="s">
        <v>731</v>
      </c>
      <c r="F3936" s="160">
        <v>65858.2</v>
      </c>
      <c r="G3936" s="160">
        <f>'FACP$'!$F3936*0.16</f>
        <v>10537.312</v>
      </c>
      <c r="H3936" s="160">
        <f t="shared" si="122"/>
        <v>76395.512</v>
      </c>
      <c r="I3936" s="160"/>
      <c r="J3936" s="161"/>
      <c r="K3936" s="160"/>
      <c r="L3936" s="160">
        <f>+'FACP$'!$H3936-'FACP$'!$I3936-'FACP$'!$K3936</f>
        <v>76395.512</v>
      </c>
      <c r="M3936" s="162" t="s">
        <v>42</v>
      </c>
      <c r="N3936" s="162" t="s">
        <v>554</v>
      </c>
      <c r="O3936" s="164">
        <v>45083.0</v>
      </c>
      <c r="P3936" s="164">
        <f t="array" ref="P3936">XLOOKUP('FACP$'!$B3936,'perfil de pagos'!$A$4:$A$46,'perfil de pagos'!$B$4:$B$46+'FACP$'!$D3936)</f>
        <v>45075</v>
      </c>
      <c r="Q3936" s="165">
        <f t="shared" si="2"/>
        <v>0</v>
      </c>
      <c r="R3936" s="167"/>
      <c r="S3936" s="167">
        <v>2203.0</v>
      </c>
      <c r="T3936" s="168">
        <f t="shared" si="3"/>
        <v>76395.512</v>
      </c>
      <c r="U3936" s="168">
        <f t="shared" si="4"/>
        <v>0</v>
      </c>
      <c r="V3936" s="168">
        <f t="shared" si="5"/>
        <v>0</v>
      </c>
      <c r="W3936" s="168">
        <f t="shared" si="6"/>
        <v>0</v>
      </c>
      <c r="X3936" s="168">
        <f t="shared" si="7"/>
        <v>0</v>
      </c>
      <c r="Y3936" s="168">
        <f t="shared" si="8"/>
        <v>0</v>
      </c>
      <c r="Z3936" s="168">
        <f t="shared" si="9"/>
        <v>0</v>
      </c>
    </row>
    <row r="3937" ht="15.0" customHeight="1">
      <c r="A3937" s="157" t="s">
        <v>4973</v>
      </c>
      <c r="B3937" s="158" t="s">
        <v>43</v>
      </c>
      <c r="C3937" s="158" t="s">
        <v>4965</v>
      </c>
      <c r="D3937" s="159">
        <v>45065.0</v>
      </c>
      <c r="E3937" s="157" t="s">
        <v>731</v>
      </c>
      <c r="F3937" s="160">
        <v>92504.61</v>
      </c>
      <c r="G3937" s="160">
        <f>'FACP$'!$F3937*0.16</f>
        <v>14800.7376</v>
      </c>
      <c r="H3937" s="160">
        <f t="shared" si="122"/>
        <v>107305.3476</v>
      </c>
      <c r="I3937" s="160"/>
      <c r="J3937" s="161"/>
      <c r="K3937" s="160"/>
      <c r="L3937" s="160">
        <f>+'FACP$'!$H3937-'FACP$'!$I3937-'FACP$'!$K3937</f>
        <v>107305.3476</v>
      </c>
      <c r="M3937" s="162" t="s">
        <v>43</v>
      </c>
      <c r="N3937" s="162" t="s">
        <v>554</v>
      </c>
      <c r="O3937" s="164">
        <v>45131.0</v>
      </c>
      <c r="P3937" s="164">
        <f t="array" ref="P3937">XLOOKUP('FACP$'!$B3937,'perfil de pagos'!$A$4:$A$46,'perfil de pagos'!$B$4:$B$46+'FACP$'!$D3937)</f>
        <v>45090</v>
      </c>
      <c r="Q3937" s="165">
        <f t="shared" si="2"/>
        <v>0</v>
      </c>
      <c r="R3937" s="167"/>
      <c r="S3937" s="167">
        <v>2312.0</v>
      </c>
      <c r="T3937" s="168">
        <f t="shared" si="3"/>
        <v>107305.3476</v>
      </c>
      <c r="U3937" s="168">
        <f t="shared" si="4"/>
        <v>0</v>
      </c>
      <c r="V3937" s="168">
        <f t="shared" si="5"/>
        <v>0</v>
      </c>
      <c r="W3937" s="168">
        <f t="shared" si="6"/>
        <v>0</v>
      </c>
      <c r="X3937" s="168">
        <f t="shared" si="7"/>
        <v>0</v>
      </c>
      <c r="Y3937" s="168">
        <f t="shared" si="8"/>
        <v>0</v>
      </c>
      <c r="Z3937" s="168">
        <f t="shared" si="9"/>
        <v>0</v>
      </c>
    </row>
    <row r="3938" ht="15.0" customHeight="1">
      <c r="A3938" s="157" t="s">
        <v>4974</v>
      </c>
      <c r="B3938" s="158" t="s">
        <v>44</v>
      </c>
      <c r="C3938" s="158" t="s">
        <v>4965</v>
      </c>
      <c r="D3938" s="159">
        <v>45065.0</v>
      </c>
      <c r="E3938" s="157" t="s">
        <v>731</v>
      </c>
      <c r="F3938" s="160">
        <v>45184.41</v>
      </c>
      <c r="G3938" s="160">
        <f>'FACP$'!$F3938*0.16</f>
        <v>7229.5056</v>
      </c>
      <c r="H3938" s="160">
        <f t="shared" si="122"/>
        <v>52413.9156</v>
      </c>
      <c r="I3938" s="160"/>
      <c r="J3938" s="161"/>
      <c r="K3938" s="160"/>
      <c r="L3938" s="160">
        <f>+'FACP$'!$H3938-'FACP$'!$I3938-'FACP$'!$K3938</f>
        <v>52413.9156</v>
      </c>
      <c r="M3938" s="162" t="s">
        <v>361</v>
      </c>
      <c r="N3938" s="162" t="s">
        <v>554</v>
      </c>
      <c r="O3938" s="164">
        <v>45079.0</v>
      </c>
      <c r="P3938" s="164">
        <f t="array" ref="P3938">XLOOKUP('FACP$'!$B3938,'perfil de pagos'!$A$4:$A$46,'perfil de pagos'!$B$4:$B$46+'FACP$'!$D3938)</f>
        <v>45075</v>
      </c>
      <c r="Q3938" s="165">
        <f t="shared" si="2"/>
        <v>0</v>
      </c>
      <c r="R3938" s="167"/>
      <c r="S3938" s="167">
        <v>2194.0</v>
      </c>
      <c r="T3938" s="168">
        <f t="shared" si="3"/>
        <v>52413.9156</v>
      </c>
      <c r="U3938" s="168">
        <f t="shared" si="4"/>
        <v>0</v>
      </c>
      <c r="V3938" s="168">
        <f t="shared" si="5"/>
        <v>0</v>
      </c>
      <c r="W3938" s="168">
        <f t="shared" si="6"/>
        <v>0</v>
      </c>
      <c r="X3938" s="168">
        <f t="shared" si="7"/>
        <v>0</v>
      </c>
      <c r="Y3938" s="168">
        <f t="shared" si="8"/>
        <v>0</v>
      </c>
      <c r="Z3938" s="168">
        <f t="shared" si="9"/>
        <v>0</v>
      </c>
    </row>
    <row r="3939" ht="15.0" customHeight="1">
      <c r="A3939" s="157" t="s">
        <v>4975</v>
      </c>
      <c r="B3939" s="158" t="s">
        <v>27</v>
      </c>
      <c r="C3939" s="158" t="s">
        <v>4976</v>
      </c>
      <c r="D3939" s="159">
        <v>45065.0</v>
      </c>
      <c r="E3939" s="157" t="s">
        <v>731</v>
      </c>
      <c r="F3939" s="160">
        <v>150322.66</v>
      </c>
      <c r="G3939" s="160">
        <f>'FACP$'!$F3939*0.16</f>
        <v>24051.6256</v>
      </c>
      <c r="H3939" s="160">
        <f t="shared" si="122"/>
        <v>174374.2856</v>
      </c>
      <c r="I3939" s="160"/>
      <c r="J3939" s="161"/>
      <c r="K3939" s="160"/>
      <c r="L3939" s="160">
        <f>+'FACP$'!$H3939-'FACP$'!$I3939-'FACP$'!$K3939</f>
        <v>174374.2856</v>
      </c>
      <c r="M3939" s="162" t="s">
        <v>158</v>
      </c>
      <c r="N3939" s="162" t="s">
        <v>554</v>
      </c>
      <c r="O3939" s="164">
        <v>45089.0</v>
      </c>
      <c r="P3939" s="164">
        <f t="array" ref="P3939">XLOOKUP('FACP$'!$B3939,'perfil de pagos'!$A$4:$A$46,'perfil de pagos'!$B$4:$B$46+'FACP$'!$D3939)</f>
        <v>45095</v>
      </c>
      <c r="Q3939" s="165">
        <f t="shared" si="2"/>
        <v>0</v>
      </c>
      <c r="R3939" s="167"/>
      <c r="S3939" s="167">
        <v>2210.0</v>
      </c>
      <c r="T3939" s="168">
        <f t="shared" si="3"/>
        <v>174374.2856</v>
      </c>
      <c r="U3939" s="168">
        <f t="shared" si="4"/>
        <v>0</v>
      </c>
      <c r="V3939" s="168">
        <f t="shared" si="5"/>
        <v>0</v>
      </c>
      <c r="W3939" s="168">
        <f t="shared" si="6"/>
        <v>0</v>
      </c>
      <c r="X3939" s="168">
        <f t="shared" si="7"/>
        <v>0</v>
      </c>
      <c r="Y3939" s="168">
        <f t="shared" si="8"/>
        <v>0</v>
      </c>
      <c r="Z3939" s="168">
        <f t="shared" si="9"/>
        <v>0</v>
      </c>
    </row>
    <row r="3940" ht="15.0" customHeight="1">
      <c r="A3940" s="157" t="s">
        <v>4977</v>
      </c>
      <c r="B3940" s="158" t="s">
        <v>27</v>
      </c>
      <c r="C3940" s="158" t="s">
        <v>4978</v>
      </c>
      <c r="D3940" s="159">
        <v>45065.0</v>
      </c>
      <c r="E3940" s="157" t="s">
        <v>731</v>
      </c>
      <c r="F3940" s="160">
        <v>139182.94</v>
      </c>
      <c r="G3940" s="160">
        <f>'FACP$'!$F3940*0.16</f>
        <v>22269.2704</v>
      </c>
      <c r="H3940" s="160">
        <f t="shared" si="122"/>
        <v>161452.2104</v>
      </c>
      <c r="I3940" s="160"/>
      <c r="J3940" s="161"/>
      <c r="K3940" s="160"/>
      <c r="L3940" s="160">
        <f>+'FACP$'!$H3940-'FACP$'!$I3940-'FACP$'!$K3940</f>
        <v>161452.2104</v>
      </c>
      <c r="M3940" s="162" t="s">
        <v>158</v>
      </c>
      <c r="N3940" s="162" t="s">
        <v>554</v>
      </c>
      <c r="O3940" s="164">
        <v>45089.0</v>
      </c>
      <c r="P3940" s="164">
        <f t="array" ref="P3940">XLOOKUP('FACP$'!$B3940,'perfil de pagos'!$A$4:$A$46,'perfil de pagos'!$B$4:$B$46+'FACP$'!$D3940)</f>
        <v>45095</v>
      </c>
      <c r="Q3940" s="165">
        <f t="shared" si="2"/>
        <v>0</v>
      </c>
      <c r="R3940" s="167"/>
      <c r="S3940" s="167">
        <v>2210.0</v>
      </c>
      <c r="T3940" s="168">
        <f t="shared" si="3"/>
        <v>161452.2104</v>
      </c>
      <c r="U3940" s="168">
        <f t="shared" si="4"/>
        <v>0</v>
      </c>
      <c r="V3940" s="168">
        <f t="shared" si="5"/>
        <v>0</v>
      </c>
      <c r="W3940" s="168">
        <f t="shared" si="6"/>
        <v>0</v>
      </c>
      <c r="X3940" s="168">
        <f t="shared" si="7"/>
        <v>0</v>
      </c>
      <c r="Y3940" s="168">
        <f t="shared" si="8"/>
        <v>0</v>
      </c>
      <c r="Z3940" s="168">
        <f t="shared" si="9"/>
        <v>0</v>
      </c>
    </row>
    <row r="3941" ht="15.0" customHeight="1">
      <c r="A3941" s="157" t="s">
        <v>4979</v>
      </c>
      <c r="B3941" s="158" t="s">
        <v>27</v>
      </c>
      <c r="C3941" s="158" t="s">
        <v>4976</v>
      </c>
      <c r="D3941" s="159">
        <v>45065.0</v>
      </c>
      <c r="E3941" s="157" t="s">
        <v>731</v>
      </c>
      <c r="F3941" s="160">
        <v>362963.93</v>
      </c>
      <c r="G3941" s="160">
        <f>'FACP$'!$F3941*0.16</f>
        <v>58074.2288</v>
      </c>
      <c r="H3941" s="160">
        <f t="shared" si="122"/>
        <v>421038.1588</v>
      </c>
      <c r="I3941" s="160"/>
      <c r="J3941" s="161"/>
      <c r="K3941" s="160"/>
      <c r="L3941" s="160">
        <f>+'FACP$'!$H3941-'FACP$'!$I3941-'FACP$'!$K3941</f>
        <v>421038.1588</v>
      </c>
      <c r="M3941" s="162" t="s">
        <v>151</v>
      </c>
      <c r="N3941" s="162" t="s">
        <v>554</v>
      </c>
      <c r="O3941" s="164">
        <v>45089.0</v>
      </c>
      <c r="P3941" s="164">
        <f t="array" ref="P3941">XLOOKUP('FACP$'!$B3941,'perfil de pagos'!$A$4:$A$46,'perfil de pagos'!$B$4:$B$46+'FACP$'!$D3941)</f>
        <v>45095</v>
      </c>
      <c r="Q3941" s="165">
        <f t="shared" si="2"/>
        <v>0</v>
      </c>
      <c r="R3941" s="167"/>
      <c r="S3941" s="167">
        <v>2211.0</v>
      </c>
      <c r="T3941" s="168">
        <f t="shared" si="3"/>
        <v>421038.1588</v>
      </c>
      <c r="U3941" s="168">
        <f t="shared" si="4"/>
        <v>0</v>
      </c>
      <c r="V3941" s="168">
        <f t="shared" si="5"/>
        <v>0</v>
      </c>
      <c r="W3941" s="168">
        <f t="shared" si="6"/>
        <v>0</v>
      </c>
      <c r="X3941" s="168">
        <f t="shared" si="7"/>
        <v>0</v>
      </c>
      <c r="Y3941" s="168">
        <f t="shared" si="8"/>
        <v>0</v>
      </c>
      <c r="Z3941" s="168">
        <f t="shared" si="9"/>
        <v>0</v>
      </c>
    </row>
    <row r="3942" ht="15.0" customHeight="1">
      <c r="A3942" s="157" t="s">
        <v>4980</v>
      </c>
      <c r="B3942" s="158" t="s">
        <v>27</v>
      </c>
      <c r="C3942" s="158" t="s">
        <v>4978</v>
      </c>
      <c r="D3942" s="159">
        <v>45065.0</v>
      </c>
      <c r="E3942" s="157" t="s">
        <v>731</v>
      </c>
      <c r="F3942" s="160">
        <v>333442.96</v>
      </c>
      <c r="G3942" s="160">
        <f>'FACP$'!$F3942*0.16</f>
        <v>53350.8736</v>
      </c>
      <c r="H3942" s="160">
        <f t="shared" si="122"/>
        <v>386793.8336</v>
      </c>
      <c r="I3942" s="160"/>
      <c r="J3942" s="161"/>
      <c r="K3942" s="160"/>
      <c r="L3942" s="160">
        <f>+'FACP$'!$H3942-'FACP$'!$I3942-'FACP$'!$K3942</f>
        <v>386793.8336</v>
      </c>
      <c r="M3942" s="162" t="s">
        <v>151</v>
      </c>
      <c r="N3942" s="162" t="s">
        <v>554</v>
      </c>
      <c r="O3942" s="164">
        <v>45089.0</v>
      </c>
      <c r="P3942" s="164">
        <f t="array" ref="P3942">XLOOKUP('FACP$'!$B3942,'perfil de pagos'!$A$4:$A$46,'perfil de pagos'!$B$4:$B$46+'FACP$'!$D3942)</f>
        <v>45095</v>
      </c>
      <c r="Q3942" s="165">
        <f t="shared" si="2"/>
        <v>0</v>
      </c>
      <c r="R3942" s="167"/>
      <c r="S3942" s="167">
        <v>2211.0</v>
      </c>
      <c r="T3942" s="168">
        <f t="shared" si="3"/>
        <v>386793.8336</v>
      </c>
      <c r="U3942" s="168">
        <f t="shared" si="4"/>
        <v>0</v>
      </c>
      <c r="V3942" s="168">
        <f t="shared" si="5"/>
        <v>0</v>
      </c>
      <c r="W3942" s="168">
        <f t="shared" si="6"/>
        <v>0</v>
      </c>
      <c r="X3942" s="168">
        <f t="shared" si="7"/>
        <v>0</v>
      </c>
      <c r="Y3942" s="168">
        <f t="shared" si="8"/>
        <v>0</v>
      </c>
      <c r="Z3942" s="168">
        <f t="shared" si="9"/>
        <v>0</v>
      </c>
    </row>
    <row r="3943" ht="15.0" customHeight="1">
      <c r="A3943" s="157" t="s">
        <v>4981</v>
      </c>
      <c r="B3943" s="158" t="s">
        <v>27</v>
      </c>
      <c r="C3943" s="158" t="s">
        <v>4982</v>
      </c>
      <c r="D3943" s="159">
        <v>45065.0</v>
      </c>
      <c r="E3943" s="157" t="s">
        <v>731</v>
      </c>
      <c r="F3943" s="160">
        <v>12088.22</v>
      </c>
      <c r="G3943" s="160">
        <f>'FACP$'!$F3943*0.16</f>
        <v>1934.1152</v>
      </c>
      <c r="H3943" s="160">
        <f t="shared" si="122"/>
        <v>14022.3352</v>
      </c>
      <c r="I3943" s="160"/>
      <c r="J3943" s="161"/>
      <c r="K3943" s="160"/>
      <c r="L3943" s="160">
        <f>+'FACP$'!$H3943-'FACP$'!$I3943-'FACP$'!$K3943</f>
        <v>14022.3352</v>
      </c>
      <c r="M3943" s="162" t="s">
        <v>151</v>
      </c>
      <c r="N3943" s="162" t="s">
        <v>554</v>
      </c>
      <c r="O3943" s="164">
        <v>45089.0</v>
      </c>
      <c r="P3943" s="164">
        <f t="array" ref="P3943">XLOOKUP('FACP$'!$B3943,'perfil de pagos'!$A$4:$A$46,'perfil de pagos'!$B$4:$B$46+'FACP$'!$D3943)</f>
        <v>45095</v>
      </c>
      <c r="Q3943" s="165">
        <f t="shared" si="2"/>
        <v>0</v>
      </c>
      <c r="R3943" s="167"/>
      <c r="S3943" s="167">
        <v>2211.0</v>
      </c>
      <c r="T3943" s="168">
        <f t="shared" si="3"/>
        <v>14022.3352</v>
      </c>
      <c r="U3943" s="168">
        <f t="shared" si="4"/>
        <v>0</v>
      </c>
      <c r="V3943" s="168">
        <f t="shared" si="5"/>
        <v>0</v>
      </c>
      <c r="W3943" s="168">
        <f t="shared" si="6"/>
        <v>0</v>
      </c>
      <c r="X3943" s="168">
        <f t="shared" si="7"/>
        <v>0</v>
      </c>
      <c r="Y3943" s="168">
        <f t="shared" si="8"/>
        <v>0</v>
      </c>
      <c r="Z3943" s="168">
        <f t="shared" si="9"/>
        <v>0</v>
      </c>
    </row>
    <row r="3944" ht="15.0" customHeight="1">
      <c r="A3944" s="157" t="s">
        <v>4983</v>
      </c>
      <c r="B3944" s="158" t="s">
        <v>27</v>
      </c>
      <c r="C3944" s="158" t="s">
        <v>4984</v>
      </c>
      <c r="D3944" s="159">
        <v>45065.0</v>
      </c>
      <c r="E3944" s="157" t="s">
        <v>731</v>
      </c>
      <c r="F3944" s="160">
        <v>16559.93</v>
      </c>
      <c r="G3944" s="160">
        <f>'FACP$'!$F3944*0.16</f>
        <v>2649.5888</v>
      </c>
      <c r="H3944" s="160">
        <f t="shared" si="122"/>
        <v>19209.5188</v>
      </c>
      <c r="I3944" s="160"/>
      <c r="J3944" s="161"/>
      <c r="K3944" s="160"/>
      <c r="L3944" s="160">
        <f>+'FACP$'!$H3944-'FACP$'!$I3944-'FACP$'!$K3944</f>
        <v>19209.5188</v>
      </c>
      <c r="M3944" s="162" t="s">
        <v>151</v>
      </c>
      <c r="N3944" s="162" t="s">
        <v>554</v>
      </c>
      <c r="O3944" s="164">
        <v>45089.0</v>
      </c>
      <c r="P3944" s="164">
        <f t="array" ref="P3944">XLOOKUP('FACP$'!$B3944,'perfil de pagos'!$A$4:$A$46,'perfil de pagos'!$B$4:$B$46+'FACP$'!$D3944)</f>
        <v>45095</v>
      </c>
      <c r="Q3944" s="165">
        <f t="shared" si="2"/>
        <v>0</v>
      </c>
      <c r="R3944" s="167"/>
      <c r="S3944" s="167">
        <v>2211.0</v>
      </c>
      <c r="T3944" s="168">
        <f t="shared" si="3"/>
        <v>19209.5188</v>
      </c>
      <c r="U3944" s="168">
        <f t="shared" si="4"/>
        <v>0</v>
      </c>
      <c r="V3944" s="168">
        <f t="shared" si="5"/>
        <v>0</v>
      </c>
      <c r="W3944" s="168">
        <f t="shared" si="6"/>
        <v>0</v>
      </c>
      <c r="X3944" s="168">
        <f t="shared" si="7"/>
        <v>0</v>
      </c>
      <c r="Y3944" s="168">
        <f t="shared" si="8"/>
        <v>0</v>
      </c>
      <c r="Z3944" s="168">
        <f t="shared" si="9"/>
        <v>0</v>
      </c>
    </row>
    <row r="3945" ht="15.0" customHeight="1">
      <c r="A3945" s="157" t="s">
        <v>4985</v>
      </c>
      <c r="B3945" s="158" t="s">
        <v>15</v>
      </c>
      <c r="C3945" s="158" t="s">
        <v>4965</v>
      </c>
      <c r="D3945" s="159">
        <v>45065.0</v>
      </c>
      <c r="E3945" s="157" t="s">
        <v>731</v>
      </c>
      <c r="F3945" s="160">
        <v>291382.32</v>
      </c>
      <c r="G3945" s="160">
        <f>'FACP$'!$F3945*0.16</f>
        <v>46621.1712</v>
      </c>
      <c r="H3945" s="160">
        <f t="shared" si="122"/>
        <v>338003.4912</v>
      </c>
      <c r="I3945" s="160"/>
      <c r="J3945" s="161">
        <f>+'NCP$'!A244</f>
        <v>327</v>
      </c>
      <c r="K3945" s="160">
        <f>+'NCP$'!H244</f>
        <v>15479.4576</v>
      </c>
      <c r="L3945" s="160">
        <f>+'FACP$'!$H3945-'FACP$'!$I3945-'FACP$'!$K3945</f>
        <v>322524.0336</v>
      </c>
      <c r="M3945" s="162" t="s">
        <v>443</v>
      </c>
      <c r="N3945" s="162" t="s">
        <v>554</v>
      </c>
      <c r="O3945" s="164">
        <v>45090.0</v>
      </c>
      <c r="P3945" s="164">
        <f t="array" ref="P3945">XLOOKUP('FACP$'!$B3945,'perfil de pagos'!$A$4:$A$46,'perfil de pagos'!$B$4:$B$46+'FACP$'!$D3945)</f>
        <v>45075</v>
      </c>
      <c r="Q3945" s="165">
        <f t="shared" si="2"/>
        <v>0</v>
      </c>
      <c r="R3945" s="167"/>
      <c r="S3945" s="167">
        <v>2213.0</v>
      </c>
      <c r="T3945" s="168">
        <f t="shared" si="3"/>
        <v>322524.0336</v>
      </c>
      <c r="U3945" s="168">
        <f t="shared" si="4"/>
        <v>0</v>
      </c>
      <c r="V3945" s="168">
        <f t="shared" si="5"/>
        <v>0</v>
      </c>
      <c r="W3945" s="168">
        <f t="shared" si="6"/>
        <v>0</v>
      </c>
      <c r="X3945" s="168">
        <f t="shared" si="7"/>
        <v>0</v>
      </c>
      <c r="Y3945" s="168">
        <f t="shared" si="8"/>
        <v>0</v>
      </c>
      <c r="Z3945" s="168">
        <f t="shared" si="9"/>
        <v>0</v>
      </c>
    </row>
    <row r="3946" ht="15.0" customHeight="1">
      <c r="A3946" s="157" t="s">
        <v>4986</v>
      </c>
      <c r="B3946" s="158" t="s">
        <v>38</v>
      </c>
      <c r="C3946" s="158" t="s">
        <v>4965</v>
      </c>
      <c r="D3946" s="159">
        <v>45065.0</v>
      </c>
      <c r="E3946" s="157" t="s">
        <v>731</v>
      </c>
      <c r="F3946" s="160">
        <v>74317.81</v>
      </c>
      <c r="G3946" s="160">
        <f>'FACP$'!$F3946*0.16</f>
        <v>11890.8496</v>
      </c>
      <c r="H3946" s="160">
        <f t="shared" si="122"/>
        <v>86208.6596</v>
      </c>
      <c r="I3946" s="160"/>
      <c r="J3946" s="161"/>
      <c r="K3946" s="160"/>
      <c r="L3946" s="160">
        <f>+'FACP$'!$H3946-'FACP$'!$I3946-'FACP$'!$K3946</f>
        <v>86208.6596</v>
      </c>
      <c r="M3946" s="162" t="s">
        <v>4707</v>
      </c>
      <c r="N3946" s="162" t="s">
        <v>554</v>
      </c>
      <c r="O3946" s="164">
        <v>45126.0</v>
      </c>
      <c r="P3946" s="164">
        <f t="array" ref="P3946">XLOOKUP('FACP$'!$B3946,'perfil de pagos'!$A$4:$A$46,'perfil de pagos'!$B$4:$B$46+'FACP$'!$D3946)</f>
        <v>45095</v>
      </c>
      <c r="Q3946" s="165">
        <f t="shared" si="2"/>
        <v>0</v>
      </c>
      <c r="R3946" s="167"/>
      <c r="S3946" s="167">
        <v>2304.0</v>
      </c>
      <c r="T3946" s="168">
        <f t="shared" si="3"/>
        <v>86208.6596</v>
      </c>
      <c r="U3946" s="168">
        <f t="shared" si="4"/>
        <v>0</v>
      </c>
      <c r="V3946" s="168">
        <f t="shared" si="5"/>
        <v>0</v>
      </c>
      <c r="W3946" s="168">
        <f t="shared" si="6"/>
        <v>0</v>
      </c>
      <c r="X3946" s="168">
        <f t="shared" si="7"/>
        <v>0</v>
      </c>
      <c r="Y3946" s="168">
        <f t="shared" si="8"/>
        <v>0</v>
      </c>
      <c r="Z3946" s="168">
        <f t="shared" si="9"/>
        <v>0</v>
      </c>
    </row>
    <row r="3947" ht="15.0" customHeight="1">
      <c r="A3947" s="157" t="s">
        <v>4987</v>
      </c>
      <c r="B3947" s="158" t="s">
        <v>38</v>
      </c>
      <c r="C3947" s="158" t="s">
        <v>4970</v>
      </c>
      <c r="D3947" s="159">
        <v>45065.0</v>
      </c>
      <c r="E3947" s="157" t="s">
        <v>731</v>
      </c>
      <c r="F3947" s="160">
        <v>129174.68</v>
      </c>
      <c r="G3947" s="160">
        <f>'FACP$'!$F3947*0.16</f>
        <v>20667.9488</v>
      </c>
      <c r="H3947" s="160">
        <f t="shared" si="122"/>
        <v>149842.6288</v>
      </c>
      <c r="I3947" s="160"/>
      <c r="J3947" s="161"/>
      <c r="K3947" s="160"/>
      <c r="L3947" s="160">
        <f>+'FACP$'!$H3947-'FACP$'!$I3947-'FACP$'!$K3947</f>
        <v>149842.6288</v>
      </c>
      <c r="M3947" s="162" t="s">
        <v>4707</v>
      </c>
      <c r="N3947" s="162" t="s">
        <v>554</v>
      </c>
      <c r="O3947" s="164">
        <v>45126.0</v>
      </c>
      <c r="P3947" s="164">
        <f t="array" ref="P3947">XLOOKUP('FACP$'!$B3947,'perfil de pagos'!$A$4:$A$46,'perfil de pagos'!$B$4:$B$46+'FACP$'!$D3947)</f>
        <v>45095</v>
      </c>
      <c r="Q3947" s="165">
        <f t="shared" si="2"/>
        <v>0</v>
      </c>
      <c r="R3947" s="167"/>
      <c r="S3947" s="167">
        <v>2304.0</v>
      </c>
      <c r="T3947" s="168">
        <f t="shared" si="3"/>
        <v>149842.6288</v>
      </c>
      <c r="U3947" s="168">
        <f t="shared" si="4"/>
        <v>0</v>
      </c>
      <c r="V3947" s="168">
        <f t="shared" si="5"/>
        <v>0</v>
      </c>
      <c r="W3947" s="168">
        <f t="shared" si="6"/>
        <v>0</v>
      </c>
      <c r="X3947" s="168">
        <f t="shared" si="7"/>
        <v>0</v>
      </c>
      <c r="Y3947" s="168">
        <f t="shared" si="8"/>
        <v>0</v>
      </c>
      <c r="Z3947" s="168">
        <f t="shared" si="9"/>
        <v>0</v>
      </c>
    </row>
    <row r="3948" ht="15.0" customHeight="1">
      <c r="A3948" s="157" t="s">
        <v>4988</v>
      </c>
      <c r="B3948" s="158" t="s">
        <v>38</v>
      </c>
      <c r="C3948" s="158" t="s">
        <v>4965</v>
      </c>
      <c r="D3948" s="159">
        <v>45065.0</v>
      </c>
      <c r="E3948" s="157" t="s">
        <v>731</v>
      </c>
      <c r="F3948" s="160">
        <v>140591.52</v>
      </c>
      <c r="G3948" s="160">
        <f>'FACP$'!$F3948*0.16</f>
        <v>22494.6432</v>
      </c>
      <c r="H3948" s="160">
        <f t="shared" si="122"/>
        <v>163086.1632</v>
      </c>
      <c r="I3948" s="160"/>
      <c r="J3948" s="161"/>
      <c r="K3948" s="160"/>
      <c r="L3948" s="160">
        <f>+'FACP$'!$H3948-'FACP$'!$I3948-'FACP$'!$K3948</f>
        <v>163086.1632</v>
      </c>
      <c r="M3948" s="162" t="s">
        <v>4654</v>
      </c>
      <c r="N3948" s="162" t="s">
        <v>554</v>
      </c>
      <c r="O3948" s="164">
        <v>45126.0</v>
      </c>
      <c r="P3948" s="164">
        <f t="array" ref="P3948">XLOOKUP('FACP$'!$B3948,'perfil de pagos'!$A$4:$A$46,'perfil de pagos'!$B$4:$B$46+'FACP$'!$D3948)</f>
        <v>45095</v>
      </c>
      <c r="Q3948" s="165">
        <f t="shared" si="2"/>
        <v>0</v>
      </c>
      <c r="R3948" s="167"/>
      <c r="S3948" s="167">
        <v>2304.0</v>
      </c>
      <c r="T3948" s="168">
        <f t="shared" si="3"/>
        <v>163086.1632</v>
      </c>
      <c r="U3948" s="168">
        <f t="shared" si="4"/>
        <v>0</v>
      </c>
      <c r="V3948" s="168">
        <f t="shared" si="5"/>
        <v>0</v>
      </c>
      <c r="W3948" s="168">
        <f t="shared" si="6"/>
        <v>0</v>
      </c>
      <c r="X3948" s="168">
        <f t="shared" si="7"/>
        <v>0</v>
      </c>
      <c r="Y3948" s="168">
        <f t="shared" si="8"/>
        <v>0</v>
      </c>
      <c r="Z3948" s="168">
        <f t="shared" si="9"/>
        <v>0</v>
      </c>
    </row>
    <row r="3949" ht="15.0" customHeight="1">
      <c r="A3949" s="157" t="s">
        <v>4989</v>
      </c>
      <c r="B3949" s="158" t="s">
        <v>15</v>
      </c>
      <c r="C3949" s="158"/>
      <c r="D3949" s="159"/>
      <c r="E3949" s="157"/>
      <c r="F3949" s="160"/>
      <c r="G3949" s="160"/>
      <c r="H3949" s="160">
        <f t="shared" si="122"/>
        <v>0</v>
      </c>
      <c r="I3949" s="160"/>
      <c r="J3949" s="161"/>
      <c r="K3949" s="160"/>
      <c r="L3949" s="160">
        <f>+'FACP$'!$H3949-'FACP$'!$I3949-'FACP$'!$K3949</f>
        <v>0</v>
      </c>
      <c r="M3949" s="162"/>
      <c r="N3949" s="162" t="s">
        <v>127</v>
      </c>
      <c r="O3949" s="164"/>
      <c r="P3949" s="164">
        <f>D3949+10</f>
        <v>10</v>
      </c>
      <c r="Q3949" s="165">
        <f t="shared" si="2"/>
        <v>0</v>
      </c>
      <c r="R3949" s="167" t="s">
        <v>4844</v>
      </c>
      <c r="S3949" s="167"/>
      <c r="T3949" s="168">
        <f t="shared" si="3"/>
        <v>0</v>
      </c>
      <c r="U3949" s="168">
        <f t="shared" si="4"/>
        <v>0</v>
      </c>
      <c r="V3949" s="168">
        <f t="shared" si="5"/>
        <v>0</v>
      </c>
      <c r="W3949" s="168">
        <f t="shared" si="6"/>
        <v>0</v>
      </c>
      <c r="X3949" s="168">
        <f t="shared" si="7"/>
        <v>0</v>
      </c>
      <c r="Y3949" s="168">
        <f t="shared" si="8"/>
        <v>0</v>
      </c>
      <c r="Z3949" s="168">
        <f t="shared" si="9"/>
        <v>0</v>
      </c>
    </row>
    <row r="3950" ht="15.0" customHeight="1">
      <c r="A3950" s="157" t="s">
        <v>4990</v>
      </c>
      <c r="B3950" s="158" t="s">
        <v>16</v>
      </c>
      <c r="C3950" s="158" t="s">
        <v>4965</v>
      </c>
      <c r="D3950" s="159">
        <v>45069.0</v>
      </c>
      <c r="E3950" s="157" t="s">
        <v>731</v>
      </c>
      <c r="F3950" s="160">
        <v>171644.42</v>
      </c>
      <c r="G3950" s="160">
        <f>'FACP$'!$F3950*0.16</f>
        <v>27463.1072</v>
      </c>
      <c r="H3950" s="160">
        <f t="shared" si="122"/>
        <v>199107.5272</v>
      </c>
      <c r="I3950" s="160"/>
      <c r="J3950" s="161"/>
      <c r="K3950" s="160"/>
      <c r="L3950" s="160">
        <f>+'FACP$'!$H3950-'FACP$'!$I3950-'FACP$'!$K3950</f>
        <v>199107.5272</v>
      </c>
      <c r="M3950" s="162" t="s">
        <v>985</v>
      </c>
      <c r="N3950" s="162" t="s">
        <v>554</v>
      </c>
      <c r="O3950" s="164">
        <v>45098.0</v>
      </c>
      <c r="P3950" s="164">
        <f t="array" ref="P3950">XLOOKUP('FACP$'!$B3950,'perfil de pagos'!$A$4:$A$46,'perfil de pagos'!$B$4:$B$46+'FACP$'!$D3950)</f>
        <v>45079</v>
      </c>
      <c r="Q3950" s="165">
        <f t="shared" si="2"/>
        <v>0</v>
      </c>
      <c r="R3950" s="167"/>
      <c r="S3950" s="167">
        <v>2227.0</v>
      </c>
      <c r="T3950" s="168">
        <f t="shared" si="3"/>
        <v>199107.5272</v>
      </c>
      <c r="U3950" s="168">
        <f t="shared" si="4"/>
        <v>0</v>
      </c>
      <c r="V3950" s="168">
        <f t="shared" si="5"/>
        <v>0</v>
      </c>
      <c r="W3950" s="168">
        <f t="shared" si="6"/>
        <v>0</v>
      </c>
      <c r="X3950" s="168">
        <f t="shared" si="7"/>
        <v>0</v>
      </c>
      <c r="Y3950" s="168">
        <f t="shared" si="8"/>
        <v>0</v>
      </c>
      <c r="Z3950" s="168">
        <f t="shared" si="9"/>
        <v>0</v>
      </c>
    </row>
    <row r="3951" ht="15.0" customHeight="1">
      <c r="A3951" s="157" t="s">
        <v>4991</v>
      </c>
      <c r="B3951" s="158" t="s">
        <v>16</v>
      </c>
      <c r="C3951" s="158" t="s">
        <v>4970</v>
      </c>
      <c r="D3951" s="159">
        <v>45069.0</v>
      </c>
      <c r="E3951" s="157" t="s">
        <v>731</v>
      </c>
      <c r="F3951" s="160">
        <v>307777.74</v>
      </c>
      <c r="G3951" s="160">
        <f>'FACP$'!$F3951*0.16</f>
        <v>49244.4384</v>
      </c>
      <c r="H3951" s="160">
        <f t="shared" si="122"/>
        <v>357022.1784</v>
      </c>
      <c r="I3951" s="160"/>
      <c r="J3951" s="161"/>
      <c r="K3951" s="160"/>
      <c r="L3951" s="160">
        <f>+'FACP$'!$H3951-'FACP$'!$I3951-'FACP$'!$K3951</f>
        <v>357022.1784</v>
      </c>
      <c r="M3951" s="162" t="s">
        <v>985</v>
      </c>
      <c r="N3951" s="162" t="s">
        <v>554</v>
      </c>
      <c r="O3951" s="164">
        <v>45098.0</v>
      </c>
      <c r="P3951" s="164">
        <f t="array" ref="P3951">XLOOKUP('FACP$'!$B3951,'perfil de pagos'!$A$4:$A$46,'perfil de pagos'!$B$4:$B$46+'FACP$'!$D3951)</f>
        <v>45079</v>
      </c>
      <c r="Q3951" s="165">
        <f t="shared" si="2"/>
        <v>0</v>
      </c>
      <c r="R3951" s="167"/>
      <c r="S3951" s="167">
        <v>2227.0</v>
      </c>
      <c r="T3951" s="168">
        <f t="shared" si="3"/>
        <v>357022.1784</v>
      </c>
      <c r="U3951" s="168">
        <f t="shared" si="4"/>
        <v>0</v>
      </c>
      <c r="V3951" s="168">
        <f t="shared" si="5"/>
        <v>0</v>
      </c>
      <c r="W3951" s="168">
        <f t="shared" si="6"/>
        <v>0</v>
      </c>
      <c r="X3951" s="168">
        <f t="shared" si="7"/>
        <v>0</v>
      </c>
      <c r="Y3951" s="168">
        <f t="shared" si="8"/>
        <v>0</v>
      </c>
      <c r="Z3951" s="168">
        <f t="shared" si="9"/>
        <v>0</v>
      </c>
    </row>
    <row r="3952" ht="15.0" customHeight="1">
      <c r="A3952" s="157" t="s">
        <v>4992</v>
      </c>
      <c r="B3952" s="158" t="s">
        <v>18</v>
      </c>
      <c r="C3952" s="158" t="s">
        <v>4965</v>
      </c>
      <c r="D3952" s="159">
        <v>45069.0</v>
      </c>
      <c r="E3952" s="157" t="s">
        <v>731</v>
      </c>
      <c r="F3952" s="160">
        <v>54889.87</v>
      </c>
      <c r="G3952" s="160">
        <f>'FACP$'!$F3952*0.16</f>
        <v>8782.3792</v>
      </c>
      <c r="H3952" s="160">
        <f t="shared" si="122"/>
        <v>63672.2492</v>
      </c>
      <c r="I3952" s="160"/>
      <c r="J3952" s="161"/>
      <c r="K3952" s="160"/>
      <c r="L3952" s="160">
        <f>+'FACP$'!$H3952-'FACP$'!$I3952-'FACP$'!$K3952</f>
        <v>63672.2492</v>
      </c>
      <c r="M3952" s="162" t="s">
        <v>586</v>
      </c>
      <c r="N3952" s="162" t="s">
        <v>554</v>
      </c>
      <c r="O3952" s="164">
        <v>45091.0</v>
      </c>
      <c r="P3952" s="164">
        <f t="array" ref="P3952">XLOOKUP('FACP$'!$B3952,'perfil de pagos'!$A$4:$A$46,'perfil de pagos'!$B$4:$B$46+'FACP$'!$D3952)</f>
        <v>45079</v>
      </c>
      <c r="Q3952" s="165">
        <f t="shared" si="2"/>
        <v>0</v>
      </c>
      <c r="R3952" s="167"/>
      <c r="S3952" s="167">
        <v>2224.0</v>
      </c>
      <c r="T3952" s="168">
        <f t="shared" si="3"/>
        <v>63672.2492</v>
      </c>
      <c r="U3952" s="168">
        <f t="shared" si="4"/>
        <v>0</v>
      </c>
      <c r="V3952" s="168">
        <f t="shared" si="5"/>
        <v>0</v>
      </c>
      <c r="W3952" s="168">
        <f t="shared" si="6"/>
        <v>0</v>
      </c>
      <c r="X3952" s="168">
        <f t="shared" si="7"/>
        <v>0</v>
      </c>
      <c r="Y3952" s="168">
        <f t="shared" si="8"/>
        <v>0</v>
      </c>
      <c r="Z3952" s="168">
        <f t="shared" si="9"/>
        <v>0</v>
      </c>
    </row>
    <row r="3953" ht="15.0" customHeight="1">
      <c r="A3953" s="157" t="s">
        <v>4993</v>
      </c>
      <c r="B3953" s="158" t="s">
        <v>19</v>
      </c>
      <c r="C3953" s="158" t="s">
        <v>4965</v>
      </c>
      <c r="D3953" s="159">
        <v>45069.0</v>
      </c>
      <c r="E3953" s="157" t="s">
        <v>731</v>
      </c>
      <c r="F3953" s="160">
        <v>88562.73</v>
      </c>
      <c r="G3953" s="160">
        <f>'FACP$'!$F3953*0.16</f>
        <v>14170.0368</v>
      </c>
      <c r="H3953" s="160">
        <f t="shared" si="122"/>
        <v>102732.7668</v>
      </c>
      <c r="I3953" s="160"/>
      <c r="J3953" s="161"/>
      <c r="K3953" s="160"/>
      <c r="L3953" s="160">
        <f>+'FACP$'!$H3953-'FACP$'!$I3953-'FACP$'!$K3953</f>
        <v>102732.7668</v>
      </c>
      <c r="M3953" s="162" t="s">
        <v>732</v>
      </c>
      <c r="N3953" s="162" t="s">
        <v>554</v>
      </c>
      <c r="O3953" s="164">
        <v>45091.0</v>
      </c>
      <c r="P3953" s="164">
        <f t="array" ref="P3953">XLOOKUP('FACP$'!$B3953,'perfil de pagos'!$A$4:$A$46,'perfil de pagos'!$B$4:$B$46+'FACP$'!$D3953)</f>
        <v>45079</v>
      </c>
      <c r="Q3953" s="165">
        <f t="shared" si="2"/>
        <v>0</v>
      </c>
      <c r="R3953" s="167"/>
      <c r="S3953" s="167">
        <v>2224.0</v>
      </c>
      <c r="T3953" s="168">
        <f t="shared" si="3"/>
        <v>102732.7668</v>
      </c>
      <c r="U3953" s="168">
        <f t="shared" si="4"/>
        <v>0</v>
      </c>
      <c r="V3953" s="168">
        <f t="shared" si="5"/>
        <v>0</v>
      </c>
      <c r="W3953" s="168">
        <f t="shared" si="6"/>
        <v>0</v>
      </c>
      <c r="X3953" s="168">
        <f t="shared" si="7"/>
        <v>0</v>
      </c>
      <c r="Y3953" s="168">
        <f t="shared" si="8"/>
        <v>0</v>
      </c>
      <c r="Z3953" s="168">
        <f t="shared" si="9"/>
        <v>0</v>
      </c>
    </row>
    <row r="3954" ht="15.0" customHeight="1">
      <c r="A3954" s="157" t="s">
        <v>4994</v>
      </c>
      <c r="B3954" s="158" t="s">
        <v>22</v>
      </c>
      <c r="C3954" s="158" t="s">
        <v>4965</v>
      </c>
      <c r="D3954" s="159">
        <v>45069.0</v>
      </c>
      <c r="E3954" s="157" t="s">
        <v>731</v>
      </c>
      <c r="F3954" s="160">
        <v>121605.74</v>
      </c>
      <c r="G3954" s="160">
        <f>'FACP$'!$F3954*0.16</f>
        <v>19456.9184</v>
      </c>
      <c r="H3954" s="160">
        <f t="shared" si="122"/>
        <v>141062.6584</v>
      </c>
      <c r="I3954" s="160"/>
      <c r="J3954" s="161"/>
      <c r="K3954" s="160"/>
      <c r="L3954" s="160">
        <f>+'FACP$'!$H3954-'FACP$'!$I3954-'FACP$'!$K3954</f>
        <v>141062.6584</v>
      </c>
      <c r="M3954" s="162" t="s">
        <v>220</v>
      </c>
      <c r="N3954" s="162" t="s">
        <v>554</v>
      </c>
      <c r="O3954" s="164">
        <v>45100.0</v>
      </c>
      <c r="P3954" s="164">
        <f t="array" ref="P3954">XLOOKUP('FACP$'!$B3954,'perfil de pagos'!$A$4:$A$46,'perfil de pagos'!$B$4:$B$46+'FACP$'!$D3954)</f>
        <v>45079</v>
      </c>
      <c r="Q3954" s="165">
        <f t="shared" si="2"/>
        <v>0</v>
      </c>
      <c r="R3954" s="167"/>
      <c r="S3954" s="167">
        <v>2230.0</v>
      </c>
      <c r="T3954" s="168">
        <f t="shared" si="3"/>
        <v>141062.6584</v>
      </c>
      <c r="U3954" s="168">
        <f t="shared" si="4"/>
        <v>0</v>
      </c>
      <c r="V3954" s="168">
        <f t="shared" si="5"/>
        <v>0</v>
      </c>
      <c r="W3954" s="168">
        <f t="shared" si="6"/>
        <v>0</v>
      </c>
      <c r="X3954" s="168">
        <f t="shared" si="7"/>
        <v>0</v>
      </c>
      <c r="Y3954" s="168">
        <f t="shared" si="8"/>
        <v>0</v>
      </c>
      <c r="Z3954" s="168">
        <f t="shared" si="9"/>
        <v>0</v>
      </c>
    </row>
    <row r="3955" ht="15.0" customHeight="1">
      <c r="A3955" s="157" t="s">
        <v>4995</v>
      </c>
      <c r="B3955" s="158" t="s">
        <v>25</v>
      </c>
      <c r="C3955" s="158" t="s">
        <v>4965</v>
      </c>
      <c r="D3955" s="159">
        <v>45069.0</v>
      </c>
      <c r="E3955" s="157" t="s">
        <v>731</v>
      </c>
      <c r="F3955" s="160">
        <v>36725.91</v>
      </c>
      <c r="G3955" s="160">
        <f>'FACP$'!$F3955*0.16</f>
        <v>5876.1456</v>
      </c>
      <c r="H3955" s="160">
        <f t="shared" si="122"/>
        <v>42602.0556</v>
      </c>
      <c r="I3955" s="160"/>
      <c r="J3955" s="161"/>
      <c r="K3955" s="160"/>
      <c r="L3955" s="160">
        <f>+'FACP$'!$H3955-'FACP$'!$I3955-'FACP$'!$K3955</f>
        <v>42602.0556</v>
      </c>
      <c r="M3955" s="162" t="s">
        <v>4388</v>
      </c>
      <c r="N3955" s="162" t="s">
        <v>554</v>
      </c>
      <c r="O3955" s="164">
        <v>45160.0</v>
      </c>
      <c r="P3955" s="164">
        <f t="array" ref="P3955">XLOOKUP('FACP$'!$B3955,'perfil de pagos'!$A$4:$A$46,'perfil de pagos'!$B$4:$B$46+'FACP$'!$D3955)</f>
        <v>45079</v>
      </c>
      <c r="Q3955" s="165">
        <f t="shared" si="2"/>
        <v>0</v>
      </c>
      <c r="R3955" s="167"/>
      <c r="S3955" s="167"/>
      <c r="T3955" s="168">
        <f t="shared" si="3"/>
        <v>42602.0556</v>
      </c>
      <c r="U3955" s="168">
        <f t="shared" si="4"/>
        <v>0</v>
      </c>
      <c r="V3955" s="168">
        <f t="shared" si="5"/>
        <v>0</v>
      </c>
      <c r="W3955" s="168">
        <f t="shared" si="6"/>
        <v>0</v>
      </c>
      <c r="X3955" s="168">
        <f t="shared" si="7"/>
        <v>0</v>
      </c>
      <c r="Y3955" s="168">
        <f t="shared" si="8"/>
        <v>0</v>
      </c>
      <c r="Z3955" s="168">
        <f t="shared" si="9"/>
        <v>0</v>
      </c>
    </row>
    <row r="3956" ht="15.0" customHeight="1">
      <c r="A3956" s="157" t="s">
        <v>4996</v>
      </c>
      <c r="B3956" s="158" t="s">
        <v>29</v>
      </c>
      <c r="C3956" s="158" t="s">
        <v>4965</v>
      </c>
      <c r="D3956" s="159">
        <v>45069.0</v>
      </c>
      <c r="E3956" s="157" t="s">
        <v>731</v>
      </c>
      <c r="F3956" s="160">
        <v>200613.08</v>
      </c>
      <c r="G3956" s="160">
        <f>'FACP$'!$F3956*0.16</f>
        <v>32098.0928</v>
      </c>
      <c r="H3956" s="160">
        <f t="shared" si="122"/>
        <v>232711.1728</v>
      </c>
      <c r="I3956" s="160"/>
      <c r="J3956" s="161"/>
      <c r="K3956" s="160"/>
      <c r="L3956" s="160">
        <f>+'FACP$'!$H3956-'FACP$'!$I3956-'FACP$'!$K3956</f>
        <v>232711.1728</v>
      </c>
      <c r="M3956" s="162" t="s">
        <v>130</v>
      </c>
      <c r="N3956" s="162" t="s">
        <v>554</v>
      </c>
      <c r="O3956" s="164">
        <v>45083.0</v>
      </c>
      <c r="P3956" s="164">
        <f t="array" ref="P3956">XLOOKUP('FACP$'!$B3956,'perfil de pagos'!$A$4:$A$46,'perfil de pagos'!$B$4:$B$46+'FACP$'!$D3956)</f>
        <v>45079</v>
      </c>
      <c r="Q3956" s="165">
        <f t="shared" si="2"/>
        <v>0</v>
      </c>
      <c r="R3956" s="167"/>
      <c r="S3956" s="167">
        <v>2202.0</v>
      </c>
      <c r="T3956" s="168">
        <f t="shared" si="3"/>
        <v>232711.1728</v>
      </c>
      <c r="U3956" s="168">
        <f t="shared" si="4"/>
        <v>0</v>
      </c>
      <c r="V3956" s="168">
        <f t="shared" si="5"/>
        <v>0</v>
      </c>
      <c r="W3956" s="168">
        <f t="shared" si="6"/>
        <v>0</v>
      </c>
      <c r="X3956" s="168">
        <f t="shared" si="7"/>
        <v>0</v>
      </c>
      <c r="Y3956" s="168">
        <f t="shared" si="8"/>
        <v>0</v>
      </c>
      <c r="Z3956" s="168">
        <f t="shared" si="9"/>
        <v>0</v>
      </c>
    </row>
    <row r="3957" ht="15.0" customHeight="1">
      <c r="A3957" s="157" t="s">
        <v>4997</v>
      </c>
      <c r="B3957" s="158" t="s">
        <v>29</v>
      </c>
      <c r="C3957" s="158" t="s">
        <v>4970</v>
      </c>
      <c r="D3957" s="159">
        <v>45069.0</v>
      </c>
      <c r="E3957" s="157" t="s">
        <v>731</v>
      </c>
      <c r="F3957" s="160">
        <v>357187.83</v>
      </c>
      <c r="G3957" s="160">
        <f>'FACP$'!$F3957*0.16</f>
        <v>57150.0528</v>
      </c>
      <c r="H3957" s="160">
        <f t="shared" si="122"/>
        <v>414337.8828</v>
      </c>
      <c r="I3957" s="160"/>
      <c r="J3957" s="161"/>
      <c r="K3957" s="160"/>
      <c r="L3957" s="160">
        <f>+'FACP$'!$H3957-'FACP$'!$I3957-'FACP$'!$K3957</f>
        <v>414337.8828</v>
      </c>
      <c r="M3957" s="162" t="s">
        <v>130</v>
      </c>
      <c r="N3957" s="162" t="s">
        <v>554</v>
      </c>
      <c r="O3957" s="164">
        <v>45078.0</v>
      </c>
      <c r="P3957" s="164">
        <f t="array" ref="P3957">XLOOKUP('FACP$'!$B3957,'perfil de pagos'!$A$4:$A$46,'perfil de pagos'!$B$4:$B$46+'FACP$'!$D3957)</f>
        <v>45079</v>
      </c>
      <c r="Q3957" s="165">
        <f t="shared" si="2"/>
        <v>0</v>
      </c>
      <c r="R3957" s="167"/>
      <c r="S3957" s="167">
        <v>2193.0</v>
      </c>
      <c r="T3957" s="168">
        <f t="shared" si="3"/>
        <v>414337.8828</v>
      </c>
      <c r="U3957" s="168">
        <f t="shared" si="4"/>
        <v>0</v>
      </c>
      <c r="V3957" s="168">
        <f t="shared" si="5"/>
        <v>0</v>
      </c>
      <c r="W3957" s="168">
        <f t="shared" si="6"/>
        <v>0</v>
      </c>
      <c r="X3957" s="168">
        <f t="shared" si="7"/>
        <v>0</v>
      </c>
      <c r="Y3957" s="168">
        <f t="shared" si="8"/>
        <v>0</v>
      </c>
      <c r="Z3957" s="168">
        <f t="shared" si="9"/>
        <v>0</v>
      </c>
    </row>
    <row r="3958" ht="15.0" customHeight="1">
      <c r="A3958" s="157" t="s">
        <v>4998</v>
      </c>
      <c r="B3958" s="158" t="s">
        <v>37</v>
      </c>
      <c r="C3958" s="158" t="s">
        <v>4965</v>
      </c>
      <c r="D3958" s="159">
        <v>45069.0</v>
      </c>
      <c r="E3958" s="157" t="s">
        <v>731</v>
      </c>
      <c r="F3958" s="160">
        <v>1120738.01</v>
      </c>
      <c r="G3958" s="160">
        <f>'FACP$'!$F3958*0.16</f>
        <v>179318.0816</v>
      </c>
      <c r="H3958" s="160">
        <f t="shared" si="122"/>
        <v>1300056.092</v>
      </c>
      <c r="I3958" s="160"/>
      <c r="J3958" s="161"/>
      <c r="K3958" s="160"/>
      <c r="L3958" s="160">
        <f>+'FACP$'!$H3958-'FACP$'!$I3958-'FACP$'!$K3958</f>
        <v>1300056.092</v>
      </c>
      <c r="M3958" s="162" t="s">
        <v>116</v>
      </c>
      <c r="N3958" s="162" t="s">
        <v>554</v>
      </c>
      <c r="O3958" s="164">
        <v>45082.0</v>
      </c>
      <c r="P3958" s="164">
        <f t="array" ref="P3958">XLOOKUP('FACP$'!$B3958,'perfil de pagos'!$A$4:$A$46,'perfil de pagos'!$B$4:$B$46+'FACP$'!$D3958)</f>
        <v>45079</v>
      </c>
      <c r="Q3958" s="165">
        <f t="shared" si="2"/>
        <v>0</v>
      </c>
      <c r="R3958" s="167"/>
      <c r="S3958" s="167">
        <v>2196.0</v>
      </c>
      <c r="T3958" s="168">
        <f t="shared" si="3"/>
        <v>1300056.092</v>
      </c>
      <c r="U3958" s="168">
        <f t="shared" si="4"/>
        <v>0</v>
      </c>
      <c r="V3958" s="168">
        <f t="shared" si="5"/>
        <v>0</v>
      </c>
      <c r="W3958" s="168">
        <f t="shared" si="6"/>
        <v>0</v>
      </c>
      <c r="X3958" s="168">
        <f t="shared" si="7"/>
        <v>0</v>
      </c>
      <c r="Y3958" s="168">
        <f t="shared" si="8"/>
        <v>0</v>
      </c>
      <c r="Z3958" s="168">
        <f t="shared" si="9"/>
        <v>0</v>
      </c>
    </row>
    <row r="3959" ht="15.0" customHeight="1">
      <c r="A3959" s="157" t="s">
        <v>4999</v>
      </c>
      <c r="B3959" s="158" t="s">
        <v>38</v>
      </c>
      <c r="C3959" s="158" t="s">
        <v>4965</v>
      </c>
      <c r="D3959" s="159">
        <v>45069.0</v>
      </c>
      <c r="E3959" s="157" t="s">
        <v>731</v>
      </c>
      <c r="F3959" s="160">
        <v>103806.04</v>
      </c>
      <c r="G3959" s="160">
        <f>'FACP$'!$F3959*0.16</f>
        <v>16608.9664</v>
      </c>
      <c r="H3959" s="160">
        <f t="shared" si="122"/>
        <v>120415.0064</v>
      </c>
      <c r="I3959" s="160"/>
      <c r="J3959" s="161"/>
      <c r="K3959" s="160"/>
      <c r="L3959" s="160">
        <f>+'FACP$'!$H3959-'FACP$'!$I3959-'FACP$'!$K3959</f>
        <v>120415.0064</v>
      </c>
      <c r="M3959" s="162" t="s">
        <v>642</v>
      </c>
      <c r="N3959" s="162" t="s">
        <v>554</v>
      </c>
      <c r="O3959" s="164">
        <v>45126.0</v>
      </c>
      <c r="P3959" s="164">
        <f t="array" ref="P3959">XLOOKUP('FACP$'!$B3959,'perfil de pagos'!$A$4:$A$46,'perfil de pagos'!$B$4:$B$46+'FACP$'!$D3959)</f>
        <v>45099</v>
      </c>
      <c r="Q3959" s="165">
        <f t="shared" si="2"/>
        <v>0</v>
      </c>
      <c r="R3959" s="167"/>
      <c r="S3959" s="167">
        <v>2304.0</v>
      </c>
      <c r="T3959" s="168">
        <f t="shared" si="3"/>
        <v>120415.0064</v>
      </c>
      <c r="U3959" s="168">
        <f t="shared" si="4"/>
        <v>0</v>
      </c>
      <c r="V3959" s="168">
        <f t="shared" si="5"/>
        <v>0</v>
      </c>
      <c r="W3959" s="168">
        <f t="shared" si="6"/>
        <v>0</v>
      </c>
      <c r="X3959" s="168">
        <f t="shared" si="7"/>
        <v>0</v>
      </c>
      <c r="Y3959" s="168">
        <f t="shared" si="8"/>
        <v>0</v>
      </c>
      <c r="Z3959" s="168">
        <f t="shared" si="9"/>
        <v>0</v>
      </c>
    </row>
    <row r="3960" ht="15.0" customHeight="1">
      <c r="A3960" s="157" t="s">
        <v>5000</v>
      </c>
      <c r="B3960" s="158" t="s">
        <v>38</v>
      </c>
      <c r="C3960" s="158" t="s">
        <v>4965</v>
      </c>
      <c r="D3960" s="159">
        <v>45069.0</v>
      </c>
      <c r="E3960" s="157" t="s">
        <v>731</v>
      </c>
      <c r="F3960" s="160">
        <v>356184.59</v>
      </c>
      <c r="G3960" s="160">
        <f>'FACP$'!$F3960*0.16</f>
        <v>56989.5344</v>
      </c>
      <c r="H3960" s="160">
        <f t="shared" si="122"/>
        <v>413174.1244</v>
      </c>
      <c r="I3960" s="160"/>
      <c r="J3960" s="161"/>
      <c r="K3960" s="160"/>
      <c r="L3960" s="160">
        <f>+'FACP$'!$H3960-'FACP$'!$I3960-'FACP$'!$K3960</f>
        <v>413174.1244</v>
      </c>
      <c r="M3960" s="162" t="s">
        <v>145</v>
      </c>
      <c r="N3960" s="162" t="s">
        <v>554</v>
      </c>
      <c r="O3960" s="164">
        <v>45126.0</v>
      </c>
      <c r="P3960" s="164">
        <f t="array" ref="P3960">XLOOKUP('FACP$'!$B3960,'perfil de pagos'!$A$4:$A$46,'perfil de pagos'!$B$4:$B$46+'FACP$'!$D3960)</f>
        <v>45099</v>
      </c>
      <c r="Q3960" s="165">
        <f t="shared" si="2"/>
        <v>0</v>
      </c>
      <c r="R3960" s="167"/>
      <c r="S3960" s="167">
        <v>2304.0</v>
      </c>
      <c r="T3960" s="168">
        <f t="shared" si="3"/>
        <v>413174.1244</v>
      </c>
      <c r="U3960" s="168">
        <f t="shared" si="4"/>
        <v>0</v>
      </c>
      <c r="V3960" s="168">
        <f t="shared" si="5"/>
        <v>0</v>
      </c>
      <c r="W3960" s="168">
        <f t="shared" si="6"/>
        <v>0</v>
      </c>
      <c r="X3960" s="168">
        <f t="shared" si="7"/>
        <v>0</v>
      </c>
      <c r="Y3960" s="168">
        <f t="shared" si="8"/>
        <v>0</v>
      </c>
      <c r="Z3960" s="168">
        <f t="shared" si="9"/>
        <v>0</v>
      </c>
    </row>
    <row r="3961" ht="15.0" customHeight="1">
      <c r="A3961" s="157" t="s">
        <v>5001</v>
      </c>
      <c r="B3961" s="158" t="s">
        <v>27</v>
      </c>
      <c r="C3961" s="158" t="s">
        <v>5002</v>
      </c>
      <c r="D3961" s="159">
        <v>45077.0</v>
      </c>
      <c r="E3961" s="157" t="s">
        <v>731</v>
      </c>
      <c r="F3961" s="160">
        <v>334379.6</v>
      </c>
      <c r="G3961" s="160">
        <f>'FACP$'!$F3961*0.16</f>
        <v>53500.736</v>
      </c>
      <c r="H3961" s="160">
        <f t="shared" si="122"/>
        <v>387880.336</v>
      </c>
      <c r="I3961" s="160"/>
      <c r="J3961" s="161"/>
      <c r="K3961" s="160"/>
      <c r="L3961" s="160">
        <f>+'FACP$'!$H3961-'FACP$'!$I3961-'FACP$'!$K3961</f>
        <v>387880.336</v>
      </c>
      <c r="M3961" s="162" t="s">
        <v>151</v>
      </c>
      <c r="N3961" s="162" t="s">
        <v>554</v>
      </c>
      <c r="O3961" s="164">
        <v>45100.0</v>
      </c>
      <c r="P3961" s="164">
        <f t="array" ref="P3961">XLOOKUP('FACP$'!$B3961,'perfil de pagos'!$A$4:$A$46,'perfil de pagos'!$B$4:$B$46+'FACP$'!$D3961)</f>
        <v>45107</v>
      </c>
      <c r="Q3961" s="165">
        <f t="shared" si="2"/>
        <v>0</v>
      </c>
      <c r="R3961" s="167"/>
      <c r="S3961" s="167">
        <v>2232.0</v>
      </c>
      <c r="T3961" s="168">
        <f t="shared" si="3"/>
        <v>387880.336</v>
      </c>
      <c r="U3961" s="168">
        <f t="shared" si="4"/>
        <v>0</v>
      </c>
      <c r="V3961" s="168">
        <f t="shared" si="5"/>
        <v>0</v>
      </c>
      <c r="W3961" s="168">
        <f t="shared" si="6"/>
        <v>0</v>
      </c>
      <c r="X3961" s="168">
        <f t="shared" si="7"/>
        <v>0</v>
      </c>
      <c r="Y3961" s="168">
        <f t="shared" si="8"/>
        <v>0</v>
      </c>
      <c r="Z3961" s="168">
        <f t="shared" si="9"/>
        <v>0</v>
      </c>
    </row>
    <row r="3962" ht="15.0" customHeight="1">
      <c r="A3962" s="157" t="s">
        <v>5003</v>
      </c>
      <c r="B3962" s="158" t="s">
        <v>27</v>
      </c>
      <c r="C3962" s="158" t="s">
        <v>5004</v>
      </c>
      <c r="D3962" s="159">
        <v>45077.0</v>
      </c>
      <c r="E3962" s="157" t="s">
        <v>731</v>
      </c>
      <c r="F3962" s="160">
        <v>296539.04</v>
      </c>
      <c r="G3962" s="160">
        <f>'FACP$'!$F3962*0.16</f>
        <v>47446.2464</v>
      </c>
      <c r="H3962" s="160">
        <f t="shared" si="122"/>
        <v>343985.2864</v>
      </c>
      <c r="I3962" s="160"/>
      <c r="J3962" s="161"/>
      <c r="K3962" s="160"/>
      <c r="L3962" s="160">
        <f>+'FACP$'!$H3962-'FACP$'!$I3962-'FACP$'!$K3962</f>
        <v>343985.2864</v>
      </c>
      <c r="M3962" s="162" t="s">
        <v>151</v>
      </c>
      <c r="N3962" s="162" t="s">
        <v>554</v>
      </c>
      <c r="O3962" s="164">
        <v>45100.0</v>
      </c>
      <c r="P3962" s="164">
        <f t="array" ref="P3962">XLOOKUP('FACP$'!$B3962,'perfil de pagos'!$A$4:$A$46,'perfil de pagos'!$B$4:$B$46+'FACP$'!$D3962)</f>
        <v>45107</v>
      </c>
      <c r="Q3962" s="165">
        <f t="shared" si="2"/>
        <v>0</v>
      </c>
      <c r="R3962" s="167"/>
      <c r="S3962" s="167">
        <v>2232.0</v>
      </c>
      <c r="T3962" s="168">
        <f t="shared" si="3"/>
        <v>343985.2864</v>
      </c>
      <c r="U3962" s="168">
        <f t="shared" si="4"/>
        <v>0</v>
      </c>
      <c r="V3962" s="168">
        <f t="shared" si="5"/>
        <v>0</v>
      </c>
      <c r="W3962" s="168">
        <f t="shared" si="6"/>
        <v>0</v>
      </c>
      <c r="X3962" s="168">
        <f t="shared" si="7"/>
        <v>0</v>
      </c>
      <c r="Y3962" s="168">
        <f t="shared" si="8"/>
        <v>0</v>
      </c>
      <c r="Z3962" s="168">
        <f t="shared" si="9"/>
        <v>0</v>
      </c>
    </row>
    <row r="3963" ht="15.0" customHeight="1">
      <c r="A3963" s="157" t="s">
        <v>5005</v>
      </c>
      <c r="B3963" s="158" t="s">
        <v>27</v>
      </c>
      <c r="C3963" s="158" t="s">
        <v>5006</v>
      </c>
      <c r="D3963" s="159">
        <v>45077.0</v>
      </c>
      <c r="E3963" s="157" t="s">
        <v>731</v>
      </c>
      <c r="F3963" s="160">
        <v>12848.92</v>
      </c>
      <c r="G3963" s="160">
        <f>'FACP$'!$F3963*0.16</f>
        <v>2055.8272</v>
      </c>
      <c r="H3963" s="160">
        <f t="shared" si="122"/>
        <v>14904.7472</v>
      </c>
      <c r="I3963" s="160"/>
      <c r="J3963" s="161"/>
      <c r="K3963" s="160"/>
      <c r="L3963" s="160">
        <f>+'FACP$'!$H3963-'FACP$'!$I3963-'FACP$'!$K3963</f>
        <v>14904.7472</v>
      </c>
      <c r="M3963" s="162" t="s">
        <v>151</v>
      </c>
      <c r="N3963" s="162" t="s">
        <v>554</v>
      </c>
      <c r="O3963" s="164">
        <v>45100.0</v>
      </c>
      <c r="P3963" s="164">
        <f t="array" ref="P3963">XLOOKUP('FACP$'!$B3963,'perfil de pagos'!$A$4:$A$46,'perfil de pagos'!$B$4:$B$46+'FACP$'!$D3963)</f>
        <v>45107</v>
      </c>
      <c r="Q3963" s="165">
        <f t="shared" si="2"/>
        <v>0</v>
      </c>
      <c r="R3963" s="167"/>
      <c r="S3963" s="167">
        <v>2232.0</v>
      </c>
      <c r="T3963" s="168">
        <f t="shared" si="3"/>
        <v>14904.7472</v>
      </c>
      <c r="U3963" s="168">
        <f t="shared" si="4"/>
        <v>0</v>
      </c>
      <c r="V3963" s="168">
        <f t="shared" si="5"/>
        <v>0</v>
      </c>
      <c r="W3963" s="168">
        <f t="shared" si="6"/>
        <v>0</v>
      </c>
      <c r="X3963" s="168">
        <f t="shared" si="7"/>
        <v>0</v>
      </c>
      <c r="Y3963" s="168">
        <f t="shared" si="8"/>
        <v>0</v>
      </c>
      <c r="Z3963" s="168">
        <f t="shared" si="9"/>
        <v>0</v>
      </c>
    </row>
    <row r="3964" ht="15.0" customHeight="1">
      <c r="A3964" s="157" t="s">
        <v>5007</v>
      </c>
      <c r="B3964" s="158" t="s">
        <v>27</v>
      </c>
      <c r="C3964" s="158" t="s">
        <v>5008</v>
      </c>
      <c r="D3964" s="159">
        <v>45077.0</v>
      </c>
      <c r="E3964" s="157" t="s">
        <v>731</v>
      </c>
      <c r="F3964" s="160">
        <v>16061.15</v>
      </c>
      <c r="G3964" s="160">
        <f>'FACP$'!$F3964*0.16</f>
        <v>2569.784</v>
      </c>
      <c r="H3964" s="160">
        <f t="shared" si="122"/>
        <v>18630.934</v>
      </c>
      <c r="I3964" s="160"/>
      <c r="J3964" s="161"/>
      <c r="K3964" s="160"/>
      <c r="L3964" s="160">
        <f>+'FACP$'!$H3964-'FACP$'!$I3964-'FACP$'!$K3964</f>
        <v>18630.934</v>
      </c>
      <c r="M3964" s="162" t="s">
        <v>151</v>
      </c>
      <c r="N3964" s="162" t="s">
        <v>554</v>
      </c>
      <c r="O3964" s="164">
        <v>45100.0</v>
      </c>
      <c r="P3964" s="164">
        <f t="array" ref="P3964">XLOOKUP('FACP$'!$B3964,'perfil de pagos'!$A$4:$A$46,'perfil de pagos'!$B$4:$B$46+'FACP$'!$D3964)</f>
        <v>45107</v>
      </c>
      <c r="Q3964" s="165">
        <f t="shared" si="2"/>
        <v>0</v>
      </c>
      <c r="R3964" s="167"/>
      <c r="S3964" s="167">
        <v>2232.0</v>
      </c>
      <c r="T3964" s="168">
        <f t="shared" si="3"/>
        <v>18630.934</v>
      </c>
      <c r="U3964" s="168">
        <f t="shared" si="4"/>
        <v>0</v>
      </c>
      <c r="V3964" s="168">
        <f t="shared" si="5"/>
        <v>0</v>
      </c>
      <c r="W3964" s="168">
        <f t="shared" si="6"/>
        <v>0</v>
      </c>
      <c r="X3964" s="168">
        <f t="shared" si="7"/>
        <v>0</v>
      </c>
      <c r="Y3964" s="168">
        <f t="shared" si="8"/>
        <v>0</v>
      </c>
      <c r="Z3964" s="168">
        <f t="shared" si="9"/>
        <v>0</v>
      </c>
    </row>
    <row r="3965" ht="15.0" customHeight="1">
      <c r="A3965" s="157" t="s">
        <v>5009</v>
      </c>
      <c r="B3965" s="158" t="s">
        <v>27</v>
      </c>
      <c r="C3965" s="158" t="s">
        <v>5002</v>
      </c>
      <c r="D3965" s="159">
        <v>45077.0</v>
      </c>
      <c r="E3965" s="157" t="s">
        <v>731</v>
      </c>
      <c r="F3965" s="160">
        <v>174181.7</v>
      </c>
      <c r="G3965" s="160">
        <f>'FACP$'!$F3965*0.16</f>
        <v>27869.072</v>
      </c>
      <c r="H3965" s="160">
        <f t="shared" si="122"/>
        <v>202050.772</v>
      </c>
      <c r="I3965" s="160"/>
      <c r="J3965" s="161"/>
      <c r="K3965" s="160"/>
      <c r="L3965" s="160">
        <f>+'FACP$'!$H3965-'FACP$'!$I3965-'FACP$'!$K3965</f>
        <v>202050.772</v>
      </c>
      <c r="M3965" s="162" t="s">
        <v>158</v>
      </c>
      <c r="N3965" s="162" t="s">
        <v>554</v>
      </c>
      <c r="O3965" s="164">
        <v>45099.0</v>
      </c>
      <c r="P3965" s="164">
        <f t="array" ref="P3965">XLOOKUP('FACP$'!$B3965,'perfil de pagos'!$A$4:$A$46,'perfil de pagos'!$B$4:$B$46+'FACP$'!$D3965)</f>
        <v>45107</v>
      </c>
      <c r="Q3965" s="165">
        <f t="shared" si="2"/>
        <v>0</v>
      </c>
      <c r="R3965" s="167"/>
      <c r="S3965" s="167">
        <v>2228.0</v>
      </c>
      <c r="T3965" s="168">
        <f t="shared" si="3"/>
        <v>202050.772</v>
      </c>
      <c r="U3965" s="168">
        <f t="shared" si="4"/>
        <v>0</v>
      </c>
      <c r="V3965" s="168">
        <f t="shared" si="5"/>
        <v>0</v>
      </c>
      <c r="W3965" s="168">
        <f t="shared" si="6"/>
        <v>0</v>
      </c>
      <c r="X3965" s="168">
        <f t="shared" si="7"/>
        <v>0</v>
      </c>
      <c r="Y3965" s="168">
        <f t="shared" si="8"/>
        <v>0</v>
      </c>
      <c r="Z3965" s="168">
        <f t="shared" si="9"/>
        <v>0</v>
      </c>
    </row>
    <row r="3966" ht="15.0" customHeight="1">
      <c r="A3966" s="157" t="s">
        <v>5010</v>
      </c>
      <c r="B3966" s="158" t="s">
        <v>27</v>
      </c>
      <c r="C3966" s="158" t="s">
        <v>5004</v>
      </c>
      <c r="D3966" s="159">
        <v>45077.0</v>
      </c>
      <c r="E3966" s="157" t="s">
        <v>731</v>
      </c>
      <c r="F3966" s="160">
        <v>155141.32</v>
      </c>
      <c r="G3966" s="160">
        <f>'FACP$'!$F3966*0.16</f>
        <v>24822.6112</v>
      </c>
      <c r="H3966" s="160">
        <f t="shared" si="122"/>
        <v>179963.9312</v>
      </c>
      <c r="I3966" s="160"/>
      <c r="J3966" s="161"/>
      <c r="K3966" s="160"/>
      <c r="L3966" s="160">
        <f>+'FACP$'!$H3966-'FACP$'!$I3966-'FACP$'!$K3966</f>
        <v>179963.9312</v>
      </c>
      <c r="M3966" s="162" t="s">
        <v>158</v>
      </c>
      <c r="N3966" s="162" t="s">
        <v>554</v>
      </c>
      <c r="O3966" s="164">
        <v>45099.0</v>
      </c>
      <c r="P3966" s="164">
        <f t="array" ref="P3966">XLOOKUP('FACP$'!$B3966,'perfil de pagos'!$A$4:$A$46,'perfil de pagos'!$B$4:$B$46+'FACP$'!$D3966)</f>
        <v>45107</v>
      </c>
      <c r="Q3966" s="165">
        <f t="shared" si="2"/>
        <v>0</v>
      </c>
      <c r="R3966" s="167"/>
      <c r="S3966" s="167">
        <v>2228.0</v>
      </c>
      <c r="T3966" s="168">
        <f t="shared" si="3"/>
        <v>179963.9312</v>
      </c>
      <c r="U3966" s="168">
        <f t="shared" si="4"/>
        <v>0</v>
      </c>
      <c r="V3966" s="168">
        <f t="shared" si="5"/>
        <v>0</v>
      </c>
      <c r="W3966" s="168">
        <f t="shared" si="6"/>
        <v>0</v>
      </c>
      <c r="X3966" s="168">
        <f t="shared" si="7"/>
        <v>0</v>
      </c>
      <c r="Y3966" s="168">
        <f t="shared" si="8"/>
        <v>0</v>
      </c>
      <c r="Z3966" s="168">
        <f t="shared" si="9"/>
        <v>0</v>
      </c>
    </row>
    <row r="3967" ht="15.0" customHeight="1">
      <c r="A3967" s="157" t="s">
        <v>5011</v>
      </c>
      <c r="B3967" s="158" t="s">
        <v>15</v>
      </c>
      <c r="C3967" s="158" t="s">
        <v>5012</v>
      </c>
      <c r="D3967" s="159">
        <v>45082.0</v>
      </c>
      <c r="E3967" s="157" t="s">
        <v>731</v>
      </c>
      <c r="F3967" s="160">
        <v>220746.94</v>
      </c>
      <c r="G3967" s="160">
        <f>'FACP$'!$F3967*0.16</f>
        <v>35319.5104</v>
      </c>
      <c r="H3967" s="160">
        <f t="shared" si="122"/>
        <v>256066.4504</v>
      </c>
      <c r="I3967" s="160"/>
      <c r="J3967" s="161"/>
      <c r="K3967" s="160"/>
      <c r="L3967" s="160">
        <f>+'FACP$'!$H3967-'FACP$'!$I3967-'FACP$'!$K3967</f>
        <v>256066.4504</v>
      </c>
      <c r="M3967" s="162" t="s">
        <v>443</v>
      </c>
      <c r="N3967" s="162" t="s">
        <v>554</v>
      </c>
      <c r="O3967" s="164">
        <v>45104.0</v>
      </c>
      <c r="P3967" s="164">
        <f t="array" ref="P3967">XLOOKUP('FACP$'!$B3967,'perfil de pagos'!$A$4:$A$46,'perfil de pagos'!$B$4:$B$46+'FACP$'!$D3967)</f>
        <v>45092</v>
      </c>
      <c r="Q3967" s="165">
        <f t="shared" si="2"/>
        <v>0</v>
      </c>
      <c r="R3967" s="167"/>
      <c r="S3967" s="167">
        <v>2238.0</v>
      </c>
      <c r="T3967" s="168">
        <f t="shared" si="3"/>
        <v>256066.4504</v>
      </c>
      <c r="U3967" s="168">
        <f t="shared" si="4"/>
        <v>0</v>
      </c>
      <c r="V3967" s="168">
        <f t="shared" si="5"/>
        <v>0</v>
      </c>
      <c r="W3967" s="168">
        <f t="shared" si="6"/>
        <v>0</v>
      </c>
      <c r="X3967" s="168">
        <f t="shared" si="7"/>
        <v>0</v>
      </c>
      <c r="Y3967" s="168">
        <f t="shared" si="8"/>
        <v>0</v>
      </c>
      <c r="Z3967" s="168">
        <f t="shared" si="9"/>
        <v>0</v>
      </c>
    </row>
    <row r="3968" ht="15.0" customHeight="1">
      <c r="A3968" s="157" t="s">
        <v>5013</v>
      </c>
      <c r="B3968" s="158" t="s">
        <v>35</v>
      </c>
      <c r="C3968" s="158" t="s">
        <v>5012</v>
      </c>
      <c r="D3968" s="159">
        <v>45082.0</v>
      </c>
      <c r="E3968" s="157" t="s">
        <v>731</v>
      </c>
      <c r="F3968" s="160">
        <v>287521.97</v>
      </c>
      <c r="G3968" s="160">
        <f>'FACP$'!$F3968*0.16</f>
        <v>46003.5152</v>
      </c>
      <c r="H3968" s="160">
        <f t="shared" si="122"/>
        <v>333525.4852</v>
      </c>
      <c r="I3968" s="160">
        <v>166762.75</v>
      </c>
      <c r="J3968" s="161"/>
      <c r="K3968" s="160"/>
      <c r="L3968" s="160">
        <f>+'FACP$'!$H3968-'FACP$'!$I3968-'FACP$'!$K3968</f>
        <v>166762.7352</v>
      </c>
      <c r="M3968" s="162" t="s">
        <v>276</v>
      </c>
      <c r="N3968" s="162" t="s">
        <v>554</v>
      </c>
      <c r="O3968" s="164">
        <v>45204.0</v>
      </c>
      <c r="P3968" s="164">
        <f t="array" ref="P3968">XLOOKUP('FACP$'!$B3968,'perfil de pagos'!$A$4:$A$46,'perfil de pagos'!$B$4:$B$46+'FACP$'!$D3968)</f>
        <v>45092</v>
      </c>
      <c r="Q3968" s="165">
        <f t="shared" si="2"/>
        <v>0</v>
      </c>
      <c r="R3968" s="167" t="s">
        <v>5014</v>
      </c>
      <c r="S3968" s="167" t="s">
        <v>5015</v>
      </c>
      <c r="T3968" s="168">
        <f t="shared" si="3"/>
        <v>166762.7352</v>
      </c>
      <c r="U3968" s="168">
        <f t="shared" si="4"/>
        <v>0</v>
      </c>
      <c r="V3968" s="168">
        <f t="shared" si="5"/>
        <v>0</v>
      </c>
      <c r="W3968" s="168">
        <f t="shared" si="6"/>
        <v>0</v>
      </c>
      <c r="X3968" s="168">
        <f t="shared" si="7"/>
        <v>0</v>
      </c>
      <c r="Y3968" s="168">
        <f t="shared" si="8"/>
        <v>0</v>
      </c>
      <c r="Z3968" s="168">
        <f t="shared" si="9"/>
        <v>0</v>
      </c>
    </row>
    <row r="3969" ht="15.0" customHeight="1">
      <c r="A3969" s="157" t="s">
        <v>5016</v>
      </c>
      <c r="B3969" s="158" t="s">
        <v>36</v>
      </c>
      <c r="C3969" s="158" t="s">
        <v>5012</v>
      </c>
      <c r="D3969" s="159">
        <v>45082.0</v>
      </c>
      <c r="E3969" s="157" t="s">
        <v>731</v>
      </c>
      <c r="F3969" s="160">
        <v>113667.17</v>
      </c>
      <c r="G3969" s="160">
        <f>'FACP$'!$F3969*0.16</f>
        <v>18186.7472</v>
      </c>
      <c r="H3969" s="160">
        <f t="shared" si="122"/>
        <v>131853.9172</v>
      </c>
      <c r="I3969" s="160"/>
      <c r="J3969" s="161"/>
      <c r="K3969" s="160"/>
      <c r="L3969" s="160">
        <f>+'FACP$'!$H3969-'FACP$'!$I3969-'FACP$'!$K3969</f>
        <v>131853.9172</v>
      </c>
      <c r="M3969" s="162" t="s">
        <v>278</v>
      </c>
      <c r="N3969" s="162" t="s">
        <v>554</v>
      </c>
      <c r="O3969" s="164">
        <v>45084.0</v>
      </c>
      <c r="P3969" s="164">
        <f t="array" ref="P3969">XLOOKUP('FACP$'!$B3969,'perfil de pagos'!$A$4:$A$46,'perfil de pagos'!$B$4:$B$46+'FACP$'!$D3969)</f>
        <v>45092</v>
      </c>
      <c r="Q3969" s="165">
        <f t="shared" si="2"/>
        <v>0</v>
      </c>
      <c r="R3969" s="167"/>
      <c r="S3969" s="167">
        <v>2205.0</v>
      </c>
      <c r="T3969" s="168">
        <f t="shared" si="3"/>
        <v>131853.9172</v>
      </c>
      <c r="U3969" s="168">
        <f t="shared" si="4"/>
        <v>0</v>
      </c>
      <c r="V3969" s="168">
        <f t="shared" si="5"/>
        <v>0</v>
      </c>
      <c r="W3969" s="168">
        <f t="shared" si="6"/>
        <v>0</v>
      </c>
      <c r="X3969" s="168">
        <f t="shared" si="7"/>
        <v>0</v>
      </c>
      <c r="Y3969" s="168">
        <f t="shared" si="8"/>
        <v>0</v>
      </c>
      <c r="Z3969" s="168">
        <f t="shared" si="9"/>
        <v>0</v>
      </c>
    </row>
    <row r="3970" ht="15.0" customHeight="1">
      <c r="A3970" s="157" t="s">
        <v>5017</v>
      </c>
      <c r="B3970" s="158" t="s">
        <v>36</v>
      </c>
      <c r="C3970" s="158" t="s">
        <v>5018</v>
      </c>
      <c r="D3970" s="159">
        <v>45082.0</v>
      </c>
      <c r="E3970" s="157" t="s">
        <v>731</v>
      </c>
      <c r="F3970" s="160">
        <v>108603.08</v>
      </c>
      <c r="G3970" s="160">
        <f>'FACP$'!$F3970*0.16</f>
        <v>17376.4928</v>
      </c>
      <c r="H3970" s="160">
        <f t="shared" si="122"/>
        <v>125979.5728</v>
      </c>
      <c r="I3970" s="160"/>
      <c r="J3970" s="161"/>
      <c r="K3970" s="160"/>
      <c r="L3970" s="160">
        <f>+'FACP$'!$H3970-'FACP$'!$I3970-'FACP$'!$K3970</f>
        <v>125979.5728</v>
      </c>
      <c r="M3970" s="162" t="s">
        <v>278</v>
      </c>
      <c r="N3970" s="162" t="s">
        <v>554</v>
      </c>
      <c r="O3970" s="164">
        <v>45084.0</v>
      </c>
      <c r="P3970" s="164">
        <f t="array" ref="P3970">XLOOKUP('FACP$'!$B3970,'perfil de pagos'!$A$4:$A$46,'perfil de pagos'!$B$4:$B$46+'FACP$'!$D3970)</f>
        <v>45092</v>
      </c>
      <c r="Q3970" s="165">
        <f t="shared" si="2"/>
        <v>0</v>
      </c>
      <c r="R3970" s="167"/>
      <c r="S3970" s="167">
        <v>2204.0</v>
      </c>
      <c r="T3970" s="168">
        <f t="shared" si="3"/>
        <v>125979.5728</v>
      </c>
      <c r="U3970" s="168">
        <f t="shared" si="4"/>
        <v>0</v>
      </c>
      <c r="V3970" s="168">
        <f t="shared" si="5"/>
        <v>0</v>
      </c>
      <c r="W3970" s="168">
        <f t="shared" si="6"/>
        <v>0</v>
      </c>
      <c r="X3970" s="168">
        <f t="shared" si="7"/>
        <v>0</v>
      </c>
      <c r="Y3970" s="168">
        <f t="shared" si="8"/>
        <v>0</v>
      </c>
      <c r="Z3970" s="168">
        <f t="shared" si="9"/>
        <v>0</v>
      </c>
    </row>
    <row r="3971" ht="15.0" customHeight="1">
      <c r="A3971" s="157" t="s">
        <v>5019</v>
      </c>
      <c r="B3971" s="158" t="s">
        <v>38</v>
      </c>
      <c r="C3971" s="158" t="s">
        <v>5012</v>
      </c>
      <c r="D3971" s="159">
        <v>45082.0</v>
      </c>
      <c r="E3971" s="157" t="s">
        <v>731</v>
      </c>
      <c r="F3971" s="160">
        <v>125466.48</v>
      </c>
      <c r="G3971" s="160">
        <f>'FACP$'!$F3971*0.16</f>
        <v>20074.6368</v>
      </c>
      <c r="H3971" s="160">
        <f t="shared" si="122"/>
        <v>145541.1168</v>
      </c>
      <c r="I3971" s="160"/>
      <c r="J3971" s="161"/>
      <c r="K3971" s="160"/>
      <c r="L3971" s="160">
        <f>+'FACP$'!$H3971-'FACP$'!$I3971-'FACP$'!$K3971</f>
        <v>145541.1168</v>
      </c>
      <c r="M3971" s="162" t="s">
        <v>4707</v>
      </c>
      <c r="N3971" s="162" t="s">
        <v>554</v>
      </c>
      <c r="O3971" s="164">
        <v>45176.0</v>
      </c>
      <c r="P3971" s="164">
        <f t="array" ref="P3971">XLOOKUP('FACP$'!$B3971,'perfil de pagos'!$A$4:$A$46,'perfil de pagos'!$B$4:$B$46+'FACP$'!$D3971)</f>
        <v>45112</v>
      </c>
      <c r="Q3971" s="165">
        <f t="shared" si="2"/>
        <v>0</v>
      </c>
      <c r="R3971" s="167"/>
      <c r="S3971" s="167">
        <v>2404.0</v>
      </c>
      <c r="T3971" s="168">
        <f t="shared" si="3"/>
        <v>145541.1168</v>
      </c>
      <c r="U3971" s="168">
        <f t="shared" si="4"/>
        <v>0</v>
      </c>
      <c r="V3971" s="168">
        <f t="shared" si="5"/>
        <v>0</v>
      </c>
      <c r="W3971" s="168">
        <f t="shared" si="6"/>
        <v>0</v>
      </c>
      <c r="X3971" s="168">
        <f t="shared" si="7"/>
        <v>0</v>
      </c>
      <c r="Y3971" s="168">
        <f t="shared" si="8"/>
        <v>0</v>
      </c>
      <c r="Z3971" s="168">
        <f t="shared" si="9"/>
        <v>0</v>
      </c>
    </row>
    <row r="3972" ht="15.0" customHeight="1">
      <c r="A3972" s="157" t="s">
        <v>5020</v>
      </c>
      <c r="B3972" s="158" t="s">
        <v>38</v>
      </c>
      <c r="C3972" s="158" t="s">
        <v>5018</v>
      </c>
      <c r="D3972" s="159">
        <v>45082.0</v>
      </c>
      <c r="E3972" s="157" t="s">
        <v>731</v>
      </c>
      <c r="F3972" s="160">
        <v>211230.47</v>
      </c>
      <c r="G3972" s="160">
        <f>'FACP$'!$F3972*0.16</f>
        <v>33796.8752</v>
      </c>
      <c r="H3972" s="160">
        <f t="shared" si="122"/>
        <v>245027.3452</v>
      </c>
      <c r="I3972" s="160"/>
      <c r="J3972" s="161"/>
      <c r="K3972" s="160"/>
      <c r="L3972" s="160">
        <f>+'FACP$'!$H3972-'FACP$'!$I3972-'FACP$'!$K3972</f>
        <v>245027.3452</v>
      </c>
      <c r="M3972" s="162" t="s">
        <v>4707</v>
      </c>
      <c r="N3972" s="162" t="s">
        <v>554</v>
      </c>
      <c r="O3972" s="164">
        <v>45170.0</v>
      </c>
      <c r="P3972" s="164">
        <f t="array" ref="P3972">XLOOKUP('FACP$'!$B3972,'perfil de pagos'!$A$4:$A$46,'perfil de pagos'!$B$4:$B$46+'FACP$'!$D3972)</f>
        <v>45112</v>
      </c>
      <c r="Q3972" s="165">
        <f t="shared" si="2"/>
        <v>0</v>
      </c>
      <c r="R3972" s="167"/>
      <c r="S3972" s="167">
        <v>2392.0</v>
      </c>
      <c r="T3972" s="168">
        <f t="shared" si="3"/>
        <v>245027.3452</v>
      </c>
      <c r="U3972" s="168">
        <f t="shared" si="4"/>
        <v>0</v>
      </c>
      <c r="V3972" s="168">
        <f t="shared" si="5"/>
        <v>0</v>
      </c>
      <c r="W3972" s="168">
        <f t="shared" si="6"/>
        <v>0</v>
      </c>
      <c r="X3972" s="168">
        <f t="shared" si="7"/>
        <v>0</v>
      </c>
      <c r="Y3972" s="168">
        <f t="shared" si="8"/>
        <v>0</v>
      </c>
      <c r="Z3972" s="168">
        <f t="shared" si="9"/>
        <v>0</v>
      </c>
    </row>
    <row r="3973" ht="15.0" customHeight="1">
      <c r="A3973" s="157" t="s">
        <v>5021</v>
      </c>
      <c r="B3973" s="158" t="s">
        <v>38</v>
      </c>
      <c r="C3973" s="158" t="s">
        <v>5012</v>
      </c>
      <c r="D3973" s="159">
        <v>45082.0</v>
      </c>
      <c r="E3973" s="157" t="s">
        <v>731</v>
      </c>
      <c r="F3973" s="160">
        <v>201382.35</v>
      </c>
      <c r="G3973" s="160">
        <f>'FACP$'!$F3973*0.16</f>
        <v>32221.176</v>
      </c>
      <c r="H3973" s="160">
        <f t="shared" si="122"/>
        <v>233603.526</v>
      </c>
      <c r="I3973" s="160"/>
      <c r="J3973" s="161"/>
      <c r="K3973" s="160"/>
      <c r="L3973" s="160">
        <f>+'FACP$'!$H3973-'FACP$'!$I3973-'FACP$'!$K3973</f>
        <v>233603.526</v>
      </c>
      <c r="M3973" s="162" t="s">
        <v>4654</v>
      </c>
      <c r="N3973" s="162" t="s">
        <v>554</v>
      </c>
      <c r="O3973" s="164">
        <v>45126.0</v>
      </c>
      <c r="P3973" s="164">
        <f t="array" ref="P3973">XLOOKUP('FACP$'!$B3973,'perfil de pagos'!$A$4:$A$46,'perfil de pagos'!$B$4:$B$46+'FACP$'!$D3973)</f>
        <v>45112</v>
      </c>
      <c r="Q3973" s="165">
        <f t="shared" si="2"/>
        <v>0</v>
      </c>
      <c r="R3973" s="167"/>
      <c r="S3973" s="167">
        <v>2304.0</v>
      </c>
      <c r="T3973" s="168">
        <f t="shared" si="3"/>
        <v>233603.526</v>
      </c>
      <c r="U3973" s="168">
        <f t="shared" si="4"/>
        <v>0</v>
      </c>
      <c r="V3973" s="168">
        <f t="shared" si="5"/>
        <v>0</v>
      </c>
      <c r="W3973" s="168">
        <f t="shared" si="6"/>
        <v>0</v>
      </c>
      <c r="X3973" s="168">
        <f t="shared" si="7"/>
        <v>0</v>
      </c>
      <c r="Y3973" s="168">
        <f t="shared" si="8"/>
        <v>0</v>
      </c>
      <c r="Z3973" s="168">
        <f t="shared" si="9"/>
        <v>0</v>
      </c>
    </row>
    <row r="3974" ht="15.0" customHeight="1">
      <c r="A3974" s="157" t="s">
        <v>5022</v>
      </c>
      <c r="B3974" s="158" t="s">
        <v>41</v>
      </c>
      <c r="C3974" s="158" t="s">
        <v>5012</v>
      </c>
      <c r="D3974" s="159">
        <v>45082.0</v>
      </c>
      <c r="E3974" s="157" t="s">
        <v>731</v>
      </c>
      <c r="F3974" s="160">
        <v>371590.19</v>
      </c>
      <c r="G3974" s="160">
        <f>'FACP$'!$F3974*0.16</f>
        <v>59454.4304</v>
      </c>
      <c r="H3974" s="160">
        <f t="shared" si="122"/>
        <v>431044.6204</v>
      </c>
      <c r="I3974" s="160"/>
      <c r="J3974" s="161"/>
      <c r="K3974" s="160"/>
      <c r="L3974" s="160">
        <f>+'FACP$'!$H3974-'FACP$'!$I3974-'FACP$'!$K3974</f>
        <v>431044.6204</v>
      </c>
      <c r="M3974" s="162" t="s">
        <v>121</v>
      </c>
      <c r="N3974" s="162" t="s">
        <v>554</v>
      </c>
      <c r="O3974" s="164">
        <v>45120.0</v>
      </c>
      <c r="P3974" s="164">
        <f t="array" ref="P3974">XLOOKUP('FACP$'!$B3974,'perfil de pagos'!$A$4:$A$46,'perfil de pagos'!$B$4:$B$46+'FACP$'!$D3974)</f>
        <v>45092</v>
      </c>
      <c r="Q3974" s="165">
        <f t="shared" si="2"/>
        <v>0</v>
      </c>
      <c r="R3974" s="167"/>
      <c r="S3974" s="167">
        <v>2262.0</v>
      </c>
      <c r="T3974" s="168">
        <f t="shared" si="3"/>
        <v>431044.6204</v>
      </c>
      <c r="U3974" s="168">
        <f t="shared" si="4"/>
        <v>0</v>
      </c>
      <c r="V3974" s="168">
        <f t="shared" si="5"/>
        <v>0</v>
      </c>
      <c r="W3974" s="168">
        <f t="shared" si="6"/>
        <v>0</v>
      </c>
      <c r="X3974" s="168">
        <f t="shared" si="7"/>
        <v>0</v>
      </c>
      <c r="Y3974" s="168">
        <f t="shared" si="8"/>
        <v>0</v>
      </c>
      <c r="Z3974" s="168">
        <f t="shared" si="9"/>
        <v>0</v>
      </c>
    </row>
    <row r="3975" ht="15.0" customHeight="1">
      <c r="A3975" s="157" t="s">
        <v>5023</v>
      </c>
      <c r="B3975" s="158" t="s">
        <v>42</v>
      </c>
      <c r="C3975" s="158" t="s">
        <v>5012</v>
      </c>
      <c r="D3975" s="159">
        <v>45082.0</v>
      </c>
      <c r="E3975" s="157" t="s">
        <v>731</v>
      </c>
      <c r="F3975" s="160">
        <v>69056.41</v>
      </c>
      <c r="G3975" s="160">
        <f>'FACP$'!$F3975*0.16</f>
        <v>11049.0256</v>
      </c>
      <c r="H3975" s="160">
        <f t="shared" si="122"/>
        <v>80105.4356</v>
      </c>
      <c r="I3975" s="160"/>
      <c r="J3975" s="161"/>
      <c r="K3975" s="160"/>
      <c r="L3975" s="160">
        <f>+'FACP$'!$H3975-'FACP$'!$I3975-'FACP$'!$K3975</f>
        <v>80105.4356</v>
      </c>
      <c r="M3975" s="162" t="s">
        <v>42</v>
      </c>
      <c r="N3975" s="162" t="s">
        <v>554</v>
      </c>
      <c r="O3975" s="164">
        <v>45093.0</v>
      </c>
      <c r="P3975" s="164">
        <f t="array" ref="P3975">XLOOKUP('FACP$'!$B3975,'perfil de pagos'!$A$4:$A$46,'perfil de pagos'!$B$4:$B$46+'FACP$'!$D3975)</f>
        <v>45092</v>
      </c>
      <c r="Q3975" s="165">
        <f t="shared" si="2"/>
        <v>0</v>
      </c>
      <c r="R3975" s="167"/>
      <c r="S3975" s="167">
        <v>2215.0</v>
      </c>
      <c r="T3975" s="168">
        <f t="shared" si="3"/>
        <v>80105.4356</v>
      </c>
      <c r="U3975" s="168">
        <f t="shared" si="4"/>
        <v>0</v>
      </c>
      <c r="V3975" s="168">
        <f t="shared" si="5"/>
        <v>0</v>
      </c>
      <c r="W3975" s="168">
        <f t="shared" si="6"/>
        <v>0</v>
      </c>
      <c r="X3975" s="168">
        <f t="shared" si="7"/>
        <v>0</v>
      </c>
      <c r="Y3975" s="168">
        <f t="shared" si="8"/>
        <v>0</v>
      </c>
      <c r="Z3975" s="168">
        <f t="shared" si="9"/>
        <v>0</v>
      </c>
    </row>
    <row r="3976" ht="15.0" customHeight="1">
      <c r="A3976" s="157" t="s">
        <v>5024</v>
      </c>
      <c r="B3976" s="158" t="s">
        <v>44</v>
      </c>
      <c r="C3976" s="158" t="s">
        <v>5012</v>
      </c>
      <c r="D3976" s="159">
        <v>45082.0</v>
      </c>
      <c r="E3976" s="157" t="s">
        <v>731</v>
      </c>
      <c r="F3976" s="160">
        <v>60324.04</v>
      </c>
      <c r="G3976" s="160">
        <f>'FACP$'!$F3976*0.16</f>
        <v>9651.8464</v>
      </c>
      <c r="H3976" s="160">
        <f t="shared" si="122"/>
        <v>69975.8864</v>
      </c>
      <c r="I3976" s="160"/>
      <c r="J3976" s="161"/>
      <c r="K3976" s="160"/>
      <c r="L3976" s="160">
        <f>+'FACP$'!$H3976-'FACP$'!$I3976-'FACP$'!$K3976</f>
        <v>69975.8864</v>
      </c>
      <c r="M3976" s="162" t="s">
        <v>361</v>
      </c>
      <c r="N3976" s="162" t="s">
        <v>554</v>
      </c>
      <c r="O3976" s="164">
        <v>45093.0</v>
      </c>
      <c r="P3976" s="164">
        <f t="array" ref="P3976">XLOOKUP('FACP$'!$B3976,'perfil de pagos'!$A$4:$A$46,'perfil de pagos'!$B$4:$B$46+'FACP$'!$D3976)</f>
        <v>45092</v>
      </c>
      <c r="Q3976" s="165">
        <f t="shared" si="2"/>
        <v>0</v>
      </c>
      <c r="R3976" s="167"/>
      <c r="S3976" s="167">
        <v>2214.0</v>
      </c>
      <c r="T3976" s="168">
        <f t="shared" si="3"/>
        <v>69975.8864</v>
      </c>
      <c r="U3976" s="168">
        <f t="shared" si="4"/>
        <v>0</v>
      </c>
      <c r="V3976" s="168">
        <f t="shared" si="5"/>
        <v>0</v>
      </c>
      <c r="W3976" s="168">
        <f t="shared" si="6"/>
        <v>0</v>
      </c>
      <c r="X3976" s="168">
        <f t="shared" si="7"/>
        <v>0</v>
      </c>
      <c r="Y3976" s="168">
        <f t="shared" si="8"/>
        <v>0</v>
      </c>
      <c r="Z3976" s="168">
        <f t="shared" si="9"/>
        <v>0</v>
      </c>
    </row>
    <row r="3977" ht="15.0" customHeight="1">
      <c r="A3977" s="157" t="s">
        <v>5025</v>
      </c>
      <c r="B3977" s="158" t="s">
        <v>43</v>
      </c>
      <c r="C3977" s="158" t="s">
        <v>5012</v>
      </c>
      <c r="D3977" s="159">
        <v>45082.0</v>
      </c>
      <c r="E3977" s="157" t="s">
        <v>731</v>
      </c>
      <c r="F3977" s="160">
        <v>121240.92</v>
      </c>
      <c r="G3977" s="160">
        <f>'FACP$'!$F3977*0.16</f>
        <v>19398.5472</v>
      </c>
      <c r="H3977" s="160">
        <f t="shared" si="122"/>
        <v>140639.4672</v>
      </c>
      <c r="I3977" s="160"/>
      <c r="J3977" s="161">
        <f>+'NCP$'!A245</f>
        <v>329</v>
      </c>
      <c r="K3977" s="160">
        <f>+'NCP$'!H245</f>
        <v>14676.9</v>
      </c>
      <c r="L3977" s="160">
        <f>+'FACP$'!$H3977-'FACP$'!$I3977-'FACP$'!$K3977</f>
        <v>125962.5672</v>
      </c>
      <c r="M3977" s="162" t="s">
        <v>43</v>
      </c>
      <c r="N3977" s="162" t="s">
        <v>554</v>
      </c>
      <c r="O3977" s="164">
        <v>45156.0</v>
      </c>
      <c r="P3977" s="164">
        <f t="array" ref="P3977">XLOOKUP('FACP$'!$B3977,'perfil de pagos'!$A$4:$A$46,'perfil de pagos'!$B$4:$B$46+'FACP$'!$D3977)</f>
        <v>45107</v>
      </c>
      <c r="Q3977" s="165">
        <f t="shared" si="2"/>
        <v>0</v>
      </c>
      <c r="R3977" s="167"/>
      <c r="S3977" s="167">
        <v>2361.0</v>
      </c>
      <c r="T3977" s="168">
        <f t="shared" si="3"/>
        <v>125962.5672</v>
      </c>
      <c r="U3977" s="168">
        <f t="shared" si="4"/>
        <v>0</v>
      </c>
      <c r="V3977" s="168">
        <f t="shared" si="5"/>
        <v>0</v>
      </c>
      <c r="W3977" s="168">
        <f t="shared" si="6"/>
        <v>0</v>
      </c>
      <c r="X3977" s="168">
        <f t="shared" si="7"/>
        <v>0</v>
      </c>
      <c r="Y3977" s="168">
        <f t="shared" si="8"/>
        <v>0</v>
      </c>
      <c r="Z3977" s="168">
        <f t="shared" si="9"/>
        <v>0</v>
      </c>
    </row>
    <row r="3978" ht="15.0" customHeight="1">
      <c r="A3978" s="157" t="s">
        <v>5026</v>
      </c>
      <c r="B3978" s="158" t="s">
        <v>27</v>
      </c>
      <c r="C3978" s="158" t="s">
        <v>5002</v>
      </c>
      <c r="D3978" s="159">
        <v>45082.0</v>
      </c>
      <c r="E3978" s="157" t="s">
        <v>731</v>
      </c>
      <c r="F3978" s="160">
        <v>1190.51</v>
      </c>
      <c r="G3978" s="160">
        <f>'FACP$'!$F3978*0.16</f>
        <v>190.4816</v>
      </c>
      <c r="H3978" s="160">
        <f t="shared" si="122"/>
        <v>1380.9916</v>
      </c>
      <c r="I3978" s="160"/>
      <c r="J3978" s="161"/>
      <c r="K3978" s="160"/>
      <c r="L3978" s="160">
        <f>+'FACP$'!$H3978-'FACP$'!$I3978-'FACP$'!$K3978</f>
        <v>1380.9916</v>
      </c>
      <c r="M3978" s="162" t="s">
        <v>158</v>
      </c>
      <c r="N3978" s="162" t="s">
        <v>554</v>
      </c>
      <c r="O3978" s="164">
        <v>45114.0</v>
      </c>
      <c r="P3978" s="164">
        <f t="array" ref="P3978">XLOOKUP('FACP$'!$B3978,'perfil de pagos'!$A$4:$A$46,'perfil de pagos'!$B$4:$B$46+'FACP$'!$D3978)</f>
        <v>45112</v>
      </c>
      <c r="Q3978" s="165">
        <f t="shared" si="2"/>
        <v>0</v>
      </c>
      <c r="R3978" s="167"/>
      <c r="S3978" s="167">
        <v>2254.0</v>
      </c>
      <c r="T3978" s="168">
        <f t="shared" si="3"/>
        <v>1380.9916</v>
      </c>
      <c r="U3978" s="168">
        <f t="shared" si="4"/>
        <v>0</v>
      </c>
      <c r="V3978" s="168">
        <f t="shared" si="5"/>
        <v>0</v>
      </c>
      <c r="W3978" s="168">
        <f t="shared" si="6"/>
        <v>0</v>
      </c>
      <c r="X3978" s="168">
        <f t="shared" si="7"/>
        <v>0</v>
      </c>
      <c r="Y3978" s="168">
        <f t="shared" si="8"/>
        <v>0</v>
      </c>
      <c r="Z3978" s="168">
        <f t="shared" si="9"/>
        <v>0</v>
      </c>
    </row>
    <row r="3979" ht="15.0" customHeight="1">
      <c r="A3979" s="157" t="s">
        <v>5027</v>
      </c>
      <c r="B3979" s="158" t="s">
        <v>27</v>
      </c>
      <c r="C3979" s="158" t="s">
        <v>5004</v>
      </c>
      <c r="D3979" s="159">
        <v>45082.0</v>
      </c>
      <c r="E3979" s="157" t="s">
        <v>731</v>
      </c>
      <c r="F3979" s="160">
        <v>1233.55</v>
      </c>
      <c r="G3979" s="160">
        <f>'FACP$'!$F3979*0.16</f>
        <v>197.368</v>
      </c>
      <c r="H3979" s="160">
        <f t="shared" si="122"/>
        <v>1430.918</v>
      </c>
      <c r="I3979" s="160"/>
      <c r="J3979" s="161"/>
      <c r="K3979" s="160"/>
      <c r="L3979" s="160">
        <f>+'FACP$'!$H3979-'FACP$'!$I3979-'FACP$'!$K3979</f>
        <v>1430.918</v>
      </c>
      <c r="M3979" s="162" t="s">
        <v>158</v>
      </c>
      <c r="N3979" s="162" t="s">
        <v>554</v>
      </c>
      <c r="O3979" s="164">
        <v>45114.0</v>
      </c>
      <c r="P3979" s="164">
        <f t="array" ref="P3979">XLOOKUP('FACP$'!$B3979,'perfil de pagos'!$A$4:$A$46,'perfil de pagos'!$B$4:$B$46+'FACP$'!$D3979)</f>
        <v>45112</v>
      </c>
      <c r="Q3979" s="165">
        <f t="shared" si="2"/>
        <v>0</v>
      </c>
      <c r="R3979" s="167"/>
      <c r="S3979" s="167">
        <v>2254.0</v>
      </c>
      <c r="T3979" s="168">
        <f t="shared" si="3"/>
        <v>1430.918</v>
      </c>
      <c r="U3979" s="168">
        <f t="shared" si="4"/>
        <v>0</v>
      </c>
      <c r="V3979" s="168">
        <f t="shared" si="5"/>
        <v>0</v>
      </c>
      <c r="W3979" s="168">
        <f t="shared" si="6"/>
        <v>0</v>
      </c>
      <c r="X3979" s="168">
        <f t="shared" si="7"/>
        <v>0</v>
      </c>
      <c r="Y3979" s="168">
        <f t="shared" si="8"/>
        <v>0</v>
      </c>
      <c r="Z3979" s="168">
        <f t="shared" si="9"/>
        <v>0</v>
      </c>
    </row>
    <row r="3980" ht="15.0" customHeight="1">
      <c r="A3980" s="157" t="s">
        <v>5028</v>
      </c>
      <c r="B3980" s="158" t="s">
        <v>27</v>
      </c>
      <c r="C3980" s="158" t="s">
        <v>5002</v>
      </c>
      <c r="D3980" s="159">
        <v>45082.0</v>
      </c>
      <c r="E3980" s="157" t="s">
        <v>731</v>
      </c>
      <c r="F3980" s="160">
        <v>17468.67</v>
      </c>
      <c r="G3980" s="160">
        <f>'FACP$'!$F3980*0.16</f>
        <v>2794.9872</v>
      </c>
      <c r="H3980" s="160">
        <f t="shared" si="122"/>
        <v>20263.6572</v>
      </c>
      <c r="I3980" s="160"/>
      <c r="J3980" s="161"/>
      <c r="K3980" s="160"/>
      <c r="L3980" s="160">
        <f>+'FACP$'!$H3980-'FACP$'!$I3980-'FACP$'!$K3980</f>
        <v>20263.6572</v>
      </c>
      <c r="M3980" s="162" t="s">
        <v>151</v>
      </c>
      <c r="N3980" s="162" t="s">
        <v>554</v>
      </c>
      <c r="O3980" s="164">
        <v>45114.0</v>
      </c>
      <c r="P3980" s="164">
        <f t="array" ref="P3980">XLOOKUP('FACP$'!$B3980,'perfil de pagos'!$A$4:$A$46,'perfil de pagos'!$B$4:$B$46+'FACP$'!$D3980)</f>
        <v>45112</v>
      </c>
      <c r="Q3980" s="165">
        <f t="shared" si="2"/>
        <v>0</v>
      </c>
      <c r="R3980" s="167"/>
      <c r="S3980" s="167">
        <v>2255.0</v>
      </c>
      <c r="T3980" s="168">
        <f t="shared" si="3"/>
        <v>20263.6572</v>
      </c>
      <c r="U3980" s="168">
        <f t="shared" si="4"/>
        <v>0</v>
      </c>
      <c r="V3980" s="168">
        <f t="shared" si="5"/>
        <v>0</v>
      </c>
      <c r="W3980" s="168">
        <f t="shared" si="6"/>
        <v>0</v>
      </c>
      <c r="X3980" s="168">
        <f t="shared" si="7"/>
        <v>0</v>
      </c>
      <c r="Y3980" s="168">
        <f t="shared" si="8"/>
        <v>0</v>
      </c>
      <c r="Z3980" s="168">
        <f t="shared" si="9"/>
        <v>0</v>
      </c>
    </row>
    <row r="3981" ht="15.0" customHeight="1">
      <c r="A3981" s="157" t="s">
        <v>5029</v>
      </c>
      <c r="B3981" s="158" t="s">
        <v>27</v>
      </c>
      <c r="C3981" s="158" t="s">
        <v>5004</v>
      </c>
      <c r="D3981" s="159">
        <v>45082.0</v>
      </c>
      <c r="E3981" s="157" t="s">
        <v>731</v>
      </c>
      <c r="F3981" s="160">
        <v>10958.38</v>
      </c>
      <c r="G3981" s="160">
        <f>'FACP$'!$F3981*0.16</f>
        <v>1753.3408</v>
      </c>
      <c r="H3981" s="160">
        <f t="shared" si="122"/>
        <v>12711.7208</v>
      </c>
      <c r="I3981" s="160"/>
      <c r="J3981" s="161"/>
      <c r="K3981" s="160"/>
      <c r="L3981" s="160">
        <f>+'FACP$'!$H3981-'FACP$'!$I3981-'FACP$'!$K3981</f>
        <v>12711.7208</v>
      </c>
      <c r="M3981" s="162" t="s">
        <v>151</v>
      </c>
      <c r="N3981" s="162" t="s">
        <v>554</v>
      </c>
      <c r="O3981" s="164">
        <v>45114.0</v>
      </c>
      <c r="P3981" s="164">
        <f t="array" ref="P3981">XLOOKUP('FACP$'!$B3981,'perfil de pagos'!$A$4:$A$46,'perfil de pagos'!$B$4:$B$46+'FACP$'!$D3981)</f>
        <v>45112</v>
      </c>
      <c r="Q3981" s="165">
        <f t="shared" si="2"/>
        <v>0</v>
      </c>
      <c r="R3981" s="167"/>
      <c r="S3981" s="167">
        <v>2255.0</v>
      </c>
      <c r="T3981" s="168">
        <f t="shared" si="3"/>
        <v>12711.7208</v>
      </c>
      <c r="U3981" s="168">
        <f t="shared" si="4"/>
        <v>0</v>
      </c>
      <c r="V3981" s="168">
        <f t="shared" si="5"/>
        <v>0</v>
      </c>
      <c r="W3981" s="168">
        <f t="shared" si="6"/>
        <v>0</v>
      </c>
      <c r="X3981" s="168">
        <f t="shared" si="7"/>
        <v>0</v>
      </c>
      <c r="Y3981" s="168">
        <f t="shared" si="8"/>
        <v>0</v>
      </c>
      <c r="Z3981" s="168">
        <f t="shared" si="9"/>
        <v>0</v>
      </c>
    </row>
    <row r="3982" ht="15.0" customHeight="1">
      <c r="A3982" s="157" t="s">
        <v>5030</v>
      </c>
      <c r="B3982" s="158" t="s">
        <v>27</v>
      </c>
      <c r="C3982" s="158" t="s">
        <v>5002</v>
      </c>
      <c r="D3982" s="159">
        <v>45082.0</v>
      </c>
      <c r="E3982" s="157" t="s">
        <v>731</v>
      </c>
      <c r="F3982" s="160">
        <v>561.79</v>
      </c>
      <c r="G3982" s="160">
        <f>'FACP$'!$F3982*0.16</f>
        <v>89.8864</v>
      </c>
      <c r="H3982" s="160">
        <f t="shared" si="122"/>
        <v>651.6764</v>
      </c>
      <c r="I3982" s="160"/>
      <c r="J3982" s="161"/>
      <c r="K3982" s="160"/>
      <c r="L3982" s="160">
        <f>+'FACP$'!$H3982-'FACP$'!$I3982-'FACP$'!$K3982</f>
        <v>651.6764</v>
      </c>
      <c r="M3982" s="162" t="s">
        <v>151</v>
      </c>
      <c r="N3982" s="162" t="s">
        <v>554</v>
      </c>
      <c r="O3982" s="164">
        <v>45114.0</v>
      </c>
      <c r="P3982" s="164">
        <f t="array" ref="P3982">XLOOKUP('FACP$'!$B3982,'perfil de pagos'!$A$4:$A$46,'perfil de pagos'!$B$4:$B$46+'FACP$'!$D3982)</f>
        <v>45112</v>
      </c>
      <c r="Q3982" s="165">
        <f t="shared" si="2"/>
        <v>0</v>
      </c>
      <c r="R3982" s="167"/>
      <c r="S3982" s="167">
        <v>2255.0</v>
      </c>
      <c r="T3982" s="168">
        <f t="shared" si="3"/>
        <v>651.6764</v>
      </c>
      <c r="U3982" s="168">
        <f t="shared" si="4"/>
        <v>0</v>
      </c>
      <c r="V3982" s="168">
        <f t="shared" si="5"/>
        <v>0</v>
      </c>
      <c r="W3982" s="168">
        <f t="shared" si="6"/>
        <v>0</v>
      </c>
      <c r="X3982" s="168">
        <f t="shared" si="7"/>
        <v>0</v>
      </c>
      <c r="Y3982" s="168">
        <f t="shared" si="8"/>
        <v>0</v>
      </c>
      <c r="Z3982" s="168">
        <f t="shared" si="9"/>
        <v>0</v>
      </c>
    </row>
    <row r="3983" ht="15.0" customHeight="1">
      <c r="A3983" s="157" t="s">
        <v>5031</v>
      </c>
      <c r="B3983" s="158" t="s">
        <v>27</v>
      </c>
      <c r="C3983" s="158" t="s">
        <v>5004</v>
      </c>
      <c r="D3983" s="159">
        <v>45082.0</v>
      </c>
      <c r="E3983" s="157" t="s">
        <v>731</v>
      </c>
      <c r="F3983" s="160">
        <v>686.28</v>
      </c>
      <c r="G3983" s="160">
        <f>'FACP$'!$F3983*0.16</f>
        <v>109.8048</v>
      </c>
      <c r="H3983" s="160">
        <f t="shared" si="122"/>
        <v>796.0848</v>
      </c>
      <c r="I3983" s="160"/>
      <c r="J3983" s="161"/>
      <c r="K3983" s="160"/>
      <c r="L3983" s="160">
        <f>+'FACP$'!$H3983-'FACP$'!$I3983-'FACP$'!$K3983</f>
        <v>796.0848</v>
      </c>
      <c r="M3983" s="162" t="s">
        <v>151</v>
      </c>
      <c r="N3983" s="162" t="s">
        <v>554</v>
      </c>
      <c r="O3983" s="164">
        <v>45114.0</v>
      </c>
      <c r="P3983" s="164">
        <f t="array" ref="P3983">XLOOKUP('FACP$'!$B3983,'perfil de pagos'!$A$4:$A$46,'perfil de pagos'!$B$4:$B$46+'FACP$'!$D3983)</f>
        <v>45112</v>
      </c>
      <c r="Q3983" s="165">
        <f t="shared" si="2"/>
        <v>0</v>
      </c>
      <c r="R3983" s="167"/>
      <c r="S3983" s="167">
        <v>2255.0</v>
      </c>
      <c r="T3983" s="168">
        <f t="shared" si="3"/>
        <v>796.0848</v>
      </c>
      <c r="U3983" s="168">
        <f t="shared" si="4"/>
        <v>0</v>
      </c>
      <c r="V3983" s="168">
        <f t="shared" si="5"/>
        <v>0</v>
      </c>
      <c r="W3983" s="168">
        <f t="shared" si="6"/>
        <v>0</v>
      </c>
      <c r="X3983" s="168">
        <f t="shared" si="7"/>
        <v>0</v>
      </c>
      <c r="Y3983" s="168">
        <f t="shared" si="8"/>
        <v>0</v>
      </c>
      <c r="Z3983" s="168">
        <f t="shared" si="9"/>
        <v>0</v>
      </c>
    </row>
    <row r="3984" ht="15.0" customHeight="1">
      <c r="A3984" s="157" t="s">
        <v>5032</v>
      </c>
      <c r="B3984" s="158" t="s">
        <v>16</v>
      </c>
      <c r="C3984" s="158" t="s">
        <v>5002</v>
      </c>
      <c r="D3984" s="159">
        <v>45086.0</v>
      </c>
      <c r="E3984" s="157" t="s">
        <v>731</v>
      </c>
      <c r="F3984" s="160">
        <v>286295.86</v>
      </c>
      <c r="G3984" s="160">
        <f>'FACP$'!$F3984*0.16</f>
        <v>45807.3376</v>
      </c>
      <c r="H3984" s="160">
        <f t="shared" si="122"/>
        <v>332103.1976</v>
      </c>
      <c r="I3984" s="160"/>
      <c r="J3984" s="161"/>
      <c r="K3984" s="160"/>
      <c r="L3984" s="160">
        <f>+'FACP$'!$H3984-'FACP$'!$I3984-'FACP$'!$K3984</f>
        <v>332103.1976</v>
      </c>
      <c r="M3984" s="162" t="s">
        <v>985</v>
      </c>
      <c r="N3984" s="162" t="s">
        <v>554</v>
      </c>
      <c r="O3984" s="164">
        <v>45098.0</v>
      </c>
      <c r="P3984" s="164">
        <f t="array" ref="P3984">XLOOKUP('FACP$'!$B3984,'perfil de pagos'!$A$4:$A$46,'perfil de pagos'!$B$4:$B$46+'FACP$'!$D3984)</f>
        <v>45096</v>
      </c>
      <c r="Q3984" s="165">
        <f t="shared" si="2"/>
        <v>0</v>
      </c>
      <c r="R3984" s="167"/>
      <c r="S3984" s="167">
        <v>2227.0</v>
      </c>
      <c r="T3984" s="168">
        <f t="shared" si="3"/>
        <v>332103.1976</v>
      </c>
      <c r="U3984" s="168">
        <f t="shared" si="4"/>
        <v>0</v>
      </c>
      <c r="V3984" s="168">
        <f t="shared" si="5"/>
        <v>0</v>
      </c>
      <c r="W3984" s="168">
        <f t="shared" si="6"/>
        <v>0</v>
      </c>
      <c r="X3984" s="168">
        <f t="shared" si="7"/>
        <v>0</v>
      </c>
      <c r="Y3984" s="168">
        <f t="shared" si="8"/>
        <v>0</v>
      </c>
      <c r="Z3984" s="168">
        <f t="shared" si="9"/>
        <v>0</v>
      </c>
    </row>
    <row r="3985" ht="15.0" customHeight="1">
      <c r="A3985" s="157" t="s">
        <v>5033</v>
      </c>
      <c r="B3985" s="158" t="s">
        <v>16</v>
      </c>
      <c r="C3985" s="158" t="s">
        <v>5004</v>
      </c>
      <c r="D3985" s="159">
        <v>45086.0</v>
      </c>
      <c r="E3985" s="157" t="s">
        <v>731</v>
      </c>
      <c r="F3985" s="160">
        <v>448378.56</v>
      </c>
      <c r="G3985" s="160">
        <f>'FACP$'!$F3985*0.16</f>
        <v>71740.5696</v>
      </c>
      <c r="H3985" s="160">
        <f t="shared" si="122"/>
        <v>520119.1296</v>
      </c>
      <c r="I3985" s="160"/>
      <c r="J3985" s="161"/>
      <c r="K3985" s="160"/>
      <c r="L3985" s="160">
        <f>+'FACP$'!$H3985-'FACP$'!$I3985-'FACP$'!$K3985</f>
        <v>520119.1296</v>
      </c>
      <c r="M3985" s="162" t="s">
        <v>985</v>
      </c>
      <c r="N3985" s="162" t="s">
        <v>554</v>
      </c>
      <c r="O3985" s="164">
        <v>45098.0</v>
      </c>
      <c r="P3985" s="164">
        <f t="array" ref="P3985">XLOOKUP('FACP$'!$B3985,'perfil de pagos'!$A$4:$A$46,'perfil de pagos'!$B$4:$B$46+'FACP$'!$D3985)</f>
        <v>45096</v>
      </c>
      <c r="Q3985" s="165">
        <f t="shared" si="2"/>
        <v>0</v>
      </c>
      <c r="R3985" s="167"/>
      <c r="S3985" s="167">
        <v>2227.0</v>
      </c>
      <c r="T3985" s="168">
        <f t="shared" si="3"/>
        <v>520119.1296</v>
      </c>
      <c r="U3985" s="168">
        <f t="shared" si="4"/>
        <v>0</v>
      </c>
      <c r="V3985" s="168">
        <f t="shared" si="5"/>
        <v>0</v>
      </c>
      <c r="W3985" s="168">
        <f t="shared" si="6"/>
        <v>0</v>
      </c>
      <c r="X3985" s="168">
        <f t="shared" si="7"/>
        <v>0</v>
      </c>
      <c r="Y3985" s="168">
        <f t="shared" si="8"/>
        <v>0</v>
      </c>
      <c r="Z3985" s="168">
        <f t="shared" si="9"/>
        <v>0</v>
      </c>
    </row>
    <row r="3986" ht="15.0" customHeight="1">
      <c r="A3986" s="157" t="s">
        <v>5034</v>
      </c>
      <c r="B3986" s="158" t="s">
        <v>18</v>
      </c>
      <c r="C3986" s="158" t="s">
        <v>5002</v>
      </c>
      <c r="D3986" s="159">
        <v>45086.0</v>
      </c>
      <c r="E3986" s="157" t="s">
        <v>731</v>
      </c>
      <c r="F3986" s="160">
        <v>61205.46</v>
      </c>
      <c r="G3986" s="160">
        <f>'FACP$'!$F3986*0.16</f>
        <v>9792.8736</v>
      </c>
      <c r="H3986" s="160">
        <f t="shared" si="122"/>
        <v>70998.3336</v>
      </c>
      <c r="I3986" s="160"/>
      <c r="J3986" s="161"/>
      <c r="K3986" s="160"/>
      <c r="L3986" s="160">
        <f>+'FACP$'!$H3986-'FACP$'!$I3986-'FACP$'!$K3986</f>
        <v>70998.3336</v>
      </c>
      <c r="M3986" s="162" t="s">
        <v>586</v>
      </c>
      <c r="N3986" s="162" t="s">
        <v>554</v>
      </c>
      <c r="O3986" s="164">
        <v>45091.0</v>
      </c>
      <c r="P3986" s="164">
        <f t="array" ref="P3986">XLOOKUP('FACP$'!$B3986,'perfil de pagos'!$A$4:$A$46,'perfil de pagos'!$B$4:$B$46+'FACP$'!$D3986)</f>
        <v>45096</v>
      </c>
      <c r="Q3986" s="165">
        <f t="shared" si="2"/>
        <v>0</v>
      </c>
      <c r="R3986" s="167"/>
      <c r="S3986" s="167">
        <v>2224.0</v>
      </c>
      <c r="T3986" s="168">
        <f t="shared" si="3"/>
        <v>70998.3336</v>
      </c>
      <c r="U3986" s="168">
        <f t="shared" si="4"/>
        <v>0</v>
      </c>
      <c r="V3986" s="168">
        <f t="shared" si="5"/>
        <v>0</v>
      </c>
      <c r="W3986" s="168">
        <f t="shared" si="6"/>
        <v>0</v>
      </c>
      <c r="X3986" s="168">
        <f t="shared" si="7"/>
        <v>0</v>
      </c>
      <c r="Y3986" s="168">
        <f t="shared" si="8"/>
        <v>0</v>
      </c>
      <c r="Z3986" s="168">
        <f t="shared" si="9"/>
        <v>0</v>
      </c>
    </row>
    <row r="3987" ht="15.0" customHeight="1">
      <c r="A3987" s="157" t="s">
        <v>5035</v>
      </c>
      <c r="B3987" s="158" t="s">
        <v>19</v>
      </c>
      <c r="C3987" s="158" t="s">
        <v>5002</v>
      </c>
      <c r="D3987" s="159">
        <v>45086.0</v>
      </c>
      <c r="E3987" s="157" t="s">
        <v>731</v>
      </c>
      <c r="F3987" s="160">
        <v>110690.68</v>
      </c>
      <c r="G3987" s="160">
        <f>'FACP$'!$F3987*0.16</f>
        <v>17710.5088</v>
      </c>
      <c r="H3987" s="160">
        <f t="shared" si="122"/>
        <v>128401.1888</v>
      </c>
      <c r="I3987" s="160"/>
      <c r="J3987" s="161"/>
      <c r="K3987" s="160"/>
      <c r="L3987" s="160">
        <f>+'FACP$'!$H3987-'FACP$'!$I3987-'FACP$'!$K3987</f>
        <v>128401.1888</v>
      </c>
      <c r="M3987" s="162" t="s">
        <v>732</v>
      </c>
      <c r="N3987" s="162" t="s">
        <v>554</v>
      </c>
      <c r="O3987" s="164">
        <v>45104.0</v>
      </c>
      <c r="P3987" s="164">
        <f t="array" ref="P3987">XLOOKUP('FACP$'!$B3987,'perfil de pagos'!$A$4:$A$46,'perfil de pagos'!$B$4:$B$46+'FACP$'!$D3987)</f>
        <v>45096</v>
      </c>
      <c r="Q3987" s="165">
        <f t="shared" si="2"/>
        <v>0</v>
      </c>
      <c r="R3987" s="167"/>
      <c r="S3987" s="167">
        <v>2237.0</v>
      </c>
      <c r="T3987" s="168">
        <f t="shared" si="3"/>
        <v>128401.1888</v>
      </c>
      <c r="U3987" s="168">
        <f t="shared" si="4"/>
        <v>0</v>
      </c>
      <c r="V3987" s="168">
        <f t="shared" si="5"/>
        <v>0</v>
      </c>
      <c r="W3987" s="168">
        <f t="shared" si="6"/>
        <v>0</v>
      </c>
      <c r="X3987" s="168">
        <f t="shared" si="7"/>
        <v>0</v>
      </c>
      <c r="Y3987" s="168">
        <f t="shared" si="8"/>
        <v>0</v>
      </c>
      <c r="Z3987" s="168">
        <f t="shared" si="9"/>
        <v>0</v>
      </c>
    </row>
    <row r="3988" ht="15.0" customHeight="1">
      <c r="A3988" s="157" t="s">
        <v>5036</v>
      </c>
      <c r="B3988" s="158" t="s">
        <v>22</v>
      </c>
      <c r="C3988" s="158" t="s">
        <v>5002</v>
      </c>
      <c r="D3988" s="159">
        <v>45086.0</v>
      </c>
      <c r="E3988" s="157" t="s">
        <v>731</v>
      </c>
      <c r="F3988" s="160">
        <v>178842.29</v>
      </c>
      <c r="G3988" s="160">
        <f>'FACP$'!$F3988*0.16</f>
        <v>28614.7664</v>
      </c>
      <c r="H3988" s="160">
        <f t="shared" si="122"/>
        <v>207457.0564</v>
      </c>
      <c r="I3988" s="160"/>
      <c r="J3988" s="161"/>
      <c r="K3988" s="160"/>
      <c r="L3988" s="160">
        <f>+'FACP$'!$H3988-'FACP$'!$I3988-'FACP$'!$K3988</f>
        <v>207457.0564</v>
      </c>
      <c r="M3988" s="162" t="s">
        <v>220</v>
      </c>
      <c r="N3988" s="162" t="s">
        <v>554</v>
      </c>
      <c r="O3988" s="164">
        <v>45100.0</v>
      </c>
      <c r="P3988" s="164">
        <f t="array" ref="P3988">XLOOKUP('FACP$'!$B3988,'perfil de pagos'!$A$4:$A$46,'perfil de pagos'!$B$4:$B$46+'FACP$'!$D3988)</f>
        <v>45096</v>
      </c>
      <c r="Q3988" s="165">
        <f t="shared" si="2"/>
        <v>0</v>
      </c>
      <c r="R3988" s="167"/>
      <c r="S3988" s="167">
        <v>2230.0</v>
      </c>
      <c r="T3988" s="168">
        <f t="shared" si="3"/>
        <v>207457.0564</v>
      </c>
      <c r="U3988" s="168">
        <f t="shared" si="4"/>
        <v>0</v>
      </c>
      <c r="V3988" s="168">
        <f t="shared" si="5"/>
        <v>0</v>
      </c>
      <c r="W3988" s="168">
        <f t="shared" si="6"/>
        <v>0</v>
      </c>
      <c r="X3988" s="168">
        <f t="shared" si="7"/>
        <v>0</v>
      </c>
      <c r="Y3988" s="168">
        <f t="shared" si="8"/>
        <v>0</v>
      </c>
      <c r="Z3988" s="168">
        <f t="shared" si="9"/>
        <v>0</v>
      </c>
    </row>
    <row r="3989" ht="15.0" customHeight="1">
      <c r="A3989" s="157" t="s">
        <v>5037</v>
      </c>
      <c r="B3989" s="158" t="s">
        <v>25</v>
      </c>
      <c r="C3989" s="158" t="s">
        <v>5002</v>
      </c>
      <c r="D3989" s="159">
        <v>45086.0</v>
      </c>
      <c r="E3989" s="157" t="s">
        <v>731</v>
      </c>
      <c r="F3989" s="160">
        <v>40059.36</v>
      </c>
      <c r="G3989" s="160">
        <f>'FACP$'!$F3989*0.16</f>
        <v>6409.4976</v>
      </c>
      <c r="H3989" s="160">
        <f t="shared" si="122"/>
        <v>46468.8576</v>
      </c>
      <c r="I3989" s="160"/>
      <c r="J3989" s="161"/>
      <c r="K3989" s="160"/>
      <c r="L3989" s="160">
        <f>+'FACP$'!$H3989-'FACP$'!$I3989-'FACP$'!$K3989</f>
        <v>46468.8576</v>
      </c>
      <c r="M3989" s="162" t="s">
        <v>4388</v>
      </c>
      <c r="N3989" s="162" t="s">
        <v>554</v>
      </c>
      <c r="O3989" s="164">
        <v>45224.0</v>
      </c>
      <c r="P3989" s="164">
        <f t="array" ref="P3989">XLOOKUP('FACP$'!$B3989,'perfil de pagos'!$A$4:$A$46,'perfil de pagos'!$B$4:$B$46+'FACP$'!$D3989)</f>
        <v>45096</v>
      </c>
      <c r="Q3989" s="165">
        <f t="shared" si="2"/>
        <v>0</v>
      </c>
      <c r="R3989" s="167"/>
      <c r="S3989" s="167">
        <v>2523.0</v>
      </c>
      <c r="T3989" s="168">
        <f t="shared" si="3"/>
        <v>46468.8576</v>
      </c>
      <c r="U3989" s="168">
        <f t="shared" si="4"/>
        <v>0</v>
      </c>
      <c r="V3989" s="168">
        <f t="shared" si="5"/>
        <v>0</v>
      </c>
      <c r="W3989" s="168">
        <f t="shared" si="6"/>
        <v>0</v>
      </c>
      <c r="X3989" s="168">
        <f t="shared" si="7"/>
        <v>0</v>
      </c>
      <c r="Y3989" s="168">
        <f t="shared" si="8"/>
        <v>0</v>
      </c>
      <c r="Z3989" s="168">
        <f t="shared" si="9"/>
        <v>0</v>
      </c>
    </row>
    <row r="3990" ht="15.0" customHeight="1">
      <c r="A3990" s="157" t="s">
        <v>5038</v>
      </c>
      <c r="B3990" s="158" t="s">
        <v>29</v>
      </c>
      <c r="C3990" s="158" t="s">
        <v>5002</v>
      </c>
      <c r="D3990" s="159">
        <v>45086.0</v>
      </c>
      <c r="E3990" s="157" t="s">
        <v>731</v>
      </c>
      <c r="F3990" s="160">
        <v>241774.65</v>
      </c>
      <c r="G3990" s="160">
        <f>'FACP$'!$F3990*0.16</f>
        <v>38683.944</v>
      </c>
      <c r="H3990" s="160">
        <f t="shared" si="122"/>
        <v>280458.594</v>
      </c>
      <c r="I3990" s="160"/>
      <c r="J3990" s="161"/>
      <c r="K3990" s="160"/>
      <c r="L3990" s="160">
        <f>+'FACP$'!$H3990-'FACP$'!$I3990-'FACP$'!$K3990</f>
        <v>280458.594</v>
      </c>
      <c r="M3990" s="162" t="s">
        <v>130</v>
      </c>
      <c r="N3990" s="162" t="s">
        <v>554</v>
      </c>
      <c r="O3990" s="164">
        <v>45097.0</v>
      </c>
      <c r="P3990" s="164">
        <f t="array" ref="P3990">XLOOKUP('FACP$'!$B3990,'perfil de pagos'!$A$4:$A$46,'perfil de pagos'!$B$4:$B$46+'FACP$'!$D3990)</f>
        <v>45096</v>
      </c>
      <c r="Q3990" s="165">
        <f t="shared" si="2"/>
        <v>0</v>
      </c>
      <c r="R3990" s="167"/>
      <c r="S3990" s="167">
        <v>2226.0</v>
      </c>
      <c r="T3990" s="168">
        <f t="shared" si="3"/>
        <v>280458.594</v>
      </c>
      <c r="U3990" s="168">
        <f t="shared" si="4"/>
        <v>0</v>
      </c>
      <c r="V3990" s="168">
        <f t="shared" si="5"/>
        <v>0</v>
      </c>
      <c r="W3990" s="168">
        <f t="shared" si="6"/>
        <v>0</v>
      </c>
      <c r="X3990" s="168">
        <f t="shared" si="7"/>
        <v>0</v>
      </c>
      <c r="Y3990" s="168">
        <f t="shared" si="8"/>
        <v>0</v>
      </c>
      <c r="Z3990" s="168">
        <f t="shared" si="9"/>
        <v>0</v>
      </c>
    </row>
    <row r="3991" ht="15.0" customHeight="1">
      <c r="A3991" s="157" t="s">
        <v>5039</v>
      </c>
      <c r="B3991" s="158" t="s">
        <v>29</v>
      </c>
      <c r="C3991" s="158" t="s">
        <v>5004</v>
      </c>
      <c r="D3991" s="159">
        <v>45086.0</v>
      </c>
      <c r="E3991" s="157" t="s">
        <v>731</v>
      </c>
      <c r="F3991" s="160">
        <v>405954.76</v>
      </c>
      <c r="G3991" s="160">
        <f>'FACP$'!$F3991*0.16</f>
        <v>64952.7616</v>
      </c>
      <c r="H3991" s="160">
        <f t="shared" si="122"/>
        <v>470907.5216</v>
      </c>
      <c r="I3991" s="160"/>
      <c r="J3991" s="161"/>
      <c r="K3991" s="160"/>
      <c r="L3991" s="160">
        <f>+'FACP$'!$H3991-'FACP$'!$I3991-'FACP$'!$K3991</f>
        <v>470907.5216</v>
      </c>
      <c r="M3991" s="162" t="s">
        <v>130</v>
      </c>
      <c r="N3991" s="162" t="s">
        <v>554</v>
      </c>
      <c r="O3991" s="164">
        <v>45099.0</v>
      </c>
      <c r="P3991" s="164">
        <f t="array" ref="P3991">XLOOKUP('FACP$'!$B3991,'perfil de pagos'!$A$4:$A$46,'perfil de pagos'!$B$4:$B$46+'FACP$'!$D3991)</f>
        <v>45096</v>
      </c>
      <c r="Q3991" s="165">
        <f t="shared" si="2"/>
        <v>0</v>
      </c>
      <c r="R3991" s="167"/>
      <c r="S3991" s="167">
        <v>2229.0</v>
      </c>
      <c r="T3991" s="168">
        <f t="shared" si="3"/>
        <v>470907.5216</v>
      </c>
      <c r="U3991" s="168">
        <f t="shared" si="4"/>
        <v>0</v>
      </c>
      <c r="V3991" s="168">
        <f t="shared" si="5"/>
        <v>0</v>
      </c>
      <c r="W3991" s="168">
        <f t="shared" si="6"/>
        <v>0</v>
      </c>
      <c r="X3991" s="168">
        <f t="shared" si="7"/>
        <v>0</v>
      </c>
      <c r="Y3991" s="168">
        <f t="shared" si="8"/>
        <v>0</v>
      </c>
      <c r="Z3991" s="168">
        <f t="shared" si="9"/>
        <v>0</v>
      </c>
    </row>
    <row r="3992" ht="15.0" customHeight="1">
      <c r="A3992" s="157" t="s">
        <v>5040</v>
      </c>
      <c r="B3992" s="158" t="s">
        <v>37</v>
      </c>
      <c r="C3992" s="158" t="s">
        <v>5002</v>
      </c>
      <c r="D3992" s="159">
        <v>45086.0</v>
      </c>
      <c r="E3992" s="157" t="s">
        <v>731</v>
      </c>
      <c r="F3992" s="160">
        <v>1490180.01</v>
      </c>
      <c r="G3992" s="160">
        <f>'FACP$'!$F3992*0.16</f>
        <v>238428.8016</v>
      </c>
      <c r="H3992" s="160">
        <f t="shared" si="122"/>
        <v>1728608.812</v>
      </c>
      <c r="I3992" s="160"/>
      <c r="J3992" s="161"/>
      <c r="K3992" s="160"/>
      <c r="L3992" s="160">
        <f>+'FACP$'!$H3992-'FACP$'!$I3992-'FACP$'!$K3992</f>
        <v>1728608.812</v>
      </c>
      <c r="M3992" s="162" t="s">
        <v>116</v>
      </c>
      <c r="N3992" s="162" t="s">
        <v>554</v>
      </c>
      <c r="O3992" s="164">
        <v>45096.0</v>
      </c>
      <c r="P3992" s="164">
        <f t="array" ref="P3992">XLOOKUP('FACP$'!$B3992,'perfil de pagos'!$A$4:$A$46,'perfil de pagos'!$B$4:$B$46+'FACP$'!$D3992)</f>
        <v>45096</v>
      </c>
      <c r="Q3992" s="165">
        <f t="shared" si="2"/>
        <v>0</v>
      </c>
      <c r="R3992" s="167"/>
      <c r="S3992" s="167">
        <v>2217.0</v>
      </c>
      <c r="T3992" s="168">
        <f t="shared" si="3"/>
        <v>1728608.812</v>
      </c>
      <c r="U3992" s="168">
        <f t="shared" si="4"/>
        <v>0</v>
      </c>
      <c r="V3992" s="168">
        <f t="shared" si="5"/>
        <v>0</v>
      </c>
      <c r="W3992" s="168">
        <f t="shared" si="6"/>
        <v>0</v>
      </c>
      <c r="X3992" s="168">
        <f t="shared" si="7"/>
        <v>0</v>
      </c>
      <c r="Y3992" s="168">
        <f t="shared" si="8"/>
        <v>0</v>
      </c>
      <c r="Z3992" s="168">
        <f t="shared" si="9"/>
        <v>0</v>
      </c>
    </row>
    <row r="3993" ht="15.0" customHeight="1">
      <c r="A3993" s="157" t="s">
        <v>5041</v>
      </c>
      <c r="B3993" s="158" t="s">
        <v>38</v>
      </c>
      <c r="C3993" s="158" t="s">
        <v>5002</v>
      </c>
      <c r="D3993" s="159">
        <v>45086.0</v>
      </c>
      <c r="E3993" s="157" t="s">
        <v>731</v>
      </c>
      <c r="F3993" s="160">
        <v>142981.07</v>
      </c>
      <c r="G3993" s="160">
        <f>'FACP$'!$F3993*0.16</f>
        <v>22876.9712</v>
      </c>
      <c r="H3993" s="160">
        <f t="shared" si="122"/>
        <v>165858.0412</v>
      </c>
      <c r="I3993" s="160"/>
      <c r="J3993" s="161"/>
      <c r="K3993" s="160"/>
      <c r="L3993" s="160">
        <f>+'FACP$'!$H3993-'FACP$'!$I3993-'FACP$'!$K3993</f>
        <v>165858.0412</v>
      </c>
      <c r="M3993" s="162" t="s">
        <v>642</v>
      </c>
      <c r="N3993" s="162" t="s">
        <v>554</v>
      </c>
      <c r="O3993" s="164">
        <v>45126.0</v>
      </c>
      <c r="P3993" s="164">
        <f t="array" ref="P3993">XLOOKUP('FACP$'!$B3993,'perfil de pagos'!$A$4:$A$46,'perfil de pagos'!$B$4:$B$46+'FACP$'!$D3993)</f>
        <v>45116</v>
      </c>
      <c r="Q3993" s="165">
        <f t="shared" si="2"/>
        <v>0</v>
      </c>
      <c r="R3993" s="167"/>
      <c r="S3993" s="167">
        <v>2304.0</v>
      </c>
      <c r="T3993" s="168">
        <f t="shared" si="3"/>
        <v>165858.0412</v>
      </c>
      <c r="U3993" s="168">
        <f t="shared" si="4"/>
        <v>0</v>
      </c>
      <c r="V3993" s="168">
        <f t="shared" si="5"/>
        <v>0</v>
      </c>
      <c r="W3993" s="168">
        <f t="shared" si="6"/>
        <v>0</v>
      </c>
      <c r="X3993" s="168">
        <f t="shared" si="7"/>
        <v>0</v>
      </c>
      <c r="Y3993" s="168">
        <f t="shared" si="8"/>
        <v>0</v>
      </c>
      <c r="Z3993" s="168">
        <f t="shared" si="9"/>
        <v>0</v>
      </c>
    </row>
    <row r="3994" ht="15.0" customHeight="1">
      <c r="A3994" s="157" t="s">
        <v>5042</v>
      </c>
      <c r="B3994" s="158" t="s">
        <v>38</v>
      </c>
      <c r="C3994" s="158" t="s">
        <v>5002</v>
      </c>
      <c r="D3994" s="159">
        <v>45086.0</v>
      </c>
      <c r="E3994" s="157" t="s">
        <v>731</v>
      </c>
      <c r="F3994" s="160">
        <v>551925.04</v>
      </c>
      <c r="G3994" s="160">
        <f>'FACP$'!$F3994*0.16</f>
        <v>88308.0064</v>
      </c>
      <c r="H3994" s="160">
        <f t="shared" si="122"/>
        <v>640233.0464</v>
      </c>
      <c r="I3994" s="160"/>
      <c r="J3994" s="161"/>
      <c r="K3994" s="160"/>
      <c r="L3994" s="160">
        <f>+'FACP$'!$H3994-'FACP$'!$I3994-'FACP$'!$K3994</f>
        <v>640233.0464</v>
      </c>
      <c r="M3994" s="162" t="s">
        <v>145</v>
      </c>
      <c r="N3994" s="162" t="s">
        <v>554</v>
      </c>
      <c r="O3994" s="164">
        <v>45126.0</v>
      </c>
      <c r="P3994" s="164">
        <f t="array" ref="P3994">XLOOKUP('FACP$'!$B3994,'perfil de pagos'!$A$4:$A$46,'perfil de pagos'!$B$4:$B$46+'FACP$'!$D3994)</f>
        <v>45116</v>
      </c>
      <c r="Q3994" s="165">
        <f t="shared" si="2"/>
        <v>0</v>
      </c>
      <c r="R3994" s="167"/>
      <c r="S3994" s="167">
        <v>2304.0</v>
      </c>
      <c r="T3994" s="168">
        <f t="shared" si="3"/>
        <v>640233.0464</v>
      </c>
      <c r="U3994" s="168">
        <f t="shared" si="4"/>
        <v>0</v>
      </c>
      <c r="V3994" s="168">
        <f t="shared" si="5"/>
        <v>0</v>
      </c>
      <c r="W3994" s="168">
        <f t="shared" si="6"/>
        <v>0</v>
      </c>
      <c r="X3994" s="168">
        <f t="shared" si="7"/>
        <v>0</v>
      </c>
      <c r="Y3994" s="168">
        <f t="shared" si="8"/>
        <v>0</v>
      </c>
      <c r="Z3994" s="168">
        <f t="shared" si="9"/>
        <v>0</v>
      </c>
    </row>
    <row r="3995" ht="15.0" customHeight="1">
      <c r="A3995" s="157" t="s">
        <v>5043</v>
      </c>
      <c r="B3995" s="158" t="s">
        <v>15</v>
      </c>
      <c r="C3995" s="158" t="s">
        <v>5044</v>
      </c>
      <c r="D3995" s="159">
        <v>45096.0</v>
      </c>
      <c r="E3995" s="157" t="s">
        <v>731</v>
      </c>
      <c r="F3995" s="160">
        <v>248752.36</v>
      </c>
      <c r="G3995" s="160">
        <f>'FACP$'!$F3995*0.16</f>
        <v>39800.3776</v>
      </c>
      <c r="H3995" s="160">
        <f t="shared" si="122"/>
        <v>288552.7376</v>
      </c>
      <c r="I3995" s="160"/>
      <c r="J3995" s="161"/>
      <c r="K3995" s="160"/>
      <c r="L3995" s="160">
        <f>+'FACP$'!$H3995-'FACP$'!$I3995-'FACP$'!$K3995</f>
        <v>288552.7376</v>
      </c>
      <c r="M3995" s="162" t="s">
        <v>443</v>
      </c>
      <c r="N3995" s="162" t="s">
        <v>554</v>
      </c>
      <c r="O3995" s="164">
        <v>45120.0</v>
      </c>
      <c r="P3995" s="164">
        <f t="array" ref="P3995">XLOOKUP('FACP$'!$B3995,'perfil de pagos'!$A$4:$A$46,'perfil de pagos'!$B$4:$B$46+'FACP$'!$D3995)</f>
        <v>45106</v>
      </c>
      <c r="Q3995" s="165">
        <f t="shared" si="2"/>
        <v>0</v>
      </c>
      <c r="R3995" s="167"/>
      <c r="S3995" s="167">
        <v>2264.0</v>
      </c>
      <c r="T3995" s="168">
        <f t="shared" si="3"/>
        <v>288552.7376</v>
      </c>
      <c r="U3995" s="168">
        <f t="shared" si="4"/>
        <v>0</v>
      </c>
      <c r="V3995" s="168">
        <f t="shared" si="5"/>
        <v>0</v>
      </c>
      <c r="W3995" s="168">
        <f t="shared" si="6"/>
        <v>0</v>
      </c>
      <c r="X3995" s="168">
        <f t="shared" si="7"/>
        <v>0</v>
      </c>
      <c r="Y3995" s="168">
        <f t="shared" si="8"/>
        <v>0</v>
      </c>
      <c r="Z3995" s="168">
        <f t="shared" si="9"/>
        <v>0</v>
      </c>
    </row>
    <row r="3996" ht="15.0" customHeight="1">
      <c r="A3996" s="157" t="s">
        <v>5045</v>
      </c>
      <c r="B3996" s="158" t="s">
        <v>35</v>
      </c>
      <c r="C3996" s="158" t="s">
        <v>5044</v>
      </c>
      <c r="D3996" s="159">
        <v>45096.0</v>
      </c>
      <c r="E3996" s="157" t="s">
        <v>731</v>
      </c>
      <c r="F3996" s="160">
        <v>162439.18</v>
      </c>
      <c r="G3996" s="160">
        <f>'FACP$'!$F3996*0.16</f>
        <v>25990.2688</v>
      </c>
      <c r="H3996" s="160">
        <f t="shared" si="122"/>
        <v>188429.4488</v>
      </c>
      <c r="I3996" s="160"/>
      <c r="J3996" s="161"/>
      <c r="K3996" s="160"/>
      <c r="L3996" s="160">
        <f>+'FACP$'!$H3996-'FACP$'!$I3996-'FACP$'!$K3996</f>
        <v>188429.4488</v>
      </c>
      <c r="M3996" s="162" t="s">
        <v>276</v>
      </c>
      <c r="N3996" s="162" t="s">
        <v>554</v>
      </c>
      <c r="O3996" s="164">
        <v>45226.0</v>
      </c>
      <c r="P3996" s="164">
        <f t="array" ref="P3996">XLOOKUP('FACP$'!$B3996,'perfil de pagos'!$A$4:$A$46,'perfil de pagos'!$B$4:$B$46+'FACP$'!$D3996)</f>
        <v>45106</v>
      </c>
      <c r="Q3996" s="165">
        <f t="shared" si="2"/>
        <v>0</v>
      </c>
      <c r="R3996" s="167"/>
      <c r="S3996" s="167">
        <v>2531.0</v>
      </c>
      <c r="T3996" s="168">
        <f t="shared" si="3"/>
        <v>188429.4488</v>
      </c>
      <c r="U3996" s="168">
        <f t="shared" si="4"/>
        <v>0</v>
      </c>
      <c r="V3996" s="168">
        <f t="shared" si="5"/>
        <v>0</v>
      </c>
      <c r="W3996" s="168">
        <f t="shared" si="6"/>
        <v>0</v>
      </c>
      <c r="X3996" s="168">
        <f t="shared" si="7"/>
        <v>0</v>
      </c>
      <c r="Y3996" s="168">
        <f t="shared" si="8"/>
        <v>0</v>
      </c>
      <c r="Z3996" s="168">
        <f t="shared" si="9"/>
        <v>0</v>
      </c>
    </row>
    <row r="3997" ht="15.0" customHeight="1">
      <c r="A3997" s="157" t="s">
        <v>5046</v>
      </c>
      <c r="B3997" s="158" t="s">
        <v>36</v>
      </c>
      <c r="C3997" s="158" t="s">
        <v>5044</v>
      </c>
      <c r="D3997" s="159">
        <v>45096.0</v>
      </c>
      <c r="E3997" s="157" t="s">
        <v>731</v>
      </c>
      <c r="F3997" s="160">
        <v>101007.44</v>
      </c>
      <c r="G3997" s="160">
        <f>'FACP$'!$F3997*0.16</f>
        <v>16161.1904</v>
      </c>
      <c r="H3997" s="160">
        <f t="shared" si="122"/>
        <v>117168.6304</v>
      </c>
      <c r="I3997" s="160"/>
      <c r="J3997" s="161"/>
      <c r="K3997" s="160"/>
      <c r="L3997" s="160">
        <f>+'FACP$'!$H3997-'FACP$'!$I3997-'FACP$'!$K3997</f>
        <v>117168.6304</v>
      </c>
      <c r="M3997" s="162" t="s">
        <v>278</v>
      </c>
      <c r="N3997" s="162" t="s">
        <v>554</v>
      </c>
      <c r="O3997" s="164">
        <v>45012.0</v>
      </c>
      <c r="P3997" s="164">
        <f t="array" ref="P3997">XLOOKUP('FACP$'!$B3997,'perfil de pagos'!$A$4:$A$46,'perfil de pagos'!$B$4:$B$46+'FACP$'!$D3997)</f>
        <v>45106</v>
      </c>
      <c r="Q3997" s="165">
        <f t="shared" si="2"/>
        <v>0</v>
      </c>
      <c r="R3997" s="167"/>
      <c r="S3997" s="167">
        <v>2235.0</v>
      </c>
      <c r="T3997" s="168">
        <f t="shared" si="3"/>
        <v>117168.6304</v>
      </c>
      <c r="U3997" s="168">
        <f t="shared" si="4"/>
        <v>0</v>
      </c>
      <c r="V3997" s="168">
        <f t="shared" si="5"/>
        <v>0</v>
      </c>
      <c r="W3997" s="168">
        <f t="shared" si="6"/>
        <v>0</v>
      </c>
      <c r="X3997" s="168">
        <f t="shared" si="7"/>
        <v>0</v>
      </c>
      <c r="Y3997" s="168">
        <f t="shared" si="8"/>
        <v>0</v>
      </c>
      <c r="Z3997" s="168">
        <f t="shared" si="9"/>
        <v>0</v>
      </c>
    </row>
    <row r="3998" ht="15.0" customHeight="1">
      <c r="A3998" s="157" t="s">
        <v>5047</v>
      </c>
      <c r="B3998" s="158" t="s">
        <v>36</v>
      </c>
      <c r="C3998" s="158" t="s">
        <v>5048</v>
      </c>
      <c r="D3998" s="159">
        <v>45096.0</v>
      </c>
      <c r="E3998" s="157" t="s">
        <v>731</v>
      </c>
      <c r="F3998" s="160">
        <v>106137.21</v>
      </c>
      <c r="G3998" s="160">
        <f>'FACP$'!$F3998*0.16</f>
        <v>16981.9536</v>
      </c>
      <c r="H3998" s="160">
        <f t="shared" si="122"/>
        <v>123119.1636</v>
      </c>
      <c r="I3998" s="160"/>
      <c r="J3998" s="161"/>
      <c r="K3998" s="160"/>
      <c r="L3998" s="160">
        <f>+'FACP$'!$H3998-'FACP$'!$I3998-'FACP$'!$K3998</f>
        <v>123119.1636</v>
      </c>
      <c r="M3998" s="162" t="s">
        <v>278</v>
      </c>
      <c r="N3998" s="162" t="s">
        <v>554</v>
      </c>
      <c r="O3998" s="164">
        <v>45012.0</v>
      </c>
      <c r="P3998" s="164">
        <f t="array" ref="P3998">XLOOKUP('FACP$'!$B3998,'perfil de pagos'!$A$4:$A$46,'perfil de pagos'!$B$4:$B$46+'FACP$'!$D3998)</f>
        <v>45106</v>
      </c>
      <c r="Q3998" s="165">
        <f t="shared" si="2"/>
        <v>0</v>
      </c>
      <c r="R3998" s="167"/>
      <c r="S3998" s="167">
        <v>2234.0</v>
      </c>
      <c r="T3998" s="168">
        <f t="shared" si="3"/>
        <v>123119.1636</v>
      </c>
      <c r="U3998" s="168">
        <f t="shared" si="4"/>
        <v>0</v>
      </c>
      <c r="V3998" s="168">
        <f t="shared" si="5"/>
        <v>0</v>
      </c>
      <c r="W3998" s="168">
        <f t="shared" si="6"/>
        <v>0</v>
      </c>
      <c r="X3998" s="168">
        <f t="shared" si="7"/>
        <v>0</v>
      </c>
      <c r="Y3998" s="168">
        <f t="shared" si="8"/>
        <v>0</v>
      </c>
      <c r="Z3998" s="168">
        <f t="shared" si="9"/>
        <v>0</v>
      </c>
    </row>
    <row r="3999" ht="15.0" customHeight="1">
      <c r="A3999" s="157" t="s">
        <v>5049</v>
      </c>
      <c r="B3999" s="158" t="s">
        <v>38</v>
      </c>
      <c r="C3999" s="158" t="s">
        <v>5044</v>
      </c>
      <c r="D3999" s="159">
        <v>45096.0</v>
      </c>
      <c r="E3999" s="157" t="s">
        <v>731</v>
      </c>
      <c r="F3999" s="160">
        <v>71721.4</v>
      </c>
      <c r="G3999" s="160">
        <f>'FACP$'!$F3999*0.16</f>
        <v>11475.424</v>
      </c>
      <c r="H3999" s="160">
        <f t="shared" si="122"/>
        <v>83196.824</v>
      </c>
      <c r="I3999" s="160"/>
      <c r="J3999" s="161"/>
      <c r="K3999" s="160"/>
      <c r="L3999" s="160">
        <f>+'FACP$'!$H3999-'FACP$'!$I3999-'FACP$'!$K3999</f>
        <v>83196.824</v>
      </c>
      <c r="M3999" s="162" t="s">
        <v>4707</v>
      </c>
      <c r="N3999" s="162" t="s">
        <v>554</v>
      </c>
      <c r="O3999" s="164">
        <v>45141.0</v>
      </c>
      <c r="P3999" s="164">
        <f t="array" ref="P3999">XLOOKUP('FACP$'!$B3999,'perfil de pagos'!$A$4:$A$46,'perfil de pagos'!$B$4:$B$46+'FACP$'!$D3999)</f>
        <v>45126</v>
      </c>
      <c r="Q3999" s="165">
        <f t="shared" si="2"/>
        <v>0</v>
      </c>
      <c r="R3999" s="167"/>
      <c r="S3999" s="167"/>
      <c r="T3999" s="168">
        <f t="shared" si="3"/>
        <v>83196.824</v>
      </c>
      <c r="U3999" s="168">
        <f t="shared" si="4"/>
        <v>0</v>
      </c>
      <c r="V3999" s="168">
        <f t="shared" si="5"/>
        <v>0</v>
      </c>
      <c r="W3999" s="168">
        <f t="shared" si="6"/>
        <v>0</v>
      </c>
      <c r="X3999" s="168">
        <f t="shared" si="7"/>
        <v>0</v>
      </c>
      <c r="Y3999" s="168">
        <f t="shared" si="8"/>
        <v>0</v>
      </c>
      <c r="Z3999" s="168">
        <f t="shared" si="9"/>
        <v>0</v>
      </c>
    </row>
    <row r="4000" ht="15.0" customHeight="1">
      <c r="A4000" s="157" t="s">
        <v>5050</v>
      </c>
      <c r="B4000" s="158" t="s">
        <v>38</v>
      </c>
      <c r="C4000" s="158" t="s">
        <v>5048</v>
      </c>
      <c r="D4000" s="159">
        <v>45096.0</v>
      </c>
      <c r="E4000" s="157" t="s">
        <v>731</v>
      </c>
      <c r="F4000" s="160">
        <v>128316.01</v>
      </c>
      <c r="G4000" s="160">
        <f>'FACP$'!$F4000*0.16</f>
        <v>20530.5616</v>
      </c>
      <c r="H4000" s="160">
        <f t="shared" si="122"/>
        <v>148846.5716</v>
      </c>
      <c r="I4000" s="160"/>
      <c r="J4000" s="161"/>
      <c r="K4000" s="160"/>
      <c r="L4000" s="160">
        <f>+'FACP$'!$H4000-'FACP$'!$I4000-'FACP$'!$K4000</f>
        <v>148846.5716</v>
      </c>
      <c r="M4000" s="162" t="s">
        <v>4707</v>
      </c>
      <c r="N4000" s="162" t="s">
        <v>554</v>
      </c>
      <c r="O4000" s="164">
        <v>45141.0</v>
      </c>
      <c r="P4000" s="164">
        <f t="array" ref="P4000">XLOOKUP('FACP$'!$B4000,'perfil de pagos'!$A$4:$A$46,'perfil de pagos'!$B$4:$B$46+'FACP$'!$D4000)</f>
        <v>45126</v>
      </c>
      <c r="Q4000" s="165">
        <f t="shared" si="2"/>
        <v>0</v>
      </c>
      <c r="R4000" s="167"/>
      <c r="S4000" s="167"/>
      <c r="T4000" s="168">
        <f t="shared" si="3"/>
        <v>148846.5716</v>
      </c>
      <c r="U4000" s="168">
        <f t="shared" si="4"/>
        <v>0</v>
      </c>
      <c r="V4000" s="168">
        <f t="shared" si="5"/>
        <v>0</v>
      </c>
      <c r="W4000" s="168">
        <f t="shared" si="6"/>
        <v>0</v>
      </c>
      <c r="X4000" s="168">
        <f t="shared" si="7"/>
        <v>0</v>
      </c>
      <c r="Y4000" s="168">
        <f t="shared" si="8"/>
        <v>0</v>
      </c>
      <c r="Z4000" s="168">
        <f t="shared" si="9"/>
        <v>0</v>
      </c>
    </row>
    <row r="4001" ht="15.0" customHeight="1">
      <c r="A4001" s="157" t="s">
        <v>5051</v>
      </c>
      <c r="B4001" s="158" t="s">
        <v>38</v>
      </c>
      <c r="C4001" s="158" t="s">
        <v>5044</v>
      </c>
      <c r="D4001" s="159">
        <v>45096.0</v>
      </c>
      <c r="E4001" s="157" t="s">
        <v>731</v>
      </c>
      <c r="F4001" s="160">
        <v>142131.27</v>
      </c>
      <c r="G4001" s="160">
        <f>'FACP$'!$F4001*0.16</f>
        <v>22741.0032</v>
      </c>
      <c r="H4001" s="160">
        <f t="shared" si="122"/>
        <v>164872.2732</v>
      </c>
      <c r="I4001" s="160"/>
      <c r="J4001" s="161"/>
      <c r="K4001" s="160"/>
      <c r="L4001" s="160">
        <f>+'FACP$'!$H4001-'FACP$'!$I4001-'FACP$'!$K4001</f>
        <v>164872.2732</v>
      </c>
      <c r="M4001" s="162" t="s">
        <v>4654</v>
      </c>
      <c r="N4001" s="162" t="s">
        <v>554</v>
      </c>
      <c r="O4001" s="164">
        <v>45141.0</v>
      </c>
      <c r="P4001" s="164">
        <f t="array" ref="P4001">XLOOKUP('FACP$'!$B4001,'perfil de pagos'!$A$4:$A$46,'perfil de pagos'!$B$4:$B$46+'FACP$'!$D4001)</f>
        <v>45126</v>
      </c>
      <c r="Q4001" s="165">
        <f t="shared" si="2"/>
        <v>0</v>
      </c>
      <c r="R4001" s="167"/>
      <c r="S4001" s="167"/>
      <c r="T4001" s="168">
        <f t="shared" si="3"/>
        <v>164872.2732</v>
      </c>
      <c r="U4001" s="168">
        <f t="shared" si="4"/>
        <v>0</v>
      </c>
      <c r="V4001" s="168">
        <f t="shared" si="5"/>
        <v>0</v>
      </c>
      <c r="W4001" s="168">
        <f t="shared" si="6"/>
        <v>0</v>
      </c>
      <c r="X4001" s="168">
        <f t="shared" si="7"/>
        <v>0</v>
      </c>
      <c r="Y4001" s="168">
        <f t="shared" si="8"/>
        <v>0</v>
      </c>
      <c r="Z4001" s="168">
        <f t="shared" si="9"/>
        <v>0</v>
      </c>
    </row>
    <row r="4002" ht="15.0" customHeight="1">
      <c r="A4002" s="157" t="s">
        <v>5052</v>
      </c>
      <c r="B4002" s="158" t="s">
        <v>41</v>
      </c>
      <c r="C4002" s="158" t="s">
        <v>5044</v>
      </c>
      <c r="D4002" s="159">
        <v>45096.0</v>
      </c>
      <c r="E4002" s="157" t="s">
        <v>731</v>
      </c>
      <c r="F4002" s="160">
        <v>270642.63</v>
      </c>
      <c r="G4002" s="160">
        <f>'FACP$'!$F4002*0.16</f>
        <v>43302.8208</v>
      </c>
      <c r="H4002" s="160">
        <f t="shared" si="122"/>
        <v>313945.4508</v>
      </c>
      <c r="I4002" s="160"/>
      <c r="J4002" s="161"/>
      <c r="K4002" s="160"/>
      <c r="L4002" s="160">
        <f>+'FACP$'!$H4002-'FACP$'!$I4002-'FACP$'!$K4002</f>
        <v>313945.4508</v>
      </c>
      <c r="M4002" s="162" t="s">
        <v>121</v>
      </c>
      <c r="N4002" s="162" t="s">
        <v>554</v>
      </c>
      <c r="O4002" s="164">
        <v>45135.0</v>
      </c>
      <c r="P4002" s="164">
        <f t="array" ref="P4002">XLOOKUP('FACP$'!$B4002,'perfil de pagos'!$A$4:$A$46,'perfil de pagos'!$B$4:$B$46+'FACP$'!$D4002)</f>
        <v>45106</v>
      </c>
      <c r="Q4002" s="165">
        <f t="shared" si="2"/>
        <v>0</v>
      </c>
      <c r="R4002" s="167"/>
      <c r="S4002" s="167">
        <v>2327.0</v>
      </c>
      <c r="T4002" s="168">
        <f t="shared" si="3"/>
        <v>313945.4508</v>
      </c>
      <c r="U4002" s="168">
        <f t="shared" si="4"/>
        <v>0</v>
      </c>
      <c r="V4002" s="168">
        <f t="shared" si="5"/>
        <v>0</v>
      </c>
      <c r="W4002" s="168">
        <f t="shared" si="6"/>
        <v>0</v>
      </c>
      <c r="X4002" s="168">
        <f t="shared" si="7"/>
        <v>0</v>
      </c>
      <c r="Y4002" s="168">
        <f t="shared" si="8"/>
        <v>0</v>
      </c>
      <c r="Z4002" s="168">
        <f t="shared" si="9"/>
        <v>0</v>
      </c>
    </row>
    <row r="4003" ht="15.0" customHeight="1">
      <c r="A4003" s="157" t="s">
        <v>5053</v>
      </c>
      <c r="B4003" s="158" t="s">
        <v>43</v>
      </c>
      <c r="C4003" s="158" t="s">
        <v>5044</v>
      </c>
      <c r="D4003" s="159">
        <v>45096.0</v>
      </c>
      <c r="E4003" s="157" t="s">
        <v>731</v>
      </c>
      <c r="F4003" s="160">
        <v>174595.98</v>
      </c>
      <c r="G4003" s="160">
        <f>'FACP$'!$F4003*0.16</f>
        <v>27935.3568</v>
      </c>
      <c r="H4003" s="160">
        <f t="shared" si="122"/>
        <v>202531.3368</v>
      </c>
      <c r="I4003" s="160"/>
      <c r="J4003" s="161"/>
      <c r="K4003" s="160"/>
      <c r="L4003" s="160">
        <f>+'FACP$'!$H4003-'FACP$'!$I4003-'FACP$'!$K4003</f>
        <v>202531.3368</v>
      </c>
      <c r="M4003" s="162" t="s">
        <v>43</v>
      </c>
      <c r="N4003" s="162" t="s">
        <v>554</v>
      </c>
      <c r="O4003" s="164">
        <v>45168.0</v>
      </c>
      <c r="P4003" s="164">
        <f t="array" ref="P4003">XLOOKUP('FACP$'!$B4003,'perfil de pagos'!$A$4:$A$46,'perfil de pagos'!$B$4:$B$46+'FACP$'!$D4003)</f>
        <v>45121</v>
      </c>
      <c r="Q4003" s="165">
        <f t="shared" si="2"/>
        <v>0</v>
      </c>
      <c r="R4003" s="167"/>
      <c r="S4003" s="167">
        <v>2386.0</v>
      </c>
      <c r="T4003" s="168">
        <f t="shared" si="3"/>
        <v>202531.3368</v>
      </c>
      <c r="U4003" s="168">
        <f t="shared" si="4"/>
        <v>0</v>
      </c>
      <c r="V4003" s="168">
        <f t="shared" si="5"/>
        <v>0</v>
      </c>
      <c r="W4003" s="168">
        <f t="shared" si="6"/>
        <v>0</v>
      </c>
      <c r="X4003" s="168">
        <f t="shared" si="7"/>
        <v>0</v>
      </c>
      <c r="Y4003" s="168">
        <f t="shared" si="8"/>
        <v>0</v>
      </c>
      <c r="Z4003" s="168">
        <f t="shared" si="9"/>
        <v>0</v>
      </c>
    </row>
    <row r="4004" ht="15.0" customHeight="1">
      <c r="A4004" s="157" t="s">
        <v>5054</v>
      </c>
      <c r="B4004" s="158" t="s">
        <v>44</v>
      </c>
      <c r="C4004" s="158" t="s">
        <v>5044</v>
      </c>
      <c r="D4004" s="159">
        <v>45096.0</v>
      </c>
      <c r="E4004" s="157" t="s">
        <v>731</v>
      </c>
      <c r="F4004" s="160">
        <v>43705.72</v>
      </c>
      <c r="G4004" s="160">
        <f>'FACP$'!$F4004*0.16</f>
        <v>6992.9152</v>
      </c>
      <c r="H4004" s="160">
        <f t="shared" si="122"/>
        <v>50698.6352</v>
      </c>
      <c r="I4004" s="160"/>
      <c r="J4004" s="161"/>
      <c r="K4004" s="160"/>
      <c r="L4004" s="160">
        <f>+'FACP$'!$H4004-'FACP$'!$I4004-'FACP$'!$K4004</f>
        <v>50698.6352</v>
      </c>
      <c r="M4004" s="162" t="s">
        <v>361</v>
      </c>
      <c r="N4004" s="162" t="s">
        <v>554</v>
      </c>
      <c r="O4004" s="164">
        <v>45107.0</v>
      </c>
      <c r="P4004" s="164">
        <f t="array" ref="P4004">XLOOKUP('FACP$'!$B4004,'perfil de pagos'!$A$4:$A$46,'perfil de pagos'!$B$4:$B$46+'FACP$'!$D4004)</f>
        <v>45106</v>
      </c>
      <c r="Q4004" s="165">
        <f t="shared" si="2"/>
        <v>0</v>
      </c>
      <c r="R4004" s="167"/>
      <c r="S4004" s="167">
        <v>2248.0</v>
      </c>
      <c r="T4004" s="168">
        <f t="shared" si="3"/>
        <v>50698.6352</v>
      </c>
      <c r="U4004" s="168">
        <f t="shared" si="4"/>
        <v>0</v>
      </c>
      <c r="V4004" s="168">
        <f t="shared" si="5"/>
        <v>0</v>
      </c>
      <c r="W4004" s="168">
        <f t="shared" si="6"/>
        <v>0</v>
      </c>
      <c r="X4004" s="168">
        <f t="shared" si="7"/>
        <v>0</v>
      </c>
      <c r="Y4004" s="168">
        <f t="shared" si="8"/>
        <v>0</v>
      </c>
      <c r="Z4004" s="168">
        <f t="shared" si="9"/>
        <v>0</v>
      </c>
    </row>
    <row r="4005" ht="15.0" customHeight="1">
      <c r="A4005" s="157" t="s">
        <v>5055</v>
      </c>
      <c r="B4005" s="158" t="s">
        <v>27</v>
      </c>
      <c r="C4005" s="158" t="s">
        <v>5056</v>
      </c>
      <c r="D4005" s="159">
        <v>45097.0</v>
      </c>
      <c r="E4005" s="157" t="s">
        <v>731</v>
      </c>
      <c r="F4005" s="160">
        <v>143260.01</v>
      </c>
      <c r="G4005" s="160">
        <f>'FACP$'!$F4005*0.16</f>
        <v>22921.6016</v>
      </c>
      <c r="H4005" s="160">
        <f t="shared" si="122"/>
        <v>166181.6116</v>
      </c>
      <c r="I4005" s="160"/>
      <c r="J4005" s="161"/>
      <c r="K4005" s="160"/>
      <c r="L4005" s="160">
        <f>+'FACP$'!$H4005-'FACP$'!$I4005-'FACP$'!$K4005</f>
        <v>166181.6116</v>
      </c>
      <c r="M4005" s="162" t="s">
        <v>158</v>
      </c>
      <c r="N4005" s="162" t="s">
        <v>554</v>
      </c>
      <c r="O4005" s="164">
        <v>45114.0</v>
      </c>
      <c r="P4005" s="164">
        <f t="array" ref="P4005">XLOOKUP('FACP$'!$B4005,'perfil de pagos'!$A$4:$A$46,'perfil de pagos'!$B$4:$B$46+'FACP$'!$D4005)</f>
        <v>45127</v>
      </c>
      <c r="Q4005" s="165">
        <f t="shared" si="2"/>
        <v>0</v>
      </c>
      <c r="R4005" s="167"/>
      <c r="S4005" s="167">
        <v>2254.0</v>
      </c>
      <c r="T4005" s="168">
        <f t="shared" si="3"/>
        <v>166181.6116</v>
      </c>
      <c r="U4005" s="168">
        <f t="shared" si="4"/>
        <v>0</v>
      </c>
      <c r="V4005" s="168">
        <f t="shared" si="5"/>
        <v>0</v>
      </c>
      <c r="W4005" s="168">
        <f t="shared" si="6"/>
        <v>0</v>
      </c>
      <c r="X4005" s="168">
        <f t="shared" si="7"/>
        <v>0</v>
      </c>
      <c r="Y4005" s="168">
        <f t="shared" si="8"/>
        <v>0</v>
      </c>
      <c r="Z4005" s="168">
        <f t="shared" si="9"/>
        <v>0</v>
      </c>
    </row>
    <row r="4006" ht="15.0" customHeight="1">
      <c r="A4006" s="157" t="s">
        <v>5057</v>
      </c>
      <c r="B4006" s="158" t="s">
        <v>27</v>
      </c>
      <c r="C4006" s="158" t="s">
        <v>5058</v>
      </c>
      <c r="D4006" s="159">
        <v>45097.0</v>
      </c>
      <c r="E4006" s="157" t="s">
        <v>731</v>
      </c>
      <c r="F4006" s="160">
        <v>141675.12</v>
      </c>
      <c r="G4006" s="160">
        <f>'FACP$'!$F4006*0.16</f>
        <v>22668.0192</v>
      </c>
      <c r="H4006" s="160">
        <f t="shared" si="122"/>
        <v>164343.1392</v>
      </c>
      <c r="I4006" s="160"/>
      <c r="J4006" s="161"/>
      <c r="K4006" s="160"/>
      <c r="L4006" s="160">
        <f>+'FACP$'!$H4006-'FACP$'!$I4006-'FACP$'!$K4006</f>
        <v>164343.1392</v>
      </c>
      <c r="M4006" s="162" t="s">
        <v>158</v>
      </c>
      <c r="N4006" s="162" t="s">
        <v>554</v>
      </c>
      <c r="O4006" s="164">
        <v>45120.0</v>
      </c>
      <c r="P4006" s="164">
        <f t="array" ref="P4006">XLOOKUP('FACP$'!$B4006,'perfil de pagos'!$A$4:$A$46,'perfil de pagos'!$B$4:$B$46+'FACP$'!$D4006)</f>
        <v>45127</v>
      </c>
      <c r="Q4006" s="165">
        <f t="shared" si="2"/>
        <v>0</v>
      </c>
      <c r="R4006" s="167"/>
      <c r="S4006" s="167">
        <v>2263.0</v>
      </c>
      <c r="T4006" s="168">
        <f t="shared" si="3"/>
        <v>164343.1392</v>
      </c>
      <c r="U4006" s="168">
        <f t="shared" si="4"/>
        <v>0</v>
      </c>
      <c r="V4006" s="168">
        <f t="shared" si="5"/>
        <v>0</v>
      </c>
      <c r="W4006" s="168">
        <f t="shared" si="6"/>
        <v>0</v>
      </c>
      <c r="X4006" s="168">
        <f t="shared" si="7"/>
        <v>0</v>
      </c>
      <c r="Y4006" s="168">
        <f t="shared" si="8"/>
        <v>0</v>
      </c>
      <c r="Z4006" s="168">
        <f t="shared" si="9"/>
        <v>0</v>
      </c>
    </row>
    <row r="4007" ht="15.0" customHeight="1">
      <c r="A4007" s="157" t="s">
        <v>5059</v>
      </c>
      <c r="B4007" s="158" t="s">
        <v>27</v>
      </c>
      <c r="C4007" s="158" t="s">
        <v>5056</v>
      </c>
      <c r="D4007" s="159">
        <v>45097.0</v>
      </c>
      <c r="E4007" s="157" t="s">
        <v>731</v>
      </c>
      <c r="F4007" s="160">
        <v>281029.78</v>
      </c>
      <c r="G4007" s="160">
        <f>'FACP$'!$F4007*0.16</f>
        <v>44964.7648</v>
      </c>
      <c r="H4007" s="160">
        <f t="shared" si="122"/>
        <v>325994.5448</v>
      </c>
      <c r="I4007" s="160"/>
      <c r="J4007" s="161"/>
      <c r="K4007" s="160"/>
      <c r="L4007" s="160">
        <f>+'FACP$'!$H4007-'FACP$'!$I4007-'FACP$'!$K4007</f>
        <v>325994.5448</v>
      </c>
      <c r="M4007" s="162" t="s">
        <v>151</v>
      </c>
      <c r="N4007" s="162" t="s">
        <v>554</v>
      </c>
      <c r="O4007" s="164">
        <v>45114.0</v>
      </c>
      <c r="P4007" s="164">
        <f t="array" ref="P4007">XLOOKUP('FACP$'!$B4007,'perfil de pagos'!$A$4:$A$46,'perfil de pagos'!$B$4:$B$46+'FACP$'!$D4007)</f>
        <v>45127</v>
      </c>
      <c r="Q4007" s="165">
        <f t="shared" si="2"/>
        <v>0</v>
      </c>
      <c r="R4007" s="167"/>
      <c r="S4007" s="167">
        <v>2255.0</v>
      </c>
      <c r="T4007" s="168">
        <f t="shared" si="3"/>
        <v>325994.5448</v>
      </c>
      <c r="U4007" s="168">
        <f t="shared" si="4"/>
        <v>0</v>
      </c>
      <c r="V4007" s="168">
        <f t="shared" si="5"/>
        <v>0</v>
      </c>
      <c r="W4007" s="168">
        <f t="shared" si="6"/>
        <v>0</v>
      </c>
      <c r="X4007" s="168">
        <f t="shared" si="7"/>
        <v>0</v>
      </c>
      <c r="Y4007" s="168">
        <f t="shared" si="8"/>
        <v>0</v>
      </c>
      <c r="Z4007" s="168">
        <f t="shared" si="9"/>
        <v>0</v>
      </c>
    </row>
    <row r="4008" ht="15.0" customHeight="1">
      <c r="A4008" s="157" t="s">
        <v>5060</v>
      </c>
      <c r="B4008" s="158" t="s">
        <v>27</v>
      </c>
      <c r="C4008" s="158" t="s">
        <v>5058</v>
      </c>
      <c r="D4008" s="159">
        <v>45097.0</v>
      </c>
      <c r="E4008" s="157" t="s">
        <v>731</v>
      </c>
      <c r="F4008" s="160">
        <v>221385.52</v>
      </c>
      <c r="G4008" s="160">
        <f>'FACP$'!$F4008*0.16</f>
        <v>35421.6832</v>
      </c>
      <c r="H4008" s="160">
        <f t="shared" si="122"/>
        <v>256807.2032</v>
      </c>
      <c r="I4008" s="160"/>
      <c r="J4008" s="161"/>
      <c r="K4008" s="160"/>
      <c r="L4008" s="160">
        <f>+'FACP$'!$H4008-'FACP$'!$I4008-'FACP$'!$K4008</f>
        <v>256807.2032</v>
      </c>
      <c r="M4008" s="162" t="s">
        <v>151</v>
      </c>
      <c r="N4008" s="162" t="s">
        <v>554</v>
      </c>
      <c r="O4008" s="164">
        <v>45121.0</v>
      </c>
      <c r="P4008" s="164">
        <f t="array" ref="P4008">XLOOKUP('FACP$'!$B4008,'perfil de pagos'!$A$4:$A$46,'perfil de pagos'!$B$4:$B$46+'FACP$'!$D4008)</f>
        <v>45127</v>
      </c>
      <c r="Q4008" s="165">
        <f t="shared" si="2"/>
        <v>0</v>
      </c>
      <c r="R4008" s="167"/>
      <c r="S4008" s="167">
        <v>2267.0</v>
      </c>
      <c r="T4008" s="168">
        <f t="shared" si="3"/>
        <v>256807.2032</v>
      </c>
      <c r="U4008" s="168">
        <f t="shared" si="4"/>
        <v>0</v>
      </c>
      <c r="V4008" s="168">
        <f t="shared" si="5"/>
        <v>0</v>
      </c>
      <c r="W4008" s="168">
        <f t="shared" si="6"/>
        <v>0</v>
      </c>
      <c r="X4008" s="168">
        <f t="shared" si="7"/>
        <v>0</v>
      </c>
      <c r="Y4008" s="168">
        <f t="shared" si="8"/>
        <v>0</v>
      </c>
      <c r="Z4008" s="168">
        <f t="shared" si="9"/>
        <v>0</v>
      </c>
    </row>
    <row r="4009" ht="15.0" customHeight="1">
      <c r="A4009" s="157" t="s">
        <v>5061</v>
      </c>
      <c r="B4009" s="158" t="s">
        <v>27</v>
      </c>
      <c r="C4009" s="158" t="s">
        <v>5062</v>
      </c>
      <c r="D4009" s="159">
        <v>45097.0</v>
      </c>
      <c r="E4009" s="157" t="s">
        <v>731</v>
      </c>
      <c r="F4009" s="160">
        <v>9811.62</v>
      </c>
      <c r="G4009" s="160">
        <f>'FACP$'!$F4009*0.16</f>
        <v>1569.8592</v>
      </c>
      <c r="H4009" s="160">
        <f t="shared" si="122"/>
        <v>11381.4792</v>
      </c>
      <c r="I4009" s="160"/>
      <c r="J4009" s="161"/>
      <c r="K4009" s="160"/>
      <c r="L4009" s="160">
        <f>+'FACP$'!$H4009-'FACP$'!$I4009-'FACP$'!$K4009</f>
        <v>11381.4792</v>
      </c>
      <c r="M4009" s="162" t="s">
        <v>151</v>
      </c>
      <c r="N4009" s="162" t="s">
        <v>554</v>
      </c>
      <c r="O4009" s="164">
        <v>45114.0</v>
      </c>
      <c r="P4009" s="164">
        <f t="array" ref="P4009">XLOOKUP('FACP$'!$B4009,'perfil de pagos'!$A$4:$A$46,'perfil de pagos'!$B$4:$B$46+'FACP$'!$D4009)</f>
        <v>45127</v>
      </c>
      <c r="Q4009" s="165">
        <f t="shared" si="2"/>
        <v>0</v>
      </c>
      <c r="R4009" s="167"/>
      <c r="S4009" s="167">
        <v>2255.0</v>
      </c>
      <c r="T4009" s="168">
        <f t="shared" si="3"/>
        <v>11381.4792</v>
      </c>
      <c r="U4009" s="168">
        <f t="shared" si="4"/>
        <v>0</v>
      </c>
      <c r="V4009" s="168">
        <f t="shared" si="5"/>
        <v>0</v>
      </c>
      <c r="W4009" s="168">
        <f t="shared" si="6"/>
        <v>0</v>
      </c>
      <c r="X4009" s="168">
        <f t="shared" si="7"/>
        <v>0</v>
      </c>
      <c r="Y4009" s="168">
        <f t="shared" si="8"/>
        <v>0</v>
      </c>
      <c r="Z4009" s="168">
        <f t="shared" si="9"/>
        <v>0</v>
      </c>
    </row>
    <row r="4010" ht="15.0" customHeight="1">
      <c r="A4010" s="157" t="s">
        <v>5063</v>
      </c>
      <c r="B4010" s="158" t="s">
        <v>27</v>
      </c>
      <c r="C4010" s="158" t="s">
        <v>5064</v>
      </c>
      <c r="D4010" s="159">
        <v>45097.0</v>
      </c>
      <c r="E4010" s="157" t="s">
        <v>731</v>
      </c>
      <c r="F4010" s="160">
        <v>13522.43</v>
      </c>
      <c r="G4010" s="160">
        <f>'FACP$'!$F4010*0.16</f>
        <v>2163.5888</v>
      </c>
      <c r="H4010" s="160">
        <f t="shared" si="122"/>
        <v>15686.0188</v>
      </c>
      <c r="I4010" s="160"/>
      <c r="J4010" s="161"/>
      <c r="K4010" s="160"/>
      <c r="L4010" s="160">
        <f>+'FACP$'!$H4010-'FACP$'!$I4010-'FACP$'!$K4010</f>
        <v>15686.0188</v>
      </c>
      <c r="M4010" s="162" t="s">
        <v>151</v>
      </c>
      <c r="N4010" s="162" t="s">
        <v>554</v>
      </c>
      <c r="O4010" s="164">
        <v>45121.0</v>
      </c>
      <c r="P4010" s="164">
        <f t="array" ref="P4010">XLOOKUP('FACP$'!$B4010,'perfil de pagos'!$A$4:$A$46,'perfil de pagos'!$B$4:$B$46+'FACP$'!$D4010)</f>
        <v>45127</v>
      </c>
      <c r="Q4010" s="165">
        <f t="shared" si="2"/>
        <v>0</v>
      </c>
      <c r="R4010" s="167"/>
      <c r="S4010" s="167">
        <v>2267.0</v>
      </c>
      <c r="T4010" s="168">
        <f t="shared" si="3"/>
        <v>15686.0188</v>
      </c>
      <c r="U4010" s="168">
        <f t="shared" si="4"/>
        <v>0</v>
      </c>
      <c r="V4010" s="168">
        <f t="shared" si="5"/>
        <v>0</v>
      </c>
      <c r="W4010" s="168">
        <f t="shared" si="6"/>
        <v>0</v>
      </c>
      <c r="X4010" s="168">
        <f t="shared" si="7"/>
        <v>0</v>
      </c>
      <c r="Y4010" s="168">
        <f t="shared" si="8"/>
        <v>0</v>
      </c>
      <c r="Z4010" s="168">
        <f t="shared" si="9"/>
        <v>0</v>
      </c>
    </row>
    <row r="4011" ht="15.0" customHeight="1">
      <c r="A4011" s="157" t="s">
        <v>5065</v>
      </c>
      <c r="B4011" s="158" t="s">
        <v>16</v>
      </c>
      <c r="C4011" s="158" t="s">
        <v>5066</v>
      </c>
      <c r="D4011" s="159">
        <v>45100.0</v>
      </c>
      <c r="E4011" s="157" t="s">
        <v>731</v>
      </c>
      <c r="F4011" s="160">
        <v>284331.48</v>
      </c>
      <c r="G4011" s="160">
        <f>'FACP$'!$F4011*0.16</f>
        <v>45493.0368</v>
      </c>
      <c r="H4011" s="160">
        <f t="shared" si="122"/>
        <v>329824.5168</v>
      </c>
      <c r="I4011" s="160"/>
      <c r="J4011" s="161"/>
      <c r="K4011" s="160"/>
      <c r="L4011" s="160">
        <f>+'FACP$'!$H4011-'FACP$'!$I4011-'FACP$'!$K4011</f>
        <v>329824.5168</v>
      </c>
      <c r="M4011" s="162" t="s">
        <v>985</v>
      </c>
      <c r="N4011" s="162" t="s">
        <v>554</v>
      </c>
      <c r="O4011" s="164">
        <v>45114.0</v>
      </c>
      <c r="P4011" s="164">
        <f t="array" ref="P4011">XLOOKUP('FACP$'!$B4011,'perfil de pagos'!$A$4:$A$46,'perfil de pagos'!$B$4:$B$46+'FACP$'!$D4011)</f>
        <v>45110</v>
      </c>
      <c r="Q4011" s="165">
        <f t="shared" si="2"/>
        <v>0</v>
      </c>
      <c r="R4011" s="167"/>
      <c r="S4011" s="167">
        <v>2256.0</v>
      </c>
      <c r="T4011" s="168">
        <f t="shared" si="3"/>
        <v>329824.5168</v>
      </c>
      <c r="U4011" s="168">
        <f t="shared" si="4"/>
        <v>0</v>
      </c>
      <c r="V4011" s="168">
        <f t="shared" si="5"/>
        <v>0</v>
      </c>
      <c r="W4011" s="168">
        <f t="shared" si="6"/>
        <v>0</v>
      </c>
      <c r="X4011" s="168">
        <f t="shared" si="7"/>
        <v>0</v>
      </c>
      <c r="Y4011" s="168">
        <f t="shared" si="8"/>
        <v>0</v>
      </c>
      <c r="Z4011" s="168">
        <f t="shared" si="9"/>
        <v>0</v>
      </c>
    </row>
    <row r="4012" ht="15.0" customHeight="1">
      <c r="A4012" s="157" t="s">
        <v>5067</v>
      </c>
      <c r="B4012" s="158" t="s">
        <v>16</v>
      </c>
      <c r="C4012" s="158" t="s">
        <v>5048</v>
      </c>
      <c r="D4012" s="159">
        <v>45100.0</v>
      </c>
      <c r="E4012" s="157" t="s">
        <v>731</v>
      </c>
      <c r="F4012" s="160">
        <v>448528.2</v>
      </c>
      <c r="G4012" s="160">
        <f>'FACP$'!$F4012*0.16</f>
        <v>71764.512</v>
      </c>
      <c r="H4012" s="160">
        <f t="shared" si="122"/>
        <v>520292.712</v>
      </c>
      <c r="I4012" s="160"/>
      <c r="J4012" s="161"/>
      <c r="K4012" s="160"/>
      <c r="L4012" s="160">
        <f>+'FACP$'!$H4012-'FACP$'!$I4012-'FACP$'!$K4012</f>
        <v>520292.712</v>
      </c>
      <c r="M4012" s="162" t="s">
        <v>985</v>
      </c>
      <c r="N4012" s="162" t="s">
        <v>554</v>
      </c>
      <c r="O4012" s="164">
        <v>45114.0</v>
      </c>
      <c r="P4012" s="164">
        <f t="array" ref="P4012">XLOOKUP('FACP$'!$B4012,'perfil de pagos'!$A$4:$A$46,'perfil de pagos'!$B$4:$B$46+'FACP$'!$D4012)</f>
        <v>45110</v>
      </c>
      <c r="Q4012" s="165">
        <f t="shared" si="2"/>
        <v>0</v>
      </c>
      <c r="R4012" s="167"/>
      <c r="S4012" s="167">
        <v>2256.0</v>
      </c>
      <c r="T4012" s="168">
        <f t="shared" si="3"/>
        <v>520292.712</v>
      </c>
      <c r="U4012" s="168">
        <f t="shared" si="4"/>
        <v>0</v>
      </c>
      <c r="V4012" s="168">
        <f t="shared" si="5"/>
        <v>0</v>
      </c>
      <c r="W4012" s="168">
        <f t="shared" si="6"/>
        <v>0</v>
      </c>
      <c r="X4012" s="168">
        <f t="shared" si="7"/>
        <v>0</v>
      </c>
      <c r="Y4012" s="168">
        <f t="shared" si="8"/>
        <v>0</v>
      </c>
      <c r="Z4012" s="168">
        <f t="shared" si="9"/>
        <v>0</v>
      </c>
    </row>
    <row r="4013" ht="15.0" customHeight="1">
      <c r="A4013" s="157" t="s">
        <v>5068</v>
      </c>
      <c r="B4013" s="158" t="s">
        <v>19</v>
      </c>
      <c r="C4013" s="158" t="s">
        <v>5066</v>
      </c>
      <c r="D4013" s="159">
        <v>45100.0</v>
      </c>
      <c r="E4013" s="157" t="s">
        <v>731</v>
      </c>
      <c r="F4013" s="160">
        <v>103837.47</v>
      </c>
      <c r="G4013" s="160">
        <f>'FACP$'!$F4013*0.16</f>
        <v>16613.9952</v>
      </c>
      <c r="H4013" s="160">
        <f t="shared" si="122"/>
        <v>120451.4652</v>
      </c>
      <c r="I4013" s="160"/>
      <c r="J4013" s="161"/>
      <c r="K4013" s="160"/>
      <c r="L4013" s="160">
        <f>+'FACP$'!$H4013-'FACP$'!$I4013-'FACP$'!$K4013</f>
        <v>120451.4652</v>
      </c>
      <c r="M4013" s="162" t="s">
        <v>732</v>
      </c>
      <c r="N4013" s="162" t="s">
        <v>554</v>
      </c>
      <c r="O4013" s="164">
        <v>45187.0</v>
      </c>
      <c r="P4013" s="164">
        <f t="array" ref="P4013">XLOOKUP('FACP$'!$B4013,'perfil de pagos'!$A$4:$A$46,'perfil de pagos'!$B$4:$B$46+'FACP$'!$D4013)</f>
        <v>45110</v>
      </c>
      <c r="Q4013" s="165">
        <f t="shared" si="2"/>
        <v>0</v>
      </c>
      <c r="R4013" s="167"/>
      <c r="S4013" s="167">
        <v>2424.0</v>
      </c>
      <c r="T4013" s="168">
        <f t="shared" si="3"/>
        <v>120451.4652</v>
      </c>
      <c r="U4013" s="168">
        <f t="shared" si="4"/>
        <v>0</v>
      </c>
      <c r="V4013" s="168">
        <f t="shared" si="5"/>
        <v>0</v>
      </c>
      <c r="W4013" s="168">
        <f t="shared" si="6"/>
        <v>0</v>
      </c>
      <c r="X4013" s="168">
        <f t="shared" si="7"/>
        <v>0</v>
      </c>
      <c r="Y4013" s="168">
        <f t="shared" si="8"/>
        <v>0</v>
      </c>
      <c r="Z4013" s="168">
        <f t="shared" si="9"/>
        <v>0</v>
      </c>
    </row>
    <row r="4014" ht="15.0" customHeight="1">
      <c r="A4014" s="157" t="s">
        <v>5069</v>
      </c>
      <c r="B4014" s="158" t="s">
        <v>22</v>
      </c>
      <c r="C4014" s="158" t="s">
        <v>5066</v>
      </c>
      <c r="D4014" s="159">
        <v>45100.0</v>
      </c>
      <c r="E4014" s="157" t="s">
        <v>731</v>
      </c>
      <c r="F4014" s="160">
        <v>127199.76</v>
      </c>
      <c r="G4014" s="160">
        <f>'FACP$'!$F4014*0.16</f>
        <v>20351.9616</v>
      </c>
      <c r="H4014" s="160">
        <f t="shared" si="122"/>
        <v>147551.7216</v>
      </c>
      <c r="I4014" s="160">
        <v>605.05</v>
      </c>
      <c r="J4014" s="161"/>
      <c r="K4014" s="160"/>
      <c r="L4014" s="160">
        <f>+'FACP$'!$H4014-'FACP$'!$I4014-'FACP$'!$K4014</f>
        <v>146946.6716</v>
      </c>
      <c r="M4014" s="162" t="s">
        <v>220</v>
      </c>
      <c r="N4014" s="162" t="s">
        <v>554</v>
      </c>
      <c r="O4014" s="164">
        <v>45145.0</v>
      </c>
      <c r="P4014" s="164">
        <f t="array" ref="P4014">XLOOKUP('FACP$'!$B4014,'perfil de pagos'!$A$4:$A$46,'perfil de pagos'!$B$4:$B$46+'FACP$'!$D4014)</f>
        <v>45110</v>
      </c>
      <c r="Q4014" s="165">
        <f t="shared" si="2"/>
        <v>0</v>
      </c>
      <c r="R4014" s="220" t="s">
        <v>5070</v>
      </c>
      <c r="S4014" s="167" t="s">
        <v>5071</v>
      </c>
      <c r="T4014" s="168">
        <f t="shared" si="3"/>
        <v>146946.6716</v>
      </c>
      <c r="U4014" s="168">
        <f t="shared" si="4"/>
        <v>0</v>
      </c>
      <c r="V4014" s="168">
        <f t="shared" si="5"/>
        <v>0</v>
      </c>
      <c r="W4014" s="168">
        <f t="shared" si="6"/>
        <v>0</v>
      </c>
      <c r="X4014" s="168">
        <f t="shared" si="7"/>
        <v>0</v>
      </c>
      <c r="Y4014" s="168">
        <f t="shared" si="8"/>
        <v>0</v>
      </c>
      <c r="Z4014" s="168">
        <f t="shared" si="9"/>
        <v>0</v>
      </c>
    </row>
    <row r="4015" ht="15.0" customHeight="1">
      <c r="A4015" s="157" t="s">
        <v>5072</v>
      </c>
      <c r="B4015" s="158" t="s">
        <v>25</v>
      </c>
      <c r="C4015" s="158" t="s">
        <v>5066</v>
      </c>
      <c r="D4015" s="159">
        <v>45100.0</v>
      </c>
      <c r="E4015" s="157" t="s">
        <v>731</v>
      </c>
      <c r="F4015" s="160">
        <v>38629.18</v>
      </c>
      <c r="G4015" s="160">
        <f>'FACP$'!$F4015*0.16</f>
        <v>6180.6688</v>
      </c>
      <c r="H4015" s="160">
        <f t="shared" si="122"/>
        <v>44809.8488</v>
      </c>
      <c r="I4015" s="160"/>
      <c r="J4015" s="161"/>
      <c r="K4015" s="160"/>
      <c r="L4015" s="160">
        <f>+'FACP$'!$H4015-'FACP$'!$I4015-'FACP$'!$K4015</f>
        <v>44809.8488</v>
      </c>
      <c r="M4015" s="162" t="s">
        <v>4388</v>
      </c>
      <c r="N4015" s="162" t="s">
        <v>554</v>
      </c>
      <c r="O4015" s="164">
        <v>45224.0</v>
      </c>
      <c r="P4015" s="164">
        <f t="array" ref="P4015">XLOOKUP('FACP$'!$B4015,'perfil de pagos'!$A$4:$A$46,'perfil de pagos'!$B$4:$B$46+'FACP$'!$D4015)</f>
        <v>45110</v>
      </c>
      <c r="Q4015" s="165">
        <f t="shared" si="2"/>
        <v>0</v>
      </c>
      <c r="R4015" s="167"/>
      <c r="S4015" s="167">
        <v>2523.0</v>
      </c>
      <c r="T4015" s="168">
        <f t="shared" si="3"/>
        <v>44809.8488</v>
      </c>
      <c r="U4015" s="168">
        <f t="shared" si="4"/>
        <v>0</v>
      </c>
      <c r="V4015" s="168">
        <f t="shared" si="5"/>
        <v>0</v>
      </c>
      <c r="W4015" s="168">
        <f t="shared" si="6"/>
        <v>0</v>
      </c>
      <c r="X4015" s="168">
        <f t="shared" si="7"/>
        <v>0</v>
      </c>
      <c r="Y4015" s="168">
        <f t="shared" si="8"/>
        <v>0</v>
      </c>
      <c r="Z4015" s="168">
        <f t="shared" si="9"/>
        <v>0</v>
      </c>
    </row>
    <row r="4016" ht="15.0" customHeight="1">
      <c r="A4016" s="157" t="s">
        <v>5073</v>
      </c>
      <c r="B4016" s="158" t="s">
        <v>29</v>
      </c>
      <c r="C4016" s="158" t="s">
        <v>5066</v>
      </c>
      <c r="D4016" s="159">
        <v>45100.0</v>
      </c>
      <c r="E4016" s="157" t="s">
        <v>731</v>
      </c>
      <c r="F4016" s="160">
        <v>219215.77</v>
      </c>
      <c r="G4016" s="160">
        <f>'FACP$'!$F4016*0.16</f>
        <v>35074.5232</v>
      </c>
      <c r="H4016" s="160">
        <f t="shared" si="122"/>
        <v>254290.2932</v>
      </c>
      <c r="I4016" s="160"/>
      <c r="J4016" s="161"/>
      <c r="K4016" s="160"/>
      <c r="L4016" s="160">
        <f>+'FACP$'!$H4016-'FACP$'!$I4016-'FACP$'!$K4016</f>
        <v>254290.2932</v>
      </c>
      <c r="M4016" s="162" t="s">
        <v>130</v>
      </c>
      <c r="N4016" s="162" t="s">
        <v>554</v>
      </c>
      <c r="O4016" s="164">
        <v>45112.0</v>
      </c>
      <c r="P4016" s="164">
        <f t="array" ref="P4016">XLOOKUP('FACP$'!$B4016,'perfil de pagos'!$A$4:$A$46,'perfil de pagos'!$B$4:$B$46+'FACP$'!$D4016)</f>
        <v>45110</v>
      </c>
      <c r="Q4016" s="165">
        <f t="shared" si="2"/>
        <v>0</v>
      </c>
      <c r="R4016" s="167"/>
      <c r="S4016" s="167">
        <v>2250.0</v>
      </c>
      <c r="T4016" s="168">
        <f t="shared" si="3"/>
        <v>254290.2932</v>
      </c>
      <c r="U4016" s="168">
        <f t="shared" si="4"/>
        <v>0</v>
      </c>
      <c r="V4016" s="168">
        <f t="shared" si="5"/>
        <v>0</v>
      </c>
      <c r="W4016" s="168">
        <f t="shared" si="6"/>
        <v>0</v>
      </c>
      <c r="X4016" s="168">
        <f t="shared" si="7"/>
        <v>0</v>
      </c>
      <c r="Y4016" s="168">
        <f t="shared" si="8"/>
        <v>0</v>
      </c>
      <c r="Z4016" s="168">
        <f t="shared" si="9"/>
        <v>0</v>
      </c>
    </row>
    <row r="4017" ht="15.0" customHeight="1">
      <c r="A4017" s="157" t="s">
        <v>5074</v>
      </c>
      <c r="B4017" s="158" t="s">
        <v>29</v>
      </c>
      <c r="C4017" s="158" t="s">
        <v>5048</v>
      </c>
      <c r="D4017" s="159">
        <v>45100.0</v>
      </c>
      <c r="E4017" s="157" t="s">
        <v>731</v>
      </c>
      <c r="F4017" s="160">
        <v>404886.72</v>
      </c>
      <c r="G4017" s="160">
        <f>'FACP$'!$F4017*0.16</f>
        <v>64781.8752</v>
      </c>
      <c r="H4017" s="160">
        <f t="shared" si="122"/>
        <v>469668.5952</v>
      </c>
      <c r="I4017" s="160"/>
      <c r="J4017" s="161"/>
      <c r="K4017" s="160"/>
      <c r="L4017" s="160">
        <f>+'FACP$'!$H4017-'FACP$'!$I4017-'FACP$'!$K4017</f>
        <v>469668.5952</v>
      </c>
      <c r="M4017" s="162" t="s">
        <v>130</v>
      </c>
      <c r="N4017" s="162" t="s">
        <v>554</v>
      </c>
      <c r="O4017" s="164">
        <v>45112.0</v>
      </c>
      <c r="P4017" s="164">
        <f t="array" ref="P4017">XLOOKUP('FACP$'!$B4017,'perfil de pagos'!$A$4:$A$46,'perfil de pagos'!$B$4:$B$46+'FACP$'!$D4017)</f>
        <v>45110</v>
      </c>
      <c r="Q4017" s="165">
        <f t="shared" si="2"/>
        <v>0</v>
      </c>
      <c r="R4017" s="167"/>
      <c r="S4017" s="167">
        <v>2250.0</v>
      </c>
      <c r="T4017" s="168">
        <f t="shared" si="3"/>
        <v>469668.5952</v>
      </c>
      <c r="U4017" s="168">
        <f t="shared" si="4"/>
        <v>0</v>
      </c>
      <c r="V4017" s="168">
        <f t="shared" si="5"/>
        <v>0</v>
      </c>
      <c r="W4017" s="168">
        <f t="shared" si="6"/>
        <v>0</v>
      </c>
      <c r="X4017" s="168">
        <f t="shared" si="7"/>
        <v>0</v>
      </c>
      <c r="Y4017" s="168">
        <f t="shared" si="8"/>
        <v>0</v>
      </c>
      <c r="Z4017" s="168">
        <f t="shared" si="9"/>
        <v>0</v>
      </c>
    </row>
    <row r="4018" ht="15.0" customHeight="1">
      <c r="A4018" s="157" t="s">
        <v>5075</v>
      </c>
      <c r="B4018" s="158" t="s">
        <v>37</v>
      </c>
      <c r="C4018" s="158" t="s">
        <v>5066</v>
      </c>
      <c r="D4018" s="159">
        <v>45100.0</v>
      </c>
      <c r="E4018" s="157" t="s">
        <v>731</v>
      </c>
      <c r="F4018" s="160">
        <v>1103406.94</v>
      </c>
      <c r="G4018" s="160">
        <f>'FACP$'!$F4018*0.16</f>
        <v>176545.1104</v>
      </c>
      <c r="H4018" s="160">
        <f t="shared" si="122"/>
        <v>1279952.05</v>
      </c>
      <c r="I4018" s="160"/>
      <c r="J4018" s="161"/>
      <c r="K4018" s="160"/>
      <c r="L4018" s="160">
        <f>+'FACP$'!$H4018-'FACP$'!$I4018-'FACP$'!$K4018</f>
        <v>1279952.05</v>
      </c>
      <c r="M4018" s="162" t="s">
        <v>116</v>
      </c>
      <c r="N4018" s="162" t="s">
        <v>554</v>
      </c>
      <c r="O4018" s="164">
        <v>45111.0</v>
      </c>
      <c r="P4018" s="164">
        <f t="array" ref="P4018">XLOOKUP('FACP$'!$B4018,'perfil de pagos'!$A$4:$A$46,'perfil de pagos'!$B$4:$B$46+'FACP$'!$D4018)</f>
        <v>45110</v>
      </c>
      <c r="Q4018" s="165">
        <f t="shared" si="2"/>
        <v>0</v>
      </c>
      <c r="R4018" s="167"/>
      <c r="S4018" s="167">
        <v>2249.0</v>
      </c>
      <c r="T4018" s="168">
        <f t="shared" si="3"/>
        <v>1279952.05</v>
      </c>
      <c r="U4018" s="168">
        <f t="shared" si="4"/>
        <v>0</v>
      </c>
      <c r="V4018" s="168">
        <f t="shared" si="5"/>
        <v>0</v>
      </c>
      <c r="W4018" s="168">
        <f t="shared" si="6"/>
        <v>0</v>
      </c>
      <c r="X4018" s="168">
        <f t="shared" si="7"/>
        <v>0</v>
      </c>
      <c r="Y4018" s="168">
        <f t="shared" si="8"/>
        <v>0</v>
      </c>
      <c r="Z4018" s="168">
        <f t="shared" si="9"/>
        <v>0</v>
      </c>
    </row>
    <row r="4019" ht="15.0" customHeight="1">
      <c r="A4019" s="157" t="s">
        <v>5076</v>
      </c>
      <c r="B4019" s="158" t="s">
        <v>38</v>
      </c>
      <c r="C4019" s="158" t="s">
        <v>5066</v>
      </c>
      <c r="D4019" s="159">
        <v>45100.0</v>
      </c>
      <c r="E4019" s="157" t="s">
        <v>731</v>
      </c>
      <c r="F4019" s="160">
        <v>114537.07</v>
      </c>
      <c r="G4019" s="160">
        <f>'FACP$'!$F4019*0.16</f>
        <v>18325.9312</v>
      </c>
      <c r="H4019" s="160">
        <f t="shared" si="122"/>
        <v>132863.0012</v>
      </c>
      <c r="I4019" s="160"/>
      <c r="J4019" s="161"/>
      <c r="K4019" s="160"/>
      <c r="L4019" s="160">
        <f>+'FACP$'!$H4019-'FACP$'!$I4019-'FACP$'!$K4019</f>
        <v>132863.0012</v>
      </c>
      <c r="M4019" s="162" t="s">
        <v>642</v>
      </c>
      <c r="N4019" s="162" t="s">
        <v>554</v>
      </c>
      <c r="O4019" s="164">
        <v>45141.0</v>
      </c>
      <c r="P4019" s="164">
        <f t="array" ref="P4019">XLOOKUP('FACP$'!$B4019,'perfil de pagos'!$A$4:$A$46,'perfil de pagos'!$B$4:$B$46+'FACP$'!$D4019)</f>
        <v>45130</v>
      </c>
      <c r="Q4019" s="165">
        <f t="shared" si="2"/>
        <v>0</v>
      </c>
      <c r="R4019" s="167"/>
      <c r="S4019" s="167"/>
      <c r="T4019" s="168">
        <f t="shared" si="3"/>
        <v>132863.0012</v>
      </c>
      <c r="U4019" s="168">
        <f t="shared" si="4"/>
        <v>0</v>
      </c>
      <c r="V4019" s="168">
        <f t="shared" si="5"/>
        <v>0</v>
      </c>
      <c r="W4019" s="168">
        <f t="shared" si="6"/>
        <v>0</v>
      </c>
      <c r="X4019" s="168">
        <f t="shared" si="7"/>
        <v>0</v>
      </c>
      <c r="Y4019" s="168">
        <f t="shared" si="8"/>
        <v>0</v>
      </c>
      <c r="Z4019" s="168">
        <f t="shared" si="9"/>
        <v>0</v>
      </c>
    </row>
    <row r="4020" ht="15.0" customHeight="1">
      <c r="A4020" s="157" t="s">
        <v>5077</v>
      </c>
      <c r="B4020" s="158" t="s">
        <v>38</v>
      </c>
      <c r="C4020" s="158" t="s">
        <v>5066</v>
      </c>
      <c r="D4020" s="159">
        <v>45100.0</v>
      </c>
      <c r="E4020" s="157" t="s">
        <v>731</v>
      </c>
      <c r="F4020" s="160">
        <v>387689.45</v>
      </c>
      <c r="G4020" s="160">
        <f>'FACP$'!$F4020*0.16</f>
        <v>62030.312</v>
      </c>
      <c r="H4020" s="160">
        <f t="shared" si="122"/>
        <v>449719.762</v>
      </c>
      <c r="I4020" s="160"/>
      <c r="J4020" s="161"/>
      <c r="K4020" s="160"/>
      <c r="L4020" s="160">
        <f>+'FACP$'!$H4020-'FACP$'!$I4020-'FACP$'!$K4020</f>
        <v>449719.762</v>
      </c>
      <c r="M4020" s="162" t="s">
        <v>145</v>
      </c>
      <c r="N4020" s="162" t="s">
        <v>554</v>
      </c>
      <c r="O4020" s="164">
        <v>45141.0</v>
      </c>
      <c r="P4020" s="164">
        <f t="array" ref="P4020">XLOOKUP('FACP$'!$B4020,'perfil de pagos'!$A$4:$A$46,'perfil de pagos'!$B$4:$B$46+'FACP$'!$D4020)</f>
        <v>45130</v>
      </c>
      <c r="Q4020" s="165">
        <f t="shared" si="2"/>
        <v>0</v>
      </c>
      <c r="R4020" s="167"/>
      <c r="S4020" s="167"/>
      <c r="T4020" s="168">
        <f t="shared" si="3"/>
        <v>449719.762</v>
      </c>
      <c r="U4020" s="168">
        <f t="shared" si="4"/>
        <v>0</v>
      </c>
      <c r="V4020" s="168">
        <f t="shared" si="5"/>
        <v>0</v>
      </c>
      <c r="W4020" s="168">
        <f t="shared" si="6"/>
        <v>0</v>
      </c>
      <c r="X4020" s="168">
        <f t="shared" si="7"/>
        <v>0</v>
      </c>
      <c r="Y4020" s="168">
        <f t="shared" si="8"/>
        <v>0</v>
      </c>
      <c r="Z4020" s="168">
        <f t="shared" si="9"/>
        <v>0</v>
      </c>
    </row>
    <row r="4021" ht="15.0" customHeight="1">
      <c r="A4021" s="157" t="s">
        <v>5078</v>
      </c>
      <c r="B4021" s="158" t="s">
        <v>42</v>
      </c>
      <c r="C4021" s="158" t="s">
        <v>5066</v>
      </c>
      <c r="D4021" s="159">
        <v>45100.0</v>
      </c>
      <c r="E4021" s="157" t="s">
        <v>731</v>
      </c>
      <c r="F4021" s="160">
        <v>47563.41</v>
      </c>
      <c r="G4021" s="160">
        <f>'FACP$'!$F4021*0.16</f>
        <v>7610.1456</v>
      </c>
      <c r="H4021" s="160">
        <f t="shared" si="122"/>
        <v>55173.5556</v>
      </c>
      <c r="I4021" s="160"/>
      <c r="J4021" s="161"/>
      <c r="K4021" s="160"/>
      <c r="L4021" s="160">
        <f>+'FACP$'!$H4021-'FACP$'!$I4021-'FACP$'!$K4021</f>
        <v>55173.5556</v>
      </c>
      <c r="M4021" s="162" t="s">
        <v>42</v>
      </c>
      <c r="N4021" s="162" t="s">
        <v>554</v>
      </c>
      <c r="O4021" s="164">
        <v>45113.0</v>
      </c>
      <c r="P4021" s="164">
        <f t="array" ref="P4021">XLOOKUP('FACP$'!$B4021,'perfil de pagos'!$A$4:$A$46,'perfil de pagos'!$B$4:$B$46+'FACP$'!$D4021)</f>
        <v>45110</v>
      </c>
      <c r="Q4021" s="165">
        <f t="shared" si="2"/>
        <v>0</v>
      </c>
      <c r="R4021" s="167"/>
      <c r="S4021" s="167">
        <v>2251.0</v>
      </c>
      <c r="T4021" s="168">
        <f t="shared" si="3"/>
        <v>55173.5556</v>
      </c>
      <c r="U4021" s="168">
        <f t="shared" si="4"/>
        <v>0</v>
      </c>
      <c r="V4021" s="168">
        <f t="shared" si="5"/>
        <v>0</v>
      </c>
      <c r="W4021" s="168">
        <f t="shared" si="6"/>
        <v>0</v>
      </c>
      <c r="X4021" s="168">
        <f t="shared" si="7"/>
        <v>0</v>
      </c>
      <c r="Y4021" s="168">
        <f t="shared" si="8"/>
        <v>0</v>
      </c>
      <c r="Z4021" s="168">
        <f t="shared" si="9"/>
        <v>0</v>
      </c>
    </row>
    <row r="4022" ht="15.0" customHeight="1">
      <c r="A4022" s="157" t="s">
        <v>5079</v>
      </c>
      <c r="B4022" s="158" t="s">
        <v>18</v>
      </c>
      <c r="C4022" s="158" t="s">
        <v>4753</v>
      </c>
      <c r="D4022" s="159">
        <v>45103.0</v>
      </c>
      <c r="E4022" s="157" t="s">
        <v>731</v>
      </c>
      <c r="F4022" s="160">
        <v>1389.33</v>
      </c>
      <c r="G4022" s="160">
        <f>'FACP$'!$F4022*0.16</f>
        <v>222.2928</v>
      </c>
      <c r="H4022" s="160">
        <f t="shared" si="122"/>
        <v>1611.6228</v>
      </c>
      <c r="I4022" s="160"/>
      <c r="J4022" s="161"/>
      <c r="K4022" s="160"/>
      <c r="L4022" s="160">
        <f>+'FACP$'!$H4022-'FACP$'!$I4022-'FACP$'!$K4022</f>
        <v>1611.6228</v>
      </c>
      <c r="M4022" s="162" t="s">
        <v>586</v>
      </c>
      <c r="N4022" s="162" t="s">
        <v>554</v>
      </c>
      <c r="O4022" s="164">
        <v>45187.0</v>
      </c>
      <c r="P4022" s="164">
        <f t="array" ref="P4022">XLOOKUP('FACP$'!$B4022,'perfil de pagos'!$A$4:$A$46,'perfil de pagos'!$B$4:$B$46+'FACP$'!$D4022)</f>
        <v>45113</v>
      </c>
      <c r="Q4022" s="165">
        <f t="shared" si="2"/>
        <v>0</v>
      </c>
      <c r="R4022" s="167" t="s">
        <v>5080</v>
      </c>
      <c r="S4022" s="167">
        <v>2424.0</v>
      </c>
      <c r="T4022" s="168">
        <f t="shared" si="3"/>
        <v>1611.6228</v>
      </c>
      <c r="U4022" s="168">
        <f t="shared" si="4"/>
        <v>0</v>
      </c>
      <c r="V4022" s="168">
        <f t="shared" si="5"/>
        <v>0</v>
      </c>
      <c r="W4022" s="168">
        <f t="shared" si="6"/>
        <v>0</v>
      </c>
      <c r="X4022" s="168">
        <f t="shared" si="7"/>
        <v>0</v>
      </c>
      <c r="Y4022" s="168">
        <f t="shared" si="8"/>
        <v>0</v>
      </c>
      <c r="Z4022" s="168">
        <f t="shared" si="9"/>
        <v>0</v>
      </c>
    </row>
    <row r="4023" ht="15.0" customHeight="1">
      <c r="A4023" s="157" t="s">
        <v>5081</v>
      </c>
      <c r="B4023" s="158" t="s">
        <v>24</v>
      </c>
      <c r="C4023" s="158" t="s">
        <v>5044</v>
      </c>
      <c r="D4023" s="159">
        <v>45103.0</v>
      </c>
      <c r="E4023" s="157" t="s">
        <v>731</v>
      </c>
      <c r="F4023" s="160">
        <v>20467.1</v>
      </c>
      <c r="G4023" s="160">
        <f>'FACP$'!$F4023*0.16</f>
        <v>3274.736</v>
      </c>
      <c r="H4023" s="160">
        <f t="shared" si="122"/>
        <v>23741.836</v>
      </c>
      <c r="I4023" s="160"/>
      <c r="J4023" s="161"/>
      <c r="K4023" s="160"/>
      <c r="L4023" s="160">
        <f>+'FACP$'!$H4023-'FACP$'!$I4023-'FACP$'!$K4023</f>
        <v>23741.836</v>
      </c>
      <c r="M4023" s="162" t="s">
        <v>91</v>
      </c>
      <c r="N4023" s="162" t="s">
        <v>127</v>
      </c>
      <c r="O4023" s="164"/>
      <c r="P4023" s="164">
        <f t="array" ref="P4023">XLOOKUP('FACP$'!$B4023,'perfil de pagos'!$A$4:$A$46,'perfil de pagos'!$B$4:$B$46+'FACP$'!$D4023)</f>
        <v>45113</v>
      </c>
      <c r="Q4023" s="165">
        <f t="shared" si="2"/>
        <v>0</v>
      </c>
      <c r="R4023" s="167" t="s">
        <v>4949</v>
      </c>
      <c r="S4023" s="167"/>
      <c r="T4023" s="168">
        <f t="shared" si="3"/>
        <v>23741.836</v>
      </c>
      <c r="U4023" s="168">
        <f t="shared" si="4"/>
        <v>0</v>
      </c>
      <c r="V4023" s="168">
        <f t="shared" si="5"/>
        <v>0</v>
      </c>
      <c r="W4023" s="168">
        <f t="shared" si="6"/>
        <v>0</v>
      </c>
      <c r="X4023" s="168">
        <f t="shared" si="7"/>
        <v>0</v>
      </c>
      <c r="Y4023" s="168">
        <f t="shared" si="8"/>
        <v>0</v>
      </c>
      <c r="Z4023" s="168">
        <f t="shared" si="9"/>
        <v>0</v>
      </c>
    </row>
    <row r="4024" ht="15.0" customHeight="1">
      <c r="A4024" s="157" t="s">
        <v>5082</v>
      </c>
      <c r="B4024" s="158" t="s">
        <v>24</v>
      </c>
      <c r="C4024" s="158" t="s">
        <v>5048</v>
      </c>
      <c r="D4024" s="159">
        <v>45103.0</v>
      </c>
      <c r="E4024" s="157" t="s">
        <v>731</v>
      </c>
      <c r="F4024" s="160">
        <v>9939.09</v>
      </c>
      <c r="G4024" s="160">
        <f>'FACP$'!$F4024*0.16</f>
        <v>1590.2544</v>
      </c>
      <c r="H4024" s="160">
        <f t="shared" si="122"/>
        <v>11529.3444</v>
      </c>
      <c r="I4024" s="160"/>
      <c r="J4024" s="161"/>
      <c r="K4024" s="160"/>
      <c r="L4024" s="160">
        <f>+'FACP$'!$H4024-'FACP$'!$I4024-'FACP$'!$K4024</f>
        <v>11529.3444</v>
      </c>
      <c r="M4024" s="162" t="s">
        <v>91</v>
      </c>
      <c r="N4024" s="162" t="s">
        <v>127</v>
      </c>
      <c r="O4024" s="164"/>
      <c r="P4024" s="164">
        <f t="array" ref="P4024">XLOOKUP('FACP$'!$B4024,'perfil de pagos'!$A$4:$A$46,'perfil de pagos'!$B$4:$B$46+'FACP$'!$D4024)</f>
        <v>45113</v>
      </c>
      <c r="Q4024" s="165">
        <f t="shared" si="2"/>
        <v>0</v>
      </c>
      <c r="R4024" s="167" t="s">
        <v>5083</v>
      </c>
      <c r="S4024" s="167"/>
      <c r="T4024" s="168">
        <f t="shared" si="3"/>
        <v>11529.3444</v>
      </c>
      <c r="U4024" s="168">
        <f t="shared" si="4"/>
        <v>0</v>
      </c>
      <c r="V4024" s="168">
        <f t="shared" si="5"/>
        <v>0</v>
      </c>
      <c r="W4024" s="168">
        <f t="shared" si="6"/>
        <v>0</v>
      </c>
      <c r="X4024" s="168">
        <f t="shared" si="7"/>
        <v>0</v>
      </c>
      <c r="Y4024" s="168">
        <f t="shared" si="8"/>
        <v>0</v>
      </c>
      <c r="Z4024" s="168">
        <f t="shared" si="9"/>
        <v>0</v>
      </c>
    </row>
    <row r="4025" ht="15.0" customHeight="1">
      <c r="A4025" s="157" t="s">
        <v>5084</v>
      </c>
      <c r="B4025" s="158" t="s">
        <v>24</v>
      </c>
      <c r="C4025" s="158" t="s">
        <v>5044</v>
      </c>
      <c r="D4025" s="159">
        <v>45103.0</v>
      </c>
      <c r="E4025" s="157" t="s">
        <v>731</v>
      </c>
      <c r="F4025" s="160">
        <v>20467.1</v>
      </c>
      <c r="G4025" s="160">
        <f>'FACP$'!$F4025*0.16</f>
        <v>3274.736</v>
      </c>
      <c r="H4025" s="160">
        <f t="shared" si="122"/>
        <v>23741.836</v>
      </c>
      <c r="I4025" s="160"/>
      <c r="J4025" s="161"/>
      <c r="K4025" s="160"/>
      <c r="L4025" s="160">
        <f>+'FACP$'!$H4025-'FACP$'!$I4025-'FACP$'!$K4025</f>
        <v>23741.836</v>
      </c>
      <c r="M4025" s="162" t="s">
        <v>91</v>
      </c>
      <c r="N4025" s="162" t="s">
        <v>554</v>
      </c>
      <c r="O4025" s="164">
        <v>45127.0</v>
      </c>
      <c r="P4025" s="164">
        <f t="array" ref="P4025">XLOOKUP('FACP$'!$B4025,'perfil de pagos'!$A$4:$A$46,'perfil de pagos'!$B$4:$B$46+'FACP$'!$D4025)</f>
        <v>45113</v>
      </c>
      <c r="Q4025" s="165">
        <f t="shared" si="2"/>
        <v>0</v>
      </c>
      <c r="R4025" s="162" t="s">
        <v>5085</v>
      </c>
      <c r="S4025" s="167">
        <v>2307.0</v>
      </c>
      <c r="T4025" s="168">
        <f t="shared" si="3"/>
        <v>23741.836</v>
      </c>
      <c r="U4025" s="168">
        <f t="shared" si="4"/>
        <v>0</v>
      </c>
      <c r="V4025" s="168">
        <f t="shared" si="5"/>
        <v>0</v>
      </c>
      <c r="W4025" s="168">
        <f t="shared" si="6"/>
        <v>0</v>
      </c>
      <c r="X4025" s="168">
        <f t="shared" si="7"/>
        <v>0</v>
      </c>
      <c r="Y4025" s="168">
        <f t="shared" si="8"/>
        <v>0</v>
      </c>
      <c r="Z4025" s="168">
        <f t="shared" si="9"/>
        <v>0</v>
      </c>
    </row>
    <row r="4026" ht="15.0" customHeight="1">
      <c r="A4026" s="157" t="s">
        <v>5086</v>
      </c>
      <c r="B4026" s="158" t="s">
        <v>35</v>
      </c>
      <c r="C4026" s="158" t="s">
        <v>5087</v>
      </c>
      <c r="D4026" s="159">
        <v>45104.0</v>
      </c>
      <c r="E4026" s="157" t="s">
        <v>731</v>
      </c>
      <c r="F4026" s="160">
        <v>15044.0</v>
      </c>
      <c r="G4026" s="160">
        <f>'FACP$'!$F4026*0.16</f>
        <v>2407.04</v>
      </c>
      <c r="H4026" s="160">
        <f t="shared" si="122"/>
        <v>17451.04</v>
      </c>
      <c r="I4026" s="160"/>
      <c r="J4026" s="161"/>
      <c r="K4026" s="160"/>
      <c r="L4026" s="160">
        <f>+'FACP$'!$H4026-'FACP$'!$I4026-'FACP$'!$K4026</f>
        <v>17451.04</v>
      </c>
      <c r="M4026" s="162" t="s">
        <v>276</v>
      </c>
      <c r="N4026" s="162" t="s">
        <v>554</v>
      </c>
      <c r="O4026" s="164">
        <v>45237.0</v>
      </c>
      <c r="P4026" s="164">
        <f t="array" ref="P4026">XLOOKUP('FACP$'!$B4026,'perfil de pagos'!$A$4:$A$46,'perfil de pagos'!$B$4:$B$46+'FACP$'!$D4026)</f>
        <v>45114</v>
      </c>
      <c r="Q4026" s="165">
        <f t="shared" si="2"/>
        <v>0</v>
      </c>
      <c r="R4026" s="167"/>
      <c r="S4026" s="167">
        <v>2564.0</v>
      </c>
      <c r="T4026" s="168">
        <f t="shared" si="3"/>
        <v>17451.04</v>
      </c>
      <c r="U4026" s="168">
        <f t="shared" si="4"/>
        <v>0</v>
      </c>
      <c r="V4026" s="168">
        <f t="shared" si="5"/>
        <v>0</v>
      </c>
      <c r="W4026" s="168">
        <f t="shared" si="6"/>
        <v>0</v>
      </c>
      <c r="X4026" s="168">
        <f t="shared" si="7"/>
        <v>0</v>
      </c>
      <c r="Y4026" s="168">
        <f t="shared" si="8"/>
        <v>0</v>
      </c>
      <c r="Z4026" s="168">
        <f t="shared" si="9"/>
        <v>0</v>
      </c>
    </row>
    <row r="4027" ht="15.0" customHeight="1">
      <c r="A4027" s="157" t="s">
        <v>5088</v>
      </c>
      <c r="B4027" s="158" t="s">
        <v>38</v>
      </c>
      <c r="C4027" s="158" t="s">
        <v>5087</v>
      </c>
      <c r="D4027" s="159">
        <v>45104.0</v>
      </c>
      <c r="E4027" s="157" t="s">
        <v>731</v>
      </c>
      <c r="F4027" s="160">
        <v>15044.0</v>
      </c>
      <c r="G4027" s="160">
        <f>'FACP$'!$F4027*0.16</f>
        <v>2407.04</v>
      </c>
      <c r="H4027" s="160">
        <f t="shared" si="122"/>
        <v>17451.04</v>
      </c>
      <c r="I4027" s="160"/>
      <c r="J4027" s="161"/>
      <c r="K4027" s="160"/>
      <c r="L4027" s="160">
        <f>+'FACP$'!$H4027-'FACP$'!$I4027-'FACP$'!$K4027</f>
        <v>17451.04</v>
      </c>
      <c r="M4027" s="162" t="s">
        <v>4707</v>
      </c>
      <c r="N4027" s="162" t="s">
        <v>554</v>
      </c>
      <c r="O4027" s="164">
        <v>45141.0</v>
      </c>
      <c r="P4027" s="164">
        <f t="array" ref="P4027">XLOOKUP('FACP$'!$B4027,'perfil de pagos'!$A$4:$A$46,'perfil de pagos'!$B$4:$B$46+'FACP$'!$D4027)</f>
        <v>45134</v>
      </c>
      <c r="Q4027" s="165">
        <f t="shared" si="2"/>
        <v>0</v>
      </c>
      <c r="R4027" s="167"/>
      <c r="S4027" s="167"/>
      <c r="T4027" s="168">
        <f t="shared" si="3"/>
        <v>17451.04</v>
      </c>
      <c r="U4027" s="168">
        <f t="shared" si="4"/>
        <v>0</v>
      </c>
      <c r="V4027" s="168">
        <f t="shared" si="5"/>
        <v>0</v>
      </c>
      <c r="W4027" s="168">
        <f t="shared" si="6"/>
        <v>0</v>
      </c>
      <c r="X4027" s="168">
        <f t="shared" si="7"/>
        <v>0</v>
      </c>
      <c r="Y4027" s="168">
        <f t="shared" si="8"/>
        <v>0</v>
      </c>
      <c r="Z4027" s="168">
        <f t="shared" si="9"/>
        <v>0</v>
      </c>
    </row>
    <row r="4028" ht="15.0" customHeight="1">
      <c r="A4028" s="157" t="s">
        <v>5089</v>
      </c>
      <c r="B4028" s="158" t="s">
        <v>40</v>
      </c>
      <c r="C4028" s="158" t="s">
        <v>5044</v>
      </c>
      <c r="D4028" s="159">
        <v>45105.0</v>
      </c>
      <c r="E4028" s="157" t="s">
        <v>731</v>
      </c>
      <c r="F4028" s="160">
        <v>169109.1</v>
      </c>
      <c r="G4028" s="160">
        <f>'FACP$'!$F4028*0.16</f>
        <v>27057.456</v>
      </c>
      <c r="H4028" s="160">
        <f t="shared" si="122"/>
        <v>196166.556</v>
      </c>
      <c r="I4028" s="160"/>
      <c r="J4028" s="161"/>
      <c r="K4028" s="160"/>
      <c r="L4028" s="160">
        <f>+'FACP$'!$H4028-'FACP$'!$I4028-'FACP$'!$K4028</f>
        <v>196166.556</v>
      </c>
      <c r="M4028" s="162" t="s">
        <v>490</v>
      </c>
      <c r="N4028" s="162" t="s">
        <v>554</v>
      </c>
      <c r="O4028" s="164">
        <v>45128.0</v>
      </c>
      <c r="P4028" s="164">
        <f t="array" ref="P4028">XLOOKUP('FACP$'!$B4028,'perfil de pagos'!$A$4:$A$46,'perfil de pagos'!$B$4:$B$46+'FACP$'!$D4028)</f>
        <v>45135</v>
      </c>
      <c r="Q4028" s="165">
        <f t="shared" si="2"/>
        <v>0</v>
      </c>
      <c r="R4028" s="167"/>
      <c r="S4028" s="167">
        <v>2310.0</v>
      </c>
      <c r="T4028" s="168">
        <f t="shared" si="3"/>
        <v>196166.556</v>
      </c>
      <c r="U4028" s="168">
        <f t="shared" si="4"/>
        <v>0</v>
      </c>
      <c r="V4028" s="168">
        <f t="shared" si="5"/>
        <v>0</v>
      </c>
      <c r="W4028" s="168">
        <f t="shared" si="6"/>
        <v>0</v>
      </c>
      <c r="X4028" s="168">
        <f t="shared" si="7"/>
        <v>0</v>
      </c>
      <c r="Y4028" s="168">
        <f t="shared" si="8"/>
        <v>0</v>
      </c>
      <c r="Z4028" s="168">
        <f t="shared" si="9"/>
        <v>0</v>
      </c>
    </row>
    <row r="4029" ht="15.0" customHeight="1">
      <c r="A4029" s="157" t="s">
        <v>5090</v>
      </c>
      <c r="B4029" s="158" t="s">
        <v>40</v>
      </c>
      <c r="C4029" s="158" t="s">
        <v>5048</v>
      </c>
      <c r="D4029" s="159">
        <v>45105.0</v>
      </c>
      <c r="E4029" s="157" t="s">
        <v>731</v>
      </c>
      <c r="F4029" s="160">
        <v>220969.12</v>
      </c>
      <c r="G4029" s="160">
        <f>'FACP$'!$F4029*0.16</f>
        <v>35355.0592</v>
      </c>
      <c r="H4029" s="160">
        <f t="shared" si="122"/>
        <v>256324.1792</v>
      </c>
      <c r="I4029" s="160"/>
      <c r="J4029" s="161"/>
      <c r="K4029" s="160"/>
      <c r="L4029" s="160">
        <f>+'FACP$'!$H4029-'FACP$'!$I4029-'FACP$'!$K4029</f>
        <v>256324.1792</v>
      </c>
      <c r="M4029" s="162" t="s">
        <v>490</v>
      </c>
      <c r="N4029" s="162" t="s">
        <v>554</v>
      </c>
      <c r="O4029" s="164">
        <v>45128.0</v>
      </c>
      <c r="P4029" s="164">
        <f t="array" ref="P4029">XLOOKUP('FACP$'!$B4029,'perfil de pagos'!$A$4:$A$46,'perfil de pagos'!$B$4:$B$46+'FACP$'!$D4029)</f>
        <v>45135</v>
      </c>
      <c r="Q4029" s="165">
        <f t="shared" si="2"/>
        <v>0</v>
      </c>
      <c r="R4029" s="167"/>
      <c r="S4029" s="167">
        <v>2310.0</v>
      </c>
      <c r="T4029" s="168">
        <f t="shared" si="3"/>
        <v>256324.1792</v>
      </c>
      <c r="U4029" s="168">
        <f t="shared" si="4"/>
        <v>0</v>
      </c>
      <c r="V4029" s="168">
        <f t="shared" si="5"/>
        <v>0</v>
      </c>
      <c r="W4029" s="168">
        <f t="shared" si="6"/>
        <v>0</v>
      </c>
      <c r="X4029" s="168">
        <f t="shared" si="7"/>
        <v>0</v>
      </c>
      <c r="Y4029" s="168">
        <f t="shared" si="8"/>
        <v>0</v>
      </c>
      <c r="Z4029" s="168">
        <f t="shared" si="9"/>
        <v>0</v>
      </c>
    </row>
    <row r="4030" ht="15.0" customHeight="1">
      <c r="A4030" s="157" t="s">
        <v>5091</v>
      </c>
      <c r="B4030" s="158" t="s">
        <v>18</v>
      </c>
      <c r="C4030" s="158" t="s">
        <v>5044</v>
      </c>
      <c r="D4030" s="159">
        <v>45105.0</v>
      </c>
      <c r="E4030" s="157" t="s">
        <v>731</v>
      </c>
      <c r="F4030" s="160">
        <v>57481.62</v>
      </c>
      <c r="G4030" s="160">
        <f>'FACP$'!$F4030*0.16</f>
        <v>9197.0592</v>
      </c>
      <c r="H4030" s="160">
        <f t="shared" si="122"/>
        <v>66678.6792</v>
      </c>
      <c r="I4030" s="160"/>
      <c r="J4030" s="161"/>
      <c r="K4030" s="160"/>
      <c r="L4030" s="160">
        <f>+'FACP$'!$H4030-'FACP$'!$I4030-'FACP$'!$K4030</f>
        <v>66678.6792</v>
      </c>
      <c r="M4030" s="162" t="s">
        <v>586</v>
      </c>
      <c r="N4030" s="162" t="s">
        <v>554</v>
      </c>
      <c r="O4030" s="164">
        <v>45187.0</v>
      </c>
      <c r="P4030" s="164">
        <f t="array" ref="P4030">XLOOKUP('FACP$'!$B4030,'perfil de pagos'!$A$4:$A$46,'perfil de pagos'!$B$4:$B$46+'FACP$'!$D4030)</f>
        <v>45115</v>
      </c>
      <c r="Q4030" s="165">
        <f t="shared" si="2"/>
        <v>0</v>
      </c>
      <c r="R4030" s="167"/>
      <c r="S4030" s="167">
        <v>2424.0</v>
      </c>
      <c r="T4030" s="168">
        <f t="shared" si="3"/>
        <v>66678.6792</v>
      </c>
      <c r="U4030" s="168">
        <f t="shared" si="4"/>
        <v>0</v>
      </c>
      <c r="V4030" s="168">
        <f t="shared" si="5"/>
        <v>0</v>
      </c>
      <c r="W4030" s="168">
        <f t="shared" si="6"/>
        <v>0</v>
      </c>
      <c r="X4030" s="168">
        <f t="shared" si="7"/>
        <v>0</v>
      </c>
      <c r="Y4030" s="168">
        <f t="shared" si="8"/>
        <v>0</v>
      </c>
      <c r="Z4030" s="168">
        <f t="shared" si="9"/>
        <v>0</v>
      </c>
    </row>
    <row r="4031" ht="15.0" customHeight="1">
      <c r="A4031" s="157" t="s">
        <v>5092</v>
      </c>
      <c r="B4031" s="158" t="s">
        <v>27</v>
      </c>
      <c r="C4031" s="158" t="s">
        <v>5093</v>
      </c>
      <c r="D4031" s="159">
        <v>45107.0</v>
      </c>
      <c r="E4031" s="157" t="s">
        <v>731</v>
      </c>
      <c r="F4031" s="160">
        <v>162240.2</v>
      </c>
      <c r="G4031" s="160">
        <f>'FACP$'!$F4031*0.16</f>
        <v>25958.432</v>
      </c>
      <c r="H4031" s="160">
        <f t="shared" si="122"/>
        <v>188198.632</v>
      </c>
      <c r="I4031" s="160"/>
      <c r="J4031" s="161"/>
      <c r="K4031" s="160"/>
      <c r="L4031" s="160">
        <f>+'FACP$'!$H4031-'FACP$'!$I4031-'FACP$'!$K4031</f>
        <v>188198.632</v>
      </c>
      <c r="M4031" s="162" t="s">
        <v>158</v>
      </c>
      <c r="N4031" s="162" t="s">
        <v>554</v>
      </c>
      <c r="O4031" s="164">
        <v>45128.0</v>
      </c>
      <c r="P4031" s="164">
        <f t="array" ref="P4031">XLOOKUP('FACP$'!$B4031,'perfil de pagos'!$A$4:$A$46,'perfil de pagos'!$B$4:$B$46+'FACP$'!$D4031)</f>
        <v>45137</v>
      </c>
      <c r="Q4031" s="165">
        <f t="shared" si="2"/>
        <v>0</v>
      </c>
      <c r="R4031" s="167"/>
      <c r="S4031" s="167">
        <v>2309.0</v>
      </c>
      <c r="T4031" s="168">
        <f t="shared" si="3"/>
        <v>188198.632</v>
      </c>
      <c r="U4031" s="168">
        <f t="shared" si="4"/>
        <v>0</v>
      </c>
      <c r="V4031" s="168">
        <f t="shared" si="5"/>
        <v>0</v>
      </c>
      <c r="W4031" s="168">
        <f t="shared" si="6"/>
        <v>0</v>
      </c>
      <c r="X4031" s="168">
        <f t="shared" si="7"/>
        <v>0</v>
      </c>
      <c r="Y4031" s="168">
        <f t="shared" si="8"/>
        <v>0</v>
      </c>
      <c r="Z4031" s="168">
        <f t="shared" si="9"/>
        <v>0</v>
      </c>
    </row>
    <row r="4032" ht="15.0" customHeight="1">
      <c r="A4032" s="157" t="s">
        <v>5094</v>
      </c>
      <c r="B4032" s="158" t="s">
        <v>27</v>
      </c>
      <c r="C4032" s="158" t="s">
        <v>5095</v>
      </c>
      <c r="D4032" s="159">
        <v>45107.0</v>
      </c>
      <c r="E4032" s="157" t="s">
        <v>731</v>
      </c>
      <c r="F4032" s="160">
        <v>132779.56</v>
      </c>
      <c r="G4032" s="160">
        <f>'FACP$'!$F4032*0.16</f>
        <v>21244.7296</v>
      </c>
      <c r="H4032" s="160">
        <f t="shared" si="122"/>
        <v>154024.2896</v>
      </c>
      <c r="I4032" s="160"/>
      <c r="J4032" s="161"/>
      <c r="K4032" s="160"/>
      <c r="L4032" s="160">
        <f>+'FACP$'!$H4032-'FACP$'!$I4032-'FACP$'!$K4032</f>
        <v>154024.2896</v>
      </c>
      <c r="M4032" s="162" t="s">
        <v>158</v>
      </c>
      <c r="N4032" s="162" t="s">
        <v>554</v>
      </c>
      <c r="O4032" s="164">
        <v>45133.0</v>
      </c>
      <c r="P4032" s="164">
        <f t="array" ref="P4032">XLOOKUP('FACP$'!$B4032,'perfil de pagos'!$A$4:$A$46,'perfil de pagos'!$B$4:$B$46+'FACP$'!$D4032)</f>
        <v>45137</v>
      </c>
      <c r="Q4032" s="165">
        <f t="shared" si="2"/>
        <v>0</v>
      </c>
      <c r="R4032" s="167"/>
      <c r="S4032" s="167">
        <v>2320.0</v>
      </c>
      <c r="T4032" s="168">
        <f t="shared" si="3"/>
        <v>154024.2896</v>
      </c>
      <c r="U4032" s="168">
        <f t="shared" si="4"/>
        <v>0</v>
      </c>
      <c r="V4032" s="168">
        <f t="shared" si="5"/>
        <v>0</v>
      </c>
      <c r="W4032" s="168">
        <f t="shared" si="6"/>
        <v>0</v>
      </c>
      <c r="X4032" s="168">
        <f t="shared" si="7"/>
        <v>0</v>
      </c>
      <c r="Y4032" s="168">
        <f t="shared" si="8"/>
        <v>0</v>
      </c>
      <c r="Z4032" s="168">
        <f t="shared" si="9"/>
        <v>0</v>
      </c>
    </row>
    <row r="4033" ht="15.0" customHeight="1">
      <c r="A4033" s="157" t="s">
        <v>5096</v>
      </c>
      <c r="B4033" s="158" t="s">
        <v>27</v>
      </c>
      <c r="C4033" s="158" t="s">
        <v>5093</v>
      </c>
      <c r="D4033" s="159">
        <v>45107.0</v>
      </c>
      <c r="E4033" s="157" t="s">
        <v>731</v>
      </c>
      <c r="F4033" s="160">
        <v>303923.55</v>
      </c>
      <c r="G4033" s="160">
        <f>'FACP$'!$F4033*0.16</f>
        <v>48627.768</v>
      </c>
      <c r="H4033" s="160">
        <f t="shared" si="122"/>
        <v>352551.318</v>
      </c>
      <c r="I4033" s="160"/>
      <c r="J4033" s="161"/>
      <c r="K4033" s="160"/>
      <c r="L4033" s="160">
        <f>+'FACP$'!$H4033-'FACP$'!$I4033-'FACP$'!$K4033</f>
        <v>352551.318</v>
      </c>
      <c r="M4033" s="162" t="s">
        <v>151</v>
      </c>
      <c r="N4033" s="162" t="s">
        <v>554</v>
      </c>
      <c r="O4033" s="164">
        <v>45128.0</v>
      </c>
      <c r="P4033" s="164">
        <f t="array" ref="P4033">XLOOKUP('FACP$'!$B4033,'perfil de pagos'!$A$4:$A$46,'perfil de pagos'!$B$4:$B$46+'FACP$'!$D4033)</f>
        <v>45137</v>
      </c>
      <c r="Q4033" s="165">
        <f t="shared" si="2"/>
        <v>0</v>
      </c>
      <c r="R4033" s="167"/>
      <c r="S4033" s="167">
        <v>2308.0</v>
      </c>
      <c r="T4033" s="168">
        <f t="shared" si="3"/>
        <v>352551.318</v>
      </c>
      <c r="U4033" s="168">
        <f t="shared" si="4"/>
        <v>0</v>
      </c>
      <c r="V4033" s="168">
        <f t="shared" si="5"/>
        <v>0</v>
      </c>
      <c r="W4033" s="168">
        <f t="shared" si="6"/>
        <v>0</v>
      </c>
      <c r="X4033" s="168">
        <f t="shared" si="7"/>
        <v>0</v>
      </c>
      <c r="Y4033" s="168">
        <f t="shared" si="8"/>
        <v>0</v>
      </c>
      <c r="Z4033" s="168">
        <f t="shared" si="9"/>
        <v>0</v>
      </c>
    </row>
    <row r="4034" ht="15.0" customHeight="1">
      <c r="A4034" s="157" t="s">
        <v>5097</v>
      </c>
      <c r="B4034" s="158" t="s">
        <v>27</v>
      </c>
      <c r="C4034" s="158" t="s">
        <v>5095</v>
      </c>
      <c r="D4034" s="159">
        <v>45107.0</v>
      </c>
      <c r="E4034" s="157" t="s">
        <v>731</v>
      </c>
      <c r="F4034" s="160">
        <v>214464.87</v>
      </c>
      <c r="G4034" s="160">
        <f>'FACP$'!$F4034*0.16</f>
        <v>34314.3792</v>
      </c>
      <c r="H4034" s="160">
        <f t="shared" si="122"/>
        <v>248779.2492</v>
      </c>
      <c r="I4034" s="160"/>
      <c r="J4034" s="161"/>
      <c r="K4034" s="160"/>
      <c r="L4034" s="160">
        <f>+'FACP$'!$H4034-'FACP$'!$I4034-'FACP$'!$K4034</f>
        <v>248779.2492</v>
      </c>
      <c r="M4034" s="162" t="s">
        <v>151</v>
      </c>
      <c r="N4034" s="162" t="s">
        <v>554</v>
      </c>
      <c r="O4034" s="164">
        <v>45133.0</v>
      </c>
      <c r="P4034" s="164">
        <f t="array" ref="P4034">XLOOKUP('FACP$'!$B4034,'perfil de pagos'!$A$4:$A$46,'perfil de pagos'!$B$4:$B$46+'FACP$'!$D4034)</f>
        <v>45137</v>
      </c>
      <c r="Q4034" s="165">
        <f t="shared" si="2"/>
        <v>0</v>
      </c>
      <c r="R4034" s="167"/>
      <c r="S4034" s="167">
        <v>2321.0</v>
      </c>
      <c r="T4034" s="168">
        <f t="shared" si="3"/>
        <v>248779.2492</v>
      </c>
      <c r="U4034" s="168">
        <f t="shared" si="4"/>
        <v>0</v>
      </c>
      <c r="V4034" s="168">
        <f t="shared" si="5"/>
        <v>0</v>
      </c>
      <c r="W4034" s="168">
        <f t="shared" si="6"/>
        <v>0</v>
      </c>
      <c r="X4034" s="168">
        <f t="shared" si="7"/>
        <v>0</v>
      </c>
      <c r="Y4034" s="168">
        <f t="shared" si="8"/>
        <v>0</v>
      </c>
      <c r="Z4034" s="168">
        <f t="shared" si="9"/>
        <v>0</v>
      </c>
    </row>
    <row r="4035" ht="15.0" customHeight="1">
      <c r="A4035" s="157" t="s">
        <v>5098</v>
      </c>
      <c r="B4035" s="158" t="s">
        <v>27</v>
      </c>
      <c r="C4035" s="158" t="s">
        <v>5099</v>
      </c>
      <c r="D4035" s="159">
        <v>45107.0</v>
      </c>
      <c r="E4035" s="157" t="s">
        <v>731</v>
      </c>
      <c r="F4035" s="160">
        <v>10680.31</v>
      </c>
      <c r="G4035" s="160">
        <f>'FACP$'!$F4035*0.16</f>
        <v>1708.8496</v>
      </c>
      <c r="H4035" s="160">
        <f t="shared" si="122"/>
        <v>12389.1596</v>
      </c>
      <c r="I4035" s="160"/>
      <c r="J4035" s="161"/>
      <c r="K4035" s="160"/>
      <c r="L4035" s="160">
        <f>+'FACP$'!$H4035-'FACP$'!$I4035-'FACP$'!$K4035</f>
        <v>12389.1596</v>
      </c>
      <c r="M4035" s="162" t="s">
        <v>151</v>
      </c>
      <c r="N4035" s="162" t="s">
        <v>554</v>
      </c>
      <c r="O4035" s="164">
        <v>45128.0</v>
      </c>
      <c r="P4035" s="164">
        <f t="array" ref="P4035">XLOOKUP('FACP$'!$B4035,'perfil de pagos'!$A$4:$A$46,'perfil de pagos'!$B$4:$B$46+'FACP$'!$D4035)</f>
        <v>45137</v>
      </c>
      <c r="Q4035" s="165">
        <f t="shared" si="2"/>
        <v>0</v>
      </c>
      <c r="R4035" s="167"/>
      <c r="S4035" s="167">
        <v>2308.0</v>
      </c>
      <c r="T4035" s="168">
        <f t="shared" si="3"/>
        <v>12389.1596</v>
      </c>
      <c r="U4035" s="168">
        <f t="shared" si="4"/>
        <v>0</v>
      </c>
      <c r="V4035" s="168">
        <f t="shared" si="5"/>
        <v>0</v>
      </c>
      <c r="W4035" s="168">
        <f t="shared" si="6"/>
        <v>0</v>
      </c>
      <c r="X4035" s="168">
        <f t="shared" si="7"/>
        <v>0</v>
      </c>
      <c r="Y4035" s="168">
        <f t="shared" si="8"/>
        <v>0</v>
      </c>
      <c r="Z4035" s="168">
        <f t="shared" si="9"/>
        <v>0</v>
      </c>
    </row>
    <row r="4036" ht="15.0" customHeight="1">
      <c r="A4036" s="157" t="s">
        <v>5100</v>
      </c>
      <c r="B4036" s="158" t="s">
        <v>27</v>
      </c>
      <c r="C4036" s="158" t="s">
        <v>5101</v>
      </c>
      <c r="D4036" s="159">
        <v>45107.0</v>
      </c>
      <c r="E4036" s="157" t="s">
        <v>731</v>
      </c>
      <c r="F4036" s="160">
        <v>12616.85</v>
      </c>
      <c r="G4036" s="160">
        <f>'FACP$'!$F4036*0.16</f>
        <v>2018.696</v>
      </c>
      <c r="H4036" s="160">
        <f t="shared" si="122"/>
        <v>14635.546</v>
      </c>
      <c r="I4036" s="160"/>
      <c r="J4036" s="161"/>
      <c r="K4036" s="160"/>
      <c r="L4036" s="160">
        <f>+'FACP$'!$H4036-'FACP$'!$I4036-'FACP$'!$K4036</f>
        <v>14635.546</v>
      </c>
      <c r="M4036" s="162" t="s">
        <v>151</v>
      </c>
      <c r="N4036" s="162" t="s">
        <v>554</v>
      </c>
      <c r="O4036" s="164">
        <v>45133.0</v>
      </c>
      <c r="P4036" s="164">
        <f t="array" ref="P4036">XLOOKUP('FACP$'!$B4036,'perfil de pagos'!$A$4:$A$46,'perfil de pagos'!$B$4:$B$46+'FACP$'!$D4036)</f>
        <v>45137</v>
      </c>
      <c r="Q4036" s="165">
        <f t="shared" si="2"/>
        <v>0</v>
      </c>
      <c r="R4036" s="167"/>
      <c r="S4036" s="167">
        <v>2321.0</v>
      </c>
      <c r="T4036" s="168">
        <f t="shared" si="3"/>
        <v>14635.546</v>
      </c>
      <c r="U4036" s="168">
        <f t="shared" si="4"/>
        <v>0</v>
      </c>
      <c r="V4036" s="168">
        <f t="shared" si="5"/>
        <v>0</v>
      </c>
      <c r="W4036" s="168">
        <f t="shared" si="6"/>
        <v>0</v>
      </c>
      <c r="X4036" s="168">
        <f t="shared" si="7"/>
        <v>0</v>
      </c>
      <c r="Y4036" s="168">
        <f t="shared" si="8"/>
        <v>0</v>
      </c>
      <c r="Z4036" s="168">
        <f t="shared" si="9"/>
        <v>0</v>
      </c>
    </row>
    <row r="4037" ht="15.0" customHeight="1">
      <c r="A4037" s="157" t="s">
        <v>5102</v>
      </c>
      <c r="B4037" s="158" t="s">
        <v>15</v>
      </c>
      <c r="C4037" s="158" t="s">
        <v>5103</v>
      </c>
      <c r="D4037" s="159">
        <v>45111.0</v>
      </c>
      <c r="E4037" s="157" t="s">
        <v>731</v>
      </c>
      <c r="F4037" s="160">
        <v>225928.33</v>
      </c>
      <c r="G4037" s="160">
        <f>'FACP$'!$F4037*0.16</f>
        <v>36148.5328</v>
      </c>
      <c r="H4037" s="160">
        <f t="shared" si="122"/>
        <v>262076.8628</v>
      </c>
      <c r="I4037" s="160"/>
      <c r="J4037" s="161"/>
      <c r="K4037" s="160"/>
      <c r="L4037" s="160">
        <f>+'FACP$'!$H4037-'FACP$'!$I4037-'FACP$'!$K4037</f>
        <v>262076.8628</v>
      </c>
      <c r="M4037" s="162" t="s">
        <v>443</v>
      </c>
      <c r="N4037" s="162" t="s">
        <v>554</v>
      </c>
      <c r="O4037" s="164">
        <v>45132.0</v>
      </c>
      <c r="P4037" s="164">
        <f t="array" ref="P4037">XLOOKUP('FACP$'!$B4037,'perfil de pagos'!$A$4:$A$46,'perfil de pagos'!$B$4:$B$46+'FACP$'!$D4037)</f>
        <v>45121</v>
      </c>
      <c r="Q4037" s="165">
        <f t="shared" si="2"/>
        <v>0</v>
      </c>
      <c r="R4037" s="167"/>
      <c r="S4037" s="167">
        <v>2318.0</v>
      </c>
      <c r="T4037" s="168">
        <f t="shared" si="3"/>
        <v>262076.8628</v>
      </c>
      <c r="U4037" s="168">
        <f t="shared" si="4"/>
        <v>0</v>
      </c>
      <c r="V4037" s="168">
        <f t="shared" si="5"/>
        <v>0</v>
      </c>
      <c r="W4037" s="168">
        <f t="shared" si="6"/>
        <v>0</v>
      </c>
      <c r="X4037" s="168">
        <f t="shared" si="7"/>
        <v>0</v>
      </c>
      <c r="Y4037" s="168">
        <f t="shared" si="8"/>
        <v>0</v>
      </c>
      <c r="Z4037" s="168">
        <f t="shared" si="9"/>
        <v>0</v>
      </c>
    </row>
    <row r="4038" ht="15.0" customHeight="1">
      <c r="A4038" s="157" t="s">
        <v>5104</v>
      </c>
      <c r="B4038" s="158" t="s">
        <v>35</v>
      </c>
      <c r="C4038" s="158" t="s">
        <v>5103</v>
      </c>
      <c r="D4038" s="159">
        <v>45111.0</v>
      </c>
      <c r="E4038" s="157" t="s">
        <v>731</v>
      </c>
      <c r="F4038" s="160">
        <v>155300.89</v>
      </c>
      <c r="G4038" s="160">
        <f>'FACP$'!$F4038*0.16</f>
        <v>24848.1424</v>
      </c>
      <c r="H4038" s="160">
        <f t="shared" si="122"/>
        <v>180149.0324</v>
      </c>
      <c r="I4038" s="160">
        <v>170978.41</v>
      </c>
      <c r="J4038" s="161"/>
      <c r="K4038" s="160"/>
      <c r="L4038" s="160">
        <f>+'FACP$'!$H4038-'FACP$'!$I4038-'FACP$'!$K4038</f>
        <v>9170.6224</v>
      </c>
      <c r="M4038" s="162" t="s">
        <v>276</v>
      </c>
      <c r="N4038" s="162" t="s">
        <v>554</v>
      </c>
      <c r="O4038" s="164">
        <v>45247.0</v>
      </c>
      <c r="P4038" s="164">
        <f t="array" ref="P4038">XLOOKUP('FACP$'!$B4038,'perfil de pagos'!$A$4:$A$46,'perfil de pagos'!$B$4:$B$46+'FACP$'!$D4038)</f>
        <v>45121</v>
      </c>
      <c r="Q4038" s="165">
        <f t="shared" si="2"/>
        <v>0</v>
      </c>
      <c r="R4038" s="167" t="s">
        <v>5105</v>
      </c>
      <c r="S4038" s="167" t="s">
        <v>5106</v>
      </c>
      <c r="T4038" s="168">
        <f t="shared" si="3"/>
        <v>9170.6224</v>
      </c>
      <c r="U4038" s="168">
        <f t="shared" si="4"/>
        <v>0</v>
      </c>
      <c r="V4038" s="168">
        <f t="shared" si="5"/>
        <v>0</v>
      </c>
      <c r="W4038" s="168">
        <f t="shared" si="6"/>
        <v>0</v>
      </c>
      <c r="X4038" s="168">
        <f t="shared" si="7"/>
        <v>0</v>
      </c>
      <c r="Y4038" s="168">
        <f t="shared" si="8"/>
        <v>0</v>
      </c>
      <c r="Z4038" s="168">
        <f t="shared" si="9"/>
        <v>0</v>
      </c>
    </row>
    <row r="4039" ht="15.0" customHeight="1">
      <c r="A4039" s="157" t="s">
        <v>5107</v>
      </c>
      <c r="B4039" s="158" t="s">
        <v>36</v>
      </c>
      <c r="C4039" s="158" t="s">
        <v>5103</v>
      </c>
      <c r="D4039" s="159">
        <v>45111.0</v>
      </c>
      <c r="E4039" s="157" t="s">
        <v>731</v>
      </c>
      <c r="F4039" s="160">
        <v>91140.35</v>
      </c>
      <c r="G4039" s="160">
        <f>'FACP$'!$F4039*0.16</f>
        <v>14582.456</v>
      </c>
      <c r="H4039" s="160">
        <f t="shared" si="122"/>
        <v>105722.806</v>
      </c>
      <c r="I4039" s="160"/>
      <c r="J4039" s="161"/>
      <c r="K4039" s="160"/>
      <c r="L4039" s="160">
        <f>+'FACP$'!$H4039-'FACP$'!$I4039-'FACP$'!$K4039</f>
        <v>105722.806</v>
      </c>
      <c r="M4039" s="162" t="s">
        <v>278</v>
      </c>
      <c r="N4039" s="162" t="s">
        <v>554</v>
      </c>
      <c r="O4039" s="164">
        <v>45114.0</v>
      </c>
      <c r="P4039" s="164">
        <f t="array" ref="P4039">XLOOKUP('FACP$'!$B4039,'perfil de pagos'!$A$4:$A$46,'perfil de pagos'!$B$4:$B$46+'FACP$'!$D4039)</f>
        <v>45121</v>
      </c>
      <c r="Q4039" s="165">
        <f t="shared" si="2"/>
        <v>0</v>
      </c>
      <c r="R4039" s="167"/>
      <c r="S4039" s="167">
        <v>2253.0</v>
      </c>
      <c r="T4039" s="168">
        <f t="shared" si="3"/>
        <v>105722.806</v>
      </c>
      <c r="U4039" s="168">
        <f t="shared" si="4"/>
        <v>0</v>
      </c>
      <c r="V4039" s="168">
        <f t="shared" si="5"/>
        <v>0</v>
      </c>
      <c r="W4039" s="168">
        <f t="shared" si="6"/>
        <v>0</v>
      </c>
      <c r="X4039" s="168">
        <f t="shared" si="7"/>
        <v>0</v>
      </c>
      <c r="Y4039" s="168">
        <f t="shared" si="8"/>
        <v>0</v>
      </c>
      <c r="Z4039" s="168">
        <f t="shared" si="9"/>
        <v>0</v>
      </c>
    </row>
    <row r="4040" ht="15.0" customHeight="1">
      <c r="A4040" s="157" t="s">
        <v>5108</v>
      </c>
      <c r="B4040" s="158" t="s">
        <v>36</v>
      </c>
      <c r="C4040" s="158" t="s">
        <v>5109</v>
      </c>
      <c r="D4040" s="159">
        <v>45111.0</v>
      </c>
      <c r="E4040" s="157" t="s">
        <v>731</v>
      </c>
      <c r="F4040" s="160">
        <v>78730.32</v>
      </c>
      <c r="G4040" s="160">
        <f>'FACP$'!$F4040*0.16</f>
        <v>12596.8512</v>
      </c>
      <c r="H4040" s="160">
        <f t="shared" si="122"/>
        <v>91327.1712</v>
      </c>
      <c r="I4040" s="160"/>
      <c r="J4040" s="161"/>
      <c r="K4040" s="160"/>
      <c r="L4040" s="160">
        <f>+'FACP$'!$H4040-'FACP$'!$I4040-'FACP$'!$K4040</f>
        <v>91327.1712</v>
      </c>
      <c r="M4040" s="162" t="s">
        <v>278</v>
      </c>
      <c r="N4040" s="162" t="s">
        <v>554</v>
      </c>
      <c r="O4040" s="164">
        <v>45114.0</v>
      </c>
      <c r="P4040" s="164">
        <f t="array" ref="P4040">XLOOKUP('FACP$'!$B4040,'perfil de pagos'!$A$4:$A$46,'perfil de pagos'!$B$4:$B$46+'FACP$'!$D4040)</f>
        <v>45121</v>
      </c>
      <c r="Q4040" s="165">
        <f t="shared" si="2"/>
        <v>0</v>
      </c>
      <c r="R4040" s="167"/>
      <c r="S4040" s="167">
        <v>2252.0</v>
      </c>
      <c r="T4040" s="168">
        <f t="shared" si="3"/>
        <v>91327.1712</v>
      </c>
      <c r="U4040" s="168">
        <f t="shared" si="4"/>
        <v>0</v>
      </c>
      <c r="V4040" s="168">
        <f t="shared" si="5"/>
        <v>0</v>
      </c>
      <c r="W4040" s="168">
        <f t="shared" si="6"/>
        <v>0</v>
      </c>
      <c r="X4040" s="168">
        <f t="shared" si="7"/>
        <v>0</v>
      </c>
      <c r="Y4040" s="168">
        <f t="shared" si="8"/>
        <v>0</v>
      </c>
      <c r="Z4040" s="168">
        <f t="shared" si="9"/>
        <v>0</v>
      </c>
    </row>
    <row r="4041" ht="15.0" customHeight="1">
      <c r="A4041" s="157" t="s">
        <v>5110</v>
      </c>
      <c r="B4041" s="158" t="s">
        <v>38</v>
      </c>
      <c r="C4041" s="158" t="s">
        <v>5103</v>
      </c>
      <c r="D4041" s="159">
        <v>45111.0</v>
      </c>
      <c r="E4041" s="157" t="s">
        <v>731</v>
      </c>
      <c r="F4041" s="160">
        <v>101728.77</v>
      </c>
      <c r="G4041" s="160">
        <f>'FACP$'!$F4041*0.16</f>
        <v>16276.6032</v>
      </c>
      <c r="H4041" s="160">
        <f t="shared" si="122"/>
        <v>118005.3732</v>
      </c>
      <c r="I4041" s="160"/>
      <c r="J4041" s="161"/>
      <c r="K4041" s="160"/>
      <c r="L4041" s="160">
        <f>+'FACP$'!$H4041-'FACP$'!$I4041-'FACP$'!$K4041</f>
        <v>118005.3732</v>
      </c>
      <c r="M4041" s="162" t="s">
        <v>4707</v>
      </c>
      <c r="N4041" s="162" t="s">
        <v>554</v>
      </c>
      <c r="O4041" s="164">
        <v>45141.0</v>
      </c>
      <c r="P4041" s="164">
        <f t="array" ref="P4041">XLOOKUP('FACP$'!$B4041,'perfil de pagos'!$A$4:$A$46,'perfil de pagos'!$B$4:$B$46+'FACP$'!$D4041)</f>
        <v>45141</v>
      </c>
      <c r="Q4041" s="165">
        <f t="shared" si="2"/>
        <v>0</v>
      </c>
      <c r="R4041" s="167"/>
      <c r="S4041" s="167"/>
      <c r="T4041" s="168">
        <f t="shared" si="3"/>
        <v>118005.3732</v>
      </c>
      <c r="U4041" s="168">
        <f t="shared" si="4"/>
        <v>0</v>
      </c>
      <c r="V4041" s="168">
        <f t="shared" si="5"/>
        <v>0</v>
      </c>
      <c r="W4041" s="168">
        <f t="shared" si="6"/>
        <v>0</v>
      </c>
      <c r="X4041" s="168">
        <f t="shared" si="7"/>
        <v>0</v>
      </c>
      <c r="Y4041" s="168">
        <f t="shared" si="8"/>
        <v>0</v>
      </c>
      <c r="Z4041" s="168">
        <f t="shared" si="9"/>
        <v>0</v>
      </c>
    </row>
    <row r="4042" ht="15.0" customHeight="1">
      <c r="A4042" s="157" t="s">
        <v>5111</v>
      </c>
      <c r="B4042" s="158" t="s">
        <v>38</v>
      </c>
      <c r="C4042" s="158" t="s">
        <v>5109</v>
      </c>
      <c r="D4042" s="159">
        <v>45111.0</v>
      </c>
      <c r="E4042" s="157" t="s">
        <v>731</v>
      </c>
      <c r="F4042" s="160">
        <v>174911.28</v>
      </c>
      <c r="G4042" s="160">
        <f>'FACP$'!$F4042*0.16</f>
        <v>27985.8048</v>
      </c>
      <c r="H4042" s="160">
        <f t="shared" si="122"/>
        <v>202897.0848</v>
      </c>
      <c r="I4042" s="160"/>
      <c r="J4042" s="161"/>
      <c r="K4042" s="160"/>
      <c r="L4042" s="160">
        <f>+'FACP$'!$H4042-'FACP$'!$I4042-'FACP$'!$K4042</f>
        <v>202897.0848</v>
      </c>
      <c r="M4042" s="162" t="s">
        <v>4707</v>
      </c>
      <c r="N4042" s="162" t="s">
        <v>554</v>
      </c>
      <c r="O4042" s="164">
        <v>45141.0</v>
      </c>
      <c r="P4042" s="164">
        <f t="array" ref="P4042">XLOOKUP('FACP$'!$B4042,'perfil de pagos'!$A$4:$A$46,'perfil de pagos'!$B$4:$B$46+'FACP$'!$D4042)</f>
        <v>45141</v>
      </c>
      <c r="Q4042" s="165">
        <f t="shared" si="2"/>
        <v>0</v>
      </c>
      <c r="R4042" s="167"/>
      <c r="S4042" s="167"/>
      <c r="T4042" s="168">
        <f t="shared" si="3"/>
        <v>202897.0848</v>
      </c>
      <c r="U4042" s="168">
        <f t="shared" si="4"/>
        <v>0</v>
      </c>
      <c r="V4042" s="168">
        <f t="shared" si="5"/>
        <v>0</v>
      </c>
      <c r="W4042" s="168">
        <f t="shared" si="6"/>
        <v>0</v>
      </c>
      <c r="X4042" s="168">
        <f t="shared" si="7"/>
        <v>0</v>
      </c>
      <c r="Y4042" s="168">
        <f t="shared" si="8"/>
        <v>0</v>
      </c>
      <c r="Z4042" s="168">
        <f t="shared" si="9"/>
        <v>0</v>
      </c>
    </row>
    <row r="4043" ht="15.0" customHeight="1">
      <c r="A4043" s="157" t="s">
        <v>5112</v>
      </c>
      <c r="B4043" s="158" t="s">
        <v>38</v>
      </c>
      <c r="C4043" s="158" t="s">
        <v>5103</v>
      </c>
      <c r="D4043" s="159">
        <v>45111.0</v>
      </c>
      <c r="E4043" s="157" t="s">
        <v>731</v>
      </c>
      <c r="F4043" s="160">
        <v>234990.52</v>
      </c>
      <c r="G4043" s="160">
        <f>'FACP$'!$F4043*0.16</f>
        <v>37598.4832</v>
      </c>
      <c r="H4043" s="160">
        <f t="shared" si="122"/>
        <v>272589.0032</v>
      </c>
      <c r="I4043" s="160"/>
      <c r="J4043" s="161"/>
      <c r="K4043" s="160"/>
      <c r="L4043" s="160">
        <f>+'FACP$'!$H4043-'FACP$'!$I4043-'FACP$'!$K4043</f>
        <v>272589.0032</v>
      </c>
      <c r="M4043" s="162" t="s">
        <v>4654</v>
      </c>
      <c r="N4043" s="162" t="s">
        <v>554</v>
      </c>
      <c r="O4043" s="164">
        <v>45141.0</v>
      </c>
      <c r="P4043" s="164">
        <f t="array" ref="P4043">XLOOKUP('FACP$'!$B4043,'perfil de pagos'!$A$4:$A$46,'perfil de pagos'!$B$4:$B$46+'FACP$'!$D4043)</f>
        <v>45141</v>
      </c>
      <c r="Q4043" s="165">
        <f t="shared" si="2"/>
        <v>0</v>
      </c>
      <c r="R4043" s="167"/>
      <c r="S4043" s="167"/>
      <c r="T4043" s="168">
        <f t="shared" si="3"/>
        <v>272589.0032</v>
      </c>
      <c r="U4043" s="168">
        <f t="shared" si="4"/>
        <v>0</v>
      </c>
      <c r="V4043" s="168">
        <f t="shared" si="5"/>
        <v>0</v>
      </c>
      <c r="W4043" s="168">
        <f t="shared" si="6"/>
        <v>0</v>
      </c>
      <c r="X4043" s="168">
        <f t="shared" si="7"/>
        <v>0</v>
      </c>
      <c r="Y4043" s="168">
        <f t="shared" si="8"/>
        <v>0</v>
      </c>
      <c r="Z4043" s="168">
        <f t="shared" si="9"/>
        <v>0</v>
      </c>
    </row>
    <row r="4044" ht="15.0" customHeight="1">
      <c r="A4044" s="157" t="s">
        <v>5113</v>
      </c>
      <c r="B4044" s="158" t="s">
        <v>41</v>
      </c>
      <c r="C4044" s="158" t="s">
        <v>5103</v>
      </c>
      <c r="D4044" s="159">
        <v>45111.0</v>
      </c>
      <c r="E4044" s="157" t="s">
        <v>731</v>
      </c>
      <c r="F4044" s="160">
        <v>274384.82</v>
      </c>
      <c r="G4044" s="160">
        <f>'FACP$'!$F4044*0.16</f>
        <v>43901.5712</v>
      </c>
      <c r="H4044" s="160">
        <f t="shared" si="122"/>
        <v>318286.3912</v>
      </c>
      <c r="I4044" s="160"/>
      <c r="J4044" s="161"/>
      <c r="K4044" s="160"/>
      <c r="L4044" s="160">
        <f>+'FACP$'!$H4044-'FACP$'!$I4044-'FACP$'!$K4044</f>
        <v>318286.3912</v>
      </c>
      <c r="M4044" s="162" t="s">
        <v>121</v>
      </c>
      <c r="N4044" s="162" t="s">
        <v>554</v>
      </c>
      <c r="O4044" s="164">
        <v>45135.0</v>
      </c>
      <c r="P4044" s="164">
        <f t="array" ref="P4044">XLOOKUP('FACP$'!$B4044,'perfil de pagos'!$A$4:$A$46,'perfil de pagos'!$B$4:$B$46+'FACP$'!$D4044)</f>
        <v>45121</v>
      </c>
      <c r="Q4044" s="165">
        <f t="shared" si="2"/>
        <v>0</v>
      </c>
      <c r="R4044" s="167"/>
      <c r="S4044" s="167">
        <v>2327.0</v>
      </c>
      <c r="T4044" s="168">
        <f t="shared" si="3"/>
        <v>318286.3912</v>
      </c>
      <c r="U4044" s="168">
        <f t="shared" si="4"/>
        <v>0</v>
      </c>
      <c r="V4044" s="168">
        <f t="shared" si="5"/>
        <v>0</v>
      </c>
      <c r="W4044" s="168">
        <f t="shared" si="6"/>
        <v>0</v>
      </c>
      <c r="X4044" s="168">
        <f t="shared" si="7"/>
        <v>0</v>
      </c>
      <c r="Y4044" s="168">
        <f t="shared" si="8"/>
        <v>0</v>
      </c>
      <c r="Z4044" s="168">
        <f t="shared" si="9"/>
        <v>0</v>
      </c>
    </row>
    <row r="4045" ht="15.0" customHeight="1">
      <c r="A4045" s="157" t="s">
        <v>5114</v>
      </c>
      <c r="B4045" s="158" t="s">
        <v>42</v>
      </c>
      <c r="C4045" s="158" t="s">
        <v>5103</v>
      </c>
      <c r="D4045" s="159">
        <v>45111.0</v>
      </c>
      <c r="E4045" s="157" t="s">
        <v>731</v>
      </c>
      <c r="F4045" s="160">
        <v>56991.85</v>
      </c>
      <c r="G4045" s="160">
        <f>'FACP$'!$F4045*0.16</f>
        <v>9118.696</v>
      </c>
      <c r="H4045" s="160">
        <f t="shared" si="122"/>
        <v>66110.546</v>
      </c>
      <c r="I4045" s="160"/>
      <c r="J4045" s="161"/>
      <c r="K4045" s="160"/>
      <c r="L4045" s="160">
        <f>+'FACP$'!$H4045-'FACP$'!$I4045-'FACP$'!$K4045</f>
        <v>66110.546</v>
      </c>
      <c r="M4045" s="162" t="s">
        <v>42</v>
      </c>
      <c r="N4045" s="162" t="s">
        <v>554</v>
      </c>
      <c r="O4045" s="164">
        <v>45120.0</v>
      </c>
      <c r="P4045" s="164">
        <f t="array" ref="P4045">XLOOKUP('FACP$'!$B4045,'perfil de pagos'!$A$4:$A$46,'perfil de pagos'!$B$4:$B$46+'FACP$'!$D4045)</f>
        <v>45121</v>
      </c>
      <c r="Q4045" s="165">
        <f t="shared" si="2"/>
        <v>0</v>
      </c>
      <c r="R4045" s="167"/>
      <c r="S4045" s="167">
        <v>2265.0</v>
      </c>
      <c r="T4045" s="168">
        <f t="shared" si="3"/>
        <v>66110.546</v>
      </c>
      <c r="U4045" s="168">
        <f t="shared" si="4"/>
        <v>0</v>
      </c>
      <c r="V4045" s="168">
        <f t="shared" si="5"/>
        <v>0</v>
      </c>
      <c r="W4045" s="168">
        <f t="shared" si="6"/>
        <v>0</v>
      </c>
      <c r="X4045" s="168">
        <f t="shared" si="7"/>
        <v>0</v>
      </c>
      <c r="Y4045" s="168">
        <f t="shared" si="8"/>
        <v>0</v>
      </c>
      <c r="Z4045" s="168">
        <f t="shared" si="9"/>
        <v>0</v>
      </c>
    </row>
    <row r="4046" ht="15.0" customHeight="1">
      <c r="A4046" s="157" t="s">
        <v>5115</v>
      </c>
      <c r="B4046" s="158" t="s">
        <v>43</v>
      </c>
      <c r="C4046" s="158" t="s">
        <v>5103</v>
      </c>
      <c r="D4046" s="159">
        <v>45111.0</v>
      </c>
      <c r="E4046" s="157" t="s">
        <v>731</v>
      </c>
      <c r="F4046" s="160">
        <v>225447.99</v>
      </c>
      <c r="G4046" s="160">
        <f>'FACP$'!$F4046*0.16</f>
        <v>36071.6784</v>
      </c>
      <c r="H4046" s="160">
        <f t="shared" si="122"/>
        <v>261519.6684</v>
      </c>
      <c r="I4046" s="160"/>
      <c r="J4046" s="161"/>
      <c r="K4046" s="160"/>
      <c r="L4046" s="160">
        <f>+'FACP$'!$H4046-'FACP$'!$I4046-'FACP$'!$K4046</f>
        <v>261519.6684</v>
      </c>
      <c r="M4046" s="162" t="s">
        <v>43</v>
      </c>
      <c r="N4046" s="162" t="s">
        <v>554</v>
      </c>
      <c r="O4046" s="164">
        <v>45177.0</v>
      </c>
      <c r="P4046" s="164">
        <f t="array" ref="P4046">XLOOKUP('FACP$'!$B4046,'perfil de pagos'!$A$4:$A$46,'perfil de pagos'!$B$4:$B$46+'FACP$'!$D4046)</f>
        <v>45136</v>
      </c>
      <c r="Q4046" s="165">
        <f t="shared" si="2"/>
        <v>0</v>
      </c>
      <c r="R4046" s="167"/>
      <c r="S4046" s="167">
        <v>2407.0</v>
      </c>
      <c r="T4046" s="168">
        <f t="shared" si="3"/>
        <v>261519.6684</v>
      </c>
      <c r="U4046" s="168">
        <f t="shared" si="4"/>
        <v>0</v>
      </c>
      <c r="V4046" s="168">
        <f t="shared" si="5"/>
        <v>0</v>
      </c>
      <c r="W4046" s="168">
        <f t="shared" si="6"/>
        <v>0</v>
      </c>
      <c r="X4046" s="168">
        <f t="shared" si="7"/>
        <v>0</v>
      </c>
      <c r="Y4046" s="168">
        <f t="shared" si="8"/>
        <v>0</v>
      </c>
      <c r="Z4046" s="168">
        <f t="shared" si="9"/>
        <v>0</v>
      </c>
    </row>
    <row r="4047" ht="15.0" customHeight="1">
      <c r="A4047" s="157" t="s">
        <v>5116</v>
      </c>
      <c r="B4047" s="158" t="s">
        <v>44</v>
      </c>
      <c r="C4047" s="158" t="s">
        <v>5103</v>
      </c>
      <c r="D4047" s="159">
        <v>45111.0</v>
      </c>
      <c r="E4047" s="157" t="s">
        <v>731</v>
      </c>
      <c r="F4047" s="160">
        <v>54280.59</v>
      </c>
      <c r="G4047" s="160">
        <f>'FACP$'!$F4047*0.16</f>
        <v>8684.8944</v>
      </c>
      <c r="H4047" s="160">
        <f t="shared" si="122"/>
        <v>62965.4844</v>
      </c>
      <c r="I4047" s="160"/>
      <c r="J4047" s="161"/>
      <c r="K4047" s="160"/>
      <c r="L4047" s="160">
        <f>+'FACP$'!$H4047-'FACP$'!$I4047-'FACP$'!$K4047</f>
        <v>62965.4844</v>
      </c>
      <c r="M4047" s="162" t="s">
        <v>361</v>
      </c>
      <c r="N4047" s="162" t="s">
        <v>554</v>
      </c>
      <c r="O4047" s="164">
        <v>45128.0</v>
      </c>
      <c r="P4047" s="164">
        <f t="array" ref="P4047">XLOOKUP('FACP$'!$B4047,'perfil de pagos'!$A$4:$A$46,'perfil de pagos'!$B$4:$B$46+'FACP$'!$D4047)</f>
        <v>45121</v>
      </c>
      <c r="Q4047" s="165">
        <f t="shared" si="2"/>
        <v>0</v>
      </c>
      <c r="R4047" s="167"/>
      <c r="S4047" s="167">
        <v>2311.0</v>
      </c>
      <c r="T4047" s="168">
        <f t="shared" si="3"/>
        <v>62965.4844</v>
      </c>
      <c r="U4047" s="168">
        <f t="shared" si="4"/>
        <v>0</v>
      </c>
      <c r="V4047" s="168">
        <f t="shared" si="5"/>
        <v>0</v>
      </c>
      <c r="W4047" s="168">
        <f t="shared" si="6"/>
        <v>0</v>
      </c>
      <c r="X4047" s="168">
        <f t="shared" si="7"/>
        <v>0</v>
      </c>
      <c r="Y4047" s="168">
        <f t="shared" si="8"/>
        <v>0</v>
      </c>
      <c r="Z4047" s="168">
        <f t="shared" si="9"/>
        <v>0</v>
      </c>
    </row>
    <row r="4048" ht="15.0" customHeight="1">
      <c r="A4048" s="157" t="s">
        <v>5117</v>
      </c>
      <c r="B4048" s="158" t="s">
        <v>27</v>
      </c>
      <c r="C4048" s="158" t="s">
        <v>5093</v>
      </c>
      <c r="D4048" s="159">
        <v>45111.0</v>
      </c>
      <c r="E4048" s="157" t="s">
        <v>731</v>
      </c>
      <c r="F4048" s="160">
        <v>7154.28</v>
      </c>
      <c r="G4048" s="160">
        <f>'FACP$'!$F4048*0.16</f>
        <v>1144.6848</v>
      </c>
      <c r="H4048" s="160">
        <f t="shared" si="122"/>
        <v>8298.9648</v>
      </c>
      <c r="I4048" s="160"/>
      <c r="J4048" s="161"/>
      <c r="K4048" s="160"/>
      <c r="L4048" s="160">
        <f>+'FACP$'!$H4048-'FACP$'!$I4048-'FACP$'!$K4048</f>
        <v>8298.9648</v>
      </c>
      <c r="M4048" s="162" t="s">
        <v>158</v>
      </c>
      <c r="N4048" s="162" t="s">
        <v>554</v>
      </c>
      <c r="O4048" s="164">
        <v>45133.0</v>
      </c>
      <c r="P4048" s="164">
        <f t="array" ref="P4048">XLOOKUP('FACP$'!$B4048,'perfil de pagos'!$A$4:$A$46,'perfil de pagos'!$B$4:$B$46+'FACP$'!$D4048)</f>
        <v>45141</v>
      </c>
      <c r="Q4048" s="165">
        <f t="shared" si="2"/>
        <v>0</v>
      </c>
      <c r="R4048" s="167"/>
      <c r="S4048" s="167">
        <v>2320.0</v>
      </c>
      <c r="T4048" s="168">
        <f t="shared" si="3"/>
        <v>8298.9648</v>
      </c>
      <c r="U4048" s="168">
        <f t="shared" si="4"/>
        <v>0</v>
      </c>
      <c r="V4048" s="168">
        <f t="shared" si="5"/>
        <v>0</v>
      </c>
      <c r="W4048" s="168">
        <f t="shared" si="6"/>
        <v>0</v>
      </c>
      <c r="X4048" s="168">
        <f t="shared" si="7"/>
        <v>0</v>
      </c>
      <c r="Y4048" s="168">
        <f t="shared" si="8"/>
        <v>0</v>
      </c>
      <c r="Z4048" s="168">
        <f t="shared" si="9"/>
        <v>0</v>
      </c>
    </row>
    <row r="4049" ht="15.0" customHeight="1">
      <c r="A4049" s="157" t="s">
        <v>5118</v>
      </c>
      <c r="B4049" s="158" t="s">
        <v>27</v>
      </c>
      <c r="C4049" s="158" t="s">
        <v>5095</v>
      </c>
      <c r="D4049" s="159">
        <v>45111.0</v>
      </c>
      <c r="E4049" s="157" t="s">
        <v>731</v>
      </c>
      <c r="F4049" s="160">
        <v>11304.77</v>
      </c>
      <c r="G4049" s="160">
        <f>'FACP$'!$F4049*0.16</f>
        <v>1808.7632</v>
      </c>
      <c r="H4049" s="160">
        <f t="shared" si="122"/>
        <v>13113.5332</v>
      </c>
      <c r="I4049" s="160"/>
      <c r="J4049" s="161"/>
      <c r="K4049" s="160"/>
      <c r="L4049" s="160">
        <f>+'FACP$'!$H4049-'FACP$'!$I4049-'FACP$'!$K4049</f>
        <v>13113.5332</v>
      </c>
      <c r="M4049" s="162" t="s">
        <v>158</v>
      </c>
      <c r="N4049" s="162" t="s">
        <v>554</v>
      </c>
      <c r="O4049" s="164">
        <v>45133.0</v>
      </c>
      <c r="P4049" s="164">
        <f t="array" ref="P4049">XLOOKUP('FACP$'!$B4049,'perfil de pagos'!$A$4:$A$46,'perfil de pagos'!$B$4:$B$46+'FACP$'!$D4049)</f>
        <v>45141</v>
      </c>
      <c r="Q4049" s="165">
        <f t="shared" si="2"/>
        <v>0</v>
      </c>
      <c r="R4049" s="167"/>
      <c r="S4049" s="167">
        <v>2320.0</v>
      </c>
      <c r="T4049" s="168">
        <f t="shared" si="3"/>
        <v>13113.5332</v>
      </c>
      <c r="U4049" s="168">
        <f t="shared" si="4"/>
        <v>0</v>
      </c>
      <c r="V4049" s="168">
        <f t="shared" si="5"/>
        <v>0</v>
      </c>
      <c r="W4049" s="168">
        <f t="shared" si="6"/>
        <v>0</v>
      </c>
      <c r="X4049" s="168">
        <f t="shared" si="7"/>
        <v>0</v>
      </c>
      <c r="Y4049" s="168">
        <f t="shared" si="8"/>
        <v>0</v>
      </c>
      <c r="Z4049" s="168">
        <f t="shared" si="9"/>
        <v>0</v>
      </c>
    </row>
    <row r="4050" ht="15.0" customHeight="1">
      <c r="A4050" s="157" t="s">
        <v>5119</v>
      </c>
      <c r="B4050" s="158" t="s">
        <v>27</v>
      </c>
      <c r="C4050" s="158" t="s">
        <v>5093</v>
      </c>
      <c r="D4050" s="159">
        <v>45111.0</v>
      </c>
      <c r="E4050" s="157" t="s">
        <v>731</v>
      </c>
      <c r="F4050" s="160">
        <v>4997.31</v>
      </c>
      <c r="G4050" s="160">
        <f>'FACP$'!$F4050*0.16</f>
        <v>799.5696</v>
      </c>
      <c r="H4050" s="160">
        <f t="shared" si="122"/>
        <v>5796.8796</v>
      </c>
      <c r="I4050" s="160"/>
      <c r="J4050" s="161"/>
      <c r="K4050" s="160"/>
      <c r="L4050" s="160">
        <f>+'FACP$'!$H4050-'FACP$'!$I4050-'FACP$'!$K4050</f>
        <v>5796.8796</v>
      </c>
      <c r="M4050" s="162" t="s">
        <v>151</v>
      </c>
      <c r="N4050" s="162" t="s">
        <v>554</v>
      </c>
      <c r="O4050" s="164">
        <v>45133.0</v>
      </c>
      <c r="P4050" s="164">
        <f t="array" ref="P4050">XLOOKUP('FACP$'!$B4050,'perfil de pagos'!$A$4:$A$46,'perfil de pagos'!$B$4:$B$46+'FACP$'!$D4050)</f>
        <v>45141</v>
      </c>
      <c r="Q4050" s="165">
        <f t="shared" si="2"/>
        <v>0</v>
      </c>
      <c r="R4050" s="167"/>
      <c r="S4050" s="167">
        <v>2321.0</v>
      </c>
      <c r="T4050" s="168">
        <f t="shared" si="3"/>
        <v>5796.8796</v>
      </c>
      <c r="U4050" s="168">
        <f t="shared" si="4"/>
        <v>0</v>
      </c>
      <c r="V4050" s="168">
        <f t="shared" si="5"/>
        <v>0</v>
      </c>
      <c r="W4050" s="168">
        <f t="shared" si="6"/>
        <v>0</v>
      </c>
      <c r="X4050" s="168">
        <f t="shared" si="7"/>
        <v>0</v>
      </c>
      <c r="Y4050" s="168">
        <f t="shared" si="8"/>
        <v>0</v>
      </c>
      <c r="Z4050" s="168">
        <f t="shared" si="9"/>
        <v>0</v>
      </c>
    </row>
    <row r="4051" ht="15.0" customHeight="1">
      <c r="A4051" s="157" t="s">
        <v>5120</v>
      </c>
      <c r="B4051" s="158" t="s">
        <v>27</v>
      </c>
      <c r="C4051" s="158" t="s">
        <v>5095</v>
      </c>
      <c r="D4051" s="159">
        <v>45111.0</v>
      </c>
      <c r="E4051" s="157" t="s">
        <v>731</v>
      </c>
      <c r="F4051" s="160">
        <v>7273.2</v>
      </c>
      <c r="G4051" s="160">
        <f>'FACP$'!$F4051*0.16</f>
        <v>1163.712</v>
      </c>
      <c r="H4051" s="160">
        <f t="shared" si="122"/>
        <v>8436.912</v>
      </c>
      <c r="I4051" s="160"/>
      <c r="J4051" s="161"/>
      <c r="K4051" s="160"/>
      <c r="L4051" s="160">
        <f>+'FACP$'!$H4051-'FACP$'!$I4051-'FACP$'!$K4051</f>
        <v>8436.912</v>
      </c>
      <c r="M4051" s="162" t="s">
        <v>151</v>
      </c>
      <c r="N4051" s="162" t="s">
        <v>554</v>
      </c>
      <c r="O4051" s="164">
        <v>45133.0</v>
      </c>
      <c r="P4051" s="164">
        <f t="array" ref="P4051">XLOOKUP('FACP$'!$B4051,'perfil de pagos'!$A$4:$A$46,'perfil de pagos'!$B$4:$B$46+'FACP$'!$D4051)</f>
        <v>45141</v>
      </c>
      <c r="Q4051" s="165">
        <f t="shared" si="2"/>
        <v>0</v>
      </c>
      <c r="R4051" s="167"/>
      <c r="S4051" s="167">
        <v>2321.0</v>
      </c>
      <c r="T4051" s="168">
        <f t="shared" si="3"/>
        <v>8436.912</v>
      </c>
      <c r="U4051" s="168">
        <f t="shared" si="4"/>
        <v>0</v>
      </c>
      <c r="V4051" s="168">
        <f t="shared" si="5"/>
        <v>0</v>
      </c>
      <c r="W4051" s="168">
        <f t="shared" si="6"/>
        <v>0</v>
      </c>
      <c r="X4051" s="168">
        <f t="shared" si="7"/>
        <v>0</v>
      </c>
      <c r="Y4051" s="168">
        <f t="shared" si="8"/>
        <v>0</v>
      </c>
      <c r="Z4051" s="168">
        <f t="shared" si="9"/>
        <v>0</v>
      </c>
    </row>
    <row r="4052" ht="15.0" customHeight="1">
      <c r="A4052" s="157" t="s">
        <v>5121</v>
      </c>
      <c r="B4052" s="158" t="s">
        <v>27</v>
      </c>
      <c r="C4052" s="158" t="s">
        <v>5099</v>
      </c>
      <c r="D4052" s="159">
        <v>45111.0</v>
      </c>
      <c r="E4052" s="157" t="s">
        <v>731</v>
      </c>
      <c r="F4052" s="160">
        <v>120.74</v>
      </c>
      <c r="G4052" s="160">
        <f>'FACP$'!$F4052*0.16</f>
        <v>19.3184</v>
      </c>
      <c r="H4052" s="160">
        <f t="shared" si="122"/>
        <v>140.0584</v>
      </c>
      <c r="I4052" s="160"/>
      <c r="J4052" s="161"/>
      <c r="K4052" s="160"/>
      <c r="L4052" s="160">
        <f>+'FACP$'!$H4052-'FACP$'!$I4052-'FACP$'!$K4052</f>
        <v>140.0584</v>
      </c>
      <c r="M4052" s="162" t="s">
        <v>151</v>
      </c>
      <c r="N4052" s="162" t="s">
        <v>554</v>
      </c>
      <c r="O4052" s="164">
        <v>45133.0</v>
      </c>
      <c r="P4052" s="164">
        <f t="array" ref="P4052">XLOOKUP('FACP$'!$B4052,'perfil de pagos'!$A$4:$A$46,'perfil de pagos'!$B$4:$B$46+'FACP$'!$D4052)</f>
        <v>45141</v>
      </c>
      <c r="Q4052" s="165">
        <f t="shared" si="2"/>
        <v>0</v>
      </c>
      <c r="R4052" s="167"/>
      <c r="S4052" s="167">
        <v>2321.0</v>
      </c>
      <c r="T4052" s="168">
        <f t="shared" si="3"/>
        <v>140.0584</v>
      </c>
      <c r="U4052" s="168">
        <f t="shared" si="4"/>
        <v>0</v>
      </c>
      <c r="V4052" s="168">
        <f t="shared" si="5"/>
        <v>0</v>
      </c>
      <c r="W4052" s="168">
        <f t="shared" si="6"/>
        <v>0</v>
      </c>
      <c r="X4052" s="168">
        <f t="shared" si="7"/>
        <v>0</v>
      </c>
      <c r="Y4052" s="168">
        <f t="shared" si="8"/>
        <v>0</v>
      </c>
      <c r="Z4052" s="168">
        <f t="shared" si="9"/>
        <v>0</v>
      </c>
    </row>
    <row r="4053" ht="15.0" customHeight="1">
      <c r="A4053" s="157" t="s">
        <v>5122</v>
      </c>
      <c r="B4053" s="158" t="s">
        <v>27</v>
      </c>
      <c r="C4053" s="158"/>
      <c r="D4053" s="159"/>
      <c r="E4053" s="157"/>
      <c r="F4053" s="160"/>
      <c r="G4053" s="160"/>
      <c r="H4053" s="160"/>
      <c r="I4053" s="160"/>
      <c r="J4053" s="161"/>
      <c r="K4053" s="160"/>
      <c r="L4053" s="160"/>
      <c r="M4053" s="162"/>
      <c r="N4053" s="162" t="s">
        <v>127</v>
      </c>
      <c r="O4053" s="164"/>
      <c r="P4053" s="164">
        <f t="array" ref="P4053">XLOOKUP('FACP$'!$B4053,'perfil de pagos'!$A$4:$A$46,'perfil de pagos'!$B$4:$B$46+'FACP$'!$D4053)</f>
        <v>30</v>
      </c>
      <c r="Q4053" s="165">
        <f t="shared" si="2"/>
        <v>0</v>
      </c>
      <c r="R4053" s="167" t="s">
        <v>448</v>
      </c>
      <c r="S4053" s="167"/>
      <c r="T4053" s="168" t="str">
        <f t="shared" si="3"/>
        <v/>
      </c>
      <c r="U4053" s="168">
        <f t="shared" si="4"/>
        <v>0</v>
      </c>
      <c r="V4053" s="168">
        <f t="shared" si="5"/>
        <v>0</v>
      </c>
      <c r="W4053" s="168">
        <f t="shared" si="6"/>
        <v>0</v>
      </c>
      <c r="X4053" s="168">
        <f t="shared" si="7"/>
        <v>0</v>
      </c>
      <c r="Y4053" s="168">
        <f t="shared" si="8"/>
        <v>0</v>
      </c>
      <c r="Z4053" s="168">
        <f t="shared" si="9"/>
        <v>0</v>
      </c>
    </row>
    <row r="4054" ht="15.0" customHeight="1">
      <c r="A4054" s="157" t="s">
        <v>5123</v>
      </c>
      <c r="B4054" s="158" t="s">
        <v>27</v>
      </c>
      <c r="C4054" s="158" t="s">
        <v>5101</v>
      </c>
      <c r="D4054" s="159">
        <v>45111.0</v>
      </c>
      <c r="E4054" s="157" t="s">
        <v>731</v>
      </c>
      <c r="F4054" s="160">
        <v>210.32</v>
      </c>
      <c r="G4054" s="160">
        <v>33.6512</v>
      </c>
      <c r="H4054" s="160">
        <v>243.9712</v>
      </c>
      <c r="I4054" s="160"/>
      <c r="J4054" s="161"/>
      <c r="K4054" s="160"/>
      <c r="L4054" s="160">
        <v>243.9712</v>
      </c>
      <c r="M4054" s="162" t="s">
        <v>151</v>
      </c>
      <c r="N4054" s="162" t="s">
        <v>554</v>
      </c>
      <c r="O4054" s="164">
        <v>45133.0</v>
      </c>
      <c r="P4054" s="164">
        <f t="array" ref="P4054">XLOOKUP('FACP$'!$B4054,'perfil de pagos'!$A$4:$A$46,'perfil de pagos'!$B$4:$B$46+'FACP$'!$D4054)</f>
        <v>45141</v>
      </c>
      <c r="Q4054" s="165">
        <f t="shared" si="2"/>
        <v>0</v>
      </c>
      <c r="R4054" s="167"/>
      <c r="S4054" s="167">
        <v>2321.0</v>
      </c>
      <c r="T4054" s="168">
        <f t="shared" si="3"/>
        <v>243.9712</v>
      </c>
      <c r="U4054" s="168">
        <f t="shared" si="4"/>
        <v>0</v>
      </c>
      <c r="V4054" s="168">
        <f t="shared" si="5"/>
        <v>0</v>
      </c>
      <c r="W4054" s="168">
        <f t="shared" si="6"/>
        <v>0</v>
      </c>
      <c r="X4054" s="168">
        <f t="shared" si="7"/>
        <v>0</v>
      </c>
      <c r="Y4054" s="168">
        <f t="shared" si="8"/>
        <v>0</v>
      </c>
      <c r="Z4054" s="168">
        <f t="shared" si="9"/>
        <v>0</v>
      </c>
    </row>
    <row r="4055" ht="15.0" customHeight="1">
      <c r="A4055" s="157" t="s">
        <v>5124</v>
      </c>
      <c r="B4055" s="158" t="s">
        <v>16</v>
      </c>
      <c r="C4055" s="158" t="s">
        <v>5103</v>
      </c>
      <c r="D4055" s="159">
        <v>45114.0</v>
      </c>
      <c r="E4055" s="157" t="s">
        <v>731</v>
      </c>
      <c r="F4055" s="160">
        <v>352751.2</v>
      </c>
      <c r="G4055" s="160">
        <f>'FACP$'!$F4055*0.16</f>
        <v>56440.192</v>
      </c>
      <c r="H4055" s="160">
        <f t="shared" ref="H4055:H5568" si="124">F4055+G4055</f>
        <v>409191.392</v>
      </c>
      <c r="I4055" s="160"/>
      <c r="J4055" s="161"/>
      <c r="K4055" s="160"/>
      <c r="L4055" s="160">
        <f>+'FACP$'!$H4055-'FACP$'!$I4055-'FACP$'!$K4055</f>
        <v>409191.392</v>
      </c>
      <c r="M4055" s="162" t="s">
        <v>985</v>
      </c>
      <c r="N4055" s="162" t="s">
        <v>554</v>
      </c>
      <c r="O4055" s="164">
        <v>45121.0</v>
      </c>
      <c r="P4055" s="164">
        <f t="array" ref="P4055">XLOOKUP('FACP$'!$B4055,'perfil de pagos'!$A$4:$A$46,'perfil de pagos'!$B$4:$B$46+'FACP$'!$D4055)</f>
        <v>45124</v>
      </c>
      <c r="Q4055" s="165">
        <f t="shared" si="2"/>
        <v>0</v>
      </c>
      <c r="R4055" s="167"/>
      <c r="S4055" s="167">
        <v>2268.0</v>
      </c>
      <c r="T4055" s="168">
        <f t="shared" si="3"/>
        <v>409191.392</v>
      </c>
      <c r="U4055" s="168">
        <f t="shared" si="4"/>
        <v>0</v>
      </c>
      <c r="V4055" s="168">
        <f t="shared" si="5"/>
        <v>0</v>
      </c>
      <c r="W4055" s="168">
        <f t="shared" si="6"/>
        <v>0</v>
      </c>
      <c r="X4055" s="168">
        <f t="shared" si="7"/>
        <v>0</v>
      </c>
      <c r="Y4055" s="168">
        <f t="shared" si="8"/>
        <v>0</v>
      </c>
      <c r="Z4055" s="168">
        <f t="shared" si="9"/>
        <v>0</v>
      </c>
    </row>
    <row r="4056" ht="15.0" customHeight="1">
      <c r="A4056" s="157" t="s">
        <v>5125</v>
      </c>
      <c r="B4056" s="158" t="s">
        <v>16</v>
      </c>
      <c r="C4056" s="158" t="s">
        <v>5109</v>
      </c>
      <c r="D4056" s="159">
        <v>45114.0</v>
      </c>
      <c r="E4056" s="157" t="s">
        <v>731</v>
      </c>
      <c r="F4056" s="160">
        <v>519718.09</v>
      </c>
      <c r="G4056" s="160">
        <f>'FACP$'!$F4056*0.16</f>
        <v>83154.8944</v>
      </c>
      <c r="H4056" s="160">
        <f t="shared" si="124"/>
        <v>602872.9844</v>
      </c>
      <c r="I4056" s="160"/>
      <c r="J4056" s="161"/>
      <c r="K4056" s="160"/>
      <c r="L4056" s="160">
        <f>+'FACP$'!$H4056-'FACP$'!$I4056-'FACP$'!$K4056</f>
        <v>602872.9844</v>
      </c>
      <c r="M4056" s="162" t="s">
        <v>985</v>
      </c>
      <c r="N4056" s="162" t="s">
        <v>554</v>
      </c>
      <c r="O4056" s="164">
        <v>45121.0</v>
      </c>
      <c r="P4056" s="164">
        <f t="array" ref="P4056">XLOOKUP('FACP$'!$B4056,'perfil de pagos'!$A$4:$A$46,'perfil de pagos'!$B$4:$B$46+'FACP$'!$D4056)</f>
        <v>45124</v>
      </c>
      <c r="Q4056" s="165">
        <f t="shared" si="2"/>
        <v>0</v>
      </c>
      <c r="R4056" s="167"/>
      <c r="S4056" s="167">
        <v>2268.0</v>
      </c>
      <c r="T4056" s="168">
        <f t="shared" si="3"/>
        <v>602872.9844</v>
      </c>
      <c r="U4056" s="168">
        <f t="shared" si="4"/>
        <v>0</v>
      </c>
      <c r="V4056" s="168">
        <f t="shared" si="5"/>
        <v>0</v>
      </c>
      <c r="W4056" s="168">
        <f t="shared" si="6"/>
        <v>0</v>
      </c>
      <c r="X4056" s="168">
        <f t="shared" si="7"/>
        <v>0</v>
      </c>
      <c r="Y4056" s="168">
        <f t="shared" si="8"/>
        <v>0</v>
      </c>
      <c r="Z4056" s="168">
        <f t="shared" si="9"/>
        <v>0</v>
      </c>
    </row>
    <row r="4057" ht="15.0" customHeight="1">
      <c r="A4057" s="157" t="s">
        <v>5126</v>
      </c>
      <c r="B4057" s="158" t="s">
        <v>18</v>
      </c>
      <c r="C4057" s="158" t="s">
        <v>5103</v>
      </c>
      <c r="D4057" s="159">
        <v>45114.0</v>
      </c>
      <c r="E4057" s="157" t="s">
        <v>731</v>
      </c>
      <c r="F4057" s="160">
        <v>77459.83</v>
      </c>
      <c r="G4057" s="160">
        <f>'FACP$'!$F4057*0.16</f>
        <v>12393.5728</v>
      </c>
      <c r="H4057" s="160">
        <f t="shared" si="124"/>
        <v>89853.4028</v>
      </c>
      <c r="I4057" s="160"/>
      <c r="J4057" s="161">
        <f>+'NCP$'!A247</f>
        <v>332</v>
      </c>
      <c r="K4057" s="160">
        <f>+'NCP$'!H247</f>
        <v>4138.996</v>
      </c>
      <c r="L4057" s="160">
        <f>+'FACP$'!$H4057-'FACP$'!$I4057-'FACP$'!$K4057</f>
        <v>85714.4068</v>
      </c>
      <c r="M4057" s="162" t="s">
        <v>586</v>
      </c>
      <c r="N4057" s="162" t="s">
        <v>554</v>
      </c>
      <c r="O4057" s="164">
        <v>45187.0</v>
      </c>
      <c r="P4057" s="164">
        <f t="array" ref="P4057">XLOOKUP('FACP$'!$B4057,'perfil de pagos'!$A$4:$A$46,'perfil de pagos'!$B$4:$B$46+'FACP$'!$D4057)</f>
        <v>45124</v>
      </c>
      <c r="Q4057" s="165">
        <f t="shared" si="2"/>
        <v>0</v>
      </c>
      <c r="R4057" s="167"/>
      <c r="S4057" s="167">
        <v>2424.0</v>
      </c>
      <c r="T4057" s="168">
        <f t="shared" si="3"/>
        <v>85714.4068</v>
      </c>
      <c r="U4057" s="168">
        <f t="shared" si="4"/>
        <v>0</v>
      </c>
      <c r="V4057" s="168">
        <f t="shared" si="5"/>
        <v>0</v>
      </c>
      <c r="W4057" s="168">
        <f t="shared" si="6"/>
        <v>0</v>
      </c>
      <c r="X4057" s="168">
        <f t="shared" si="7"/>
        <v>0</v>
      </c>
      <c r="Y4057" s="168">
        <f t="shared" si="8"/>
        <v>0</v>
      </c>
      <c r="Z4057" s="168">
        <f t="shared" si="9"/>
        <v>0</v>
      </c>
    </row>
    <row r="4058" ht="15.0" customHeight="1">
      <c r="A4058" s="157" t="s">
        <v>5127</v>
      </c>
      <c r="B4058" s="158" t="s">
        <v>19</v>
      </c>
      <c r="C4058" s="158" t="s">
        <v>5103</v>
      </c>
      <c r="D4058" s="159">
        <v>45114.0</v>
      </c>
      <c r="E4058" s="157" t="s">
        <v>731</v>
      </c>
      <c r="F4058" s="160">
        <v>139003.23</v>
      </c>
      <c r="G4058" s="160">
        <f>'FACP$'!$F4058*0.16</f>
        <v>22240.5168</v>
      </c>
      <c r="H4058" s="160">
        <f t="shared" si="124"/>
        <v>161243.7468</v>
      </c>
      <c r="I4058" s="160"/>
      <c r="J4058" s="161"/>
      <c r="K4058" s="160"/>
      <c r="L4058" s="160">
        <f>+'FACP$'!$H4058-'FACP$'!$I4058-'FACP$'!$K4058</f>
        <v>161243.7468</v>
      </c>
      <c r="M4058" s="162" t="s">
        <v>732</v>
      </c>
      <c r="N4058" s="162" t="s">
        <v>554</v>
      </c>
      <c r="O4058" s="164">
        <v>45187.0</v>
      </c>
      <c r="P4058" s="164">
        <f t="array" ref="P4058">XLOOKUP('FACP$'!$B4058,'perfil de pagos'!$A$4:$A$46,'perfil de pagos'!$B$4:$B$46+'FACP$'!$D4058)</f>
        <v>45124</v>
      </c>
      <c r="Q4058" s="165">
        <f t="shared" si="2"/>
        <v>0</v>
      </c>
      <c r="R4058" s="167"/>
      <c r="S4058" s="167">
        <v>2424.0</v>
      </c>
      <c r="T4058" s="168">
        <f t="shared" si="3"/>
        <v>161243.7468</v>
      </c>
      <c r="U4058" s="168">
        <f t="shared" si="4"/>
        <v>0</v>
      </c>
      <c r="V4058" s="168">
        <f t="shared" si="5"/>
        <v>0</v>
      </c>
      <c r="W4058" s="168">
        <f t="shared" si="6"/>
        <v>0</v>
      </c>
      <c r="X4058" s="168">
        <f t="shared" si="7"/>
        <v>0</v>
      </c>
      <c r="Y4058" s="168">
        <f t="shared" si="8"/>
        <v>0</v>
      </c>
      <c r="Z4058" s="168">
        <f t="shared" si="9"/>
        <v>0</v>
      </c>
    </row>
    <row r="4059" ht="15.0" customHeight="1">
      <c r="A4059" s="157" t="s">
        <v>5128</v>
      </c>
      <c r="B4059" s="158" t="s">
        <v>22</v>
      </c>
      <c r="C4059" s="158" t="s">
        <v>5103</v>
      </c>
      <c r="D4059" s="159">
        <v>45114.0</v>
      </c>
      <c r="E4059" s="157" t="s">
        <v>731</v>
      </c>
      <c r="F4059" s="160">
        <v>181048.78</v>
      </c>
      <c r="G4059" s="160">
        <f>'FACP$'!$F4059*0.16</f>
        <v>28967.8048</v>
      </c>
      <c r="H4059" s="160">
        <f t="shared" si="124"/>
        <v>210016.5848</v>
      </c>
      <c r="I4059" s="160">
        <v>53053.3284</v>
      </c>
      <c r="J4059" s="161"/>
      <c r="K4059" s="160"/>
      <c r="L4059" s="160">
        <f>+'FACP$'!$H4059-'FACP$'!$I4059-'FACP$'!$K4059</f>
        <v>156963.2564</v>
      </c>
      <c r="M4059" s="162" t="s">
        <v>220</v>
      </c>
      <c r="N4059" s="162" t="s">
        <v>554</v>
      </c>
      <c r="O4059" s="164">
        <v>45145.0</v>
      </c>
      <c r="P4059" s="164">
        <f t="array" ref="P4059">XLOOKUP('FACP$'!$B4059,'perfil de pagos'!$A$4:$A$46,'perfil de pagos'!$B$4:$B$46+'FACP$'!$D4059)</f>
        <v>45124</v>
      </c>
      <c r="Q4059" s="165">
        <f t="shared" si="2"/>
        <v>0</v>
      </c>
      <c r="R4059" s="220" t="s">
        <v>5129</v>
      </c>
      <c r="S4059" s="167" t="s">
        <v>5130</v>
      </c>
      <c r="T4059" s="168">
        <f t="shared" si="3"/>
        <v>156963.2564</v>
      </c>
      <c r="U4059" s="168">
        <f t="shared" si="4"/>
        <v>0</v>
      </c>
      <c r="V4059" s="168">
        <f t="shared" si="5"/>
        <v>0</v>
      </c>
      <c r="W4059" s="168">
        <f t="shared" si="6"/>
        <v>0</v>
      </c>
      <c r="X4059" s="168">
        <f t="shared" si="7"/>
        <v>0</v>
      </c>
      <c r="Y4059" s="168">
        <f t="shared" si="8"/>
        <v>0</v>
      </c>
      <c r="Z4059" s="168">
        <f t="shared" si="9"/>
        <v>0</v>
      </c>
    </row>
    <row r="4060" ht="15.0" customHeight="1">
      <c r="A4060" s="157" t="s">
        <v>5131</v>
      </c>
      <c r="B4060" s="158" t="s">
        <v>25</v>
      </c>
      <c r="C4060" s="158" t="s">
        <v>5103</v>
      </c>
      <c r="D4060" s="159">
        <v>45114.0</v>
      </c>
      <c r="E4060" s="157" t="s">
        <v>731</v>
      </c>
      <c r="F4060" s="160">
        <v>52287.26</v>
      </c>
      <c r="G4060" s="160">
        <f>'FACP$'!$F4060*0.16</f>
        <v>8365.9616</v>
      </c>
      <c r="H4060" s="160">
        <f t="shared" si="124"/>
        <v>60653.2216</v>
      </c>
      <c r="I4060" s="160"/>
      <c r="J4060" s="161"/>
      <c r="K4060" s="160"/>
      <c r="L4060" s="160">
        <f>+'FACP$'!$H4060-'FACP$'!$I4060-'FACP$'!$K4060</f>
        <v>60653.2216</v>
      </c>
      <c r="M4060" s="162" t="s">
        <v>4388</v>
      </c>
      <c r="N4060" s="162" t="s">
        <v>554</v>
      </c>
      <c r="O4060" s="164">
        <v>45224.0</v>
      </c>
      <c r="P4060" s="164">
        <f t="array" ref="P4060">XLOOKUP('FACP$'!$B4060,'perfil de pagos'!$A$4:$A$46,'perfil de pagos'!$B$4:$B$46+'FACP$'!$D4060)</f>
        <v>45124</v>
      </c>
      <c r="Q4060" s="165">
        <f t="shared" si="2"/>
        <v>0</v>
      </c>
      <c r="R4060" s="167"/>
      <c r="S4060" s="167">
        <v>2523.0</v>
      </c>
      <c r="T4060" s="168">
        <f t="shared" si="3"/>
        <v>60653.2216</v>
      </c>
      <c r="U4060" s="168">
        <f t="shared" si="4"/>
        <v>0</v>
      </c>
      <c r="V4060" s="168">
        <f t="shared" si="5"/>
        <v>0</v>
      </c>
      <c r="W4060" s="168">
        <f t="shared" si="6"/>
        <v>0</v>
      </c>
      <c r="X4060" s="168">
        <f t="shared" si="7"/>
        <v>0</v>
      </c>
      <c r="Y4060" s="168">
        <f t="shared" si="8"/>
        <v>0</v>
      </c>
      <c r="Z4060" s="168">
        <f t="shared" si="9"/>
        <v>0</v>
      </c>
    </row>
    <row r="4061" ht="15.0" customHeight="1">
      <c r="A4061" s="157" t="s">
        <v>5132</v>
      </c>
      <c r="B4061" s="158" t="s">
        <v>29</v>
      </c>
      <c r="C4061" s="158" t="s">
        <v>5103</v>
      </c>
      <c r="D4061" s="159">
        <v>45114.0</v>
      </c>
      <c r="E4061" s="157" t="s">
        <v>731</v>
      </c>
      <c r="F4061" s="160">
        <v>90022.23</v>
      </c>
      <c r="G4061" s="160">
        <f>'FACP$'!$F4061*0.16</f>
        <v>14403.5568</v>
      </c>
      <c r="H4061" s="160">
        <f t="shared" si="124"/>
        <v>104425.7868</v>
      </c>
      <c r="I4061" s="160"/>
      <c r="J4061" s="161"/>
      <c r="K4061" s="160"/>
      <c r="L4061" s="160">
        <f>+'FACP$'!$H4061-'FACP$'!$I4061-'FACP$'!$K4061</f>
        <v>104425.7868</v>
      </c>
      <c r="M4061" s="162" t="s">
        <v>130</v>
      </c>
      <c r="N4061" s="162" t="s">
        <v>554</v>
      </c>
      <c r="O4061" s="164">
        <v>45125.0</v>
      </c>
      <c r="P4061" s="164">
        <f t="array" ref="P4061">XLOOKUP('FACP$'!$B4061,'perfil de pagos'!$A$4:$A$46,'perfil de pagos'!$B$4:$B$46+'FACP$'!$D4061)</f>
        <v>45124</v>
      </c>
      <c r="Q4061" s="165">
        <f t="shared" si="2"/>
        <v>0</v>
      </c>
      <c r="R4061" s="167"/>
      <c r="S4061" s="167">
        <v>2276.0</v>
      </c>
      <c r="T4061" s="168">
        <f t="shared" si="3"/>
        <v>104425.7868</v>
      </c>
      <c r="U4061" s="168">
        <f t="shared" si="4"/>
        <v>0</v>
      </c>
      <c r="V4061" s="168">
        <f t="shared" si="5"/>
        <v>0</v>
      </c>
      <c r="W4061" s="168">
        <f t="shared" si="6"/>
        <v>0</v>
      </c>
      <c r="X4061" s="168">
        <f t="shared" si="7"/>
        <v>0</v>
      </c>
      <c r="Y4061" s="168">
        <f t="shared" si="8"/>
        <v>0</v>
      </c>
      <c r="Z4061" s="168">
        <f t="shared" si="9"/>
        <v>0</v>
      </c>
    </row>
    <row r="4062" ht="15.0" customHeight="1">
      <c r="A4062" s="157" t="s">
        <v>5133</v>
      </c>
      <c r="B4062" s="158" t="s">
        <v>29</v>
      </c>
      <c r="C4062" s="158" t="s">
        <v>5109</v>
      </c>
      <c r="D4062" s="159">
        <v>45114.0</v>
      </c>
      <c r="E4062" s="157" t="s">
        <v>731</v>
      </c>
      <c r="F4062" s="160">
        <v>153127.51</v>
      </c>
      <c r="G4062" s="160">
        <f>'FACP$'!$F4062*0.16</f>
        <v>24500.4016</v>
      </c>
      <c r="H4062" s="160">
        <f t="shared" si="124"/>
        <v>177627.9116</v>
      </c>
      <c r="I4062" s="160"/>
      <c r="J4062" s="161"/>
      <c r="K4062" s="160"/>
      <c r="L4062" s="160">
        <f>+'FACP$'!$H4062-'FACP$'!$I4062-'FACP$'!$K4062</f>
        <v>177627.9116</v>
      </c>
      <c r="M4062" s="162" t="s">
        <v>130</v>
      </c>
      <c r="N4062" s="162" t="s">
        <v>554</v>
      </c>
      <c r="O4062" s="164">
        <v>45131.0</v>
      </c>
      <c r="P4062" s="164">
        <f t="array" ref="P4062">XLOOKUP('FACP$'!$B4062,'perfil de pagos'!$A$4:$A$46,'perfil de pagos'!$B$4:$B$46+'FACP$'!$D4062)</f>
        <v>45124</v>
      </c>
      <c r="Q4062" s="165">
        <f t="shared" si="2"/>
        <v>0</v>
      </c>
      <c r="R4062" s="167"/>
      <c r="S4062" s="167">
        <v>2313.0</v>
      </c>
      <c r="T4062" s="168">
        <f t="shared" si="3"/>
        <v>177627.9116</v>
      </c>
      <c r="U4062" s="168">
        <f t="shared" si="4"/>
        <v>0</v>
      </c>
      <c r="V4062" s="168">
        <f t="shared" si="5"/>
        <v>0</v>
      </c>
      <c r="W4062" s="168">
        <f t="shared" si="6"/>
        <v>0</v>
      </c>
      <c r="X4062" s="168">
        <f t="shared" si="7"/>
        <v>0</v>
      </c>
      <c r="Y4062" s="168">
        <f t="shared" si="8"/>
        <v>0</v>
      </c>
      <c r="Z4062" s="168">
        <f t="shared" si="9"/>
        <v>0</v>
      </c>
    </row>
    <row r="4063" ht="15.0" customHeight="1">
      <c r="A4063" s="157" t="s">
        <v>5134</v>
      </c>
      <c r="B4063" s="158" t="s">
        <v>37</v>
      </c>
      <c r="C4063" s="158" t="s">
        <v>5103</v>
      </c>
      <c r="D4063" s="159">
        <v>45114.0</v>
      </c>
      <c r="E4063" s="157" t="s">
        <v>731</v>
      </c>
      <c r="F4063" s="160">
        <v>1342698.3</v>
      </c>
      <c r="G4063" s="160">
        <f>'FACP$'!$F4063*0.16</f>
        <v>214831.728</v>
      </c>
      <c r="H4063" s="160">
        <f t="shared" si="124"/>
        <v>1557530.028</v>
      </c>
      <c r="I4063" s="160"/>
      <c r="J4063" s="161"/>
      <c r="K4063" s="160"/>
      <c r="L4063" s="160">
        <f>+'FACP$'!$H4063-'FACP$'!$I4063-'FACP$'!$K4063</f>
        <v>1557530.028</v>
      </c>
      <c r="M4063" s="162" t="s">
        <v>116</v>
      </c>
      <c r="N4063" s="162" t="s">
        <v>554</v>
      </c>
      <c r="O4063" s="164">
        <v>45121.0</v>
      </c>
      <c r="P4063" s="164">
        <f t="array" ref="P4063">XLOOKUP('FACP$'!$B4063,'perfil de pagos'!$A$4:$A$46,'perfil de pagos'!$B$4:$B$46+'FACP$'!$D4063)</f>
        <v>45124</v>
      </c>
      <c r="Q4063" s="165">
        <f t="shared" si="2"/>
        <v>0</v>
      </c>
      <c r="R4063" s="167"/>
      <c r="S4063" s="167"/>
      <c r="T4063" s="168">
        <f t="shared" si="3"/>
        <v>1557530.028</v>
      </c>
      <c r="U4063" s="168">
        <f t="shared" si="4"/>
        <v>0</v>
      </c>
      <c r="V4063" s="168">
        <f t="shared" si="5"/>
        <v>0</v>
      </c>
      <c r="W4063" s="168">
        <f t="shared" si="6"/>
        <v>0</v>
      </c>
      <c r="X4063" s="168">
        <f t="shared" si="7"/>
        <v>0</v>
      </c>
      <c r="Y4063" s="168">
        <f t="shared" si="8"/>
        <v>0</v>
      </c>
      <c r="Z4063" s="168">
        <f t="shared" si="9"/>
        <v>0</v>
      </c>
    </row>
    <row r="4064" ht="15.0" customHeight="1">
      <c r="A4064" s="157" t="s">
        <v>5135</v>
      </c>
      <c r="B4064" s="158" t="s">
        <v>38</v>
      </c>
      <c r="C4064" s="158" t="s">
        <v>5103</v>
      </c>
      <c r="D4064" s="159">
        <v>45114.0</v>
      </c>
      <c r="E4064" s="157" t="s">
        <v>731</v>
      </c>
      <c r="F4064" s="160">
        <v>170024.14</v>
      </c>
      <c r="G4064" s="160">
        <f>'FACP$'!$F4064*0.16</f>
        <v>27203.8624</v>
      </c>
      <c r="H4064" s="160">
        <f t="shared" si="124"/>
        <v>197228.0024</v>
      </c>
      <c r="I4064" s="160"/>
      <c r="J4064" s="161"/>
      <c r="K4064" s="160"/>
      <c r="L4064" s="160">
        <f>+'FACP$'!$H4064-'FACP$'!$I4064-'FACP$'!$K4064</f>
        <v>197228.0024</v>
      </c>
      <c r="M4064" s="162" t="s">
        <v>642</v>
      </c>
      <c r="N4064" s="162" t="s">
        <v>554</v>
      </c>
      <c r="O4064" s="164">
        <v>45141.0</v>
      </c>
      <c r="P4064" s="164">
        <f t="array" ref="P4064">XLOOKUP('FACP$'!$B4064,'perfil de pagos'!$A$4:$A$46,'perfil de pagos'!$B$4:$B$46+'FACP$'!$D4064)</f>
        <v>45144</v>
      </c>
      <c r="Q4064" s="165">
        <f t="shared" si="2"/>
        <v>0</v>
      </c>
      <c r="R4064" s="167"/>
      <c r="S4064" s="167">
        <v>2404.0</v>
      </c>
      <c r="T4064" s="168">
        <f t="shared" si="3"/>
        <v>197228.0024</v>
      </c>
      <c r="U4064" s="168">
        <f t="shared" si="4"/>
        <v>0</v>
      </c>
      <c r="V4064" s="168">
        <f t="shared" si="5"/>
        <v>0</v>
      </c>
      <c r="W4064" s="168">
        <f t="shared" si="6"/>
        <v>0</v>
      </c>
      <c r="X4064" s="168">
        <f t="shared" si="7"/>
        <v>0</v>
      </c>
      <c r="Y4064" s="168">
        <f t="shared" si="8"/>
        <v>0</v>
      </c>
      <c r="Z4064" s="168">
        <f t="shared" si="9"/>
        <v>0</v>
      </c>
    </row>
    <row r="4065" ht="15.0" customHeight="1">
      <c r="A4065" s="157" t="s">
        <v>5136</v>
      </c>
      <c r="B4065" s="158" t="s">
        <v>38</v>
      </c>
      <c r="C4065" s="158" t="s">
        <v>5103</v>
      </c>
      <c r="D4065" s="159">
        <v>45114.0</v>
      </c>
      <c r="E4065" s="157" t="s">
        <v>731</v>
      </c>
      <c r="F4065" s="160">
        <v>558328.85</v>
      </c>
      <c r="G4065" s="160">
        <f>'FACP$'!$F4065*0.16</f>
        <v>89332.616</v>
      </c>
      <c r="H4065" s="160">
        <f t="shared" si="124"/>
        <v>647661.466</v>
      </c>
      <c r="I4065" s="160"/>
      <c r="J4065" s="161"/>
      <c r="K4065" s="160"/>
      <c r="L4065" s="160">
        <f>+'FACP$'!$H4065-'FACP$'!$I4065-'FACP$'!$K4065</f>
        <v>647661.466</v>
      </c>
      <c r="M4065" s="162" t="s">
        <v>145</v>
      </c>
      <c r="N4065" s="162" t="s">
        <v>554</v>
      </c>
      <c r="O4065" s="164">
        <v>45155.0</v>
      </c>
      <c r="P4065" s="164">
        <f t="array" ref="P4065">XLOOKUP('FACP$'!$B4065,'perfil de pagos'!$A$4:$A$46,'perfil de pagos'!$B$4:$B$46+'FACP$'!$D4065)</f>
        <v>45144</v>
      </c>
      <c r="Q4065" s="165">
        <f t="shared" si="2"/>
        <v>0</v>
      </c>
      <c r="R4065" s="167"/>
      <c r="S4065" s="167">
        <v>2358.0</v>
      </c>
      <c r="T4065" s="168">
        <f t="shared" si="3"/>
        <v>647661.466</v>
      </c>
      <c r="U4065" s="168">
        <f t="shared" si="4"/>
        <v>0</v>
      </c>
      <c r="V4065" s="168">
        <f t="shared" si="5"/>
        <v>0</v>
      </c>
      <c r="W4065" s="168">
        <f t="shared" si="6"/>
        <v>0</v>
      </c>
      <c r="X4065" s="168">
        <f t="shared" si="7"/>
        <v>0</v>
      </c>
      <c r="Y4065" s="168">
        <f t="shared" si="8"/>
        <v>0</v>
      </c>
      <c r="Z4065" s="168">
        <f t="shared" si="9"/>
        <v>0</v>
      </c>
    </row>
    <row r="4066" ht="15.0" customHeight="1">
      <c r="A4066" s="157" t="s">
        <v>5137</v>
      </c>
      <c r="B4066" s="158" t="s">
        <v>24</v>
      </c>
      <c r="C4066" s="158" t="s">
        <v>5048</v>
      </c>
      <c r="D4066" s="159">
        <v>45118.0</v>
      </c>
      <c r="E4066" s="157" t="s">
        <v>731</v>
      </c>
      <c r="F4066" s="160">
        <v>9939.09</v>
      </c>
      <c r="G4066" s="160">
        <f>'FACP$'!$F4066*0.16</f>
        <v>1590.2544</v>
      </c>
      <c r="H4066" s="160">
        <f t="shared" si="124"/>
        <v>11529.3444</v>
      </c>
      <c r="I4066" s="160"/>
      <c r="J4066" s="161"/>
      <c r="K4066" s="160"/>
      <c r="L4066" s="160">
        <f>+'FACP$'!$H4066-'FACP$'!$I4066-'FACP$'!$K4066</f>
        <v>11529.3444</v>
      </c>
      <c r="M4066" s="162" t="s">
        <v>91</v>
      </c>
      <c r="N4066" s="162" t="s">
        <v>554</v>
      </c>
      <c r="O4066" s="164">
        <v>45127.0</v>
      </c>
      <c r="P4066" s="164">
        <f t="array" ref="P4066">XLOOKUP('FACP$'!$B4066,'perfil de pagos'!$A$4:$A$46,'perfil de pagos'!$B$4:$B$46+'FACP$'!$D4066)</f>
        <v>45128</v>
      </c>
      <c r="Q4066" s="165">
        <f t="shared" si="2"/>
        <v>0</v>
      </c>
      <c r="R4066" s="167" t="s">
        <v>5138</v>
      </c>
      <c r="S4066" s="167">
        <v>2307.0</v>
      </c>
      <c r="T4066" s="168">
        <f t="shared" si="3"/>
        <v>11529.3444</v>
      </c>
      <c r="U4066" s="168">
        <f t="shared" si="4"/>
        <v>0</v>
      </c>
      <c r="V4066" s="168">
        <f t="shared" si="5"/>
        <v>0</v>
      </c>
      <c r="W4066" s="168">
        <f t="shared" si="6"/>
        <v>0</v>
      </c>
      <c r="X4066" s="168">
        <f t="shared" si="7"/>
        <v>0</v>
      </c>
      <c r="Y4066" s="168">
        <f t="shared" si="8"/>
        <v>0</v>
      </c>
      <c r="Z4066" s="168">
        <f t="shared" si="9"/>
        <v>0</v>
      </c>
    </row>
    <row r="4067" ht="15.0" customHeight="1">
      <c r="A4067" s="157" t="s">
        <v>5139</v>
      </c>
      <c r="B4067" s="158" t="s">
        <v>44</v>
      </c>
      <c r="C4067" s="158" t="s">
        <v>5140</v>
      </c>
      <c r="D4067" s="159">
        <v>45125.0</v>
      </c>
      <c r="E4067" s="157" t="s">
        <v>731</v>
      </c>
      <c r="F4067" s="160">
        <v>49835.73</v>
      </c>
      <c r="G4067" s="160">
        <f>'FACP$'!$F4067*0.16</f>
        <v>7973.7168</v>
      </c>
      <c r="H4067" s="160">
        <f t="shared" si="124"/>
        <v>57809.4468</v>
      </c>
      <c r="I4067" s="160"/>
      <c r="J4067" s="161"/>
      <c r="K4067" s="160"/>
      <c r="L4067" s="160">
        <f>+'FACP$'!$H4067-'FACP$'!$I4067-'FACP$'!$K4067</f>
        <v>57809.4468</v>
      </c>
      <c r="M4067" s="162" t="s">
        <v>361</v>
      </c>
      <c r="N4067" s="162" t="s">
        <v>554</v>
      </c>
      <c r="O4067" s="164">
        <v>45142.0</v>
      </c>
      <c r="P4067" s="164">
        <f t="array" ref="P4067">XLOOKUP('FACP$'!$B4067,'perfil de pagos'!$A$4:$A$46,'perfil de pagos'!$B$4:$B$46+'FACP$'!$D4067)</f>
        <v>45135</v>
      </c>
      <c r="Q4067" s="165">
        <f t="shared" si="2"/>
        <v>0</v>
      </c>
      <c r="R4067" s="167"/>
      <c r="S4067" s="167">
        <v>2332.0</v>
      </c>
      <c r="T4067" s="168">
        <f t="shared" si="3"/>
        <v>57809.4468</v>
      </c>
      <c r="U4067" s="168">
        <f t="shared" si="4"/>
        <v>0</v>
      </c>
      <c r="V4067" s="168">
        <f t="shared" si="5"/>
        <v>0</v>
      </c>
      <c r="W4067" s="168">
        <f t="shared" si="6"/>
        <v>0</v>
      </c>
      <c r="X4067" s="168">
        <f t="shared" si="7"/>
        <v>0</v>
      </c>
      <c r="Y4067" s="168">
        <f t="shared" si="8"/>
        <v>0</v>
      </c>
      <c r="Z4067" s="168">
        <f t="shared" si="9"/>
        <v>0</v>
      </c>
    </row>
    <row r="4068" ht="15.0" customHeight="1">
      <c r="A4068" s="157" t="s">
        <v>5141</v>
      </c>
      <c r="B4068" s="158" t="s">
        <v>43</v>
      </c>
      <c r="C4068" s="158" t="s">
        <v>5140</v>
      </c>
      <c r="D4068" s="159">
        <v>45125.0</v>
      </c>
      <c r="E4068" s="157" t="s">
        <v>731</v>
      </c>
      <c r="F4068" s="160">
        <v>192596.26</v>
      </c>
      <c r="G4068" s="160">
        <f>'FACP$'!$F4068*0.16</f>
        <v>30815.4016</v>
      </c>
      <c r="H4068" s="160">
        <f t="shared" si="124"/>
        <v>223411.6616</v>
      </c>
      <c r="I4068" s="160"/>
      <c r="J4068" s="161"/>
      <c r="K4068" s="160"/>
      <c r="L4068" s="160">
        <f>+'FACP$'!$H4068-'FACP$'!$I4068-'FACP$'!$K4068</f>
        <v>223411.6616</v>
      </c>
      <c r="M4068" s="162" t="s">
        <v>43</v>
      </c>
      <c r="N4068" s="162" t="s">
        <v>554</v>
      </c>
      <c r="O4068" s="164">
        <v>45184.0</v>
      </c>
      <c r="P4068" s="164">
        <f t="array" ref="P4068">XLOOKUP('FACP$'!$B4068,'perfil de pagos'!$A$4:$A$46,'perfil de pagos'!$B$4:$B$46+'FACP$'!$D4068)</f>
        <v>45150</v>
      </c>
      <c r="Q4068" s="165">
        <f t="shared" si="2"/>
        <v>0</v>
      </c>
      <c r="R4068" s="167"/>
      <c r="S4068" s="167">
        <v>2417.0</v>
      </c>
      <c r="T4068" s="168">
        <f t="shared" si="3"/>
        <v>223411.6616</v>
      </c>
      <c r="U4068" s="168">
        <f t="shared" si="4"/>
        <v>0</v>
      </c>
      <c r="V4068" s="168">
        <f t="shared" si="5"/>
        <v>0</v>
      </c>
      <c r="W4068" s="168">
        <f t="shared" si="6"/>
        <v>0</v>
      </c>
      <c r="X4068" s="168">
        <f t="shared" si="7"/>
        <v>0</v>
      </c>
      <c r="Y4068" s="168">
        <f t="shared" si="8"/>
        <v>0</v>
      </c>
      <c r="Z4068" s="168">
        <f t="shared" si="9"/>
        <v>0</v>
      </c>
    </row>
    <row r="4069" ht="15.0" customHeight="1">
      <c r="A4069" s="157" t="s">
        <v>5142</v>
      </c>
      <c r="B4069" s="158" t="s">
        <v>42</v>
      </c>
      <c r="C4069" s="158" t="s">
        <v>5140</v>
      </c>
      <c r="D4069" s="159">
        <v>45125.0</v>
      </c>
      <c r="E4069" s="157" t="s">
        <v>731</v>
      </c>
      <c r="F4069" s="160">
        <v>50602.68</v>
      </c>
      <c r="G4069" s="160">
        <f>'FACP$'!$F4069*0.16</f>
        <v>8096.4288</v>
      </c>
      <c r="H4069" s="160">
        <f t="shared" si="124"/>
        <v>58699.1088</v>
      </c>
      <c r="I4069" s="160"/>
      <c r="J4069" s="161"/>
      <c r="K4069" s="160"/>
      <c r="L4069" s="160">
        <f>+'FACP$'!$H4069-'FACP$'!$I4069-'FACP$'!$K4069</f>
        <v>58699.1088</v>
      </c>
      <c r="M4069" s="162" t="s">
        <v>42</v>
      </c>
      <c r="N4069" s="162" t="s">
        <v>554</v>
      </c>
      <c r="O4069" s="164">
        <v>45134.0</v>
      </c>
      <c r="P4069" s="164">
        <f t="array" ref="P4069">XLOOKUP('FACP$'!$B4069,'perfil de pagos'!$A$4:$A$46,'perfil de pagos'!$B$4:$B$46+'FACP$'!$D4069)</f>
        <v>45135</v>
      </c>
      <c r="Q4069" s="165">
        <f t="shared" si="2"/>
        <v>0</v>
      </c>
      <c r="R4069" s="167"/>
      <c r="S4069" s="167">
        <v>2323.0</v>
      </c>
      <c r="T4069" s="168">
        <f t="shared" si="3"/>
        <v>58699.1088</v>
      </c>
      <c r="U4069" s="168">
        <f t="shared" si="4"/>
        <v>0</v>
      </c>
      <c r="V4069" s="168">
        <f t="shared" si="5"/>
        <v>0</v>
      </c>
      <c r="W4069" s="168">
        <f t="shared" si="6"/>
        <v>0</v>
      </c>
      <c r="X4069" s="168">
        <f t="shared" si="7"/>
        <v>0</v>
      </c>
      <c r="Y4069" s="168">
        <f t="shared" si="8"/>
        <v>0</v>
      </c>
      <c r="Z4069" s="168">
        <f t="shared" si="9"/>
        <v>0</v>
      </c>
    </row>
    <row r="4070" ht="15.0" customHeight="1">
      <c r="A4070" s="157" t="s">
        <v>5143</v>
      </c>
      <c r="B4070" s="158" t="s">
        <v>41</v>
      </c>
      <c r="C4070" s="158" t="s">
        <v>5140</v>
      </c>
      <c r="D4070" s="159">
        <v>45125.0</v>
      </c>
      <c r="E4070" s="157" t="s">
        <v>731</v>
      </c>
      <c r="F4070" s="160">
        <v>234804.15</v>
      </c>
      <c r="G4070" s="160">
        <f>'FACP$'!$F4070*0.16</f>
        <v>37568.664</v>
      </c>
      <c r="H4070" s="160">
        <f t="shared" si="124"/>
        <v>272372.814</v>
      </c>
      <c r="I4070" s="160"/>
      <c r="J4070" s="161"/>
      <c r="K4070" s="160"/>
      <c r="L4070" s="160">
        <f>+'FACP$'!$H4070-'FACP$'!$I4070-'FACP$'!$K4070</f>
        <v>272372.814</v>
      </c>
      <c r="M4070" s="162" t="s">
        <v>121</v>
      </c>
      <c r="N4070" s="162" t="s">
        <v>554</v>
      </c>
      <c r="O4070" s="164">
        <v>45230.0</v>
      </c>
      <c r="P4070" s="164">
        <f t="array" ref="P4070">XLOOKUP('FACP$'!$B4070,'perfil de pagos'!$A$4:$A$46,'perfil de pagos'!$B$4:$B$46+'FACP$'!$D4070)</f>
        <v>45135</v>
      </c>
      <c r="Q4070" s="165">
        <f t="shared" si="2"/>
        <v>0</v>
      </c>
      <c r="R4070" s="167"/>
      <c r="S4070" s="167">
        <v>2561.0</v>
      </c>
      <c r="T4070" s="168">
        <f t="shared" si="3"/>
        <v>272372.814</v>
      </c>
      <c r="U4070" s="168">
        <f t="shared" si="4"/>
        <v>0</v>
      </c>
      <c r="V4070" s="168">
        <f t="shared" si="5"/>
        <v>0</v>
      </c>
      <c r="W4070" s="168">
        <f t="shared" si="6"/>
        <v>0</v>
      </c>
      <c r="X4070" s="168">
        <f t="shared" si="7"/>
        <v>0</v>
      </c>
      <c r="Y4070" s="168">
        <f t="shared" si="8"/>
        <v>0</v>
      </c>
      <c r="Z4070" s="168">
        <f t="shared" si="9"/>
        <v>0</v>
      </c>
    </row>
    <row r="4071" ht="15.0" customHeight="1">
      <c r="A4071" s="157" t="s">
        <v>5144</v>
      </c>
      <c r="B4071" s="158" t="s">
        <v>35</v>
      </c>
      <c r="C4071" s="158" t="s">
        <v>5140</v>
      </c>
      <c r="D4071" s="159">
        <v>45125.0</v>
      </c>
      <c r="E4071" s="157" t="s">
        <v>731</v>
      </c>
      <c r="F4071" s="160">
        <v>58391.2</v>
      </c>
      <c r="G4071" s="160">
        <f>'FACP$'!$F4071*0.16</f>
        <v>9342.592</v>
      </c>
      <c r="H4071" s="160">
        <f t="shared" si="124"/>
        <v>67733.792</v>
      </c>
      <c r="I4071" s="160"/>
      <c r="J4071" s="161"/>
      <c r="K4071" s="160"/>
      <c r="L4071" s="160">
        <f>+'FACP$'!$H4071-'FACP$'!$I4071-'FACP$'!$K4071</f>
        <v>67733.792</v>
      </c>
      <c r="M4071" s="162" t="s">
        <v>276</v>
      </c>
      <c r="N4071" s="162" t="s">
        <v>554</v>
      </c>
      <c r="O4071" s="164">
        <v>45254.0</v>
      </c>
      <c r="P4071" s="164">
        <f t="array" ref="P4071">XLOOKUP('FACP$'!$B4071,'perfil de pagos'!$A$4:$A$46,'perfil de pagos'!$B$4:$B$46+'FACP$'!$D4071)</f>
        <v>45135</v>
      </c>
      <c r="Q4071" s="165">
        <f t="shared" si="2"/>
        <v>0</v>
      </c>
      <c r="R4071" s="167"/>
      <c r="S4071" s="167">
        <v>2608.0</v>
      </c>
      <c r="T4071" s="168">
        <f t="shared" si="3"/>
        <v>67733.792</v>
      </c>
      <c r="U4071" s="168">
        <f t="shared" si="4"/>
        <v>0</v>
      </c>
      <c r="V4071" s="168">
        <f t="shared" si="5"/>
        <v>0</v>
      </c>
      <c r="W4071" s="168">
        <f t="shared" si="6"/>
        <v>0</v>
      </c>
      <c r="X4071" s="168">
        <f t="shared" si="7"/>
        <v>0</v>
      </c>
      <c r="Y4071" s="168">
        <f t="shared" si="8"/>
        <v>0</v>
      </c>
      <c r="Z4071" s="168">
        <f t="shared" si="9"/>
        <v>0</v>
      </c>
    </row>
    <row r="4072" ht="15.0" customHeight="1">
      <c r="A4072" s="157" t="s">
        <v>5145</v>
      </c>
      <c r="B4072" s="158" t="s">
        <v>15</v>
      </c>
      <c r="C4072" s="158" t="s">
        <v>5140</v>
      </c>
      <c r="D4072" s="159">
        <v>45125.0</v>
      </c>
      <c r="E4072" s="157" t="s">
        <v>731</v>
      </c>
      <c r="F4072" s="160">
        <v>217254.61</v>
      </c>
      <c r="G4072" s="160">
        <f>'FACP$'!$F4072*0.16</f>
        <v>34760.7376</v>
      </c>
      <c r="H4072" s="160">
        <f t="shared" si="124"/>
        <v>252015.3476</v>
      </c>
      <c r="I4072" s="160"/>
      <c r="J4072" s="161"/>
      <c r="K4072" s="160"/>
      <c r="L4072" s="160">
        <f>+'FACP$'!$H4072-'FACP$'!$I4072-'FACP$'!$K4072</f>
        <v>252015.3476</v>
      </c>
      <c r="M4072" s="162" t="s">
        <v>443</v>
      </c>
      <c r="N4072" s="162" t="s">
        <v>554</v>
      </c>
      <c r="O4072" s="164">
        <v>45139.0</v>
      </c>
      <c r="P4072" s="164">
        <f t="array" ref="P4072">XLOOKUP('FACP$'!$B4072,'perfil de pagos'!$A$4:$A$46,'perfil de pagos'!$B$4:$B$46+'FACP$'!$D4072)</f>
        <v>45135</v>
      </c>
      <c r="Q4072" s="165">
        <f t="shared" si="2"/>
        <v>0</v>
      </c>
      <c r="R4072" s="167"/>
      <c r="S4072" s="167">
        <v>2331.0</v>
      </c>
      <c r="T4072" s="168">
        <f t="shared" si="3"/>
        <v>252015.3476</v>
      </c>
      <c r="U4072" s="168">
        <f t="shared" si="4"/>
        <v>0</v>
      </c>
      <c r="V4072" s="168">
        <f t="shared" si="5"/>
        <v>0</v>
      </c>
      <c r="W4072" s="168">
        <f t="shared" si="6"/>
        <v>0</v>
      </c>
      <c r="X4072" s="168">
        <f t="shared" si="7"/>
        <v>0</v>
      </c>
      <c r="Y4072" s="168">
        <f t="shared" si="8"/>
        <v>0</v>
      </c>
      <c r="Z4072" s="168">
        <f t="shared" si="9"/>
        <v>0</v>
      </c>
    </row>
    <row r="4073" ht="15.0" customHeight="1">
      <c r="A4073" s="157" t="s">
        <v>5146</v>
      </c>
      <c r="B4073" s="158" t="s">
        <v>38</v>
      </c>
      <c r="C4073" s="158" t="s">
        <v>5140</v>
      </c>
      <c r="D4073" s="159">
        <v>45125.0</v>
      </c>
      <c r="E4073" s="157" t="s">
        <v>731</v>
      </c>
      <c r="F4073" s="160">
        <v>78730.47</v>
      </c>
      <c r="G4073" s="160">
        <f>'FACP$'!$F4073*0.16</f>
        <v>12596.8752</v>
      </c>
      <c r="H4073" s="160">
        <f t="shared" si="124"/>
        <v>91327.3452</v>
      </c>
      <c r="I4073" s="160"/>
      <c r="J4073" s="161"/>
      <c r="K4073" s="160"/>
      <c r="L4073" s="160">
        <f>+'FACP$'!$H4073-'FACP$'!$I4073-'FACP$'!$K4073</f>
        <v>91327.3452</v>
      </c>
      <c r="M4073" s="162" t="s">
        <v>4707</v>
      </c>
      <c r="N4073" s="162" t="s">
        <v>554</v>
      </c>
      <c r="O4073" s="164">
        <v>45162.0</v>
      </c>
      <c r="P4073" s="164">
        <f t="array" ref="P4073">XLOOKUP('FACP$'!$B4073,'perfil de pagos'!$A$4:$A$46,'perfil de pagos'!$B$4:$B$46+'FACP$'!$D4073)</f>
        <v>45155</v>
      </c>
      <c r="Q4073" s="165">
        <f t="shared" si="2"/>
        <v>0</v>
      </c>
      <c r="R4073" s="167"/>
      <c r="S4073" s="167">
        <v>2369.0</v>
      </c>
      <c r="T4073" s="168">
        <f t="shared" si="3"/>
        <v>91327.3452</v>
      </c>
      <c r="U4073" s="168">
        <f t="shared" si="4"/>
        <v>0</v>
      </c>
      <c r="V4073" s="168">
        <f t="shared" si="5"/>
        <v>0</v>
      </c>
      <c r="W4073" s="168">
        <f t="shared" si="6"/>
        <v>0</v>
      </c>
      <c r="X4073" s="168">
        <f t="shared" si="7"/>
        <v>0</v>
      </c>
      <c r="Y4073" s="168">
        <f t="shared" si="8"/>
        <v>0</v>
      </c>
      <c r="Z4073" s="168">
        <f t="shared" si="9"/>
        <v>0</v>
      </c>
    </row>
    <row r="4074" ht="15.0" customHeight="1">
      <c r="A4074" s="157" t="s">
        <v>5147</v>
      </c>
      <c r="B4074" s="158" t="s">
        <v>38</v>
      </c>
      <c r="C4074" s="158" t="s">
        <v>5148</v>
      </c>
      <c r="D4074" s="159">
        <v>45125.0</v>
      </c>
      <c r="E4074" s="157" t="s">
        <v>731</v>
      </c>
      <c r="F4074" s="160">
        <v>123171.59</v>
      </c>
      <c r="G4074" s="160">
        <f>'FACP$'!$F4074*0.16</f>
        <v>19707.4544</v>
      </c>
      <c r="H4074" s="160">
        <f t="shared" si="124"/>
        <v>142879.0444</v>
      </c>
      <c r="I4074" s="160"/>
      <c r="J4074" s="161"/>
      <c r="K4074" s="160"/>
      <c r="L4074" s="160">
        <f>+'FACP$'!$H4074-'FACP$'!$I4074-'FACP$'!$K4074</f>
        <v>142879.0444</v>
      </c>
      <c r="M4074" s="162" t="s">
        <v>4707</v>
      </c>
      <c r="N4074" s="162" t="s">
        <v>554</v>
      </c>
      <c r="O4074" s="164">
        <v>45162.0</v>
      </c>
      <c r="P4074" s="164">
        <f t="array" ref="P4074">XLOOKUP('FACP$'!$B4074,'perfil de pagos'!$A$4:$A$46,'perfil de pagos'!$B$4:$B$46+'FACP$'!$D4074)</f>
        <v>45155</v>
      </c>
      <c r="Q4074" s="165">
        <f t="shared" si="2"/>
        <v>0</v>
      </c>
      <c r="R4074" s="167"/>
      <c r="S4074" s="167">
        <v>2369.0</v>
      </c>
      <c r="T4074" s="168">
        <f t="shared" si="3"/>
        <v>142879.0444</v>
      </c>
      <c r="U4074" s="168">
        <f t="shared" si="4"/>
        <v>0</v>
      </c>
      <c r="V4074" s="168">
        <f t="shared" si="5"/>
        <v>0</v>
      </c>
      <c r="W4074" s="168">
        <f t="shared" si="6"/>
        <v>0</v>
      </c>
      <c r="X4074" s="168">
        <f t="shared" si="7"/>
        <v>0</v>
      </c>
      <c r="Y4074" s="168">
        <f t="shared" si="8"/>
        <v>0</v>
      </c>
      <c r="Z4074" s="168">
        <f t="shared" si="9"/>
        <v>0</v>
      </c>
    </row>
    <row r="4075" ht="15.0" customHeight="1">
      <c r="A4075" s="157" t="s">
        <v>5149</v>
      </c>
      <c r="B4075" s="158" t="s">
        <v>38</v>
      </c>
      <c r="C4075" s="158" t="s">
        <v>5140</v>
      </c>
      <c r="D4075" s="159">
        <v>45125.0</v>
      </c>
      <c r="E4075" s="157" t="s">
        <v>731</v>
      </c>
      <c r="F4075" s="160">
        <v>175092.37</v>
      </c>
      <c r="G4075" s="160">
        <f>'FACP$'!$F4075*0.16</f>
        <v>28014.7792</v>
      </c>
      <c r="H4075" s="160">
        <f t="shared" si="124"/>
        <v>203107.1492</v>
      </c>
      <c r="I4075" s="160"/>
      <c r="J4075" s="161"/>
      <c r="K4075" s="160"/>
      <c r="L4075" s="160">
        <f>+'FACP$'!$H4075-'FACP$'!$I4075-'FACP$'!$K4075</f>
        <v>203107.1492</v>
      </c>
      <c r="M4075" s="162" t="s">
        <v>4654</v>
      </c>
      <c r="N4075" s="162" t="s">
        <v>554</v>
      </c>
      <c r="O4075" s="164">
        <v>45162.0</v>
      </c>
      <c r="P4075" s="164">
        <f t="array" ref="P4075">XLOOKUP('FACP$'!$B4075,'perfil de pagos'!$A$4:$A$46,'perfil de pagos'!$B$4:$B$46+'FACP$'!$D4075)</f>
        <v>45155</v>
      </c>
      <c r="Q4075" s="165">
        <f t="shared" si="2"/>
        <v>0</v>
      </c>
      <c r="R4075" s="167"/>
      <c r="S4075" s="167">
        <v>2369.0</v>
      </c>
      <c r="T4075" s="168">
        <f t="shared" si="3"/>
        <v>203107.1492</v>
      </c>
      <c r="U4075" s="168">
        <f t="shared" si="4"/>
        <v>0</v>
      </c>
      <c r="V4075" s="168">
        <f t="shared" si="5"/>
        <v>0</v>
      </c>
      <c r="W4075" s="168">
        <f t="shared" si="6"/>
        <v>0</v>
      </c>
      <c r="X4075" s="168">
        <f t="shared" si="7"/>
        <v>0</v>
      </c>
      <c r="Y4075" s="168">
        <f t="shared" si="8"/>
        <v>0</v>
      </c>
      <c r="Z4075" s="168">
        <f t="shared" si="9"/>
        <v>0</v>
      </c>
    </row>
    <row r="4076" ht="15.0" customHeight="1">
      <c r="A4076" s="157" t="s">
        <v>5150</v>
      </c>
      <c r="B4076" s="158" t="s">
        <v>27</v>
      </c>
      <c r="C4076" s="158" t="s">
        <v>5151</v>
      </c>
      <c r="D4076" s="159">
        <v>45125.0</v>
      </c>
      <c r="E4076" s="157" t="s">
        <v>731</v>
      </c>
      <c r="F4076" s="160">
        <v>159565.56</v>
      </c>
      <c r="G4076" s="160">
        <f>'FACP$'!$F4076*0.16</f>
        <v>25530.4896</v>
      </c>
      <c r="H4076" s="160">
        <f t="shared" si="124"/>
        <v>185096.0496</v>
      </c>
      <c r="I4076" s="160"/>
      <c r="J4076" s="161"/>
      <c r="K4076" s="160"/>
      <c r="L4076" s="160">
        <f>+'FACP$'!$H4076-'FACP$'!$I4076-'FACP$'!$K4076</f>
        <v>185096.0496</v>
      </c>
      <c r="M4076" s="162" t="s">
        <v>158</v>
      </c>
      <c r="N4076" s="162" t="s">
        <v>554</v>
      </c>
      <c r="O4076" s="164">
        <v>45152.0</v>
      </c>
      <c r="P4076" s="164">
        <f t="array" ref="P4076">XLOOKUP('FACP$'!$B4076,'perfil de pagos'!$A$4:$A$46,'perfil de pagos'!$B$4:$B$46+'FACP$'!$D4076)</f>
        <v>45155</v>
      </c>
      <c r="Q4076" s="165">
        <f t="shared" si="2"/>
        <v>0</v>
      </c>
      <c r="R4076" s="167"/>
      <c r="S4076" s="167">
        <v>2351.0</v>
      </c>
      <c r="T4076" s="168">
        <f t="shared" si="3"/>
        <v>185096.0496</v>
      </c>
      <c r="U4076" s="168">
        <f t="shared" si="4"/>
        <v>0</v>
      </c>
      <c r="V4076" s="168">
        <f t="shared" si="5"/>
        <v>0</v>
      </c>
      <c r="W4076" s="168">
        <f t="shared" si="6"/>
        <v>0</v>
      </c>
      <c r="X4076" s="168">
        <f t="shared" si="7"/>
        <v>0</v>
      </c>
      <c r="Y4076" s="168">
        <f t="shared" si="8"/>
        <v>0</v>
      </c>
      <c r="Z4076" s="168">
        <f t="shared" si="9"/>
        <v>0</v>
      </c>
    </row>
    <row r="4077" ht="15.0" customHeight="1">
      <c r="A4077" s="157" t="s">
        <v>5152</v>
      </c>
      <c r="B4077" s="158" t="s">
        <v>27</v>
      </c>
      <c r="C4077" s="158" t="s">
        <v>5153</v>
      </c>
      <c r="D4077" s="159">
        <v>45125.0</v>
      </c>
      <c r="E4077" s="157" t="s">
        <v>731</v>
      </c>
      <c r="F4077" s="160">
        <v>138864.86</v>
      </c>
      <c r="G4077" s="160">
        <f>'FACP$'!$F4077*0.16</f>
        <v>22218.3776</v>
      </c>
      <c r="H4077" s="160">
        <f t="shared" si="124"/>
        <v>161083.2376</v>
      </c>
      <c r="I4077" s="160"/>
      <c r="J4077" s="161"/>
      <c r="K4077" s="160"/>
      <c r="L4077" s="160">
        <f>+'FACP$'!$H4077-'FACP$'!$I4077-'FACP$'!$K4077</f>
        <v>161083.2376</v>
      </c>
      <c r="M4077" s="162" t="s">
        <v>158</v>
      </c>
      <c r="N4077" s="162" t="s">
        <v>554</v>
      </c>
      <c r="O4077" s="164">
        <v>45152.0</v>
      </c>
      <c r="P4077" s="164">
        <f t="array" ref="P4077">XLOOKUP('FACP$'!$B4077,'perfil de pagos'!$A$4:$A$46,'perfil de pagos'!$B$4:$B$46+'FACP$'!$D4077)</f>
        <v>45155</v>
      </c>
      <c r="Q4077" s="165">
        <f t="shared" si="2"/>
        <v>0</v>
      </c>
      <c r="R4077" s="167"/>
      <c r="S4077" s="167">
        <v>2351.0</v>
      </c>
      <c r="T4077" s="168">
        <f t="shared" si="3"/>
        <v>161083.2376</v>
      </c>
      <c r="U4077" s="168">
        <f t="shared" si="4"/>
        <v>0</v>
      </c>
      <c r="V4077" s="168">
        <f t="shared" si="5"/>
        <v>0</v>
      </c>
      <c r="W4077" s="168">
        <f t="shared" si="6"/>
        <v>0</v>
      </c>
      <c r="X4077" s="168">
        <f t="shared" si="7"/>
        <v>0</v>
      </c>
      <c r="Y4077" s="168">
        <f t="shared" si="8"/>
        <v>0</v>
      </c>
      <c r="Z4077" s="168">
        <f t="shared" si="9"/>
        <v>0</v>
      </c>
    </row>
    <row r="4078" ht="15.0" customHeight="1">
      <c r="A4078" s="157" t="s">
        <v>5154</v>
      </c>
      <c r="B4078" s="158" t="s">
        <v>27</v>
      </c>
      <c r="C4078" s="158" t="s">
        <v>5151</v>
      </c>
      <c r="D4078" s="159">
        <v>45125.0</v>
      </c>
      <c r="E4078" s="157" t="s">
        <v>731</v>
      </c>
      <c r="F4078" s="160">
        <v>263933.89</v>
      </c>
      <c r="G4078" s="160">
        <f>'FACP$'!$F4078*0.16</f>
        <v>42229.4224</v>
      </c>
      <c r="H4078" s="160">
        <f t="shared" si="124"/>
        <v>306163.3124</v>
      </c>
      <c r="I4078" s="160"/>
      <c r="J4078" s="161"/>
      <c r="K4078" s="160"/>
      <c r="L4078" s="160">
        <f>+'FACP$'!$H4078-'FACP$'!$I4078-'FACP$'!$K4078</f>
        <v>306163.3124</v>
      </c>
      <c r="M4078" s="162" t="s">
        <v>151</v>
      </c>
      <c r="N4078" s="162" t="s">
        <v>554</v>
      </c>
      <c r="O4078" s="164">
        <v>45152.0</v>
      </c>
      <c r="P4078" s="164">
        <f t="array" ref="P4078">XLOOKUP('FACP$'!$B4078,'perfil de pagos'!$A$4:$A$46,'perfil de pagos'!$B$4:$B$46+'FACP$'!$D4078)</f>
        <v>45155</v>
      </c>
      <c r="Q4078" s="165">
        <f t="shared" si="2"/>
        <v>0</v>
      </c>
      <c r="R4078" s="167"/>
      <c r="S4078" s="167">
        <v>2350.0</v>
      </c>
      <c r="T4078" s="168">
        <f t="shared" si="3"/>
        <v>306163.3124</v>
      </c>
      <c r="U4078" s="168">
        <f t="shared" si="4"/>
        <v>0</v>
      </c>
      <c r="V4078" s="168">
        <f t="shared" si="5"/>
        <v>0</v>
      </c>
      <c r="W4078" s="168">
        <f t="shared" si="6"/>
        <v>0</v>
      </c>
      <c r="X4078" s="168">
        <f t="shared" si="7"/>
        <v>0</v>
      </c>
      <c r="Y4078" s="168">
        <f t="shared" si="8"/>
        <v>0</v>
      </c>
      <c r="Z4078" s="168">
        <f t="shared" si="9"/>
        <v>0</v>
      </c>
    </row>
    <row r="4079" ht="15.0" customHeight="1">
      <c r="A4079" s="157" t="s">
        <v>5155</v>
      </c>
      <c r="B4079" s="158" t="s">
        <v>27</v>
      </c>
      <c r="C4079" s="158" t="s">
        <v>5153</v>
      </c>
      <c r="D4079" s="159">
        <v>45125.0</v>
      </c>
      <c r="E4079" s="157" t="s">
        <v>731</v>
      </c>
      <c r="F4079" s="160">
        <v>221033.45</v>
      </c>
      <c r="G4079" s="160">
        <f>'FACP$'!$F4079*0.16</f>
        <v>35365.352</v>
      </c>
      <c r="H4079" s="160">
        <f t="shared" si="124"/>
        <v>256398.802</v>
      </c>
      <c r="I4079" s="160"/>
      <c r="J4079" s="161"/>
      <c r="K4079" s="160"/>
      <c r="L4079" s="160">
        <f>+'FACP$'!$H4079-'FACP$'!$I4079-'FACP$'!$K4079</f>
        <v>256398.802</v>
      </c>
      <c r="M4079" s="162" t="s">
        <v>151</v>
      </c>
      <c r="N4079" s="162" t="s">
        <v>554</v>
      </c>
      <c r="O4079" s="164">
        <v>45152.0</v>
      </c>
      <c r="P4079" s="164">
        <f t="array" ref="P4079">XLOOKUP('FACP$'!$B4079,'perfil de pagos'!$A$4:$A$46,'perfil de pagos'!$B$4:$B$46+'FACP$'!$D4079)</f>
        <v>45155</v>
      </c>
      <c r="Q4079" s="165">
        <f t="shared" si="2"/>
        <v>0</v>
      </c>
      <c r="R4079" s="167"/>
      <c r="S4079" s="167">
        <v>2350.0</v>
      </c>
      <c r="T4079" s="168">
        <f t="shared" si="3"/>
        <v>256398.802</v>
      </c>
      <c r="U4079" s="168">
        <f t="shared" si="4"/>
        <v>0</v>
      </c>
      <c r="V4079" s="168">
        <f t="shared" si="5"/>
        <v>0</v>
      </c>
      <c r="W4079" s="168">
        <f t="shared" si="6"/>
        <v>0</v>
      </c>
      <c r="X4079" s="168">
        <f t="shared" si="7"/>
        <v>0</v>
      </c>
      <c r="Y4079" s="168">
        <f t="shared" si="8"/>
        <v>0</v>
      </c>
      <c r="Z4079" s="168">
        <f t="shared" si="9"/>
        <v>0</v>
      </c>
    </row>
    <row r="4080" ht="15.0" customHeight="1">
      <c r="A4080" s="157" t="s">
        <v>5156</v>
      </c>
      <c r="B4080" s="158" t="s">
        <v>27</v>
      </c>
      <c r="C4080" s="158" t="s">
        <v>5157</v>
      </c>
      <c r="D4080" s="159">
        <v>45125.0</v>
      </c>
      <c r="E4080" s="157" t="s">
        <v>731</v>
      </c>
      <c r="F4080" s="160">
        <v>10768.76</v>
      </c>
      <c r="G4080" s="160">
        <f>'FACP$'!$F4080*0.16</f>
        <v>1723.0016</v>
      </c>
      <c r="H4080" s="160">
        <f t="shared" si="124"/>
        <v>12491.7616</v>
      </c>
      <c r="I4080" s="160"/>
      <c r="J4080" s="161"/>
      <c r="K4080" s="160"/>
      <c r="L4080" s="160">
        <f>+'FACP$'!$H4080-'FACP$'!$I4080-'FACP$'!$K4080</f>
        <v>12491.7616</v>
      </c>
      <c r="M4080" s="162" t="s">
        <v>151</v>
      </c>
      <c r="N4080" s="162" t="s">
        <v>554</v>
      </c>
      <c r="O4080" s="164">
        <v>45152.0</v>
      </c>
      <c r="P4080" s="164">
        <f t="array" ref="P4080">XLOOKUP('FACP$'!$B4080,'perfil de pagos'!$A$4:$A$46,'perfil de pagos'!$B$4:$B$46+'FACP$'!$D4080)</f>
        <v>45155</v>
      </c>
      <c r="Q4080" s="165">
        <f t="shared" si="2"/>
        <v>0</v>
      </c>
      <c r="R4080" s="167"/>
      <c r="S4080" s="167">
        <v>2350.0</v>
      </c>
      <c r="T4080" s="168">
        <f t="shared" si="3"/>
        <v>12491.7616</v>
      </c>
      <c r="U4080" s="168">
        <f t="shared" si="4"/>
        <v>0</v>
      </c>
      <c r="V4080" s="168">
        <f t="shared" si="5"/>
        <v>0</v>
      </c>
      <c r="W4080" s="168">
        <f t="shared" si="6"/>
        <v>0</v>
      </c>
      <c r="X4080" s="168">
        <f t="shared" si="7"/>
        <v>0</v>
      </c>
      <c r="Y4080" s="168">
        <f t="shared" si="8"/>
        <v>0</v>
      </c>
      <c r="Z4080" s="168">
        <f t="shared" si="9"/>
        <v>0</v>
      </c>
    </row>
    <row r="4081" ht="15.0" customHeight="1">
      <c r="A4081" s="157" t="s">
        <v>5158</v>
      </c>
      <c r="B4081" s="158" t="s">
        <v>27</v>
      </c>
      <c r="C4081" s="158" t="s">
        <v>5159</v>
      </c>
      <c r="D4081" s="159">
        <v>45125.0</v>
      </c>
      <c r="E4081" s="157" t="s">
        <v>731</v>
      </c>
      <c r="F4081" s="160">
        <v>12855.59</v>
      </c>
      <c r="G4081" s="160">
        <f>'FACP$'!$F4081*0.16</f>
        <v>2056.8944</v>
      </c>
      <c r="H4081" s="160">
        <f t="shared" si="124"/>
        <v>14912.4844</v>
      </c>
      <c r="I4081" s="160"/>
      <c r="J4081" s="161"/>
      <c r="K4081" s="160"/>
      <c r="L4081" s="160">
        <f>+'FACP$'!$H4081-'FACP$'!$I4081-'FACP$'!$K4081</f>
        <v>14912.4844</v>
      </c>
      <c r="M4081" s="162" t="s">
        <v>151</v>
      </c>
      <c r="N4081" s="162" t="s">
        <v>554</v>
      </c>
      <c r="O4081" s="164">
        <v>45152.0</v>
      </c>
      <c r="P4081" s="164">
        <f t="array" ref="P4081">XLOOKUP('FACP$'!$B4081,'perfil de pagos'!$A$4:$A$46,'perfil de pagos'!$B$4:$B$46+'FACP$'!$D4081)</f>
        <v>45155</v>
      </c>
      <c r="Q4081" s="165">
        <f t="shared" si="2"/>
        <v>0</v>
      </c>
      <c r="R4081" s="167"/>
      <c r="S4081" s="167">
        <v>2350.0</v>
      </c>
      <c r="T4081" s="168">
        <f t="shared" si="3"/>
        <v>14912.4844</v>
      </c>
      <c r="U4081" s="168">
        <f t="shared" si="4"/>
        <v>0</v>
      </c>
      <c r="V4081" s="168">
        <f t="shared" si="5"/>
        <v>0</v>
      </c>
      <c r="W4081" s="168">
        <f t="shared" si="6"/>
        <v>0</v>
      </c>
      <c r="X4081" s="168">
        <f t="shared" si="7"/>
        <v>0</v>
      </c>
      <c r="Y4081" s="168">
        <f t="shared" si="8"/>
        <v>0</v>
      </c>
      <c r="Z4081" s="168">
        <f t="shared" si="9"/>
        <v>0</v>
      </c>
    </row>
    <row r="4082" ht="15.0" customHeight="1">
      <c r="A4082" s="157" t="s">
        <v>5160</v>
      </c>
      <c r="B4082" s="158" t="s">
        <v>16</v>
      </c>
      <c r="C4082" s="158" t="s">
        <v>5140</v>
      </c>
      <c r="D4082" s="159">
        <v>45131.0</v>
      </c>
      <c r="E4082" s="157" t="s">
        <v>731</v>
      </c>
      <c r="F4082" s="160">
        <v>297347.4</v>
      </c>
      <c r="G4082" s="160">
        <f>'FACP$'!$F4082*0.16</f>
        <v>47575.584</v>
      </c>
      <c r="H4082" s="160">
        <f t="shared" si="124"/>
        <v>344922.984</v>
      </c>
      <c r="I4082" s="160"/>
      <c r="J4082" s="161"/>
      <c r="K4082" s="160"/>
      <c r="L4082" s="160">
        <f>+'FACP$'!$H4082-'FACP$'!$I4082-'FACP$'!$K4082</f>
        <v>344922.984</v>
      </c>
      <c r="M4082" s="162" t="s">
        <v>985</v>
      </c>
      <c r="N4082" s="162" t="s">
        <v>554</v>
      </c>
      <c r="O4082" s="164">
        <v>45138.0</v>
      </c>
      <c r="P4082" s="164">
        <f t="array" ref="P4082">XLOOKUP('FACP$'!$B4082,'perfil de pagos'!$A$4:$A$46,'perfil de pagos'!$B$4:$B$46+'FACP$'!$D4082)</f>
        <v>45141</v>
      </c>
      <c r="Q4082" s="165">
        <f t="shared" si="2"/>
        <v>0</v>
      </c>
      <c r="R4082" s="167"/>
      <c r="S4082" s="167">
        <v>2328.0</v>
      </c>
      <c r="T4082" s="168">
        <f t="shared" si="3"/>
        <v>344922.984</v>
      </c>
      <c r="U4082" s="168">
        <f t="shared" si="4"/>
        <v>0</v>
      </c>
      <c r="V4082" s="168">
        <f t="shared" si="5"/>
        <v>0</v>
      </c>
      <c r="W4082" s="168">
        <f t="shared" si="6"/>
        <v>0</v>
      </c>
      <c r="X4082" s="168">
        <f t="shared" si="7"/>
        <v>0</v>
      </c>
      <c r="Y4082" s="168">
        <f t="shared" si="8"/>
        <v>0</v>
      </c>
      <c r="Z4082" s="168">
        <f t="shared" si="9"/>
        <v>0</v>
      </c>
    </row>
    <row r="4083" ht="15.0" customHeight="1">
      <c r="A4083" s="157" t="s">
        <v>5161</v>
      </c>
      <c r="B4083" s="158" t="s">
        <v>16</v>
      </c>
      <c r="C4083" s="158" t="s">
        <v>5148</v>
      </c>
      <c r="D4083" s="159">
        <v>45131.0</v>
      </c>
      <c r="E4083" s="157" t="s">
        <v>731</v>
      </c>
      <c r="F4083" s="160">
        <v>456254.39</v>
      </c>
      <c r="G4083" s="160">
        <f>'FACP$'!$F4083*0.16</f>
        <v>73000.7024</v>
      </c>
      <c r="H4083" s="160">
        <f t="shared" si="124"/>
        <v>529255.0924</v>
      </c>
      <c r="I4083" s="160"/>
      <c r="J4083" s="161"/>
      <c r="K4083" s="160"/>
      <c r="L4083" s="160">
        <f>+'FACP$'!$H4083-'FACP$'!$I4083-'FACP$'!$K4083</f>
        <v>529255.0924</v>
      </c>
      <c r="M4083" s="162" t="s">
        <v>985</v>
      </c>
      <c r="N4083" s="162" t="s">
        <v>554</v>
      </c>
      <c r="O4083" s="164">
        <v>45138.0</v>
      </c>
      <c r="P4083" s="164">
        <f t="array" ref="P4083">XLOOKUP('FACP$'!$B4083,'perfil de pagos'!$A$4:$A$46,'perfil de pagos'!$B$4:$B$46+'FACP$'!$D4083)</f>
        <v>45141</v>
      </c>
      <c r="Q4083" s="165">
        <f t="shared" si="2"/>
        <v>0</v>
      </c>
      <c r="R4083" s="167"/>
      <c r="S4083" s="167">
        <v>2328.0</v>
      </c>
      <c r="T4083" s="168">
        <f t="shared" si="3"/>
        <v>529255.0924</v>
      </c>
      <c r="U4083" s="168">
        <f t="shared" si="4"/>
        <v>0</v>
      </c>
      <c r="V4083" s="168">
        <f t="shared" si="5"/>
        <v>0</v>
      </c>
      <c r="W4083" s="168">
        <f t="shared" si="6"/>
        <v>0</v>
      </c>
      <c r="X4083" s="168">
        <f t="shared" si="7"/>
        <v>0</v>
      </c>
      <c r="Y4083" s="168">
        <f t="shared" si="8"/>
        <v>0</v>
      </c>
      <c r="Z4083" s="168">
        <f t="shared" si="9"/>
        <v>0</v>
      </c>
    </row>
    <row r="4084" ht="15.0" customHeight="1">
      <c r="A4084" s="157" t="s">
        <v>5162</v>
      </c>
      <c r="B4084" s="158" t="s">
        <v>18</v>
      </c>
      <c r="C4084" s="158" t="s">
        <v>5140</v>
      </c>
      <c r="D4084" s="159">
        <v>45131.0</v>
      </c>
      <c r="E4084" s="157" t="s">
        <v>731</v>
      </c>
      <c r="F4084" s="160">
        <v>67505.81</v>
      </c>
      <c r="G4084" s="160">
        <f>'FACP$'!$F4084*0.16</f>
        <v>10800.9296</v>
      </c>
      <c r="H4084" s="160">
        <f t="shared" si="124"/>
        <v>78306.7396</v>
      </c>
      <c r="I4084" s="160"/>
      <c r="J4084" s="161"/>
      <c r="K4084" s="160"/>
      <c r="L4084" s="160">
        <f>+'FACP$'!$H4084-'FACP$'!$I4084-'FACP$'!$K4084</f>
        <v>78306.7396</v>
      </c>
      <c r="M4084" s="162" t="s">
        <v>586</v>
      </c>
      <c r="N4084" s="162" t="s">
        <v>554</v>
      </c>
      <c r="O4084" s="164">
        <v>45208.0</v>
      </c>
      <c r="P4084" s="164">
        <f t="array" ref="P4084">XLOOKUP('FACP$'!$B4084,'perfil de pagos'!$A$4:$A$46,'perfil de pagos'!$B$4:$B$46+'FACP$'!$D4084)</f>
        <v>45141</v>
      </c>
      <c r="Q4084" s="165">
        <f t="shared" si="2"/>
        <v>0</v>
      </c>
      <c r="R4084" s="167"/>
      <c r="S4084" s="167">
        <v>2482.0</v>
      </c>
      <c r="T4084" s="168">
        <f t="shared" si="3"/>
        <v>78306.7396</v>
      </c>
      <c r="U4084" s="168">
        <f t="shared" si="4"/>
        <v>0</v>
      </c>
      <c r="V4084" s="168">
        <f t="shared" si="5"/>
        <v>0</v>
      </c>
      <c r="W4084" s="168">
        <f t="shared" si="6"/>
        <v>0</v>
      </c>
      <c r="X4084" s="168">
        <f t="shared" si="7"/>
        <v>0</v>
      </c>
      <c r="Y4084" s="168">
        <f t="shared" si="8"/>
        <v>0</v>
      </c>
      <c r="Z4084" s="168">
        <f t="shared" si="9"/>
        <v>0</v>
      </c>
    </row>
    <row r="4085" ht="15.0" customHeight="1">
      <c r="A4085" s="157" t="s">
        <v>5163</v>
      </c>
      <c r="B4085" s="158" t="s">
        <v>19</v>
      </c>
      <c r="C4085" s="158" t="s">
        <v>5140</v>
      </c>
      <c r="D4085" s="159">
        <v>45131.0</v>
      </c>
      <c r="E4085" s="157" t="s">
        <v>731</v>
      </c>
      <c r="F4085" s="160">
        <v>126731.33</v>
      </c>
      <c r="G4085" s="160">
        <f>'FACP$'!$F4085*0.16</f>
        <v>20277.0128</v>
      </c>
      <c r="H4085" s="160">
        <f t="shared" si="124"/>
        <v>147008.3428</v>
      </c>
      <c r="I4085" s="160"/>
      <c r="J4085" s="161"/>
      <c r="K4085" s="160"/>
      <c r="L4085" s="160">
        <f>+'FACP$'!$H4085-'FACP$'!$I4085-'FACP$'!$K4085</f>
        <v>147008.3428</v>
      </c>
      <c r="M4085" s="162" t="s">
        <v>732</v>
      </c>
      <c r="N4085" s="162" t="s">
        <v>554</v>
      </c>
      <c r="O4085" s="164">
        <v>45208.0</v>
      </c>
      <c r="P4085" s="164">
        <f t="array" ref="P4085">XLOOKUP('FACP$'!$B4085,'perfil de pagos'!$A$4:$A$46,'perfil de pagos'!$B$4:$B$46+'FACP$'!$D4085)</f>
        <v>45141</v>
      </c>
      <c r="Q4085" s="165">
        <f t="shared" si="2"/>
        <v>0</v>
      </c>
      <c r="R4085" s="167"/>
      <c r="S4085" s="167">
        <v>2482.0</v>
      </c>
      <c r="T4085" s="168">
        <f t="shared" si="3"/>
        <v>147008.3428</v>
      </c>
      <c r="U4085" s="168">
        <f t="shared" si="4"/>
        <v>0</v>
      </c>
      <c r="V4085" s="168">
        <f t="shared" si="5"/>
        <v>0</v>
      </c>
      <c r="W4085" s="168">
        <f t="shared" si="6"/>
        <v>0</v>
      </c>
      <c r="X4085" s="168">
        <f t="shared" si="7"/>
        <v>0</v>
      </c>
      <c r="Y4085" s="168">
        <f t="shared" si="8"/>
        <v>0</v>
      </c>
      <c r="Z4085" s="168">
        <f t="shared" si="9"/>
        <v>0</v>
      </c>
    </row>
    <row r="4086" ht="15.0" customHeight="1">
      <c r="A4086" s="157" t="s">
        <v>5164</v>
      </c>
      <c r="B4086" s="158" t="s">
        <v>25</v>
      </c>
      <c r="C4086" s="158" t="s">
        <v>5140</v>
      </c>
      <c r="D4086" s="159">
        <v>45131.0</v>
      </c>
      <c r="E4086" s="157" t="s">
        <v>731</v>
      </c>
      <c r="F4086" s="160">
        <v>45461.87</v>
      </c>
      <c r="G4086" s="160">
        <f>'FACP$'!$F4086*0.16</f>
        <v>7273.8992</v>
      </c>
      <c r="H4086" s="160">
        <f t="shared" si="124"/>
        <v>52735.7692</v>
      </c>
      <c r="I4086" s="160"/>
      <c r="J4086" s="161"/>
      <c r="K4086" s="160"/>
      <c r="L4086" s="160">
        <f>+'FACP$'!$H4086-'FACP$'!$I4086-'FACP$'!$K4086</f>
        <v>52735.7692</v>
      </c>
      <c r="M4086" s="162" t="s">
        <v>4388</v>
      </c>
      <c r="N4086" s="162" t="s">
        <v>554</v>
      </c>
      <c r="O4086" s="164">
        <v>45224.0</v>
      </c>
      <c r="P4086" s="164">
        <f t="array" ref="P4086">XLOOKUP('FACP$'!$B4086,'perfil de pagos'!$A$4:$A$46,'perfil de pagos'!$B$4:$B$46+'FACP$'!$D4086)</f>
        <v>45141</v>
      </c>
      <c r="Q4086" s="165">
        <f t="shared" si="2"/>
        <v>0</v>
      </c>
      <c r="R4086" s="167"/>
      <c r="S4086" s="167">
        <v>2523.0</v>
      </c>
      <c r="T4086" s="168">
        <f t="shared" si="3"/>
        <v>52735.7692</v>
      </c>
      <c r="U4086" s="168">
        <f t="shared" si="4"/>
        <v>0</v>
      </c>
      <c r="V4086" s="168">
        <f t="shared" si="5"/>
        <v>0</v>
      </c>
      <c r="W4086" s="168">
        <f t="shared" si="6"/>
        <v>0</v>
      </c>
      <c r="X4086" s="168">
        <f t="shared" si="7"/>
        <v>0</v>
      </c>
      <c r="Y4086" s="168">
        <f t="shared" si="8"/>
        <v>0</v>
      </c>
      <c r="Z4086" s="168">
        <f t="shared" si="9"/>
        <v>0</v>
      </c>
    </row>
    <row r="4087" ht="15.0" customHeight="1">
      <c r="A4087" s="157" t="s">
        <v>5165</v>
      </c>
      <c r="B4087" s="158" t="s">
        <v>22</v>
      </c>
      <c r="C4087" s="158" t="s">
        <v>5140</v>
      </c>
      <c r="D4087" s="159">
        <v>45131.0</v>
      </c>
      <c r="E4087" s="157" t="s">
        <v>731</v>
      </c>
      <c r="F4087" s="160">
        <v>143185.28</v>
      </c>
      <c r="G4087" s="160">
        <f>'FACP$'!$F4087*0.16</f>
        <v>22909.6448</v>
      </c>
      <c r="H4087" s="160">
        <f t="shared" si="124"/>
        <v>166094.9248</v>
      </c>
      <c r="I4087" s="160">
        <f>43036.7436+19825.34</f>
        <v>62862.0836</v>
      </c>
      <c r="J4087" s="161"/>
      <c r="K4087" s="160"/>
      <c r="L4087" s="160">
        <f>+'FACP$'!$H4087-'FACP$'!$I4087-'FACP$'!$K4087</f>
        <v>103232.8412</v>
      </c>
      <c r="M4087" s="162" t="s">
        <v>220</v>
      </c>
      <c r="N4087" s="162" t="s">
        <v>554</v>
      </c>
      <c r="O4087" s="164">
        <v>45162.0</v>
      </c>
      <c r="P4087" s="164">
        <f t="array" ref="P4087">XLOOKUP('FACP$'!$B4087,'perfil de pagos'!$A$4:$A$46,'perfil de pagos'!$B$4:$B$46+'FACP$'!$D4087)</f>
        <v>45141</v>
      </c>
      <c r="Q4087" s="165">
        <f t="shared" si="2"/>
        <v>0</v>
      </c>
      <c r="R4087" s="220" t="s">
        <v>5166</v>
      </c>
      <c r="S4087" s="167" t="s">
        <v>5167</v>
      </c>
      <c r="T4087" s="168">
        <f t="shared" si="3"/>
        <v>103232.8412</v>
      </c>
      <c r="U4087" s="168">
        <f t="shared" si="4"/>
        <v>0</v>
      </c>
      <c r="V4087" s="168">
        <f t="shared" si="5"/>
        <v>0</v>
      </c>
      <c r="W4087" s="168">
        <f t="shared" si="6"/>
        <v>0</v>
      </c>
      <c r="X4087" s="168">
        <f t="shared" si="7"/>
        <v>0</v>
      </c>
      <c r="Y4087" s="168">
        <f t="shared" si="8"/>
        <v>0</v>
      </c>
      <c r="Z4087" s="168">
        <f t="shared" si="9"/>
        <v>0</v>
      </c>
    </row>
    <row r="4088" ht="15.0" customHeight="1">
      <c r="A4088" s="157" t="s">
        <v>5168</v>
      </c>
      <c r="B4088" s="158" t="s">
        <v>37</v>
      </c>
      <c r="C4088" s="158" t="s">
        <v>5140</v>
      </c>
      <c r="D4088" s="159">
        <v>45131.0</v>
      </c>
      <c r="E4088" s="157" t="s">
        <v>731</v>
      </c>
      <c r="F4088" s="160">
        <v>1223138.52</v>
      </c>
      <c r="G4088" s="160">
        <f>'FACP$'!$F4088*0.16</f>
        <v>195702.1632</v>
      </c>
      <c r="H4088" s="160">
        <f t="shared" si="124"/>
        <v>1418840.683</v>
      </c>
      <c r="I4088" s="160"/>
      <c r="J4088" s="161"/>
      <c r="K4088" s="160"/>
      <c r="L4088" s="160">
        <f>+'FACP$'!$H4088-'FACP$'!$I4088-'FACP$'!$K4088</f>
        <v>1418840.683</v>
      </c>
      <c r="M4088" s="162" t="s">
        <v>116</v>
      </c>
      <c r="N4088" s="162" t="s">
        <v>554</v>
      </c>
      <c r="O4088" s="164">
        <v>45138.0</v>
      </c>
      <c r="P4088" s="164">
        <f t="array" ref="P4088">XLOOKUP('FACP$'!$B4088,'perfil de pagos'!$A$4:$A$46,'perfil de pagos'!$B$4:$B$46+'FACP$'!$D4088)</f>
        <v>45141</v>
      </c>
      <c r="Q4088" s="165">
        <f t="shared" si="2"/>
        <v>0</v>
      </c>
      <c r="R4088" s="167"/>
      <c r="S4088" s="167">
        <v>2329.0</v>
      </c>
      <c r="T4088" s="168">
        <f t="shared" si="3"/>
        <v>1418840.683</v>
      </c>
      <c r="U4088" s="168">
        <f t="shared" si="4"/>
        <v>0</v>
      </c>
      <c r="V4088" s="168">
        <f t="shared" si="5"/>
        <v>0</v>
      </c>
      <c r="W4088" s="168">
        <f t="shared" si="6"/>
        <v>0</v>
      </c>
      <c r="X4088" s="168">
        <f t="shared" si="7"/>
        <v>0</v>
      </c>
      <c r="Y4088" s="168">
        <f t="shared" si="8"/>
        <v>0</v>
      </c>
      <c r="Z4088" s="168">
        <f t="shared" si="9"/>
        <v>0</v>
      </c>
    </row>
    <row r="4089" ht="15.0" customHeight="1">
      <c r="A4089" s="157" t="s">
        <v>5169</v>
      </c>
      <c r="B4089" s="158" t="s">
        <v>40</v>
      </c>
      <c r="C4089" s="158" t="s">
        <v>5140</v>
      </c>
      <c r="D4089" s="159">
        <v>45131.0</v>
      </c>
      <c r="E4089" s="157" t="s">
        <v>731</v>
      </c>
      <c r="F4089" s="160">
        <v>47687.51</v>
      </c>
      <c r="G4089" s="160">
        <f>'FACP$'!$F4089*0.16</f>
        <v>7630.0016</v>
      </c>
      <c r="H4089" s="160">
        <f t="shared" si="124"/>
        <v>55317.5116</v>
      </c>
      <c r="I4089" s="160"/>
      <c r="J4089" s="161"/>
      <c r="K4089" s="160"/>
      <c r="L4089" s="160">
        <f>+'FACP$'!$H4089-'FACP$'!$I4089-'FACP$'!$K4089</f>
        <v>55317.5116</v>
      </c>
      <c r="M4089" s="162" t="s">
        <v>490</v>
      </c>
      <c r="N4089" s="162" t="s">
        <v>554</v>
      </c>
      <c r="O4089" s="164">
        <v>45168.0</v>
      </c>
      <c r="P4089" s="164">
        <f t="array" ref="P4089">XLOOKUP('FACP$'!$B4089,'perfil de pagos'!$A$4:$A$46,'perfil de pagos'!$B$4:$B$46+'FACP$'!$D4089)</f>
        <v>45161</v>
      </c>
      <c r="Q4089" s="165">
        <f t="shared" si="2"/>
        <v>0</v>
      </c>
      <c r="R4089" s="167"/>
      <c r="S4089" s="167">
        <v>2387.0</v>
      </c>
      <c r="T4089" s="168">
        <f t="shared" si="3"/>
        <v>55317.5116</v>
      </c>
      <c r="U4089" s="168">
        <f t="shared" si="4"/>
        <v>0</v>
      </c>
      <c r="V4089" s="168">
        <f t="shared" si="5"/>
        <v>0</v>
      </c>
      <c r="W4089" s="168">
        <f t="shared" si="6"/>
        <v>0</v>
      </c>
      <c r="X4089" s="168">
        <f t="shared" si="7"/>
        <v>0</v>
      </c>
      <c r="Y4089" s="168">
        <f t="shared" si="8"/>
        <v>0</v>
      </c>
      <c r="Z4089" s="168">
        <f t="shared" si="9"/>
        <v>0</v>
      </c>
    </row>
    <row r="4090" ht="15.0" customHeight="1">
      <c r="A4090" s="157" t="s">
        <v>5170</v>
      </c>
      <c r="B4090" s="158" t="s">
        <v>40</v>
      </c>
      <c r="C4090" s="158" t="s">
        <v>5148</v>
      </c>
      <c r="D4090" s="159">
        <v>45131.0</v>
      </c>
      <c r="E4090" s="157" t="s">
        <v>731</v>
      </c>
      <c r="F4090" s="160">
        <v>54695.69</v>
      </c>
      <c r="G4090" s="160">
        <f>'FACP$'!$F4090*0.16</f>
        <v>8751.3104</v>
      </c>
      <c r="H4090" s="160">
        <f t="shared" si="124"/>
        <v>63447.0004</v>
      </c>
      <c r="I4090" s="160"/>
      <c r="J4090" s="161"/>
      <c r="K4090" s="160"/>
      <c r="L4090" s="160">
        <f>+'FACP$'!$H4090-'FACP$'!$I4090-'FACP$'!$K4090</f>
        <v>63447.0004</v>
      </c>
      <c r="M4090" s="162" t="s">
        <v>490</v>
      </c>
      <c r="N4090" s="162" t="s">
        <v>554</v>
      </c>
      <c r="O4090" s="164">
        <v>45160.0</v>
      </c>
      <c r="P4090" s="164">
        <f t="array" ref="P4090">XLOOKUP('FACP$'!$B4090,'perfil de pagos'!$A$4:$A$46,'perfil de pagos'!$B$4:$B$46+'FACP$'!$D4090)</f>
        <v>45161</v>
      </c>
      <c r="Q4090" s="165">
        <f t="shared" si="2"/>
        <v>0</v>
      </c>
      <c r="R4090" s="167"/>
      <c r="S4090" s="167">
        <v>2366.0</v>
      </c>
      <c r="T4090" s="168">
        <f t="shared" si="3"/>
        <v>63447.0004</v>
      </c>
      <c r="U4090" s="168">
        <f t="shared" si="4"/>
        <v>0</v>
      </c>
      <c r="V4090" s="168">
        <f t="shared" si="5"/>
        <v>0</v>
      </c>
      <c r="W4090" s="168">
        <f t="shared" si="6"/>
        <v>0</v>
      </c>
      <c r="X4090" s="168">
        <f t="shared" si="7"/>
        <v>0</v>
      </c>
      <c r="Y4090" s="168">
        <f t="shared" si="8"/>
        <v>0</v>
      </c>
      <c r="Z4090" s="168">
        <f t="shared" si="9"/>
        <v>0</v>
      </c>
    </row>
    <row r="4091" ht="15.0" customHeight="1">
      <c r="A4091" s="157" t="s">
        <v>5171</v>
      </c>
      <c r="B4091" s="158" t="s">
        <v>38</v>
      </c>
      <c r="C4091" s="158" t="s">
        <v>5140</v>
      </c>
      <c r="D4091" s="159">
        <v>45131.0</v>
      </c>
      <c r="E4091" s="157" t="s">
        <v>731</v>
      </c>
      <c r="F4091" s="160">
        <v>112373.81</v>
      </c>
      <c r="G4091" s="160">
        <f>'FACP$'!$F4091*0.16</f>
        <v>17979.8096</v>
      </c>
      <c r="H4091" s="160">
        <f t="shared" si="124"/>
        <v>130353.6196</v>
      </c>
      <c r="I4091" s="160"/>
      <c r="J4091" s="161"/>
      <c r="K4091" s="160"/>
      <c r="L4091" s="160">
        <f>+'FACP$'!$H4091-'FACP$'!$I4091-'FACP$'!$K4091</f>
        <v>130353.6196</v>
      </c>
      <c r="M4091" s="162" t="s">
        <v>642</v>
      </c>
      <c r="N4091" s="162" t="s">
        <v>554</v>
      </c>
      <c r="O4091" s="164">
        <v>45162.0</v>
      </c>
      <c r="P4091" s="164">
        <f t="array" ref="P4091">XLOOKUP('FACP$'!$B4091,'perfil de pagos'!$A$4:$A$46,'perfil de pagos'!$B$4:$B$46+'FACP$'!$D4091)</f>
        <v>45161</v>
      </c>
      <c r="Q4091" s="165">
        <f t="shared" si="2"/>
        <v>0</v>
      </c>
      <c r="R4091" s="167"/>
      <c r="S4091" s="167">
        <v>2369.0</v>
      </c>
      <c r="T4091" s="168">
        <f t="shared" si="3"/>
        <v>130353.6196</v>
      </c>
      <c r="U4091" s="168">
        <f t="shared" si="4"/>
        <v>0</v>
      </c>
      <c r="V4091" s="168">
        <f t="shared" si="5"/>
        <v>0</v>
      </c>
      <c r="W4091" s="168">
        <f t="shared" si="6"/>
        <v>0</v>
      </c>
      <c r="X4091" s="168">
        <f t="shared" si="7"/>
        <v>0</v>
      </c>
      <c r="Y4091" s="168">
        <f t="shared" si="8"/>
        <v>0</v>
      </c>
      <c r="Z4091" s="168">
        <f t="shared" si="9"/>
        <v>0</v>
      </c>
    </row>
    <row r="4092" ht="15.0" customHeight="1">
      <c r="A4092" s="157" t="s">
        <v>5172</v>
      </c>
      <c r="B4092" s="158" t="s">
        <v>38</v>
      </c>
      <c r="C4092" s="158" t="s">
        <v>5140</v>
      </c>
      <c r="D4092" s="159">
        <v>45131.0</v>
      </c>
      <c r="E4092" s="157" t="s">
        <v>731</v>
      </c>
      <c r="F4092" s="160">
        <v>435463.92</v>
      </c>
      <c r="G4092" s="160">
        <f>'FACP$'!$F4092*0.16</f>
        <v>69674.2272</v>
      </c>
      <c r="H4092" s="160">
        <f t="shared" si="124"/>
        <v>505138.1472</v>
      </c>
      <c r="I4092" s="160"/>
      <c r="J4092" s="161"/>
      <c r="K4092" s="160"/>
      <c r="L4092" s="160">
        <f>+'FACP$'!$H4092-'FACP$'!$I4092-'FACP$'!$K4092</f>
        <v>505138.1472</v>
      </c>
      <c r="M4092" s="162" t="s">
        <v>145</v>
      </c>
      <c r="N4092" s="162" t="s">
        <v>554</v>
      </c>
      <c r="O4092" s="164">
        <v>45162.0</v>
      </c>
      <c r="P4092" s="164">
        <f t="array" ref="P4092">XLOOKUP('FACP$'!$B4092,'perfil de pagos'!$A$4:$A$46,'perfil de pagos'!$B$4:$B$46+'FACP$'!$D4092)</f>
        <v>45161</v>
      </c>
      <c r="Q4092" s="165">
        <f t="shared" si="2"/>
        <v>0</v>
      </c>
      <c r="R4092" s="167"/>
      <c r="S4092" s="167">
        <v>2369.0</v>
      </c>
      <c r="T4092" s="168">
        <f t="shared" si="3"/>
        <v>505138.1472</v>
      </c>
      <c r="U4092" s="168">
        <f t="shared" si="4"/>
        <v>0</v>
      </c>
      <c r="V4092" s="168">
        <f t="shared" si="5"/>
        <v>0</v>
      </c>
      <c r="W4092" s="168">
        <f t="shared" si="6"/>
        <v>0</v>
      </c>
      <c r="X4092" s="168">
        <f t="shared" si="7"/>
        <v>0</v>
      </c>
      <c r="Y4092" s="168">
        <f t="shared" si="8"/>
        <v>0</v>
      </c>
      <c r="Z4092" s="168">
        <f t="shared" si="9"/>
        <v>0</v>
      </c>
    </row>
    <row r="4093" ht="15.0" customHeight="1">
      <c r="A4093" s="157" t="s">
        <v>5173</v>
      </c>
      <c r="B4093" s="158" t="s">
        <v>31</v>
      </c>
      <c r="C4093" s="158" t="s">
        <v>5174</v>
      </c>
      <c r="D4093" s="159">
        <v>45132.0</v>
      </c>
      <c r="E4093" s="157" t="s">
        <v>731</v>
      </c>
      <c r="F4093" s="160">
        <v>18206.25</v>
      </c>
      <c r="G4093" s="160">
        <f>'FACP$'!$F4093*0.16</f>
        <v>2913</v>
      </c>
      <c r="H4093" s="160">
        <f t="shared" si="124"/>
        <v>21119.25</v>
      </c>
      <c r="I4093" s="160"/>
      <c r="J4093" s="161"/>
      <c r="K4093" s="160"/>
      <c r="L4093" s="160">
        <f>+'FACP$'!$H4093-'FACP$'!$I4093-'FACP$'!$K4093</f>
        <v>21119.25</v>
      </c>
      <c r="M4093" s="162" t="s">
        <v>3183</v>
      </c>
      <c r="N4093" s="162" t="s">
        <v>554</v>
      </c>
      <c r="O4093" s="164">
        <v>45133.0</v>
      </c>
      <c r="P4093" s="164">
        <f t="array" ref="P4093">XLOOKUP('FACP$'!$B4093,'perfil de pagos'!$A$4:$A$46,'perfil de pagos'!$B$4:$B$46+'FACP$'!$D4093)</f>
        <v>45135</v>
      </c>
      <c r="Q4093" s="165">
        <f t="shared" si="2"/>
        <v>0</v>
      </c>
      <c r="R4093" s="167"/>
      <c r="S4093" s="167">
        <v>2322.0</v>
      </c>
      <c r="T4093" s="168">
        <f t="shared" si="3"/>
        <v>21119.25</v>
      </c>
      <c r="U4093" s="168">
        <f t="shared" si="4"/>
        <v>0</v>
      </c>
      <c r="V4093" s="168">
        <f t="shared" si="5"/>
        <v>0</v>
      </c>
      <c r="W4093" s="168">
        <f t="shared" si="6"/>
        <v>0</v>
      </c>
      <c r="X4093" s="168">
        <f t="shared" si="7"/>
        <v>0</v>
      </c>
      <c r="Y4093" s="168">
        <f t="shared" si="8"/>
        <v>0</v>
      </c>
      <c r="Z4093" s="168">
        <f t="shared" si="9"/>
        <v>0</v>
      </c>
    </row>
    <row r="4094" ht="15.0" customHeight="1">
      <c r="A4094" s="157" t="s">
        <v>5175</v>
      </c>
      <c r="B4094" s="158" t="s">
        <v>32</v>
      </c>
      <c r="C4094" s="158" t="s">
        <v>5176</v>
      </c>
      <c r="D4094" s="159">
        <v>45133.0</v>
      </c>
      <c r="E4094" s="157" t="s">
        <v>731</v>
      </c>
      <c r="F4094" s="160">
        <v>16916.83</v>
      </c>
      <c r="G4094" s="160">
        <f>'FACP$'!$F4094*0.16</f>
        <v>2706.6928</v>
      </c>
      <c r="H4094" s="160">
        <f t="shared" si="124"/>
        <v>19623.5228</v>
      </c>
      <c r="I4094" s="160"/>
      <c r="J4094" s="161"/>
      <c r="K4094" s="160"/>
      <c r="L4094" s="160">
        <f>+'FACP$'!$H4094-'FACP$'!$I4094-'FACP$'!$K4094</f>
        <v>19623.5228</v>
      </c>
      <c r="M4094" s="162" t="s">
        <v>395</v>
      </c>
      <c r="N4094" s="162" t="s">
        <v>554</v>
      </c>
      <c r="O4094" s="164">
        <v>45135.0</v>
      </c>
      <c r="P4094" s="164">
        <f t="array" ref="P4094">XLOOKUP('FACP$'!$B4094,'perfil de pagos'!$A$4:$A$46,'perfil de pagos'!$B$4:$B$46+'FACP$'!$D4094)</f>
        <v>45143</v>
      </c>
      <c r="Q4094" s="165">
        <f t="shared" si="2"/>
        <v>0</v>
      </c>
      <c r="R4094" s="167"/>
      <c r="S4094" s="167">
        <v>2326.0</v>
      </c>
      <c r="T4094" s="168">
        <f t="shared" si="3"/>
        <v>19623.5228</v>
      </c>
      <c r="U4094" s="168">
        <f t="shared" si="4"/>
        <v>0</v>
      </c>
      <c r="V4094" s="168">
        <f t="shared" si="5"/>
        <v>0</v>
      </c>
      <c r="W4094" s="168">
        <f t="shared" si="6"/>
        <v>0</v>
      </c>
      <c r="X4094" s="168">
        <f t="shared" si="7"/>
        <v>0</v>
      </c>
      <c r="Y4094" s="168">
        <f t="shared" si="8"/>
        <v>0</v>
      </c>
      <c r="Z4094" s="168">
        <f t="shared" si="9"/>
        <v>0</v>
      </c>
    </row>
    <row r="4095" ht="15.0" customHeight="1">
      <c r="A4095" s="157" t="s">
        <v>5177</v>
      </c>
      <c r="B4095" s="158" t="s">
        <v>32</v>
      </c>
      <c r="C4095" s="158" t="s">
        <v>5178</v>
      </c>
      <c r="D4095" s="159">
        <v>45133.0</v>
      </c>
      <c r="E4095" s="157" t="s">
        <v>731</v>
      </c>
      <c r="F4095" s="160">
        <v>5327.13</v>
      </c>
      <c r="G4095" s="160">
        <f>'FACP$'!$F4095*0.16</f>
        <v>852.3408</v>
      </c>
      <c r="H4095" s="160">
        <f t="shared" si="124"/>
        <v>6179.4708</v>
      </c>
      <c r="I4095" s="160"/>
      <c r="J4095" s="161"/>
      <c r="K4095" s="160"/>
      <c r="L4095" s="160">
        <f>+'FACP$'!$H4095-'FACP$'!$I4095-'FACP$'!$K4095</f>
        <v>6179.4708</v>
      </c>
      <c r="M4095" s="162" t="s">
        <v>395</v>
      </c>
      <c r="N4095" s="162" t="s">
        <v>554</v>
      </c>
      <c r="O4095" s="164">
        <v>45135.0</v>
      </c>
      <c r="P4095" s="164">
        <f t="array" ref="P4095">XLOOKUP('FACP$'!$B4095,'perfil de pagos'!$A$4:$A$46,'perfil de pagos'!$B$4:$B$46+'FACP$'!$D4095)</f>
        <v>45143</v>
      </c>
      <c r="Q4095" s="165">
        <f t="shared" si="2"/>
        <v>0</v>
      </c>
      <c r="R4095" s="167"/>
      <c r="S4095" s="167">
        <v>2326.0</v>
      </c>
      <c r="T4095" s="168">
        <f t="shared" si="3"/>
        <v>6179.4708</v>
      </c>
      <c r="U4095" s="168">
        <f t="shared" si="4"/>
        <v>0</v>
      </c>
      <c r="V4095" s="168">
        <f t="shared" si="5"/>
        <v>0</v>
      </c>
      <c r="W4095" s="168">
        <f t="shared" si="6"/>
        <v>0</v>
      </c>
      <c r="X4095" s="168">
        <f t="shared" si="7"/>
        <v>0</v>
      </c>
      <c r="Y4095" s="168">
        <f t="shared" si="8"/>
        <v>0</v>
      </c>
      <c r="Z4095" s="168">
        <f t="shared" si="9"/>
        <v>0</v>
      </c>
    </row>
    <row r="4096" ht="15.0" customHeight="1">
      <c r="A4096" s="157" t="s">
        <v>5179</v>
      </c>
      <c r="B4096" s="158" t="s">
        <v>32</v>
      </c>
      <c r="C4096" s="158" t="s">
        <v>5180</v>
      </c>
      <c r="D4096" s="159">
        <v>45133.0</v>
      </c>
      <c r="E4096" s="157" t="s">
        <v>731</v>
      </c>
      <c r="F4096" s="160">
        <v>1883.22</v>
      </c>
      <c r="G4096" s="160">
        <f>'FACP$'!$F4096*0.16</f>
        <v>301.3152</v>
      </c>
      <c r="H4096" s="160">
        <f t="shared" si="124"/>
        <v>2184.5352</v>
      </c>
      <c r="I4096" s="160"/>
      <c r="J4096" s="161"/>
      <c r="K4096" s="160"/>
      <c r="L4096" s="160">
        <f>+'FACP$'!$H4096-'FACP$'!$I4096-'FACP$'!$K4096</f>
        <v>2184.5352</v>
      </c>
      <c r="M4096" s="162" t="s">
        <v>395</v>
      </c>
      <c r="N4096" s="162" t="s">
        <v>554</v>
      </c>
      <c r="O4096" s="164">
        <v>45135.0</v>
      </c>
      <c r="P4096" s="164">
        <f t="array" ref="P4096">XLOOKUP('FACP$'!$B4096,'perfil de pagos'!$A$4:$A$46,'perfil de pagos'!$B$4:$B$46+'FACP$'!$D4096)</f>
        <v>45143</v>
      </c>
      <c r="Q4096" s="165">
        <f t="shared" si="2"/>
        <v>0</v>
      </c>
      <c r="R4096" s="167"/>
      <c r="S4096" s="167">
        <v>2326.0</v>
      </c>
      <c r="T4096" s="168">
        <f t="shared" si="3"/>
        <v>2184.5352</v>
      </c>
      <c r="U4096" s="168">
        <f t="shared" si="4"/>
        <v>0</v>
      </c>
      <c r="V4096" s="168">
        <f t="shared" si="5"/>
        <v>0</v>
      </c>
      <c r="W4096" s="168">
        <f t="shared" si="6"/>
        <v>0</v>
      </c>
      <c r="X4096" s="168">
        <f t="shared" si="7"/>
        <v>0</v>
      </c>
      <c r="Y4096" s="168">
        <f t="shared" si="8"/>
        <v>0</v>
      </c>
      <c r="Z4096" s="168">
        <f t="shared" si="9"/>
        <v>0</v>
      </c>
    </row>
    <row r="4097" ht="15.0" customHeight="1">
      <c r="A4097" s="157" t="s">
        <v>5181</v>
      </c>
      <c r="B4097" s="158" t="s">
        <v>31</v>
      </c>
      <c r="C4097" s="158" t="s">
        <v>5182</v>
      </c>
      <c r="D4097" s="159">
        <v>45134.0</v>
      </c>
      <c r="E4097" s="157" t="s">
        <v>731</v>
      </c>
      <c r="F4097" s="160">
        <v>17645.78</v>
      </c>
      <c r="G4097" s="160">
        <f>'FACP$'!$F4097*0.16</f>
        <v>2823.3248</v>
      </c>
      <c r="H4097" s="160">
        <f t="shared" si="124"/>
        <v>20469.1048</v>
      </c>
      <c r="I4097" s="160"/>
      <c r="J4097" s="161"/>
      <c r="K4097" s="160"/>
      <c r="L4097" s="160">
        <f>+'FACP$'!$H4097-'FACP$'!$I4097-'FACP$'!$K4097</f>
        <v>20469.1048</v>
      </c>
      <c r="M4097" s="162" t="s">
        <v>3183</v>
      </c>
      <c r="N4097" s="162" t="s">
        <v>554</v>
      </c>
      <c r="O4097" s="164">
        <v>45134.0</v>
      </c>
      <c r="P4097" s="164">
        <f t="array" ref="P4097">XLOOKUP('FACP$'!$B4097,'perfil de pagos'!$A$4:$A$46,'perfil de pagos'!$B$4:$B$46+'FACP$'!$D4097)</f>
        <v>45137</v>
      </c>
      <c r="Q4097" s="165">
        <f t="shared" si="2"/>
        <v>0</v>
      </c>
      <c r="R4097" s="220" t="s">
        <v>5183</v>
      </c>
      <c r="S4097" s="167">
        <v>2324.0</v>
      </c>
      <c r="T4097" s="168">
        <f t="shared" si="3"/>
        <v>20469.1048</v>
      </c>
      <c r="U4097" s="168">
        <f t="shared" si="4"/>
        <v>0</v>
      </c>
      <c r="V4097" s="168">
        <f t="shared" si="5"/>
        <v>0</v>
      </c>
      <c r="W4097" s="168">
        <f t="shared" si="6"/>
        <v>0</v>
      </c>
      <c r="X4097" s="168">
        <f t="shared" si="7"/>
        <v>0</v>
      </c>
      <c r="Y4097" s="168">
        <f t="shared" si="8"/>
        <v>0</v>
      </c>
      <c r="Z4097" s="168">
        <f t="shared" si="9"/>
        <v>0</v>
      </c>
    </row>
    <row r="4098" ht="15.0" customHeight="1">
      <c r="A4098" s="157" t="s">
        <v>5184</v>
      </c>
      <c r="B4098" s="158" t="s">
        <v>36</v>
      </c>
      <c r="C4098" s="158" t="s">
        <v>4970</v>
      </c>
      <c r="D4098" s="159">
        <v>45138.0</v>
      </c>
      <c r="E4098" s="157" t="s">
        <v>731</v>
      </c>
      <c r="F4098" s="160">
        <v>85348.69</v>
      </c>
      <c r="G4098" s="160">
        <f>'FACP$'!$F4098*0.16</f>
        <v>13655.7904</v>
      </c>
      <c r="H4098" s="160">
        <f t="shared" si="124"/>
        <v>99004.4804</v>
      </c>
      <c r="I4098" s="160"/>
      <c r="J4098" s="161"/>
      <c r="K4098" s="160"/>
      <c r="L4098" s="160">
        <f>+'FACP$'!$H4098-'FACP$'!$I4098-'FACP$'!$K4098</f>
        <v>99004.4804</v>
      </c>
      <c r="M4098" s="162" t="s">
        <v>278</v>
      </c>
      <c r="N4098" s="162" t="s">
        <v>554</v>
      </c>
      <c r="O4098" s="164"/>
      <c r="P4098" s="164">
        <f t="array" ref="P4098">XLOOKUP('FACP$'!$B4098,'perfil de pagos'!$A$4:$A$46,'perfil de pagos'!$B$4:$B$46+'FACP$'!$D4098)</f>
        <v>45148</v>
      </c>
      <c r="Q4098" s="165">
        <f t="shared" si="2"/>
        <v>0</v>
      </c>
      <c r="R4098" s="167" t="s">
        <v>5185</v>
      </c>
      <c r="S4098" s="167"/>
      <c r="T4098" s="168">
        <f t="shared" si="3"/>
        <v>99004.4804</v>
      </c>
      <c r="U4098" s="168">
        <f t="shared" si="4"/>
        <v>0</v>
      </c>
      <c r="V4098" s="168">
        <f t="shared" si="5"/>
        <v>0</v>
      </c>
      <c r="W4098" s="168">
        <f t="shared" si="6"/>
        <v>0</v>
      </c>
      <c r="X4098" s="168">
        <f t="shared" si="7"/>
        <v>0</v>
      </c>
      <c r="Y4098" s="168">
        <f t="shared" si="8"/>
        <v>0</v>
      </c>
      <c r="Z4098" s="168">
        <f t="shared" si="9"/>
        <v>0</v>
      </c>
    </row>
    <row r="4099" ht="15.0" customHeight="1">
      <c r="A4099" s="157" t="s">
        <v>5186</v>
      </c>
      <c r="B4099" s="158" t="s">
        <v>27</v>
      </c>
      <c r="C4099" s="158" t="s">
        <v>5187</v>
      </c>
      <c r="D4099" s="159">
        <v>45138.0</v>
      </c>
      <c r="E4099" s="157" t="s">
        <v>731</v>
      </c>
      <c r="F4099" s="160">
        <v>175755.51</v>
      </c>
      <c r="G4099" s="160">
        <f>'FACP$'!$F4099*0.16</f>
        <v>28120.8816</v>
      </c>
      <c r="H4099" s="160">
        <f t="shared" si="124"/>
        <v>203876.3916</v>
      </c>
      <c r="I4099" s="160"/>
      <c r="J4099" s="161"/>
      <c r="K4099" s="160"/>
      <c r="L4099" s="160">
        <f>+'FACP$'!$H4099-'FACP$'!$I4099-'FACP$'!$K4099</f>
        <v>203876.3916</v>
      </c>
      <c r="M4099" s="162" t="s">
        <v>158</v>
      </c>
      <c r="N4099" s="162" t="s">
        <v>554</v>
      </c>
      <c r="O4099" s="164">
        <v>45163.0</v>
      </c>
      <c r="P4099" s="164">
        <f t="array" ref="P4099">XLOOKUP('FACP$'!$B4099,'perfil de pagos'!$A$4:$A$46,'perfil de pagos'!$B$4:$B$46+'FACP$'!$D4099)</f>
        <v>45168</v>
      </c>
      <c r="Q4099" s="165">
        <f t="shared" si="2"/>
        <v>0</v>
      </c>
      <c r="R4099" s="167"/>
      <c r="S4099" s="167">
        <v>2373.0</v>
      </c>
      <c r="T4099" s="168">
        <f t="shared" si="3"/>
        <v>203876.3916</v>
      </c>
      <c r="U4099" s="168">
        <f t="shared" si="4"/>
        <v>0</v>
      </c>
      <c r="V4099" s="168">
        <f t="shared" si="5"/>
        <v>0</v>
      </c>
      <c r="W4099" s="168">
        <f t="shared" si="6"/>
        <v>0</v>
      </c>
      <c r="X4099" s="168">
        <f t="shared" si="7"/>
        <v>0</v>
      </c>
      <c r="Y4099" s="168">
        <f t="shared" si="8"/>
        <v>0</v>
      </c>
      <c r="Z4099" s="168">
        <f t="shared" si="9"/>
        <v>0</v>
      </c>
    </row>
    <row r="4100" ht="15.0" customHeight="1">
      <c r="A4100" s="157" t="s">
        <v>5188</v>
      </c>
      <c r="B4100" s="158" t="s">
        <v>27</v>
      </c>
      <c r="C4100" s="158" t="s">
        <v>5189</v>
      </c>
      <c r="D4100" s="159">
        <v>45138.0</v>
      </c>
      <c r="E4100" s="157" t="s">
        <v>731</v>
      </c>
      <c r="F4100" s="160">
        <v>148278.93</v>
      </c>
      <c r="G4100" s="160">
        <f>'FACP$'!$F4100*0.16</f>
        <v>23724.6288</v>
      </c>
      <c r="H4100" s="160">
        <f t="shared" si="124"/>
        <v>172003.5588</v>
      </c>
      <c r="I4100" s="160"/>
      <c r="J4100" s="161"/>
      <c r="K4100" s="160"/>
      <c r="L4100" s="160">
        <f>+'FACP$'!$H4100-'FACP$'!$I4100-'FACP$'!$K4100</f>
        <v>172003.5588</v>
      </c>
      <c r="M4100" s="162" t="s">
        <v>158</v>
      </c>
      <c r="N4100" s="162" t="s">
        <v>554</v>
      </c>
      <c r="O4100" s="164">
        <v>45163.0</v>
      </c>
      <c r="P4100" s="164">
        <f t="array" ref="P4100">XLOOKUP('FACP$'!$B4100,'perfil de pagos'!$A$4:$A$46,'perfil de pagos'!$B$4:$B$46+'FACP$'!$D4100)</f>
        <v>45168</v>
      </c>
      <c r="Q4100" s="165">
        <f t="shared" si="2"/>
        <v>0</v>
      </c>
      <c r="R4100" s="167"/>
      <c r="S4100" s="167">
        <v>2373.0</v>
      </c>
      <c r="T4100" s="168">
        <f t="shared" si="3"/>
        <v>172003.5588</v>
      </c>
      <c r="U4100" s="168">
        <f t="shared" si="4"/>
        <v>0</v>
      </c>
      <c r="V4100" s="168">
        <f t="shared" si="5"/>
        <v>0</v>
      </c>
      <c r="W4100" s="168">
        <f t="shared" si="6"/>
        <v>0</v>
      </c>
      <c r="X4100" s="168">
        <f t="shared" si="7"/>
        <v>0</v>
      </c>
      <c r="Y4100" s="168">
        <f t="shared" si="8"/>
        <v>0</v>
      </c>
      <c r="Z4100" s="168">
        <f t="shared" si="9"/>
        <v>0</v>
      </c>
    </row>
    <row r="4101" ht="15.0" customHeight="1">
      <c r="A4101" s="157" t="s">
        <v>5190</v>
      </c>
      <c r="B4101" s="158" t="s">
        <v>27</v>
      </c>
      <c r="C4101" s="158" t="s">
        <v>5187</v>
      </c>
      <c r="D4101" s="159">
        <v>45138.0</v>
      </c>
      <c r="E4101" s="157" t="s">
        <v>731</v>
      </c>
      <c r="F4101" s="160">
        <v>292225.12</v>
      </c>
      <c r="G4101" s="160">
        <f>'FACP$'!$F4101*0.16</f>
        <v>46756.0192</v>
      </c>
      <c r="H4101" s="160">
        <f t="shared" si="124"/>
        <v>338981.1392</v>
      </c>
      <c r="I4101" s="160"/>
      <c r="J4101" s="161"/>
      <c r="K4101" s="160"/>
      <c r="L4101" s="160">
        <f>+'FACP$'!$H4101-'FACP$'!$I4101-'FACP$'!$K4101</f>
        <v>338981.1392</v>
      </c>
      <c r="M4101" s="162" t="s">
        <v>151</v>
      </c>
      <c r="N4101" s="162" t="s">
        <v>554</v>
      </c>
      <c r="O4101" s="164">
        <v>45163.0</v>
      </c>
      <c r="P4101" s="164">
        <f t="array" ref="P4101">XLOOKUP('FACP$'!$B4101,'perfil de pagos'!$A$4:$A$46,'perfil de pagos'!$B$4:$B$46+'FACP$'!$D4101)</f>
        <v>45168</v>
      </c>
      <c r="Q4101" s="165">
        <f t="shared" si="2"/>
        <v>0</v>
      </c>
      <c r="R4101" s="167"/>
      <c r="S4101" s="167">
        <v>2374.0</v>
      </c>
      <c r="T4101" s="168">
        <f t="shared" si="3"/>
        <v>338981.1392</v>
      </c>
      <c r="U4101" s="168">
        <f t="shared" si="4"/>
        <v>0</v>
      </c>
      <c r="V4101" s="168">
        <f t="shared" si="5"/>
        <v>0</v>
      </c>
      <c r="W4101" s="168">
        <f t="shared" si="6"/>
        <v>0</v>
      </c>
      <c r="X4101" s="168">
        <f t="shared" si="7"/>
        <v>0</v>
      </c>
      <c r="Y4101" s="168">
        <f t="shared" si="8"/>
        <v>0</v>
      </c>
      <c r="Z4101" s="168">
        <f t="shared" si="9"/>
        <v>0</v>
      </c>
    </row>
    <row r="4102" ht="15.0" customHeight="1">
      <c r="A4102" s="157" t="s">
        <v>5191</v>
      </c>
      <c r="B4102" s="158" t="s">
        <v>27</v>
      </c>
      <c r="C4102" s="158" t="s">
        <v>5189</v>
      </c>
      <c r="D4102" s="159">
        <v>45138.0</v>
      </c>
      <c r="E4102" s="157" t="s">
        <v>731</v>
      </c>
      <c r="F4102" s="160">
        <v>256021.04</v>
      </c>
      <c r="G4102" s="160">
        <f>'FACP$'!$F4102*0.16</f>
        <v>40963.3664</v>
      </c>
      <c r="H4102" s="160">
        <f t="shared" si="124"/>
        <v>296984.4064</v>
      </c>
      <c r="I4102" s="160"/>
      <c r="J4102" s="161"/>
      <c r="K4102" s="160"/>
      <c r="L4102" s="160">
        <f>+'FACP$'!$H4102-'FACP$'!$I4102-'FACP$'!$K4102</f>
        <v>296984.4064</v>
      </c>
      <c r="M4102" s="162" t="s">
        <v>151</v>
      </c>
      <c r="N4102" s="162" t="s">
        <v>554</v>
      </c>
      <c r="O4102" s="164">
        <v>45163.0</v>
      </c>
      <c r="P4102" s="164">
        <f t="array" ref="P4102">XLOOKUP('FACP$'!$B4102,'perfil de pagos'!$A$4:$A$46,'perfil de pagos'!$B$4:$B$46+'FACP$'!$D4102)</f>
        <v>45168</v>
      </c>
      <c r="Q4102" s="165">
        <f t="shared" si="2"/>
        <v>0</v>
      </c>
      <c r="R4102" s="167"/>
      <c r="S4102" s="167">
        <v>2374.0</v>
      </c>
      <c r="T4102" s="168">
        <f t="shared" si="3"/>
        <v>296984.4064</v>
      </c>
      <c r="U4102" s="168">
        <f t="shared" si="4"/>
        <v>0</v>
      </c>
      <c r="V4102" s="168">
        <f t="shared" si="5"/>
        <v>0</v>
      </c>
      <c r="W4102" s="168">
        <f t="shared" si="6"/>
        <v>0</v>
      </c>
      <c r="X4102" s="168">
        <f t="shared" si="7"/>
        <v>0</v>
      </c>
      <c r="Y4102" s="168">
        <f t="shared" si="8"/>
        <v>0</v>
      </c>
      <c r="Z4102" s="168">
        <f t="shared" si="9"/>
        <v>0</v>
      </c>
    </row>
    <row r="4103" ht="15.0" customHeight="1">
      <c r="A4103" s="157" t="s">
        <v>5192</v>
      </c>
      <c r="B4103" s="158" t="s">
        <v>27</v>
      </c>
      <c r="C4103" s="158" t="s">
        <v>5193</v>
      </c>
      <c r="D4103" s="159">
        <v>45138.0</v>
      </c>
      <c r="E4103" s="157" t="s">
        <v>731</v>
      </c>
      <c r="F4103" s="160">
        <v>11538.72</v>
      </c>
      <c r="G4103" s="160">
        <f>'FACP$'!$F4103*0.16</f>
        <v>1846.1952</v>
      </c>
      <c r="H4103" s="160">
        <f t="shared" si="124"/>
        <v>13384.9152</v>
      </c>
      <c r="I4103" s="160"/>
      <c r="J4103" s="161"/>
      <c r="K4103" s="160"/>
      <c r="L4103" s="160">
        <f>+'FACP$'!$H4103-'FACP$'!$I4103-'FACP$'!$K4103</f>
        <v>13384.9152</v>
      </c>
      <c r="M4103" s="162" t="s">
        <v>151</v>
      </c>
      <c r="N4103" s="162" t="s">
        <v>554</v>
      </c>
      <c r="O4103" s="164">
        <v>45163.0</v>
      </c>
      <c r="P4103" s="164">
        <f t="array" ref="P4103">XLOOKUP('FACP$'!$B4103,'perfil de pagos'!$A$4:$A$46,'perfil de pagos'!$B$4:$B$46+'FACP$'!$D4103)</f>
        <v>45168</v>
      </c>
      <c r="Q4103" s="165">
        <f t="shared" si="2"/>
        <v>0</v>
      </c>
      <c r="R4103" s="167"/>
      <c r="S4103" s="167">
        <v>2374.0</v>
      </c>
      <c r="T4103" s="168">
        <f t="shared" si="3"/>
        <v>13384.9152</v>
      </c>
      <c r="U4103" s="168">
        <f t="shared" si="4"/>
        <v>0</v>
      </c>
      <c r="V4103" s="168">
        <f t="shared" si="5"/>
        <v>0</v>
      </c>
      <c r="W4103" s="168">
        <f t="shared" si="6"/>
        <v>0</v>
      </c>
      <c r="X4103" s="168">
        <f t="shared" si="7"/>
        <v>0</v>
      </c>
      <c r="Y4103" s="168">
        <f t="shared" si="8"/>
        <v>0</v>
      </c>
      <c r="Z4103" s="168">
        <f t="shared" si="9"/>
        <v>0</v>
      </c>
    </row>
    <row r="4104" ht="15.0" customHeight="1">
      <c r="A4104" s="157" t="s">
        <v>5194</v>
      </c>
      <c r="B4104" s="158" t="s">
        <v>27</v>
      </c>
      <c r="C4104" s="158" t="s">
        <v>5195</v>
      </c>
      <c r="D4104" s="159">
        <v>45138.0</v>
      </c>
      <c r="E4104" s="157" t="s">
        <v>731</v>
      </c>
      <c r="F4104" s="160">
        <v>13846.46</v>
      </c>
      <c r="G4104" s="160">
        <f>'FACP$'!$F4104*0.16</f>
        <v>2215.4336</v>
      </c>
      <c r="H4104" s="160">
        <f t="shared" si="124"/>
        <v>16061.8936</v>
      </c>
      <c r="I4104" s="160"/>
      <c r="J4104" s="161"/>
      <c r="K4104" s="160"/>
      <c r="L4104" s="160">
        <f>+'FACP$'!$H4104-'FACP$'!$I4104-'FACP$'!$K4104</f>
        <v>16061.8936</v>
      </c>
      <c r="M4104" s="162" t="s">
        <v>151</v>
      </c>
      <c r="N4104" s="162" t="s">
        <v>554</v>
      </c>
      <c r="O4104" s="164">
        <v>45163.0</v>
      </c>
      <c r="P4104" s="164">
        <f t="array" ref="P4104">XLOOKUP('FACP$'!$B4104,'perfil de pagos'!$A$4:$A$46,'perfil de pagos'!$B$4:$B$46+'FACP$'!$D4104)</f>
        <v>45168</v>
      </c>
      <c r="Q4104" s="165">
        <f t="shared" si="2"/>
        <v>0</v>
      </c>
      <c r="R4104" s="167"/>
      <c r="S4104" s="167">
        <v>2374.0</v>
      </c>
      <c r="T4104" s="168">
        <f t="shared" si="3"/>
        <v>16061.8936</v>
      </c>
      <c r="U4104" s="168">
        <f t="shared" si="4"/>
        <v>0</v>
      </c>
      <c r="V4104" s="168">
        <f t="shared" si="5"/>
        <v>0</v>
      </c>
      <c r="W4104" s="168">
        <f t="shared" si="6"/>
        <v>0</v>
      </c>
      <c r="X4104" s="168">
        <f t="shared" si="7"/>
        <v>0</v>
      </c>
      <c r="Y4104" s="168">
        <f t="shared" si="8"/>
        <v>0</v>
      </c>
      <c r="Z4104" s="168">
        <f t="shared" si="9"/>
        <v>0</v>
      </c>
    </row>
    <row r="4105" ht="15.0" customHeight="1">
      <c r="A4105" s="157" t="s">
        <v>5196</v>
      </c>
      <c r="B4105" s="158" t="s">
        <v>40</v>
      </c>
      <c r="C4105" s="158" t="s">
        <v>4851</v>
      </c>
      <c r="D4105" s="159">
        <v>45141.0</v>
      </c>
      <c r="E4105" s="157" t="s">
        <v>731</v>
      </c>
      <c r="F4105" s="160">
        <v>115300.0</v>
      </c>
      <c r="G4105" s="160">
        <f>'FACP$'!$F4105*0.16</f>
        <v>18448</v>
      </c>
      <c r="H4105" s="160">
        <f t="shared" si="124"/>
        <v>133748</v>
      </c>
      <c r="I4105" s="160"/>
      <c r="J4105" s="161"/>
      <c r="K4105" s="160"/>
      <c r="L4105" s="160">
        <f>+'FACP$'!$H4105-'FACP$'!$I4105-'FACP$'!$K4105</f>
        <v>133748</v>
      </c>
      <c r="M4105" s="162" t="s">
        <v>490</v>
      </c>
      <c r="N4105" s="162" t="s">
        <v>554</v>
      </c>
      <c r="O4105" s="164">
        <v>45160.0</v>
      </c>
      <c r="P4105" s="164">
        <f t="array" ref="P4105">XLOOKUP('FACP$'!$B4105,'perfil de pagos'!$A$4:$A$46,'perfil de pagos'!$B$4:$B$46+'FACP$'!$D4105)</f>
        <v>45171</v>
      </c>
      <c r="Q4105" s="165">
        <f t="shared" si="2"/>
        <v>0</v>
      </c>
      <c r="R4105" s="167"/>
      <c r="S4105" s="167">
        <v>2366.0</v>
      </c>
      <c r="T4105" s="168">
        <f t="shared" si="3"/>
        <v>133748</v>
      </c>
      <c r="U4105" s="168">
        <f t="shared" si="4"/>
        <v>0</v>
      </c>
      <c r="V4105" s="168">
        <f t="shared" si="5"/>
        <v>0</v>
      </c>
      <c r="W4105" s="168">
        <f t="shared" si="6"/>
        <v>0</v>
      </c>
      <c r="X4105" s="168">
        <f t="shared" si="7"/>
        <v>0</v>
      </c>
      <c r="Y4105" s="168">
        <f t="shared" si="8"/>
        <v>0</v>
      </c>
      <c r="Z4105" s="168">
        <f t="shared" si="9"/>
        <v>0</v>
      </c>
    </row>
    <row r="4106" ht="15.0" customHeight="1">
      <c r="A4106" s="157" t="s">
        <v>5197</v>
      </c>
      <c r="B4106" s="158" t="s">
        <v>15</v>
      </c>
      <c r="C4106" s="158" t="s">
        <v>5198</v>
      </c>
      <c r="D4106" s="159">
        <v>45142.0</v>
      </c>
      <c r="E4106" s="157" t="s">
        <v>731</v>
      </c>
      <c r="F4106" s="160">
        <v>287891.93</v>
      </c>
      <c r="G4106" s="160">
        <f>'FACP$'!$F4106*0.16</f>
        <v>46062.7088</v>
      </c>
      <c r="H4106" s="160">
        <f t="shared" si="124"/>
        <v>333954.6388</v>
      </c>
      <c r="I4106" s="160"/>
      <c r="J4106" s="161"/>
      <c r="K4106" s="160"/>
      <c r="L4106" s="160">
        <f>+'FACP$'!$H4106-'FACP$'!$I4106-'FACP$'!$K4106</f>
        <v>333954.6388</v>
      </c>
      <c r="M4106" s="162" t="s">
        <v>443</v>
      </c>
      <c r="N4106" s="162" t="s">
        <v>554</v>
      </c>
      <c r="O4106" s="164">
        <v>45160.0</v>
      </c>
      <c r="P4106" s="164">
        <f t="array" ref="P4106">XLOOKUP('FACP$'!$B4106,'perfil de pagos'!$A$4:$A$46,'perfil de pagos'!$B$4:$B$46+'FACP$'!$D4106)</f>
        <v>45152</v>
      </c>
      <c r="Q4106" s="165">
        <f t="shared" si="2"/>
        <v>0</v>
      </c>
      <c r="R4106" s="167"/>
      <c r="S4106" s="167">
        <v>2365.0</v>
      </c>
      <c r="T4106" s="168">
        <f t="shared" si="3"/>
        <v>333954.6388</v>
      </c>
      <c r="U4106" s="168">
        <f t="shared" si="4"/>
        <v>0</v>
      </c>
      <c r="V4106" s="168">
        <f t="shared" si="5"/>
        <v>0</v>
      </c>
      <c r="W4106" s="168">
        <f t="shared" si="6"/>
        <v>0</v>
      </c>
      <c r="X4106" s="168">
        <f t="shared" si="7"/>
        <v>0</v>
      </c>
      <c r="Y4106" s="168">
        <f t="shared" si="8"/>
        <v>0</v>
      </c>
      <c r="Z4106" s="168">
        <f t="shared" si="9"/>
        <v>0</v>
      </c>
    </row>
    <row r="4107" ht="15.0" customHeight="1">
      <c r="A4107" s="157" t="s">
        <v>5199</v>
      </c>
      <c r="B4107" s="158" t="s">
        <v>31</v>
      </c>
      <c r="C4107" s="158" t="s">
        <v>5200</v>
      </c>
      <c r="D4107" s="159">
        <v>45142.0</v>
      </c>
      <c r="E4107" s="157" t="s">
        <v>731</v>
      </c>
      <c r="F4107" s="160">
        <v>817.9</v>
      </c>
      <c r="G4107" s="160">
        <f>'FACP$'!$F4107*0.16</f>
        <v>130.864</v>
      </c>
      <c r="H4107" s="160">
        <f t="shared" si="124"/>
        <v>948.764</v>
      </c>
      <c r="I4107" s="160">
        <v>650.15</v>
      </c>
      <c r="J4107" s="161"/>
      <c r="K4107" s="160"/>
      <c r="L4107" s="160">
        <f>+'FACP$'!$H4107-'FACP$'!$I4107-'FACP$'!$K4107</f>
        <v>298.614</v>
      </c>
      <c r="M4107" s="162" t="s">
        <v>3183</v>
      </c>
      <c r="N4107" s="162" t="s">
        <v>554</v>
      </c>
      <c r="O4107" s="164">
        <v>45142.0</v>
      </c>
      <c r="P4107" s="164">
        <f t="array" ref="P4107">XLOOKUP('FACP$'!$B4107,'perfil de pagos'!$A$4:$A$46,'perfil de pagos'!$B$4:$B$46+'FACP$'!$D4107)</f>
        <v>45145</v>
      </c>
      <c r="Q4107" s="165">
        <f t="shared" si="2"/>
        <v>0</v>
      </c>
      <c r="R4107" s="220"/>
      <c r="S4107" s="167">
        <v>2324.0</v>
      </c>
      <c r="T4107" s="168">
        <f t="shared" si="3"/>
        <v>298.614</v>
      </c>
      <c r="U4107" s="168">
        <f t="shared" si="4"/>
        <v>0</v>
      </c>
      <c r="V4107" s="168">
        <f t="shared" si="5"/>
        <v>0</v>
      </c>
      <c r="W4107" s="168">
        <f t="shared" si="6"/>
        <v>0</v>
      </c>
      <c r="X4107" s="168">
        <f t="shared" si="7"/>
        <v>0</v>
      </c>
      <c r="Y4107" s="168">
        <f t="shared" si="8"/>
        <v>0</v>
      </c>
      <c r="Z4107" s="168">
        <f t="shared" si="9"/>
        <v>0</v>
      </c>
    </row>
    <row r="4108" ht="15.0" customHeight="1">
      <c r="A4108" s="157" t="s">
        <v>5201</v>
      </c>
      <c r="B4108" s="158" t="s">
        <v>35</v>
      </c>
      <c r="C4108" s="158" t="s">
        <v>5198</v>
      </c>
      <c r="D4108" s="159">
        <v>45142.0</v>
      </c>
      <c r="E4108" s="157" t="s">
        <v>731</v>
      </c>
      <c r="F4108" s="160">
        <v>3386.52</v>
      </c>
      <c r="G4108" s="160">
        <f>'FACP$'!$F4108*0.16</f>
        <v>541.8432</v>
      </c>
      <c r="H4108" s="160">
        <f t="shared" si="124"/>
        <v>3928.3632</v>
      </c>
      <c r="I4108" s="160"/>
      <c r="J4108" s="161"/>
      <c r="K4108" s="160"/>
      <c r="L4108" s="160">
        <f>+'FACP$'!$H4108-'FACP$'!$I4108-'FACP$'!$K4108</f>
        <v>3928.3632</v>
      </c>
      <c r="M4108" s="162" t="s">
        <v>276</v>
      </c>
      <c r="N4108" s="162" t="s">
        <v>554</v>
      </c>
      <c r="O4108" s="164">
        <v>45142.0</v>
      </c>
      <c r="P4108" s="164">
        <f t="array" ref="P4108">XLOOKUP('FACP$'!$B4108,'perfil de pagos'!$A$4:$A$46,'perfil de pagos'!$B$4:$B$46+'FACP$'!$D4108)</f>
        <v>45152</v>
      </c>
      <c r="Q4108" s="165">
        <f t="shared" si="2"/>
        <v>0</v>
      </c>
      <c r="R4108" s="167"/>
      <c r="S4108" s="167">
        <v>2629.0</v>
      </c>
      <c r="T4108" s="168">
        <f t="shared" si="3"/>
        <v>3928.3632</v>
      </c>
      <c r="U4108" s="168">
        <f t="shared" si="4"/>
        <v>0</v>
      </c>
      <c r="V4108" s="168">
        <f t="shared" si="5"/>
        <v>0</v>
      </c>
      <c r="W4108" s="168">
        <f t="shared" si="6"/>
        <v>0</v>
      </c>
      <c r="X4108" s="168">
        <f t="shared" si="7"/>
        <v>0</v>
      </c>
      <c r="Y4108" s="168">
        <f t="shared" si="8"/>
        <v>0</v>
      </c>
      <c r="Z4108" s="168">
        <f t="shared" si="9"/>
        <v>0</v>
      </c>
    </row>
    <row r="4109" ht="15.0" customHeight="1">
      <c r="A4109" s="157" t="s">
        <v>5202</v>
      </c>
      <c r="B4109" s="158" t="s">
        <v>41</v>
      </c>
      <c r="C4109" s="158" t="s">
        <v>5198</v>
      </c>
      <c r="D4109" s="159">
        <v>45142.0</v>
      </c>
      <c r="E4109" s="157" t="s">
        <v>731</v>
      </c>
      <c r="F4109" s="160">
        <v>212442.54</v>
      </c>
      <c r="G4109" s="160">
        <f>'FACP$'!$F4109*0.16</f>
        <v>33990.8064</v>
      </c>
      <c r="H4109" s="160">
        <f t="shared" si="124"/>
        <v>246433.3464</v>
      </c>
      <c r="I4109" s="160"/>
      <c r="J4109" s="161"/>
      <c r="K4109" s="160"/>
      <c r="L4109" s="160">
        <f>+'FACP$'!$H4109-'FACP$'!$I4109-'FACP$'!$K4109</f>
        <v>246433.3464</v>
      </c>
      <c r="M4109" s="162" t="s">
        <v>121</v>
      </c>
      <c r="N4109" s="162" t="s">
        <v>554</v>
      </c>
      <c r="O4109" s="164">
        <v>45170.0</v>
      </c>
      <c r="P4109" s="164">
        <f t="array" ref="P4109">XLOOKUP('FACP$'!$B4109,'perfil de pagos'!$A$4:$A$46,'perfil de pagos'!$B$4:$B$46+'FACP$'!$D4109)</f>
        <v>45152</v>
      </c>
      <c r="Q4109" s="165">
        <f t="shared" si="2"/>
        <v>0</v>
      </c>
      <c r="R4109" s="167"/>
      <c r="S4109" s="167">
        <v>2391.0</v>
      </c>
      <c r="T4109" s="168">
        <f t="shared" si="3"/>
        <v>246433.3464</v>
      </c>
      <c r="U4109" s="168">
        <f t="shared" si="4"/>
        <v>0</v>
      </c>
      <c r="V4109" s="168">
        <f t="shared" si="5"/>
        <v>0</v>
      </c>
      <c r="W4109" s="168">
        <f t="shared" si="6"/>
        <v>0</v>
      </c>
      <c r="X4109" s="168">
        <f t="shared" si="7"/>
        <v>0</v>
      </c>
      <c r="Y4109" s="168">
        <f t="shared" si="8"/>
        <v>0</v>
      </c>
      <c r="Z4109" s="168">
        <f t="shared" si="9"/>
        <v>0</v>
      </c>
    </row>
    <row r="4110" ht="15.0" customHeight="1">
      <c r="A4110" s="157" t="s">
        <v>5203</v>
      </c>
      <c r="B4110" s="158" t="s">
        <v>42</v>
      </c>
      <c r="C4110" s="158" t="s">
        <v>5198</v>
      </c>
      <c r="D4110" s="159">
        <v>45142.0</v>
      </c>
      <c r="E4110" s="157" t="s">
        <v>731</v>
      </c>
      <c r="F4110" s="160">
        <v>78621.42</v>
      </c>
      <c r="G4110" s="160">
        <f>'FACP$'!$F4110*0.16</f>
        <v>12579.4272</v>
      </c>
      <c r="H4110" s="160">
        <f t="shared" si="124"/>
        <v>91200.8472</v>
      </c>
      <c r="I4110" s="160"/>
      <c r="J4110" s="161"/>
      <c r="K4110" s="160"/>
      <c r="L4110" s="160">
        <f>+'FACP$'!$H4110-'FACP$'!$I4110-'FACP$'!$K4110</f>
        <v>91200.8472</v>
      </c>
      <c r="M4110" s="162" t="s">
        <v>42</v>
      </c>
      <c r="N4110" s="162" t="s">
        <v>554</v>
      </c>
      <c r="O4110" s="164">
        <v>45162.0</v>
      </c>
      <c r="P4110" s="164">
        <f t="array" ref="P4110">XLOOKUP('FACP$'!$B4110,'perfil de pagos'!$A$4:$A$46,'perfil de pagos'!$B$4:$B$46+'FACP$'!$D4110)</f>
        <v>45152</v>
      </c>
      <c r="Q4110" s="165">
        <f t="shared" si="2"/>
        <v>0</v>
      </c>
      <c r="R4110" s="167"/>
      <c r="S4110" s="167">
        <v>2371.0</v>
      </c>
      <c r="T4110" s="168">
        <f t="shared" si="3"/>
        <v>91200.8472</v>
      </c>
      <c r="U4110" s="168">
        <f t="shared" si="4"/>
        <v>0</v>
      </c>
      <c r="V4110" s="168">
        <f t="shared" si="5"/>
        <v>0</v>
      </c>
      <c r="W4110" s="168">
        <f t="shared" si="6"/>
        <v>0</v>
      </c>
      <c r="X4110" s="168">
        <f t="shared" si="7"/>
        <v>0</v>
      </c>
      <c r="Y4110" s="168">
        <f t="shared" si="8"/>
        <v>0</v>
      </c>
      <c r="Z4110" s="168">
        <f t="shared" si="9"/>
        <v>0</v>
      </c>
    </row>
    <row r="4111" ht="15.0" customHeight="1">
      <c r="A4111" s="157" t="s">
        <v>5204</v>
      </c>
      <c r="B4111" s="158" t="s">
        <v>43</v>
      </c>
      <c r="C4111" s="158" t="s">
        <v>5198</v>
      </c>
      <c r="D4111" s="159">
        <v>45142.0</v>
      </c>
      <c r="E4111" s="157" t="s">
        <v>731</v>
      </c>
      <c r="F4111" s="160">
        <v>256051.04</v>
      </c>
      <c r="G4111" s="160">
        <f>'FACP$'!$F4111*0.16</f>
        <v>40968.1664</v>
      </c>
      <c r="H4111" s="160">
        <f t="shared" si="124"/>
        <v>297019.2064</v>
      </c>
      <c r="I4111" s="160"/>
      <c r="J4111" s="161">
        <f>+'NCP$'!A248</f>
        <v>334</v>
      </c>
      <c r="K4111" s="160">
        <f>+'NCP$'!H248</f>
        <v>818.786</v>
      </c>
      <c r="L4111" s="160">
        <f>+'FACP$'!$H4111-'FACP$'!$I4111-'FACP$'!$K4111</f>
        <v>296200.4204</v>
      </c>
      <c r="M4111" s="162" t="s">
        <v>43</v>
      </c>
      <c r="N4111" s="162" t="s">
        <v>554</v>
      </c>
      <c r="O4111" s="164">
        <v>45198.0</v>
      </c>
      <c r="P4111" s="164">
        <f t="array" ref="P4111">XLOOKUP('FACP$'!$B4111,'perfil de pagos'!$A$4:$A$46,'perfil de pagos'!$B$4:$B$46+'FACP$'!$D4111)</f>
        <v>45167</v>
      </c>
      <c r="Q4111" s="165">
        <f t="shared" si="2"/>
        <v>0</v>
      </c>
      <c r="R4111" s="167"/>
      <c r="S4111" s="167">
        <v>2453.0</v>
      </c>
      <c r="T4111" s="168">
        <f t="shared" si="3"/>
        <v>296200.4204</v>
      </c>
      <c r="U4111" s="168">
        <f t="shared" si="4"/>
        <v>0</v>
      </c>
      <c r="V4111" s="168">
        <f t="shared" si="5"/>
        <v>0</v>
      </c>
      <c r="W4111" s="168">
        <f t="shared" si="6"/>
        <v>0</v>
      </c>
      <c r="X4111" s="168">
        <f t="shared" si="7"/>
        <v>0</v>
      </c>
      <c r="Y4111" s="168">
        <f t="shared" si="8"/>
        <v>0</v>
      </c>
      <c r="Z4111" s="168">
        <f t="shared" si="9"/>
        <v>0</v>
      </c>
    </row>
    <row r="4112" ht="15.0" customHeight="1">
      <c r="A4112" s="157" t="s">
        <v>5205</v>
      </c>
      <c r="B4112" s="158" t="s">
        <v>44</v>
      </c>
      <c r="C4112" s="158" t="s">
        <v>5198</v>
      </c>
      <c r="D4112" s="159">
        <v>45142.0</v>
      </c>
      <c r="E4112" s="157" t="s">
        <v>731</v>
      </c>
      <c r="F4112" s="160">
        <v>66660.63</v>
      </c>
      <c r="G4112" s="160">
        <f>'FACP$'!$F4112*0.16</f>
        <v>10665.7008</v>
      </c>
      <c r="H4112" s="160">
        <f t="shared" si="124"/>
        <v>77326.3308</v>
      </c>
      <c r="I4112" s="160"/>
      <c r="J4112" s="161"/>
      <c r="K4112" s="160"/>
      <c r="L4112" s="160">
        <f>+'FACP$'!$H4112-'FACP$'!$I4112-'FACP$'!$K4112</f>
        <v>77326.3308</v>
      </c>
      <c r="M4112" s="162" t="s">
        <v>361</v>
      </c>
      <c r="N4112" s="162" t="s">
        <v>554</v>
      </c>
      <c r="O4112" s="164">
        <v>45034.0</v>
      </c>
      <c r="P4112" s="164">
        <f t="array" ref="P4112">XLOOKUP('FACP$'!$B4112,'perfil de pagos'!$A$4:$A$46,'perfil de pagos'!$B$4:$B$46+'FACP$'!$D4112)</f>
        <v>45152</v>
      </c>
      <c r="Q4112" s="165">
        <f t="shared" si="2"/>
        <v>0</v>
      </c>
      <c r="R4112" s="167"/>
      <c r="S4112" s="167">
        <v>2362.0</v>
      </c>
      <c r="T4112" s="168">
        <f t="shared" si="3"/>
        <v>77326.3308</v>
      </c>
      <c r="U4112" s="168">
        <f t="shared" si="4"/>
        <v>0</v>
      </c>
      <c r="V4112" s="168">
        <f t="shared" si="5"/>
        <v>0</v>
      </c>
      <c r="W4112" s="168">
        <f t="shared" si="6"/>
        <v>0</v>
      </c>
      <c r="X4112" s="168">
        <f t="shared" si="7"/>
        <v>0</v>
      </c>
      <c r="Y4112" s="168">
        <f t="shared" si="8"/>
        <v>0</v>
      </c>
      <c r="Z4112" s="168">
        <f t="shared" si="9"/>
        <v>0</v>
      </c>
    </row>
    <row r="4113" ht="15.0" customHeight="1">
      <c r="A4113" s="157" t="s">
        <v>5206</v>
      </c>
      <c r="B4113" s="158" t="s">
        <v>27</v>
      </c>
      <c r="C4113" s="158" t="s">
        <v>5207</v>
      </c>
      <c r="D4113" s="159">
        <v>45142.0</v>
      </c>
      <c r="E4113" s="157" t="s">
        <v>731</v>
      </c>
      <c r="F4113" s="160">
        <v>13618.97</v>
      </c>
      <c r="G4113" s="160">
        <f>'FACP$'!$F4113*0.16</f>
        <v>2179.0352</v>
      </c>
      <c r="H4113" s="160">
        <f t="shared" si="124"/>
        <v>15798.0052</v>
      </c>
      <c r="I4113" s="160"/>
      <c r="J4113" s="161">
        <f>+'NCP$'!A249</f>
        <v>336</v>
      </c>
      <c r="K4113" s="160">
        <f>+'NCP$'!H249</f>
        <v>9116.1036</v>
      </c>
      <c r="L4113" s="160">
        <f>+'FACP$'!$H4113-'FACP$'!$I4113-'FACP$'!$K4113</f>
        <v>6681.9016</v>
      </c>
      <c r="M4113" s="162" t="s">
        <v>158</v>
      </c>
      <c r="N4113" s="162" t="s">
        <v>554</v>
      </c>
      <c r="O4113" s="164">
        <v>45169.0</v>
      </c>
      <c r="P4113" s="164">
        <f t="array" ref="P4113">XLOOKUP('FACP$'!$B4113,'perfil de pagos'!$A$4:$A$46,'perfil de pagos'!$B$4:$B$46+'FACP$'!$D4113)</f>
        <v>45172</v>
      </c>
      <c r="Q4113" s="165">
        <f t="shared" si="2"/>
        <v>0</v>
      </c>
      <c r="R4113" s="167"/>
      <c r="S4113" s="167">
        <v>2388.0</v>
      </c>
      <c r="T4113" s="168">
        <f t="shared" si="3"/>
        <v>6681.9016</v>
      </c>
      <c r="U4113" s="168">
        <f t="shared" si="4"/>
        <v>0</v>
      </c>
      <c r="V4113" s="168">
        <f t="shared" si="5"/>
        <v>0</v>
      </c>
      <c r="W4113" s="168">
        <f t="shared" si="6"/>
        <v>0</v>
      </c>
      <c r="X4113" s="168">
        <f t="shared" si="7"/>
        <v>0</v>
      </c>
      <c r="Y4113" s="168">
        <f t="shared" si="8"/>
        <v>0</v>
      </c>
      <c r="Z4113" s="168">
        <f t="shared" si="9"/>
        <v>0</v>
      </c>
    </row>
    <row r="4114" ht="15.0" customHeight="1">
      <c r="A4114" s="157" t="s">
        <v>5208</v>
      </c>
      <c r="B4114" s="158" t="s">
        <v>27</v>
      </c>
      <c r="C4114" s="158" t="s">
        <v>5209</v>
      </c>
      <c r="D4114" s="159">
        <v>45142.0</v>
      </c>
      <c r="E4114" s="157" t="s">
        <v>731</v>
      </c>
      <c r="F4114" s="160">
        <v>1031.9</v>
      </c>
      <c r="G4114" s="160">
        <f>'FACP$'!$F4114*0.16</f>
        <v>165.104</v>
      </c>
      <c r="H4114" s="160">
        <f t="shared" si="124"/>
        <v>1197.004</v>
      </c>
      <c r="I4114" s="160"/>
      <c r="J4114" s="161"/>
      <c r="K4114" s="160"/>
      <c r="L4114" s="160">
        <f>+'FACP$'!$H4114-'FACP$'!$I4114-'FACP$'!$K4114</f>
        <v>1197.004</v>
      </c>
      <c r="M4114" s="162" t="s">
        <v>158</v>
      </c>
      <c r="N4114" s="162" t="s">
        <v>554</v>
      </c>
      <c r="O4114" s="164">
        <v>45169.0</v>
      </c>
      <c r="P4114" s="164">
        <f t="array" ref="P4114">XLOOKUP('FACP$'!$B4114,'perfil de pagos'!$A$4:$A$46,'perfil de pagos'!$B$4:$B$46+'FACP$'!$D4114)</f>
        <v>45172</v>
      </c>
      <c r="Q4114" s="165">
        <f t="shared" si="2"/>
        <v>0</v>
      </c>
      <c r="R4114" s="167"/>
      <c r="S4114" s="167">
        <v>2388.0</v>
      </c>
      <c r="T4114" s="168">
        <f t="shared" si="3"/>
        <v>1197.004</v>
      </c>
      <c r="U4114" s="168">
        <f t="shared" si="4"/>
        <v>0</v>
      </c>
      <c r="V4114" s="168">
        <f t="shared" si="5"/>
        <v>0</v>
      </c>
      <c r="W4114" s="168">
        <f t="shared" si="6"/>
        <v>0</v>
      </c>
      <c r="X4114" s="168">
        <f t="shared" si="7"/>
        <v>0</v>
      </c>
      <c r="Y4114" s="168">
        <f t="shared" si="8"/>
        <v>0</v>
      </c>
      <c r="Z4114" s="168">
        <f t="shared" si="9"/>
        <v>0</v>
      </c>
    </row>
    <row r="4115" ht="15.0" customHeight="1">
      <c r="A4115" s="157" t="s">
        <v>5210</v>
      </c>
      <c r="B4115" s="158" t="s">
        <v>27</v>
      </c>
      <c r="C4115" s="158" t="s">
        <v>5207</v>
      </c>
      <c r="D4115" s="159">
        <v>45142.0</v>
      </c>
      <c r="E4115" s="157" t="s">
        <v>731</v>
      </c>
      <c r="F4115" s="160">
        <v>27311.56</v>
      </c>
      <c r="G4115" s="160">
        <f>'FACP$'!$F4115*0.16</f>
        <v>4369.8496</v>
      </c>
      <c r="H4115" s="160">
        <f t="shared" si="124"/>
        <v>31681.4096</v>
      </c>
      <c r="I4115" s="160"/>
      <c r="J4115" s="161">
        <f>+'NCP$'!A250</f>
        <v>337</v>
      </c>
      <c r="K4115" s="160">
        <f>+'NCP$'!H250</f>
        <v>1108.38</v>
      </c>
      <c r="L4115" s="160">
        <f>+'FACP$'!$H4115-'FACP$'!$I4115-'FACP$'!$K4115</f>
        <v>30573.0296</v>
      </c>
      <c r="M4115" s="162" t="s">
        <v>151</v>
      </c>
      <c r="N4115" s="162" t="s">
        <v>554</v>
      </c>
      <c r="O4115" s="164">
        <v>45169.0</v>
      </c>
      <c r="P4115" s="164">
        <f t="array" ref="P4115">XLOOKUP('FACP$'!$B4115,'perfil de pagos'!$A$4:$A$46,'perfil de pagos'!$B$4:$B$46+'FACP$'!$D4115)</f>
        <v>45172</v>
      </c>
      <c r="Q4115" s="165">
        <f t="shared" si="2"/>
        <v>0</v>
      </c>
      <c r="R4115" s="167"/>
      <c r="S4115" s="167">
        <v>2389.0</v>
      </c>
      <c r="T4115" s="168">
        <f t="shared" si="3"/>
        <v>30573.0296</v>
      </c>
      <c r="U4115" s="168">
        <f t="shared" si="4"/>
        <v>0</v>
      </c>
      <c r="V4115" s="168">
        <f t="shared" si="5"/>
        <v>0</v>
      </c>
      <c r="W4115" s="168">
        <f t="shared" si="6"/>
        <v>0</v>
      </c>
      <c r="X4115" s="168">
        <f t="shared" si="7"/>
        <v>0</v>
      </c>
      <c r="Y4115" s="168">
        <f t="shared" si="8"/>
        <v>0</v>
      </c>
      <c r="Z4115" s="168">
        <f t="shared" si="9"/>
        <v>0</v>
      </c>
    </row>
    <row r="4116" ht="15.0" customHeight="1">
      <c r="A4116" s="157" t="s">
        <v>5211</v>
      </c>
      <c r="B4116" s="158" t="s">
        <v>27</v>
      </c>
      <c r="C4116" s="158" t="s">
        <v>5209</v>
      </c>
      <c r="D4116" s="159">
        <v>45142.0</v>
      </c>
      <c r="E4116" s="157" t="s">
        <v>731</v>
      </c>
      <c r="F4116" s="160">
        <v>7048.14</v>
      </c>
      <c r="G4116" s="160">
        <f>'FACP$'!$F4116*0.16</f>
        <v>1127.7024</v>
      </c>
      <c r="H4116" s="160">
        <f t="shared" si="124"/>
        <v>8175.8424</v>
      </c>
      <c r="I4116" s="160"/>
      <c r="J4116" s="161"/>
      <c r="K4116" s="160"/>
      <c r="L4116" s="160">
        <f>+'FACP$'!$H4116-'FACP$'!$I4116-'FACP$'!$K4116</f>
        <v>8175.8424</v>
      </c>
      <c r="M4116" s="162" t="s">
        <v>151</v>
      </c>
      <c r="N4116" s="162" t="s">
        <v>554</v>
      </c>
      <c r="O4116" s="164">
        <v>45169.0</v>
      </c>
      <c r="P4116" s="164">
        <f t="array" ref="P4116">XLOOKUP('FACP$'!$B4116,'perfil de pagos'!$A$4:$A$46,'perfil de pagos'!$B$4:$B$46+'FACP$'!$D4116)</f>
        <v>45172</v>
      </c>
      <c r="Q4116" s="165">
        <f t="shared" si="2"/>
        <v>0</v>
      </c>
      <c r="R4116" s="167"/>
      <c r="S4116" s="167">
        <v>2389.0</v>
      </c>
      <c r="T4116" s="168">
        <f t="shared" si="3"/>
        <v>8175.8424</v>
      </c>
      <c r="U4116" s="168">
        <f t="shared" si="4"/>
        <v>0</v>
      </c>
      <c r="V4116" s="168">
        <f t="shared" si="5"/>
        <v>0</v>
      </c>
      <c r="W4116" s="168">
        <f t="shared" si="6"/>
        <v>0</v>
      </c>
      <c r="X4116" s="168">
        <f t="shared" si="7"/>
        <v>0</v>
      </c>
      <c r="Y4116" s="168">
        <f t="shared" si="8"/>
        <v>0</v>
      </c>
      <c r="Z4116" s="168">
        <f t="shared" si="9"/>
        <v>0</v>
      </c>
    </row>
    <row r="4117" ht="15.0" customHeight="1">
      <c r="A4117" s="157" t="s">
        <v>5212</v>
      </c>
      <c r="B4117" s="158" t="s">
        <v>27</v>
      </c>
      <c r="C4117" s="158" t="s">
        <v>5213</v>
      </c>
      <c r="D4117" s="159">
        <v>45142.0</v>
      </c>
      <c r="E4117" s="157" t="s">
        <v>731</v>
      </c>
      <c r="F4117" s="160">
        <v>295.25</v>
      </c>
      <c r="G4117" s="160">
        <f>'FACP$'!$F4117*0.16</f>
        <v>47.24</v>
      </c>
      <c r="H4117" s="160">
        <f t="shared" si="124"/>
        <v>342.49</v>
      </c>
      <c r="I4117" s="160"/>
      <c r="J4117" s="161"/>
      <c r="K4117" s="160"/>
      <c r="L4117" s="160">
        <f>+'FACP$'!$H4117-'FACP$'!$I4117-'FACP$'!$K4117</f>
        <v>342.49</v>
      </c>
      <c r="M4117" s="162" t="s">
        <v>151</v>
      </c>
      <c r="N4117" s="162" t="s">
        <v>554</v>
      </c>
      <c r="O4117" s="164">
        <v>45169.0</v>
      </c>
      <c r="P4117" s="164">
        <f t="array" ref="P4117">XLOOKUP('FACP$'!$B4117,'perfil de pagos'!$A$4:$A$46,'perfil de pagos'!$B$4:$B$46+'FACP$'!$D4117)</f>
        <v>45172</v>
      </c>
      <c r="Q4117" s="165">
        <f t="shared" si="2"/>
        <v>0</v>
      </c>
      <c r="R4117" s="167"/>
      <c r="S4117" s="167">
        <v>2389.0</v>
      </c>
      <c r="T4117" s="168">
        <f t="shared" si="3"/>
        <v>342.49</v>
      </c>
      <c r="U4117" s="168">
        <f t="shared" si="4"/>
        <v>0</v>
      </c>
      <c r="V4117" s="168">
        <f t="shared" si="5"/>
        <v>0</v>
      </c>
      <c r="W4117" s="168">
        <f t="shared" si="6"/>
        <v>0</v>
      </c>
      <c r="X4117" s="168">
        <f t="shared" si="7"/>
        <v>0</v>
      </c>
      <c r="Y4117" s="168">
        <f t="shared" si="8"/>
        <v>0</v>
      </c>
      <c r="Z4117" s="168">
        <f t="shared" si="9"/>
        <v>0</v>
      </c>
    </row>
    <row r="4118" ht="15.0" customHeight="1">
      <c r="A4118" s="157" t="s">
        <v>5214</v>
      </c>
      <c r="B4118" s="158" t="s">
        <v>27</v>
      </c>
      <c r="C4118" s="158" t="s">
        <v>5215</v>
      </c>
      <c r="D4118" s="159">
        <v>45142.0</v>
      </c>
      <c r="E4118" s="157" t="s">
        <v>731</v>
      </c>
      <c r="F4118" s="160">
        <v>388.15</v>
      </c>
      <c r="G4118" s="160">
        <f>'FACP$'!$F4118*0.16</f>
        <v>62.104</v>
      </c>
      <c r="H4118" s="160">
        <f t="shared" si="124"/>
        <v>450.254</v>
      </c>
      <c r="I4118" s="160"/>
      <c r="J4118" s="161"/>
      <c r="K4118" s="160"/>
      <c r="L4118" s="160">
        <f>+'FACP$'!$H4118-'FACP$'!$I4118-'FACP$'!$K4118</f>
        <v>450.254</v>
      </c>
      <c r="M4118" s="162" t="s">
        <v>151</v>
      </c>
      <c r="N4118" s="162" t="s">
        <v>554</v>
      </c>
      <c r="O4118" s="164">
        <v>45169.0</v>
      </c>
      <c r="P4118" s="164">
        <f t="array" ref="P4118">XLOOKUP('FACP$'!$B4118,'perfil de pagos'!$A$4:$A$46,'perfil de pagos'!$B$4:$B$46+'FACP$'!$D4118)</f>
        <v>45172</v>
      </c>
      <c r="Q4118" s="165">
        <f t="shared" si="2"/>
        <v>0</v>
      </c>
      <c r="R4118" s="167"/>
      <c r="S4118" s="167">
        <v>2389.0</v>
      </c>
      <c r="T4118" s="168">
        <f t="shared" si="3"/>
        <v>450.254</v>
      </c>
      <c r="U4118" s="168">
        <f t="shared" si="4"/>
        <v>0</v>
      </c>
      <c r="V4118" s="168">
        <f t="shared" si="5"/>
        <v>0</v>
      </c>
      <c r="W4118" s="168">
        <f t="shared" si="6"/>
        <v>0</v>
      </c>
      <c r="X4118" s="168">
        <f t="shared" si="7"/>
        <v>0</v>
      </c>
      <c r="Y4118" s="168">
        <f t="shared" si="8"/>
        <v>0</v>
      </c>
      <c r="Z4118" s="168">
        <f t="shared" si="9"/>
        <v>0</v>
      </c>
    </row>
    <row r="4119" ht="15.0" customHeight="1">
      <c r="A4119" s="157" t="s">
        <v>5216</v>
      </c>
      <c r="B4119" s="158" t="s">
        <v>38</v>
      </c>
      <c r="C4119" s="158" t="s">
        <v>5198</v>
      </c>
      <c r="D4119" s="159">
        <v>45142.0</v>
      </c>
      <c r="E4119" s="157" t="s">
        <v>731</v>
      </c>
      <c r="F4119" s="160">
        <v>119345.41</v>
      </c>
      <c r="G4119" s="160">
        <f>'FACP$'!$F4119*0.16</f>
        <v>19095.2656</v>
      </c>
      <c r="H4119" s="160">
        <f t="shared" si="124"/>
        <v>138440.6756</v>
      </c>
      <c r="I4119" s="160"/>
      <c r="J4119" s="161"/>
      <c r="K4119" s="160"/>
      <c r="L4119" s="160">
        <f>+'FACP$'!$H4119-'FACP$'!$I4119-'FACP$'!$K4119</f>
        <v>138440.6756</v>
      </c>
      <c r="M4119" s="162" t="s">
        <v>4707</v>
      </c>
      <c r="N4119" s="162" t="s">
        <v>554</v>
      </c>
      <c r="O4119" s="164">
        <v>45162.0</v>
      </c>
      <c r="P4119" s="164">
        <f t="array" ref="P4119">XLOOKUP('FACP$'!$B4119,'perfil de pagos'!$A$4:$A$46,'perfil de pagos'!$B$4:$B$46+'FACP$'!$D4119)</f>
        <v>45172</v>
      </c>
      <c r="Q4119" s="165">
        <f t="shared" si="2"/>
        <v>0</v>
      </c>
      <c r="R4119" s="167"/>
      <c r="S4119" s="167">
        <v>2369.0</v>
      </c>
      <c r="T4119" s="168">
        <f t="shared" si="3"/>
        <v>138440.6756</v>
      </c>
      <c r="U4119" s="168">
        <f t="shared" si="4"/>
        <v>0</v>
      </c>
      <c r="V4119" s="168">
        <f t="shared" si="5"/>
        <v>0</v>
      </c>
      <c r="W4119" s="168">
        <f t="shared" si="6"/>
        <v>0</v>
      </c>
      <c r="X4119" s="168">
        <f t="shared" si="7"/>
        <v>0</v>
      </c>
      <c r="Y4119" s="168">
        <f t="shared" si="8"/>
        <v>0</v>
      </c>
      <c r="Z4119" s="168">
        <f t="shared" si="9"/>
        <v>0</v>
      </c>
    </row>
    <row r="4120" ht="15.0" customHeight="1">
      <c r="A4120" s="157" t="s">
        <v>5217</v>
      </c>
      <c r="B4120" s="158" t="s">
        <v>38</v>
      </c>
      <c r="C4120" s="158" t="s">
        <v>5218</v>
      </c>
      <c r="D4120" s="159">
        <v>45142.0</v>
      </c>
      <c r="E4120" s="157" t="s">
        <v>731</v>
      </c>
      <c r="F4120" s="160">
        <v>141402.69</v>
      </c>
      <c r="G4120" s="160">
        <f>'FACP$'!$F4120*0.16</f>
        <v>22624.4304</v>
      </c>
      <c r="H4120" s="160">
        <f t="shared" si="124"/>
        <v>164027.1204</v>
      </c>
      <c r="I4120" s="160"/>
      <c r="J4120" s="161"/>
      <c r="K4120" s="160"/>
      <c r="L4120" s="160">
        <f>+'FACP$'!$H4120-'FACP$'!$I4120-'FACP$'!$K4120</f>
        <v>164027.1204</v>
      </c>
      <c r="M4120" s="162" t="s">
        <v>4707</v>
      </c>
      <c r="N4120" s="162" t="s">
        <v>127</v>
      </c>
      <c r="O4120" s="164"/>
      <c r="P4120" s="164">
        <f t="array" ref="P4120">XLOOKUP('FACP$'!$B4120,'perfil de pagos'!$A$4:$A$46,'perfil de pagos'!$B$4:$B$46+'FACP$'!$D4120)</f>
        <v>45172</v>
      </c>
      <c r="Q4120" s="165">
        <f t="shared" si="2"/>
        <v>0</v>
      </c>
      <c r="R4120" s="167" t="s">
        <v>5219</v>
      </c>
      <c r="S4120" s="167"/>
      <c r="T4120" s="168">
        <f t="shared" si="3"/>
        <v>164027.1204</v>
      </c>
      <c r="U4120" s="168">
        <f t="shared" si="4"/>
        <v>0</v>
      </c>
      <c r="V4120" s="168">
        <f t="shared" si="5"/>
        <v>0</v>
      </c>
      <c r="W4120" s="168">
        <f t="shared" si="6"/>
        <v>0</v>
      </c>
      <c r="X4120" s="168">
        <f t="shared" si="7"/>
        <v>0</v>
      </c>
      <c r="Y4120" s="168">
        <f t="shared" si="8"/>
        <v>0</v>
      </c>
      <c r="Z4120" s="168">
        <f t="shared" si="9"/>
        <v>0</v>
      </c>
    </row>
    <row r="4121" ht="15.0" customHeight="1">
      <c r="A4121" s="157" t="s">
        <v>5220</v>
      </c>
      <c r="B4121" s="158" t="s">
        <v>38</v>
      </c>
      <c r="C4121" s="158" t="s">
        <v>5198</v>
      </c>
      <c r="D4121" s="159">
        <v>45142.0</v>
      </c>
      <c r="E4121" s="157" t="s">
        <v>731</v>
      </c>
      <c r="F4121" s="160">
        <v>235440.99</v>
      </c>
      <c r="G4121" s="160">
        <f>'FACP$'!$F4121*0.16</f>
        <v>37670.5584</v>
      </c>
      <c r="H4121" s="160">
        <f t="shared" si="124"/>
        <v>273111.5484</v>
      </c>
      <c r="I4121" s="160"/>
      <c r="J4121" s="161"/>
      <c r="K4121" s="160"/>
      <c r="L4121" s="160">
        <f>+'FACP$'!$H4121-'FACP$'!$I4121-'FACP$'!$K4121</f>
        <v>273111.5484</v>
      </c>
      <c r="M4121" s="162" t="s">
        <v>4654</v>
      </c>
      <c r="N4121" s="162" t="s">
        <v>554</v>
      </c>
      <c r="O4121" s="164">
        <v>45162.0</v>
      </c>
      <c r="P4121" s="164">
        <f t="array" ref="P4121">XLOOKUP('FACP$'!$B4121,'perfil de pagos'!$A$4:$A$46,'perfil de pagos'!$B$4:$B$46+'FACP$'!$D4121)</f>
        <v>45172</v>
      </c>
      <c r="Q4121" s="165">
        <f t="shared" si="2"/>
        <v>0</v>
      </c>
      <c r="R4121" s="167"/>
      <c r="S4121" s="167">
        <v>2369.0</v>
      </c>
      <c r="T4121" s="168">
        <f t="shared" si="3"/>
        <v>273111.5484</v>
      </c>
      <c r="U4121" s="168">
        <f t="shared" si="4"/>
        <v>0</v>
      </c>
      <c r="V4121" s="168">
        <f t="shared" si="5"/>
        <v>0</v>
      </c>
      <c r="W4121" s="168">
        <f t="shared" si="6"/>
        <v>0</v>
      </c>
      <c r="X4121" s="168">
        <f t="shared" si="7"/>
        <v>0</v>
      </c>
      <c r="Y4121" s="168">
        <f t="shared" si="8"/>
        <v>0</v>
      </c>
      <c r="Z4121" s="168">
        <f t="shared" si="9"/>
        <v>0</v>
      </c>
    </row>
    <row r="4122" ht="15.0" customHeight="1">
      <c r="A4122" s="157" t="s">
        <v>5221</v>
      </c>
      <c r="B4122" s="158" t="s">
        <v>31</v>
      </c>
      <c r="C4122" s="158" t="s">
        <v>5222</v>
      </c>
      <c r="D4122" s="159">
        <v>45142.0</v>
      </c>
      <c r="E4122" s="157" t="s">
        <v>731</v>
      </c>
      <c r="F4122" s="160">
        <v>18566.25</v>
      </c>
      <c r="G4122" s="160">
        <f>'FACP$'!$F4122*0.16</f>
        <v>2970.6</v>
      </c>
      <c r="H4122" s="160">
        <f t="shared" si="124"/>
        <v>21536.85</v>
      </c>
      <c r="I4122" s="160">
        <v>21119.25</v>
      </c>
      <c r="J4122" s="161"/>
      <c r="K4122" s="160"/>
      <c r="L4122" s="160">
        <f>+'FACP$'!$H4122-'FACP$'!$I4122-'FACP$'!$K4122</f>
        <v>417.6</v>
      </c>
      <c r="M4122" s="162" t="s">
        <v>3183</v>
      </c>
      <c r="N4122" s="162" t="s">
        <v>554</v>
      </c>
      <c r="O4122" s="164">
        <v>45149.0</v>
      </c>
      <c r="P4122" s="164">
        <f t="array" ref="P4122">XLOOKUP('FACP$'!$B4122,'perfil de pagos'!$A$4:$A$46,'perfil de pagos'!$B$4:$B$46+'FACP$'!$D4122)</f>
        <v>45145</v>
      </c>
      <c r="Q4122" s="165">
        <f t="shared" si="2"/>
        <v>0</v>
      </c>
      <c r="R4122" s="220" t="s">
        <v>5223</v>
      </c>
      <c r="S4122" s="167">
        <v>2333.0</v>
      </c>
      <c r="T4122" s="168">
        <f t="shared" si="3"/>
        <v>417.6</v>
      </c>
      <c r="U4122" s="168">
        <f t="shared" si="4"/>
        <v>0</v>
      </c>
      <c r="V4122" s="168">
        <f t="shared" si="5"/>
        <v>0</v>
      </c>
      <c r="W4122" s="168">
        <f t="shared" si="6"/>
        <v>0</v>
      </c>
      <c r="X4122" s="168">
        <f t="shared" si="7"/>
        <v>0</v>
      </c>
      <c r="Y4122" s="168">
        <f t="shared" si="8"/>
        <v>0</v>
      </c>
      <c r="Z4122" s="168">
        <f t="shared" si="9"/>
        <v>0</v>
      </c>
    </row>
    <row r="4123" ht="15.0" customHeight="1">
      <c r="A4123" s="157" t="s">
        <v>5224</v>
      </c>
      <c r="B4123" s="158" t="s">
        <v>38</v>
      </c>
      <c r="C4123" s="158" t="s">
        <v>5218</v>
      </c>
      <c r="D4123" s="159">
        <v>45142.0</v>
      </c>
      <c r="E4123" s="157" t="s">
        <v>731</v>
      </c>
      <c r="F4123" s="160">
        <v>171402.69</v>
      </c>
      <c r="G4123" s="160">
        <f>'FACP$'!$F4123*0.16</f>
        <v>27424.4304</v>
      </c>
      <c r="H4123" s="160">
        <f t="shared" si="124"/>
        <v>198827.1204</v>
      </c>
      <c r="I4123" s="160"/>
      <c r="J4123" s="161"/>
      <c r="K4123" s="160"/>
      <c r="L4123" s="160">
        <f>+'FACP$'!$H4123-'FACP$'!$I4123-'FACP$'!$K4123</f>
        <v>198827.1204</v>
      </c>
      <c r="M4123" s="162" t="s">
        <v>4707</v>
      </c>
      <c r="N4123" s="162" t="s">
        <v>554</v>
      </c>
      <c r="O4123" s="164">
        <v>45162.0</v>
      </c>
      <c r="P4123" s="164">
        <f t="array" ref="P4123">XLOOKUP('FACP$'!$B4123,'perfil de pagos'!$A$4:$A$46,'perfil de pagos'!$B$4:$B$46+'FACP$'!$D4123)</f>
        <v>45172</v>
      </c>
      <c r="Q4123" s="165">
        <f t="shared" si="2"/>
        <v>0</v>
      </c>
      <c r="R4123" s="167" t="s">
        <v>5225</v>
      </c>
      <c r="S4123" s="167">
        <v>2369.0</v>
      </c>
      <c r="T4123" s="168">
        <f t="shared" si="3"/>
        <v>198827.1204</v>
      </c>
      <c r="U4123" s="168">
        <f t="shared" si="4"/>
        <v>0</v>
      </c>
      <c r="V4123" s="168">
        <f t="shared" si="5"/>
        <v>0</v>
      </c>
      <c r="W4123" s="168">
        <f t="shared" si="6"/>
        <v>0</v>
      </c>
      <c r="X4123" s="168">
        <f t="shared" si="7"/>
        <v>0</v>
      </c>
      <c r="Y4123" s="168">
        <f t="shared" si="8"/>
        <v>0</v>
      </c>
      <c r="Z4123" s="168">
        <f t="shared" si="9"/>
        <v>0</v>
      </c>
    </row>
    <row r="4124" ht="15.0" customHeight="1">
      <c r="A4124" s="157" t="s">
        <v>5226</v>
      </c>
      <c r="B4124" s="158" t="s">
        <v>16</v>
      </c>
      <c r="C4124" s="158" t="s">
        <v>5198</v>
      </c>
      <c r="D4124" s="159">
        <v>45147.0</v>
      </c>
      <c r="E4124" s="157" t="s">
        <v>731</v>
      </c>
      <c r="F4124" s="160">
        <v>351681.47</v>
      </c>
      <c r="G4124" s="160">
        <f>'FACP$'!$F4124*0.16</f>
        <v>56269.0352</v>
      </c>
      <c r="H4124" s="160">
        <f t="shared" si="124"/>
        <v>407950.5052</v>
      </c>
      <c r="I4124" s="160"/>
      <c r="J4124" s="161"/>
      <c r="K4124" s="160"/>
      <c r="L4124" s="160">
        <f>+'FACP$'!$H4124-'FACP$'!$I4124-'FACP$'!$K4124</f>
        <v>407950.5052</v>
      </c>
      <c r="M4124" s="162" t="s">
        <v>985</v>
      </c>
      <c r="N4124" s="162" t="s">
        <v>554</v>
      </c>
      <c r="O4124" s="164">
        <v>45159.0</v>
      </c>
      <c r="P4124" s="164">
        <f t="array" ref="P4124">XLOOKUP('FACP$'!$B4124,'perfil de pagos'!$A$4:$A$46,'perfil de pagos'!$B$4:$B$46+'FACP$'!$D4124)</f>
        <v>45157</v>
      </c>
      <c r="Q4124" s="165">
        <f t="shared" si="2"/>
        <v>0</v>
      </c>
      <c r="R4124" s="167"/>
      <c r="S4124" s="167">
        <v>2363.0</v>
      </c>
      <c r="T4124" s="168">
        <f t="shared" si="3"/>
        <v>407950.5052</v>
      </c>
      <c r="U4124" s="168">
        <f t="shared" si="4"/>
        <v>0</v>
      </c>
      <c r="V4124" s="168">
        <f t="shared" si="5"/>
        <v>0</v>
      </c>
      <c r="W4124" s="168">
        <f t="shared" si="6"/>
        <v>0</v>
      </c>
      <c r="X4124" s="168">
        <f t="shared" si="7"/>
        <v>0</v>
      </c>
      <c r="Y4124" s="168">
        <f t="shared" si="8"/>
        <v>0</v>
      </c>
      <c r="Z4124" s="168">
        <f t="shared" si="9"/>
        <v>0</v>
      </c>
    </row>
    <row r="4125" ht="15.0" customHeight="1">
      <c r="A4125" s="157" t="s">
        <v>5227</v>
      </c>
      <c r="B4125" s="158" t="s">
        <v>16</v>
      </c>
      <c r="C4125" s="158" t="s">
        <v>5228</v>
      </c>
      <c r="D4125" s="159">
        <v>45147.0</v>
      </c>
      <c r="E4125" s="157" t="s">
        <v>731</v>
      </c>
      <c r="F4125" s="160">
        <v>513417.14</v>
      </c>
      <c r="G4125" s="160">
        <f>'FACP$'!$F4125*0.16</f>
        <v>82146.7424</v>
      </c>
      <c r="H4125" s="160">
        <f t="shared" si="124"/>
        <v>595563.8824</v>
      </c>
      <c r="I4125" s="160"/>
      <c r="J4125" s="161"/>
      <c r="K4125" s="160"/>
      <c r="L4125" s="160">
        <f>+'FACP$'!$H4125-'FACP$'!$I4125-'FACP$'!$K4125</f>
        <v>595563.8824</v>
      </c>
      <c r="M4125" s="162" t="s">
        <v>985</v>
      </c>
      <c r="N4125" s="162" t="s">
        <v>554</v>
      </c>
      <c r="O4125" s="164">
        <v>45159.0</v>
      </c>
      <c r="P4125" s="164">
        <f t="array" ref="P4125">XLOOKUP('FACP$'!$B4125,'perfil de pagos'!$A$4:$A$46,'perfil de pagos'!$B$4:$B$46+'FACP$'!$D4125)</f>
        <v>45157</v>
      </c>
      <c r="Q4125" s="165">
        <f t="shared" si="2"/>
        <v>0</v>
      </c>
      <c r="R4125" s="167"/>
      <c r="S4125" s="167">
        <v>2363.0</v>
      </c>
      <c r="T4125" s="168">
        <f t="shared" si="3"/>
        <v>595563.8824</v>
      </c>
      <c r="U4125" s="168">
        <f t="shared" si="4"/>
        <v>0</v>
      </c>
      <c r="V4125" s="168">
        <f t="shared" si="5"/>
        <v>0</v>
      </c>
      <c r="W4125" s="168">
        <f t="shared" si="6"/>
        <v>0</v>
      </c>
      <c r="X4125" s="168">
        <f t="shared" si="7"/>
        <v>0</v>
      </c>
      <c r="Y4125" s="168">
        <f t="shared" si="8"/>
        <v>0</v>
      </c>
      <c r="Z4125" s="168">
        <f t="shared" si="9"/>
        <v>0</v>
      </c>
    </row>
    <row r="4126" ht="15.0" customHeight="1">
      <c r="A4126" s="157" t="s">
        <v>5229</v>
      </c>
      <c r="B4126" s="158" t="s">
        <v>18</v>
      </c>
      <c r="C4126" s="158" t="s">
        <v>5198</v>
      </c>
      <c r="D4126" s="159">
        <v>45147.0</v>
      </c>
      <c r="E4126" s="157" t="s">
        <v>731</v>
      </c>
      <c r="F4126" s="160">
        <v>81713.45</v>
      </c>
      <c r="G4126" s="160">
        <f>'FACP$'!$F4126*0.16</f>
        <v>13074.152</v>
      </c>
      <c r="H4126" s="160">
        <f t="shared" si="124"/>
        <v>94787.602</v>
      </c>
      <c r="I4126" s="160"/>
      <c r="J4126" s="161"/>
      <c r="K4126" s="160"/>
      <c r="L4126" s="160">
        <f>+'FACP$'!$H4126-'FACP$'!$I4126-'FACP$'!$K4126</f>
        <v>94787.602</v>
      </c>
      <c r="M4126" s="162" t="s">
        <v>586</v>
      </c>
      <c r="N4126" s="162" t="s">
        <v>554</v>
      </c>
      <c r="O4126" s="164">
        <v>45208.0</v>
      </c>
      <c r="P4126" s="164">
        <f t="array" ref="P4126">XLOOKUP('FACP$'!$B4126,'perfil de pagos'!$A$4:$A$46,'perfil de pagos'!$B$4:$B$46+'FACP$'!$D4126)</f>
        <v>45157</v>
      </c>
      <c r="Q4126" s="165">
        <f t="shared" si="2"/>
        <v>0</v>
      </c>
      <c r="R4126" s="167"/>
      <c r="S4126" s="167">
        <v>2482.0</v>
      </c>
      <c r="T4126" s="168">
        <f t="shared" si="3"/>
        <v>94787.602</v>
      </c>
      <c r="U4126" s="168">
        <f t="shared" si="4"/>
        <v>0</v>
      </c>
      <c r="V4126" s="168">
        <f t="shared" si="5"/>
        <v>0</v>
      </c>
      <c r="W4126" s="168">
        <f t="shared" si="6"/>
        <v>0</v>
      </c>
      <c r="X4126" s="168">
        <f t="shared" si="7"/>
        <v>0</v>
      </c>
      <c r="Y4126" s="168">
        <f t="shared" si="8"/>
        <v>0</v>
      </c>
      <c r="Z4126" s="168">
        <f t="shared" si="9"/>
        <v>0</v>
      </c>
    </row>
    <row r="4127" ht="15.0" customHeight="1">
      <c r="A4127" s="157" t="s">
        <v>5230</v>
      </c>
      <c r="B4127" s="158" t="s">
        <v>19</v>
      </c>
      <c r="C4127" s="158" t="s">
        <v>5198</v>
      </c>
      <c r="D4127" s="159">
        <v>45147.0</v>
      </c>
      <c r="E4127" s="157" t="s">
        <v>731</v>
      </c>
      <c r="F4127" s="160">
        <v>178318.37</v>
      </c>
      <c r="G4127" s="160">
        <f>'FACP$'!$F4127*0.16</f>
        <v>28530.9392</v>
      </c>
      <c r="H4127" s="160">
        <f t="shared" si="124"/>
        <v>206849.3092</v>
      </c>
      <c r="I4127" s="160"/>
      <c r="J4127" s="161"/>
      <c r="K4127" s="160"/>
      <c r="L4127" s="160">
        <f>+'FACP$'!$H4127-'FACP$'!$I4127-'FACP$'!$K4127</f>
        <v>206849.3092</v>
      </c>
      <c r="M4127" s="162" t="s">
        <v>732</v>
      </c>
      <c r="N4127" s="162" t="s">
        <v>554</v>
      </c>
      <c r="O4127" s="164">
        <v>45208.0</v>
      </c>
      <c r="P4127" s="164">
        <f t="array" ref="P4127">XLOOKUP('FACP$'!$B4127,'perfil de pagos'!$A$4:$A$46,'perfil de pagos'!$B$4:$B$46+'FACP$'!$D4127)</f>
        <v>45157</v>
      </c>
      <c r="Q4127" s="165">
        <f t="shared" si="2"/>
        <v>0</v>
      </c>
      <c r="R4127" s="167"/>
      <c r="S4127" s="167">
        <v>2482.0</v>
      </c>
      <c r="T4127" s="168">
        <f t="shared" si="3"/>
        <v>206849.3092</v>
      </c>
      <c r="U4127" s="168">
        <f t="shared" si="4"/>
        <v>0</v>
      </c>
      <c r="V4127" s="168">
        <f t="shared" si="5"/>
        <v>0</v>
      </c>
      <c r="W4127" s="168">
        <f t="shared" si="6"/>
        <v>0</v>
      </c>
      <c r="X4127" s="168">
        <f t="shared" si="7"/>
        <v>0</v>
      </c>
      <c r="Y4127" s="168">
        <f t="shared" si="8"/>
        <v>0</v>
      </c>
      <c r="Z4127" s="168">
        <f t="shared" si="9"/>
        <v>0</v>
      </c>
    </row>
    <row r="4128" ht="15.0" customHeight="1">
      <c r="A4128" s="157" t="s">
        <v>5231</v>
      </c>
      <c r="B4128" s="158" t="s">
        <v>22</v>
      </c>
      <c r="C4128" s="158" t="s">
        <v>5198</v>
      </c>
      <c r="D4128" s="159">
        <v>45147.0</v>
      </c>
      <c r="E4128" s="157" t="s">
        <v>731</v>
      </c>
      <c r="F4128" s="160">
        <v>211352.19</v>
      </c>
      <c r="G4128" s="160">
        <f>'FACP$'!$F4128*0.16</f>
        <v>33816.3504</v>
      </c>
      <c r="H4128" s="160">
        <f t="shared" si="124"/>
        <v>245168.5404</v>
      </c>
      <c r="I4128" s="160"/>
      <c r="J4128" s="161"/>
      <c r="K4128" s="160"/>
      <c r="L4128" s="160">
        <f>+'FACP$'!$H4128-'FACP$'!$I4128-'FACP$'!$K4128</f>
        <v>245168.5404</v>
      </c>
      <c r="M4128" s="162" t="s">
        <v>220</v>
      </c>
      <c r="N4128" s="162" t="s">
        <v>554</v>
      </c>
      <c r="O4128" s="164">
        <v>45198.0</v>
      </c>
      <c r="P4128" s="164">
        <f t="array" ref="P4128">XLOOKUP('FACP$'!$B4128,'perfil de pagos'!$A$4:$A$46,'perfil de pagos'!$B$4:$B$46+'FACP$'!$D4128)</f>
        <v>45157</v>
      </c>
      <c r="Q4128" s="165">
        <f t="shared" si="2"/>
        <v>0</v>
      </c>
      <c r="R4128" s="167"/>
      <c r="S4128" s="167">
        <v>2454.0</v>
      </c>
      <c r="T4128" s="168">
        <f t="shared" si="3"/>
        <v>245168.5404</v>
      </c>
      <c r="U4128" s="168">
        <f t="shared" si="4"/>
        <v>0</v>
      </c>
      <c r="V4128" s="168">
        <f t="shared" si="5"/>
        <v>0</v>
      </c>
      <c r="W4128" s="168">
        <f t="shared" si="6"/>
        <v>0</v>
      </c>
      <c r="X4128" s="168">
        <f t="shared" si="7"/>
        <v>0</v>
      </c>
      <c r="Y4128" s="168">
        <f t="shared" si="8"/>
        <v>0</v>
      </c>
      <c r="Z4128" s="168">
        <f t="shared" si="9"/>
        <v>0</v>
      </c>
    </row>
    <row r="4129" ht="15.0" customHeight="1">
      <c r="A4129" s="157" t="s">
        <v>5232</v>
      </c>
      <c r="B4129" s="158" t="s">
        <v>25</v>
      </c>
      <c r="C4129" s="158" t="s">
        <v>5198</v>
      </c>
      <c r="D4129" s="159">
        <v>45147.0</v>
      </c>
      <c r="E4129" s="157" t="s">
        <v>731</v>
      </c>
      <c r="F4129" s="160">
        <v>51916.15</v>
      </c>
      <c r="G4129" s="160">
        <f>'FACP$'!$F4129*0.16</f>
        <v>8306.584</v>
      </c>
      <c r="H4129" s="160">
        <f t="shared" si="124"/>
        <v>60222.734</v>
      </c>
      <c r="I4129" s="160"/>
      <c r="J4129" s="161"/>
      <c r="K4129" s="160"/>
      <c r="L4129" s="160">
        <f>+'FACP$'!$H4129-'FACP$'!$I4129-'FACP$'!$K4129</f>
        <v>60222.734</v>
      </c>
      <c r="M4129" s="162" t="s">
        <v>4388</v>
      </c>
      <c r="N4129" s="162" t="s">
        <v>554</v>
      </c>
      <c r="O4129" s="164">
        <v>45224.0</v>
      </c>
      <c r="P4129" s="164">
        <f t="array" ref="P4129">XLOOKUP('FACP$'!$B4129,'perfil de pagos'!$A$4:$A$46,'perfil de pagos'!$B$4:$B$46+'FACP$'!$D4129)</f>
        <v>45157</v>
      </c>
      <c r="Q4129" s="165">
        <f t="shared" si="2"/>
        <v>0</v>
      </c>
      <c r="R4129" s="167"/>
      <c r="S4129" s="167">
        <v>2523.0</v>
      </c>
      <c r="T4129" s="168">
        <f t="shared" si="3"/>
        <v>60222.734</v>
      </c>
      <c r="U4129" s="168">
        <f t="shared" si="4"/>
        <v>0</v>
      </c>
      <c r="V4129" s="168">
        <f t="shared" si="5"/>
        <v>0</v>
      </c>
      <c r="W4129" s="168">
        <f t="shared" si="6"/>
        <v>0</v>
      </c>
      <c r="X4129" s="168">
        <f t="shared" si="7"/>
        <v>0</v>
      </c>
      <c r="Y4129" s="168">
        <f t="shared" si="8"/>
        <v>0</v>
      </c>
      <c r="Z4129" s="168">
        <f t="shared" si="9"/>
        <v>0</v>
      </c>
    </row>
    <row r="4130" ht="15.0" customHeight="1">
      <c r="A4130" s="157" t="s">
        <v>5233</v>
      </c>
      <c r="B4130" s="158" t="s">
        <v>37</v>
      </c>
      <c r="C4130" s="158" t="s">
        <v>5198</v>
      </c>
      <c r="D4130" s="159">
        <v>45147.0</v>
      </c>
      <c r="E4130" s="157" t="s">
        <v>731</v>
      </c>
      <c r="F4130" s="160">
        <v>1586594.25</v>
      </c>
      <c r="G4130" s="160">
        <f>'FACP$'!$F4130*0.16</f>
        <v>253855.08</v>
      </c>
      <c r="H4130" s="160">
        <f t="shared" si="124"/>
        <v>1840449.33</v>
      </c>
      <c r="I4130" s="160"/>
      <c r="J4130" s="161"/>
      <c r="K4130" s="160"/>
      <c r="L4130" s="160">
        <f>+'FACP$'!$H4130-'FACP$'!$I4130-'FACP$'!$K4130</f>
        <v>1840449.33</v>
      </c>
      <c r="M4130" s="162" t="s">
        <v>116</v>
      </c>
      <c r="N4130" s="162" t="s">
        <v>554</v>
      </c>
      <c r="O4130" s="164">
        <v>45152.0</v>
      </c>
      <c r="P4130" s="164">
        <f t="array" ref="P4130">XLOOKUP('FACP$'!$B4130,'perfil de pagos'!$A$4:$A$46,'perfil de pagos'!$B$4:$B$46+'FACP$'!$D4130)</f>
        <v>45157</v>
      </c>
      <c r="Q4130" s="165">
        <f t="shared" si="2"/>
        <v>0</v>
      </c>
      <c r="R4130" s="167"/>
      <c r="S4130" s="167"/>
      <c r="T4130" s="168">
        <f t="shared" si="3"/>
        <v>1840449.33</v>
      </c>
      <c r="U4130" s="168">
        <f t="shared" si="4"/>
        <v>0</v>
      </c>
      <c r="V4130" s="168">
        <f t="shared" si="5"/>
        <v>0</v>
      </c>
      <c r="W4130" s="168">
        <f t="shared" si="6"/>
        <v>0</v>
      </c>
      <c r="X4130" s="168">
        <f t="shared" si="7"/>
        <v>0</v>
      </c>
      <c r="Y4130" s="168">
        <f t="shared" si="8"/>
        <v>0</v>
      </c>
      <c r="Z4130" s="168">
        <f t="shared" si="9"/>
        <v>0</v>
      </c>
    </row>
    <row r="4131" ht="15.0" customHeight="1">
      <c r="A4131" s="157" t="s">
        <v>5234</v>
      </c>
      <c r="B4131" s="158" t="s">
        <v>40</v>
      </c>
      <c r="C4131" s="158" t="s">
        <v>5198</v>
      </c>
      <c r="D4131" s="159">
        <v>45147.0</v>
      </c>
      <c r="E4131" s="157" t="s">
        <v>731</v>
      </c>
      <c r="F4131" s="160">
        <v>15031.19</v>
      </c>
      <c r="G4131" s="160">
        <f>'FACP$'!$F4131*0.16</f>
        <v>2404.9904</v>
      </c>
      <c r="H4131" s="160">
        <f t="shared" si="124"/>
        <v>17436.1804</v>
      </c>
      <c r="I4131" s="160"/>
      <c r="J4131" s="161"/>
      <c r="K4131" s="160"/>
      <c r="L4131" s="160">
        <f>+'FACP$'!$H4131-'FACP$'!$I4131-'FACP$'!$K4131</f>
        <v>17436.1804</v>
      </c>
      <c r="M4131" s="162" t="s">
        <v>490</v>
      </c>
      <c r="N4131" s="162" t="s">
        <v>127</v>
      </c>
      <c r="O4131" s="164"/>
      <c r="P4131" s="164">
        <f t="array" ref="P4131">XLOOKUP('FACP$'!$B4131,'perfil de pagos'!$A$4:$A$46,'perfil de pagos'!$B$4:$B$46+'FACP$'!$D4131)</f>
        <v>45177</v>
      </c>
      <c r="Q4131" s="165">
        <f t="shared" si="2"/>
        <v>0</v>
      </c>
      <c r="R4131" s="167" t="s">
        <v>5235</v>
      </c>
      <c r="S4131" s="167"/>
      <c r="T4131" s="168">
        <f t="shared" si="3"/>
        <v>17436.1804</v>
      </c>
      <c r="U4131" s="168">
        <f t="shared" si="4"/>
        <v>0</v>
      </c>
      <c r="V4131" s="168">
        <f t="shared" si="5"/>
        <v>0</v>
      </c>
      <c r="W4131" s="168">
        <f t="shared" si="6"/>
        <v>0</v>
      </c>
      <c r="X4131" s="168">
        <f t="shared" si="7"/>
        <v>0</v>
      </c>
      <c r="Y4131" s="168">
        <f t="shared" si="8"/>
        <v>0</v>
      </c>
      <c r="Z4131" s="168">
        <f t="shared" si="9"/>
        <v>0</v>
      </c>
    </row>
    <row r="4132" ht="15.0" customHeight="1">
      <c r="A4132" s="157" t="s">
        <v>5236</v>
      </c>
      <c r="B4132" s="158" t="s">
        <v>40</v>
      </c>
      <c r="C4132" s="158" t="s">
        <v>5218</v>
      </c>
      <c r="D4132" s="159">
        <v>45147.0</v>
      </c>
      <c r="E4132" s="157" t="s">
        <v>731</v>
      </c>
      <c r="F4132" s="160">
        <v>15902.97</v>
      </c>
      <c r="G4132" s="160">
        <f>'FACP$'!$F4132*0.16</f>
        <v>2544.4752</v>
      </c>
      <c r="H4132" s="160">
        <f t="shared" si="124"/>
        <v>18447.4452</v>
      </c>
      <c r="I4132" s="160"/>
      <c r="J4132" s="161"/>
      <c r="K4132" s="160"/>
      <c r="L4132" s="160">
        <f>+'FACP$'!$H4132-'FACP$'!$I4132-'FACP$'!$K4132</f>
        <v>18447.4452</v>
      </c>
      <c r="M4132" s="162" t="s">
        <v>490</v>
      </c>
      <c r="N4132" s="162" t="s">
        <v>554</v>
      </c>
      <c r="O4132" s="164">
        <v>45160.0</v>
      </c>
      <c r="P4132" s="164">
        <f t="array" ref="P4132">XLOOKUP('FACP$'!$B4132,'perfil de pagos'!$A$4:$A$46,'perfil de pagos'!$B$4:$B$46+'FACP$'!$D4132)</f>
        <v>45177</v>
      </c>
      <c r="Q4132" s="165">
        <f t="shared" si="2"/>
        <v>0</v>
      </c>
      <c r="R4132" s="167"/>
      <c r="S4132" s="167">
        <v>2366.0</v>
      </c>
      <c r="T4132" s="168">
        <f t="shared" si="3"/>
        <v>18447.4452</v>
      </c>
      <c r="U4132" s="168">
        <f t="shared" si="4"/>
        <v>0</v>
      </c>
      <c r="V4132" s="168">
        <f t="shared" si="5"/>
        <v>0</v>
      </c>
      <c r="W4132" s="168">
        <f t="shared" si="6"/>
        <v>0</v>
      </c>
      <c r="X4132" s="168">
        <f t="shared" si="7"/>
        <v>0</v>
      </c>
      <c r="Y4132" s="168">
        <f t="shared" si="8"/>
        <v>0</v>
      </c>
      <c r="Z4132" s="168">
        <f t="shared" si="9"/>
        <v>0</v>
      </c>
    </row>
    <row r="4133" ht="15.0" customHeight="1">
      <c r="A4133" s="157" t="s">
        <v>5237</v>
      </c>
      <c r="B4133" s="158" t="s">
        <v>38</v>
      </c>
      <c r="C4133" s="158" t="s">
        <v>5198</v>
      </c>
      <c r="D4133" s="159">
        <v>45147.0</v>
      </c>
      <c r="E4133" s="157" t="s">
        <v>731</v>
      </c>
      <c r="F4133" s="160">
        <v>191182.12</v>
      </c>
      <c r="G4133" s="160">
        <f>'FACP$'!$F4133*0.16</f>
        <v>30589.1392</v>
      </c>
      <c r="H4133" s="160">
        <f t="shared" si="124"/>
        <v>221771.2592</v>
      </c>
      <c r="I4133" s="160"/>
      <c r="J4133" s="161"/>
      <c r="K4133" s="160"/>
      <c r="L4133" s="160">
        <f>+'FACP$'!$H4133-'FACP$'!$I4133-'FACP$'!$K4133</f>
        <v>221771.2592</v>
      </c>
      <c r="M4133" s="162" t="s">
        <v>642</v>
      </c>
      <c r="N4133" s="162" t="s">
        <v>554</v>
      </c>
      <c r="O4133" s="164">
        <v>45162.0</v>
      </c>
      <c r="P4133" s="164">
        <f t="array" ref="P4133">XLOOKUP('FACP$'!$B4133,'perfil de pagos'!$A$4:$A$46,'perfil de pagos'!$B$4:$B$46+'FACP$'!$D4133)</f>
        <v>45177</v>
      </c>
      <c r="Q4133" s="165">
        <f t="shared" si="2"/>
        <v>0</v>
      </c>
      <c r="R4133" s="167"/>
      <c r="S4133" s="167">
        <v>2369.0</v>
      </c>
      <c r="T4133" s="168">
        <f t="shared" si="3"/>
        <v>221771.2592</v>
      </c>
      <c r="U4133" s="168">
        <f t="shared" si="4"/>
        <v>0</v>
      </c>
      <c r="V4133" s="168">
        <f t="shared" si="5"/>
        <v>0</v>
      </c>
      <c r="W4133" s="168">
        <f t="shared" si="6"/>
        <v>0</v>
      </c>
      <c r="X4133" s="168">
        <f t="shared" si="7"/>
        <v>0</v>
      </c>
      <c r="Y4133" s="168">
        <f t="shared" si="8"/>
        <v>0</v>
      </c>
      <c r="Z4133" s="168">
        <f t="shared" si="9"/>
        <v>0</v>
      </c>
    </row>
    <row r="4134" ht="15.0" customHeight="1">
      <c r="A4134" s="157" t="s">
        <v>5238</v>
      </c>
      <c r="B4134" s="158" t="s">
        <v>38</v>
      </c>
      <c r="C4134" s="158" t="s">
        <v>5198</v>
      </c>
      <c r="D4134" s="159">
        <v>45147.0</v>
      </c>
      <c r="E4134" s="157" t="s">
        <v>731</v>
      </c>
      <c r="F4134" s="160">
        <v>689396.68</v>
      </c>
      <c r="G4134" s="160">
        <f>'FACP$'!$F4134*0.16</f>
        <v>110303.4688</v>
      </c>
      <c r="H4134" s="160">
        <f t="shared" si="124"/>
        <v>799700.1488</v>
      </c>
      <c r="I4134" s="160"/>
      <c r="J4134" s="161"/>
      <c r="K4134" s="160"/>
      <c r="L4134" s="160">
        <f>+'FACP$'!$H4134-'FACP$'!$I4134-'FACP$'!$K4134</f>
        <v>799700.1488</v>
      </c>
      <c r="M4134" s="162" t="s">
        <v>145</v>
      </c>
      <c r="N4134" s="162" t="s">
        <v>554</v>
      </c>
      <c r="O4134" s="164">
        <v>45184.0</v>
      </c>
      <c r="P4134" s="164">
        <f t="array" ref="P4134">XLOOKUP('FACP$'!$B4134,'perfil de pagos'!$A$4:$A$46,'perfil de pagos'!$B$4:$B$46+'FACP$'!$D4134)</f>
        <v>45177</v>
      </c>
      <c r="Q4134" s="165">
        <f t="shared" si="2"/>
        <v>0</v>
      </c>
      <c r="R4134" s="167"/>
      <c r="S4134" s="167">
        <v>2420.0</v>
      </c>
      <c r="T4134" s="168">
        <f t="shared" si="3"/>
        <v>799700.1488</v>
      </c>
      <c r="U4134" s="168">
        <f t="shared" si="4"/>
        <v>0</v>
      </c>
      <c r="V4134" s="168">
        <f t="shared" si="5"/>
        <v>0</v>
      </c>
      <c r="W4134" s="168">
        <f t="shared" si="6"/>
        <v>0</v>
      </c>
      <c r="X4134" s="168">
        <f t="shared" si="7"/>
        <v>0</v>
      </c>
      <c r="Y4134" s="168">
        <f t="shared" si="8"/>
        <v>0</v>
      </c>
      <c r="Z4134" s="168">
        <f t="shared" si="9"/>
        <v>0</v>
      </c>
    </row>
    <row r="4135" ht="15.0" customHeight="1">
      <c r="A4135" s="157" t="s">
        <v>5239</v>
      </c>
      <c r="B4135" s="158" t="s">
        <v>29</v>
      </c>
      <c r="C4135" s="158" t="s">
        <v>5198</v>
      </c>
      <c r="D4135" s="159">
        <v>45147.0</v>
      </c>
      <c r="E4135" s="157" t="s">
        <v>731</v>
      </c>
      <c r="F4135" s="160">
        <v>47047.38</v>
      </c>
      <c r="G4135" s="160">
        <f>'FACP$'!$F4135*0.16</f>
        <v>7527.5808</v>
      </c>
      <c r="H4135" s="160">
        <f t="shared" si="124"/>
        <v>54574.9608</v>
      </c>
      <c r="I4135" s="160"/>
      <c r="J4135" s="161"/>
      <c r="K4135" s="160"/>
      <c r="L4135" s="160">
        <f>+'FACP$'!$H4135-'FACP$'!$I4135-'FACP$'!$K4135</f>
        <v>54574.9608</v>
      </c>
      <c r="M4135" s="162" t="s">
        <v>130</v>
      </c>
      <c r="N4135" s="162" t="s">
        <v>554</v>
      </c>
      <c r="O4135" s="164">
        <v>45155.0</v>
      </c>
      <c r="P4135" s="164">
        <f t="array" ref="P4135">XLOOKUP('FACP$'!$B4135,'perfil de pagos'!$A$4:$A$46,'perfil de pagos'!$B$4:$B$46+'FACP$'!$D4135)</f>
        <v>45157</v>
      </c>
      <c r="Q4135" s="165">
        <f t="shared" si="2"/>
        <v>0</v>
      </c>
      <c r="R4135" s="167"/>
      <c r="S4135" s="167">
        <v>2360.0</v>
      </c>
      <c r="T4135" s="168">
        <f t="shared" si="3"/>
        <v>54574.9608</v>
      </c>
      <c r="U4135" s="168">
        <f t="shared" si="4"/>
        <v>0</v>
      </c>
      <c r="V4135" s="168">
        <f t="shared" si="5"/>
        <v>0</v>
      </c>
      <c r="W4135" s="168">
        <f t="shared" si="6"/>
        <v>0</v>
      </c>
      <c r="X4135" s="168">
        <f t="shared" si="7"/>
        <v>0</v>
      </c>
      <c r="Y4135" s="168">
        <f t="shared" si="8"/>
        <v>0</v>
      </c>
      <c r="Z4135" s="168">
        <f t="shared" si="9"/>
        <v>0</v>
      </c>
    </row>
    <row r="4136" ht="15.0" customHeight="1">
      <c r="A4136" s="157" t="s">
        <v>5240</v>
      </c>
      <c r="B4136" s="158" t="s">
        <v>29</v>
      </c>
      <c r="C4136" s="158" t="s">
        <v>5218</v>
      </c>
      <c r="D4136" s="159">
        <v>45147.0</v>
      </c>
      <c r="E4136" s="157" t="s">
        <v>731</v>
      </c>
      <c r="F4136" s="160">
        <v>7637.91</v>
      </c>
      <c r="G4136" s="160">
        <f>'FACP$'!$F4136*0.16</f>
        <v>1222.0656</v>
      </c>
      <c r="H4136" s="160">
        <f t="shared" si="124"/>
        <v>8859.9756</v>
      </c>
      <c r="I4136" s="160"/>
      <c r="J4136" s="161"/>
      <c r="K4136" s="160"/>
      <c r="L4136" s="160">
        <f>+'FACP$'!$H4136-'FACP$'!$I4136-'FACP$'!$K4136</f>
        <v>8859.9756</v>
      </c>
      <c r="M4136" s="162" t="s">
        <v>130</v>
      </c>
      <c r="N4136" s="162" t="s">
        <v>554</v>
      </c>
      <c r="O4136" s="164">
        <v>45160.0</v>
      </c>
      <c r="P4136" s="164">
        <f t="array" ref="P4136">XLOOKUP('FACP$'!$B4136,'perfil de pagos'!$A$4:$A$46,'perfil de pagos'!$B$4:$B$46+'FACP$'!$D4136)</f>
        <v>45157</v>
      </c>
      <c r="Q4136" s="165">
        <f t="shared" si="2"/>
        <v>0</v>
      </c>
      <c r="R4136" s="167"/>
      <c r="S4136" s="167">
        <v>2364.0</v>
      </c>
      <c r="T4136" s="168">
        <f t="shared" si="3"/>
        <v>8859.9756</v>
      </c>
      <c r="U4136" s="168">
        <f t="shared" si="4"/>
        <v>0</v>
      </c>
      <c r="V4136" s="168">
        <f t="shared" si="5"/>
        <v>0</v>
      </c>
      <c r="W4136" s="168">
        <f t="shared" si="6"/>
        <v>0</v>
      </c>
      <c r="X4136" s="168">
        <f t="shared" si="7"/>
        <v>0</v>
      </c>
      <c r="Y4136" s="168">
        <f t="shared" si="8"/>
        <v>0</v>
      </c>
      <c r="Z4136" s="168">
        <f t="shared" si="9"/>
        <v>0</v>
      </c>
    </row>
    <row r="4137" ht="15.0" customHeight="1">
      <c r="A4137" s="157" t="s">
        <v>5241</v>
      </c>
      <c r="B4137" s="158" t="s">
        <v>36</v>
      </c>
      <c r="C4137" s="158" t="s">
        <v>5140</v>
      </c>
      <c r="D4137" s="159">
        <v>45152.0</v>
      </c>
      <c r="E4137" s="157" t="s">
        <v>731</v>
      </c>
      <c r="F4137" s="160">
        <v>58684.24</v>
      </c>
      <c r="G4137" s="160">
        <f>'FACP$'!$F4137*0.16</f>
        <v>9389.4784</v>
      </c>
      <c r="H4137" s="160">
        <f t="shared" si="124"/>
        <v>68073.7184</v>
      </c>
      <c r="I4137" s="160"/>
      <c r="J4137" s="161"/>
      <c r="K4137" s="160"/>
      <c r="L4137" s="160">
        <f>+'FACP$'!$H4137-'FACP$'!$I4137-'FACP$'!$K4137</f>
        <v>68073.7184</v>
      </c>
      <c r="M4137" s="162" t="s">
        <v>278</v>
      </c>
      <c r="N4137" s="162" t="s">
        <v>554</v>
      </c>
      <c r="O4137" s="164">
        <v>45191.0</v>
      </c>
      <c r="P4137" s="164">
        <f t="array" ref="P4137">XLOOKUP('FACP$'!$B4137,'perfil de pagos'!$A$4:$A$46,'perfil de pagos'!$B$4:$B$46+'FACP$'!$D4137)</f>
        <v>45162</v>
      </c>
      <c r="Q4137" s="165">
        <f t="shared" si="2"/>
        <v>0</v>
      </c>
      <c r="R4137" s="167"/>
      <c r="S4137" s="167">
        <v>2441.0</v>
      </c>
      <c r="T4137" s="168">
        <f t="shared" si="3"/>
        <v>68073.7184</v>
      </c>
      <c r="U4137" s="168">
        <f t="shared" si="4"/>
        <v>0</v>
      </c>
      <c r="V4137" s="168">
        <f t="shared" si="5"/>
        <v>0</v>
      </c>
      <c r="W4137" s="168">
        <f t="shared" si="6"/>
        <v>0</v>
      </c>
      <c r="X4137" s="168">
        <f t="shared" si="7"/>
        <v>0</v>
      </c>
      <c r="Y4137" s="168">
        <f t="shared" si="8"/>
        <v>0</v>
      </c>
      <c r="Z4137" s="168">
        <f t="shared" si="9"/>
        <v>0</v>
      </c>
    </row>
    <row r="4138" ht="15.0" customHeight="1">
      <c r="A4138" s="157" t="s">
        <v>5242</v>
      </c>
      <c r="B4138" s="158" t="s">
        <v>36</v>
      </c>
      <c r="C4138" s="158" t="s">
        <v>5148</v>
      </c>
      <c r="D4138" s="159">
        <v>45152.0</v>
      </c>
      <c r="E4138" s="157" t="s">
        <v>731</v>
      </c>
      <c r="F4138" s="160">
        <v>50381.58</v>
      </c>
      <c r="G4138" s="160">
        <f>'FACP$'!$F4138*0.16</f>
        <v>8061.0528</v>
      </c>
      <c r="H4138" s="160">
        <f t="shared" si="124"/>
        <v>58442.6328</v>
      </c>
      <c r="I4138" s="160"/>
      <c r="J4138" s="161"/>
      <c r="K4138" s="160"/>
      <c r="L4138" s="160">
        <f>+'FACP$'!$H4138-'FACP$'!$I4138-'FACP$'!$K4138</f>
        <v>58442.6328</v>
      </c>
      <c r="M4138" s="162" t="s">
        <v>278</v>
      </c>
      <c r="N4138" s="162" t="s">
        <v>554</v>
      </c>
      <c r="O4138" s="164">
        <v>45191.0</v>
      </c>
      <c r="P4138" s="164">
        <f t="array" ref="P4138">XLOOKUP('FACP$'!$B4138,'perfil de pagos'!$A$4:$A$46,'perfil de pagos'!$B$4:$B$46+'FACP$'!$D4138)</f>
        <v>45162</v>
      </c>
      <c r="Q4138" s="165">
        <f t="shared" si="2"/>
        <v>0</v>
      </c>
      <c r="R4138" s="167"/>
      <c r="S4138" s="167">
        <v>2440.0</v>
      </c>
      <c r="T4138" s="168">
        <f t="shared" si="3"/>
        <v>58442.6328</v>
      </c>
      <c r="U4138" s="168">
        <f t="shared" si="4"/>
        <v>0</v>
      </c>
      <c r="V4138" s="168">
        <f t="shared" si="5"/>
        <v>0</v>
      </c>
      <c r="W4138" s="168">
        <f t="shared" si="6"/>
        <v>0</v>
      </c>
      <c r="X4138" s="168">
        <f t="shared" si="7"/>
        <v>0</v>
      </c>
      <c r="Y4138" s="168">
        <f t="shared" si="8"/>
        <v>0</v>
      </c>
      <c r="Z4138" s="168">
        <f t="shared" si="9"/>
        <v>0</v>
      </c>
    </row>
    <row r="4139" ht="15.0" customHeight="1">
      <c r="A4139" s="157" t="s">
        <v>5243</v>
      </c>
      <c r="B4139" s="158" t="s">
        <v>40</v>
      </c>
      <c r="C4139" s="158" t="s">
        <v>5198</v>
      </c>
      <c r="D4139" s="159">
        <v>45153.0</v>
      </c>
      <c r="E4139" s="157" t="s">
        <v>731</v>
      </c>
      <c r="F4139" s="160">
        <v>15031.19</v>
      </c>
      <c r="G4139" s="160">
        <f>'FACP$'!$F4139*0.16</f>
        <v>2404.9904</v>
      </c>
      <c r="H4139" s="160">
        <f t="shared" si="124"/>
        <v>17436.1804</v>
      </c>
      <c r="I4139" s="160"/>
      <c r="J4139" s="161"/>
      <c r="K4139" s="160"/>
      <c r="L4139" s="160">
        <f>+'FACP$'!$H4139-'FACP$'!$I4139-'FACP$'!$K4139</f>
        <v>17436.1804</v>
      </c>
      <c r="M4139" s="162" t="s">
        <v>490</v>
      </c>
      <c r="N4139" s="162" t="s">
        <v>554</v>
      </c>
      <c r="O4139" s="164">
        <v>45189.0</v>
      </c>
      <c r="P4139" s="164">
        <f t="array" ref="P4139">XLOOKUP('FACP$'!$B4139,'perfil de pagos'!$A$4:$A$46,'perfil de pagos'!$B$4:$B$46+'FACP$'!$D4139)</f>
        <v>45183</v>
      </c>
      <c r="Q4139" s="165">
        <f t="shared" si="2"/>
        <v>0</v>
      </c>
      <c r="R4139" s="167"/>
      <c r="S4139" s="167">
        <v>2432.0</v>
      </c>
      <c r="T4139" s="168">
        <f t="shared" si="3"/>
        <v>17436.1804</v>
      </c>
      <c r="U4139" s="168">
        <f t="shared" si="4"/>
        <v>0</v>
      </c>
      <c r="V4139" s="168">
        <f t="shared" si="5"/>
        <v>0</v>
      </c>
      <c r="W4139" s="168">
        <f t="shared" si="6"/>
        <v>0</v>
      </c>
      <c r="X4139" s="168">
        <f t="shared" si="7"/>
        <v>0</v>
      </c>
      <c r="Y4139" s="168">
        <f t="shared" si="8"/>
        <v>0</v>
      </c>
      <c r="Z4139" s="168">
        <f t="shared" si="9"/>
        <v>0</v>
      </c>
    </row>
    <row r="4140" ht="15.0" customHeight="1">
      <c r="A4140" s="157" t="s">
        <v>5244</v>
      </c>
      <c r="B4140" s="158" t="s">
        <v>35</v>
      </c>
      <c r="C4140" s="158" t="s">
        <v>5245</v>
      </c>
      <c r="D4140" s="159">
        <v>45153.0</v>
      </c>
      <c r="E4140" s="157" t="s">
        <v>731</v>
      </c>
      <c r="F4140" s="160">
        <v>18257.37</v>
      </c>
      <c r="G4140" s="160">
        <f>'FACP$'!$F4140*0.16</f>
        <v>2921.1792</v>
      </c>
      <c r="H4140" s="160">
        <f t="shared" si="124"/>
        <v>21178.5492</v>
      </c>
      <c r="I4140" s="160"/>
      <c r="J4140" s="161"/>
      <c r="K4140" s="160"/>
      <c r="L4140" s="160">
        <f>+'FACP$'!$H4140-'FACP$'!$I4140-'FACP$'!$K4140</f>
        <v>21178.5492</v>
      </c>
      <c r="M4140" s="162" t="s">
        <v>276</v>
      </c>
      <c r="N4140" s="162" t="s">
        <v>554</v>
      </c>
      <c r="O4140" s="164">
        <v>45397.0</v>
      </c>
      <c r="P4140" s="164">
        <f t="array" ref="P4140">XLOOKUP('FACP$'!$B4140,'perfil de pagos'!$A$4:$A$46,'perfil de pagos'!$B$4:$B$46+'FACP$'!$D4140)</f>
        <v>45163</v>
      </c>
      <c r="Q4140" s="165">
        <f t="shared" si="2"/>
        <v>0</v>
      </c>
      <c r="R4140" s="167"/>
      <c r="S4140" s="167">
        <v>2934.0</v>
      </c>
      <c r="T4140" s="168">
        <f t="shared" si="3"/>
        <v>21178.5492</v>
      </c>
      <c r="U4140" s="168">
        <f t="shared" si="4"/>
        <v>0</v>
      </c>
      <c r="V4140" s="168">
        <f t="shared" si="5"/>
        <v>0</v>
      </c>
      <c r="W4140" s="168">
        <f t="shared" si="6"/>
        <v>0</v>
      </c>
      <c r="X4140" s="168">
        <f t="shared" si="7"/>
        <v>0</v>
      </c>
      <c r="Y4140" s="168">
        <f t="shared" si="8"/>
        <v>0</v>
      </c>
      <c r="Z4140" s="168">
        <f t="shared" si="9"/>
        <v>0</v>
      </c>
    </row>
    <row r="4141" ht="15.0" customHeight="1">
      <c r="A4141" s="157" t="s">
        <v>5246</v>
      </c>
      <c r="B4141" s="158" t="s">
        <v>15</v>
      </c>
      <c r="C4141" s="158" t="s">
        <v>5247</v>
      </c>
      <c r="D4141" s="159">
        <v>45153.0</v>
      </c>
      <c r="E4141" s="157" t="s">
        <v>731</v>
      </c>
      <c r="F4141" s="160">
        <v>23823.07</v>
      </c>
      <c r="G4141" s="160">
        <f>'FACP$'!$F4141*0.16</f>
        <v>3811.6912</v>
      </c>
      <c r="H4141" s="160">
        <f t="shared" si="124"/>
        <v>27634.7612</v>
      </c>
      <c r="I4141" s="160"/>
      <c r="J4141" s="161"/>
      <c r="K4141" s="160"/>
      <c r="L4141" s="160">
        <f>+'FACP$'!$H4141-'FACP$'!$I4141-'FACP$'!$K4141</f>
        <v>27634.7612</v>
      </c>
      <c r="M4141" s="162" t="s">
        <v>443</v>
      </c>
      <c r="N4141" s="162" t="s">
        <v>127</v>
      </c>
      <c r="O4141" s="164"/>
      <c r="P4141" s="164">
        <f t="array" ref="P4141">XLOOKUP('FACP$'!$B4141,'perfil de pagos'!$A$4:$A$46,'perfil de pagos'!$B$4:$B$46+'FACP$'!$D4141)</f>
        <v>45163</v>
      </c>
      <c r="Q4141" s="165">
        <f t="shared" si="2"/>
        <v>0</v>
      </c>
      <c r="R4141" s="167"/>
      <c r="S4141" s="167"/>
      <c r="T4141" s="168">
        <f t="shared" si="3"/>
        <v>27634.7612</v>
      </c>
      <c r="U4141" s="168">
        <f t="shared" si="4"/>
        <v>0</v>
      </c>
      <c r="V4141" s="168">
        <f t="shared" si="5"/>
        <v>0</v>
      </c>
      <c r="W4141" s="168">
        <f t="shared" si="6"/>
        <v>0</v>
      </c>
      <c r="X4141" s="168">
        <f t="shared" si="7"/>
        <v>0</v>
      </c>
      <c r="Y4141" s="168">
        <f t="shared" si="8"/>
        <v>0</v>
      </c>
      <c r="Z4141" s="168">
        <f t="shared" si="9"/>
        <v>0</v>
      </c>
    </row>
    <row r="4142" ht="15.0" customHeight="1">
      <c r="A4142" s="157" t="s">
        <v>5248</v>
      </c>
      <c r="B4142" s="158" t="s">
        <v>15</v>
      </c>
      <c r="C4142" s="158" t="s">
        <v>5249</v>
      </c>
      <c r="D4142" s="159">
        <v>45153.0</v>
      </c>
      <c r="E4142" s="157" t="s">
        <v>731</v>
      </c>
      <c r="F4142" s="160">
        <v>15204.07</v>
      </c>
      <c r="G4142" s="160">
        <f>'FACP$'!$F4142*0.16</f>
        <v>2432.6512</v>
      </c>
      <c r="H4142" s="160">
        <f t="shared" si="124"/>
        <v>17636.7212</v>
      </c>
      <c r="I4142" s="160"/>
      <c r="J4142" s="161"/>
      <c r="K4142" s="160"/>
      <c r="L4142" s="160">
        <f>+'FACP$'!$H4142-'FACP$'!$I4142-'FACP$'!$K4142</f>
        <v>17636.7212</v>
      </c>
      <c r="M4142" s="162" t="s">
        <v>443</v>
      </c>
      <c r="N4142" s="162" t="s">
        <v>554</v>
      </c>
      <c r="O4142" s="164">
        <v>45174.0</v>
      </c>
      <c r="P4142" s="164">
        <f t="array" ref="P4142">XLOOKUP('FACP$'!$B4142,'perfil de pagos'!$A$4:$A$46,'perfil de pagos'!$B$4:$B$46+'FACP$'!$D4142)</f>
        <v>45163</v>
      </c>
      <c r="Q4142" s="165">
        <f t="shared" si="2"/>
        <v>0</v>
      </c>
      <c r="R4142" s="167"/>
      <c r="S4142" s="167">
        <v>2401.0</v>
      </c>
      <c r="T4142" s="168">
        <f t="shared" si="3"/>
        <v>17636.7212</v>
      </c>
      <c r="U4142" s="168">
        <f t="shared" si="4"/>
        <v>0</v>
      </c>
      <c r="V4142" s="168">
        <f t="shared" si="5"/>
        <v>0</v>
      </c>
      <c r="W4142" s="168">
        <f t="shared" si="6"/>
        <v>0</v>
      </c>
      <c r="X4142" s="168">
        <f t="shared" si="7"/>
        <v>0</v>
      </c>
      <c r="Y4142" s="168">
        <f t="shared" si="8"/>
        <v>0</v>
      </c>
      <c r="Z4142" s="168">
        <f t="shared" si="9"/>
        <v>0</v>
      </c>
    </row>
    <row r="4143" ht="15.0" customHeight="1">
      <c r="A4143" s="157" t="s">
        <v>5250</v>
      </c>
      <c r="B4143" s="158" t="s">
        <v>15</v>
      </c>
      <c r="C4143" s="158" t="s">
        <v>5251</v>
      </c>
      <c r="D4143" s="159">
        <v>45153.0</v>
      </c>
      <c r="E4143" s="157" t="s">
        <v>731</v>
      </c>
      <c r="F4143" s="160">
        <v>16144.56</v>
      </c>
      <c r="G4143" s="160">
        <f>'FACP$'!$F4143*0.16</f>
        <v>2583.1296</v>
      </c>
      <c r="H4143" s="160">
        <f t="shared" si="124"/>
        <v>18727.6896</v>
      </c>
      <c r="I4143" s="160"/>
      <c r="J4143" s="161"/>
      <c r="K4143" s="160"/>
      <c r="L4143" s="160">
        <f>+'FACP$'!$H4143-'FACP$'!$I4143-'FACP$'!$K4143</f>
        <v>18727.6896</v>
      </c>
      <c r="M4143" s="162" t="s">
        <v>443</v>
      </c>
      <c r="N4143" s="162" t="s">
        <v>554</v>
      </c>
      <c r="O4143" s="164">
        <v>45174.0</v>
      </c>
      <c r="P4143" s="164">
        <f t="array" ref="P4143">XLOOKUP('FACP$'!$B4143,'perfil de pagos'!$A$4:$A$46,'perfil de pagos'!$B$4:$B$46+'FACP$'!$D4143)</f>
        <v>45163</v>
      </c>
      <c r="Q4143" s="165">
        <f t="shared" si="2"/>
        <v>0</v>
      </c>
      <c r="R4143" s="167"/>
      <c r="S4143" s="167">
        <v>2401.0</v>
      </c>
      <c r="T4143" s="168">
        <f t="shared" si="3"/>
        <v>18727.6896</v>
      </c>
      <c r="U4143" s="168">
        <f t="shared" si="4"/>
        <v>0</v>
      </c>
      <c r="V4143" s="168">
        <f t="shared" si="5"/>
        <v>0</v>
      </c>
      <c r="W4143" s="168">
        <f t="shared" si="6"/>
        <v>0</v>
      </c>
      <c r="X4143" s="168">
        <f t="shared" si="7"/>
        <v>0</v>
      </c>
      <c r="Y4143" s="168">
        <f t="shared" si="8"/>
        <v>0</v>
      </c>
      <c r="Z4143" s="168">
        <f t="shared" si="9"/>
        <v>0</v>
      </c>
    </row>
    <row r="4144" ht="15.0" customHeight="1">
      <c r="A4144" s="157" t="s">
        <v>5252</v>
      </c>
      <c r="B4144" s="158" t="s">
        <v>27</v>
      </c>
      <c r="C4144" s="158" t="s">
        <v>5253</v>
      </c>
      <c r="D4144" s="159">
        <v>45153.0</v>
      </c>
      <c r="E4144" s="157" t="s">
        <v>731</v>
      </c>
      <c r="F4144" s="160">
        <v>10763.6</v>
      </c>
      <c r="G4144" s="160">
        <f>'FACP$'!$F4144*0.16</f>
        <v>1722.176</v>
      </c>
      <c r="H4144" s="160">
        <f t="shared" si="124"/>
        <v>12485.776</v>
      </c>
      <c r="I4144" s="160"/>
      <c r="J4144" s="161"/>
      <c r="K4144" s="160"/>
      <c r="L4144" s="160">
        <f>+'FACP$'!$H4144-'FACP$'!$I4144-'FACP$'!$K4144</f>
        <v>12485.776</v>
      </c>
      <c r="M4144" s="162" t="s">
        <v>158</v>
      </c>
      <c r="N4144" s="162" t="s">
        <v>554</v>
      </c>
      <c r="O4144" s="164">
        <v>45169.0</v>
      </c>
      <c r="P4144" s="164">
        <f t="array" ref="P4144">XLOOKUP('FACP$'!$B4144,'perfil de pagos'!$A$4:$A$46,'perfil de pagos'!$B$4:$B$46+'FACP$'!$D4144)</f>
        <v>45183</v>
      </c>
      <c r="Q4144" s="165">
        <f t="shared" si="2"/>
        <v>0</v>
      </c>
      <c r="R4144" s="167"/>
      <c r="S4144" s="167">
        <v>2388.0</v>
      </c>
      <c r="T4144" s="168">
        <f t="shared" si="3"/>
        <v>12485.776</v>
      </c>
      <c r="U4144" s="168">
        <f t="shared" si="4"/>
        <v>0</v>
      </c>
      <c r="V4144" s="168">
        <f t="shared" si="5"/>
        <v>0</v>
      </c>
      <c r="W4144" s="168">
        <f t="shared" si="6"/>
        <v>0</v>
      </c>
      <c r="X4144" s="168">
        <f t="shared" si="7"/>
        <v>0</v>
      </c>
      <c r="Y4144" s="168">
        <f t="shared" si="8"/>
        <v>0</v>
      </c>
      <c r="Z4144" s="168">
        <f t="shared" si="9"/>
        <v>0</v>
      </c>
    </row>
    <row r="4145" ht="15.0" customHeight="1">
      <c r="A4145" s="157" t="s">
        <v>5254</v>
      </c>
      <c r="B4145" s="158" t="s">
        <v>27</v>
      </c>
      <c r="C4145" s="158" t="s">
        <v>5255</v>
      </c>
      <c r="D4145" s="159">
        <v>45153.0</v>
      </c>
      <c r="E4145" s="157" t="s">
        <v>731</v>
      </c>
      <c r="F4145" s="160">
        <v>12310.19</v>
      </c>
      <c r="G4145" s="160">
        <f>'FACP$'!$F4145*0.16</f>
        <v>1969.6304</v>
      </c>
      <c r="H4145" s="160">
        <f t="shared" si="124"/>
        <v>14279.8204</v>
      </c>
      <c r="I4145" s="160"/>
      <c r="J4145" s="161"/>
      <c r="K4145" s="160"/>
      <c r="L4145" s="160">
        <f>+'FACP$'!$H4145-'FACP$'!$I4145-'FACP$'!$K4145</f>
        <v>14279.8204</v>
      </c>
      <c r="M4145" s="162" t="s">
        <v>158</v>
      </c>
      <c r="N4145" s="162" t="s">
        <v>554</v>
      </c>
      <c r="O4145" s="164">
        <v>45169.0</v>
      </c>
      <c r="P4145" s="164">
        <f t="array" ref="P4145">XLOOKUP('FACP$'!$B4145,'perfil de pagos'!$A$4:$A$46,'perfil de pagos'!$B$4:$B$46+'FACP$'!$D4145)</f>
        <v>45183</v>
      </c>
      <c r="Q4145" s="165">
        <f t="shared" si="2"/>
        <v>0</v>
      </c>
      <c r="R4145" s="167"/>
      <c r="S4145" s="167">
        <v>2388.0</v>
      </c>
      <c r="T4145" s="168">
        <f t="shared" si="3"/>
        <v>14279.8204</v>
      </c>
      <c r="U4145" s="168">
        <f t="shared" si="4"/>
        <v>0</v>
      </c>
      <c r="V4145" s="168">
        <f t="shared" si="5"/>
        <v>0</v>
      </c>
      <c r="W4145" s="168">
        <f t="shared" si="6"/>
        <v>0</v>
      </c>
      <c r="X4145" s="168">
        <f t="shared" si="7"/>
        <v>0</v>
      </c>
      <c r="Y4145" s="168">
        <f t="shared" si="8"/>
        <v>0</v>
      </c>
      <c r="Z4145" s="168">
        <f t="shared" si="9"/>
        <v>0</v>
      </c>
    </row>
    <row r="4146" ht="15.0" customHeight="1">
      <c r="A4146" s="157" t="s">
        <v>5256</v>
      </c>
      <c r="B4146" s="158" t="s">
        <v>27</v>
      </c>
      <c r="C4146" s="158" t="s">
        <v>5257</v>
      </c>
      <c r="D4146" s="159">
        <v>45153.0</v>
      </c>
      <c r="E4146" s="157" t="s">
        <v>731</v>
      </c>
      <c r="F4146" s="160">
        <v>10945.27</v>
      </c>
      <c r="G4146" s="160">
        <f>'FACP$'!$F4146*0.16</f>
        <v>1751.2432</v>
      </c>
      <c r="H4146" s="160">
        <f t="shared" si="124"/>
        <v>12696.5132</v>
      </c>
      <c r="I4146" s="160"/>
      <c r="J4146" s="161"/>
      <c r="K4146" s="160"/>
      <c r="L4146" s="160">
        <f>+'FACP$'!$H4146-'FACP$'!$I4146-'FACP$'!$K4146</f>
        <v>12696.5132</v>
      </c>
      <c r="M4146" s="162" t="s">
        <v>158</v>
      </c>
      <c r="N4146" s="162" t="s">
        <v>554</v>
      </c>
      <c r="O4146" s="164">
        <v>45169.0</v>
      </c>
      <c r="P4146" s="164">
        <f t="array" ref="P4146">XLOOKUP('FACP$'!$B4146,'perfil de pagos'!$A$4:$A$46,'perfil de pagos'!$B$4:$B$46+'FACP$'!$D4146)</f>
        <v>45183</v>
      </c>
      <c r="Q4146" s="165">
        <f t="shared" si="2"/>
        <v>0</v>
      </c>
      <c r="R4146" s="167"/>
      <c r="S4146" s="167">
        <v>2388.0</v>
      </c>
      <c r="T4146" s="168">
        <f t="shared" si="3"/>
        <v>12696.5132</v>
      </c>
      <c r="U4146" s="168">
        <f t="shared" si="4"/>
        <v>0</v>
      </c>
      <c r="V4146" s="168">
        <f t="shared" si="5"/>
        <v>0</v>
      </c>
      <c r="W4146" s="168">
        <f t="shared" si="6"/>
        <v>0</v>
      </c>
      <c r="X4146" s="168">
        <f t="shared" si="7"/>
        <v>0</v>
      </c>
      <c r="Y4146" s="168">
        <f t="shared" si="8"/>
        <v>0</v>
      </c>
      <c r="Z4146" s="168">
        <f t="shared" si="9"/>
        <v>0</v>
      </c>
    </row>
    <row r="4147" ht="15.0" customHeight="1">
      <c r="A4147" s="157" t="s">
        <v>5258</v>
      </c>
      <c r="B4147" s="158" t="s">
        <v>27</v>
      </c>
      <c r="C4147" s="158" t="s">
        <v>5253</v>
      </c>
      <c r="D4147" s="159">
        <v>45153.0</v>
      </c>
      <c r="E4147" s="157" t="s">
        <v>731</v>
      </c>
      <c r="F4147" s="160">
        <v>29967.67</v>
      </c>
      <c r="G4147" s="160">
        <f>'FACP$'!$F4147*0.16</f>
        <v>4794.8272</v>
      </c>
      <c r="H4147" s="160">
        <f t="shared" si="124"/>
        <v>34762.4972</v>
      </c>
      <c r="I4147" s="160"/>
      <c r="J4147" s="161"/>
      <c r="K4147" s="160"/>
      <c r="L4147" s="160">
        <f>+'FACP$'!$H4147-'FACP$'!$I4147-'FACP$'!$K4147</f>
        <v>34762.4972</v>
      </c>
      <c r="M4147" s="162" t="s">
        <v>151</v>
      </c>
      <c r="N4147" s="162" t="s">
        <v>554</v>
      </c>
      <c r="O4147" s="164">
        <v>45169.0</v>
      </c>
      <c r="P4147" s="164">
        <f t="array" ref="P4147">XLOOKUP('FACP$'!$B4147,'perfil de pagos'!$A$4:$A$46,'perfil de pagos'!$B$4:$B$46+'FACP$'!$D4147)</f>
        <v>45183</v>
      </c>
      <c r="Q4147" s="165">
        <f t="shared" si="2"/>
        <v>0</v>
      </c>
      <c r="R4147" s="167"/>
      <c r="S4147" s="167">
        <v>2389.0</v>
      </c>
      <c r="T4147" s="168">
        <f t="shared" si="3"/>
        <v>34762.4972</v>
      </c>
      <c r="U4147" s="168">
        <f t="shared" si="4"/>
        <v>0</v>
      </c>
      <c r="V4147" s="168">
        <f t="shared" si="5"/>
        <v>0</v>
      </c>
      <c r="W4147" s="168">
        <f t="shared" si="6"/>
        <v>0</v>
      </c>
      <c r="X4147" s="168">
        <f t="shared" si="7"/>
        <v>0</v>
      </c>
      <c r="Y4147" s="168">
        <f t="shared" si="8"/>
        <v>0</v>
      </c>
      <c r="Z4147" s="168">
        <f t="shared" si="9"/>
        <v>0</v>
      </c>
    </row>
    <row r="4148" ht="15.0" customHeight="1">
      <c r="A4148" s="157" t="s">
        <v>5259</v>
      </c>
      <c r="B4148" s="158" t="s">
        <v>27</v>
      </c>
      <c r="C4148" s="158" t="s">
        <v>5255</v>
      </c>
      <c r="D4148" s="159">
        <v>45153.0</v>
      </c>
      <c r="E4148" s="157" t="s">
        <v>731</v>
      </c>
      <c r="F4148" s="160">
        <v>29726.69</v>
      </c>
      <c r="G4148" s="160">
        <f>'FACP$'!$F4148*0.16</f>
        <v>4756.2704</v>
      </c>
      <c r="H4148" s="160">
        <f t="shared" si="124"/>
        <v>34482.9604</v>
      </c>
      <c r="I4148" s="160"/>
      <c r="J4148" s="161"/>
      <c r="K4148" s="160"/>
      <c r="L4148" s="160">
        <f>+'FACP$'!$H4148-'FACP$'!$I4148-'FACP$'!$K4148</f>
        <v>34482.9604</v>
      </c>
      <c r="M4148" s="162" t="s">
        <v>151</v>
      </c>
      <c r="N4148" s="162" t="s">
        <v>554</v>
      </c>
      <c r="O4148" s="164">
        <v>45169.0</v>
      </c>
      <c r="P4148" s="164">
        <f t="array" ref="P4148">XLOOKUP('FACP$'!$B4148,'perfil de pagos'!$A$4:$A$46,'perfil de pagos'!$B$4:$B$46+'FACP$'!$D4148)</f>
        <v>45183</v>
      </c>
      <c r="Q4148" s="165">
        <f t="shared" si="2"/>
        <v>0</v>
      </c>
      <c r="R4148" s="167"/>
      <c r="S4148" s="167">
        <v>2389.0</v>
      </c>
      <c r="T4148" s="168">
        <f t="shared" si="3"/>
        <v>34482.9604</v>
      </c>
      <c r="U4148" s="168">
        <f t="shared" si="4"/>
        <v>0</v>
      </c>
      <c r="V4148" s="168">
        <f t="shared" si="5"/>
        <v>0</v>
      </c>
      <c r="W4148" s="168">
        <f t="shared" si="6"/>
        <v>0</v>
      </c>
      <c r="X4148" s="168">
        <f t="shared" si="7"/>
        <v>0</v>
      </c>
      <c r="Y4148" s="168">
        <f t="shared" si="8"/>
        <v>0</v>
      </c>
      <c r="Z4148" s="168">
        <f t="shared" si="9"/>
        <v>0</v>
      </c>
    </row>
    <row r="4149" ht="15.0" customHeight="1">
      <c r="A4149" s="157" t="s">
        <v>5260</v>
      </c>
      <c r="B4149" s="158" t="s">
        <v>27</v>
      </c>
      <c r="C4149" s="158" t="s">
        <v>5257</v>
      </c>
      <c r="D4149" s="159">
        <v>45153.0</v>
      </c>
      <c r="E4149" s="157" t="s">
        <v>731</v>
      </c>
      <c r="F4149" s="160">
        <v>19310.23</v>
      </c>
      <c r="G4149" s="160">
        <f>'FACP$'!$F4149*0.16</f>
        <v>3089.6368</v>
      </c>
      <c r="H4149" s="160">
        <f t="shared" si="124"/>
        <v>22399.8668</v>
      </c>
      <c r="I4149" s="160"/>
      <c r="J4149" s="161"/>
      <c r="K4149" s="160"/>
      <c r="L4149" s="160">
        <f>+'FACP$'!$H4149-'FACP$'!$I4149-'FACP$'!$K4149</f>
        <v>22399.8668</v>
      </c>
      <c r="M4149" s="162" t="s">
        <v>151</v>
      </c>
      <c r="N4149" s="162" t="s">
        <v>554</v>
      </c>
      <c r="O4149" s="164">
        <v>45169.0</v>
      </c>
      <c r="P4149" s="164">
        <f t="array" ref="P4149">XLOOKUP('FACP$'!$B4149,'perfil de pagos'!$A$4:$A$46,'perfil de pagos'!$B$4:$B$46+'FACP$'!$D4149)</f>
        <v>45183</v>
      </c>
      <c r="Q4149" s="165">
        <f t="shared" si="2"/>
        <v>0</v>
      </c>
      <c r="R4149" s="167"/>
      <c r="S4149" s="167">
        <v>2389.0</v>
      </c>
      <c r="T4149" s="168">
        <f t="shared" si="3"/>
        <v>22399.8668</v>
      </c>
      <c r="U4149" s="168">
        <f t="shared" si="4"/>
        <v>0</v>
      </c>
      <c r="V4149" s="168">
        <f t="shared" si="5"/>
        <v>0</v>
      </c>
      <c r="W4149" s="168">
        <f t="shared" si="6"/>
        <v>0</v>
      </c>
      <c r="X4149" s="168">
        <f t="shared" si="7"/>
        <v>0</v>
      </c>
      <c r="Y4149" s="168">
        <f t="shared" si="8"/>
        <v>0</v>
      </c>
      <c r="Z4149" s="168">
        <f t="shared" si="9"/>
        <v>0</v>
      </c>
    </row>
    <row r="4150" ht="15.0" customHeight="1">
      <c r="A4150" s="157" t="s">
        <v>5261</v>
      </c>
      <c r="B4150" s="158" t="s">
        <v>35</v>
      </c>
      <c r="C4150" s="158" t="s">
        <v>5247</v>
      </c>
      <c r="D4150" s="159">
        <v>45153.0</v>
      </c>
      <c r="E4150" s="157" t="s">
        <v>731</v>
      </c>
      <c r="F4150" s="160">
        <v>20822.57</v>
      </c>
      <c r="G4150" s="160">
        <f>'FACP$'!$F4150*0.16</f>
        <v>3331.6112</v>
      </c>
      <c r="H4150" s="160">
        <f t="shared" si="124"/>
        <v>24154.1812</v>
      </c>
      <c r="I4150" s="160"/>
      <c r="J4150" s="161"/>
      <c r="K4150" s="160"/>
      <c r="L4150" s="160">
        <f>+'FACP$'!$H4150-'FACP$'!$I4150-'FACP$'!$K4150</f>
        <v>24154.1812</v>
      </c>
      <c r="M4150" s="162" t="s">
        <v>276</v>
      </c>
      <c r="N4150" s="162" t="s">
        <v>554</v>
      </c>
      <c r="O4150" s="164">
        <v>45261.0</v>
      </c>
      <c r="P4150" s="164">
        <f t="array" ref="P4150">XLOOKUP('FACP$'!$B4150,'perfil de pagos'!$A$4:$A$46,'perfil de pagos'!$B$4:$B$46+'FACP$'!$D4150)</f>
        <v>45163</v>
      </c>
      <c r="Q4150" s="165">
        <f t="shared" si="2"/>
        <v>0</v>
      </c>
      <c r="R4150" s="167"/>
      <c r="S4150" s="167">
        <v>2629.0</v>
      </c>
      <c r="T4150" s="168">
        <f t="shared" si="3"/>
        <v>24154.1812</v>
      </c>
      <c r="U4150" s="168">
        <f t="shared" si="4"/>
        <v>0</v>
      </c>
      <c r="V4150" s="168">
        <f t="shared" si="5"/>
        <v>0</v>
      </c>
      <c r="W4150" s="168">
        <f t="shared" si="6"/>
        <v>0</v>
      </c>
      <c r="X4150" s="168">
        <f t="shared" si="7"/>
        <v>0</v>
      </c>
      <c r="Y4150" s="168">
        <f t="shared" si="8"/>
        <v>0</v>
      </c>
      <c r="Z4150" s="168">
        <f t="shared" si="9"/>
        <v>0</v>
      </c>
    </row>
    <row r="4151" ht="15.0" customHeight="1">
      <c r="A4151" s="157" t="s">
        <v>5262</v>
      </c>
      <c r="B4151" s="158" t="s">
        <v>35</v>
      </c>
      <c r="C4151" s="158" t="s">
        <v>5249</v>
      </c>
      <c r="D4151" s="159">
        <v>45153.0</v>
      </c>
      <c r="E4151" s="157" t="s">
        <v>731</v>
      </c>
      <c r="F4151" s="160">
        <v>12921.16</v>
      </c>
      <c r="G4151" s="160">
        <f>'FACP$'!$F4151*0.16</f>
        <v>2067.3856</v>
      </c>
      <c r="H4151" s="160">
        <f t="shared" si="124"/>
        <v>14988.5456</v>
      </c>
      <c r="I4151" s="160"/>
      <c r="J4151" s="161"/>
      <c r="K4151" s="160"/>
      <c r="L4151" s="160">
        <f>+'FACP$'!$H4151-'FACP$'!$I4151-'FACP$'!$K4151</f>
        <v>14988.5456</v>
      </c>
      <c r="M4151" s="162" t="s">
        <v>276</v>
      </c>
      <c r="N4151" s="162" t="s">
        <v>554</v>
      </c>
      <c r="O4151" s="164">
        <v>45261.0</v>
      </c>
      <c r="P4151" s="164">
        <f t="array" ref="P4151">XLOOKUP('FACP$'!$B4151,'perfil de pagos'!$A$4:$A$46,'perfil de pagos'!$B$4:$B$46+'FACP$'!$D4151)</f>
        <v>45163</v>
      </c>
      <c r="Q4151" s="165">
        <f t="shared" si="2"/>
        <v>0</v>
      </c>
      <c r="R4151" s="167"/>
      <c r="S4151" s="167">
        <v>2629.0</v>
      </c>
      <c r="T4151" s="168">
        <f t="shared" si="3"/>
        <v>14988.5456</v>
      </c>
      <c r="U4151" s="168">
        <f t="shared" si="4"/>
        <v>0</v>
      </c>
      <c r="V4151" s="168">
        <f t="shared" si="5"/>
        <v>0</v>
      </c>
      <c r="W4151" s="168">
        <f t="shared" si="6"/>
        <v>0</v>
      </c>
      <c r="X4151" s="168">
        <f t="shared" si="7"/>
        <v>0</v>
      </c>
      <c r="Y4151" s="168">
        <f t="shared" si="8"/>
        <v>0</v>
      </c>
      <c r="Z4151" s="168">
        <f t="shared" si="9"/>
        <v>0</v>
      </c>
    </row>
    <row r="4152" ht="15.0" customHeight="1">
      <c r="A4152" s="157" t="s">
        <v>5263</v>
      </c>
      <c r="B4152" s="158" t="s">
        <v>35</v>
      </c>
      <c r="C4152" s="158" t="s">
        <v>5251</v>
      </c>
      <c r="D4152" s="159">
        <v>45153.0</v>
      </c>
      <c r="E4152" s="157" t="s">
        <v>731</v>
      </c>
      <c r="F4152" s="160">
        <v>5002.68</v>
      </c>
      <c r="G4152" s="160">
        <f>'FACP$'!$F4152*0.16</f>
        <v>800.4288</v>
      </c>
      <c r="H4152" s="160">
        <f t="shared" si="124"/>
        <v>5803.1088</v>
      </c>
      <c r="I4152" s="160"/>
      <c r="J4152" s="161"/>
      <c r="K4152" s="160"/>
      <c r="L4152" s="160">
        <f>+'FACP$'!$H4152-'FACP$'!$I4152-'FACP$'!$K4152</f>
        <v>5803.1088</v>
      </c>
      <c r="M4152" s="162" t="s">
        <v>276</v>
      </c>
      <c r="N4152" s="162" t="s">
        <v>554</v>
      </c>
      <c r="O4152" s="164">
        <v>45261.0</v>
      </c>
      <c r="P4152" s="164">
        <f t="array" ref="P4152">XLOOKUP('FACP$'!$B4152,'perfil de pagos'!$A$4:$A$46,'perfil de pagos'!$B$4:$B$46+'FACP$'!$D4152)</f>
        <v>45163</v>
      </c>
      <c r="Q4152" s="165">
        <f t="shared" si="2"/>
        <v>0</v>
      </c>
      <c r="R4152" s="167"/>
      <c r="S4152" s="167">
        <v>2629.0</v>
      </c>
      <c r="T4152" s="168">
        <f t="shared" si="3"/>
        <v>5803.1088</v>
      </c>
      <c r="U4152" s="168">
        <f t="shared" si="4"/>
        <v>0</v>
      </c>
      <c r="V4152" s="168">
        <f t="shared" si="5"/>
        <v>0</v>
      </c>
      <c r="W4152" s="168">
        <f t="shared" si="6"/>
        <v>0</v>
      </c>
      <c r="X4152" s="168">
        <f t="shared" si="7"/>
        <v>0</v>
      </c>
      <c r="Y4152" s="168">
        <f t="shared" si="8"/>
        <v>0</v>
      </c>
      <c r="Z4152" s="168">
        <f t="shared" si="9"/>
        <v>0</v>
      </c>
    </row>
    <row r="4153" ht="15.0" customHeight="1">
      <c r="A4153" s="157" t="s">
        <v>5264</v>
      </c>
      <c r="B4153" s="158" t="s">
        <v>36</v>
      </c>
      <c r="C4153" s="158" t="s">
        <v>5247</v>
      </c>
      <c r="D4153" s="159">
        <v>45153.0</v>
      </c>
      <c r="E4153" s="157" t="s">
        <v>731</v>
      </c>
      <c r="F4153" s="160">
        <v>7717.0</v>
      </c>
      <c r="G4153" s="160">
        <f>'FACP$'!$F4153*0.16</f>
        <v>1234.72</v>
      </c>
      <c r="H4153" s="160">
        <f t="shared" si="124"/>
        <v>8951.72</v>
      </c>
      <c r="I4153" s="160"/>
      <c r="J4153" s="161"/>
      <c r="K4153" s="160"/>
      <c r="L4153" s="160">
        <f>+'FACP$'!$H4153-'FACP$'!$I4153-'FACP$'!$K4153</f>
        <v>8951.72</v>
      </c>
      <c r="M4153" s="162" t="s">
        <v>278</v>
      </c>
      <c r="N4153" s="162" t="s">
        <v>554</v>
      </c>
      <c r="O4153" s="164">
        <v>45191.0</v>
      </c>
      <c r="P4153" s="164">
        <f t="array" ref="P4153">XLOOKUP('FACP$'!$B4153,'perfil de pagos'!$A$4:$A$46,'perfil de pagos'!$B$4:$B$46+'FACP$'!$D4153)</f>
        <v>45163</v>
      </c>
      <c r="Q4153" s="165">
        <f t="shared" si="2"/>
        <v>0</v>
      </c>
      <c r="R4153" s="167"/>
      <c r="S4153" s="167">
        <v>2439.0</v>
      </c>
      <c r="T4153" s="168">
        <f t="shared" si="3"/>
        <v>8951.72</v>
      </c>
      <c r="U4153" s="168">
        <f t="shared" si="4"/>
        <v>0</v>
      </c>
      <c r="V4153" s="168">
        <f t="shared" si="5"/>
        <v>0</v>
      </c>
      <c r="W4153" s="168">
        <f t="shared" si="6"/>
        <v>0</v>
      </c>
      <c r="X4153" s="168">
        <f t="shared" si="7"/>
        <v>0</v>
      </c>
      <c r="Y4153" s="168">
        <f t="shared" si="8"/>
        <v>0</v>
      </c>
      <c r="Z4153" s="168">
        <f t="shared" si="9"/>
        <v>0</v>
      </c>
    </row>
    <row r="4154" ht="15.0" customHeight="1">
      <c r="A4154" s="157" t="s">
        <v>5265</v>
      </c>
      <c r="B4154" s="158" t="s">
        <v>36</v>
      </c>
      <c r="C4154" s="158" t="s">
        <v>5249</v>
      </c>
      <c r="D4154" s="159">
        <v>45153.0</v>
      </c>
      <c r="E4154" s="157" t="s">
        <v>731</v>
      </c>
      <c r="F4154" s="160">
        <v>7580.27</v>
      </c>
      <c r="G4154" s="160">
        <f>'FACP$'!$F4154*0.16</f>
        <v>1212.8432</v>
      </c>
      <c r="H4154" s="160">
        <f t="shared" si="124"/>
        <v>8793.1132</v>
      </c>
      <c r="I4154" s="160"/>
      <c r="J4154" s="161"/>
      <c r="K4154" s="160"/>
      <c r="L4154" s="160">
        <f>+'FACP$'!$H4154-'FACP$'!$I4154-'FACP$'!$K4154</f>
        <v>8793.1132</v>
      </c>
      <c r="M4154" s="162" t="s">
        <v>278</v>
      </c>
      <c r="N4154" s="162" t="s">
        <v>554</v>
      </c>
      <c r="O4154" s="164">
        <v>45191.0</v>
      </c>
      <c r="P4154" s="164">
        <f t="array" ref="P4154">XLOOKUP('FACP$'!$B4154,'perfil de pagos'!$A$4:$A$46,'perfil de pagos'!$B$4:$B$46+'FACP$'!$D4154)</f>
        <v>45163</v>
      </c>
      <c r="Q4154" s="165">
        <f t="shared" si="2"/>
        <v>0</v>
      </c>
      <c r="R4154" s="167"/>
      <c r="S4154" s="167"/>
      <c r="T4154" s="168">
        <f t="shared" si="3"/>
        <v>8793.1132</v>
      </c>
      <c r="U4154" s="168">
        <f t="shared" si="4"/>
        <v>0</v>
      </c>
      <c r="V4154" s="168">
        <f t="shared" si="5"/>
        <v>0</v>
      </c>
      <c r="W4154" s="168">
        <f t="shared" si="6"/>
        <v>0</v>
      </c>
      <c r="X4154" s="168">
        <f t="shared" si="7"/>
        <v>0</v>
      </c>
      <c r="Y4154" s="168">
        <f t="shared" si="8"/>
        <v>0</v>
      </c>
      <c r="Z4154" s="168">
        <f t="shared" si="9"/>
        <v>0</v>
      </c>
    </row>
    <row r="4155" ht="15.0" customHeight="1">
      <c r="A4155" s="157" t="s">
        <v>5266</v>
      </c>
      <c r="B4155" s="158" t="s">
        <v>38</v>
      </c>
      <c r="C4155" s="158" t="s">
        <v>5247</v>
      </c>
      <c r="D4155" s="159">
        <v>45153.0</v>
      </c>
      <c r="E4155" s="157" t="s">
        <v>731</v>
      </c>
      <c r="F4155" s="160">
        <v>6991.54</v>
      </c>
      <c r="G4155" s="160">
        <f>'FACP$'!$F4155*0.16</f>
        <v>1118.6464</v>
      </c>
      <c r="H4155" s="160">
        <f t="shared" si="124"/>
        <v>8110.1864</v>
      </c>
      <c r="I4155" s="160"/>
      <c r="J4155" s="161"/>
      <c r="K4155" s="160"/>
      <c r="L4155" s="160">
        <f>+'FACP$'!$H4155-'FACP$'!$I4155-'FACP$'!$K4155</f>
        <v>8110.1864</v>
      </c>
      <c r="M4155" s="162" t="s">
        <v>4707</v>
      </c>
      <c r="N4155" s="162" t="s">
        <v>554</v>
      </c>
      <c r="O4155" s="164">
        <v>45203.0</v>
      </c>
      <c r="P4155" s="164">
        <f t="array" ref="P4155">XLOOKUP('FACP$'!$B4155,'perfil de pagos'!$A$4:$A$46,'perfil de pagos'!$B$4:$B$46+'FACP$'!$D4155)</f>
        <v>45183</v>
      </c>
      <c r="Q4155" s="165">
        <f t="shared" si="2"/>
        <v>0</v>
      </c>
      <c r="R4155" s="167"/>
      <c r="S4155" s="167">
        <v>2484.0</v>
      </c>
      <c r="T4155" s="168">
        <f t="shared" si="3"/>
        <v>8110.1864</v>
      </c>
      <c r="U4155" s="168">
        <f t="shared" si="4"/>
        <v>0</v>
      </c>
      <c r="V4155" s="168">
        <f t="shared" si="5"/>
        <v>0</v>
      </c>
      <c r="W4155" s="168">
        <f t="shared" si="6"/>
        <v>0</v>
      </c>
      <c r="X4155" s="168">
        <f t="shared" si="7"/>
        <v>0</v>
      </c>
      <c r="Y4155" s="168">
        <f t="shared" si="8"/>
        <v>0</v>
      </c>
      <c r="Z4155" s="168">
        <f t="shared" si="9"/>
        <v>0</v>
      </c>
    </row>
    <row r="4156" ht="15.0" customHeight="1">
      <c r="A4156" s="157" t="s">
        <v>5267</v>
      </c>
      <c r="B4156" s="158" t="s">
        <v>38</v>
      </c>
      <c r="C4156" s="158" t="s">
        <v>5249</v>
      </c>
      <c r="D4156" s="159">
        <v>45153.0</v>
      </c>
      <c r="E4156" s="157" t="s">
        <v>731</v>
      </c>
      <c r="F4156" s="160">
        <v>8151.73</v>
      </c>
      <c r="G4156" s="160">
        <f>'FACP$'!$F4156*0.16</f>
        <v>1304.2768</v>
      </c>
      <c r="H4156" s="160">
        <f t="shared" si="124"/>
        <v>9456.0068</v>
      </c>
      <c r="I4156" s="160"/>
      <c r="J4156" s="161"/>
      <c r="K4156" s="160"/>
      <c r="L4156" s="160">
        <f>+'FACP$'!$H4156-'FACP$'!$I4156-'FACP$'!$K4156</f>
        <v>9456.0068</v>
      </c>
      <c r="M4156" s="162" t="s">
        <v>4707</v>
      </c>
      <c r="N4156" s="162" t="s">
        <v>554</v>
      </c>
      <c r="O4156" s="164">
        <v>45203.0</v>
      </c>
      <c r="P4156" s="164">
        <f t="array" ref="P4156">XLOOKUP('FACP$'!$B4156,'perfil de pagos'!$A$4:$A$46,'perfil de pagos'!$B$4:$B$46+'FACP$'!$D4156)</f>
        <v>45183</v>
      </c>
      <c r="Q4156" s="165">
        <f t="shared" si="2"/>
        <v>0</v>
      </c>
      <c r="R4156" s="167"/>
      <c r="S4156" s="167">
        <v>2484.0</v>
      </c>
      <c r="T4156" s="168">
        <f t="shared" si="3"/>
        <v>9456.0068</v>
      </c>
      <c r="U4156" s="168">
        <f t="shared" si="4"/>
        <v>0</v>
      </c>
      <c r="V4156" s="168">
        <f t="shared" si="5"/>
        <v>0</v>
      </c>
      <c r="W4156" s="168">
        <f t="shared" si="6"/>
        <v>0</v>
      </c>
      <c r="X4156" s="168">
        <f t="shared" si="7"/>
        <v>0</v>
      </c>
      <c r="Y4156" s="168">
        <f t="shared" si="8"/>
        <v>0</v>
      </c>
      <c r="Z4156" s="168">
        <f t="shared" si="9"/>
        <v>0</v>
      </c>
    </row>
    <row r="4157" ht="15.0" customHeight="1">
      <c r="A4157" s="157" t="s">
        <v>5268</v>
      </c>
      <c r="B4157" s="158" t="s">
        <v>38</v>
      </c>
      <c r="C4157" s="158" t="s">
        <v>5251</v>
      </c>
      <c r="D4157" s="159">
        <v>45153.0</v>
      </c>
      <c r="E4157" s="157" t="s">
        <v>731</v>
      </c>
      <c r="F4157" s="160">
        <v>7485.44</v>
      </c>
      <c r="G4157" s="160">
        <f>'FACP$'!$F4157*0.16</f>
        <v>1197.6704</v>
      </c>
      <c r="H4157" s="160">
        <f t="shared" si="124"/>
        <v>8683.1104</v>
      </c>
      <c r="I4157" s="160"/>
      <c r="J4157" s="161"/>
      <c r="K4157" s="160"/>
      <c r="L4157" s="160">
        <f>+'FACP$'!$H4157-'FACP$'!$I4157-'FACP$'!$K4157</f>
        <v>8683.1104</v>
      </c>
      <c r="M4157" s="162" t="s">
        <v>4707</v>
      </c>
      <c r="N4157" s="162" t="s">
        <v>554</v>
      </c>
      <c r="O4157" s="164">
        <v>45203.0</v>
      </c>
      <c r="P4157" s="164">
        <f t="array" ref="P4157">XLOOKUP('FACP$'!$B4157,'perfil de pagos'!$A$4:$A$46,'perfil de pagos'!$B$4:$B$46+'FACP$'!$D4157)</f>
        <v>45183</v>
      </c>
      <c r="Q4157" s="165">
        <f t="shared" si="2"/>
        <v>0</v>
      </c>
      <c r="R4157" s="167"/>
      <c r="S4157" s="167">
        <v>2484.0</v>
      </c>
      <c r="T4157" s="168">
        <f t="shared" si="3"/>
        <v>8683.1104</v>
      </c>
      <c r="U4157" s="168">
        <f t="shared" si="4"/>
        <v>0</v>
      </c>
      <c r="V4157" s="168">
        <f t="shared" si="5"/>
        <v>0</v>
      </c>
      <c r="W4157" s="168">
        <f t="shared" si="6"/>
        <v>0</v>
      </c>
      <c r="X4157" s="168">
        <f t="shared" si="7"/>
        <v>0</v>
      </c>
      <c r="Y4157" s="168">
        <f t="shared" si="8"/>
        <v>0</v>
      </c>
      <c r="Z4157" s="168">
        <f t="shared" si="9"/>
        <v>0</v>
      </c>
    </row>
    <row r="4158" ht="15.0" customHeight="1">
      <c r="A4158" s="157" t="s">
        <v>5269</v>
      </c>
      <c r="B4158" s="158" t="s">
        <v>38</v>
      </c>
      <c r="C4158" s="158" t="s">
        <v>5247</v>
      </c>
      <c r="D4158" s="159">
        <v>45153.0</v>
      </c>
      <c r="E4158" s="157" t="s">
        <v>731</v>
      </c>
      <c r="F4158" s="160">
        <v>13169.09</v>
      </c>
      <c r="G4158" s="160">
        <f>'FACP$'!$F4158*0.16</f>
        <v>2107.0544</v>
      </c>
      <c r="H4158" s="160">
        <f t="shared" si="124"/>
        <v>15276.1444</v>
      </c>
      <c r="I4158" s="160"/>
      <c r="J4158" s="161"/>
      <c r="K4158" s="160"/>
      <c r="L4158" s="160">
        <f>+'FACP$'!$H4158-'FACP$'!$I4158-'FACP$'!$K4158</f>
        <v>15276.1444</v>
      </c>
      <c r="M4158" s="162" t="s">
        <v>4654</v>
      </c>
      <c r="N4158" s="162" t="s">
        <v>554</v>
      </c>
      <c r="O4158" s="164">
        <v>45203.0</v>
      </c>
      <c r="P4158" s="164">
        <f t="array" ref="P4158">XLOOKUP('FACP$'!$B4158,'perfil de pagos'!$A$4:$A$46,'perfil de pagos'!$B$4:$B$46+'FACP$'!$D4158)</f>
        <v>45183</v>
      </c>
      <c r="Q4158" s="165">
        <f t="shared" si="2"/>
        <v>0</v>
      </c>
      <c r="R4158" s="167"/>
      <c r="S4158" s="167">
        <v>2484.0</v>
      </c>
      <c r="T4158" s="168">
        <f t="shared" si="3"/>
        <v>15276.1444</v>
      </c>
      <c r="U4158" s="168">
        <f t="shared" si="4"/>
        <v>0</v>
      </c>
      <c r="V4158" s="168">
        <f t="shared" si="5"/>
        <v>0</v>
      </c>
      <c r="W4158" s="168">
        <f t="shared" si="6"/>
        <v>0</v>
      </c>
      <c r="X4158" s="168">
        <f t="shared" si="7"/>
        <v>0</v>
      </c>
      <c r="Y4158" s="168">
        <f t="shared" si="8"/>
        <v>0</v>
      </c>
      <c r="Z4158" s="168">
        <f t="shared" si="9"/>
        <v>0</v>
      </c>
    </row>
    <row r="4159" ht="15.0" customHeight="1">
      <c r="A4159" s="157" t="s">
        <v>5270</v>
      </c>
      <c r="B4159" s="158" t="s">
        <v>38</v>
      </c>
      <c r="C4159" s="158" t="s">
        <v>5249</v>
      </c>
      <c r="D4159" s="159">
        <v>45153.0</v>
      </c>
      <c r="E4159" s="157" t="s">
        <v>731</v>
      </c>
      <c r="F4159" s="160">
        <v>19221.68</v>
      </c>
      <c r="G4159" s="160">
        <f>'FACP$'!$F4159*0.16</f>
        <v>3075.4688</v>
      </c>
      <c r="H4159" s="160">
        <f t="shared" si="124"/>
        <v>22297.1488</v>
      </c>
      <c r="I4159" s="160"/>
      <c r="J4159" s="161"/>
      <c r="K4159" s="160"/>
      <c r="L4159" s="160">
        <f>+'FACP$'!$H4159-'FACP$'!$I4159-'FACP$'!$K4159</f>
        <v>22297.1488</v>
      </c>
      <c r="M4159" s="162" t="s">
        <v>4654</v>
      </c>
      <c r="N4159" s="162" t="s">
        <v>554</v>
      </c>
      <c r="O4159" s="164">
        <v>45203.0</v>
      </c>
      <c r="P4159" s="164">
        <f t="array" ref="P4159">XLOOKUP('FACP$'!$B4159,'perfil de pagos'!$A$4:$A$46,'perfil de pagos'!$B$4:$B$46+'FACP$'!$D4159)</f>
        <v>45183</v>
      </c>
      <c r="Q4159" s="165">
        <f t="shared" si="2"/>
        <v>0</v>
      </c>
      <c r="R4159" s="167"/>
      <c r="S4159" s="167">
        <v>2484.0</v>
      </c>
      <c r="T4159" s="168">
        <f t="shared" si="3"/>
        <v>22297.1488</v>
      </c>
      <c r="U4159" s="168">
        <f t="shared" si="4"/>
        <v>0</v>
      </c>
      <c r="V4159" s="168">
        <f t="shared" si="5"/>
        <v>0</v>
      </c>
      <c r="W4159" s="168">
        <f t="shared" si="6"/>
        <v>0</v>
      </c>
      <c r="X4159" s="168">
        <f t="shared" si="7"/>
        <v>0</v>
      </c>
      <c r="Y4159" s="168">
        <f t="shared" si="8"/>
        <v>0</v>
      </c>
      <c r="Z4159" s="168">
        <f t="shared" si="9"/>
        <v>0</v>
      </c>
    </row>
    <row r="4160" ht="15.0" customHeight="1">
      <c r="A4160" s="157" t="s">
        <v>5271</v>
      </c>
      <c r="B4160" s="158" t="s">
        <v>38</v>
      </c>
      <c r="C4160" s="158" t="s">
        <v>5251</v>
      </c>
      <c r="D4160" s="159">
        <v>45153.0</v>
      </c>
      <c r="E4160" s="157" t="s">
        <v>731</v>
      </c>
      <c r="F4160" s="160">
        <v>12067.74</v>
      </c>
      <c r="G4160" s="160">
        <f>'FACP$'!$F4160*0.16</f>
        <v>1930.8384</v>
      </c>
      <c r="H4160" s="160">
        <f t="shared" si="124"/>
        <v>13998.5784</v>
      </c>
      <c r="I4160" s="160"/>
      <c r="J4160" s="161"/>
      <c r="K4160" s="160"/>
      <c r="L4160" s="160">
        <f>+'FACP$'!$H4160-'FACP$'!$I4160-'FACP$'!$K4160</f>
        <v>13998.5784</v>
      </c>
      <c r="M4160" s="162" t="s">
        <v>4654</v>
      </c>
      <c r="N4160" s="162" t="s">
        <v>554</v>
      </c>
      <c r="O4160" s="164">
        <v>45203.0</v>
      </c>
      <c r="P4160" s="164">
        <f t="array" ref="P4160">XLOOKUP('FACP$'!$B4160,'perfil de pagos'!$A$4:$A$46,'perfil de pagos'!$B$4:$B$46+'FACP$'!$D4160)</f>
        <v>45183</v>
      </c>
      <c r="Q4160" s="165">
        <f t="shared" si="2"/>
        <v>0</v>
      </c>
      <c r="R4160" s="167"/>
      <c r="S4160" s="167">
        <v>2484.0</v>
      </c>
      <c r="T4160" s="168">
        <f t="shared" si="3"/>
        <v>13998.5784</v>
      </c>
      <c r="U4160" s="168">
        <f t="shared" si="4"/>
        <v>0</v>
      </c>
      <c r="V4160" s="168">
        <f t="shared" si="5"/>
        <v>0</v>
      </c>
      <c r="W4160" s="168">
        <f t="shared" si="6"/>
        <v>0</v>
      </c>
      <c r="X4160" s="168">
        <f t="shared" si="7"/>
        <v>0</v>
      </c>
      <c r="Y4160" s="168">
        <f t="shared" si="8"/>
        <v>0</v>
      </c>
      <c r="Z4160" s="168">
        <f t="shared" si="9"/>
        <v>0</v>
      </c>
    </row>
    <row r="4161" ht="15.0" customHeight="1">
      <c r="A4161" s="157" t="s">
        <v>5272</v>
      </c>
      <c r="B4161" s="158" t="s">
        <v>41</v>
      </c>
      <c r="C4161" s="158" t="s">
        <v>5247</v>
      </c>
      <c r="D4161" s="159">
        <v>45153.0</v>
      </c>
      <c r="E4161" s="157" t="s">
        <v>731</v>
      </c>
      <c r="F4161" s="160">
        <v>17817.94</v>
      </c>
      <c r="G4161" s="160">
        <f>'FACP$'!$F4161*0.16</f>
        <v>2850.8704</v>
      </c>
      <c r="H4161" s="160">
        <f t="shared" si="124"/>
        <v>20668.8104</v>
      </c>
      <c r="I4161" s="160"/>
      <c r="J4161" s="161"/>
      <c r="K4161" s="160"/>
      <c r="L4161" s="160">
        <f>+'FACP$'!$H4161-'FACP$'!$I4161-'FACP$'!$K4161</f>
        <v>20668.8104</v>
      </c>
      <c r="M4161" s="162" t="s">
        <v>121</v>
      </c>
      <c r="N4161" s="162" t="s">
        <v>554</v>
      </c>
      <c r="O4161" s="164">
        <v>45230.0</v>
      </c>
      <c r="P4161" s="164">
        <f t="array" ref="P4161">XLOOKUP('FACP$'!$B4161,'perfil de pagos'!$A$4:$A$46,'perfil de pagos'!$B$4:$B$46+'FACP$'!$D4161)</f>
        <v>45163</v>
      </c>
      <c r="Q4161" s="165">
        <f t="shared" si="2"/>
        <v>0</v>
      </c>
      <c r="R4161" s="167"/>
      <c r="S4161" s="167">
        <v>2561.0</v>
      </c>
      <c r="T4161" s="168">
        <f t="shared" si="3"/>
        <v>20668.8104</v>
      </c>
      <c r="U4161" s="168">
        <f t="shared" si="4"/>
        <v>0</v>
      </c>
      <c r="V4161" s="168">
        <f t="shared" si="5"/>
        <v>0</v>
      </c>
      <c r="W4161" s="168">
        <f t="shared" si="6"/>
        <v>0</v>
      </c>
      <c r="X4161" s="168">
        <f t="shared" si="7"/>
        <v>0</v>
      </c>
      <c r="Y4161" s="168">
        <f t="shared" si="8"/>
        <v>0</v>
      </c>
      <c r="Z4161" s="168">
        <f t="shared" si="9"/>
        <v>0</v>
      </c>
    </row>
    <row r="4162" ht="15.0" customHeight="1">
      <c r="A4162" s="157" t="s">
        <v>5273</v>
      </c>
      <c r="B4162" s="158" t="s">
        <v>41</v>
      </c>
      <c r="C4162" s="158" t="s">
        <v>5249</v>
      </c>
      <c r="D4162" s="159">
        <v>45153.0</v>
      </c>
      <c r="E4162" s="157" t="s">
        <v>731</v>
      </c>
      <c r="F4162" s="160">
        <v>16332.57</v>
      </c>
      <c r="G4162" s="160">
        <f>'FACP$'!$F4162*0.16</f>
        <v>2613.2112</v>
      </c>
      <c r="H4162" s="160">
        <f t="shared" si="124"/>
        <v>18945.7812</v>
      </c>
      <c r="I4162" s="160"/>
      <c r="J4162" s="161"/>
      <c r="K4162" s="160"/>
      <c r="L4162" s="160">
        <f>+'FACP$'!$H4162-'FACP$'!$I4162-'FACP$'!$K4162</f>
        <v>18945.7812</v>
      </c>
      <c r="M4162" s="162" t="s">
        <v>121</v>
      </c>
      <c r="N4162" s="162" t="s">
        <v>554</v>
      </c>
      <c r="O4162" s="164">
        <v>45230.0</v>
      </c>
      <c r="P4162" s="164">
        <f t="array" ref="P4162">XLOOKUP('FACP$'!$B4162,'perfil de pagos'!$A$4:$A$46,'perfil de pagos'!$B$4:$B$46+'FACP$'!$D4162)</f>
        <v>45163</v>
      </c>
      <c r="Q4162" s="165">
        <f t="shared" si="2"/>
        <v>0</v>
      </c>
      <c r="R4162" s="167"/>
      <c r="S4162" s="167">
        <v>2561.0</v>
      </c>
      <c r="T4162" s="168">
        <f t="shared" si="3"/>
        <v>18945.7812</v>
      </c>
      <c r="U4162" s="168">
        <f t="shared" si="4"/>
        <v>0</v>
      </c>
      <c r="V4162" s="168">
        <f t="shared" si="5"/>
        <v>0</v>
      </c>
      <c r="W4162" s="168">
        <f t="shared" si="6"/>
        <v>0</v>
      </c>
      <c r="X4162" s="168">
        <f t="shared" si="7"/>
        <v>0</v>
      </c>
      <c r="Y4162" s="168">
        <f t="shared" si="8"/>
        <v>0</v>
      </c>
      <c r="Z4162" s="168">
        <f t="shared" si="9"/>
        <v>0</v>
      </c>
    </row>
    <row r="4163" ht="15.0" customHeight="1">
      <c r="A4163" s="157" t="s">
        <v>5274</v>
      </c>
      <c r="B4163" s="158" t="s">
        <v>41</v>
      </c>
      <c r="C4163" s="158" t="s">
        <v>5251</v>
      </c>
      <c r="D4163" s="159">
        <v>45153.0</v>
      </c>
      <c r="E4163" s="157" t="s">
        <v>731</v>
      </c>
      <c r="F4163" s="160">
        <v>13486.55</v>
      </c>
      <c r="G4163" s="160">
        <f>'FACP$'!$F4163*0.16</f>
        <v>2157.848</v>
      </c>
      <c r="H4163" s="160">
        <f t="shared" si="124"/>
        <v>15644.398</v>
      </c>
      <c r="I4163" s="160"/>
      <c r="J4163" s="161"/>
      <c r="K4163" s="160"/>
      <c r="L4163" s="160">
        <f>+'FACP$'!$H4163-'FACP$'!$I4163-'FACP$'!$K4163</f>
        <v>15644.398</v>
      </c>
      <c r="M4163" s="162" t="s">
        <v>121</v>
      </c>
      <c r="N4163" s="162" t="s">
        <v>554</v>
      </c>
      <c r="O4163" s="164">
        <v>45230.0</v>
      </c>
      <c r="P4163" s="164">
        <f t="array" ref="P4163">XLOOKUP('FACP$'!$B4163,'perfil de pagos'!$A$4:$A$46,'perfil de pagos'!$B$4:$B$46+'FACP$'!$D4163)</f>
        <v>45163</v>
      </c>
      <c r="Q4163" s="165">
        <f t="shared" si="2"/>
        <v>0</v>
      </c>
      <c r="R4163" s="167"/>
      <c r="S4163" s="167">
        <v>2561.0</v>
      </c>
      <c r="T4163" s="168">
        <f t="shared" si="3"/>
        <v>15644.398</v>
      </c>
      <c r="U4163" s="168">
        <f t="shared" si="4"/>
        <v>0</v>
      </c>
      <c r="V4163" s="168">
        <f t="shared" si="5"/>
        <v>0</v>
      </c>
      <c r="W4163" s="168">
        <f t="shared" si="6"/>
        <v>0</v>
      </c>
      <c r="X4163" s="168">
        <f t="shared" si="7"/>
        <v>0</v>
      </c>
      <c r="Y4163" s="168">
        <f t="shared" si="8"/>
        <v>0</v>
      </c>
      <c r="Z4163" s="168">
        <f t="shared" si="9"/>
        <v>0</v>
      </c>
    </row>
    <row r="4164" ht="15.0" customHeight="1">
      <c r="A4164" s="157" t="s">
        <v>5275</v>
      </c>
      <c r="B4164" s="158" t="s">
        <v>42</v>
      </c>
      <c r="C4164" s="158" t="s">
        <v>5247</v>
      </c>
      <c r="D4164" s="159">
        <v>45153.0</v>
      </c>
      <c r="E4164" s="157" t="s">
        <v>731</v>
      </c>
      <c r="F4164" s="160">
        <v>3327.51</v>
      </c>
      <c r="G4164" s="160">
        <f>'FACP$'!$F4164*0.16</f>
        <v>532.4016</v>
      </c>
      <c r="H4164" s="160">
        <f t="shared" si="124"/>
        <v>3859.9116</v>
      </c>
      <c r="I4164" s="160"/>
      <c r="J4164" s="161"/>
      <c r="K4164" s="160"/>
      <c r="L4164" s="160">
        <f>+'FACP$'!$H4164-'FACP$'!$I4164-'FACP$'!$K4164</f>
        <v>3859.9116</v>
      </c>
      <c r="M4164" s="162" t="s">
        <v>42</v>
      </c>
      <c r="N4164" s="162" t="s">
        <v>554</v>
      </c>
      <c r="O4164" s="164">
        <v>45169.0</v>
      </c>
      <c r="P4164" s="164">
        <f t="array" ref="P4164">XLOOKUP('FACP$'!$B4164,'perfil de pagos'!$A$4:$A$46,'perfil de pagos'!$B$4:$B$46+'FACP$'!$D4164)</f>
        <v>45163</v>
      </c>
      <c r="Q4164" s="165">
        <f t="shared" si="2"/>
        <v>0</v>
      </c>
      <c r="R4164" s="167"/>
      <c r="S4164" s="167">
        <v>2390.0</v>
      </c>
      <c r="T4164" s="168">
        <f t="shared" si="3"/>
        <v>3859.9116</v>
      </c>
      <c r="U4164" s="168">
        <f t="shared" si="4"/>
        <v>0</v>
      </c>
      <c r="V4164" s="168">
        <f t="shared" si="5"/>
        <v>0</v>
      </c>
      <c r="W4164" s="168">
        <f t="shared" si="6"/>
        <v>0</v>
      </c>
      <c r="X4164" s="168">
        <f t="shared" si="7"/>
        <v>0</v>
      </c>
      <c r="Y4164" s="168">
        <f t="shared" si="8"/>
        <v>0</v>
      </c>
      <c r="Z4164" s="168">
        <f t="shared" si="9"/>
        <v>0</v>
      </c>
    </row>
    <row r="4165" ht="15.0" customHeight="1">
      <c r="A4165" s="157" t="s">
        <v>5276</v>
      </c>
      <c r="B4165" s="158" t="s">
        <v>42</v>
      </c>
      <c r="C4165" s="158" t="s">
        <v>5249</v>
      </c>
      <c r="D4165" s="159">
        <v>45153.0</v>
      </c>
      <c r="E4165" s="157" t="s">
        <v>731</v>
      </c>
      <c r="F4165" s="160">
        <v>3438.24</v>
      </c>
      <c r="G4165" s="160">
        <f>'FACP$'!$F4165*0.16</f>
        <v>550.1184</v>
      </c>
      <c r="H4165" s="160">
        <f t="shared" si="124"/>
        <v>3988.3584</v>
      </c>
      <c r="I4165" s="160"/>
      <c r="J4165" s="161"/>
      <c r="K4165" s="160"/>
      <c r="L4165" s="160">
        <f>+'FACP$'!$H4165-'FACP$'!$I4165-'FACP$'!$K4165</f>
        <v>3988.3584</v>
      </c>
      <c r="M4165" s="162" t="s">
        <v>42</v>
      </c>
      <c r="N4165" s="162" t="s">
        <v>554</v>
      </c>
      <c r="O4165" s="164">
        <v>45169.0</v>
      </c>
      <c r="P4165" s="164">
        <f t="array" ref="P4165">XLOOKUP('FACP$'!$B4165,'perfil de pagos'!$A$4:$A$46,'perfil de pagos'!$B$4:$B$46+'FACP$'!$D4165)</f>
        <v>45163</v>
      </c>
      <c r="Q4165" s="165">
        <f t="shared" si="2"/>
        <v>0</v>
      </c>
      <c r="R4165" s="167"/>
      <c r="S4165" s="167">
        <v>2390.0</v>
      </c>
      <c r="T4165" s="168">
        <f t="shared" si="3"/>
        <v>3988.3584</v>
      </c>
      <c r="U4165" s="168">
        <f t="shared" si="4"/>
        <v>0</v>
      </c>
      <c r="V4165" s="168">
        <f t="shared" si="5"/>
        <v>0</v>
      </c>
      <c r="W4165" s="168">
        <f t="shared" si="6"/>
        <v>0</v>
      </c>
      <c r="X4165" s="168">
        <f t="shared" si="7"/>
        <v>0</v>
      </c>
      <c r="Y4165" s="168">
        <f t="shared" si="8"/>
        <v>0</v>
      </c>
      <c r="Z4165" s="168">
        <f t="shared" si="9"/>
        <v>0</v>
      </c>
    </row>
    <row r="4166" ht="15.0" customHeight="1">
      <c r="A4166" s="157" t="s">
        <v>5277</v>
      </c>
      <c r="B4166" s="158" t="s">
        <v>42</v>
      </c>
      <c r="C4166" s="158" t="s">
        <v>5251</v>
      </c>
      <c r="D4166" s="159">
        <v>45153.0</v>
      </c>
      <c r="E4166" s="157" t="s">
        <v>731</v>
      </c>
      <c r="F4166" s="160">
        <v>3060.85</v>
      </c>
      <c r="G4166" s="160">
        <f>'FACP$'!$F4166*0.16</f>
        <v>489.736</v>
      </c>
      <c r="H4166" s="160">
        <f t="shared" si="124"/>
        <v>3550.586</v>
      </c>
      <c r="I4166" s="160"/>
      <c r="J4166" s="161"/>
      <c r="K4166" s="160"/>
      <c r="L4166" s="160">
        <f>+'FACP$'!$H4166-'FACP$'!$I4166-'FACP$'!$K4166</f>
        <v>3550.586</v>
      </c>
      <c r="M4166" s="162" t="s">
        <v>42</v>
      </c>
      <c r="N4166" s="162" t="s">
        <v>554</v>
      </c>
      <c r="O4166" s="164">
        <v>45169.0</v>
      </c>
      <c r="P4166" s="164">
        <f t="array" ref="P4166">XLOOKUP('FACP$'!$B4166,'perfil de pagos'!$A$4:$A$46,'perfil de pagos'!$B$4:$B$46+'FACP$'!$D4166)</f>
        <v>45163</v>
      </c>
      <c r="Q4166" s="165">
        <f t="shared" si="2"/>
        <v>0</v>
      </c>
      <c r="R4166" s="167"/>
      <c r="S4166" s="167">
        <v>2390.0</v>
      </c>
      <c r="T4166" s="168">
        <f t="shared" si="3"/>
        <v>3550.586</v>
      </c>
      <c r="U4166" s="168">
        <f t="shared" si="4"/>
        <v>0</v>
      </c>
      <c r="V4166" s="168">
        <f t="shared" si="5"/>
        <v>0</v>
      </c>
      <c r="W4166" s="168">
        <f t="shared" si="6"/>
        <v>0</v>
      </c>
      <c r="X4166" s="168">
        <f t="shared" si="7"/>
        <v>0</v>
      </c>
      <c r="Y4166" s="168">
        <f t="shared" si="8"/>
        <v>0</v>
      </c>
      <c r="Z4166" s="168">
        <f t="shared" si="9"/>
        <v>0</v>
      </c>
    </row>
    <row r="4167" ht="15.0" customHeight="1">
      <c r="A4167" s="157" t="s">
        <v>5278</v>
      </c>
      <c r="B4167" s="158" t="s">
        <v>43</v>
      </c>
      <c r="C4167" s="158" t="s">
        <v>5247</v>
      </c>
      <c r="D4167" s="159">
        <v>45153.0</v>
      </c>
      <c r="E4167" s="157" t="s">
        <v>731</v>
      </c>
      <c r="F4167" s="160">
        <v>11476.73</v>
      </c>
      <c r="G4167" s="160">
        <f>'FACP$'!$F4167*0.16</f>
        <v>1836.2768</v>
      </c>
      <c r="H4167" s="160">
        <f t="shared" si="124"/>
        <v>13313.0068</v>
      </c>
      <c r="I4167" s="160"/>
      <c r="J4167" s="161"/>
      <c r="K4167" s="160"/>
      <c r="L4167" s="160">
        <f>+'FACP$'!$H4167-'FACP$'!$I4167-'FACP$'!$K4167</f>
        <v>13313.0068</v>
      </c>
      <c r="M4167" s="162" t="s">
        <v>43</v>
      </c>
      <c r="N4167" s="162" t="s">
        <v>554</v>
      </c>
      <c r="O4167" s="164">
        <v>45261.0</v>
      </c>
      <c r="P4167" s="164">
        <f t="array" ref="P4167">XLOOKUP('FACP$'!$B4167,'perfil de pagos'!$A$4:$A$46,'perfil de pagos'!$B$4:$B$46+'FACP$'!$D4167)</f>
        <v>45178</v>
      </c>
      <c r="Q4167" s="165">
        <f t="shared" si="2"/>
        <v>0</v>
      </c>
      <c r="R4167" s="167"/>
      <c r="S4167" s="167">
        <v>2627.0</v>
      </c>
      <c r="T4167" s="168">
        <f t="shared" si="3"/>
        <v>13313.0068</v>
      </c>
      <c r="U4167" s="168">
        <f t="shared" si="4"/>
        <v>0</v>
      </c>
      <c r="V4167" s="168">
        <f t="shared" si="5"/>
        <v>0</v>
      </c>
      <c r="W4167" s="168">
        <f t="shared" si="6"/>
        <v>0</v>
      </c>
      <c r="X4167" s="168">
        <f t="shared" si="7"/>
        <v>0</v>
      </c>
      <c r="Y4167" s="168">
        <f t="shared" si="8"/>
        <v>0</v>
      </c>
      <c r="Z4167" s="168">
        <f t="shared" si="9"/>
        <v>0</v>
      </c>
    </row>
    <row r="4168" ht="15.0" customHeight="1">
      <c r="A4168" s="157" t="s">
        <v>5279</v>
      </c>
      <c r="B4168" s="158" t="s">
        <v>43</v>
      </c>
      <c r="C4168" s="158" t="s">
        <v>5249</v>
      </c>
      <c r="D4168" s="159">
        <v>45153.0</v>
      </c>
      <c r="E4168" s="157" t="s">
        <v>731</v>
      </c>
      <c r="F4168" s="160">
        <v>13303.82</v>
      </c>
      <c r="G4168" s="160">
        <f>'FACP$'!$F4168*0.16</f>
        <v>2128.6112</v>
      </c>
      <c r="H4168" s="160">
        <f t="shared" si="124"/>
        <v>15432.4312</v>
      </c>
      <c r="I4168" s="160"/>
      <c r="J4168" s="161"/>
      <c r="K4168" s="160"/>
      <c r="L4168" s="160">
        <f>+'FACP$'!$H4168-'FACP$'!$I4168-'FACP$'!$K4168</f>
        <v>15432.4312</v>
      </c>
      <c r="M4168" s="162" t="s">
        <v>43</v>
      </c>
      <c r="N4168" s="162" t="s">
        <v>554</v>
      </c>
      <c r="O4168" s="164">
        <v>45261.0</v>
      </c>
      <c r="P4168" s="164">
        <f t="array" ref="P4168">XLOOKUP('FACP$'!$B4168,'perfil de pagos'!$A$4:$A$46,'perfil de pagos'!$B$4:$B$46+'FACP$'!$D4168)</f>
        <v>45178</v>
      </c>
      <c r="Q4168" s="165">
        <f t="shared" si="2"/>
        <v>0</v>
      </c>
      <c r="R4168" s="167"/>
      <c r="S4168" s="167">
        <v>2626.0</v>
      </c>
      <c r="T4168" s="168">
        <f t="shared" si="3"/>
        <v>15432.4312</v>
      </c>
      <c r="U4168" s="168">
        <f t="shared" si="4"/>
        <v>0</v>
      </c>
      <c r="V4168" s="168">
        <f t="shared" si="5"/>
        <v>0</v>
      </c>
      <c r="W4168" s="168">
        <f t="shared" si="6"/>
        <v>0</v>
      </c>
      <c r="X4168" s="168">
        <f t="shared" si="7"/>
        <v>0</v>
      </c>
      <c r="Y4168" s="168">
        <f t="shared" si="8"/>
        <v>0</v>
      </c>
      <c r="Z4168" s="168">
        <f t="shared" si="9"/>
        <v>0</v>
      </c>
    </row>
    <row r="4169" ht="15.0" customHeight="1">
      <c r="A4169" s="157" t="s">
        <v>5280</v>
      </c>
      <c r="B4169" s="158" t="s">
        <v>43</v>
      </c>
      <c r="C4169" s="158" t="s">
        <v>5251</v>
      </c>
      <c r="D4169" s="159">
        <v>45153.0</v>
      </c>
      <c r="E4169" s="157" t="s">
        <v>731</v>
      </c>
      <c r="F4169" s="160">
        <v>12876.08</v>
      </c>
      <c r="G4169" s="160">
        <f>'FACP$'!$F4169*0.16</f>
        <v>2060.1728</v>
      </c>
      <c r="H4169" s="160">
        <f t="shared" si="124"/>
        <v>14936.2528</v>
      </c>
      <c r="I4169" s="160"/>
      <c r="J4169" s="161"/>
      <c r="K4169" s="160"/>
      <c r="L4169" s="160">
        <f>+'FACP$'!$H4169-'FACP$'!$I4169-'FACP$'!$K4169</f>
        <v>14936.2528</v>
      </c>
      <c r="M4169" s="162" t="s">
        <v>43</v>
      </c>
      <c r="N4169" s="162" t="s">
        <v>554</v>
      </c>
      <c r="O4169" s="164">
        <v>45261.0</v>
      </c>
      <c r="P4169" s="164">
        <f t="array" ref="P4169">XLOOKUP('FACP$'!$B4169,'perfil de pagos'!$A$4:$A$46,'perfil de pagos'!$B$4:$B$46+'FACP$'!$D4169)</f>
        <v>45178</v>
      </c>
      <c r="Q4169" s="165">
        <f t="shared" si="2"/>
        <v>0</v>
      </c>
      <c r="R4169" s="167"/>
      <c r="S4169" s="167">
        <v>2628.0</v>
      </c>
      <c r="T4169" s="168">
        <f t="shared" si="3"/>
        <v>14936.2528</v>
      </c>
      <c r="U4169" s="168">
        <f t="shared" si="4"/>
        <v>0</v>
      </c>
      <c r="V4169" s="168">
        <f t="shared" si="5"/>
        <v>0</v>
      </c>
      <c r="W4169" s="168">
        <f t="shared" si="6"/>
        <v>0</v>
      </c>
      <c r="X4169" s="168">
        <f t="shared" si="7"/>
        <v>0</v>
      </c>
      <c r="Y4169" s="168">
        <f t="shared" si="8"/>
        <v>0</v>
      </c>
      <c r="Z4169" s="168">
        <f t="shared" si="9"/>
        <v>0</v>
      </c>
    </row>
    <row r="4170" ht="15.0" customHeight="1">
      <c r="A4170" s="157" t="s">
        <v>5281</v>
      </c>
      <c r="B4170" s="158" t="s">
        <v>44</v>
      </c>
      <c r="C4170" s="158" t="s">
        <v>5247</v>
      </c>
      <c r="D4170" s="159">
        <v>45153.0</v>
      </c>
      <c r="E4170" s="157" t="s">
        <v>731</v>
      </c>
      <c r="F4170" s="160">
        <v>2931.64</v>
      </c>
      <c r="G4170" s="160">
        <f>'FACP$'!$F4170*0.16</f>
        <v>469.0624</v>
      </c>
      <c r="H4170" s="160">
        <f t="shared" si="124"/>
        <v>3400.7024</v>
      </c>
      <c r="I4170" s="160"/>
      <c r="J4170" s="161"/>
      <c r="K4170" s="160"/>
      <c r="L4170" s="160">
        <f>+'FACP$'!$H4170-'FACP$'!$I4170-'FACP$'!$K4170</f>
        <v>3400.7024</v>
      </c>
      <c r="M4170" s="162" t="s">
        <v>361</v>
      </c>
      <c r="N4170" s="162" t="s">
        <v>554</v>
      </c>
      <c r="O4170" s="164">
        <v>45163.0</v>
      </c>
      <c r="P4170" s="164">
        <f t="array" ref="P4170">XLOOKUP('FACP$'!$B4170,'perfil de pagos'!$A$4:$A$46,'perfil de pagos'!$B$4:$B$46+'FACP$'!$D4170)</f>
        <v>45163</v>
      </c>
      <c r="Q4170" s="165">
        <f t="shared" si="2"/>
        <v>0</v>
      </c>
      <c r="R4170" s="167"/>
      <c r="S4170" s="167">
        <v>2372.0</v>
      </c>
      <c r="T4170" s="168">
        <f t="shared" si="3"/>
        <v>3400.7024</v>
      </c>
      <c r="U4170" s="168">
        <f t="shared" si="4"/>
        <v>0</v>
      </c>
      <c r="V4170" s="168">
        <f t="shared" si="5"/>
        <v>0</v>
      </c>
      <c r="W4170" s="168">
        <f t="shared" si="6"/>
        <v>0</v>
      </c>
      <c r="X4170" s="168">
        <f t="shared" si="7"/>
        <v>0</v>
      </c>
      <c r="Y4170" s="168">
        <f t="shared" si="8"/>
        <v>0</v>
      </c>
      <c r="Z4170" s="168">
        <f t="shared" si="9"/>
        <v>0</v>
      </c>
    </row>
    <row r="4171" ht="15.0" customHeight="1">
      <c r="A4171" s="157" t="s">
        <v>5282</v>
      </c>
      <c r="B4171" s="158" t="s">
        <v>44</v>
      </c>
      <c r="C4171" s="158" t="s">
        <v>5249</v>
      </c>
      <c r="D4171" s="159">
        <v>45153.0</v>
      </c>
      <c r="E4171" s="157" t="s">
        <v>731</v>
      </c>
      <c r="F4171" s="160">
        <v>3128.88</v>
      </c>
      <c r="G4171" s="160">
        <f>'FACP$'!$F4171*0.16</f>
        <v>500.6208</v>
      </c>
      <c r="H4171" s="160">
        <f t="shared" si="124"/>
        <v>3629.5008</v>
      </c>
      <c r="I4171" s="160"/>
      <c r="J4171" s="161"/>
      <c r="K4171" s="160"/>
      <c r="L4171" s="160">
        <f>+'FACP$'!$H4171-'FACP$'!$I4171-'FACP$'!$K4171</f>
        <v>3629.5008</v>
      </c>
      <c r="M4171" s="162" t="s">
        <v>361</v>
      </c>
      <c r="N4171" s="162" t="s">
        <v>554</v>
      </c>
      <c r="O4171" s="164">
        <v>45163.0</v>
      </c>
      <c r="P4171" s="164">
        <f t="array" ref="P4171">XLOOKUP('FACP$'!$B4171,'perfil de pagos'!$A$4:$A$46,'perfil de pagos'!$B$4:$B$46+'FACP$'!$D4171)</f>
        <v>45163</v>
      </c>
      <c r="Q4171" s="165">
        <f t="shared" si="2"/>
        <v>0</v>
      </c>
      <c r="R4171" s="167"/>
      <c r="S4171" s="167">
        <v>2372.0</v>
      </c>
      <c r="T4171" s="168">
        <f t="shared" si="3"/>
        <v>3629.5008</v>
      </c>
      <c r="U4171" s="168">
        <f t="shared" si="4"/>
        <v>0</v>
      </c>
      <c r="V4171" s="168">
        <f t="shared" si="5"/>
        <v>0</v>
      </c>
      <c r="W4171" s="168">
        <f t="shared" si="6"/>
        <v>0</v>
      </c>
      <c r="X4171" s="168">
        <f t="shared" si="7"/>
        <v>0</v>
      </c>
      <c r="Y4171" s="168">
        <f t="shared" si="8"/>
        <v>0</v>
      </c>
      <c r="Z4171" s="168">
        <f t="shared" si="9"/>
        <v>0</v>
      </c>
    </row>
    <row r="4172" ht="15.0" customHeight="1">
      <c r="A4172" s="157" t="s">
        <v>5283</v>
      </c>
      <c r="B4172" s="158" t="s">
        <v>44</v>
      </c>
      <c r="C4172" s="158" t="s">
        <v>5251</v>
      </c>
      <c r="D4172" s="159">
        <v>45153.0</v>
      </c>
      <c r="E4172" s="157" t="s">
        <v>731</v>
      </c>
      <c r="F4172" s="160">
        <v>3017.67</v>
      </c>
      <c r="G4172" s="160">
        <f>'FACP$'!$F4172*0.16</f>
        <v>482.8272</v>
      </c>
      <c r="H4172" s="160">
        <f t="shared" si="124"/>
        <v>3500.4972</v>
      </c>
      <c r="I4172" s="160"/>
      <c r="J4172" s="161"/>
      <c r="K4172" s="160"/>
      <c r="L4172" s="160">
        <f>+'FACP$'!$H4172-'FACP$'!$I4172-'FACP$'!$K4172</f>
        <v>3500.4972</v>
      </c>
      <c r="M4172" s="162" t="s">
        <v>361</v>
      </c>
      <c r="N4172" s="162" t="s">
        <v>554</v>
      </c>
      <c r="O4172" s="164">
        <v>45163.0</v>
      </c>
      <c r="P4172" s="164">
        <f t="array" ref="P4172">XLOOKUP('FACP$'!$B4172,'perfil de pagos'!$A$4:$A$46,'perfil de pagos'!$B$4:$B$46+'FACP$'!$D4172)</f>
        <v>45163</v>
      </c>
      <c r="Q4172" s="165">
        <f t="shared" si="2"/>
        <v>0</v>
      </c>
      <c r="R4172" s="167"/>
      <c r="S4172" s="167">
        <v>2372.0</v>
      </c>
      <c r="T4172" s="168">
        <f t="shared" si="3"/>
        <v>3500.4972</v>
      </c>
      <c r="U4172" s="168">
        <f t="shared" si="4"/>
        <v>0</v>
      </c>
      <c r="V4172" s="168">
        <f t="shared" si="5"/>
        <v>0</v>
      </c>
      <c r="W4172" s="168">
        <f t="shared" si="6"/>
        <v>0</v>
      </c>
      <c r="X4172" s="168">
        <f t="shared" si="7"/>
        <v>0</v>
      </c>
      <c r="Y4172" s="168">
        <f t="shared" si="8"/>
        <v>0</v>
      </c>
      <c r="Z4172" s="168">
        <f t="shared" si="9"/>
        <v>0</v>
      </c>
    </row>
    <row r="4173" ht="15.0" customHeight="1">
      <c r="A4173" s="157" t="s">
        <v>5284</v>
      </c>
      <c r="B4173" s="158" t="s">
        <v>16</v>
      </c>
      <c r="C4173" s="158" t="s">
        <v>5247</v>
      </c>
      <c r="D4173" s="159">
        <v>45154.0</v>
      </c>
      <c r="E4173" s="157" t="s">
        <v>731</v>
      </c>
      <c r="F4173" s="160">
        <v>29772.01</v>
      </c>
      <c r="G4173" s="160">
        <f>'FACP$'!$F4173*0.16</f>
        <v>4763.5216</v>
      </c>
      <c r="H4173" s="160">
        <f t="shared" si="124"/>
        <v>34535.5316</v>
      </c>
      <c r="I4173" s="160"/>
      <c r="J4173" s="161"/>
      <c r="K4173" s="160"/>
      <c r="L4173" s="160">
        <f>+'FACP$'!$H4173-'FACP$'!$I4173-'FACP$'!$K4173</f>
        <v>34535.5316</v>
      </c>
      <c r="M4173" s="162" t="s">
        <v>985</v>
      </c>
      <c r="N4173" s="162" t="s">
        <v>554</v>
      </c>
      <c r="O4173" s="164">
        <v>45174.0</v>
      </c>
      <c r="P4173" s="164">
        <f t="array" ref="P4173">XLOOKUP('FACP$'!$B4173,'perfil de pagos'!$A$4:$A$46,'perfil de pagos'!$B$4:$B$46+'FACP$'!$D4173)</f>
        <v>45164</v>
      </c>
      <c r="Q4173" s="165">
        <f t="shared" si="2"/>
        <v>0</v>
      </c>
      <c r="R4173" s="167"/>
      <c r="S4173" s="167">
        <v>2403.0</v>
      </c>
      <c r="T4173" s="168">
        <f t="shared" si="3"/>
        <v>34535.5316</v>
      </c>
      <c r="U4173" s="168">
        <f t="shared" si="4"/>
        <v>0</v>
      </c>
      <c r="V4173" s="168">
        <f t="shared" si="5"/>
        <v>0</v>
      </c>
      <c r="W4173" s="168">
        <f t="shared" si="6"/>
        <v>0</v>
      </c>
      <c r="X4173" s="168">
        <f t="shared" si="7"/>
        <v>0</v>
      </c>
      <c r="Y4173" s="168">
        <f t="shared" si="8"/>
        <v>0</v>
      </c>
      <c r="Z4173" s="168">
        <f t="shared" si="9"/>
        <v>0</v>
      </c>
    </row>
    <row r="4174" ht="15.0" customHeight="1">
      <c r="A4174" s="157" t="s">
        <v>5285</v>
      </c>
      <c r="B4174" s="158" t="s">
        <v>16</v>
      </c>
      <c r="C4174" s="158" t="s">
        <v>5249</v>
      </c>
      <c r="D4174" s="159">
        <v>45154.0</v>
      </c>
      <c r="E4174" s="157" t="s">
        <v>731</v>
      </c>
      <c r="F4174" s="160">
        <v>33758.31</v>
      </c>
      <c r="G4174" s="160">
        <f>'FACP$'!$F4174*0.16</f>
        <v>5401.3296</v>
      </c>
      <c r="H4174" s="160">
        <f t="shared" si="124"/>
        <v>39159.6396</v>
      </c>
      <c r="I4174" s="160"/>
      <c r="J4174" s="161"/>
      <c r="K4174" s="160"/>
      <c r="L4174" s="160">
        <f>+'FACP$'!$H4174-'FACP$'!$I4174-'FACP$'!$K4174</f>
        <v>39159.6396</v>
      </c>
      <c r="M4174" s="162" t="s">
        <v>985</v>
      </c>
      <c r="N4174" s="162" t="s">
        <v>554</v>
      </c>
      <c r="O4174" s="164">
        <v>45174.0</v>
      </c>
      <c r="P4174" s="164">
        <f t="array" ref="P4174">XLOOKUP('FACP$'!$B4174,'perfil de pagos'!$A$4:$A$46,'perfil de pagos'!$B$4:$B$46+'FACP$'!$D4174)</f>
        <v>45164</v>
      </c>
      <c r="Q4174" s="165">
        <f t="shared" si="2"/>
        <v>0</v>
      </c>
      <c r="R4174" s="167"/>
      <c r="S4174" s="167">
        <v>2403.0</v>
      </c>
      <c r="T4174" s="168">
        <f t="shared" si="3"/>
        <v>39159.6396</v>
      </c>
      <c r="U4174" s="168">
        <f t="shared" si="4"/>
        <v>0</v>
      </c>
      <c r="V4174" s="168">
        <f t="shared" si="5"/>
        <v>0</v>
      </c>
      <c r="W4174" s="168">
        <f t="shared" si="6"/>
        <v>0</v>
      </c>
      <c r="X4174" s="168">
        <f t="shared" si="7"/>
        <v>0</v>
      </c>
      <c r="Y4174" s="168">
        <f t="shared" si="8"/>
        <v>0</v>
      </c>
      <c r="Z4174" s="168">
        <f t="shared" si="9"/>
        <v>0</v>
      </c>
    </row>
    <row r="4175" ht="15.0" customHeight="1">
      <c r="A4175" s="157" t="s">
        <v>5286</v>
      </c>
      <c r="B4175" s="158" t="s">
        <v>16</v>
      </c>
      <c r="C4175" s="158" t="s">
        <v>5251</v>
      </c>
      <c r="D4175" s="159">
        <v>45154.0</v>
      </c>
      <c r="E4175" s="157" t="s">
        <v>731</v>
      </c>
      <c r="F4175" s="160">
        <v>27972.18</v>
      </c>
      <c r="G4175" s="160">
        <f>'FACP$'!$F4175*0.16</f>
        <v>4475.5488</v>
      </c>
      <c r="H4175" s="160">
        <f t="shared" si="124"/>
        <v>32447.7288</v>
      </c>
      <c r="I4175" s="160"/>
      <c r="J4175" s="161"/>
      <c r="K4175" s="160"/>
      <c r="L4175" s="160">
        <f>+'FACP$'!$H4175-'FACP$'!$I4175-'FACP$'!$K4175</f>
        <v>32447.7288</v>
      </c>
      <c r="M4175" s="162" t="s">
        <v>985</v>
      </c>
      <c r="N4175" s="162" t="s">
        <v>554</v>
      </c>
      <c r="O4175" s="164">
        <v>45174.0</v>
      </c>
      <c r="P4175" s="164">
        <f t="array" ref="P4175">XLOOKUP('FACP$'!$B4175,'perfil de pagos'!$A$4:$A$46,'perfil de pagos'!$B$4:$B$46+'FACP$'!$D4175)</f>
        <v>45164</v>
      </c>
      <c r="Q4175" s="165">
        <f t="shared" si="2"/>
        <v>0</v>
      </c>
      <c r="R4175" s="167"/>
      <c r="S4175" s="167">
        <v>2403.0</v>
      </c>
      <c r="T4175" s="168">
        <f t="shared" si="3"/>
        <v>32447.7288</v>
      </c>
      <c r="U4175" s="168">
        <f t="shared" si="4"/>
        <v>0</v>
      </c>
      <c r="V4175" s="168">
        <f t="shared" si="5"/>
        <v>0</v>
      </c>
      <c r="W4175" s="168">
        <f t="shared" si="6"/>
        <v>0</v>
      </c>
      <c r="X4175" s="168">
        <f t="shared" si="7"/>
        <v>0</v>
      </c>
      <c r="Y4175" s="168">
        <f t="shared" si="8"/>
        <v>0</v>
      </c>
      <c r="Z4175" s="168">
        <f t="shared" si="9"/>
        <v>0</v>
      </c>
    </row>
    <row r="4176" ht="15.0" customHeight="1">
      <c r="A4176" s="157" t="s">
        <v>5287</v>
      </c>
      <c r="B4176" s="158" t="s">
        <v>18</v>
      </c>
      <c r="C4176" s="158" t="s">
        <v>5247</v>
      </c>
      <c r="D4176" s="159">
        <v>45154.0</v>
      </c>
      <c r="E4176" s="157" t="s">
        <v>731</v>
      </c>
      <c r="F4176" s="160">
        <v>5014.92</v>
      </c>
      <c r="G4176" s="160">
        <f>'FACP$'!$F4176*0.16</f>
        <v>802.3872</v>
      </c>
      <c r="H4176" s="160">
        <f t="shared" si="124"/>
        <v>5817.3072</v>
      </c>
      <c r="I4176" s="160"/>
      <c r="J4176" s="161"/>
      <c r="K4176" s="160"/>
      <c r="L4176" s="160">
        <f>+'FACP$'!$H4176-'FACP$'!$I4176-'FACP$'!$K4176</f>
        <v>5817.3072</v>
      </c>
      <c r="M4176" s="162" t="s">
        <v>586</v>
      </c>
      <c r="N4176" s="162" t="s">
        <v>554</v>
      </c>
      <c r="O4176" s="164">
        <v>45208.0</v>
      </c>
      <c r="P4176" s="164">
        <f t="array" ref="P4176">XLOOKUP('FACP$'!$B4176,'perfil de pagos'!$A$4:$A$46,'perfil de pagos'!$B$4:$B$46+'FACP$'!$D4176)</f>
        <v>45164</v>
      </c>
      <c r="Q4176" s="165">
        <f t="shared" si="2"/>
        <v>0</v>
      </c>
      <c r="R4176" s="167"/>
      <c r="S4176" s="167">
        <v>2482.0</v>
      </c>
      <c r="T4176" s="168">
        <f t="shared" si="3"/>
        <v>5817.3072</v>
      </c>
      <c r="U4176" s="168">
        <f t="shared" si="4"/>
        <v>0</v>
      </c>
      <c r="V4176" s="168">
        <f t="shared" si="5"/>
        <v>0</v>
      </c>
      <c r="W4176" s="168">
        <f t="shared" si="6"/>
        <v>0</v>
      </c>
      <c r="X4176" s="168">
        <f t="shared" si="7"/>
        <v>0</v>
      </c>
      <c r="Y4176" s="168">
        <f t="shared" si="8"/>
        <v>0</v>
      </c>
      <c r="Z4176" s="168">
        <f t="shared" si="9"/>
        <v>0</v>
      </c>
    </row>
    <row r="4177" ht="15.0" customHeight="1">
      <c r="A4177" s="157" t="s">
        <v>5288</v>
      </c>
      <c r="B4177" s="158" t="s">
        <v>18</v>
      </c>
      <c r="C4177" s="158" t="s">
        <v>5249</v>
      </c>
      <c r="D4177" s="159">
        <v>45154.0</v>
      </c>
      <c r="E4177" s="157" t="s">
        <v>731</v>
      </c>
      <c r="F4177" s="160">
        <v>6335.28</v>
      </c>
      <c r="G4177" s="160">
        <f>'FACP$'!$F4177*0.16</f>
        <v>1013.6448</v>
      </c>
      <c r="H4177" s="160">
        <f t="shared" si="124"/>
        <v>7348.9248</v>
      </c>
      <c r="I4177" s="160"/>
      <c r="J4177" s="161"/>
      <c r="K4177" s="160"/>
      <c r="L4177" s="160">
        <f>+'FACP$'!$H4177-'FACP$'!$I4177-'FACP$'!$K4177</f>
        <v>7348.9248</v>
      </c>
      <c r="M4177" s="162" t="s">
        <v>586</v>
      </c>
      <c r="N4177" s="162" t="s">
        <v>554</v>
      </c>
      <c r="O4177" s="164">
        <v>45208.0</v>
      </c>
      <c r="P4177" s="164">
        <f t="array" ref="P4177">XLOOKUP('FACP$'!$B4177,'perfil de pagos'!$A$4:$A$46,'perfil de pagos'!$B$4:$B$46+'FACP$'!$D4177)</f>
        <v>45164</v>
      </c>
      <c r="Q4177" s="165">
        <f t="shared" si="2"/>
        <v>0</v>
      </c>
      <c r="R4177" s="167"/>
      <c r="S4177" s="167">
        <v>2482.0</v>
      </c>
      <c r="T4177" s="168">
        <f t="shared" si="3"/>
        <v>7348.9248</v>
      </c>
      <c r="U4177" s="168">
        <f t="shared" si="4"/>
        <v>0</v>
      </c>
      <c r="V4177" s="168">
        <f t="shared" si="5"/>
        <v>0</v>
      </c>
      <c r="W4177" s="168">
        <f t="shared" si="6"/>
        <v>0</v>
      </c>
      <c r="X4177" s="168">
        <f t="shared" si="7"/>
        <v>0</v>
      </c>
      <c r="Y4177" s="168">
        <f t="shared" si="8"/>
        <v>0</v>
      </c>
      <c r="Z4177" s="168">
        <f t="shared" si="9"/>
        <v>0</v>
      </c>
    </row>
    <row r="4178" ht="15.0" customHeight="1">
      <c r="A4178" s="157" t="s">
        <v>5289</v>
      </c>
      <c r="B4178" s="158" t="s">
        <v>18</v>
      </c>
      <c r="C4178" s="158" t="s">
        <v>5251</v>
      </c>
      <c r="D4178" s="159">
        <v>45154.0</v>
      </c>
      <c r="E4178" s="157" t="s">
        <v>731</v>
      </c>
      <c r="F4178" s="160">
        <v>5930.93</v>
      </c>
      <c r="G4178" s="160">
        <f>'FACP$'!$F4178*0.16</f>
        <v>948.9488</v>
      </c>
      <c r="H4178" s="160">
        <f t="shared" si="124"/>
        <v>6879.8788</v>
      </c>
      <c r="I4178" s="160"/>
      <c r="J4178" s="161"/>
      <c r="K4178" s="160"/>
      <c r="L4178" s="160">
        <f>+'FACP$'!$H4178-'FACP$'!$I4178-'FACP$'!$K4178</f>
        <v>6879.8788</v>
      </c>
      <c r="M4178" s="162" t="s">
        <v>586</v>
      </c>
      <c r="N4178" s="162" t="s">
        <v>554</v>
      </c>
      <c r="O4178" s="164">
        <v>45208.0</v>
      </c>
      <c r="P4178" s="164">
        <f t="array" ref="P4178">XLOOKUP('FACP$'!$B4178,'perfil de pagos'!$A$4:$A$46,'perfil de pagos'!$B$4:$B$46+'FACP$'!$D4178)</f>
        <v>45164</v>
      </c>
      <c r="Q4178" s="165">
        <f t="shared" si="2"/>
        <v>0</v>
      </c>
      <c r="R4178" s="167"/>
      <c r="S4178" s="167">
        <v>2482.0</v>
      </c>
      <c r="T4178" s="168">
        <f t="shared" si="3"/>
        <v>6879.8788</v>
      </c>
      <c r="U4178" s="168">
        <f t="shared" si="4"/>
        <v>0</v>
      </c>
      <c r="V4178" s="168">
        <f t="shared" si="5"/>
        <v>0</v>
      </c>
      <c r="W4178" s="168">
        <f t="shared" si="6"/>
        <v>0</v>
      </c>
      <c r="X4178" s="168">
        <f t="shared" si="7"/>
        <v>0</v>
      </c>
      <c r="Y4178" s="168">
        <f t="shared" si="8"/>
        <v>0</v>
      </c>
      <c r="Z4178" s="168">
        <f t="shared" si="9"/>
        <v>0</v>
      </c>
    </row>
    <row r="4179" ht="15.0" customHeight="1">
      <c r="A4179" s="157" t="s">
        <v>5290</v>
      </c>
      <c r="B4179" s="158" t="s">
        <v>19</v>
      </c>
      <c r="C4179" s="158" t="s">
        <v>5247</v>
      </c>
      <c r="D4179" s="159">
        <v>45154.0</v>
      </c>
      <c r="E4179" s="157" t="s">
        <v>731</v>
      </c>
      <c r="F4179" s="160">
        <v>10094.44</v>
      </c>
      <c r="G4179" s="160">
        <f>'FACP$'!$F4179*0.16</f>
        <v>1615.1104</v>
      </c>
      <c r="H4179" s="160">
        <f t="shared" si="124"/>
        <v>11709.5504</v>
      </c>
      <c r="I4179" s="160"/>
      <c r="J4179" s="161"/>
      <c r="K4179" s="160"/>
      <c r="L4179" s="160">
        <f>+'FACP$'!$H4179-'FACP$'!$I4179-'FACP$'!$K4179</f>
        <v>11709.5504</v>
      </c>
      <c r="M4179" s="162" t="s">
        <v>732</v>
      </c>
      <c r="N4179" s="162" t="s">
        <v>554</v>
      </c>
      <c r="O4179" s="164">
        <v>45208.0</v>
      </c>
      <c r="P4179" s="164">
        <f t="array" ref="P4179">XLOOKUP('FACP$'!$B4179,'perfil de pagos'!$A$4:$A$46,'perfil de pagos'!$B$4:$B$46+'FACP$'!$D4179)</f>
        <v>45164</v>
      </c>
      <c r="Q4179" s="165">
        <f t="shared" si="2"/>
        <v>0</v>
      </c>
      <c r="R4179" s="167"/>
      <c r="S4179" s="167">
        <v>2482.0</v>
      </c>
      <c r="T4179" s="168">
        <f t="shared" si="3"/>
        <v>11709.5504</v>
      </c>
      <c r="U4179" s="168">
        <f t="shared" si="4"/>
        <v>0</v>
      </c>
      <c r="V4179" s="168">
        <f t="shared" si="5"/>
        <v>0</v>
      </c>
      <c r="W4179" s="168">
        <f t="shared" si="6"/>
        <v>0</v>
      </c>
      <c r="X4179" s="168">
        <f t="shared" si="7"/>
        <v>0</v>
      </c>
      <c r="Y4179" s="168">
        <f t="shared" si="8"/>
        <v>0</v>
      </c>
      <c r="Z4179" s="168">
        <f t="shared" si="9"/>
        <v>0</v>
      </c>
    </row>
    <row r="4180" ht="15.0" customHeight="1">
      <c r="A4180" s="157" t="s">
        <v>5291</v>
      </c>
      <c r="B4180" s="158" t="s">
        <v>19</v>
      </c>
      <c r="C4180" s="158" t="s">
        <v>5249</v>
      </c>
      <c r="D4180" s="159">
        <v>45154.0</v>
      </c>
      <c r="E4180" s="157" t="s">
        <v>731</v>
      </c>
      <c r="F4180" s="160">
        <v>12944.7</v>
      </c>
      <c r="G4180" s="160">
        <f>'FACP$'!$F4180*0.16</f>
        <v>2071.152</v>
      </c>
      <c r="H4180" s="160">
        <f t="shared" si="124"/>
        <v>15015.852</v>
      </c>
      <c r="I4180" s="160"/>
      <c r="J4180" s="161"/>
      <c r="K4180" s="160"/>
      <c r="L4180" s="160">
        <f>+'FACP$'!$H4180-'FACP$'!$I4180-'FACP$'!$K4180</f>
        <v>15015.852</v>
      </c>
      <c r="M4180" s="162" t="s">
        <v>732</v>
      </c>
      <c r="N4180" s="162" t="s">
        <v>554</v>
      </c>
      <c r="O4180" s="164">
        <v>45208.0</v>
      </c>
      <c r="P4180" s="164">
        <f t="array" ref="P4180">XLOOKUP('FACP$'!$B4180,'perfil de pagos'!$A$4:$A$46,'perfil de pagos'!$B$4:$B$46+'FACP$'!$D4180)</f>
        <v>45164</v>
      </c>
      <c r="Q4180" s="165">
        <f t="shared" si="2"/>
        <v>0</v>
      </c>
      <c r="R4180" s="167"/>
      <c r="S4180" s="167">
        <v>2482.0</v>
      </c>
      <c r="T4180" s="168">
        <f t="shared" si="3"/>
        <v>15015.852</v>
      </c>
      <c r="U4180" s="168">
        <f t="shared" si="4"/>
        <v>0</v>
      </c>
      <c r="V4180" s="168">
        <f t="shared" si="5"/>
        <v>0</v>
      </c>
      <c r="W4180" s="168">
        <f t="shared" si="6"/>
        <v>0</v>
      </c>
      <c r="X4180" s="168">
        <f t="shared" si="7"/>
        <v>0</v>
      </c>
      <c r="Y4180" s="168">
        <f t="shared" si="8"/>
        <v>0</v>
      </c>
      <c r="Z4180" s="168">
        <f t="shared" si="9"/>
        <v>0</v>
      </c>
    </row>
    <row r="4181" ht="15.0" customHeight="1">
      <c r="A4181" s="157" t="s">
        <v>5292</v>
      </c>
      <c r="B4181" s="158" t="s">
        <v>19</v>
      </c>
      <c r="C4181" s="158" t="s">
        <v>5251</v>
      </c>
      <c r="D4181" s="159">
        <v>45154.0</v>
      </c>
      <c r="E4181" s="157" t="s">
        <v>731</v>
      </c>
      <c r="F4181" s="160">
        <v>10889.03</v>
      </c>
      <c r="G4181" s="160">
        <f>'FACP$'!$F4181*0.16</f>
        <v>1742.2448</v>
      </c>
      <c r="H4181" s="160">
        <f t="shared" si="124"/>
        <v>12631.2748</v>
      </c>
      <c r="I4181" s="160"/>
      <c r="J4181" s="161"/>
      <c r="K4181" s="160"/>
      <c r="L4181" s="160">
        <f>+'FACP$'!$H4181-'FACP$'!$I4181-'FACP$'!$K4181</f>
        <v>12631.2748</v>
      </c>
      <c r="M4181" s="162" t="s">
        <v>732</v>
      </c>
      <c r="N4181" s="162" t="s">
        <v>554</v>
      </c>
      <c r="O4181" s="164">
        <v>45208.0</v>
      </c>
      <c r="P4181" s="164">
        <f t="array" ref="P4181">XLOOKUP('FACP$'!$B4181,'perfil de pagos'!$A$4:$A$46,'perfil de pagos'!$B$4:$B$46+'FACP$'!$D4181)</f>
        <v>45164</v>
      </c>
      <c r="Q4181" s="165">
        <f t="shared" si="2"/>
        <v>0</v>
      </c>
      <c r="R4181" s="167"/>
      <c r="S4181" s="167">
        <v>2482.0</v>
      </c>
      <c r="T4181" s="168">
        <f t="shared" si="3"/>
        <v>12631.2748</v>
      </c>
      <c r="U4181" s="168">
        <f t="shared" si="4"/>
        <v>0</v>
      </c>
      <c r="V4181" s="168">
        <f t="shared" si="5"/>
        <v>0</v>
      </c>
      <c r="W4181" s="168">
        <f t="shared" si="6"/>
        <v>0</v>
      </c>
      <c r="X4181" s="168">
        <f t="shared" si="7"/>
        <v>0</v>
      </c>
      <c r="Y4181" s="168">
        <f t="shared" si="8"/>
        <v>0</v>
      </c>
      <c r="Z4181" s="168">
        <f t="shared" si="9"/>
        <v>0</v>
      </c>
    </row>
    <row r="4182" ht="15.0" customHeight="1">
      <c r="A4182" s="157" t="s">
        <v>5293</v>
      </c>
      <c r="B4182" s="158" t="s">
        <v>22</v>
      </c>
      <c r="C4182" s="158" t="s">
        <v>5247</v>
      </c>
      <c r="D4182" s="159">
        <v>45154.0</v>
      </c>
      <c r="E4182" s="157" t="s">
        <v>731</v>
      </c>
      <c r="F4182" s="160">
        <v>12291.6</v>
      </c>
      <c r="G4182" s="160">
        <f>'FACP$'!$F4182*0.16</f>
        <v>1966.656</v>
      </c>
      <c r="H4182" s="160">
        <f t="shared" si="124"/>
        <v>14258.256</v>
      </c>
      <c r="I4182" s="160"/>
      <c r="J4182" s="161"/>
      <c r="K4182" s="160"/>
      <c r="L4182" s="160">
        <f>+'FACP$'!$H4182-'FACP$'!$I4182-'FACP$'!$K4182</f>
        <v>14258.256</v>
      </c>
      <c r="M4182" s="162" t="s">
        <v>220</v>
      </c>
      <c r="N4182" s="162" t="s">
        <v>554</v>
      </c>
      <c r="O4182" s="164">
        <v>45162.0</v>
      </c>
      <c r="P4182" s="164">
        <f t="array" ref="P4182">XLOOKUP('FACP$'!$B4182,'perfil de pagos'!$A$4:$A$46,'perfil de pagos'!$B$4:$B$46+'FACP$'!$D4182)</f>
        <v>45164</v>
      </c>
      <c r="Q4182" s="165">
        <f t="shared" si="2"/>
        <v>0</v>
      </c>
      <c r="R4182" s="167"/>
      <c r="S4182" s="167">
        <v>2368.0</v>
      </c>
      <c r="T4182" s="168">
        <f t="shared" si="3"/>
        <v>14258.256</v>
      </c>
      <c r="U4182" s="168">
        <f t="shared" si="4"/>
        <v>0</v>
      </c>
      <c r="V4182" s="168">
        <f t="shared" si="5"/>
        <v>0</v>
      </c>
      <c r="W4182" s="168">
        <f t="shared" si="6"/>
        <v>0</v>
      </c>
      <c r="X4182" s="168">
        <f t="shared" si="7"/>
        <v>0</v>
      </c>
      <c r="Y4182" s="168">
        <f t="shared" si="8"/>
        <v>0</v>
      </c>
      <c r="Z4182" s="168">
        <f t="shared" si="9"/>
        <v>0</v>
      </c>
    </row>
    <row r="4183" ht="15.0" customHeight="1">
      <c r="A4183" s="157" t="s">
        <v>5294</v>
      </c>
      <c r="B4183" s="158" t="s">
        <v>22</v>
      </c>
      <c r="C4183" s="158" t="s">
        <v>5249</v>
      </c>
      <c r="D4183" s="159">
        <v>45154.0</v>
      </c>
      <c r="E4183" s="157" t="s">
        <v>731</v>
      </c>
      <c r="F4183" s="160">
        <v>16556.33</v>
      </c>
      <c r="G4183" s="160">
        <f>'FACP$'!$F4183*0.16</f>
        <v>2649.0128</v>
      </c>
      <c r="H4183" s="160">
        <f t="shared" si="124"/>
        <v>19205.3428</v>
      </c>
      <c r="I4183" s="160"/>
      <c r="J4183" s="161"/>
      <c r="K4183" s="160"/>
      <c r="L4183" s="160">
        <f>+'FACP$'!$H4183-'FACP$'!$I4183-'FACP$'!$K4183</f>
        <v>19205.3428</v>
      </c>
      <c r="M4183" s="162" t="s">
        <v>220</v>
      </c>
      <c r="N4183" s="162" t="s">
        <v>554</v>
      </c>
      <c r="O4183" s="164">
        <v>45162.0</v>
      </c>
      <c r="P4183" s="164">
        <f t="array" ref="P4183">XLOOKUP('FACP$'!$B4183,'perfil de pagos'!$A$4:$A$46,'perfil de pagos'!$B$4:$B$46+'FACP$'!$D4183)</f>
        <v>45164</v>
      </c>
      <c r="Q4183" s="165">
        <f t="shared" si="2"/>
        <v>0</v>
      </c>
      <c r="R4183" s="167"/>
      <c r="S4183" s="167">
        <v>2368.0</v>
      </c>
      <c r="T4183" s="168">
        <f t="shared" si="3"/>
        <v>19205.3428</v>
      </c>
      <c r="U4183" s="168">
        <f t="shared" si="4"/>
        <v>0</v>
      </c>
      <c r="V4183" s="168">
        <f t="shared" si="5"/>
        <v>0</v>
      </c>
      <c r="W4183" s="168">
        <f t="shared" si="6"/>
        <v>0</v>
      </c>
      <c r="X4183" s="168">
        <f t="shared" si="7"/>
        <v>0</v>
      </c>
      <c r="Y4183" s="168">
        <f t="shared" si="8"/>
        <v>0</v>
      </c>
      <c r="Z4183" s="168">
        <f t="shared" si="9"/>
        <v>0</v>
      </c>
    </row>
    <row r="4184" ht="15.0" customHeight="1">
      <c r="A4184" s="157" t="s">
        <v>5295</v>
      </c>
      <c r="B4184" s="158" t="s">
        <v>22</v>
      </c>
      <c r="C4184" s="158" t="s">
        <v>5251</v>
      </c>
      <c r="D4184" s="159">
        <v>45154.0</v>
      </c>
      <c r="E4184" s="157" t="s">
        <v>731</v>
      </c>
      <c r="F4184" s="160">
        <v>13435.91</v>
      </c>
      <c r="G4184" s="160">
        <f>'FACP$'!$F4184*0.16</f>
        <v>2149.7456</v>
      </c>
      <c r="H4184" s="160">
        <f t="shared" si="124"/>
        <v>15585.6556</v>
      </c>
      <c r="I4184" s="160"/>
      <c r="J4184" s="161"/>
      <c r="K4184" s="160"/>
      <c r="L4184" s="160">
        <f>+'FACP$'!$H4184-'FACP$'!$I4184-'FACP$'!$K4184</f>
        <v>15585.6556</v>
      </c>
      <c r="M4184" s="162" t="s">
        <v>220</v>
      </c>
      <c r="N4184" s="162" t="s">
        <v>554</v>
      </c>
      <c r="O4184" s="164">
        <v>45162.0</v>
      </c>
      <c r="P4184" s="164">
        <f t="array" ref="P4184">XLOOKUP('FACP$'!$B4184,'perfil de pagos'!$A$4:$A$46,'perfil de pagos'!$B$4:$B$46+'FACP$'!$D4184)</f>
        <v>45164</v>
      </c>
      <c r="Q4184" s="165">
        <f t="shared" si="2"/>
        <v>0</v>
      </c>
      <c r="R4184" s="167"/>
      <c r="S4184" s="167">
        <v>2368.0</v>
      </c>
      <c r="T4184" s="168">
        <f t="shared" si="3"/>
        <v>15585.6556</v>
      </c>
      <c r="U4184" s="168">
        <f t="shared" si="4"/>
        <v>0</v>
      </c>
      <c r="V4184" s="168">
        <f t="shared" si="5"/>
        <v>0</v>
      </c>
      <c r="W4184" s="168">
        <f t="shared" si="6"/>
        <v>0</v>
      </c>
      <c r="X4184" s="168">
        <f t="shared" si="7"/>
        <v>0</v>
      </c>
      <c r="Y4184" s="168">
        <f t="shared" si="8"/>
        <v>0</v>
      </c>
      <c r="Z4184" s="168">
        <f t="shared" si="9"/>
        <v>0</v>
      </c>
    </row>
    <row r="4185" ht="15.0" customHeight="1">
      <c r="A4185" s="157" t="s">
        <v>5296</v>
      </c>
      <c r="B4185" s="158" t="s">
        <v>25</v>
      </c>
      <c r="C4185" s="158" t="s">
        <v>5247</v>
      </c>
      <c r="D4185" s="159">
        <v>45154.0</v>
      </c>
      <c r="E4185" s="157" t="s">
        <v>731</v>
      </c>
      <c r="F4185" s="160">
        <v>3443.8</v>
      </c>
      <c r="G4185" s="160">
        <f>'FACP$'!$F4185*0.16</f>
        <v>551.008</v>
      </c>
      <c r="H4185" s="160">
        <f t="shared" si="124"/>
        <v>3994.808</v>
      </c>
      <c r="I4185" s="160"/>
      <c r="J4185" s="161"/>
      <c r="K4185" s="160"/>
      <c r="L4185" s="160">
        <f>+'FACP$'!$H4185-'FACP$'!$I4185-'FACP$'!$K4185</f>
        <v>3994.808</v>
      </c>
      <c r="M4185" s="162" t="s">
        <v>4388</v>
      </c>
      <c r="N4185" s="162" t="s">
        <v>554</v>
      </c>
      <c r="O4185" s="164">
        <v>45224.0</v>
      </c>
      <c r="P4185" s="164">
        <f t="array" ref="P4185">XLOOKUP('FACP$'!$B4185,'perfil de pagos'!$A$4:$A$46,'perfil de pagos'!$B$4:$B$46+'FACP$'!$D4185)</f>
        <v>45164</v>
      </c>
      <c r="Q4185" s="165">
        <f t="shared" si="2"/>
        <v>0</v>
      </c>
      <c r="R4185" s="167"/>
      <c r="S4185" s="167">
        <v>2523.0</v>
      </c>
      <c r="T4185" s="168">
        <f t="shared" si="3"/>
        <v>3994.808</v>
      </c>
      <c r="U4185" s="168">
        <f t="shared" si="4"/>
        <v>0</v>
      </c>
      <c r="V4185" s="168">
        <f t="shared" si="5"/>
        <v>0</v>
      </c>
      <c r="W4185" s="168">
        <f t="shared" si="6"/>
        <v>0</v>
      </c>
      <c r="X4185" s="168">
        <f t="shared" si="7"/>
        <v>0</v>
      </c>
      <c r="Y4185" s="168">
        <f t="shared" si="8"/>
        <v>0</v>
      </c>
      <c r="Z4185" s="168">
        <f t="shared" si="9"/>
        <v>0</v>
      </c>
    </row>
    <row r="4186" ht="15.0" customHeight="1">
      <c r="A4186" s="157" t="s">
        <v>5297</v>
      </c>
      <c r="B4186" s="158" t="s">
        <v>25</v>
      </c>
      <c r="C4186" s="158" t="s">
        <v>5249</v>
      </c>
      <c r="D4186" s="159">
        <v>45154.0</v>
      </c>
      <c r="E4186" s="157" t="s">
        <v>731</v>
      </c>
      <c r="F4186" s="160">
        <v>4527.6</v>
      </c>
      <c r="G4186" s="160">
        <f>'FACP$'!$F4186*0.16</f>
        <v>724.416</v>
      </c>
      <c r="H4186" s="160">
        <f t="shared" si="124"/>
        <v>5252.016</v>
      </c>
      <c r="I4186" s="160"/>
      <c r="J4186" s="161"/>
      <c r="K4186" s="160"/>
      <c r="L4186" s="160">
        <f>+'FACP$'!$H4186-'FACP$'!$I4186-'FACP$'!$K4186</f>
        <v>5252.016</v>
      </c>
      <c r="M4186" s="162" t="s">
        <v>4388</v>
      </c>
      <c r="N4186" s="162" t="s">
        <v>554</v>
      </c>
      <c r="O4186" s="164">
        <v>45224.0</v>
      </c>
      <c r="P4186" s="164">
        <f t="array" ref="P4186">XLOOKUP('FACP$'!$B4186,'perfil de pagos'!$A$4:$A$46,'perfil de pagos'!$B$4:$B$46+'FACP$'!$D4186)</f>
        <v>45164</v>
      </c>
      <c r="Q4186" s="165">
        <f t="shared" si="2"/>
        <v>0</v>
      </c>
      <c r="R4186" s="167"/>
      <c r="S4186" s="167">
        <v>2523.0</v>
      </c>
      <c r="T4186" s="168">
        <f t="shared" si="3"/>
        <v>5252.016</v>
      </c>
      <c r="U4186" s="168">
        <f t="shared" si="4"/>
        <v>0</v>
      </c>
      <c r="V4186" s="168">
        <f t="shared" si="5"/>
        <v>0</v>
      </c>
      <c r="W4186" s="168">
        <f t="shared" si="6"/>
        <v>0</v>
      </c>
      <c r="X4186" s="168">
        <f t="shared" si="7"/>
        <v>0</v>
      </c>
      <c r="Y4186" s="168">
        <f t="shared" si="8"/>
        <v>0</v>
      </c>
      <c r="Z4186" s="168">
        <f t="shared" si="9"/>
        <v>0</v>
      </c>
    </row>
    <row r="4187" ht="15.0" customHeight="1">
      <c r="A4187" s="157" t="s">
        <v>5298</v>
      </c>
      <c r="B4187" s="158" t="s">
        <v>25</v>
      </c>
      <c r="C4187" s="158" t="s">
        <v>5251</v>
      </c>
      <c r="D4187" s="159">
        <v>45154.0</v>
      </c>
      <c r="E4187" s="157" t="s">
        <v>731</v>
      </c>
      <c r="F4187" s="160">
        <v>3680.52</v>
      </c>
      <c r="G4187" s="160">
        <f>'FACP$'!$F4187*0.16</f>
        <v>588.8832</v>
      </c>
      <c r="H4187" s="160">
        <f t="shared" si="124"/>
        <v>4269.4032</v>
      </c>
      <c r="I4187" s="160"/>
      <c r="J4187" s="161"/>
      <c r="K4187" s="160"/>
      <c r="L4187" s="160">
        <f>+'FACP$'!$H4187-'FACP$'!$I4187-'FACP$'!$K4187</f>
        <v>4269.4032</v>
      </c>
      <c r="M4187" s="162" t="s">
        <v>4388</v>
      </c>
      <c r="N4187" s="162" t="s">
        <v>554</v>
      </c>
      <c r="O4187" s="164">
        <v>45224.0</v>
      </c>
      <c r="P4187" s="164">
        <f t="array" ref="P4187">XLOOKUP('FACP$'!$B4187,'perfil de pagos'!$A$4:$A$46,'perfil de pagos'!$B$4:$B$46+'FACP$'!$D4187)</f>
        <v>45164</v>
      </c>
      <c r="Q4187" s="165">
        <f t="shared" si="2"/>
        <v>0</v>
      </c>
      <c r="R4187" s="167"/>
      <c r="S4187" s="167">
        <v>2523.0</v>
      </c>
      <c r="T4187" s="168">
        <f t="shared" si="3"/>
        <v>4269.4032</v>
      </c>
      <c r="U4187" s="168">
        <f t="shared" si="4"/>
        <v>0</v>
      </c>
      <c r="V4187" s="168">
        <f t="shared" si="5"/>
        <v>0</v>
      </c>
      <c r="W4187" s="168">
        <f t="shared" si="6"/>
        <v>0</v>
      </c>
      <c r="X4187" s="168">
        <f t="shared" si="7"/>
        <v>0</v>
      </c>
      <c r="Y4187" s="168">
        <f t="shared" si="8"/>
        <v>0</v>
      </c>
      <c r="Z4187" s="168">
        <f t="shared" si="9"/>
        <v>0</v>
      </c>
    </row>
    <row r="4188" ht="15.0" customHeight="1">
      <c r="A4188" s="157" t="s">
        <v>5299</v>
      </c>
      <c r="B4188" s="158" t="s">
        <v>29</v>
      </c>
      <c r="C4188" s="158" t="s">
        <v>5247</v>
      </c>
      <c r="D4188" s="159">
        <v>45154.0</v>
      </c>
      <c r="E4188" s="157" t="s">
        <v>731</v>
      </c>
      <c r="F4188" s="160">
        <v>21284.63</v>
      </c>
      <c r="G4188" s="160">
        <f>'FACP$'!$F4188*0.16</f>
        <v>3405.5408</v>
      </c>
      <c r="H4188" s="160">
        <f t="shared" si="124"/>
        <v>24690.1708</v>
      </c>
      <c r="I4188" s="160"/>
      <c r="J4188" s="161"/>
      <c r="K4188" s="160"/>
      <c r="L4188" s="160">
        <f>+'FACP$'!$H4188-'FACP$'!$I4188-'FACP$'!$K4188</f>
        <v>24690.1708</v>
      </c>
      <c r="M4188" s="162" t="s">
        <v>130</v>
      </c>
      <c r="N4188" s="162" t="s">
        <v>554</v>
      </c>
      <c r="O4188" s="164">
        <v>45166.0</v>
      </c>
      <c r="P4188" s="164">
        <f t="array" ref="P4188">XLOOKUP('FACP$'!$B4188,'perfil de pagos'!$A$4:$A$46,'perfil de pagos'!$B$4:$B$46+'FACP$'!$D4188)</f>
        <v>45164</v>
      </c>
      <c r="Q4188" s="165">
        <f t="shared" si="2"/>
        <v>0</v>
      </c>
      <c r="R4188" s="167"/>
      <c r="S4188" s="167">
        <v>2384.0</v>
      </c>
      <c r="T4188" s="168">
        <f t="shared" si="3"/>
        <v>24690.1708</v>
      </c>
      <c r="U4188" s="168">
        <f t="shared" si="4"/>
        <v>0</v>
      </c>
      <c r="V4188" s="168">
        <f t="shared" si="5"/>
        <v>0</v>
      </c>
      <c r="W4188" s="168">
        <f t="shared" si="6"/>
        <v>0</v>
      </c>
      <c r="X4188" s="168">
        <f t="shared" si="7"/>
        <v>0</v>
      </c>
      <c r="Y4188" s="168">
        <f t="shared" si="8"/>
        <v>0</v>
      </c>
      <c r="Z4188" s="168">
        <f t="shared" si="9"/>
        <v>0</v>
      </c>
    </row>
    <row r="4189" ht="15.0" customHeight="1">
      <c r="A4189" s="157" t="s">
        <v>5300</v>
      </c>
      <c r="B4189" s="158" t="s">
        <v>29</v>
      </c>
      <c r="C4189" s="158" t="s">
        <v>5249</v>
      </c>
      <c r="D4189" s="159">
        <v>45154.0</v>
      </c>
      <c r="E4189" s="157" t="s">
        <v>731</v>
      </c>
      <c r="F4189" s="160">
        <v>8629.68</v>
      </c>
      <c r="G4189" s="160">
        <f>'FACP$'!$F4189*0.16</f>
        <v>1380.7488</v>
      </c>
      <c r="H4189" s="160">
        <f t="shared" si="124"/>
        <v>10010.4288</v>
      </c>
      <c r="I4189" s="160"/>
      <c r="J4189" s="161"/>
      <c r="K4189" s="160"/>
      <c r="L4189" s="160">
        <f>+'FACP$'!$H4189-'FACP$'!$I4189-'FACP$'!$K4189</f>
        <v>10010.4288</v>
      </c>
      <c r="M4189" s="162" t="s">
        <v>130</v>
      </c>
      <c r="N4189" s="162" t="s">
        <v>554</v>
      </c>
      <c r="O4189" s="164">
        <v>45166.0</v>
      </c>
      <c r="P4189" s="164">
        <f t="array" ref="P4189">XLOOKUP('FACP$'!$B4189,'perfil de pagos'!$A$4:$A$46,'perfil de pagos'!$B$4:$B$46+'FACP$'!$D4189)</f>
        <v>45164</v>
      </c>
      <c r="Q4189" s="165">
        <f t="shared" si="2"/>
        <v>0</v>
      </c>
      <c r="R4189" s="167"/>
      <c r="S4189" s="167">
        <v>2385.0</v>
      </c>
      <c r="T4189" s="168">
        <f t="shared" si="3"/>
        <v>10010.4288</v>
      </c>
      <c r="U4189" s="168">
        <f t="shared" si="4"/>
        <v>0</v>
      </c>
      <c r="V4189" s="168">
        <f t="shared" si="5"/>
        <v>0</v>
      </c>
      <c r="W4189" s="168">
        <f t="shared" si="6"/>
        <v>0</v>
      </c>
      <c r="X4189" s="168">
        <f t="shared" si="7"/>
        <v>0</v>
      </c>
      <c r="Y4189" s="168">
        <f t="shared" si="8"/>
        <v>0</v>
      </c>
      <c r="Z4189" s="168">
        <f t="shared" si="9"/>
        <v>0</v>
      </c>
    </row>
    <row r="4190" ht="15.0" customHeight="1">
      <c r="A4190" s="157" t="s">
        <v>5301</v>
      </c>
      <c r="B4190" s="158" t="s">
        <v>37</v>
      </c>
      <c r="C4190" s="158" t="s">
        <v>5247</v>
      </c>
      <c r="D4190" s="159">
        <v>45154.0</v>
      </c>
      <c r="E4190" s="157" t="s">
        <v>731</v>
      </c>
      <c r="F4190" s="160">
        <v>105013.65</v>
      </c>
      <c r="G4190" s="160">
        <f>'FACP$'!$F4190*0.16</f>
        <v>16802.184</v>
      </c>
      <c r="H4190" s="160">
        <f t="shared" si="124"/>
        <v>121815.834</v>
      </c>
      <c r="I4190" s="160"/>
      <c r="J4190" s="161"/>
      <c r="K4190" s="160"/>
      <c r="L4190" s="160">
        <f>+'FACP$'!$H4190-'FACP$'!$I4190-'FACP$'!$K4190</f>
        <v>121815.834</v>
      </c>
      <c r="M4190" s="162" t="s">
        <v>116</v>
      </c>
      <c r="N4190" s="162" t="s">
        <v>554</v>
      </c>
      <c r="O4190" s="164">
        <v>45166.0</v>
      </c>
      <c r="P4190" s="164">
        <f t="array" ref="P4190">XLOOKUP('FACP$'!$B4190,'perfil de pagos'!$A$4:$A$46,'perfil de pagos'!$B$4:$B$46+'FACP$'!$D4190)</f>
        <v>45164</v>
      </c>
      <c r="Q4190" s="165">
        <f t="shared" si="2"/>
        <v>0</v>
      </c>
      <c r="R4190" s="167"/>
      <c r="S4190" s="167">
        <v>2382.0</v>
      </c>
      <c r="T4190" s="168">
        <f t="shared" si="3"/>
        <v>121815.834</v>
      </c>
      <c r="U4190" s="168">
        <f t="shared" si="4"/>
        <v>0</v>
      </c>
      <c r="V4190" s="168">
        <f t="shared" si="5"/>
        <v>0</v>
      </c>
      <c r="W4190" s="168">
        <f t="shared" si="6"/>
        <v>0</v>
      </c>
      <c r="X4190" s="168">
        <f t="shared" si="7"/>
        <v>0</v>
      </c>
      <c r="Y4190" s="168">
        <f t="shared" si="8"/>
        <v>0</v>
      </c>
      <c r="Z4190" s="168">
        <f t="shared" si="9"/>
        <v>0</v>
      </c>
    </row>
    <row r="4191" ht="15.0" customHeight="1">
      <c r="A4191" s="157" t="s">
        <v>5302</v>
      </c>
      <c r="B4191" s="158" t="s">
        <v>37</v>
      </c>
      <c r="C4191" s="158" t="s">
        <v>5249</v>
      </c>
      <c r="D4191" s="159">
        <v>45154.0</v>
      </c>
      <c r="E4191" s="157" t="s">
        <v>731</v>
      </c>
      <c r="F4191" s="160">
        <v>118288.03</v>
      </c>
      <c r="G4191" s="160">
        <f>'FACP$'!$F4191*0.16</f>
        <v>18926.0848</v>
      </c>
      <c r="H4191" s="160">
        <f t="shared" si="124"/>
        <v>137214.1148</v>
      </c>
      <c r="I4191" s="160"/>
      <c r="J4191" s="161"/>
      <c r="K4191" s="160"/>
      <c r="L4191" s="160">
        <f>+'FACP$'!$H4191-'FACP$'!$I4191-'FACP$'!$K4191</f>
        <v>137214.1148</v>
      </c>
      <c r="M4191" s="162" t="s">
        <v>116</v>
      </c>
      <c r="N4191" s="162" t="s">
        <v>554</v>
      </c>
      <c r="O4191" s="164">
        <v>45166.0</v>
      </c>
      <c r="P4191" s="164">
        <f t="array" ref="P4191">XLOOKUP('FACP$'!$B4191,'perfil de pagos'!$A$4:$A$46,'perfil de pagos'!$B$4:$B$46+'FACP$'!$D4191)</f>
        <v>45164</v>
      </c>
      <c r="Q4191" s="165">
        <f t="shared" si="2"/>
        <v>0</v>
      </c>
      <c r="R4191" s="167"/>
      <c r="S4191" s="167">
        <v>2382.0</v>
      </c>
      <c r="T4191" s="168">
        <f t="shared" si="3"/>
        <v>137214.1148</v>
      </c>
      <c r="U4191" s="168">
        <f t="shared" si="4"/>
        <v>0</v>
      </c>
      <c r="V4191" s="168">
        <f t="shared" si="5"/>
        <v>0</v>
      </c>
      <c r="W4191" s="168">
        <f t="shared" si="6"/>
        <v>0</v>
      </c>
      <c r="X4191" s="168">
        <f t="shared" si="7"/>
        <v>0</v>
      </c>
      <c r="Y4191" s="168">
        <f t="shared" si="8"/>
        <v>0</v>
      </c>
      <c r="Z4191" s="168">
        <f t="shared" si="9"/>
        <v>0</v>
      </c>
    </row>
    <row r="4192" ht="15.0" customHeight="1">
      <c r="A4192" s="157" t="s">
        <v>5303</v>
      </c>
      <c r="B4192" s="158" t="s">
        <v>37</v>
      </c>
      <c r="C4192" s="158" t="s">
        <v>5251</v>
      </c>
      <c r="D4192" s="159">
        <v>45154.0</v>
      </c>
      <c r="E4192" s="157" t="s">
        <v>731</v>
      </c>
      <c r="F4192" s="160">
        <v>100794.25</v>
      </c>
      <c r="G4192" s="160">
        <f>'FACP$'!$F4192*0.16</f>
        <v>16127.08</v>
      </c>
      <c r="H4192" s="160">
        <f t="shared" si="124"/>
        <v>116921.33</v>
      </c>
      <c r="I4192" s="160"/>
      <c r="J4192" s="161"/>
      <c r="K4192" s="160"/>
      <c r="L4192" s="160">
        <f>+'FACP$'!$H4192-'FACP$'!$I4192-'FACP$'!$K4192</f>
        <v>116921.33</v>
      </c>
      <c r="M4192" s="162" t="s">
        <v>116</v>
      </c>
      <c r="N4192" s="162" t="s">
        <v>554</v>
      </c>
      <c r="O4192" s="164">
        <v>45166.0</v>
      </c>
      <c r="P4192" s="164">
        <f t="array" ref="P4192">XLOOKUP('FACP$'!$B4192,'perfil de pagos'!$A$4:$A$46,'perfil de pagos'!$B$4:$B$46+'FACP$'!$D4192)</f>
        <v>45164</v>
      </c>
      <c r="Q4192" s="165">
        <f t="shared" si="2"/>
        <v>0</v>
      </c>
      <c r="R4192" s="167"/>
      <c r="S4192" s="167">
        <v>2382.0</v>
      </c>
      <c r="T4192" s="168">
        <f t="shared" si="3"/>
        <v>116921.33</v>
      </c>
      <c r="U4192" s="168">
        <f t="shared" si="4"/>
        <v>0</v>
      </c>
      <c r="V4192" s="168">
        <f t="shared" si="5"/>
        <v>0</v>
      </c>
      <c r="W4192" s="168">
        <f t="shared" si="6"/>
        <v>0</v>
      </c>
      <c r="X4192" s="168">
        <f t="shared" si="7"/>
        <v>0</v>
      </c>
      <c r="Y4192" s="168">
        <f t="shared" si="8"/>
        <v>0</v>
      </c>
      <c r="Z4192" s="168">
        <f t="shared" si="9"/>
        <v>0</v>
      </c>
    </row>
    <row r="4193" ht="15.0" customHeight="1">
      <c r="A4193" s="157" t="s">
        <v>5304</v>
      </c>
      <c r="B4193" s="158" t="s">
        <v>38</v>
      </c>
      <c r="C4193" s="158" t="s">
        <v>5247</v>
      </c>
      <c r="D4193" s="159">
        <v>45154.0</v>
      </c>
      <c r="E4193" s="157" t="s">
        <v>731</v>
      </c>
      <c r="F4193" s="160">
        <v>12700.82</v>
      </c>
      <c r="G4193" s="160">
        <f>'FACP$'!$F4193*0.16</f>
        <v>2032.1312</v>
      </c>
      <c r="H4193" s="160">
        <f t="shared" si="124"/>
        <v>14732.9512</v>
      </c>
      <c r="I4193" s="160"/>
      <c r="J4193" s="161"/>
      <c r="K4193" s="160"/>
      <c r="L4193" s="160">
        <f>+'FACP$'!$H4193-'FACP$'!$I4193-'FACP$'!$K4193</f>
        <v>14732.9512</v>
      </c>
      <c r="M4193" s="162" t="s">
        <v>642</v>
      </c>
      <c r="N4193" s="162" t="s">
        <v>554</v>
      </c>
      <c r="O4193" s="164">
        <v>45203.0</v>
      </c>
      <c r="P4193" s="164">
        <f t="array" ref="P4193">XLOOKUP('FACP$'!$B4193,'perfil de pagos'!$A$4:$A$46,'perfil de pagos'!$B$4:$B$46+'FACP$'!$D4193)</f>
        <v>45184</v>
      </c>
      <c r="Q4193" s="165">
        <f t="shared" si="2"/>
        <v>0</v>
      </c>
      <c r="R4193" s="167"/>
      <c r="S4193" s="167">
        <v>2484.0</v>
      </c>
      <c r="T4193" s="168">
        <f t="shared" si="3"/>
        <v>14732.9512</v>
      </c>
      <c r="U4193" s="168">
        <f t="shared" si="4"/>
        <v>0</v>
      </c>
      <c r="V4193" s="168">
        <f t="shared" si="5"/>
        <v>0</v>
      </c>
      <c r="W4193" s="168">
        <f t="shared" si="6"/>
        <v>0</v>
      </c>
      <c r="X4193" s="168">
        <f t="shared" si="7"/>
        <v>0</v>
      </c>
      <c r="Y4193" s="168">
        <f t="shared" si="8"/>
        <v>0</v>
      </c>
      <c r="Z4193" s="168">
        <f t="shared" si="9"/>
        <v>0</v>
      </c>
    </row>
    <row r="4194" ht="15.0" customHeight="1">
      <c r="A4194" s="157" t="s">
        <v>5305</v>
      </c>
      <c r="B4194" s="158" t="s">
        <v>38</v>
      </c>
      <c r="C4194" s="158" t="s">
        <v>5249</v>
      </c>
      <c r="D4194" s="159">
        <v>45154.0</v>
      </c>
      <c r="E4194" s="157" t="s">
        <v>731</v>
      </c>
      <c r="F4194" s="160">
        <v>17890.01</v>
      </c>
      <c r="G4194" s="160">
        <f>'FACP$'!$F4194*0.16</f>
        <v>2862.4016</v>
      </c>
      <c r="H4194" s="160">
        <f t="shared" si="124"/>
        <v>20752.4116</v>
      </c>
      <c r="I4194" s="160"/>
      <c r="J4194" s="161"/>
      <c r="K4194" s="160"/>
      <c r="L4194" s="160">
        <f>+'FACP$'!$H4194-'FACP$'!$I4194-'FACP$'!$K4194</f>
        <v>20752.4116</v>
      </c>
      <c r="M4194" s="162" t="s">
        <v>642</v>
      </c>
      <c r="N4194" s="162" t="s">
        <v>554</v>
      </c>
      <c r="O4194" s="164">
        <v>45203.0</v>
      </c>
      <c r="P4194" s="164">
        <f t="array" ref="P4194">XLOOKUP('FACP$'!$B4194,'perfil de pagos'!$A$4:$A$46,'perfil de pagos'!$B$4:$B$46+'FACP$'!$D4194)</f>
        <v>45184</v>
      </c>
      <c r="Q4194" s="165">
        <f t="shared" si="2"/>
        <v>0</v>
      </c>
      <c r="R4194" s="167"/>
      <c r="S4194" s="167">
        <v>2484.0</v>
      </c>
      <c r="T4194" s="168">
        <f t="shared" si="3"/>
        <v>20752.4116</v>
      </c>
      <c r="U4194" s="168">
        <f t="shared" si="4"/>
        <v>0</v>
      </c>
      <c r="V4194" s="168">
        <f t="shared" si="5"/>
        <v>0</v>
      </c>
      <c r="W4194" s="168">
        <f t="shared" si="6"/>
        <v>0</v>
      </c>
      <c r="X4194" s="168">
        <f t="shared" si="7"/>
        <v>0</v>
      </c>
      <c r="Y4194" s="168">
        <f t="shared" si="8"/>
        <v>0</v>
      </c>
      <c r="Z4194" s="168">
        <f t="shared" si="9"/>
        <v>0</v>
      </c>
    </row>
    <row r="4195" ht="15.0" customHeight="1">
      <c r="A4195" s="157" t="s">
        <v>5306</v>
      </c>
      <c r="B4195" s="158" t="s">
        <v>38</v>
      </c>
      <c r="C4195" s="158" t="s">
        <v>5251</v>
      </c>
      <c r="D4195" s="159">
        <v>45154.0</v>
      </c>
      <c r="E4195" s="157" t="s">
        <v>731</v>
      </c>
      <c r="F4195" s="160">
        <v>9510.2</v>
      </c>
      <c r="G4195" s="160">
        <f>'FACP$'!$F4195*0.16</f>
        <v>1521.632</v>
      </c>
      <c r="H4195" s="160">
        <f t="shared" si="124"/>
        <v>11031.832</v>
      </c>
      <c r="I4195" s="160"/>
      <c r="J4195" s="161"/>
      <c r="K4195" s="160"/>
      <c r="L4195" s="160">
        <f>+'FACP$'!$H4195-'FACP$'!$I4195-'FACP$'!$K4195</f>
        <v>11031.832</v>
      </c>
      <c r="M4195" s="162" t="s">
        <v>642</v>
      </c>
      <c r="N4195" s="162" t="s">
        <v>554</v>
      </c>
      <c r="O4195" s="164">
        <v>45203.0</v>
      </c>
      <c r="P4195" s="164">
        <f t="array" ref="P4195">XLOOKUP('FACP$'!$B4195,'perfil de pagos'!$A$4:$A$46,'perfil de pagos'!$B$4:$B$46+'FACP$'!$D4195)</f>
        <v>45184</v>
      </c>
      <c r="Q4195" s="165">
        <f t="shared" si="2"/>
        <v>0</v>
      </c>
      <c r="R4195" s="167"/>
      <c r="S4195" s="167">
        <v>2484.0</v>
      </c>
      <c r="T4195" s="168">
        <f t="shared" si="3"/>
        <v>11031.832</v>
      </c>
      <c r="U4195" s="168">
        <f t="shared" si="4"/>
        <v>0</v>
      </c>
      <c r="V4195" s="168">
        <f t="shared" si="5"/>
        <v>0</v>
      </c>
      <c r="W4195" s="168">
        <f t="shared" si="6"/>
        <v>0</v>
      </c>
      <c r="X4195" s="168">
        <f t="shared" si="7"/>
        <v>0</v>
      </c>
      <c r="Y4195" s="168">
        <f t="shared" si="8"/>
        <v>0</v>
      </c>
      <c r="Z4195" s="168">
        <f t="shared" si="9"/>
        <v>0</v>
      </c>
    </row>
    <row r="4196" ht="15.0" customHeight="1">
      <c r="A4196" s="157" t="s">
        <v>5307</v>
      </c>
      <c r="B4196" s="158" t="s">
        <v>38</v>
      </c>
      <c r="C4196" s="158" t="s">
        <v>5247</v>
      </c>
      <c r="D4196" s="159">
        <v>45154.0</v>
      </c>
      <c r="E4196" s="157" t="s">
        <v>731</v>
      </c>
      <c r="F4196" s="160">
        <v>42525.99</v>
      </c>
      <c r="G4196" s="160">
        <f>'FACP$'!$F4196*0.16</f>
        <v>6804.1584</v>
      </c>
      <c r="H4196" s="160">
        <f t="shared" si="124"/>
        <v>49330.1484</v>
      </c>
      <c r="I4196" s="160"/>
      <c r="J4196" s="161"/>
      <c r="K4196" s="160"/>
      <c r="L4196" s="160">
        <f>+'FACP$'!$H4196-'FACP$'!$I4196-'FACP$'!$K4196</f>
        <v>49330.1484</v>
      </c>
      <c r="M4196" s="162" t="s">
        <v>145</v>
      </c>
      <c r="N4196" s="162" t="s">
        <v>554</v>
      </c>
      <c r="O4196" s="164">
        <v>45203.0</v>
      </c>
      <c r="P4196" s="164">
        <f t="array" ref="P4196">XLOOKUP('FACP$'!$B4196,'perfil de pagos'!$A$4:$A$46,'perfil de pagos'!$B$4:$B$46+'FACP$'!$D4196)</f>
        <v>45184</v>
      </c>
      <c r="Q4196" s="165">
        <f t="shared" si="2"/>
        <v>0</v>
      </c>
      <c r="R4196" s="167"/>
      <c r="S4196" s="167">
        <v>2484.0</v>
      </c>
      <c r="T4196" s="168">
        <f t="shared" si="3"/>
        <v>49330.1484</v>
      </c>
      <c r="U4196" s="168">
        <f t="shared" si="4"/>
        <v>0</v>
      </c>
      <c r="V4196" s="168">
        <f t="shared" si="5"/>
        <v>0</v>
      </c>
      <c r="W4196" s="168">
        <f t="shared" si="6"/>
        <v>0</v>
      </c>
      <c r="X4196" s="168">
        <f t="shared" si="7"/>
        <v>0</v>
      </c>
      <c r="Y4196" s="168">
        <f t="shared" si="8"/>
        <v>0</v>
      </c>
      <c r="Z4196" s="168">
        <f t="shared" si="9"/>
        <v>0</v>
      </c>
    </row>
    <row r="4197" ht="15.0" customHeight="1">
      <c r="A4197" s="157" t="s">
        <v>5308</v>
      </c>
      <c r="B4197" s="158" t="s">
        <v>38</v>
      </c>
      <c r="C4197" s="158" t="s">
        <v>5249</v>
      </c>
      <c r="D4197" s="159">
        <v>45154.0</v>
      </c>
      <c r="E4197" s="157" t="s">
        <v>731</v>
      </c>
      <c r="F4197" s="160">
        <v>54519.42</v>
      </c>
      <c r="G4197" s="160">
        <f>'FACP$'!$F4197*0.16</f>
        <v>8723.1072</v>
      </c>
      <c r="H4197" s="160">
        <f t="shared" si="124"/>
        <v>63242.5272</v>
      </c>
      <c r="I4197" s="160"/>
      <c r="J4197" s="161"/>
      <c r="K4197" s="160"/>
      <c r="L4197" s="160">
        <f>+'FACP$'!$H4197-'FACP$'!$I4197-'FACP$'!$K4197</f>
        <v>63242.5272</v>
      </c>
      <c r="M4197" s="162" t="s">
        <v>145</v>
      </c>
      <c r="N4197" s="162" t="s">
        <v>554</v>
      </c>
      <c r="O4197" s="164">
        <v>45203.0</v>
      </c>
      <c r="P4197" s="164">
        <f t="array" ref="P4197">XLOOKUP('FACP$'!$B4197,'perfil de pagos'!$A$4:$A$46,'perfil de pagos'!$B$4:$B$46+'FACP$'!$D4197)</f>
        <v>45184</v>
      </c>
      <c r="Q4197" s="165">
        <f t="shared" si="2"/>
        <v>0</v>
      </c>
      <c r="R4197" s="167"/>
      <c r="S4197" s="167">
        <v>2484.0</v>
      </c>
      <c r="T4197" s="168">
        <f t="shared" si="3"/>
        <v>63242.5272</v>
      </c>
      <c r="U4197" s="168">
        <f t="shared" si="4"/>
        <v>0</v>
      </c>
      <c r="V4197" s="168">
        <f t="shared" si="5"/>
        <v>0</v>
      </c>
      <c r="W4197" s="168">
        <f t="shared" si="6"/>
        <v>0</v>
      </c>
      <c r="X4197" s="168">
        <f t="shared" si="7"/>
        <v>0</v>
      </c>
      <c r="Y4197" s="168">
        <f t="shared" si="8"/>
        <v>0</v>
      </c>
      <c r="Z4197" s="168">
        <f t="shared" si="9"/>
        <v>0</v>
      </c>
    </row>
    <row r="4198" ht="15.0" customHeight="1">
      <c r="A4198" s="157" t="s">
        <v>5309</v>
      </c>
      <c r="B4198" s="158" t="s">
        <v>38</v>
      </c>
      <c r="C4198" s="158" t="s">
        <v>5251</v>
      </c>
      <c r="D4198" s="159">
        <v>45154.0</v>
      </c>
      <c r="E4198" s="157" t="s">
        <v>731</v>
      </c>
      <c r="F4198" s="160">
        <v>46005.08</v>
      </c>
      <c r="G4198" s="160">
        <f>'FACP$'!$F4198*0.16</f>
        <v>7360.8128</v>
      </c>
      <c r="H4198" s="160">
        <f t="shared" si="124"/>
        <v>53365.8928</v>
      </c>
      <c r="I4198" s="160"/>
      <c r="J4198" s="161"/>
      <c r="K4198" s="160"/>
      <c r="L4198" s="160">
        <f>+'FACP$'!$H4198-'FACP$'!$I4198-'FACP$'!$K4198</f>
        <v>53365.8928</v>
      </c>
      <c r="M4198" s="162" t="s">
        <v>145</v>
      </c>
      <c r="N4198" s="162" t="s">
        <v>554</v>
      </c>
      <c r="O4198" s="164">
        <v>45203.0</v>
      </c>
      <c r="P4198" s="164">
        <f t="array" ref="P4198">XLOOKUP('FACP$'!$B4198,'perfil de pagos'!$A$4:$A$46,'perfil de pagos'!$B$4:$B$46+'FACP$'!$D4198)</f>
        <v>45184</v>
      </c>
      <c r="Q4198" s="165">
        <f t="shared" si="2"/>
        <v>0</v>
      </c>
      <c r="R4198" s="167"/>
      <c r="S4198" s="167">
        <v>2484.0</v>
      </c>
      <c r="T4198" s="168">
        <f t="shared" si="3"/>
        <v>53365.8928</v>
      </c>
      <c r="U4198" s="168">
        <f t="shared" si="4"/>
        <v>0</v>
      </c>
      <c r="V4198" s="168">
        <f t="shared" si="5"/>
        <v>0</v>
      </c>
      <c r="W4198" s="168">
        <f t="shared" si="6"/>
        <v>0</v>
      </c>
      <c r="X4198" s="168">
        <f t="shared" si="7"/>
        <v>0</v>
      </c>
      <c r="Y4198" s="168">
        <f t="shared" si="8"/>
        <v>0</v>
      </c>
      <c r="Z4198" s="168">
        <f t="shared" si="9"/>
        <v>0</v>
      </c>
    </row>
    <row r="4199" ht="15.0" customHeight="1">
      <c r="A4199" s="157" t="s">
        <v>5310</v>
      </c>
      <c r="B4199" s="158" t="s">
        <v>40</v>
      </c>
      <c r="C4199" s="158" t="s">
        <v>5247</v>
      </c>
      <c r="D4199" s="159">
        <v>45154.0</v>
      </c>
      <c r="E4199" s="157" t="s">
        <v>731</v>
      </c>
      <c r="F4199" s="160">
        <v>12969.59</v>
      </c>
      <c r="G4199" s="160">
        <f>'FACP$'!$F4199*0.16</f>
        <v>2075.1344</v>
      </c>
      <c r="H4199" s="160">
        <f t="shared" si="124"/>
        <v>15044.7244</v>
      </c>
      <c r="I4199" s="160"/>
      <c r="J4199" s="161"/>
      <c r="K4199" s="160"/>
      <c r="L4199" s="160">
        <f>+'FACP$'!$H4199-'FACP$'!$I4199-'FACP$'!$K4199</f>
        <v>15044.7244</v>
      </c>
      <c r="M4199" s="162" t="s">
        <v>490</v>
      </c>
      <c r="N4199" s="162" t="s">
        <v>554</v>
      </c>
      <c r="O4199" s="164">
        <v>45183.0</v>
      </c>
      <c r="P4199" s="164">
        <f t="array" ref="P4199">XLOOKUP('FACP$'!$B4199,'perfil de pagos'!$A$4:$A$46,'perfil de pagos'!$B$4:$B$46+'FACP$'!$D4199)</f>
        <v>45184</v>
      </c>
      <c r="Q4199" s="165">
        <f t="shared" si="2"/>
        <v>0</v>
      </c>
      <c r="R4199" s="167"/>
      <c r="S4199" s="167">
        <v>2416.0</v>
      </c>
      <c r="T4199" s="168">
        <f t="shared" si="3"/>
        <v>15044.7244</v>
      </c>
      <c r="U4199" s="168">
        <f t="shared" si="4"/>
        <v>0</v>
      </c>
      <c r="V4199" s="168">
        <f t="shared" si="5"/>
        <v>0</v>
      </c>
      <c r="W4199" s="168">
        <f t="shared" si="6"/>
        <v>0</v>
      </c>
      <c r="X4199" s="168">
        <f t="shared" si="7"/>
        <v>0</v>
      </c>
      <c r="Y4199" s="168">
        <f t="shared" si="8"/>
        <v>0</v>
      </c>
      <c r="Z4199" s="168">
        <f t="shared" si="9"/>
        <v>0</v>
      </c>
    </row>
    <row r="4200" ht="15.0" customHeight="1">
      <c r="A4200" s="157" t="s">
        <v>5311</v>
      </c>
      <c r="B4200" s="158" t="s">
        <v>40</v>
      </c>
      <c r="C4200" s="158" t="s">
        <v>5251</v>
      </c>
      <c r="D4200" s="159">
        <v>45154.0</v>
      </c>
      <c r="E4200" s="157" t="s">
        <v>731</v>
      </c>
      <c r="F4200" s="160">
        <v>3255.12</v>
      </c>
      <c r="G4200" s="160">
        <f>'FACP$'!$F4200*0.16</f>
        <v>520.8192</v>
      </c>
      <c r="H4200" s="160">
        <f t="shared" si="124"/>
        <v>3775.9392</v>
      </c>
      <c r="I4200" s="160"/>
      <c r="J4200" s="161"/>
      <c r="K4200" s="160"/>
      <c r="L4200" s="160">
        <f>+'FACP$'!$H4200-'FACP$'!$I4200-'FACP$'!$K4200</f>
        <v>3775.9392</v>
      </c>
      <c r="M4200" s="162" t="s">
        <v>490</v>
      </c>
      <c r="N4200" s="162" t="s">
        <v>554</v>
      </c>
      <c r="O4200" s="164">
        <v>45183.0</v>
      </c>
      <c r="P4200" s="164">
        <f t="array" ref="P4200">XLOOKUP('FACP$'!$B4200,'perfil de pagos'!$A$4:$A$46,'perfil de pagos'!$B$4:$B$46+'FACP$'!$D4200)</f>
        <v>45184</v>
      </c>
      <c r="Q4200" s="165">
        <f t="shared" si="2"/>
        <v>0</v>
      </c>
      <c r="R4200" s="167"/>
      <c r="S4200" s="167">
        <v>2416.0</v>
      </c>
      <c r="T4200" s="168">
        <f t="shared" si="3"/>
        <v>3775.9392</v>
      </c>
      <c r="U4200" s="168">
        <f t="shared" si="4"/>
        <v>0</v>
      </c>
      <c r="V4200" s="168">
        <f t="shared" si="5"/>
        <v>0</v>
      </c>
      <c r="W4200" s="168">
        <f t="shared" si="6"/>
        <v>0</v>
      </c>
      <c r="X4200" s="168">
        <f t="shared" si="7"/>
        <v>0</v>
      </c>
      <c r="Y4200" s="168">
        <f t="shared" si="8"/>
        <v>0</v>
      </c>
      <c r="Z4200" s="168">
        <f t="shared" si="9"/>
        <v>0</v>
      </c>
    </row>
    <row r="4201" ht="15.0" customHeight="1">
      <c r="A4201" s="157" t="s">
        <v>5312</v>
      </c>
      <c r="B4201" s="158" t="s">
        <v>31</v>
      </c>
      <c r="C4201" s="158" t="s">
        <v>5313</v>
      </c>
      <c r="D4201" s="159">
        <v>45156.0</v>
      </c>
      <c r="E4201" s="157" t="s">
        <v>731</v>
      </c>
      <c r="F4201" s="160">
        <v>16640.65</v>
      </c>
      <c r="G4201" s="160">
        <f>'FACP$'!$F4201*0.16</f>
        <v>2662.504</v>
      </c>
      <c r="H4201" s="160">
        <f t="shared" si="124"/>
        <v>19303.154</v>
      </c>
      <c r="I4201" s="160"/>
      <c r="J4201" s="161"/>
      <c r="K4201" s="160"/>
      <c r="L4201" s="160">
        <f>+'FACP$'!$H4201-'FACP$'!$I4201-'FACP$'!$K4201</f>
        <v>19303.154</v>
      </c>
      <c r="M4201" s="162" t="s">
        <v>3183</v>
      </c>
      <c r="N4201" s="162" t="s">
        <v>554</v>
      </c>
      <c r="O4201" s="164">
        <v>45156.0</v>
      </c>
      <c r="P4201" s="164">
        <f t="array" ref="P4201">XLOOKUP('FACP$'!$B4201,'perfil de pagos'!$A$4:$A$46,'perfil de pagos'!$B$4:$B$46+'FACP$'!$D4201)</f>
        <v>45159</v>
      </c>
      <c r="Q4201" s="165">
        <f t="shared" si="2"/>
        <v>0</v>
      </c>
      <c r="R4201" s="220" t="s">
        <v>5314</v>
      </c>
      <c r="S4201" s="167"/>
      <c r="T4201" s="168">
        <f t="shared" si="3"/>
        <v>19303.154</v>
      </c>
      <c r="U4201" s="168">
        <f t="shared" si="4"/>
        <v>0</v>
      </c>
      <c r="V4201" s="168">
        <f t="shared" si="5"/>
        <v>0</v>
      </c>
      <c r="W4201" s="168">
        <f t="shared" si="6"/>
        <v>0</v>
      </c>
      <c r="X4201" s="168">
        <f t="shared" si="7"/>
        <v>0</v>
      </c>
      <c r="Y4201" s="168">
        <f t="shared" si="8"/>
        <v>0</v>
      </c>
      <c r="Z4201" s="168">
        <f t="shared" si="9"/>
        <v>0</v>
      </c>
    </row>
    <row r="4202" ht="15.0" customHeight="1">
      <c r="A4202" s="157" t="s">
        <v>5315</v>
      </c>
      <c r="B4202" s="158" t="s">
        <v>15</v>
      </c>
      <c r="C4202" s="158" t="s">
        <v>5316</v>
      </c>
      <c r="D4202" s="159">
        <v>45156.0</v>
      </c>
      <c r="E4202" s="157" t="s">
        <v>731</v>
      </c>
      <c r="F4202" s="160">
        <v>223037.7</v>
      </c>
      <c r="G4202" s="160">
        <f>'FACP$'!$F4202*0.16</f>
        <v>35686.032</v>
      </c>
      <c r="H4202" s="160">
        <f t="shared" si="124"/>
        <v>258723.732</v>
      </c>
      <c r="I4202" s="160"/>
      <c r="J4202" s="161"/>
      <c r="K4202" s="160"/>
      <c r="L4202" s="160">
        <f>+'FACP$'!$H4202-'FACP$'!$I4202-'FACP$'!$K4202</f>
        <v>258723.732</v>
      </c>
      <c r="M4202" s="162" t="s">
        <v>443</v>
      </c>
      <c r="N4202" s="162" t="s">
        <v>554</v>
      </c>
      <c r="O4202" s="164">
        <v>45174.0</v>
      </c>
      <c r="P4202" s="164">
        <f t="array" ref="P4202">XLOOKUP('FACP$'!$B4202,'perfil de pagos'!$A$4:$A$46,'perfil de pagos'!$B$4:$B$46+'FACP$'!$D4202)</f>
        <v>45166</v>
      </c>
      <c r="Q4202" s="165">
        <f t="shared" si="2"/>
        <v>0</v>
      </c>
      <c r="R4202" s="167"/>
      <c r="S4202" s="167">
        <v>2401.0</v>
      </c>
      <c r="T4202" s="168">
        <f t="shared" si="3"/>
        <v>258723.732</v>
      </c>
      <c r="U4202" s="168">
        <f t="shared" si="4"/>
        <v>0</v>
      </c>
      <c r="V4202" s="168">
        <f t="shared" si="5"/>
        <v>0</v>
      </c>
      <c r="W4202" s="168">
        <f t="shared" si="6"/>
        <v>0</v>
      </c>
      <c r="X4202" s="168">
        <f t="shared" si="7"/>
        <v>0</v>
      </c>
      <c r="Y4202" s="168">
        <f t="shared" si="8"/>
        <v>0</v>
      </c>
      <c r="Z4202" s="168">
        <f t="shared" si="9"/>
        <v>0</v>
      </c>
    </row>
    <row r="4203" ht="15.0" customHeight="1">
      <c r="A4203" s="157" t="s">
        <v>5317</v>
      </c>
      <c r="B4203" s="158" t="s">
        <v>27</v>
      </c>
      <c r="C4203" s="158" t="s">
        <v>5318</v>
      </c>
      <c r="D4203" s="159">
        <v>45156.0</v>
      </c>
      <c r="E4203" s="157" t="s">
        <v>731</v>
      </c>
      <c r="F4203" s="160">
        <v>163065.24</v>
      </c>
      <c r="G4203" s="160">
        <f>'FACP$'!$F4203*0.16</f>
        <v>26090.4384</v>
      </c>
      <c r="H4203" s="160">
        <f t="shared" si="124"/>
        <v>189155.6784</v>
      </c>
      <c r="I4203" s="160"/>
      <c r="J4203" s="161"/>
      <c r="K4203" s="160"/>
      <c r="L4203" s="160">
        <f>+'FACP$'!$H4203-'FACP$'!$I4203-'FACP$'!$K4203</f>
        <v>189155.6784</v>
      </c>
      <c r="M4203" s="162" t="s">
        <v>158</v>
      </c>
      <c r="N4203" s="162" t="s">
        <v>554</v>
      </c>
      <c r="O4203" s="164">
        <v>45177.0</v>
      </c>
      <c r="P4203" s="164">
        <f t="array" ref="P4203">XLOOKUP('FACP$'!$B4203,'perfil de pagos'!$A$4:$A$46,'perfil de pagos'!$B$4:$B$46+'FACP$'!$D4203)</f>
        <v>45186</v>
      </c>
      <c r="Q4203" s="165">
        <f t="shared" si="2"/>
        <v>0</v>
      </c>
      <c r="R4203" s="167"/>
      <c r="S4203" s="167">
        <v>2409.0</v>
      </c>
      <c r="T4203" s="168">
        <f t="shared" si="3"/>
        <v>189155.6784</v>
      </c>
      <c r="U4203" s="168">
        <f t="shared" si="4"/>
        <v>0</v>
      </c>
      <c r="V4203" s="168">
        <f t="shared" si="5"/>
        <v>0</v>
      </c>
      <c r="W4203" s="168">
        <f t="shared" si="6"/>
        <v>0</v>
      </c>
      <c r="X4203" s="168">
        <f t="shared" si="7"/>
        <v>0</v>
      </c>
      <c r="Y4203" s="168">
        <f t="shared" si="8"/>
        <v>0</v>
      </c>
      <c r="Z4203" s="168">
        <f t="shared" si="9"/>
        <v>0</v>
      </c>
    </row>
    <row r="4204" ht="15.0" customHeight="1">
      <c r="A4204" s="157" t="s">
        <v>5319</v>
      </c>
      <c r="B4204" s="158" t="s">
        <v>27</v>
      </c>
      <c r="C4204" s="158" t="s">
        <v>5320</v>
      </c>
      <c r="D4204" s="159">
        <v>45156.0</v>
      </c>
      <c r="E4204" s="157" t="s">
        <v>731</v>
      </c>
      <c r="F4204" s="160">
        <v>139549.24</v>
      </c>
      <c r="G4204" s="160">
        <f>'FACP$'!$F4204*0.16</f>
        <v>22327.8784</v>
      </c>
      <c r="H4204" s="160">
        <f t="shared" si="124"/>
        <v>161877.1184</v>
      </c>
      <c r="I4204" s="160"/>
      <c r="J4204" s="161"/>
      <c r="K4204" s="160"/>
      <c r="L4204" s="160">
        <f>+'FACP$'!$H4204-'FACP$'!$I4204-'FACP$'!$K4204</f>
        <v>161877.1184</v>
      </c>
      <c r="M4204" s="162" t="s">
        <v>158</v>
      </c>
      <c r="N4204" s="162" t="s">
        <v>554</v>
      </c>
      <c r="O4204" s="164">
        <v>45184.0</v>
      </c>
      <c r="P4204" s="164">
        <f t="array" ref="P4204">XLOOKUP('FACP$'!$B4204,'perfil de pagos'!$A$4:$A$46,'perfil de pagos'!$B$4:$B$46+'FACP$'!$D4204)</f>
        <v>45186</v>
      </c>
      <c r="Q4204" s="165">
        <f t="shared" si="2"/>
        <v>0</v>
      </c>
      <c r="R4204" s="167"/>
      <c r="S4204" s="167">
        <v>2421.0</v>
      </c>
      <c r="T4204" s="168">
        <f t="shared" si="3"/>
        <v>161877.1184</v>
      </c>
      <c r="U4204" s="168">
        <f t="shared" si="4"/>
        <v>0</v>
      </c>
      <c r="V4204" s="168">
        <f t="shared" si="5"/>
        <v>0</v>
      </c>
      <c r="W4204" s="168">
        <f t="shared" si="6"/>
        <v>0</v>
      </c>
      <c r="X4204" s="168">
        <f t="shared" si="7"/>
        <v>0</v>
      </c>
      <c r="Y4204" s="168">
        <f t="shared" si="8"/>
        <v>0</v>
      </c>
      <c r="Z4204" s="168">
        <f t="shared" si="9"/>
        <v>0</v>
      </c>
    </row>
    <row r="4205" ht="15.0" customHeight="1">
      <c r="A4205" s="157" t="s">
        <v>5321</v>
      </c>
      <c r="B4205" s="158" t="s">
        <v>27</v>
      </c>
      <c r="C4205" s="158" t="s">
        <v>5318</v>
      </c>
      <c r="D4205" s="159">
        <v>45156.0</v>
      </c>
      <c r="E4205" s="157" t="s">
        <v>731</v>
      </c>
      <c r="F4205" s="160">
        <v>349017.88</v>
      </c>
      <c r="G4205" s="160">
        <f>'FACP$'!$F4205*0.16</f>
        <v>55842.8608</v>
      </c>
      <c r="H4205" s="160">
        <f t="shared" si="124"/>
        <v>404860.7408</v>
      </c>
      <c r="I4205" s="160"/>
      <c r="J4205" s="161"/>
      <c r="K4205" s="160"/>
      <c r="L4205" s="160">
        <f>+'FACP$'!$H4205-'FACP$'!$I4205-'FACP$'!$K4205</f>
        <v>404860.7408</v>
      </c>
      <c r="M4205" s="162" t="s">
        <v>151</v>
      </c>
      <c r="N4205" s="162" t="s">
        <v>554</v>
      </c>
      <c r="O4205" s="164">
        <v>45177.0</v>
      </c>
      <c r="P4205" s="164">
        <f t="array" ref="P4205">XLOOKUP('FACP$'!$B4205,'perfil de pagos'!$A$4:$A$46,'perfil de pagos'!$B$4:$B$46+'FACP$'!$D4205)</f>
        <v>45186</v>
      </c>
      <c r="Q4205" s="165">
        <f t="shared" si="2"/>
        <v>0</v>
      </c>
      <c r="R4205" s="167"/>
      <c r="S4205" s="167">
        <v>2408.0</v>
      </c>
      <c r="T4205" s="168">
        <f t="shared" si="3"/>
        <v>404860.7408</v>
      </c>
      <c r="U4205" s="168">
        <f t="shared" si="4"/>
        <v>0</v>
      </c>
      <c r="V4205" s="168">
        <f t="shared" si="5"/>
        <v>0</v>
      </c>
      <c r="W4205" s="168">
        <f t="shared" si="6"/>
        <v>0</v>
      </c>
      <c r="X4205" s="168">
        <f t="shared" si="7"/>
        <v>0</v>
      </c>
      <c r="Y4205" s="168">
        <f t="shared" si="8"/>
        <v>0</v>
      </c>
      <c r="Z4205" s="168">
        <f t="shared" si="9"/>
        <v>0</v>
      </c>
    </row>
    <row r="4206" ht="15.0" customHeight="1">
      <c r="A4206" s="157" t="s">
        <v>5322</v>
      </c>
      <c r="B4206" s="158" t="s">
        <v>27</v>
      </c>
      <c r="C4206" s="158" t="s">
        <v>5320</v>
      </c>
      <c r="D4206" s="159">
        <v>45156.0</v>
      </c>
      <c r="E4206" s="157" t="s">
        <v>731</v>
      </c>
      <c r="F4206" s="160">
        <v>273110.01</v>
      </c>
      <c r="G4206" s="160">
        <f>'FACP$'!$F4206*0.16</f>
        <v>43697.6016</v>
      </c>
      <c r="H4206" s="160">
        <f t="shared" si="124"/>
        <v>316807.6116</v>
      </c>
      <c r="I4206" s="160"/>
      <c r="J4206" s="161"/>
      <c r="K4206" s="160"/>
      <c r="L4206" s="160">
        <f>+'FACP$'!$H4206-'FACP$'!$I4206-'FACP$'!$K4206</f>
        <v>316807.6116</v>
      </c>
      <c r="M4206" s="162" t="s">
        <v>151</v>
      </c>
      <c r="N4206" s="162" t="s">
        <v>554</v>
      </c>
      <c r="O4206" s="164">
        <v>45184.0</v>
      </c>
      <c r="P4206" s="164">
        <f t="array" ref="P4206">XLOOKUP('FACP$'!$B4206,'perfil de pagos'!$A$4:$A$46,'perfil de pagos'!$B$4:$B$46+'FACP$'!$D4206)</f>
        <v>45186</v>
      </c>
      <c r="Q4206" s="165">
        <f t="shared" si="2"/>
        <v>0</v>
      </c>
      <c r="R4206" s="167"/>
      <c r="S4206" s="167">
        <v>2422.0</v>
      </c>
      <c r="T4206" s="168">
        <f t="shared" si="3"/>
        <v>316807.6116</v>
      </c>
      <c r="U4206" s="168">
        <f t="shared" si="4"/>
        <v>0</v>
      </c>
      <c r="V4206" s="168">
        <f t="shared" si="5"/>
        <v>0</v>
      </c>
      <c r="W4206" s="168">
        <f t="shared" si="6"/>
        <v>0</v>
      </c>
      <c r="X4206" s="168">
        <f t="shared" si="7"/>
        <v>0</v>
      </c>
      <c r="Y4206" s="168">
        <f t="shared" si="8"/>
        <v>0</v>
      </c>
      <c r="Z4206" s="168">
        <f t="shared" si="9"/>
        <v>0</v>
      </c>
    </row>
    <row r="4207" ht="15.0" customHeight="1">
      <c r="A4207" s="157" t="s">
        <v>5323</v>
      </c>
      <c r="B4207" s="158" t="s">
        <v>27</v>
      </c>
      <c r="C4207" s="158" t="s">
        <v>5324</v>
      </c>
      <c r="D4207" s="159">
        <v>45156.0</v>
      </c>
      <c r="E4207" s="157" t="s">
        <v>731</v>
      </c>
      <c r="F4207" s="160">
        <v>12099.0</v>
      </c>
      <c r="G4207" s="160">
        <f>'FACP$'!$F4207*0.16</f>
        <v>1935.84</v>
      </c>
      <c r="H4207" s="160">
        <f t="shared" si="124"/>
        <v>14034.84</v>
      </c>
      <c r="I4207" s="160"/>
      <c r="J4207" s="161"/>
      <c r="K4207" s="160"/>
      <c r="L4207" s="160">
        <f>+'FACP$'!$H4207-'FACP$'!$I4207-'FACP$'!$K4207</f>
        <v>14034.84</v>
      </c>
      <c r="M4207" s="162" t="s">
        <v>151</v>
      </c>
      <c r="N4207" s="162" t="s">
        <v>554</v>
      </c>
      <c r="O4207" s="164">
        <v>45177.0</v>
      </c>
      <c r="P4207" s="164">
        <f t="array" ref="P4207">XLOOKUP('FACP$'!$B4207,'perfil de pagos'!$A$4:$A$46,'perfil de pagos'!$B$4:$B$46+'FACP$'!$D4207)</f>
        <v>45186</v>
      </c>
      <c r="Q4207" s="165">
        <f t="shared" si="2"/>
        <v>0</v>
      </c>
      <c r="R4207" s="167"/>
      <c r="S4207" s="167">
        <v>2408.0</v>
      </c>
      <c r="T4207" s="168">
        <f t="shared" si="3"/>
        <v>14034.84</v>
      </c>
      <c r="U4207" s="168">
        <f t="shared" si="4"/>
        <v>0</v>
      </c>
      <c r="V4207" s="168">
        <f t="shared" si="5"/>
        <v>0</v>
      </c>
      <c r="W4207" s="168">
        <f t="shared" si="6"/>
        <v>0</v>
      </c>
      <c r="X4207" s="168">
        <f t="shared" si="7"/>
        <v>0</v>
      </c>
      <c r="Y4207" s="168">
        <f t="shared" si="8"/>
        <v>0</v>
      </c>
      <c r="Z4207" s="168">
        <f t="shared" si="9"/>
        <v>0</v>
      </c>
    </row>
    <row r="4208" ht="15.0" customHeight="1">
      <c r="A4208" s="157" t="s">
        <v>5325</v>
      </c>
      <c r="B4208" s="158" t="s">
        <v>27</v>
      </c>
      <c r="C4208" s="158" t="s">
        <v>5326</v>
      </c>
      <c r="D4208" s="159">
        <v>45156.0</v>
      </c>
      <c r="E4208" s="157" t="s">
        <v>731</v>
      </c>
      <c r="F4208" s="160">
        <v>14127.7</v>
      </c>
      <c r="G4208" s="160">
        <f>'FACP$'!$F4208*0.16</f>
        <v>2260.432</v>
      </c>
      <c r="H4208" s="160">
        <f t="shared" si="124"/>
        <v>16388.132</v>
      </c>
      <c r="I4208" s="160"/>
      <c r="J4208" s="161"/>
      <c r="K4208" s="160"/>
      <c r="L4208" s="160">
        <f>+'FACP$'!$H4208-'FACP$'!$I4208-'FACP$'!$K4208</f>
        <v>16388.132</v>
      </c>
      <c r="M4208" s="162" t="s">
        <v>151</v>
      </c>
      <c r="N4208" s="162" t="s">
        <v>554</v>
      </c>
      <c r="O4208" s="164">
        <v>45184.0</v>
      </c>
      <c r="P4208" s="164">
        <f t="array" ref="P4208">XLOOKUP('FACP$'!$B4208,'perfil de pagos'!$A$4:$A$46,'perfil de pagos'!$B$4:$B$46+'FACP$'!$D4208)</f>
        <v>45186</v>
      </c>
      <c r="Q4208" s="165">
        <f t="shared" si="2"/>
        <v>0</v>
      </c>
      <c r="R4208" s="167"/>
      <c r="S4208" s="167">
        <v>2422.0</v>
      </c>
      <c r="T4208" s="168">
        <f t="shared" si="3"/>
        <v>16388.132</v>
      </c>
      <c r="U4208" s="168">
        <f t="shared" si="4"/>
        <v>0</v>
      </c>
      <c r="V4208" s="168">
        <f t="shared" si="5"/>
        <v>0</v>
      </c>
      <c r="W4208" s="168">
        <f t="shared" si="6"/>
        <v>0</v>
      </c>
      <c r="X4208" s="168">
        <f t="shared" si="7"/>
        <v>0</v>
      </c>
      <c r="Y4208" s="168">
        <f t="shared" si="8"/>
        <v>0</v>
      </c>
      <c r="Z4208" s="168">
        <f t="shared" si="9"/>
        <v>0</v>
      </c>
    </row>
    <row r="4209" ht="15.0" customHeight="1">
      <c r="A4209" s="157" t="s">
        <v>5327</v>
      </c>
      <c r="B4209" s="158" t="s">
        <v>38</v>
      </c>
      <c r="C4209" s="158" t="s">
        <v>5328</v>
      </c>
      <c r="D4209" s="159">
        <v>45156.0</v>
      </c>
      <c r="E4209" s="157" t="s">
        <v>731</v>
      </c>
      <c r="F4209" s="160">
        <v>94951.52</v>
      </c>
      <c r="G4209" s="160">
        <f>'FACP$'!$F4209*0.16</f>
        <v>15192.2432</v>
      </c>
      <c r="H4209" s="160">
        <f t="shared" si="124"/>
        <v>110143.7632</v>
      </c>
      <c r="I4209" s="160"/>
      <c r="J4209" s="161"/>
      <c r="K4209" s="160"/>
      <c r="L4209" s="160">
        <f>+'FACP$'!$H4209-'FACP$'!$I4209-'FACP$'!$K4209</f>
        <v>110143.7632</v>
      </c>
      <c r="M4209" s="162" t="s">
        <v>4707</v>
      </c>
      <c r="N4209" s="162" t="s">
        <v>554</v>
      </c>
      <c r="O4209" s="164">
        <v>45212.0</v>
      </c>
      <c r="P4209" s="164">
        <f t="array" ref="P4209">XLOOKUP('FACP$'!$B4209,'perfil de pagos'!$A$4:$A$46,'perfil de pagos'!$B$4:$B$46+'FACP$'!$D4209)</f>
        <v>45186</v>
      </c>
      <c r="Q4209" s="165">
        <f t="shared" si="2"/>
        <v>0</v>
      </c>
      <c r="R4209" s="167"/>
      <c r="S4209" s="167">
        <v>2497.0</v>
      </c>
      <c r="T4209" s="168">
        <f t="shared" si="3"/>
        <v>110143.7632</v>
      </c>
      <c r="U4209" s="168">
        <f t="shared" si="4"/>
        <v>0</v>
      </c>
      <c r="V4209" s="168">
        <f t="shared" si="5"/>
        <v>0</v>
      </c>
      <c r="W4209" s="168">
        <f t="shared" si="6"/>
        <v>0</v>
      </c>
      <c r="X4209" s="168">
        <f t="shared" si="7"/>
        <v>0</v>
      </c>
      <c r="Y4209" s="168">
        <f t="shared" si="8"/>
        <v>0</v>
      </c>
      <c r="Z4209" s="168">
        <f t="shared" si="9"/>
        <v>0</v>
      </c>
    </row>
    <row r="4210" ht="15.0" customHeight="1">
      <c r="A4210" s="157" t="s">
        <v>5329</v>
      </c>
      <c r="B4210" s="158" t="s">
        <v>38</v>
      </c>
      <c r="C4210" s="158" t="s">
        <v>5330</v>
      </c>
      <c r="D4210" s="159">
        <v>45156.0</v>
      </c>
      <c r="E4210" s="157" t="s">
        <v>731</v>
      </c>
      <c r="F4210" s="160">
        <v>147610.74</v>
      </c>
      <c r="G4210" s="160">
        <f>'FACP$'!$F4210*0.16</f>
        <v>23617.7184</v>
      </c>
      <c r="H4210" s="160">
        <f t="shared" si="124"/>
        <v>171228.4584</v>
      </c>
      <c r="I4210" s="160"/>
      <c r="J4210" s="161"/>
      <c r="K4210" s="160"/>
      <c r="L4210" s="160">
        <f>+'FACP$'!$H4210-'FACP$'!$I4210-'FACP$'!$K4210</f>
        <v>171228.4584</v>
      </c>
      <c r="M4210" s="162" t="s">
        <v>4707</v>
      </c>
      <c r="N4210" s="162" t="s">
        <v>554</v>
      </c>
      <c r="O4210" s="164">
        <v>45203.0</v>
      </c>
      <c r="P4210" s="164">
        <f t="array" ref="P4210">XLOOKUP('FACP$'!$B4210,'perfil de pagos'!$A$4:$A$46,'perfil de pagos'!$B$4:$B$46+'FACP$'!$D4210)</f>
        <v>45186</v>
      </c>
      <c r="Q4210" s="165">
        <f t="shared" si="2"/>
        <v>0</v>
      </c>
      <c r="R4210" s="167"/>
      <c r="S4210" s="167">
        <v>2484.0</v>
      </c>
      <c r="T4210" s="168">
        <f t="shared" si="3"/>
        <v>171228.4584</v>
      </c>
      <c r="U4210" s="168">
        <f t="shared" si="4"/>
        <v>0</v>
      </c>
      <c r="V4210" s="168">
        <f t="shared" si="5"/>
        <v>0</v>
      </c>
      <c r="W4210" s="168">
        <f t="shared" si="6"/>
        <v>0</v>
      </c>
      <c r="X4210" s="168">
        <f t="shared" si="7"/>
        <v>0</v>
      </c>
      <c r="Y4210" s="168">
        <f t="shared" si="8"/>
        <v>0</v>
      </c>
      <c r="Z4210" s="168">
        <f t="shared" si="9"/>
        <v>0</v>
      </c>
    </row>
    <row r="4211" ht="15.0" customHeight="1">
      <c r="A4211" s="157" t="s">
        <v>5331</v>
      </c>
      <c r="B4211" s="158" t="s">
        <v>38</v>
      </c>
      <c r="C4211" s="158" t="s">
        <v>5328</v>
      </c>
      <c r="D4211" s="159">
        <v>45156.0</v>
      </c>
      <c r="E4211" s="157" t="s">
        <v>731</v>
      </c>
      <c r="F4211" s="160">
        <v>204575.25</v>
      </c>
      <c r="G4211" s="160">
        <f>'FACP$'!$F4211*0.16</f>
        <v>32732.04</v>
      </c>
      <c r="H4211" s="160">
        <f t="shared" si="124"/>
        <v>237307.29</v>
      </c>
      <c r="I4211" s="160"/>
      <c r="J4211" s="161"/>
      <c r="K4211" s="160"/>
      <c r="L4211" s="160">
        <f>+'FACP$'!$H4211-'FACP$'!$I4211-'FACP$'!$K4211</f>
        <v>237307.29</v>
      </c>
      <c r="M4211" s="162" t="s">
        <v>4654</v>
      </c>
      <c r="N4211" s="162" t="s">
        <v>554</v>
      </c>
      <c r="O4211" s="164">
        <v>45203.0</v>
      </c>
      <c r="P4211" s="164">
        <f t="array" ref="P4211">XLOOKUP('FACP$'!$B4211,'perfil de pagos'!$A$4:$A$46,'perfil de pagos'!$B$4:$B$46+'FACP$'!$D4211)</f>
        <v>45186</v>
      </c>
      <c r="Q4211" s="165">
        <f t="shared" si="2"/>
        <v>0</v>
      </c>
      <c r="R4211" s="167"/>
      <c r="S4211" s="167">
        <v>2484.0</v>
      </c>
      <c r="T4211" s="168">
        <f t="shared" si="3"/>
        <v>237307.29</v>
      </c>
      <c r="U4211" s="168">
        <f t="shared" si="4"/>
        <v>0</v>
      </c>
      <c r="V4211" s="168">
        <f t="shared" si="5"/>
        <v>0</v>
      </c>
      <c r="W4211" s="168">
        <f t="shared" si="6"/>
        <v>0</v>
      </c>
      <c r="X4211" s="168">
        <f t="shared" si="7"/>
        <v>0</v>
      </c>
      <c r="Y4211" s="168">
        <f t="shared" si="8"/>
        <v>0</v>
      </c>
      <c r="Z4211" s="168">
        <f t="shared" si="9"/>
        <v>0</v>
      </c>
    </row>
    <row r="4212" ht="15.0" customHeight="1">
      <c r="A4212" s="157" t="s">
        <v>5332</v>
      </c>
      <c r="B4212" s="158" t="s">
        <v>41</v>
      </c>
      <c r="C4212" s="158" t="s">
        <v>5328</v>
      </c>
      <c r="D4212" s="159">
        <v>45159.0</v>
      </c>
      <c r="E4212" s="157" t="s">
        <v>731</v>
      </c>
      <c r="F4212" s="160">
        <v>165331.68</v>
      </c>
      <c r="G4212" s="160">
        <f>'FACP$'!$F4212*0.16</f>
        <v>26453.0688</v>
      </c>
      <c r="H4212" s="160">
        <f t="shared" si="124"/>
        <v>191784.7488</v>
      </c>
      <c r="I4212" s="160"/>
      <c r="J4212" s="161"/>
      <c r="K4212" s="160"/>
      <c r="L4212" s="160">
        <f>+'FACP$'!$H4212-'FACP$'!$I4212-'FACP$'!$K4212</f>
        <v>191784.7488</v>
      </c>
      <c r="M4212" s="162" t="s">
        <v>121</v>
      </c>
      <c r="N4212" s="162" t="s">
        <v>554</v>
      </c>
      <c r="O4212" s="164">
        <v>45187.0</v>
      </c>
      <c r="P4212" s="164">
        <f t="array" ref="P4212">XLOOKUP('FACP$'!$B4212,'perfil de pagos'!$A$4:$A$46,'perfil de pagos'!$B$4:$B$46+'FACP$'!$D4212)</f>
        <v>45169</v>
      </c>
      <c r="Q4212" s="165">
        <f t="shared" si="2"/>
        <v>0</v>
      </c>
      <c r="R4212" s="167"/>
      <c r="S4212" s="167">
        <v>2423.0</v>
      </c>
      <c r="T4212" s="168">
        <f t="shared" si="3"/>
        <v>191784.7488</v>
      </c>
      <c r="U4212" s="168">
        <f t="shared" si="4"/>
        <v>0</v>
      </c>
      <c r="V4212" s="168">
        <f t="shared" si="5"/>
        <v>0</v>
      </c>
      <c r="W4212" s="168">
        <f t="shared" si="6"/>
        <v>0</v>
      </c>
      <c r="X4212" s="168">
        <f t="shared" si="7"/>
        <v>0</v>
      </c>
      <c r="Y4212" s="168">
        <f t="shared" si="8"/>
        <v>0</v>
      </c>
      <c r="Z4212" s="168">
        <f t="shared" si="9"/>
        <v>0</v>
      </c>
    </row>
    <row r="4213" ht="15.0" customHeight="1">
      <c r="A4213" s="157" t="s">
        <v>5333</v>
      </c>
      <c r="B4213" s="158" t="s">
        <v>42</v>
      </c>
      <c r="C4213" s="158" t="s">
        <v>5328</v>
      </c>
      <c r="D4213" s="159">
        <v>45159.0</v>
      </c>
      <c r="E4213" s="157" t="s">
        <v>731</v>
      </c>
      <c r="F4213" s="160">
        <v>78698.22</v>
      </c>
      <c r="G4213" s="160">
        <f>'FACP$'!$F4213*0.16</f>
        <v>12591.7152</v>
      </c>
      <c r="H4213" s="160">
        <f t="shared" si="124"/>
        <v>91289.9352</v>
      </c>
      <c r="I4213" s="160"/>
      <c r="J4213" s="161"/>
      <c r="K4213" s="160"/>
      <c r="L4213" s="160">
        <f>+'FACP$'!$H4213-'FACP$'!$I4213-'FACP$'!$K4213</f>
        <v>91289.9352</v>
      </c>
      <c r="M4213" s="162" t="s">
        <v>42</v>
      </c>
      <c r="N4213" s="162" t="s">
        <v>554</v>
      </c>
      <c r="O4213" s="164">
        <v>45176.0</v>
      </c>
      <c r="P4213" s="164">
        <f t="array" ref="P4213">XLOOKUP('FACP$'!$B4213,'perfil de pagos'!$A$4:$A$46,'perfil de pagos'!$B$4:$B$46+'FACP$'!$D4213)</f>
        <v>45169</v>
      </c>
      <c r="Q4213" s="165">
        <f t="shared" si="2"/>
        <v>0</v>
      </c>
      <c r="R4213" s="167"/>
      <c r="S4213" s="167">
        <v>2405.0</v>
      </c>
      <c r="T4213" s="168">
        <f t="shared" si="3"/>
        <v>91289.9352</v>
      </c>
      <c r="U4213" s="168">
        <f t="shared" si="4"/>
        <v>0</v>
      </c>
      <c r="V4213" s="168">
        <f t="shared" si="5"/>
        <v>0</v>
      </c>
      <c r="W4213" s="168">
        <f t="shared" si="6"/>
        <v>0</v>
      </c>
      <c r="X4213" s="168">
        <f t="shared" si="7"/>
        <v>0</v>
      </c>
      <c r="Y4213" s="168">
        <f t="shared" si="8"/>
        <v>0</v>
      </c>
      <c r="Z4213" s="168">
        <f t="shared" si="9"/>
        <v>0</v>
      </c>
    </row>
    <row r="4214" ht="15.0" customHeight="1">
      <c r="A4214" s="157" t="s">
        <v>5334</v>
      </c>
      <c r="B4214" s="158" t="s">
        <v>43</v>
      </c>
      <c r="C4214" s="158" t="s">
        <v>5328</v>
      </c>
      <c r="D4214" s="159">
        <v>45159.0</v>
      </c>
      <c r="E4214" s="157" t="s">
        <v>731</v>
      </c>
      <c r="F4214" s="160">
        <v>210624.79</v>
      </c>
      <c r="G4214" s="160">
        <f>'FACP$'!$F4214*0.16</f>
        <v>33699.9664</v>
      </c>
      <c r="H4214" s="160">
        <f t="shared" si="124"/>
        <v>244324.7564</v>
      </c>
      <c r="I4214" s="160"/>
      <c r="J4214" s="161"/>
      <c r="K4214" s="160"/>
      <c r="L4214" s="160">
        <f>+'FACP$'!$H4214-'FACP$'!$I4214-'FACP$'!$K4214</f>
        <v>244324.7564</v>
      </c>
      <c r="M4214" s="162" t="s">
        <v>43</v>
      </c>
      <c r="N4214" s="162" t="s">
        <v>554</v>
      </c>
      <c r="O4214" s="164">
        <v>45212.0</v>
      </c>
      <c r="P4214" s="164">
        <f t="array" ref="P4214">XLOOKUP('FACP$'!$B4214,'perfil de pagos'!$A$4:$A$46,'perfil de pagos'!$B$4:$B$46+'FACP$'!$D4214)</f>
        <v>45184</v>
      </c>
      <c r="Q4214" s="165">
        <f t="shared" si="2"/>
        <v>0</v>
      </c>
      <c r="R4214" s="167"/>
      <c r="S4214" s="167">
        <v>2496.0</v>
      </c>
      <c r="T4214" s="168">
        <f t="shared" si="3"/>
        <v>244324.7564</v>
      </c>
      <c r="U4214" s="168">
        <f t="shared" si="4"/>
        <v>0</v>
      </c>
      <c r="V4214" s="168">
        <f t="shared" si="5"/>
        <v>0</v>
      </c>
      <c r="W4214" s="168">
        <f t="shared" si="6"/>
        <v>0</v>
      </c>
      <c r="X4214" s="168">
        <f t="shared" si="7"/>
        <v>0</v>
      </c>
      <c r="Y4214" s="168">
        <f t="shared" si="8"/>
        <v>0</v>
      </c>
      <c r="Z4214" s="168">
        <f t="shared" si="9"/>
        <v>0</v>
      </c>
    </row>
    <row r="4215" ht="15.0" customHeight="1">
      <c r="A4215" s="157" t="s">
        <v>5335</v>
      </c>
      <c r="B4215" s="158" t="s">
        <v>44</v>
      </c>
      <c r="C4215" s="158" t="s">
        <v>5328</v>
      </c>
      <c r="D4215" s="159">
        <v>45159.0</v>
      </c>
      <c r="E4215" s="157" t="s">
        <v>731</v>
      </c>
      <c r="F4215" s="160">
        <v>56879.91</v>
      </c>
      <c r="G4215" s="160">
        <f>'FACP$'!$F4215*0.16</f>
        <v>9100.7856</v>
      </c>
      <c r="H4215" s="160">
        <f t="shared" si="124"/>
        <v>65980.6956</v>
      </c>
      <c r="I4215" s="160"/>
      <c r="J4215" s="161"/>
      <c r="K4215" s="160"/>
      <c r="L4215" s="160">
        <f>+'FACP$'!$H4215-'FACP$'!$I4215-'FACP$'!$K4215</f>
        <v>65980.6956</v>
      </c>
      <c r="M4215" s="162" t="s">
        <v>361</v>
      </c>
      <c r="N4215" s="162" t="s">
        <v>554</v>
      </c>
      <c r="O4215" s="164">
        <v>45170.0</v>
      </c>
      <c r="P4215" s="164">
        <f t="array" ref="P4215">XLOOKUP('FACP$'!$B4215,'perfil de pagos'!$A$4:$A$46,'perfil de pagos'!$B$4:$B$46+'FACP$'!$D4215)</f>
        <v>45169</v>
      </c>
      <c r="Q4215" s="165">
        <f t="shared" si="2"/>
        <v>0</v>
      </c>
      <c r="R4215" s="167"/>
      <c r="S4215" s="167">
        <v>2394.0</v>
      </c>
      <c r="T4215" s="168">
        <f t="shared" si="3"/>
        <v>65980.6956</v>
      </c>
      <c r="U4215" s="168">
        <f t="shared" si="4"/>
        <v>0</v>
      </c>
      <c r="V4215" s="168">
        <f t="shared" si="5"/>
        <v>0</v>
      </c>
      <c r="W4215" s="168">
        <f t="shared" si="6"/>
        <v>0</v>
      </c>
      <c r="X4215" s="168">
        <f t="shared" si="7"/>
        <v>0</v>
      </c>
      <c r="Y4215" s="168">
        <f t="shared" si="8"/>
        <v>0</v>
      </c>
      <c r="Z4215" s="168">
        <f t="shared" si="9"/>
        <v>0</v>
      </c>
    </row>
    <row r="4216" ht="15.0" customHeight="1">
      <c r="A4216" s="157" t="s">
        <v>5336</v>
      </c>
      <c r="B4216" s="158" t="s">
        <v>16</v>
      </c>
      <c r="C4216" s="158" t="s">
        <v>5328</v>
      </c>
      <c r="D4216" s="159">
        <v>45160.0</v>
      </c>
      <c r="E4216" s="157" t="s">
        <v>731</v>
      </c>
      <c r="F4216" s="160">
        <v>267070.87</v>
      </c>
      <c r="G4216" s="160">
        <f>'FACP$'!$F4216*0.16</f>
        <v>42731.3392</v>
      </c>
      <c r="H4216" s="160">
        <f t="shared" si="124"/>
        <v>309802.2092</v>
      </c>
      <c r="I4216" s="160"/>
      <c r="J4216" s="161"/>
      <c r="K4216" s="160"/>
      <c r="L4216" s="160">
        <f>+'FACP$'!$H4216-'FACP$'!$I4216-'FACP$'!$K4216</f>
        <v>309802.2092</v>
      </c>
      <c r="M4216" s="162" t="s">
        <v>985</v>
      </c>
      <c r="N4216" s="162" t="s">
        <v>554</v>
      </c>
      <c r="O4216" s="164">
        <v>45174.0</v>
      </c>
      <c r="P4216" s="164">
        <f t="array" ref="P4216">XLOOKUP('FACP$'!$B4216,'perfil de pagos'!$A$4:$A$46,'perfil de pagos'!$B$4:$B$46+'FACP$'!$D4216)</f>
        <v>45170</v>
      </c>
      <c r="Q4216" s="165">
        <f t="shared" si="2"/>
        <v>0</v>
      </c>
      <c r="R4216" s="167"/>
      <c r="S4216" s="167">
        <v>2403.0</v>
      </c>
      <c r="T4216" s="168">
        <f t="shared" si="3"/>
        <v>309802.2092</v>
      </c>
      <c r="U4216" s="168">
        <f t="shared" si="4"/>
        <v>0</v>
      </c>
      <c r="V4216" s="168">
        <f t="shared" si="5"/>
        <v>0</v>
      </c>
      <c r="W4216" s="168">
        <f t="shared" si="6"/>
        <v>0</v>
      </c>
      <c r="X4216" s="168">
        <f t="shared" si="7"/>
        <v>0</v>
      </c>
      <c r="Y4216" s="168">
        <f t="shared" si="8"/>
        <v>0</v>
      </c>
      <c r="Z4216" s="168">
        <f t="shared" si="9"/>
        <v>0</v>
      </c>
    </row>
    <row r="4217" ht="15.0" customHeight="1">
      <c r="A4217" s="157" t="s">
        <v>5337</v>
      </c>
      <c r="B4217" s="158" t="s">
        <v>16</v>
      </c>
      <c r="C4217" s="158" t="s">
        <v>5330</v>
      </c>
      <c r="D4217" s="159">
        <v>45160.0</v>
      </c>
      <c r="E4217" s="157" t="s">
        <v>731</v>
      </c>
      <c r="F4217" s="160">
        <v>355379.99</v>
      </c>
      <c r="G4217" s="160">
        <f>'FACP$'!$F4217*0.16</f>
        <v>56860.7984</v>
      </c>
      <c r="H4217" s="160">
        <f t="shared" si="124"/>
        <v>412240.7884</v>
      </c>
      <c r="I4217" s="160"/>
      <c r="J4217" s="161"/>
      <c r="K4217" s="160"/>
      <c r="L4217" s="160">
        <f>+'FACP$'!$H4217-'FACP$'!$I4217-'FACP$'!$K4217</f>
        <v>412240.7884</v>
      </c>
      <c r="M4217" s="162" t="s">
        <v>985</v>
      </c>
      <c r="N4217" s="162" t="s">
        <v>554</v>
      </c>
      <c r="O4217" s="164">
        <v>45174.0</v>
      </c>
      <c r="P4217" s="164">
        <f t="array" ref="P4217">XLOOKUP('FACP$'!$B4217,'perfil de pagos'!$A$4:$A$46,'perfil de pagos'!$B$4:$B$46+'FACP$'!$D4217)</f>
        <v>45170</v>
      </c>
      <c r="Q4217" s="165">
        <f t="shared" si="2"/>
        <v>0</v>
      </c>
      <c r="R4217" s="167"/>
      <c r="S4217" s="167">
        <v>2403.0</v>
      </c>
      <c r="T4217" s="168">
        <f t="shared" si="3"/>
        <v>412240.7884</v>
      </c>
      <c r="U4217" s="168">
        <f t="shared" si="4"/>
        <v>0</v>
      </c>
      <c r="V4217" s="168">
        <f t="shared" si="5"/>
        <v>0</v>
      </c>
      <c r="W4217" s="168">
        <f t="shared" si="6"/>
        <v>0</v>
      </c>
      <c r="X4217" s="168">
        <f t="shared" si="7"/>
        <v>0</v>
      </c>
      <c r="Y4217" s="168">
        <f t="shared" si="8"/>
        <v>0</v>
      </c>
      <c r="Z4217" s="168">
        <f t="shared" si="9"/>
        <v>0</v>
      </c>
    </row>
    <row r="4218" ht="15.0" customHeight="1">
      <c r="A4218" s="157" t="s">
        <v>5338</v>
      </c>
      <c r="B4218" s="158" t="s">
        <v>18</v>
      </c>
      <c r="C4218" s="158" t="s">
        <v>5328</v>
      </c>
      <c r="D4218" s="159">
        <v>45160.0</v>
      </c>
      <c r="E4218" s="157" t="s">
        <v>731</v>
      </c>
      <c r="F4218" s="160">
        <v>60434.79</v>
      </c>
      <c r="G4218" s="160">
        <f>'FACP$'!$F4218*0.16</f>
        <v>9669.5664</v>
      </c>
      <c r="H4218" s="160">
        <f t="shared" si="124"/>
        <v>70104.3564</v>
      </c>
      <c r="I4218" s="160"/>
      <c r="J4218" s="161"/>
      <c r="K4218" s="160"/>
      <c r="L4218" s="160">
        <f>+'FACP$'!$H4218-'FACP$'!$I4218-'FACP$'!$K4218</f>
        <v>70104.3564</v>
      </c>
      <c r="M4218" s="162" t="s">
        <v>586</v>
      </c>
      <c r="N4218" s="162" t="s">
        <v>554</v>
      </c>
      <c r="O4218" s="164">
        <v>45208.0</v>
      </c>
      <c r="P4218" s="164">
        <f t="array" ref="P4218">XLOOKUP('FACP$'!$B4218,'perfil de pagos'!$A$4:$A$46,'perfil de pagos'!$B$4:$B$46+'FACP$'!$D4218)</f>
        <v>45170</v>
      </c>
      <c r="Q4218" s="165">
        <f t="shared" si="2"/>
        <v>0</v>
      </c>
      <c r="R4218" s="167"/>
      <c r="S4218" s="167">
        <v>2482.0</v>
      </c>
      <c r="T4218" s="168">
        <f t="shared" si="3"/>
        <v>70104.3564</v>
      </c>
      <c r="U4218" s="168">
        <f t="shared" si="4"/>
        <v>0</v>
      </c>
      <c r="V4218" s="168">
        <f t="shared" si="5"/>
        <v>0</v>
      </c>
      <c r="W4218" s="168">
        <f t="shared" si="6"/>
        <v>0</v>
      </c>
      <c r="X4218" s="168">
        <f t="shared" si="7"/>
        <v>0</v>
      </c>
      <c r="Y4218" s="168">
        <f t="shared" si="8"/>
        <v>0</v>
      </c>
      <c r="Z4218" s="168">
        <f t="shared" si="9"/>
        <v>0</v>
      </c>
    </row>
    <row r="4219" ht="15.0" customHeight="1">
      <c r="A4219" s="157" t="s">
        <v>5339</v>
      </c>
      <c r="B4219" s="158" t="s">
        <v>19</v>
      </c>
      <c r="C4219" s="158" t="s">
        <v>5328</v>
      </c>
      <c r="D4219" s="159">
        <v>45160.0</v>
      </c>
      <c r="E4219" s="157" t="s">
        <v>731</v>
      </c>
      <c r="F4219" s="160">
        <v>110816.63</v>
      </c>
      <c r="G4219" s="160">
        <f>'FACP$'!$F4219*0.16</f>
        <v>17730.6608</v>
      </c>
      <c r="H4219" s="160">
        <f t="shared" si="124"/>
        <v>128547.2908</v>
      </c>
      <c r="I4219" s="168"/>
      <c r="J4219" s="161"/>
      <c r="K4219" s="160"/>
      <c r="L4219" s="160">
        <f>+'FACP$'!$H4219-'FACP$'!$I4219-'FACP$'!$K4219</f>
        <v>128547.2908</v>
      </c>
      <c r="M4219" s="162" t="s">
        <v>732</v>
      </c>
      <c r="N4219" s="162" t="s">
        <v>554</v>
      </c>
      <c r="O4219" s="164">
        <v>45208.0</v>
      </c>
      <c r="P4219" s="164">
        <f t="array" ref="P4219">XLOOKUP('FACP$'!$B4219,'perfil de pagos'!$A$4:$A$46,'perfil de pagos'!$B$4:$B$46+'FACP$'!$D4219)</f>
        <v>45170</v>
      </c>
      <c r="Q4219" s="165">
        <f t="shared" si="2"/>
        <v>0</v>
      </c>
      <c r="R4219" s="167"/>
      <c r="S4219" s="167">
        <v>2482.0</v>
      </c>
      <c r="T4219" s="168">
        <f t="shared" si="3"/>
        <v>128547.2908</v>
      </c>
      <c r="U4219" s="168">
        <f t="shared" si="4"/>
        <v>0</v>
      </c>
      <c r="V4219" s="168">
        <f t="shared" si="5"/>
        <v>0</v>
      </c>
      <c r="W4219" s="168">
        <f t="shared" si="6"/>
        <v>0</v>
      </c>
      <c r="X4219" s="168">
        <f t="shared" si="7"/>
        <v>0</v>
      </c>
      <c r="Y4219" s="168">
        <f t="shared" si="8"/>
        <v>0</v>
      </c>
      <c r="Z4219" s="168">
        <f t="shared" si="9"/>
        <v>0</v>
      </c>
    </row>
    <row r="4220" ht="15.0" customHeight="1">
      <c r="A4220" s="157" t="s">
        <v>5340</v>
      </c>
      <c r="B4220" s="158" t="s">
        <v>22</v>
      </c>
      <c r="C4220" s="158" t="s">
        <v>5328</v>
      </c>
      <c r="D4220" s="159">
        <v>45160.0</v>
      </c>
      <c r="E4220" s="157" t="s">
        <v>731</v>
      </c>
      <c r="F4220" s="160">
        <v>152852.99</v>
      </c>
      <c r="G4220" s="160">
        <f>'FACP$'!$F4220*0.16</f>
        <v>24456.4784</v>
      </c>
      <c r="H4220" s="160">
        <f t="shared" si="124"/>
        <v>177309.4684</v>
      </c>
      <c r="I4220" s="172">
        <f>19825.12+54831.46</f>
        <v>74656.58</v>
      </c>
      <c r="J4220" s="161"/>
      <c r="K4220" s="160"/>
      <c r="L4220" s="160">
        <f>+'FACP$'!$H4220-'FACP$'!$I4220-'FACP$'!$K4220</f>
        <v>102652.8884</v>
      </c>
      <c r="M4220" s="162" t="s">
        <v>220</v>
      </c>
      <c r="N4220" s="162" t="s">
        <v>554</v>
      </c>
      <c r="O4220" s="164">
        <v>45205.0</v>
      </c>
      <c r="P4220" s="164">
        <f t="array" ref="P4220">XLOOKUP('FACP$'!$B4220,'perfil de pagos'!$A$4:$A$46,'perfil de pagos'!$B$4:$B$46+'FACP$'!$D4220)</f>
        <v>45170</v>
      </c>
      <c r="Q4220" s="165">
        <f t="shared" si="2"/>
        <v>0</v>
      </c>
      <c r="R4220" s="167"/>
      <c r="S4220" s="167" t="s">
        <v>5341</v>
      </c>
      <c r="T4220" s="168">
        <f t="shared" si="3"/>
        <v>102652.8884</v>
      </c>
      <c r="U4220" s="168">
        <f t="shared" si="4"/>
        <v>0</v>
      </c>
      <c r="V4220" s="168">
        <f t="shared" si="5"/>
        <v>0</v>
      </c>
      <c r="W4220" s="168">
        <f t="shared" si="6"/>
        <v>0</v>
      </c>
      <c r="X4220" s="168">
        <f t="shared" si="7"/>
        <v>0</v>
      </c>
      <c r="Y4220" s="168">
        <f t="shared" si="8"/>
        <v>0</v>
      </c>
      <c r="Z4220" s="168">
        <f t="shared" si="9"/>
        <v>0</v>
      </c>
    </row>
    <row r="4221" ht="15.0" customHeight="1">
      <c r="A4221" s="157" t="s">
        <v>5342</v>
      </c>
      <c r="B4221" s="158" t="s">
        <v>25</v>
      </c>
      <c r="C4221" s="158" t="s">
        <v>5328</v>
      </c>
      <c r="D4221" s="159">
        <v>45160.0</v>
      </c>
      <c r="E4221" s="157" t="s">
        <v>731</v>
      </c>
      <c r="F4221" s="160">
        <v>42623.2</v>
      </c>
      <c r="G4221" s="160">
        <f>'FACP$'!$F4221*0.16</f>
        <v>6819.712</v>
      </c>
      <c r="H4221" s="160">
        <f t="shared" si="124"/>
        <v>49442.912</v>
      </c>
      <c r="I4221" s="160"/>
      <c r="J4221" s="161"/>
      <c r="K4221" s="160"/>
      <c r="L4221" s="160">
        <f>+'FACP$'!$H4221-'FACP$'!$I4221-'FACP$'!$K4221</f>
        <v>49442.912</v>
      </c>
      <c r="M4221" s="162" t="s">
        <v>4388</v>
      </c>
      <c r="N4221" s="162" t="s">
        <v>554</v>
      </c>
      <c r="O4221" s="164">
        <v>45224.0</v>
      </c>
      <c r="P4221" s="164">
        <f t="array" ref="P4221">XLOOKUP('FACP$'!$B4221,'perfil de pagos'!$A$4:$A$46,'perfil de pagos'!$B$4:$B$46+'FACP$'!$D4221)</f>
        <v>45170</v>
      </c>
      <c r="Q4221" s="165">
        <f t="shared" si="2"/>
        <v>0</v>
      </c>
      <c r="R4221" s="167"/>
      <c r="S4221" s="167">
        <v>2523.0</v>
      </c>
      <c r="T4221" s="168">
        <f t="shared" si="3"/>
        <v>49442.912</v>
      </c>
      <c r="U4221" s="168">
        <f t="shared" si="4"/>
        <v>0</v>
      </c>
      <c r="V4221" s="168">
        <f t="shared" si="5"/>
        <v>0</v>
      </c>
      <c r="W4221" s="168">
        <f t="shared" si="6"/>
        <v>0</v>
      </c>
      <c r="X4221" s="168">
        <f t="shared" si="7"/>
        <v>0</v>
      </c>
      <c r="Y4221" s="168">
        <f t="shared" si="8"/>
        <v>0</v>
      </c>
      <c r="Z4221" s="168">
        <f t="shared" si="9"/>
        <v>0</v>
      </c>
    </row>
    <row r="4222" ht="15.0" customHeight="1">
      <c r="A4222" s="157" t="s">
        <v>5343</v>
      </c>
      <c r="B4222" s="158" t="s">
        <v>29</v>
      </c>
      <c r="C4222" s="158" t="s">
        <v>5328</v>
      </c>
      <c r="D4222" s="159">
        <v>45160.0</v>
      </c>
      <c r="E4222" s="157" t="s">
        <v>731</v>
      </c>
      <c r="F4222" s="160">
        <v>133173.39</v>
      </c>
      <c r="G4222" s="160">
        <f>'FACP$'!$F4222*0.16</f>
        <v>21307.7424</v>
      </c>
      <c r="H4222" s="160">
        <f t="shared" si="124"/>
        <v>154481.1324</v>
      </c>
      <c r="I4222" s="160"/>
      <c r="J4222" s="161"/>
      <c r="K4222" s="160"/>
      <c r="L4222" s="160">
        <f>+'FACP$'!$H4222-'FACP$'!$I4222-'FACP$'!$K4222</f>
        <v>154481.1324</v>
      </c>
      <c r="M4222" s="162" t="s">
        <v>130</v>
      </c>
      <c r="N4222" s="162" t="s">
        <v>554</v>
      </c>
      <c r="O4222" s="164">
        <v>45174.0</v>
      </c>
      <c r="P4222" s="164">
        <f t="array" ref="P4222">XLOOKUP('FACP$'!$B4222,'perfil de pagos'!$A$4:$A$46,'perfil de pagos'!$B$4:$B$46+'FACP$'!$D4222)</f>
        <v>45170</v>
      </c>
      <c r="Q4222" s="165">
        <f t="shared" si="2"/>
        <v>0</v>
      </c>
      <c r="R4222" s="167"/>
      <c r="S4222" s="167">
        <v>2402.0</v>
      </c>
      <c r="T4222" s="168">
        <f t="shared" si="3"/>
        <v>154481.1324</v>
      </c>
      <c r="U4222" s="168">
        <f t="shared" si="4"/>
        <v>0</v>
      </c>
      <c r="V4222" s="168">
        <f t="shared" si="5"/>
        <v>0</v>
      </c>
      <c r="W4222" s="168">
        <f t="shared" si="6"/>
        <v>0</v>
      </c>
      <c r="X4222" s="168">
        <f t="shared" si="7"/>
        <v>0</v>
      </c>
      <c r="Y4222" s="168">
        <f t="shared" si="8"/>
        <v>0</v>
      </c>
      <c r="Z4222" s="168">
        <f t="shared" si="9"/>
        <v>0</v>
      </c>
    </row>
    <row r="4223" ht="15.0" customHeight="1">
      <c r="A4223" s="157" t="s">
        <v>5344</v>
      </c>
      <c r="B4223" s="158" t="s">
        <v>29</v>
      </c>
      <c r="C4223" s="158" t="s">
        <v>5330</v>
      </c>
      <c r="D4223" s="159">
        <v>45160.0</v>
      </c>
      <c r="E4223" s="157" t="s">
        <v>731</v>
      </c>
      <c r="F4223" s="160">
        <v>110360.17</v>
      </c>
      <c r="G4223" s="160">
        <f>'FACP$'!$F4223*0.16</f>
        <v>17657.6272</v>
      </c>
      <c r="H4223" s="160">
        <f t="shared" si="124"/>
        <v>128017.7972</v>
      </c>
      <c r="I4223" s="160"/>
      <c r="J4223" s="161"/>
      <c r="K4223" s="160"/>
      <c r="L4223" s="160">
        <f>+'FACP$'!$H4223-'FACP$'!$I4223-'FACP$'!$K4223</f>
        <v>128017.7972</v>
      </c>
      <c r="M4223" s="162" t="s">
        <v>130</v>
      </c>
      <c r="N4223" s="162" t="s">
        <v>554</v>
      </c>
      <c r="O4223" s="164">
        <v>45174.0</v>
      </c>
      <c r="P4223" s="164">
        <f t="array" ref="P4223">XLOOKUP('FACP$'!$B4223,'perfil de pagos'!$A$4:$A$46,'perfil de pagos'!$B$4:$B$46+'FACP$'!$D4223)</f>
        <v>45170</v>
      </c>
      <c r="Q4223" s="165">
        <f t="shared" si="2"/>
        <v>0</v>
      </c>
      <c r="R4223" s="167"/>
      <c r="S4223" s="167">
        <v>2402.0</v>
      </c>
      <c r="T4223" s="168">
        <f t="shared" si="3"/>
        <v>128017.7972</v>
      </c>
      <c r="U4223" s="168">
        <f t="shared" si="4"/>
        <v>0</v>
      </c>
      <c r="V4223" s="168">
        <f t="shared" si="5"/>
        <v>0</v>
      </c>
      <c r="W4223" s="168">
        <f t="shared" si="6"/>
        <v>0</v>
      </c>
      <c r="X4223" s="168">
        <f t="shared" si="7"/>
        <v>0</v>
      </c>
      <c r="Y4223" s="168">
        <f t="shared" si="8"/>
        <v>0</v>
      </c>
      <c r="Z4223" s="168">
        <f t="shared" si="9"/>
        <v>0</v>
      </c>
    </row>
    <row r="4224" ht="15.0" customHeight="1">
      <c r="A4224" s="157" t="s">
        <v>5345</v>
      </c>
      <c r="B4224" s="158" t="s">
        <v>37</v>
      </c>
      <c r="C4224" s="158" t="s">
        <v>5328</v>
      </c>
      <c r="D4224" s="159">
        <v>45160.0</v>
      </c>
      <c r="E4224" s="157" t="s">
        <v>731</v>
      </c>
      <c r="F4224" s="160">
        <v>1285337.45</v>
      </c>
      <c r="G4224" s="160">
        <f>'FACP$'!$F4224*0.16</f>
        <v>205653.992</v>
      </c>
      <c r="H4224" s="160">
        <f t="shared" si="124"/>
        <v>1490991.442</v>
      </c>
      <c r="I4224" s="160"/>
      <c r="J4224" s="161"/>
      <c r="K4224" s="160"/>
      <c r="L4224" s="160">
        <f>+'FACP$'!$H4224-'FACP$'!$I4224-'FACP$'!$K4224</f>
        <v>1490991.442</v>
      </c>
      <c r="M4224" s="162" t="s">
        <v>116</v>
      </c>
      <c r="N4224" s="162" t="s">
        <v>554</v>
      </c>
      <c r="O4224" s="164">
        <v>45166.0</v>
      </c>
      <c r="P4224" s="164">
        <f t="array" ref="P4224">XLOOKUP('FACP$'!$B4224,'perfil de pagos'!$A$4:$A$46,'perfil de pagos'!$B$4:$B$46+'FACP$'!$D4224)</f>
        <v>45170</v>
      </c>
      <c r="Q4224" s="165">
        <f t="shared" si="2"/>
        <v>0</v>
      </c>
      <c r="R4224" s="167"/>
      <c r="S4224" s="167">
        <v>2382.0</v>
      </c>
      <c r="T4224" s="168">
        <f t="shared" si="3"/>
        <v>1490991.442</v>
      </c>
      <c r="U4224" s="168">
        <f t="shared" si="4"/>
        <v>0</v>
      </c>
      <c r="V4224" s="168">
        <f t="shared" si="5"/>
        <v>0</v>
      </c>
      <c r="W4224" s="168">
        <f t="shared" si="6"/>
        <v>0</v>
      </c>
      <c r="X4224" s="168">
        <f t="shared" si="7"/>
        <v>0</v>
      </c>
      <c r="Y4224" s="168">
        <f t="shared" si="8"/>
        <v>0</v>
      </c>
      <c r="Z4224" s="168">
        <f t="shared" si="9"/>
        <v>0</v>
      </c>
    </row>
    <row r="4225" ht="15.0" customHeight="1">
      <c r="A4225" s="157" t="s">
        <v>5346</v>
      </c>
      <c r="B4225" s="158" t="s">
        <v>38</v>
      </c>
      <c r="C4225" s="158" t="s">
        <v>5328</v>
      </c>
      <c r="D4225" s="159">
        <v>45160.0</v>
      </c>
      <c r="E4225" s="157" t="s">
        <v>731</v>
      </c>
      <c r="F4225" s="160">
        <v>144339.76</v>
      </c>
      <c r="G4225" s="160">
        <f>'FACP$'!$F4225*0.16</f>
        <v>23094.3616</v>
      </c>
      <c r="H4225" s="160">
        <f t="shared" si="124"/>
        <v>167434.1216</v>
      </c>
      <c r="I4225" s="160"/>
      <c r="J4225" s="161"/>
      <c r="K4225" s="160"/>
      <c r="L4225" s="160">
        <f>+'FACP$'!$H4225-'FACP$'!$I4225-'FACP$'!$K4225</f>
        <v>167434.1216</v>
      </c>
      <c r="M4225" s="162" t="s">
        <v>642</v>
      </c>
      <c r="N4225" s="162" t="s">
        <v>554</v>
      </c>
      <c r="O4225" s="164">
        <v>45203.0</v>
      </c>
      <c r="P4225" s="164">
        <f t="array" ref="P4225">XLOOKUP('FACP$'!$B4225,'perfil de pagos'!$A$4:$A$46,'perfil de pagos'!$B$4:$B$46+'FACP$'!$D4225)</f>
        <v>45190</v>
      </c>
      <c r="Q4225" s="165">
        <f t="shared" si="2"/>
        <v>0</v>
      </c>
      <c r="R4225" s="167"/>
      <c r="S4225" s="167">
        <v>2484.0</v>
      </c>
      <c r="T4225" s="168">
        <f t="shared" si="3"/>
        <v>167434.1216</v>
      </c>
      <c r="U4225" s="168">
        <f t="shared" si="4"/>
        <v>0</v>
      </c>
      <c r="V4225" s="168">
        <f t="shared" si="5"/>
        <v>0</v>
      </c>
      <c r="W4225" s="168">
        <f t="shared" si="6"/>
        <v>0</v>
      </c>
      <c r="X4225" s="168">
        <f t="shared" si="7"/>
        <v>0</v>
      </c>
      <c r="Y4225" s="168">
        <f t="shared" si="8"/>
        <v>0</v>
      </c>
      <c r="Z4225" s="168">
        <f t="shared" si="9"/>
        <v>0</v>
      </c>
    </row>
    <row r="4226" ht="15.0" customHeight="1">
      <c r="A4226" s="157" t="s">
        <v>5347</v>
      </c>
      <c r="B4226" s="158" t="s">
        <v>38</v>
      </c>
      <c r="C4226" s="158" t="s">
        <v>5328</v>
      </c>
      <c r="D4226" s="159">
        <v>45160.0</v>
      </c>
      <c r="E4226" s="157" t="s">
        <v>731</v>
      </c>
      <c r="F4226" s="160">
        <v>562048.17</v>
      </c>
      <c r="G4226" s="160">
        <f>'FACP$'!$F4226*0.16</f>
        <v>89927.7072</v>
      </c>
      <c r="H4226" s="160">
        <f t="shared" si="124"/>
        <v>651975.8772</v>
      </c>
      <c r="I4226" s="160"/>
      <c r="J4226" s="161"/>
      <c r="K4226" s="160"/>
      <c r="L4226" s="160">
        <f>+'FACP$'!$H4226-'FACP$'!$I4226-'FACP$'!$K4226</f>
        <v>651975.8772</v>
      </c>
      <c r="M4226" s="162" t="s">
        <v>145</v>
      </c>
      <c r="N4226" s="162" t="s">
        <v>554</v>
      </c>
      <c r="O4226" s="164">
        <v>45203.0</v>
      </c>
      <c r="P4226" s="164">
        <f t="array" ref="P4226">XLOOKUP('FACP$'!$B4226,'perfil de pagos'!$A$4:$A$46,'perfil de pagos'!$B$4:$B$46+'FACP$'!$D4226)</f>
        <v>45190</v>
      </c>
      <c r="Q4226" s="165">
        <f t="shared" si="2"/>
        <v>0</v>
      </c>
      <c r="R4226" s="167"/>
      <c r="S4226" s="167">
        <v>2484.0</v>
      </c>
      <c r="T4226" s="168">
        <f t="shared" si="3"/>
        <v>651975.8772</v>
      </c>
      <c r="U4226" s="168">
        <f t="shared" si="4"/>
        <v>0</v>
      </c>
      <c r="V4226" s="168">
        <f t="shared" si="5"/>
        <v>0</v>
      </c>
      <c r="W4226" s="168">
        <f t="shared" si="6"/>
        <v>0</v>
      </c>
      <c r="X4226" s="168">
        <f t="shared" si="7"/>
        <v>0</v>
      </c>
      <c r="Y4226" s="168">
        <f t="shared" si="8"/>
        <v>0</v>
      </c>
      <c r="Z4226" s="168">
        <f t="shared" si="9"/>
        <v>0</v>
      </c>
    </row>
    <row r="4227" ht="15.0" customHeight="1">
      <c r="A4227" s="157" t="s">
        <v>5348</v>
      </c>
      <c r="B4227" s="158" t="s">
        <v>40</v>
      </c>
      <c r="C4227" s="158" t="s">
        <v>5328</v>
      </c>
      <c r="D4227" s="159">
        <v>45160.0</v>
      </c>
      <c r="E4227" s="157" t="s">
        <v>731</v>
      </c>
      <c r="F4227" s="160">
        <v>104896.96</v>
      </c>
      <c r="G4227" s="160">
        <f>'FACP$'!$F4227*0.16</f>
        <v>16783.5136</v>
      </c>
      <c r="H4227" s="160">
        <f t="shared" si="124"/>
        <v>121680.4736</v>
      </c>
      <c r="I4227" s="160"/>
      <c r="J4227" s="161"/>
      <c r="K4227" s="160"/>
      <c r="L4227" s="160">
        <f>+'FACP$'!$H4227-'FACP$'!$I4227-'FACP$'!$K4227</f>
        <v>121680.4736</v>
      </c>
      <c r="M4227" s="162" t="s">
        <v>490</v>
      </c>
      <c r="N4227" s="162" t="s">
        <v>554</v>
      </c>
      <c r="O4227" s="164">
        <v>45189.0</v>
      </c>
      <c r="P4227" s="164">
        <f t="array" ref="P4227">XLOOKUP('FACP$'!$B4227,'perfil de pagos'!$A$4:$A$46,'perfil de pagos'!$B$4:$B$46+'FACP$'!$D4227)</f>
        <v>45190</v>
      </c>
      <c r="Q4227" s="165">
        <f t="shared" si="2"/>
        <v>0</v>
      </c>
      <c r="R4227" s="167"/>
      <c r="S4227" s="167">
        <v>2432.0</v>
      </c>
      <c r="T4227" s="168">
        <f t="shared" si="3"/>
        <v>121680.4736</v>
      </c>
      <c r="U4227" s="168">
        <f t="shared" si="4"/>
        <v>0</v>
      </c>
      <c r="V4227" s="168">
        <f t="shared" si="5"/>
        <v>0</v>
      </c>
      <c r="W4227" s="168">
        <f t="shared" si="6"/>
        <v>0</v>
      </c>
      <c r="X4227" s="168">
        <f t="shared" si="7"/>
        <v>0</v>
      </c>
      <c r="Y4227" s="168">
        <f t="shared" si="8"/>
        <v>0</v>
      </c>
      <c r="Z4227" s="168">
        <f t="shared" si="9"/>
        <v>0</v>
      </c>
    </row>
    <row r="4228" ht="15.0" customHeight="1">
      <c r="A4228" s="157" t="s">
        <v>5349</v>
      </c>
      <c r="B4228" s="158" t="s">
        <v>40</v>
      </c>
      <c r="C4228" s="158" t="s">
        <v>5330</v>
      </c>
      <c r="D4228" s="159">
        <v>45160.0</v>
      </c>
      <c r="E4228" s="157" t="s">
        <v>731</v>
      </c>
      <c r="F4228" s="160">
        <v>11522.58</v>
      </c>
      <c r="G4228" s="160">
        <f>'FACP$'!$F4228*0.16</f>
        <v>1843.6128</v>
      </c>
      <c r="H4228" s="160">
        <f t="shared" si="124"/>
        <v>13366.1928</v>
      </c>
      <c r="I4228" s="160"/>
      <c r="J4228" s="161"/>
      <c r="K4228" s="160"/>
      <c r="L4228" s="160">
        <f>+'FACP$'!$H4228-'FACP$'!$I4228-'FACP$'!$K4228</f>
        <v>13366.1928</v>
      </c>
      <c r="M4228" s="162" t="s">
        <v>490</v>
      </c>
      <c r="N4228" s="162" t="s">
        <v>554</v>
      </c>
      <c r="O4228" s="164">
        <v>45189.0</v>
      </c>
      <c r="P4228" s="164">
        <f t="array" ref="P4228">XLOOKUP('FACP$'!$B4228,'perfil de pagos'!$A$4:$A$46,'perfil de pagos'!$B$4:$B$46+'FACP$'!$D4228)</f>
        <v>45190</v>
      </c>
      <c r="Q4228" s="165">
        <f t="shared" si="2"/>
        <v>0</v>
      </c>
      <c r="R4228" s="167"/>
      <c r="S4228" s="167">
        <v>2432.0</v>
      </c>
      <c r="T4228" s="168">
        <f t="shared" si="3"/>
        <v>13366.1928</v>
      </c>
      <c r="U4228" s="168">
        <f t="shared" si="4"/>
        <v>0</v>
      </c>
      <c r="V4228" s="168">
        <f t="shared" si="5"/>
        <v>0</v>
      </c>
      <c r="W4228" s="168">
        <f t="shared" si="6"/>
        <v>0</v>
      </c>
      <c r="X4228" s="168">
        <f t="shared" si="7"/>
        <v>0</v>
      </c>
      <c r="Y4228" s="168">
        <f t="shared" si="8"/>
        <v>0</v>
      </c>
      <c r="Z4228" s="168">
        <f t="shared" si="9"/>
        <v>0</v>
      </c>
    </row>
    <row r="4229" ht="15.0" customHeight="1">
      <c r="A4229" s="157" t="s">
        <v>5350</v>
      </c>
      <c r="B4229" s="158" t="s">
        <v>31</v>
      </c>
      <c r="C4229" s="158" t="s">
        <v>5351</v>
      </c>
      <c r="D4229" s="159">
        <v>45163.0</v>
      </c>
      <c r="E4229" s="157" t="s">
        <v>731</v>
      </c>
      <c r="F4229" s="160">
        <v>19545.75</v>
      </c>
      <c r="G4229" s="160">
        <f>'FACP$'!$F4229*0.16</f>
        <v>3127.32</v>
      </c>
      <c r="H4229" s="160">
        <f t="shared" si="124"/>
        <v>22673.07</v>
      </c>
      <c r="I4229" s="160">
        <v>1816.6</v>
      </c>
      <c r="J4229" s="161"/>
      <c r="K4229" s="160"/>
      <c r="L4229" s="160">
        <f>+'FACP$'!$H4229-'FACP$'!$I4229-'FACP$'!$K4229</f>
        <v>20856.47</v>
      </c>
      <c r="M4229" s="162" t="s">
        <v>3183</v>
      </c>
      <c r="N4229" s="162" t="s">
        <v>554</v>
      </c>
      <c r="O4229" s="164">
        <v>45163.0</v>
      </c>
      <c r="P4229" s="164">
        <f t="array" ref="P4229">XLOOKUP('FACP$'!$B4229,'perfil de pagos'!$A$4:$A$46,'perfil de pagos'!$B$4:$B$46+'FACP$'!$D4229)</f>
        <v>45166</v>
      </c>
      <c r="Q4229" s="165">
        <f t="shared" si="2"/>
        <v>0</v>
      </c>
      <c r="R4229" s="220" t="s">
        <v>5352</v>
      </c>
      <c r="S4229" s="167"/>
      <c r="T4229" s="168">
        <f t="shared" si="3"/>
        <v>20856.47</v>
      </c>
      <c r="U4229" s="168">
        <f t="shared" si="4"/>
        <v>0</v>
      </c>
      <c r="V4229" s="168">
        <f t="shared" si="5"/>
        <v>0</v>
      </c>
      <c r="W4229" s="168">
        <f t="shared" si="6"/>
        <v>0</v>
      </c>
      <c r="X4229" s="168">
        <f t="shared" si="7"/>
        <v>0</v>
      </c>
      <c r="Y4229" s="168">
        <f t="shared" si="8"/>
        <v>0</v>
      </c>
      <c r="Z4229" s="168">
        <f t="shared" si="9"/>
        <v>0</v>
      </c>
    </row>
    <row r="4230" ht="15.0" customHeight="1">
      <c r="A4230" s="157" t="s">
        <v>5353</v>
      </c>
      <c r="B4230" s="158" t="s">
        <v>27</v>
      </c>
      <c r="C4230" s="158" t="s">
        <v>5354</v>
      </c>
      <c r="D4230" s="159">
        <v>45169.0</v>
      </c>
      <c r="E4230" s="157" t="s">
        <v>731</v>
      </c>
      <c r="F4230" s="160">
        <v>180088.59</v>
      </c>
      <c r="G4230" s="160">
        <f>'FACP$'!$F4230*0.16</f>
        <v>28814.1744</v>
      </c>
      <c r="H4230" s="160">
        <f t="shared" si="124"/>
        <v>208902.7644</v>
      </c>
      <c r="I4230" s="160"/>
      <c r="J4230" s="161">
        <f>+'NCP$'!A252</f>
        <v>339</v>
      </c>
      <c r="K4230" s="160">
        <f>+'NCP$'!H252</f>
        <v>1106.6632</v>
      </c>
      <c r="L4230" s="160">
        <f>+'FACP$'!$H4230-'FACP$'!$I4230-'FACP$'!$K4230</f>
        <v>207796.1012</v>
      </c>
      <c r="M4230" s="162" t="s">
        <v>158</v>
      </c>
      <c r="N4230" s="162" t="s">
        <v>554</v>
      </c>
      <c r="O4230" s="164">
        <v>45191.0</v>
      </c>
      <c r="P4230" s="164">
        <f t="array" ref="P4230">XLOOKUP('FACP$'!$B4230,'perfil de pagos'!$A$4:$A$46,'perfil de pagos'!$B$4:$B$46+'FACP$'!$D4230)</f>
        <v>45199</v>
      </c>
      <c r="Q4230" s="165">
        <f t="shared" si="2"/>
        <v>0</v>
      </c>
      <c r="R4230" s="167"/>
      <c r="S4230" s="167">
        <v>2437.0</v>
      </c>
      <c r="T4230" s="168">
        <f t="shared" si="3"/>
        <v>207796.1012</v>
      </c>
      <c r="U4230" s="168">
        <f t="shared" si="4"/>
        <v>0</v>
      </c>
      <c r="V4230" s="168">
        <f t="shared" si="5"/>
        <v>0</v>
      </c>
      <c r="W4230" s="168">
        <f t="shared" si="6"/>
        <v>0</v>
      </c>
      <c r="X4230" s="168">
        <f t="shared" si="7"/>
        <v>0</v>
      </c>
      <c r="Y4230" s="168">
        <f t="shared" si="8"/>
        <v>0</v>
      </c>
      <c r="Z4230" s="168">
        <f t="shared" si="9"/>
        <v>0</v>
      </c>
    </row>
    <row r="4231" ht="15.0" customHeight="1">
      <c r="A4231" s="157" t="s">
        <v>5355</v>
      </c>
      <c r="B4231" s="158" t="s">
        <v>27</v>
      </c>
      <c r="C4231" s="158" t="s">
        <v>5356</v>
      </c>
      <c r="D4231" s="159">
        <v>45169.0</v>
      </c>
      <c r="E4231" s="157" t="s">
        <v>731</v>
      </c>
      <c r="F4231" s="160">
        <v>155695.23</v>
      </c>
      <c r="G4231" s="160">
        <f>'FACP$'!$F4231*0.16</f>
        <v>24911.2368</v>
      </c>
      <c r="H4231" s="160">
        <f t="shared" si="124"/>
        <v>180606.4668</v>
      </c>
      <c r="I4231" s="160"/>
      <c r="J4231" s="161">
        <f>+'NCP$'!A253</f>
        <v>340</v>
      </c>
      <c r="K4231" s="160">
        <f>+'NCP$'!H253</f>
        <v>831.1284</v>
      </c>
      <c r="L4231" s="160">
        <f>+'FACP$'!$H4231-'FACP$'!$I4231-'FACP$'!$K4231</f>
        <v>179775.3384</v>
      </c>
      <c r="M4231" s="162" t="s">
        <v>158</v>
      </c>
      <c r="N4231" s="162" t="s">
        <v>554</v>
      </c>
      <c r="O4231" s="164">
        <v>45209.0</v>
      </c>
      <c r="P4231" s="164">
        <f t="array" ref="P4231">XLOOKUP('FACP$'!$B4231,'perfil de pagos'!$A$4:$A$46,'perfil de pagos'!$B$4:$B$46+'FACP$'!$D4231)</f>
        <v>45199</v>
      </c>
      <c r="Q4231" s="165">
        <f t="shared" si="2"/>
        <v>0</v>
      </c>
      <c r="R4231" s="167"/>
      <c r="S4231" s="167">
        <v>2487.0</v>
      </c>
      <c r="T4231" s="168">
        <f t="shared" si="3"/>
        <v>179775.3384</v>
      </c>
      <c r="U4231" s="168">
        <f t="shared" si="4"/>
        <v>0</v>
      </c>
      <c r="V4231" s="168">
        <f t="shared" si="5"/>
        <v>0</v>
      </c>
      <c r="W4231" s="168">
        <f t="shared" si="6"/>
        <v>0</v>
      </c>
      <c r="X4231" s="168">
        <f t="shared" si="7"/>
        <v>0</v>
      </c>
      <c r="Y4231" s="168">
        <f t="shared" si="8"/>
        <v>0</v>
      </c>
      <c r="Z4231" s="168">
        <f t="shared" si="9"/>
        <v>0</v>
      </c>
    </row>
    <row r="4232" ht="15.0" customHeight="1">
      <c r="A4232" s="157" t="s">
        <v>5357</v>
      </c>
      <c r="B4232" s="158" t="s">
        <v>27</v>
      </c>
      <c r="C4232" s="158" t="s">
        <v>5354</v>
      </c>
      <c r="D4232" s="159">
        <v>45169.0</v>
      </c>
      <c r="E4232" s="157" t="s">
        <v>731</v>
      </c>
      <c r="F4232" s="160">
        <v>344505.14</v>
      </c>
      <c r="G4232" s="160">
        <f>'FACP$'!$F4232*0.16</f>
        <v>55120.8224</v>
      </c>
      <c r="H4232" s="160">
        <f t="shared" si="124"/>
        <v>399625.9624</v>
      </c>
      <c r="I4232" s="160"/>
      <c r="J4232" s="161"/>
      <c r="K4232" s="160"/>
      <c r="L4232" s="160">
        <f>+'FACP$'!$H4232-'FACP$'!$I4232-'FACP$'!$K4232</f>
        <v>399625.9624</v>
      </c>
      <c r="M4232" s="162" t="s">
        <v>151</v>
      </c>
      <c r="N4232" s="162" t="s">
        <v>554</v>
      </c>
      <c r="O4232" s="164">
        <v>45191.0</v>
      </c>
      <c r="P4232" s="164">
        <f t="array" ref="P4232">XLOOKUP('FACP$'!$B4232,'perfil de pagos'!$A$4:$A$46,'perfil de pagos'!$B$4:$B$46+'FACP$'!$D4232)</f>
        <v>45199</v>
      </c>
      <c r="Q4232" s="165">
        <f t="shared" si="2"/>
        <v>0</v>
      </c>
      <c r="R4232" s="167"/>
      <c r="S4232" s="167">
        <v>2436.0</v>
      </c>
      <c r="T4232" s="168">
        <f t="shared" si="3"/>
        <v>399625.9624</v>
      </c>
      <c r="U4232" s="168">
        <f t="shared" si="4"/>
        <v>0</v>
      </c>
      <c r="V4232" s="168">
        <f t="shared" si="5"/>
        <v>0</v>
      </c>
      <c r="W4232" s="168">
        <f t="shared" si="6"/>
        <v>0</v>
      </c>
      <c r="X4232" s="168">
        <f t="shared" si="7"/>
        <v>0</v>
      </c>
      <c r="Y4232" s="168">
        <f t="shared" si="8"/>
        <v>0</v>
      </c>
      <c r="Z4232" s="168">
        <f t="shared" si="9"/>
        <v>0</v>
      </c>
    </row>
    <row r="4233" ht="15.0" customHeight="1">
      <c r="A4233" s="157" t="s">
        <v>5358</v>
      </c>
      <c r="B4233" s="158" t="s">
        <v>27</v>
      </c>
      <c r="C4233" s="158" t="s">
        <v>5356</v>
      </c>
      <c r="D4233" s="159">
        <v>45169.0</v>
      </c>
      <c r="E4233" s="157" t="s">
        <v>731</v>
      </c>
      <c r="F4233" s="160">
        <v>275607.34</v>
      </c>
      <c r="G4233" s="160">
        <f>'FACP$'!$F4233*0.16</f>
        <v>44097.1744</v>
      </c>
      <c r="H4233" s="160">
        <f t="shared" si="124"/>
        <v>319704.5144</v>
      </c>
      <c r="I4233" s="160"/>
      <c r="J4233" s="161"/>
      <c r="K4233" s="160"/>
      <c r="L4233" s="160">
        <f>+'FACP$'!$H4233-'FACP$'!$I4233-'FACP$'!$K4233</f>
        <v>319704.5144</v>
      </c>
      <c r="M4233" s="162" t="s">
        <v>151</v>
      </c>
      <c r="N4233" s="162" t="s">
        <v>554</v>
      </c>
      <c r="O4233" s="164">
        <v>45209.0</v>
      </c>
      <c r="P4233" s="164">
        <f t="array" ref="P4233">XLOOKUP('FACP$'!$B4233,'perfil de pagos'!$A$4:$A$46,'perfil de pagos'!$B$4:$B$46+'FACP$'!$D4233)</f>
        <v>45199</v>
      </c>
      <c r="Q4233" s="165">
        <f t="shared" si="2"/>
        <v>0</v>
      </c>
      <c r="R4233" s="167"/>
      <c r="S4233" s="167">
        <v>2488.0</v>
      </c>
      <c r="T4233" s="168">
        <f t="shared" si="3"/>
        <v>319704.5144</v>
      </c>
      <c r="U4233" s="168">
        <f t="shared" si="4"/>
        <v>0</v>
      </c>
      <c r="V4233" s="168">
        <f t="shared" si="5"/>
        <v>0</v>
      </c>
      <c r="W4233" s="168">
        <f t="shared" si="6"/>
        <v>0</v>
      </c>
      <c r="X4233" s="168">
        <f t="shared" si="7"/>
        <v>0</v>
      </c>
      <c r="Y4233" s="168">
        <f t="shared" si="8"/>
        <v>0</v>
      </c>
      <c r="Z4233" s="168">
        <f t="shared" si="9"/>
        <v>0</v>
      </c>
    </row>
    <row r="4234" ht="15.0" customHeight="1">
      <c r="A4234" s="157" t="s">
        <v>5359</v>
      </c>
      <c r="B4234" s="158" t="s">
        <v>27</v>
      </c>
      <c r="C4234" s="158" t="s">
        <v>5360</v>
      </c>
      <c r="D4234" s="159">
        <v>45169.0</v>
      </c>
      <c r="E4234" s="157" t="s">
        <v>731</v>
      </c>
      <c r="F4234" s="160">
        <v>13196.79</v>
      </c>
      <c r="G4234" s="160">
        <f>'FACP$'!$F4234*0.16</f>
        <v>2111.4864</v>
      </c>
      <c r="H4234" s="160">
        <f t="shared" si="124"/>
        <v>15308.2764</v>
      </c>
      <c r="I4234" s="160"/>
      <c r="J4234" s="161"/>
      <c r="K4234" s="160"/>
      <c r="L4234" s="160">
        <f>+'FACP$'!$H4234-'FACP$'!$I4234-'FACP$'!$K4234</f>
        <v>15308.2764</v>
      </c>
      <c r="M4234" s="162" t="s">
        <v>151</v>
      </c>
      <c r="N4234" s="162" t="s">
        <v>554</v>
      </c>
      <c r="O4234" s="164">
        <v>45191.0</v>
      </c>
      <c r="P4234" s="164">
        <f t="array" ref="P4234">XLOOKUP('FACP$'!$B4234,'perfil de pagos'!$A$4:$A$46,'perfil de pagos'!$B$4:$B$46+'FACP$'!$D4234)</f>
        <v>45199</v>
      </c>
      <c r="Q4234" s="165">
        <f t="shared" si="2"/>
        <v>0</v>
      </c>
      <c r="R4234" s="167"/>
      <c r="S4234" s="167">
        <v>2436.0</v>
      </c>
      <c r="T4234" s="168">
        <f t="shared" si="3"/>
        <v>15308.2764</v>
      </c>
      <c r="U4234" s="168">
        <f t="shared" si="4"/>
        <v>0</v>
      </c>
      <c r="V4234" s="168">
        <f t="shared" si="5"/>
        <v>0</v>
      </c>
      <c r="W4234" s="168">
        <f t="shared" si="6"/>
        <v>0</v>
      </c>
      <c r="X4234" s="168">
        <f t="shared" si="7"/>
        <v>0</v>
      </c>
      <c r="Y4234" s="168">
        <f t="shared" si="8"/>
        <v>0</v>
      </c>
      <c r="Z4234" s="168">
        <f t="shared" si="9"/>
        <v>0</v>
      </c>
    </row>
    <row r="4235" ht="15.0" customHeight="1">
      <c r="A4235" s="157" t="s">
        <v>5361</v>
      </c>
      <c r="B4235" s="158" t="s">
        <v>27</v>
      </c>
      <c r="C4235" s="158" t="s">
        <v>5362</v>
      </c>
      <c r="D4235" s="159">
        <v>45169.0</v>
      </c>
      <c r="E4235" s="157" t="s">
        <v>731</v>
      </c>
      <c r="F4235" s="160">
        <v>15411.68</v>
      </c>
      <c r="G4235" s="160">
        <f>'FACP$'!$F4235*0.16</f>
        <v>2465.8688</v>
      </c>
      <c r="H4235" s="160">
        <f t="shared" si="124"/>
        <v>17877.5488</v>
      </c>
      <c r="I4235" s="160"/>
      <c r="J4235" s="161"/>
      <c r="K4235" s="160"/>
      <c r="L4235" s="160">
        <f>+'FACP$'!$H4235-'FACP$'!$I4235-'FACP$'!$K4235</f>
        <v>17877.5488</v>
      </c>
      <c r="M4235" s="162" t="s">
        <v>151</v>
      </c>
      <c r="N4235" s="162" t="s">
        <v>554</v>
      </c>
      <c r="O4235" s="164">
        <v>45209.0</v>
      </c>
      <c r="P4235" s="164">
        <f t="array" ref="P4235">XLOOKUP('FACP$'!$B4235,'perfil de pagos'!$A$4:$A$46,'perfil de pagos'!$B$4:$B$46+'FACP$'!$D4235)</f>
        <v>45199</v>
      </c>
      <c r="Q4235" s="165">
        <f t="shared" si="2"/>
        <v>0</v>
      </c>
      <c r="R4235" s="167"/>
      <c r="S4235" s="167">
        <v>2488.0</v>
      </c>
      <c r="T4235" s="168">
        <f t="shared" si="3"/>
        <v>17877.5488</v>
      </c>
      <c r="U4235" s="168">
        <f t="shared" si="4"/>
        <v>0</v>
      </c>
      <c r="V4235" s="168">
        <f t="shared" si="5"/>
        <v>0</v>
      </c>
      <c r="W4235" s="168">
        <f t="shared" si="6"/>
        <v>0</v>
      </c>
      <c r="X4235" s="168">
        <f t="shared" si="7"/>
        <v>0</v>
      </c>
      <c r="Y4235" s="168">
        <f t="shared" si="8"/>
        <v>0</v>
      </c>
      <c r="Z4235" s="168">
        <f t="shared" si="9"/>
        <v>0</v>
      </c>
    </row>
    <row r="4236" ht="15.0" customHeight="1">
      <c r="A4236" s="157" t="s">
        <v>5363</v>
      </c>
      <c r="B4236" s="158" t="s">
        <v>31</v>
      </c>
      <c r="C4236" s="158" t="s">
        <v>5364</v>
      </c>
      <c r="D4236" s="159">
        <v>45169.0</v>
      </c>
      <c r="E4236" s="157" t="s">
        <v>731</v>
      </c>
      <c r="F4236" s="160"/>
      <c r="G4236" s="160">
        <f>'FACP$'!$F4236*0.16</f>
        <v>0</v>
      </c>
      <c r="H4236" s="160">
        <f t="shared" si="124"/>
        <v>0</v>
      </c>
      <c r="I4236" s="160"/>
      <c r="J4236" s="161"/>
      <c r="K4236" s="160"/>
      <c r="L4236" s="160">
        <f>+'FACP$'!$H4236-'FACP$'!$I4236-'FACP$'!$K4236</f>
        <v>0</v>
      </c>
      <c r="M4236" s="162"/>
      <c r="N4236" s="162" t="s">
        <v>127</v>
      </c>
      <c r="O4236" s="164"/>
      <c r="P4236" s="164">
        <f t="array" ref="P4236">XLOOKUP('FACP$'!$B4236,'perfil de pagos'!$A$4:$A$46,'perfil de pagos'!$B$4:$B$46+'FACP$'!$D4236)</f>
        <v>45172</v>
      </c>
      <c r="Q4236" s="165">
        <f t="shared" si="2"/>
        <v>0</v>
      </c>
      <c r="R4236" s="220" t="s">
        <v>448</v>
      </c>
      <c r="S4236" s="167"/>
      <c r="T4236" s="168">
        <f t="shared" si="3"/>
        <v>0</v>
      </c>
      <c r="U4236" s="168">
        <f t="shared" si="4"/>
        <v>0</v>
      </c>
      <c r="V4236" s="168">
        <f t="shared" si="5"/>
        <v>0</v>
      </c>
      <c r="W4236" s="168">
        <f t="shared" si="6"/>
        <v>0</v>
      </c>
      <c r="X4236" s="168">
        <f t="shared" si="7"/>
        <v>0</v>
      </c>
      <c r="Y4236" s="168">
        <f t="shared" si="8"/>
        <v>0</v>
      </c>
      <c r="Z4236" s="168">
        <f t="shared" si="9"/>
        <v>0</v>
      </c>
    </row>
    <row r="4237" ht="15.0" customHeight="1">
      <c r="A4237" s="157" t="s">
        <v>5365</v>
      </c>
      <c r="B4237" s="158" t="s">
        <v>31</v>
      </c>
      <c r="C4237" s="158" t="s">
        <v>5364</v>
      </c>
      <c r="D4237" s="159">
        <v>45169.0</v>
      </c>
      <c r="E4237" s="157" t="s">
        <v>731</v>
      </c>
      <c r="F4237" s="160">
        <v>18206.34</v>
      </c>
      <c r="G4237" s="160">
        <f>'FACP$'!$F4237*0.16</f>
        <v>2913.0144</v>
      </c>
      <c r="H4237" s="160">
        <f t="shared" si="124"/>
        <v>21119.3544</v>
      </c>
      <c r="I4237" s="160"/>
      <c r="J4237" s="161"/>
      <c r="K4237" s="160"/>
      <c r="L4237" s="160">
        <f>+'FACP$'!$H4237-'FACP$'!$I4237-'FACP$'!$K4237</f>
        <v>21119.3544</v>
      </c>
      <c r="M4237" s="162" t="s">
        <v>3183</v>
      </c>
      <c r="N4237" s="162" t="s">
        <v>554</v>
      </c>
      <c r="O4237" s="164">
        <v>45167.0</v>
      </c>
      <c r="P4237" s="164">
        <f t="array" ref="P4237">XLOOKUP('FACP$'!$B4237,'perfil de pagos'!$A$4:$A$46,'perfil de pagos'!$B$4:$B$46+'FACP$'!$D4237)</f>
        <v>45172</v>
      </c>
      <c r="Q4237" s="165">
        <f t="shared" si="2"/>
        <v>0</v>
      </c>
      <c r="R4237" s="167"/>
      <c r="S4237" s="167"/>
      <c r="T4237" s="168">
        <f t="shared" si="3"/>
        <v>21119.3544</v>
      </c>
      <c r="U4237" s="168">
        <f t="shared" si="4"/>
        <v>0</v>
      </c>
      <c r="V4237" s="168">
        <f t="shared" si="5"/>
        <v>0</v>
      </c>
      <c r="W4237" s="168">
        <f t="shared" si="6"/>
        <v>0</v>
      </c>
      <c r="X4237" s="168">
        <f t="shared" si="7"/>
        <v>0</v>
      </c>
      <c r="Y4237" s="168">
        <f t="shared" si="8"/>
        <v>0</v>
      </c>
      <c r="Z4237" s="168">
        <f t="shared" si="9"/>
        <v>0</v>
      </c>
    </row>
    <row r="4238" ht="15.0" customHeight="1">
      <c r="A4238" s="157" t="s">
        <v>5366</v>
      </c>
      <c r="B4238" s="158" t="s">
        <v>35</v>
      </c>
      <c r="C4238" s="158" t="s">
        <v>5245</v>
      </c>
      <c r="D4238" s="159">
        <v>45174.0</v>
      </c>
      <c r="E4238" s="157" t="s">
        <v>731</v>
      </c>
      <c r="F4238" s="160">
        <v>28377.84</v>
      </c>
      <c r="G4238" s="160">
        <f>'FACP$'!$F4238*0.16</f>
        <v>4540.4544</v>
      </c>
      <c r="H4238" s="160">
        <f t="shared" si="124"/>
        <v>32918.2944</v>
      </c>
      <c r="I4238" s="160"/>
      <c r="J4238" s="161"/>
      <c r="K4238" s="160"/>
      <c r="L4238" s="160">
        <f>+'FACP$'!$H4238-'FACP$'!$I4238-'FACP$'!$K4238</f>
        <v>32918.2944</v>
      </c>
      <c r="M4238" s="162" t="s">
        <v>276</v>
      </c>
      <c r="N4238" s="162" t="s">
        <v>554</v>
      </c>
      <c r="O4238" s="164">
        <v>45397.0</v>
      </c>
      <c r="P4238" s="164">
        <f t="array" ref="P4238">XLOOKUP('FACP$'!$B4238,'perfil de pagos'!$A$4:$A$46,'perfil de pagos'!$B$4:$B$46+'FACP$'!$D4238)</f>
        <v>45184</v>
      </c>
      <c r="Q4238" s="165">
        <f t="shared" si="2"/>
        <v>0</v>
      </c>
      <c r="R4238" s="167"/>
      <c r="S4238" s="167">
        <v>2934.0</v>
      </c>
      <c r="T4238" s="168">
        <f t="shared" si="3"/>
        <v>32918.2944</v>
      </c>
      <c r="U4238" s="168">
        <f t="shared" si="4"/>
        <v>0</v>
      </c>
      <c r="V4238" s="168">
        <f t="shared" si="5"/>
        <v>0</v>
      </c>
      <c r="W4238" s="168">
        <f t="shared" si="6"/>
        <v>0</v>
      </c>
      <c r="X4238" s="168">
        <f t="shared" si="7"/>
        <v>0</v>
      </c>
      <c r="Y4238" s="168">
        <f t="shared" si="8"/>
        <v>0</v>
      </c>
      <c r="Z4238" s="168">
        <f t="shared" si="9"/>
        <v>0</v>
      </c>
    </row>
    <row r="4239" ht="15.0" customHeight="1">
      <c r="A4239" s="157" t="s">
        <v>5367</v>
      </c>
      <c r="B4239" s="158" t="s">
        <v>15</v>
      </c>
      <c r="C4239" s="158" t="s">
        <v>5368</v>
      </c>
      <c r="D4239" s="159">
        <v>45174.0</v>
      </c>
      <c r="E4239" s="157" t="s">
        <v>731</v>
      </c>
      <c r="F4239" s="160">
        <v>425752.38</v>
      </c>
      <c r="G4239" s="160">
        <f>'FACP$'!$F4239*0.16</f>
        <v>68120.3808</v>
      </c>
      <c r="H4239" s="160">
        <f t="shared" si="124"/>
        <v>493872.7608</v>
      </c>
      <c r="I4239" s="160"/>
      <c r="J4239" s="161"/>
      <c r="K4239" s="160"/>
      <c r="L4239" s="160">
        <f>+'FACP$'!$H4239-'FACP$'!$I4239-'FACP$'!$K4239</f>
        <v>493872.7608</v>
      </c>
      <c r="M4239" s="162" t="s">
        <v>443</v>
      </c>
      <c r="N4239" s="162" t="s">
        <v>554</v>
      </c>
      <c r="O4239" s="164">
        <v>45197.0</v>
      </c>
      <c r="P4239" s="164">
        <f t="array" ref="P4239">XLOOKUP('FACP$'!$B4239,'perfil de pagos'!$A$4:$A$46,'perfil de pagos'!$B$4:$B$46+'FACP$'!$D4239)</f>
        <v>45184</v>
      </c>
      <c r="Q4239" s="165">
        <f t="shared" si="2"/>
        <v>0</v>
      </c>
      <c r="R4239" s="167"/>
      <c r="S4239" s="167">
        <v>2467.0</v>
      </c>
      <c r="T4239" s="168">
        <f t="shared" si="3"/>
        <v>493872.7608</v>
      </c>
      <c r="U4239" s="168">
        <f t="shared" si="4"/>
        <v>0</v>
      </c>
      <c r="V4239" s="168">
        <f t="shared" si="5"/>
        <v>0</v>
      </c>
      <c r="W4239" s="168">
        <f t="shared" si="6"/>
        <v>0</v>
      </c>
      <c r="X4239" s="168">
        <f t="shared" si="7"/>
        <v>0</v>
      </c>
      <c r="Y4239" s="168">
        <f t="shared" si="8"/>
        <v>0</v>
      </c>
      <c r="Z4239" s="168">
        <f t="shared" si="9"/>
        <v>0</v>
      </c>
    </row>
    <row r="4240" ht="15.0" customHeight="1">
      <c r="A4240" s="157" t="s">
        <v>5369</v>
      </c>
      <c r="B4240" s="158" t="s">
        <v>35</v>
      </c>
      <c r="C4240" s="158" t="s">
        <v>5368</v>
      </c>
      <c r="D4240" s="159">
        <v>45174.0</v>
      </c>
      <c r="E4240" s="157" t="s">
        <v>731</v>
      </c>
      <c r="F4240" s="160">
        <v>15567.72</v>
      </c>
      <c r="G4240" s="160">
        <f>'FACP$'!$F4240*0.16</f>
        <v>2490.8352</v>
      </c>
      <c r="H4240" s="160">
        <f t="shared" si="124"/>
        <v>18058.5552</v>
      </c>
      <c r="I4240" s="160"/>
      <c r="J4240" s="161"/>
      <c r="K4240" s="160"/>
      <c r="L4240" s="160">
        <f>+'FACP$'!$H4240-'FACP$'!$I4240-'FACP$'!$K4240</f>
        <v>18058.5552</v>
      </c>
      <c r="M4240" s="162" t="s">
        <v>276</v>
      </c>
      <c r="N4240" s="162" t="s">
        <v>554</v>
      </c>
      <c r="O4240" s="164">
        <v>45184.0</v>
      </c>
      <c r="P4240" s="164">
        <f t="array" ref="P4240">XLOOKUP('FACP$'!$B4240,'perfil de pagos'!$A$4:$A$46,'perfil de pagos'!$B$4:$B$46+'FACP$'!$D4240)</f>
        <v>45184</v>
      </c>
      <c r="Q4240" s="165">
        <f t="shared" si="2"/>
        <v>0</v>
      </c>
      <c r="R4240" s="167"/>
      <c r="S4240" s="167">
        <v>2418.0</v>
      </c>
      <c r="T4240" s="168">
        <f t="shared" si="3"/>
        <v>18058.5552</v>
      </c>
      <c r="U4240" s="168">
        <f t="shared" si="4"/>
        <v>0</v>
      </c>
      <c r="V4240" s="168">
        <f t="shared" si="5"/>
        <v>0</v>
      </c>
      <c r="W4240" s="168">
        <f t="shared" si="6"/>
        <v>0</v>
      </c>
      <c r="X4240" s="168">
        <f t="shared" si="7"/>
        <v>0</v>
      </c>
      <c r="Y4240" s="168">
        <f t="shared" si="8"/>
        <v>0</v>
      </c>
      <c r="Z4240" s="168">
        <f t="shared" si="9"/>
        <v>0</v>
      </c>
    </row>
    <row r="4241" ht="15.0" customHeight="1">
      <c r="A4241" s="157" t="s">
        <v>5370</v>
      </c>
      <c r="B4241" s="158" t="s">
        <v>38</v>
      </c>
      <c r="C4241" s="158" t="s">
        <v>5368</v>
      </c>
      <c r="D4241" s="159">
        <v>45174.0</v>
      </c>
      <c r="E4241" s="157" t="s">
        <v>731</v>
      </c>
      <c r="F4241" s="160">
        <v>114982.53</v>
      </c>
      <c r="G4241" s="160">
        <f>'FACP$'!$F4241*0.16</f>
        <v>18397.2048</v>
      </c>
      <c r="H4241" s="160">
        <f t="shared" si="124"/>
        <v>133379.7348</v>
      </c>
      <c r="I4241" s="160"/>
      <c r="J4241" s="161"/>
      <c r="K4241" s="160"/>
      <c r="L4241" s="160">
        <f>+'FACP$'!$H4241-'FACP$'!$I4241-'FACP$'!$K4241</f>
        <v>133379.7348</v>
      </c>
      <c r="M4241" s="162" t="s">
        <v>4707</v>
      </c>
      <c r="N4241" s="162" t="s">
        <v>554</v>
      </c>
      <c r="O4241" s="164">
        <v>45217.0</v>
      </c>
      <c r="P4241" s="164">
        <f t="array" ref="P4241">XLOOKUP('FACP$'!$B4241,'perfil de pagos'!$A$4:$A$46,'perfil de pagos'!$B$4:$B$46+'FACP$'!$D4241)</f>
        <v>45204</v>
      </c>
      <c r="Q4241" s="165">
        <f t="shared" si="2"/>
        <v>0</v>
      </c>
      <c r="R4241" s="167"/>
      <c r="S4241" s="167">
        <v>2506.0</v>
      </c>
      <c r="T4241" s="168">
        <f t="shared" si="3"/>
        <v>133379.7348</v>
      </c>
      <c r="U4241" s="168">
        <f t="shared" si="4"/>
        <v>0</v>
      </c>
      <c r="V4241" s="168">
        <f t="shared" si="5"/>
        <v>0</v>
      </c>
      <c r="W4241" s="168">
        <f t="shared" si="6"/>
        <v>0</v>
      </c>
      <c r="X4241" s="168">
        <f t="shared" si="7"/>
        <v>0</v>
      </c>
      <c r="Y4241" s="168">
        <f t="shared" si="8"/>
        <v>0</v>
      </c>
      <c r="Z4241" s="168">
        <f t="shared" si="9"/>
        <v>0</v>
      </c>
    </row>
    <row r="4242" ht="15.0" customHeight="1">
      <c r="A4242" s="157" t="s">
        <v>5371</v>
      </c>
      <c r="B4242" s="158" t="s">
        <v>38</v>
      </c>
      <c r="C4242" s="158" t="s">
        <v>5372</v>
      </c>
      <c r="D4242" s="159">
        <v>45174.0</v>
      </c>
      <c r="E4242" s="157" t="s">
        <v>731</v>
      </c>
      <c r="F4242" s="160">
        <v>164045.34</v>
      </c>
      <c r="G4242" s="160">
        <f>'FACP$'!$F4242*0.16</f>
        <v>26247.2544</v>
      </c>
      <c r="H4242" s="160">
        <f t="shared" si="124"/>
        <v>190292.5944</v>
      </c>
      <c r="I4242" s="160"/>
      <c r="J4242" s="161"/>
      <c r="K4242" s="160"/>
      <c r="L4242" s="160">
        <f>+'FACP$'!$H4242-'FACP$'!$I4242-'FACP$'!$K4242</f>
        <v>190292.5944</v>
      </c>
      <c r="M4242" s="162" t="s">
        <v>4707</v>
      </c>
      <c r="N4242" s="162" t="s">
        <v>554</v>
      </c>
      <c r="O4242" s="164">
        <v>45217.0</v>
      </c>
      <c r="P4242" s="164">
        <f t="array" ref="P4242">XLOOKUP('FACP$'!$B4242,'perfil de pagos'!$A$4:$A$46,'perfil de pagos'!$B$4:$B$46+'FACP$'!$D4242)</f>
        <v>45204</v>
      </c>
      <c r="Q4242" s="165">
        <f t="shared" si="2"/>
        <v>0</v>
      </c>
      <c r="R4242" s="167"/>
      <c r="S4242" s="167">
        <v>2506.0</v>
      </c>
      <c r="T4242" s="168">
        <f t="shared" si="3"/>
        <v>190292.5944</v>
      </c>
      <c r="U4242" s="168">
        <f t="shared" si="4"/>
        <v>0</v>
      </c>
      <c r="V4242" s="168">
        <f t="shared" si="5"/>
        <v>0</v>
      </c>
      <c r="W4242" s="168">
        <f t="shared" si="6"/>
        <v>0</v>
      </c>
      <c r="X4242" s="168">
        <f t="shared" si="7"/>
        <v>0</v>
      </c>
      <c r="Y4242" s="168">
        <f t="shared" si="8"/>
        <v>0</v>
      </c>
      <c r="Z4242" s="168">
        <f t="shared" si="9"/>
        <v>0</v>
      </c>
    </row>
    <row r="4243" ht="15.0" customHeight="1">
      <c r="A4243" s="157" t="s">
        <v>5373</v>
      </c>
      <c r="B4243" s="158" t="s">
        <v>38</v>
      </c>
      <c r="C4243" s="158" t="s">
        <v>5368</v>
      </c>
      <c r="D4243" s="159">
        <v>45174.0</v>
      </c>
      <c r="E4243" s="157" t="s">
        <v>731</v>
      </c>
      <c r="F4243" s="160">
        <v>277533.14</v>
      </c>
      <c r="G4243" s="160">
        <f>'FACP$'!$F4243*0.16</f>
        <v>44405.3024</v>
      </c>
      <c r="H4243" s="160">
        <f t="shared" si="124"/>
        <v>321938.4424</v>
      </c>
      <c r="I4243" s="160"/>
      <c r="J4243" s="161"/>
      <c r="K4243" s="160"/>
      <c r="L4243" s="160">
        <f>+'FACP$'!$H4243-'FACP$'!$I4243-'FACP$'!$K4243</f>
        <v>321938.4424</v>
      </c>
      <c r="M4243" s="162" t="s">
        <v>4654</v>
      </c>
      <c r="N4243" s="162" t="s">
        <v>554</v>
      </c>
      <c r="O4243" s="164">
        <v>45217.0</v>
      </c>
      <c r="P4243" s="164">
        <f t="array" ref="P4243">XLOOKUP('FACP$'!$B4243,'perfil de pagos'!$A$4:$A$46,'perfil de pagos'!$B$4:$B$46+'FACP$'!$D4243)</f>
        <v>45204</v>
      </c>
      <c r="Q4243" s="165">
        <f t="shared" si="2"/>
        <v>0</v>
      </c>
      <c r="R4243" s="167"/>
      <c r="S4243" s="167">
        <v>2506.0</v>
      </c>
      <c r="T4243" s="168">
        <f t="shared" si="3"/>
        <v>321938.4424</v>
      </c>
      <c r="U4243" s="168">
        <f t="shared" si="4"/>
        <v>0</v>
      </c>
      <c r="V4243" s="168">
        <f t="shared" si="5"/>
        <v>0</v>
      </c>
      <c r="W4243" s="168">
        <f t="shared" si="6"/>
        <v>0</v>
      </c>
      <c r="X4243" s="168">
        <f t="shared" si="7"/>
        <v>0</v>
      </c>
      <c r="Y4243" s="168">
        <f t="shared" si="8"/>
        <v>0</v>
      </c>
      <c r="Z4243" s="168">
        <f t="shared" si="9"/>
        <v>0</v>
      </c>
    </row>
    <row r="4244" ht="15.0" customHeight="1">
      <c r="A4244" s="157" t="s">
        <v>5374</v>
      </c>
      <c r="B4244" s="158" t="s">
        <v>41</v>
      </c>
      <c r="C4244" s="158" t="s">
        <v>5368</v>
      </c>
      <c r="D4244" s="159">
        <v>45174.0</v>
      </c>
      <c r="E4244" s="157" t="s">
        <v>731</v>
      </c>
      <c r="F4244" s="160">
        <v>181560.08</v>
      </c>
      <c r="G4244" s="160">
        <f>'FACP$'!$F4244*0.16</f>
        <v>29049.6128</v>
      </c>
      <c r="H4244" s="160">
        <f t="shared" si="124"/>
        <v>210609.6928</v>
      </c>
      <c r="I4244" s="160"/>
      <c r="J4244" s="161"/>
      <c r="K4244" s="160"/>
      <c r="L4244" s="160">
        <f>+'FACP$'!$H4244-'FACP$'!$I4244-'FACP$'!$K4244</f>
        <v>210609.6928</v>
      </c>
      <c r="M4244" s="162" t="s">
        <v>121</v>
      </c>
      <c r="N4244" s="162" t="s">
        <v>554</v>
      </c>
      <c r="O4244" s="164">
        <v>45230.0</v>
      </c>
      <c r="P4244" s="164">
        <f t="array" ref="P4244">XLOOKUP('FACP$'!$B4244,'perfil de pagos'!$A$4:$A$46,'perfil de pagos'!$B$4:$B$46+'FACP$'!$D4244)</f>
        <v>45184</v>
      </c>
      <c r="Q4244" s="165">
        <f t="shared" si="2"/>
        <v>0</v>
      </c>
      <c r="R4244" s="167"/>
      <c r="S4244" s="167">
        <v>2561.0</v>
      </c>
      <c r="T4244" s="168">
        <f t="shared" si="3"/>
        <v>210609.6928</v>
      </c>
      <c r="U4244" s="168">
        <f t="shared" si="4"/>
        <v>0</v>
      </c>
      <c r="V4244" s="168">
        <f t="shared" si="5"/>
        <v>0</v>
      </c>
      <c r="W4244" s="168">
        <f t="shared" si="6"/>
        <v>0</v>
      </c>
      <c r="X4244" s="168">
        <f t="shared" si="7"/>
        <v>0</v>
      </c>
      <c r="Y4244" s="168">
        <f t="shared" si="8"/>
        <v>0</v>
      </c>
      <c r="Z4244" s="168">
        <f t="shared" si="9"/>
        <v>0</v>
      </c>
    </row>
    <row r="4245" ht="15.0" customHeight="1">
      <c r="A4245" s="157" t="s">
        <v>5375</v>
      </c>
      <c r="B4245" s="158" t="s">
        <v>42</v>
      </c>
      <c r="C4245" s="158" t="s">
        <v>5368</v>
      </c>
      <c r="D4245" s="159">
        <v>45174.0</v>
      </c>
      <c r="E4245" s="157" t="s">
        <v>731</v>
      </c>
      <c r="F4245" s="160">
        <v>78041.31</v>
      </c>
      <c r="G4245" s="160">
        <f>'FACP$'!$F4245*0.16</f>
        <v>12486.6096</v>
      </c>
      <c r="H4245" s="160">
        <f t="shared" si="124"/>
        <v>90527.9196</v>
      </c>
      <c r="I4245" s="160"/>
      <c r="J4245" s="161"/>
      <c r="K4245" s="160"/>
      <c r="L4245" s="160">
        <f>+'FACP$'!$H4245-'FACP$'!$I4245-'FACP$'!$K4245</f>
        <v>90527.9196</v>
      </c>
      <c r="M4245" s="162" t="s">
        <v>42</v>
      </c>
      <c r="N4245" s="162" t="s">
        <v>554</v>
      </c>
      <c r="O4245" s="164">
        <v>45190.0</v>
      </c>
      <c r="P4245" s="164">
        <f t="array" ref="P4245">XLOOKUP('FACP$'!$B4245,'perfil de pagos'!$A$4:$A$46,'perfil de pagos'!$B$4:$B$46+'FACP$'!$D4245)</f>
        <v>45184</v>
      </c>
      <c r="Q4245" s="165">
        <f t="shared" si="2"/>
        <v>0</v>
      </c>
      <c r="R4245" s="167"/>
      <c r="S4245" s="167">
        <v>2434.0</v>
      </c>
      <c r="T4245" s="168">
        <f t="shared" si="3"/>
        <v>90527.9196</v>
      </c>
      <c r="U4245" s="168">
        <f t="shared" si="4"/>
        <v>0</v>
      </c>
      <c r="V4245" s="168">
        <f t="shared" si="5"/>
        <v>0</v>
      </c>
      <c r="W4245" s="168">
        <f t="shared" si="6"/>
        <v>0</v>
      </c>
      <c r="X4245" s="168">
        <f t="shared" si="7"/>
        <v>0</v>
      </c>
      <c r="Y4245" s="168">
        <f t="shared" si="8"/>
        <v>0</v>
      </c>
      <c r="Z4245" s="168">
        <f t="shared" si="9"/>
        <v>0</v>
      </c>
    </row>
    <row r="4246" ht="15.0" customHeight="1">
      <c r="A4246" s="157" t="s">
        <v>5376</v>
      </c>
      <c r="B4246" s="158" t="s">
        <v>43</v>
      </c>
      <c r="C4246" s="158" t="s">
        <v>5368</v>
      </c>
      <c r="D4246" s="159">
        <v>45174.0</v>
      </c>
      <c r="E4246" s="157" t="s">
        <v>731</v>
      </c>
      <c r="F4246" s="160">
        <v>412617.86</v>
      </c>
      <c r="G4246" s="160">
        <f>'FACP$'!$F4246*0.16</f>
        <v>66018.8576</v>
      </c>
      <c r="H4246" s="160">
        <f t="shared" si="124"/>
        <v>478636.7176</v>
      </c>
      <c r="I4246" s="160"/>
      <c r="J4246" s="161"/>
      <c r="K4246" s="160"/>
      <c r="L4246" s="160">
        <f>+'FACP$'!$H4246-'FACP$'!$I4246-'FACP$'!$K4246</f>
        <v>478636.7176</v>
      </c>
      <c r="M4246" s="162" t="s">
        <v>43</v>
      </c>
      <c r="N4246" s="162" t="s">
        <v>554</v>
      </c>
      <c r="O4246" s="164">
        <v>45240.0</v>
      </c>
      <c r="P4246" s="164">
        <f t="array" ref="P4246">XLOOKUP('FACP$'!$B4246,'perfil de pagos'!$A$4:$A$46,'perfil de pagos'!$B$4:$B$46+'FACP$'!$D4246)</f>
        <v>45199</v>
      </c>
      <c r="Q4246" s="165">
        <f t="shared" si="2"/>
        <v>0</v>
      </c>
      <c r="R4246" s="167"/>
      <c r="S4246" s="167">
        <v>2575.0</v>
      </c>
      <c r="T4246" s="168">
        <f t="shared" si="3"/>
        <v>478636.7176</v>
      </c>
      <c r="U4246" s="168">
        <f t="shared" si="4"/>
        <v>0</v>
      </c>
      <c r="V4246" s="168">
        <f t="shared" si="5"/>
        <v>0</v>
      </c>
      <c r="W4246" s="168">
        <f t="shared" si="6"/>
        <v>0</v>
      </c>
      <c r="X4246" s="168">
        <f t="shared" si="7"/>
        <v>0</v>
      </c>
      <c r="Y4246" s="168">
        <f t="shared" si="8"/>
        <v>0</v>
      </c>
      <c r="Z4246" s="168">
        <f t="shared" si="9"/>
        <v>0</v>
      </c>
    </row>
    <row r="4247" ht="15.0" customHeight="1">
      <c r="A4247" s="157" t="s">
        <v>5377</v>
      </c>
      <c r="B4247" s="158" t="s">
        <v>44</v>
      </c>
      <c r="C4247" s="158" t="s">
        <v>5368</v>
      </c>
      <c r="D4247" s="159">
        <v>45174.0</v>
      </c>
      <c r="E4247" s="157" t="s">
        <v>731</v>
      </c>
      <c r="F4247" s="160">
        <v>67573.51</v>
      </c>
      <c r="G4247" s="160">
        <f>'FACP$'!$F4247*0.16</f>
        <v>10811.7616</v>
      </c>
      <c r="H4247" s="160">
        <f t="shared" si="124"/>
        <v>78385.2716</v>
      </c>
      <c r="I4247" s="160"/>
      <c r="J4247" s="161"/>
      <c r="K4247" s="160"/>
      <c r="L4247" s="160">
        <f>+'FACP$'!$H4247-'FACP$'!$I4247-'FACP$'!$K4247</f>
        <v>78385.2716</v>
      </c>
      <c r="M4247" s="162" t="s">
        <v>361</v>
      </c>
      <c r="N4247" s="162" t="s">
        <v>554</v>
      </c>
      <c r="O4247" s="164">
        <v>45191.0</v>
      </c>
      <c r="P4247" s="164">
        <f t="array" ref="P4247">XLOOKUP('FACP$'!$B4247,'perfil de pagos'!$A$4:$A$46,'perfil de pagos'!$B$4:$B$46+'FACP$'!$D4247)</f>
        <v>45184</v>
      </c>
      <c r="Q4247" s="165">
        <f t="shared" si="2"/>
        <v>0</v>
      </c>
      <c r="R4247" s="167"/>
      <c r="S4247" s="167">
        <v>2435.0</v>
      </c>
      <c r="T4247" s="168">
        <f t="shared" si="3"/>
        <v>78385.2716</v>
      </c>
      <c r="U4247" s="168">
        <f t="shared" si="4"/>
        <v>0</v>
      </c>
      <c r="V4247" s="168">
        <f t="shared" si="5"/>
        <v>0</v>
      </c>
      <c r="W4247" s="168">
        <f t="shared" si="6"/>
        <v>0</v>
      </c>
      <c r="X4247" s="168">
        <f t="shared" si="7"/>
        <v>0</v>
      </c>
      <c r="Y4247" s="168">
        <f t="shared" si="8"/>
        <v>0</v>
      </c>
      <c r="Z4247" s="168">
        <f t="shared" si="9"/>
        <v>0</v>
      </c>
    </row>
    <row r="4248" ht="15.0" customHeight="1">
      <c r="A4248" s="157" t="s">
        <v>5378</v>
      </c>
      <c r="B4248" s="158" t="s">
        <v>27</v>
      </c>
      <c r="C4248" s="158" t="s">
        <v>5354</v>
      </c>
      <c r="D4248" s="159">
        <v>45175.0</v>
      </c>
      <c r="E4248" s="157" t="s">
        <v>731</v>
      </c>
      <c r="F4248" s="160">
        <v>8901.87</v>
      </c>
      <c r="G4248" s="160">
        <f>'FACP$'!$F4248*0.16</f>
        <v>1424.2992</v>
      </c>
      <c r="H4248" s="160">
        <f t="shared" si="124"/>
        <v>10326.1692</v>
      </c>
      <c r="I4248" s="160"/>
      <c r="J4248" s="161"/>
      <c r="K4248" s="160"/>
      <c r="L4248" s="160">
        <f>+'FACP$'!$H4248-'FACP$'!$I4248-'FACP$'!$K4248</f>
        <v>10326.1692</v>
      </c>
      <c r="M4248" s="162" t="s">
        <v>151</v>
      </c>
      <c r="N4248" s="162" t="s">
        <v>554</v>
      </c>
      <c r="O4248" s="164">
        <v>45209.0</v>
      </c>
      <c r="P4248" s="164">
        <f t="array" ref="P4248">XLOOKUP('FACP$'!$B4248,'perfil de pagos'!$A$4:$A$46,'perfil de pagos'!$B$4:$B$46+'FACP$'!$D4248)</f>
        <v>45205</v>
      </c>
      <c r="Q4248" s="165">
        <f t="shared" si="2"/>
        <v>0</v>
      </c>
      <c r="R4248" s="167"/>
      <c r="S4248" s="167">
        <v>2488.0</v>
      </c>
      <c r="T4248" s="168">
        <f t="shared" si="3"/>
        <v>10326.1692</v>
      </c>
      <c r="U4248" s="168">
        <f t="shared" si="4"/>
        <v>0</v>
      </c>
      <c r="V4248" s="168">
        <f t="shared" si="5"/>
        <v>0</v>
      </c>
      <c r="W4248" s="168">
        <f t="shared" si="6"/>
        <v>0</v>
      </c>
      <c r="X4248" s="168">
        <f t="shared" si="7"/>
        <v>0</v>
      </c>
      <c r="Y4248" s="168">
        <f t="shared" si="8"/>
        <v>0</v>
      </c>
      <c r="Z4248" s="168">
        <f t="shared" si="9"/>
        <v>0</v>
      </c>
    </row>
    <row r="4249" ht="15.0" customHeight="1">
      <c r="A4249" s="157" t="s">
        <v>5379</v>
      </c>
      <c r="B4249" s="158" t="s">
        <v>27</v>
      </c>
      <c r="C4249" s="158" t="s">
        <v>5356</v>
      </c>
      <c r="D4249" s="159">
        <v>45175.0</v>
      </c>
      <c r="E4249" s="157" t="s">
        <v>731</v>
      </c>
      <c r="F4249" s="160">
        <v>7833.59</v>
      </c>
      <c r="G4249" s="160">
        <f>'FACP$'!$F4249*0.16</f>
        <v>1253.3744</v>
      </c>
      <c r="H4249" s="160">
        <f t="shared" si="124"/>
        <v>9086.9644</v>
      </c>
      <c r="I4249" s="160"/>
      <c r="J4249" s="161"/>
      <c r="K4249" s="160"/>
      <c r="L4249" s="160">
        <f>+'FACP$'!$H4249-'FACP$'!$I4249-'FACP$'!$K4249</f>
        <v>9086.9644</v>
      </c>
      <c r="M4249" s="162" t="s">
        <v>151</v>
      </c>
      <c r="N4249" s="162" t="s">
        <v>554</v>
      </c>
      <c r="O4249" s="164">
        <v>45209.0</v>
      </c>
      <c r="P4249" s="164">
        <f t="array" ref="P4249">XLOOKUP('FACP$'!$B4249,'perfil de pagos'!$A$4:$A$46,'perfil de pagos'!$B$4:$B$46+'FACP$'!$D4249)</f>
        <v>45205</v>
      </c>
      <c r="Q4249" s="165">
        <f t="shared" si="2"/>
        <v>0</v>
      </c>
      <c r="R4249" s="167"/>
      <c r="S4249" s="167">
        <v>2488.0</v>
      </c>
      <c r="T4249" s="168">
        <f t="shared" si="3"/>
        <v>9086.9644</v>
      </c>
      <c r="U4249" s="168">
        <f t="shared" si="4"/>
        <v>0</v>
      </c>
      <c r="V4249" s="168">
        <f t="shared" si="5"/>
        <v>0</v>
      </c>
      <c r="W4249" s="168">
        <f t="shared" si="6"/>
        <v>0</v>
      </c>
      <c r="X4249" s="168">
        <f t="shared" si="7"/>
        <v>0</v>
      </c>
      <c r="Y4249" s="168">
        <f t="shared" si="8"/>
        <v>0</v>
      </c>
      <c r="Z4249" s="168">
        <f t="shared" si="9"/>
        <v>0</v>
      </c>
    </row>
    <row r="4250" ht="15.0" customHeight="1">
      <c r="A4250" s="157" t="s">
        <v>5380</v>
      </c>
      <c r="B4250" s="158" t="s">
        <v>27</v>
      </c>
      <c r="C4250" s="158" t="s">
        <v>5360</v>
      </c>
      <c r="D4250" s="159">
        <v>45175.0</v>
      </c>
      <c r="E4250" s="157" t="s">
        <v>731</v>
      </c>
      <c r="F4250" s="160">
        <v>213.41</v>
      </c>
      <c r="G4250" s="160">
        <f>'FACP$'!$F4250*0.16</f>
        <v>34.1456</v>
      </c>
      <c r="H4250" s="160">
        <f t="shared" si="124"/>
        <v>247.5556</v>
      </c>
      <c r="I4250" s="160"/>
      <c r="J4250" s="161"/>
      <c r="K4250" s="160"/>
      <c r="L4250" s="160">
        <f>+'FACP$'!$H4250-'FACP$'!$I4250-'FACP$'!$K4250</f>
        <v>247.5556</v>
      </c>
      <c r="M4250" s="162" t="s">
        <v>151</v>
      </c>
      <c r="N4250" s="162" t="s">
        <v>554</v>
      </c>
      <c r="O4250" s="164">
        <v>45209.0</v>
      </c>
      <c r="P4250" s="164">
        <f t="array" ref="P4250">XLOOKUP('FACP$'!$B4250,'perfil de pagos'!$A$4:$A$46,'perfil de pagos'!$B$4:$B$46+'FACP$'!$D4250)</f>
        <v>45205</v>
      </c>
      <c r="Q4250" s="165">
        <f t="shared" si="2"/>
        <v>0</v>
      </c>
      <c r="R4250" s="167"/>
      <c r="S4250" s="167">
        <v>2488.0</v>
      </c>
      <c r="T4250" s="168">
        <f t="shared" si="3"/>
        <v>247.5556</v>
      </c>
      <c r="U4250" s="168">
        <f t="shared" si="4"/>
        <v>0</v>
      </c>
      <c r="V4250" s="168">
        <f t="shared" si="5"/>
        <v>0</v>
      </c>
      <c r="W4250" s="168">
        <f t="shared" si="6"/>
        <v>0</v>
      </c>
      <c r="X4250" s="168">
        <f t="shared" si="7"/>
        <v>0</v>
      </c>
      <c r="Y4250" s="168">
        <f t="shared" si="8"/>
        <v>0</v>
      </c>
      <c r="Z4250" s="168">
        <f t="shared" si="9"/>
        <v>0</v>
      </c>
    </row>
    <row r="4251" ht="15.0" customHeight="1">
      <c r="A4251" s="157" t="s">
        <v>5381</v>
      </c>
      <c r="B4251" s="158" t="s">
        <v>27</v>
      </c>
      <c r="C4251" s="158" t="s">
        <v>5362</v>
      </c>
      <c r="D4251" s="159">
        <v>45175.0</v>
      </c>
      <c r="E4251" s="157" t="s">
        <v>731</v>
      </c>
      <c r="F4251" s="160">
        <v>258.16</v>
      </c>
      <c r="G4251" s="160">
        <f>'FACP$'!$F4251*0.16</f>
        <v>41.3056</v>
      </c>
      <c r="H4251" s="160">
        <f t="shared" si="124"/>
        <v>299.4656</v>
      </c>
      <c r="I4251" s="160"/>
      <c r="J4251" s="161"/>
      <c r="K4251" s="160"/>
      <c r="L4251" s="160">
        <f>+'FACP$'!$H4251-'FACP$'!$I4251-'FACP$'!$K4251</f>
        <v>299.4656</v>
      </c>
      <c r="M4251" s="162" t="s">
        <v>151</v>
      </c>
      <c r="N4251" s="162" t="s">
        <v>554</v>
      </c>
      <c r="O4251" s="164">
        <v>45209.0</v>
      </c>
      <c r="P4251" s="164">
        <f t="array" ref="P4251">XLOOKUP('FACP$'!$B4251,'perfil de pagos'!$A$4:$A$46,'perfil de pagos'!$B$4:$B$46+'FACP$'!$D4251)</f>
        <v>45205</v>
      </c>
      <c r="Q4251" s="165">
        <f t="shared" si="2"/>
        <v>0</v>
      </c>
      <c r="R4251" s="167"/>
      <c r="S4251" s="167">
        <v>2488.0</v>
      </c>
      <c r="T4251" s="168">
        <f t="shared" si="3"/>
        <v>299.4656</v>
      </c>
      <c r="U4251" s="168">
        <f t="shared" si="4"/>
        <v>0</v>
      </c>
      <c r="V4251" s="168">
        <f t="shared" si="5"/>
        <v>0</v>
      </c>
      <c r="W4251" s="168">
        <f t="shared" si="6"/>
        <v>0</v>
      </c>
      <c r="X4251" s="168">
        <f t="shared" si="7"/>
        <v>0</v>
      </c>
      <c r="Y4251" s="168">
        <f t="shared" si="8"/>
        <v>0</v>
      </c>
      <c r="Z4251" s="168">
        <f t="shared" si="9"/>
        <v>0</v>
      </c>
    </row>
    <row r="4252" ht="15.0" customHeight="1">
      <c r="A4252" s="157" t="s">
        <v>5382</v>
      </c>
      <c r="B4252" s="158" t="s">
        <v>31</v>
      </c>
      <c r="C4252" s="158" t="s">
        <v>127</v>
      </c>
      <c r="D4252" s="159"/>
      <c r="E4252" s="157" t="s">
        <v>731</v>
      </c>
      <c r="F4252" s="160"/>
      <c r="G4252" s="160">
        <f>'FACP$'!$F4252*0.16</f>
        <v>0</v>
      </c>
      <c r="H4252" s="160">
        <f t="shared" si="124"/>
        <v>0</v>
      </c>
      <c r="I4252" s="160"/>
      <c r="J4252" s="161"/>
      <c r="K4252" s="160"/>
      <c r="L4252" s="160">
        <f>+'FACP$'!$H4252-'FACP$'!$I4252-'FACP$'!$K4252</f>
        <v>0</v>
      </c>
      <c r="M4252" s="162"/>
      <c r="N4252" s="162" t="s">
        <v>127</v>
      </c>
      <c r="O4252" s="164"/>
      <c r="P4252" s="164">
        <f t="array" ref="P4252">XLOOKUP('FACP$'!$B4252,'perfil de pagos'!$A$4:$A$46,'perfil de pagos'!$B$4:$B$46+'FACP$'!$D4252)</f>
        <v>3</v>
      </c>
      <c r="Q4252" s="165">
        <f t="shared" si="2"/>
        <v>0</v>
      </c>
      <c r="R4252" s="167" t="s">
        <v>448</v>
      </c>
      <c r="S4252" s="167"/>
      <c r="T4252" s="168">
        <f t="shared" si="3"/>
        <v>0</v>
      </c>
      <c r="U4252" s="168">
        <f t="shared" si="4"/>
        <v>0</v>
      </c>
      <c r="V4252" s="168">
        <f t="shared" si="5"/>
        <v>0</v>
      </c>
      <c r="W4252" s="168">
        <f t="shared" si="6"/>
        <v>0</v>
      </c>
      <c r="X4252" s="168">
        <f t="shared" si="7"/>
        <v>0</v>
      </c>
      <c r="Y4252" s="168">
        <f t="shared" si="8"/>
        <v>0</v>
      </c>
      <c r="Z4252" s="168">
        <f t="shared" si="9"/>
        <v>0</v>
      </c>
    </row>
    <row r="4253" ht="15.0" customHeight="1">
      <c r="A4253" s="157" t="s">
        <v>5383</v>
      </c>
      <c r="B4253" s="158" t="s">
        <v>31</v>
      </c>
      <c r="C4253" s="158" t="s">
        <v>5384</v>
      </c>
      <c r="D4253" s="159">
        <v>45177.0</v>
      </c>
      <c r="E4253" s="157" t="s">
        <v>731</v>
      </c>
      <c r="F4253" s="160">
        <v>18206.25</v>
      </c>
      <c r="G4253" s="160">
        <f>'FACP$'!$F4253*0.16</f>
        <v>2913</v>
      </c>
      <c r="H4253" s="160">
        <f t="shared" si="124"/>
        <v>21119.25</v>
      </c>
      <c r="I4253" s="160"/>
      <c r="J4253" s="161"/>
      <c r="K4253" s="160"/>
      <c r="L4253" s="160">
        <f>+'FACP$'!$H4253-'FACP$'!$I4253-'FACP$'!$K4253</f>
        <v>21119.25</v>
      </c>
      <c r="M4253" s="162" t="s">
        <v>3183</v>
      </c>
      <c r="N4253" s="162" t="s">
        <v>554</v>
      </c>
      <c r="O4253" s="164">
        <v>45170.0</v>
      </c>
      <c r="P4253" s="164">
        <f t="array" ref="P4253">XLOOKUP('FACP$'!$B4253,'perfil de pagos'!$A$4:$A$46,'perfil de pagos'!$B$4:$B$46+'FACP$'!$D4253)</f>
        <v>45180</v>
      </c>
      <c r="Q4253" s="165">
        <f t="shared" si="2"/>
        <v>0</v>
      </c>
      <c r="R4253" s="167"/>
      <c r="S4253" s="167"/>
      <c r="T4253" s="168">
        <f t="shared" si="3"/>
        <v>21119.25</v>
      </c>
      <c r="U4253" s="168">
        <f t="shared" si="4"/>
        <v>0</v>
      </c>
      <c r="V4253" s="168">
        <f t="shared" si="5"/>
        <v>0</v>
      </c>
      <c r="W4253" s="168">
        <f t="shared" si="6"/>
        <v>0</v>
      </c>
      <c r="X4253" s="168">
        <f t="shared" si="7"/>
        <v>0</v>
      </c>
      <c r="Y4253" s="168">
        <f t="shared" si="8"/>
        <v>0</v>
      </c>
      <c r="Z4253" s="168">
        <f t="shared" si="9"/>
        <v>0</v>
      </c>
    </row>
    <row r="4254" ht="15.0" customHeight="1">
      <c r="A4254" s="157" t="s">
        <v>5385</v>
      </c>
      <c r="B4254" s="158" t="s">
        <v>31</v>
      </c>
      <c r="C4254" s="158" t="s">
        <v>5386</v>
      </c>
      <c r="D4254" s="159">
        <v>45177.0</v>
      </c>
      <c r="E4254" s="157" t="s">
        <v>731</v>
      </c>
      <c r="F4254" s="160">
        <v>36412.5</v>
      </c>
      <c r="G4254" s="160">
        <f>'FACP$'!$F4254*0.16</f>
        <v>5826</v>
      </c>
      <c r="H4254" s="160">
        <f t="shared" si="124"/>
        <v>42238.5</v>
      </c>
      <c r="I4254" s="160"/>
      <c r="J4254" s="161"/>
      <c r="K4254" s="160"/>
      <c r="L4254" s="160">
        <f>+'FACP$'!$H4254-'FACP$'!$I4254-'FACP$'!$K4254</f>
        <v>42238.5</v>
      </c>
      <c r="M4254" s="162" t="s">
        <v>3183</v>
      </c>
      <c r="N4254" s="162" t="s">
        <v>554</v>
      </c>
      <c r="O4254" s="164">
        <v>45177.0</v>
      </c>
      <c r="P4254" s="164">
        <f t="array" ref="P4254">XLOOKUP('FACP$'!$B4254,'perfil de pagos'!$A$4:$A$46,'perfil de pagos'!$B$4:$B$46+'FACP$'!$D4254)</f>
        <v>45180</v>
      </c>
      <c r="Q4254" s="165">
        <f t="shared" si="2"/>
        <v>0</v>
      </c>
      <c r="R4254" s="167"/>
      <c r="S4254" s="167"/>
      <c r="T4254" s="168">
        <f t="shared" si="3"/>
        <v>42238.5</v>
      </c>
      <c r="U4254" s="168">
        <f t="shared" si="4"/>
        <v>0</v>
      </c>
      <c r="V4254" s="168">
        <f t="shared" si="5"/>
        <v>0</v>
      </c>
      <c r="W4254" s="168">
        <f t="shared" si="6"/>
        <v>0</v>
      </c>
      <c r="X4254" s="168">
        <f t="shared" si="7"/>
        <v>0</v>
      </c>
      <c r="Y4254" s="168">
        <f t="shared" si="8"/>
        <v>0</v>
      </c>
      <c r="Z4254" s="168">
        <f t="shared" si="9"/>
        <v>0</v>
      </c>
    </row>
    <row r="4255" ht="15.0" customHeight="1">
      <c r="A4255" s="157" t="s">
        <v>5387</v>
      </c>
      <c r="B4255" s="158" t="s">
        <v>16</v>
      </c>
      <c r="C4255" s="158" t="s">
        <v>5368</v>
      </c>
      <c r="D4255" s="159">
        <v>45177.0</v>
      </c>
      <c r="E4255" s="157" t="s">
        <v>731</v>
      </c>
      <c r="F4255" s="160">
        <v>405442.1</v>
      </c>
      <c r="G4255" s="160">
        <f>'FACP$'!$F4255*0.16</f>
        <v>64870.736</v>
      </c>
      <c r="H4255" s="160">
        <f t="shared" si="124"/>
        <v>470312.836</v>
      </c>
      <c r="I4255" s="160"/>
      <c r="J4255" s="161"/>
      <c r="K4255" s="160"/>
      <c r="L4255" s="160">
        <f>+'FACP$'!$H4255-'FACP$'!$I4255-'FACP$'!$K4255</f>
        <v>470312.836</v>
      </c>
      <c r="M4255" s="162" t="s">
        <v>985</v>
      </c>
      <c r="N4255" s="162" t="s">
        <v>554</v>
      </c>
      <c r="O4255" s="164">
        <v>45189.0</v>
      </c>
      <c r="P4255" s="164">
        <f t="array" ref="P4255">XLOOKUP('FACP$'!$B4255,'perfil de pagos'!$A$4:$A$46,'perfil de pagos'!$B$4:$B$46+'FACP$'!$D4255)</f>
        <v>45187</v>
      </c>
      <c r="Q4255" s="165">
        <f t="shared" si="2"/>
        <v>0</v>
      </c>
      <c r="R4255" s="167"/>
      <c r="S4255" s="167">
        <v>2433.0</v>
      </c>
      <c r="T4255" s="168">
        <f t="shared" si="3"/>
        <v>470312.836</v>
      </c>
      <c r="U4255" s="168">
        <f t="shared" si="4"/>
        <v>0</v>
      </c>
      <c r="V4255" s="168">
        <f t="shared" si="5"/>
        <v>0</v>
      </c>
      <c r="W4255" s="168">
        <f t="shared" si="6"/>
        <v>0</v>
      </c>
      <c r="X4255" s="168">
        <f t="shared" si="7"/>
        <v>0</v>
      </c>
      <c r="Y4255" s="168">
        <f t="shared" si="8"/>
        <v>0</v>
      </c>
      <c r="Z4255" s="168">
        <f t="shared" si="9"/>
        <v>0</v>
      </c>
    </row>
    <row r="4256" ht="15.0" customHeight="1">
      <c r="A4256" s="157" t="s">
        <v>5388</v>
      </c>
      <c r="B4256" s="158" t="s">
        <v>16</v>
      </c>
      <c r="C4256" s="158" t="s">
        <v>5372</v>
      </c>
      <c r="D4256" s="159">
        <v>45177.0</v>
      </c>
      <c r="E4256" s="157" t="s">
        <v>731</v>
      </c>
      <c r="F4256" s="160">
        <v>609573.88</v>
      </c>
      <c r="G4256" s="160">
        <f>'FACP$'!$F4256*0.16</f>
        <v>97531.8208</v>
      </c>
      <c r="H4256" s="160">
        <f t="shared" si="124"/>
        <v>707105.7008</v>
      </c>
      <c r="I4256" s="160"/>
      <c r="J4256" s="161"/>
      <c r="K4256" s="160"/>
      <c r="L4256" s="160">
        <f>+'FACP$'!$H4256-'FACP$'!$I4256-'FACP$'!$K4256</f>
        <v>707105.7008</v>
      </c>
      <c r="M4256" s="162" t="s">
        <v>985</v>
      </c>
      <c r="N4256" s="162" t="s">
        <v>554</v>
      </c>
      <c r="O4256" s="164">
        <v>45189.0</v>
      </c>
      <c r="P4256" s="164">
        <f t="array" ref="P4256">XLOOKUP('FACP$'!$B4256,'perfil de pagos'!$A$4:$A$46,'perfil de pagos'!$B$4:$B$46+'FACP$'!$D4256)</f>
        <v>45187</v>
      </c>
      <c r="Q4256" s="165">
        <f t="shared" si="2"/>
        <v>0</v>
      </c>
      <c r="R4256" s="167"/>
      <c r="S4256" s="167">
        <v>2433.0</v>
      </c>
      <c r="T4256" s="168">
        <f t="shared" si="3"/>
        <v>707105.7008</v>
      </c>
      <c r="U4256" s="168">
        <f t="shared" si="4"/>
        <v>0</v>
      </c>
      <c r="V4256" s="168">
        <f t="shared" si="5"/>
        <v>0</v>
      </c>
      <c r="W4256" s="168">
        <f t="shared" si="6"/>
        <v>0</v>
      </c>
      <c r="X4256" s="168">
        <f t="shared" si="7"/>
        <v>0</v>
      </c>
      <c r="Y4256" s="168">
        <f t="shared" si="8"/>
        <v>0</v>
      </c>
      <c r="Z4256" s="168">
        <f t="shared" si="9"/>
        <v>0</v>
      </c>
    </row>
    <row r="4257" ht="15.0" customHeight="1">
      <c r="A4257" s="157" t="s">
        <v>5389</v>
      </c>
      <c r="B4257" s="158" t="s">
        <v>22</v>
      </c>
      <c r="C4257" s="158" t="s">
        <v>5368</v>
      </c>
      <c r="D4257" s="159">
        <v>45177.0</v>
      </c>
      <c r="E4257" s="157" t="s">
        <v>731</v>
      </c>
      <c r="F4257" s="160">
        <v>173917.35</v>
      </c>
      <c r="G4257" s="160">
        <f>'FACP$'!$F4257*0.16</f>
        <v>27826.776</v>
      </c>
      <c r="H4257" s="160">
        <f t="shared" si="124"/>
        <v>201744.126</v>
      </c>
      <c r="I4257" s="160">
        <v>97347.11160000002</v>
      </c>
      <c r="J4257" s="161"/>
      <c r="K4257" s="160"/>
      <c r="L4257" s="160">
        <f>+'FACP$'!$H4257-'FACP$'!$I4257-'FACP$'!$K4257</f>
        <v>104397.0144</v>
      </c>
      <c r="M4257" s="162" t="s">
        <v>220</v>
      </c>
      <c r="N4257" s="162" t="s">
        <v>554</v>
      </c>
      <c r="O4257" s="164">
        <v>45216.0</v>
      </c>
      <c r="P4257" s="164">
        <f t="array" ref="P4257">XLOOKUP('FACP$'!$B4257,'perfil de pagos'!$A$4:$A$46,'perfil de pagos'!$B$4:$B$46+'FACP$'!$D4257)</f>
        <v>45187</v>
      </c>
      <c r="Q4257" s="165">
        <f t="shared" si="2"/>
        <v>0</v>
      </c>
      <c r="R4257" s="220" t="s">
        <v>5390</v>
      </c>
      <c r="S4257" s="167" t="s">
        <v>5391</v>
      </c>
      <c r="T4257" s="168">
        <f t="shared" si="3"/>
        <v>104397.0144</v>
      </c>
      <c r="U4257" s="168">
        <f t="shared" si="4"/>
        <v>0</v>
      </c>
      <c r="V4257" s="168">
        <f t="shared" si="5"/>
        <v>0</v>
      </c>
      <c r="W4257" s="168">
        <f t="shared" si="6"/>
        <v>0</v>
      </c>
      <c r="X4257" s="168">
        <f t="shared" si="7"/>
        <v>0</v>
      </c>
      <c r="Y4257" s="168">
        <f t="shared" si="8"/>
        <v>0</v>
      </c>
      <c r="Z4257" s="168">
        <f t="shared" si="9"/>
        <v>0</v>
      </c>
    </row>
    <row r="4258" ht="15.0" customHeight="1">
      <c r="A4258" s="157" t="s">
        <v>5392</v>
      </c>
      <c r="B4258" s="158" t="s">
        <v>29</v>
      </c>
      <c r="C4258" s="158" t="s">
        <v>5368</v>
      </c>
      <c r="D4258" s="159">
        <v>45177.0</v>
      </c>
      <c r="E4258" s="157" t="s">
        <v>731</v>
      </c>
      <c r="F4258" s="160">
        <v>339661.56</v>
      </c>
      <c r="G4258" s="160">
        <f>'FACP$'!$F4258*0.16</f>
        <v>54345.8496</v>
      </c>
      <c r="H4258" s="160">
        <f t="shared" si="124"/>
        <v>394007.4096</v>
      </c>
      <c r="I4258" s="160"/>
      <c r="J4258" s="161"/>
      <c r="K4258" s="160"/>
      <c r="L4258" s="160">
        <f>+'FACP$'!$H4258-'FACP$'!$I4258-'FACP$'!$K4258</f>
        <v>394007.4096</v>
      </c>
      <c r="M4258" s="162" t="s">
        <v>130</v>
      </c>
      <c r="N4258" s="162" t="s">
        <v>554</v>
      </c>
      <c r="O4258" s="164">
        <v>45183.0</v>
      </c>
      <c r="P4258" s="164">
        <f t="array" ref="P4258">XLOOKUP('FACP$'!$B4258,'perfil de pagos'!$A$4:$A$46,'perfil de pagos'!$B$4:$B$46+'FACP$'!$D4258)</f>
        <v>45187</v>
      </c>
      <c r="Q4258" s="165">
        <f t="shared" si="2"/>
        <v>0</v>
      </c>
      <c r="R4258" s="167"/>
      <c r="S4258" s="167">
        <v>2415.0</v>
      </c>
      <c r="T4258" s="168">
        <f t="shared" si="3"/>
        <v>394007.4096</v>
      </c>
      <c r="U4258" s="168">
        <f t="shared" si="4"/>
        <v>0</v>
      </c>
      <c r="V4258" s="168">
        <f t="shared" si="5"/>
        <v>0</v>
      </c>
      <c r="W4258" s="168">
        <f t="shared" si="6"/>
        <v>0</v>
      </c>
      <c r="X4258" s="168">
        <f t="shared" si="7"/>
        <v>0</v>
      </c>
      <c r="Y4258" s="168">
        <f t="shared" si="8"/>
        <v>0</v>
      </c>
      <c r="Z4258" s="168">
        <f t="shared" si="9"/>
        <v>0</v>
      </c>
    </row>
    <row r="4259" ht="15.0" customHeight="1">
      <c r="A4259" s="157" t="s">
        <v>5393</v>
      </c>
      <c r="B4259" s="158" t="s">
        <v>29</v>
      </c>
      <c r="C4259" s="158" t="s">
        <v>5372</v>
      </c>
      <c r="D4259" s="159">
        <v>45177.0</v>
      </c>
      <c r="E4259" s="157" t="s">
        <v>731</v>
      </c>
      <c r="F4259" s="160">
        <v>484159.67</v>
      </c>
      <c r="G4259" s="160">
        <f>'FACP$'!$F4259*0.16</f>
        <v>77465.5472</v>
      </c>
      <c r="H4259" s="160">
        <f t="shared" si="124"/>
        <v>561625.2172</v>
      </c>
      <c r="I4259" s="160"/>
      <c r="J4259" s="161"/>
      <c r="K4259" s="160"/>
      <c r="L4259" s="160">
        <f>+'FACP$'!$H4259-'FACP$'!$I4259-'FACP$'!$K4259</f>
        <v>561625.2172</v>
      </c>
      <c r="M4259" s="162" t="s">
        <v>130</v>
      </c>
      <c r="N4259" s="162" t="s">
        <v>554</v>
      </c>
      <c r="O4259" s="164">
        <v>45194.0</v>
      </c>
      <c r="P4259" s="164">
        <f t="array" ref="P4259">XLOOKUP('FACP$'!$B4259,'perfil de pagos'!$A$4:$A$46,'perfil de pagos'!$B$4:$B$46+'FACP$'!$D4259)</f>
        <v>45187</v>
      </c>
      <c r="Q4259" s="165">
        <f t="shared" si="2"/>
        <v>0</v>
      </c>
      <c r="R4259" s="167"/>
      <c r="S4259" s="167">
        <v>2444.0</v>
      </c>
      <c r="T4259" s="168">
        <f t="shared" si="3"/>
        <v>561625.2172</v>
      </c>
      <c r="U4259" s="168">
        <f t="shared" si="4"/>
        <v>0</v>
      </c>
      <c r="V4259" s="168">
        <f t="shared" si="5"/>
        <v>0</v>
      </c>
      <c r="W4259" s="168">
        <f t="shared" si="6"/>
        <v>0</v>
      </c>
      <c r="X4259" s="168">
        <f t="shared" si="7"/>
        <v>0</v>
      </c>
      <c r="Y4259" s="168">
        <f t="shared" si="8"/>
        <v>0</v>
      </c>
      <c r="Z4259" s="168">
        <f t="shared" si="9"/>
        <v>0</v>
      </c>
    </row>
    <row r="4260" ht="15.0" customHeight="1">
      <c r="A4260" s="157" t="s">
        <v>5394</v>
      </c>
      <c r="B4260" s="158" t="s">
        <v>37</v>
      </c>
      <c r="C4260" s="158" t="s">
        <v>5368</v>
      </c>
      <c r="D4260" s="159">
        <v>45177.0</v>
      </c>
      <c r="E4260" s="157" t="s">
        <v>731</v>
      </c>
      <c r="F4260" s="160">
        <v>1589894.07</v>
      </c>
      <c r="G4260" s="160">
        <f>'FACP$'!$F4260*0.16</f>
        <v>254383.0512</v>
      </c>
      <c r="H4260" s="160">
        <f t="shared" si="124"/>
        <v>1844277.121</v>
      </c>
      <c r="I4260" s="160"/>
      <c r="J4260" s="161"/>
      <c r="K4260" s="160"/>
      <c r="L4260" s="160">
        <f>+'FACP$'!$H4260-'FACP$'!$I4260-'FACP$'!$K4260</f>
        <v>1844277.121</v>
      </c>
      <c r="M4260" s="162" t="s">
        <v>116</v>
      </c>
      <c r="N4260" s="162" t="s">
        <v>554</v>
      </c>
      <c r="O4260" s="164">
        <v>45187.0</v>
      </c>
      <c r="P4260" s="164">
        <f t="array" ref="P4260">XLOOKUP('FACP$'!$B4260,'perfil de pagos'!$A$4:$A$46,'perfil de pagos'!$B$4:$B$46+'FACP$'!$D4260)</f>
        <v>45187</v>
      </c>
      <c r="Q4260" s="165">
        <f t="shared" si="2"/>
        <v>0</v>
      </c>
      <c r="R4260" s="167"/>
      <c r="S4260" s="167">
        <v>2426.0</v>
      </c>
      <c r="T4260" s="168">
        <f t="shared" si="3"/>
        <v>1844277.121</v>
      </c>
      <c r="U4260" s="168">
        <f t="shared" si="4"/>
        <v>0</v>
      </c>
      <c r="V4260" s="168">
        <f t="shared" si="5"/>
        <v>0</v>
      </c>
      <c r="W4260" s="168">
        <f t="shared" si="6"/>
        <v>0</v>
      </c>
      <c r="X4260" s="168">
        <f t="shared" si="7"/>
        <v>0</v>
      </c>
      <c r="Y4260" s="168">
        <f t="shared" si="8"/>
        <v>0</v>
      </c>
      <c r="Z4260" s="168">
        <f t="shared" si="9"/>
        <v>0</v>
      </c>
    </row>
    <row r="4261" ht="15.0" customHeight="1">
      <c r="A4261" s="157" t="s">
        <v>5395</v>
      </c>
      <c r="B4261" s="158" t="s">
        <v>38</v>
      </c>
      <c r="C4261" s="158" t="s">
        <v>5368</v>
      </c>
      <c r="D4261" s="159">
        <v>45177.0</v>
      </c>
      <c r="E4261" s="157" t="s">
        <v>731</v>
      </c>
      <c r="F4261" s="160">
        <v>188076.42</v>
      </c>
      <c r="G4261" s="160">
        <f>'FACP$'!$F4261*0.16</f>
        <v>30092.2272</v>
      </c>
      <c r="H4261" s="160">
        <f t="shared" si="124"/>
        <v>218168.6472</v>
      </c>
      <c r="I4261" s="160"/>
      <c r="J4261" s="161"/>
      <c r="K4261" s="160"/>
      <c r="L4261" s="160">
        <f>+'FACP$'!$H4261-'FACP$'!$I4261-'FACP$'!$K4261</f>
        <v>218168.6472</v>
      </c>
      <c r="M4261" s="162" t="s">
        <v>642</v>
      </c>
      <c r="N4261" s="162" t="s">
        <v>554</v>
      </c>
      <c r="O4261" s="164">
        <v>45230.0</v>
      </c>
      <c r="P4261" s="164">
        <f t="array" ref="P4261">XLOOKUP('FACP$'!$B4261,'perfil de pagos'!$A$4:$A$46,'perfil de pagos'!$B$4:$B$46+'FACP$'!$D4261)</f>
        <v>45207</v>
      </c>
      <c r="Q4261" s="165">
        <f t="shared" si="2"/>
        <v>0</v>
      </c>
      <c r="R4261" s="167"/>
      <c r="S4261" s="167">
        <v>2547.0</v>
      </c>
      <c r="T4261" s="168">
        <f t="shared" si="3"/>
        <v>218168.6472</v>
      </c>
      <c r="U4261" s="168">
        <f t="shared" si="4"/>
        <v>0</v>
      </c>
      <c r="V4261" s="168">
        <f t="shared" si="5"/>
        <v>0</v>
      </c>
      <c r="W4261" s="168">
        <f t="shared" si="6"/>
        <v>0</v>
      </c>
      <c r="X4261" s="168">
        <f t="shared" si="7"/>
        <v>0</v>
      </c>
      <c r="Y4261" s="168">
        <f t="shared" si="8"/>
        <v>0</v>
      </c>
      <c r="Z4261" s="168">
        <f t="shared" si="9"/>
        <v>0</v>
      </c>
    </row>
    <row r="4262" ht="15.0" customHeight="1">
      <c r="A4262" s="157" t="s">
        <v>5396</v>
      </c>
      <c r="B4262" s="158" t="s">
        <v>146</v>
      </c>
      <c r="C4262" s="158" t="s">
        <v>127</v>
      </c>
      <c r="D4262" s="159">
        <v>45177.0</v>
      </c>
      <c r="E4262" s="157" t="s">
        <v>731</v>
      </c>
      <c r="F4262" s="160"/>
      <c r="G4262" s="160">
        <f>'FACP$'!$F4262*0.16</f>
        <v>0</v>
      </c>
      <c r="H4262" s="160">
        <f t="shared" si="124"/>
        <v>0</v>
      </c>
      <c r="I4262" s="160"/>
      <c r="J4262" s="161"/>
      <c r="K4262" s="160"/>
      <c r="L4262" s="160">
        <f>+'FACP$'!$H4262-'FACP$'!$I4262-'FACP$'!$K4262</f>
        <v>0</v>
      </c>
      <c r="M4262" s="162"/>
      <c r="N4262" s="162" t="s">
        <v>127</v>
      </c>
      <c r="O4262" s="164"/>
      <c r="P4262" s="164" t="str">
        <f t="array" ref="P4262">XLOOKUP('FACP$'!$B4262,'perfil de pagos'!$A$4:$A$46,'perfil de pagos'!$B$4:$B$46+'FACP$'!$D4262)</f>
        <v>#N/A</v>
      </c>
      <c r="Q4262" s="165">
        <f t="shared" si="2"/>
        <v>0</v>
      </c>
      <c r="R4262" s="167" t="s">
        <v>448</v>
      </c>
      <c r="S4262" s="167"/>
      <c r="T4262" s="168">
        <f t="shared" si="3"/>
        <v>0</v>
      </c>
      <c r="U4262" s="168">
        <f t="shared" si="4"/>
        <v>0</v>
      </c>
      <c r="V4262" s="168">
        <f t="shared" si="5"/>
        <v>0</v>
      </c>
      <c r="W4262" s="168">
        <f t="shared" si="6"/>
        <v>0</v>
      </c>
      <c r="X4262" s="168">
        <f t="shared" si="7"/>
        <v>0</v>
      </c>
      <c r="Y4262" s="168">
        <f t="shared" si="8"/>
        <v>0</v>
      </c>
      <c r="Z4262" s="168">
        <f t="shared" si="9"/>
        <v>0</v>
      </c>
    </row>
    <row r="4263" ht="15.0" customHeight="1">
      <c r="A4263" s="157" t="s">
        <v>5397</v>
      </c>
      <c r="B4263" s="158" t="s">
        <v>38</v>
      </c>
      <c r="C4263" s="158" t="s">
        <v>5368</v>
      </c>
      <c r="D4263" s="159">
        <v>45177.0</v>
      </c>
      <c r="E4263" s="157" t="s">
        <v>731</v>
      </c>
      <c r="F4263" s="160">
        <v>587722.62</v>
      </c>
      <c r="G4263" s="160">
        <f>'FACP$'!$F4263*0.16</f>
        <v>94035.6192</v>
      </c>
      <c r="H4263" s="160">
        <f t="shared" si="124"/>
        <v>681758.2392</v>
      </c>
      <c r="I4263" s="160"/>
      <c r="J4263" s="161"/>
      <c r="K4263" s="160"/>
      <c r="L4263" s="160">
        <f>+'FACP$'!$H4263-'FACP$'!$I4263-'FACP$'!$K4263</f>
        <v>681758.2392</v>
      </c>
      <c r="M4263" s="162" t="s">
        <v>145</v>
      </c>
      <c r="N4263" s="162" t="s">
        <v>554</v>
      </c>
      <c r="O4263" s="164">
        <v>45238.0</v>
      </c>
      <c r="P4263" s="164">
        <f t="array" ref="P4263">XLOOKUP('FACP$'!$B4263,'perfil de pagos'!$A$4:$A$46,'perfil de pagos'!$B$4:$B$46+'FACP$'!$D4263)</f>
        <v>45207</v>
      </c>
      <c r="Q4263" s="165">
        <f t="shared" si="2"/>
        <v>0</v>
      </c>
      <c r="R4263" s="167"/>
      <c r="S4263" s="167">
        <v>2566.0</v>
      </c>
      <c r="T4263" s="168">
        <f t="shared" si="3"/>
        <v>681758.2392</v>
      </c>
      <c r="U4263" s="168">
        <f t="shared" si="4"/>
        <v>0</v>
      </c>
      <c r="V4263" s="168">
        <f t="shared" si="5"/>
        <v>0</v>
      </c>
      <c r="W4263" s="168">
        <f t="shared" si="6"/>
        <v>0</v>
      </c>
      <c r="X4263" s="168">
        <f t="shared" si="7"/>
        <v>0</v>
      </c>
      <c r="Y4263" s="168">
        <f t="shared" si="8"/>
        <v>0</v>
      </c>
      <c r="Z4263" s="168">
        <f t="shared" si="9"/>
        <v>0</v>
      </c>
    </row>
    <row r="4264" ht="15.0" customHeight="1">
      <c r="A4264" s="157" t="s">
        <v>5398</v>
      </c>
      <c r="B4264" s="158" t="s">
        <v>18</v>
      </c>
      <c r="C4264" s="158" t="s">
        <v>5368</v>
      </c>
      <c r="D4264" s="159">
        <v>45177.0</v>
      </c>
      <c r="E4264" s="157" t="s">
        <v>731</v>
      </c>
      <c r="F4264" s="160">
        <v>38043.0</v>
      </c>
      <c r="G4264" s="160">
        <f>'FACP$'!$F4264*0.16</f>
        <v>6086.88</v>
      </c>
      <c r="H4264" s="160">
        <f t="shared" si="124"/>
        <v>44129.88</v>
      </c>
      <c r="I4264" s="160"/>
      <c r="J4264" s="161"/>
      <c r="K4264" s="160"/>
      <c r="L4264" s="160">
        <f>+'FACP$'!$H4264-'FACP$'!$I4264-'FACP$'!$K4264</f>
        <v>44129.88</v>
      </c>
      <c r="M4264" s="162" t="s">
        <v>586</v>
      </c>
      <c r="N4264" s="162" t="s">
        <v>554</v>
      </c>
      <c r="O4264" s="164">
        <v>45208.0</v>
      </c>
      <c r="P4264" s="164">
        <f t="array" ref="P4264">XLOOKUP('FACP$'!$B4264,'perfil de pagos'!$A$4:$A$46,'perfil de pagos'!$B$4:$B$46+'FACP$'!$D4264)</f>
        <v>45187</v>
      </c>
      <c r="Q4264" s="165">
        <f t="shared" si="2"/>
        <v>0</v>
      </c>
      <c r="R4264" s="167" t="s">
        <v>5399</v>
      </c>
      <c r="S4264" s="167">
        <v>2482.0</v>
      </c>
      <c r="T4264" s="168">
        <f t="shared" si="3"/>
        <v>44129.88</v>
      </c>
      <c r="U4264" s="168">
        <f t="shared" si="4"/>
        <v>0</v>
      </c>
      <c r="V4264" s="168">
        <f t="shared" si="5"/>
        <v>0</v>
      </c>
      <c r="W4264" s="168">
        <f t="shared" si="6"/>
        <v>0</v>
      </c>
      <c r="X4264" s="168">
        <f t="shared" si="7"/>
        <v>0</v>
      </c>
      <c r="Y4264" s="168">
        <f t="shared" si="8"/>
        <v>0</v>
      </c>
      <c r="Z4264" s="168">
        <f t="shared" si="9"/>
        <v>0</v>
      </c>
    </row>
    <row r="4265" ht="15.0" customHeight="1">
      <c r="A4265" s="157" t="s">
        <v>5400</v>
      </c>
      <c r="B4265" s="158" t="s">
        <v>19</v>
      </c>
      <c r="C4265" s="158" t="s">
        <v>5368</v>
      </c>
      <c r="D4265" s="159">
        <v>45177.0</v>
      </c>
      <c r="E4265" s="157" t="s">
        <v>731</v>
      </c>
      <c r="F4265" s="160">
        <v>100191.7</v>
      </c>
      <c r="G4265" s="160">
        <f>'FACP$'!$F4265*0.16</f>
        <v>16030.672</v>
      </c>
      <c r="H4265" s="160">
        <f t="shared" si="124"/>
        <v>116222.372</v>
      </c>
      <c r="I4265" s="160"/>
      <c r="J4265" s="161"/>
      <c r="K4265" s="160"/>
      <c r="L4265" s="160">
        <f>+'FACP$'!$H4265-'FACP$'!$I4265-'FACP$'!$K4265</f>
        <v>116222.372</v>
      </c>
      <c r="M4265" s="162" t="s">
        <v>732</v>
      </c>
      <c r="N4265" s="162" t="s">
        <v>554</v>
      </c>
      <c r="O4265" s="164">
        <v>45208.0</v>
      </c>
      <c r="P4265" s="164">
        <f t="array" ref="P4265">XLOOKUP('FACP$'!$B4265,'perfil de pagos'!$A$4:$A$46,'perfil de pagos'!$B$4:$B$46+'FACP$'!$D4265)</f>
        <v>45187</v>
      </c>
      <c r="Q4265" s="165">
        <f t="shared" si="2"/>
        <v>0</v>
      </c>
      <c r="R4265" s="167" t="s">
        <v>5399</v>
      </c>
      <c r="S4265" s="167">
        <v>2482.0</v>
      </c>
      <c r="T4265" s="168">
        <f t="shared" si="3"/>
        <v>116222.372</v>
      </c>
      <c r="U4265" s="168">
        <f t="shared" si="4"/>
        <v>0</v>
      </c>
      <c r="V4265" s="168">
        <f t="shared" si="5"/>
        <v>0</v>
      </c>
      <c r="W4265" s="168">
        <f t="shared" si="6"/>
        <v>0</v>
      </c>
      <c r="X4265" s="168">
        <f t="shared" si="7"/>
        <v>0</v>
      </c>
      <c r="Y4265" s="168">
        <f t="shared" si="8"/>
        <v>0</v>
      </c>
      <c r="Z4265" s="168">
        <f t="shared" si="9"/>
        <v>0</v>
      </c>
    </row>
    <row r="4266" ht="15.0" customHeight="1">
      <c r="A4266" s="157" t="s">
        <v>5401</v>
      </c>
      <c r="B4266" s="158" t="s">
        <v>25</v>
      </c>
      <c r="C4266" s="158" t="s">
        <v>5368</v>
      </c>
      <c r="D4266" s="159">
        <v>45177.0</v>
      </c>
      <c r="E4266" s="157" t="s">
        <v>731</v>
      </c>
      <c r="F4266" s="160">
        <v>24786.1</v>
      </c>
      <c r="G4266" s="160">
        <f>'FACP$'!$F4266*0.16</f>
        <v>3965.776</v>
      </c>
      <c r="H4266" s="160">
        <f t="shared" si="124"/>
        <v>28751.876</v>
      </c>
      <c r="I4266" s="160"/>
      <c r="J4266" s="161"/>
      <c r="K4266" s="160"/>
      <c r="L4266" s="160">
        <f>+'FACP$'!$H4266-'FACP$'!$I4266-'FACP$'!$K4266</f>
        <v>28751.876</v>
      </c>
      <c r="M4266" s="162" t="s">
        <v>4388</v>
      </c>
      <c r="N4266" s="162" t="s">
        <v>554</v>
      </c>
      <c r="O4266" s="164">
        <v>45224.0</v>
      </c>
      <c r="P4266" s="164">
        <f t="array" ref="P4266">XLOOKUP('FACP$'!$B4266,'perfil de pagos'!$A$4:$A$46,'perfil de pagos'!$B$4:$B$46+'FACP$'!$D4266)</f>
        <v>45187</v>
      </c>
      <c r="Q4266" s="165">
        <f t="shared" si="2"/>
        <v>0</v>
      </c>
      <c r="R4266" s="167" t="s">
        <v>5399</v>
      </c>
      <c r="S4266" s="167">
        <v>2523.0</v>
      </c>
      <c r="T4266" s="168">
        <f t="shared" si="3"/>
        <v>28751.876</v>
      </c>
      <c r="U4266" s="168">
        <f t="shared" si="4"/>
        <v>0</v>
      </c>
      <c r="V4266" s="168">
        <f t="shared" si="5"/>
        <v>0</v>
      </c>
      <c r="W4266" s="168">
        <f t="shared" si="6"/>
        <v>0</v>
      </c>
      <c r="X4266" s="168">
        <f t="shared" si="7"/>
        <v>0</v>
      </c>
      <c r="Y4266" s="168">
        <f t="shared" si="8"/>
        <v>0</v>
      </c>
      <c r="Z4266" s="168">
        <f t="shared" si="9"/>
        <v>0</v>
      </c>
    </row>
    <row r="4267" ht="15.0" customHeight="1">
      <c r="A4267" s="157" t="s">
        <v>5402</v>
      </c>
      <c r="B4267" s="158" t="s">
        <v>40</v>
      </c>
      <c r="C4267" s="158" t="s">
        <v>5368</v>
      </c>
      <c r="D4267" s="159">
        <v>45177.0</v>
      </c>
      <c r="E4267" s="157" t="s">
        <v>731</v>
      </c>
      <c r="F4267" s="160">
        <v>24385.1</v>
      </c>
      <c r="G4267" s="160">
        <f>'FACP$'!$F4267*0.16</f>
        <v>3901.616</v>
      </c>
      <c r="H4267" s="160">
        <f t="shared" si="124"/>
        <v>28286.716</v>
      </c>
      <c r="I4267" s="160"/>
      <c r="J4267" s="161"/>
      <c r="K4267" s="160"/>
      <c r="L4267" s="160">
        <f>+'FACP$'!$H4267-'FACP$'!$I4267-'FACP$'!$K4267</f>
        <v>28286.716</v>
      </c>
      <c r="M4267" s="162" t="s">
        <v>490</v>
      </c>
      <c r="N4267" s="162" t="s">
        <v>554</v>
      </c>
      <c r="O4267" s="164">
        <v>45210.0</v>
      </c>
      <c r="P4267" s="164">
        <f t="array" ref="P4267">XLOOKUP('FACP$'!$B4267,'perfil de pagos'!$A$4:$A$46,'perfil de pagos'!$B$4:$B$46+'FACP$'!$D4267)</f>
        <v>45207</v>
      </c>
      <c r="Q4267" s="165">
        <f t="shared" si="2"/>
        <v>0</v>
      </c>
      <c r="R4267" s="167"/>
      <c r="S4267" s="167">
        <v>2489.0</v>
      </c>
      <c r="T4267" s="168">
        <f t="shared" si="3"/>
        <v>28286.716</v>
      </c>
      <c r="U4267" s="168">
        <f t="shared" si="4"/>
        <v>0</v>
      </c>
      <c r="V4267" s="168">
        <f t="shared" si="5"/>
        <v>0</v>
      </c>
      <c r="W4267" s="168">
        <f t="shared" si="6"/>
        <v>0</v>
      </c>
      <c r="X4267" s="168">
        <f t="shared" si="7"/>
        <v>0</v>
      </c>
      <c r="Y4267" s="168">
        <f t="shared" si="8"/>
        <v>0</v>
      </c>
      <c r="Z4267" s="168">
        <f t="shared" si="9"/>
        <v>0</v>
      </c>
    </row>
    <row r="4268" ht="15.0" customHeight="1">
      <c r="A4268" s="157" t="s">
        <v>5403</v>
      </c>
      <c r="B4268" s="158" t="s">
        <v>40</v>
      </c>
      <c r="C4268" s="158" t="s">
        <v>5404</v>
      </c>
      <c r="D4268" s="159">
        <v>45180.0</v>
      </c>
      <c r="E4268" s="157" t="s">
        <v>731</v>
      </c>
      <c r="F4268" s="160">
        <v>526431.99</v>
      </c>
      <c r="G4268" s="160">
        <f>'FACP$'!$F4268*0.16</f>
        <v>84229.1184</v>
      </c>
      <c r="H4268" s="160">
        <f t="shared" si="124"/>
        <v>610661.1084</v>
      </c>
      <c r="I4268" s="160"/>
      <c r="J4268" s="161"/>
      <c r="K4268" s="160"/>
      <c r="L4268" s="160">
        <f>+'FACP$'!$H4268-'FACP$'!$I4268-'FACP$'!$K4268</f>
        <v>610661.1084</v>
      </c>
      <c r="M4268" s="162" t="s">
        <v>490</v>
      </c>
      <c r="N4268" s="162" t="s">
        <v>127</v>
      </c>
      <c r="O4268" s="164" t="s">
        <v>5405</v>
      </c>
      <c r="P4268" s="164">
        <f t="array" ref="P4268">XLOOKUP('FACP$'!$B4268,'perfil de pagos'!$A$4:$A$46,'perfil de pagos'!$B$4:$B$46+'FACP$'!$D4268)</f>
        <v>45210</v>
      </c>
      <c r="Q4268" s="165">
        <f t="shared" si="2"/>
        <v>0</v>
      </c>
      <c r="R4268" s="167"/>
      <c r="S4268" s="167"/>
      <c r="T4268" s="168">
        <f t="shared" si="3"/>
        <v>610661.1084</v>
      </c>
      <c r="U4268" s="168">
        <f t="shared" si="4"/>
        <v>0</v>
      </c>
      <c r="V4268" s="168">
        <f t="shared" si="5"/>
        <v>0</v>
      </c>
      <c r="W4268" s="168">
        <f t="shared" si="6"/>
        <v>0</v>
      </c>
      <c r="X4268" s="168">
        <f t="shared" si="7"/>
        <v>0</v>
      </c>
      <c r="Y4268" s="168">
        <f t="shared" si="8"/>
        <v>0</v>
      </c>
      <c r="Z4268" s="168">
        <f t="shared" si="9"/>
        <v>0</v>
      </c>
    </row>
    <row r="4269" ht="15.0" customHeight="1">
      <c r="A4269" s="157" t="s">
        <v>5406</v>
      </c>
      <c r="B4269" s="158" t="s">
        <v>31</v>
      </c>
      <c r="C4269" s="158" t="s">
        <v>5407</v>
      </c>
      <c r="D4269" s="159">
        <v>45181.0</v>
      </c>
      <c r="E4269" s="157" t="s">
        <v>731</v>
      </c>
      <c r="F4269" s="160">
        <v>18206.25</v>
      </c>
      <c r="G4269" s="160">
        <f>'FACP$'!$F4269*0.16</f>
        <v>2913</v>
      </c>
      <c r="H4269" s="160">
        <f t="shared" si="124"/>
        <v>21119.25</v>
      </c>
      <c r="I4269" s="160"/>
      <c r="J4269" s="161"/>
      <c r="K4269" s="160"/>
      <c r="L4269" s="160">
        <f>+'FACP$'!$H4269-'FACP$'!$I4269-'FACP$'!$K4269</f>
        <v>21119.25</v>
      </c>
      <c r="M4269" s="162" t="s">
        <v>3183</v>
      </c>
      <c r="N4269" s="162" t="s">
        <v>554</v>
      </c>
      <c r="O4269" s="164">
        <v>45180.0</v>
      </c>
      <c r="P4269" s="164">
        <f t="array" ref="P4269">XLOOKUP('FACP$'!$B4269,'perfil de pagos'!$A$4:$A$46,'perfil de pagos'!$B$4:$B$46+'FACP$'!$D4269)</f>
        <v>45184</v>
      </c>
      <c r="Q4269" s="165">
        <f t="shared" si="2"/>
        <v>0</v>
      </c>
      <c r="R4269" s="167"/>
      <c r="S4269" s="167"/>
      <c r="T4269" s="168">
        <f t="shared" si="3"/>
        <v>21119.25</v>
      </c>
      <c r="U4269" s="168">
        <f t="shared" si="4"/>
        <v>0</v>
      </c>
      <c r="V4269" s="168">
        <f t="shared" si="5"/>
        <v>0</v>
      </c>
      <c r="W4269" s="168">
        <f t="shared" si="6"/>
        <v>0</v>
      </c>
      <c r="X4269" s="168">
        <f t="shared" si="7"/>
        <v>0</v>
      </c>
      <c r="Y4269" s="168">
        <f t="shared" si="8"/>
        <v>0</v>
      </c>
      <c r="Z4269" s="168">
        <f t="shared" si="9"/>
        <v>0</v>
      </c>
    </row>
    <row r="4270" ht="15.0" customHeight="1">
      <c r="A4270" s="157" t="s">
        <v>5408</v>
      </c>
      <c r="B4270" s="158" t="s">
        <v>15</v>
      </c>
      <c r="C4270" s="158" t="s">
        <v>5409</v>
      </c>
      <c r="D4270" s="159">
        <v>45187.0</v>
      </c>
      <c r="E4270" s="157" t="s">
        <v>731</v>
      </c>
      <c r="F4270" s="160">
        <v>457700.53</v>
      </c>
      <c r="G4270" s="160">
        <f>'FACP$'!$F4270*0.16</f>
        <v>73232.0848</v>
      </c>
      <c r="H4270" s="160">
        <f t="shared" si="124"/>
        <v>530932.6148</v>
      </c>
      <c r="I4270" s="160"/>
      <c r="J4270" s="161"/>
      <c r="K4270" s="160"/>
      <c r="L4270" s="160">
        <f>+'FACP$'!$H4270-'FACP$'!$I4270-'FACP$'!$K4270</f>
        <v>530932.6148</v>
      </c>
      <c r="M4270" s="162" t="s">
        <v>443</v>
      </c>
      <c r="N4270" s="162" t="s">
        <v>554</v>
      </c>
      <c r="O4270" s="164">
        <v>45211.0</v>
      </c>
      <c r="P4270" s="164">
        <f t="array" ref="P4270">XLOOKUP('FACP$'!$B4270,'perfil de pagos'!$A$4:$A$46,'perfil de pagos'!$B$4:$B$46+'FACP$'!$D4270)</f>
        <v>45197</v>
      </c>
      <c r="Q4270" s="165">
        <f t="shared" si="2"/>
        <v>0</v>
      </c>
      <c r="R4270" s="167"/>
      <c r="S4270" s="167">
        <v>2492.0</v>
      </c>
      <c r="T4270" s="168">
        <f t="shared" si="3"/>
        <v>530932.6148</v>
      </c>
      <c r="U4270" s="168">
        <f t="shared" si="4"/>
        <v>0</v>
      </c>
      <c r="V4270" s="168">
        <f t="shared" si="5"/>
        <v>0</v>
      </c>
      <c r="W4270" s="168">
        <f t="shared" si="6"/>
        <v>0</v>
      </c>
      <c r="X4270" s="168">
        <f t="shared" si="7"/>
        <v>0</v>
      </c>
      <c r="Y4270" s="168">
        <f t="shared" si="8"/>
        <v>0</v>
      </c>
      <c r="Z4270" s="168">
        <f t="shared" si="9"/>
        <v>0</v>
      </c>
    </row>
    <row r="4271" ht="15.0" customHeight="1">
      <c r="A4271" s="157" t="s">
        <v>5410</v>
      </c>
      <c r="B4271" s="158" t="s">
        <v>27</v>
      </c>
      <c r="C4271" s="158" t="s">
        <v>5411</v>
      </c>
      <c r="D4271" s="159">
        <v>45187.0</v>
      </c>
      <c r="E4271" s="157" t="s">
        <v>731</v>
      </c>
      <c r="F4271" s="160">
        <v>166003.1</v>
      </c>
      <c r="G4271" s="160">
        <f>'FACP$'!$F4271*0.16</f>
        <v>26560.496</v>
      </c>
      <c r="H4271" s="160">
        <f t="shared" si="124"/>
        <v>192563.596</v>
      </c>
      <c r="I4271" s="160"/>
      <c r="J4271" s="161"/>
      <c r="K4271" s="160"/>
      <c r="L4271" s="160">
        <f>+'FACP$'!$H4271-'FACP$'!$I4271-'FACP$'!$K4271</f>
        <v>192563.596</v>
      </c>
      <c r="M4271" s="162" t="s">
        <v>158</v>
      </c>
      <c r="N4271" s="162" t="s">
        <v>554</v>
      </c>
      <c r="O4271" s="164">
        <v>45219.0</v>
      </c>
      <c r="P4271" s="164">
        <f t="array" ref="P4271">XLOOKUP('FACP$'!$B4271,'perfil de pagos'!$A$4:$A$46,'perfil de pagos'!$B$4:$B$46+'FACP$'!$D4271)</f>
        <v>45217</v>
      </c>
      <c r="Q4271" s="165">
        <f t="shared" si="2"/>
        <v>0</v>
      </c>
      <c r="R4271" s="167"/>
      <c r="S4271" s="167">
        <v>2512.0</v>
      </c>
      <c r="T4271" s="168">
        <f t="shared" si="3"/>
        <v>192563.596</v>
      </c>
      <c r="U4271" s="168">
        <f t="shared" si="4"/>
        <v>0</v>
      </c>
      <c r="V4271" s="168">
        <f t="shared" si="5"/>
        <v>0</v>
      </c>
      <c r="W4271" s="168">
        <f t="shared" si="6"/>
        <v>0</v>
      </c>
      <c r="X4271" s="168">
        <f t="shared" si="7"/>
        <v>0</v>
      </c>
      <c r="Y4271" s="168">
        <f t="shared" si="8"/>
        <v>0</v>
      </c>
      <c r="Z4271" s="168">
        <f t="shared" si="9"/>
        <v>0</v>
      </c>
    </row>
    <row r="4272" ht="15.0" customHeight="1">
      <c r="A4272" s="157" t="s">
        <v>5412</v>
      </c>
      <c r="B4272" s="158" t="s">
        <v>27</v>
      </c>
      <c r="C4272" s="158" t="s">
        <v>5413</v>
      </c>
      <c r="D4272" s="159">
        <v>45187.0</v>
      </c>
      <c r="E4272" s="157" t="s">
        <v>731</v>
      </c>
      <c r="F4272" s="160">
        <v>137810.59</v>
      </c>
      <c r="G4272" s="160">
        <f>'FACP$'!$F4272*0.16</f>
        <v>22049.6944</v>
      </c>
      <c r="H4272" s="160">
        <f t="shared" si="124"/>
        <v>159860.2844</v>
      </c>
      <c r="I4272" s="160"/>
      <c r="J4272" s="161"/>
      <c r="K4272" s="160"/>
      <c r="L4272" s="160">
        <f>+'FACP$'!$H4272-'FACP$'!$I4272-'FACP$'!$K4272</f>
        <v>159860.2844</v>
      </c>
      <c r="M4272" s="162" t="s">
        <v>158</v>
      </c>
      <c r="N4272" s="162" t="s">
        <v>554</v>
      </c>
      <c r="O4272" s="164">
        <v>45219.0</v>
      </c>
      <c r="P4272" s="164">
        <f t="array" ref="P4272">XLOOKUP('FACP$'!$B4272,'perfil de pagos'!$A$4:$A$46,'perfil de pagos'!$B$4:$B$46+'FACP$'!$D4272)</f>
        <v>45217</v>
      </c>
      <c r="Q4272" s="165">
        <f t="shared" si="2"/>
        <v>0</v>
      </c>
      <c r="R4272" s="167"/>
      <c r="S4272" s="167">
        <v>2512.0</v>
      </c>
      <c r="T4272" s="168">
        <f t="shared" si="3"/>
        <v>159860.2844</v>
      </c>
      <c r="U4272" s="168">
        <f t="shared" si="4"/>
        <v>0</v>
      </c>
      <c r="V4272" s="168">
        <f t="shared" si="5"/>
        <v>0</v>
      </c>
      <c r="W4272" s="168">
        <f t="shared" si="6"/>
        <v>0</v>
      </c>
      <c r="X4272" s="168">
        <f t="shared" si="7"/>
        <v>0</v>
      </c>
      <c r="Y4272" s="168">
        <f t="shared" si="8"/>
        <v>0</v>
      </c>
      <c r="Z4272" s="168">
        <f t="shared" si="9"/>
        <v>0</v>
      </c>
    </row>
    <row r="4273" ht="15.0" customHeight="1">
      <c r="A4273" s="157" t="s">
        <v>5414</v>
      </c>
      <c r="B4273" s="158" t="s">
        <v>27</v>
      </c>
      <c r="C4273" s="158" t="s">
        <v>5411</v>
      </c>
      <c r="D4273" s="159">
        <v>45187.0</v>
      </c>
      <c r="E4273" s="157" t="s">
        <v>731</v>
      </c>
      <c r="F4273" s="160">
        <v>324429.01</v>
      </c>
      <c r="G4273" s="160">
        <f>'FACP$'!$F4273*0.16</f>
        <v>51908.6416</v>
      </c>
      <c r="H4273" s="160">
        <f t="shared" si="124"/>
        <v>376337.6516</v>
      </c>
      <c r="I4273" s="160"/>
      <c r="J4273" s="161"/>
      <c r="K4273" s="160"/>
      <c r="L4273" s="160">
        <f>+'FACP$'!$H4273-'FACP$'!$I4273-'FACP$'!$K4273</f>
        <v>376337.6516</v>
      </c>
      <c r="M4273" s="162" t="s">
        <v>151</v>
      </c>
      <c r="N4273" s="162" t="s">
        <v>554</v>
      </c>
      <c r="O4273" s="164">
        <v>45219.0</v>
      </c>
      <c r="P4273" s="164">
        <f t="array" ref="P4273">XLOOKUP('FACP$'!$B4273,'perfil de pagos'!$A$4:$A$46,'perfil de pagos'!$B$4:$B$46+'FACP$'!$D4273)</f>
        <v>45217</v>
      </c>
      <c r="Q4273" s="165">
        <f t="shared" si="2"/>
        <v>0</v>
      </c>
      <c r="R4273" s="167"/>
      <c r="S4273" s="167">
        <v>2511.0</v>
      </c>
      <c r="T4273" s="168">
        <f t="shared" si="3"/>
        <v>376337.6516</v>
      </c>
      <c r="U4273" s="168">
        <f t="shared" si="4"/>
        <v>0</v>
      </c>
      <c r="V4273" s="168">
        <f t="shared" si="5"/>
        <v>0</v>
      </c>
      <c r="W4273" s="168">
        <f t="shared" si="6"/>
        <v>0</v>
      </c>
      <c r="X4273" s="168">
        <f t="shared" si="7"/>
        <v>0</v>
      </c>
      <c r="Y4273" s="168">
        <f t="shared" si="8"/>
        <v>0</v>
      </c>
      <c r="Z4273" s="168">
        <f t="shared" si="9"/>
        <v>0</v>
      </c>
    </row>
    <row r="4274" ht="15.0" customHeight="1">
      <c r="A4274" s="157" t="s">
        <v>5415</v>
      </c>
      <c r="B4274" s="158" t="s">
        <v>27</v>
      </c>
      <c r="C4274" s="158" t="s">
        <v>5413</v>
      </c>
      <c r="D4274" s="159">
        <v>45187.0</v>
      </c>
      <c r="E4274" s="157" t="s">
        <v>731</v>
      </c>
      <c r="F4274" s="160">
        <v>253701.83</v>
      </c>
      <c r="G4274" s="160">
        <f>'FACP$'!$F4274*0.16</f>
        <v>40592.2928</v>
      </c>
      <c r="H4274" s="160">
        <f t="shared" si="124"/>
        <v>294294.1228</v>
      </c>
      <c r="I4274" s="160"/>
      <c r="J4274" s="161"/>
      <c r="K4274" s="160"/>
      <c r="L4274" s="160">
        <f>+'FACP$'!$H4274-'FACP$'!$I4274-'FACP$'!$K4274</f>
        <v>294294.1228</v>
      </c>
      <c r="M4274" s="162" t="s">
        <v>151</v>
      </c>
      <c r="N4274" s="162" t="s">
        <v>554</v>
      </c>
      <c r="O4274" s="164">
        <v>45219.0</v>
      </c>
      <c r="P4274" s="164">
        <f t="array" ref="P4274">XLOOKUP('FACP$'!$B4274,'perfil de pagos'!$A$4:$A$46,'perfil de pagos'!$B$4:$B$46+'FACP$'!$D4274)</f>
        <v>45217</v>
      </c>
      <c r="Q4274" s="165">
        <f t="shared" si="2"/>
        <v>0</v>
      </c>
      <c r="R4274" s="167"/>
      <c r="S4274" s="167">
        <v>2511.0</v>
      </c>
      <c r="T4274" s="168">
        <f t="shared" si="3"/>
        <v>294294.1228</v>
      </c>
      <c r="U4274" s="168">
        <f t="shared" si="4"/>
        <v>0</v>
      </c>
      <c r="V4274" s="168">
        <f t="shared" si="5"/>
        <v>0</v>
      </c>
      <c r="W4274" s="168">
        <f t="shared" si="6"/>
        <v>0</v>
      </c>
      <c r="X4274" s="168">
        <f t="shared" si="7"/>
        <v>0</v>
      </c>
      <c r="Y4274" s="168">
        <f t="shared" si="8"/>
        <v>0</v>
      </c>
      <c r="Z4274" s="168">
        <f t="shared" si="9"/>
        <v>0</v>
      </c>
    </row>
    <row r="4275" ht="15.0" customHeight="1">
      <c r="A4275" s="157" t="s">
        <v>5416</v>
      </c>
      <c r="B4275" s="158" t="s">
        <v>27</v>
      </c>
      <c r="C4275" s="158" t="s">
        <v>5417</v>
      </c>
      <c r="D4275" s="159">
        <v>45187.0</v>
      </c>
      <c r="E4275" s="157" t="s">
        <v>731</v>
      </c>
      <c r="F4275" s="160">
        <v>11202.17</v>
      </c>
      <c r="G4275" s="160">
        <f>'FACP$'!$F4275*0.16</f>
        <v>1792.3472</v>
      </c>
      <c r="H4275" s="160">
        <f t="shared" si="124"/>
        <v>12994.5172</v>
      </c>
      <c r="I4275" s="160"/>
      <c r="J4275" s="161"/>
      <c r="K4275" s="160"/>
      <c r="L4275" s="160">
        <f>+'FACP$'!$H4275-'FACP$'!$I4275-'FACP$'!$K4275</f>
        <v>12994.5172</v>
      </c>
      <c r="M4275" s="162" t="s">
        <v>151</v>
      </c>
      <c r="N4275" s="162" t="s">
        <v>554</v>
      </c>
      <c r="O4275" s="164">
        <v>45219.0</v>
      </c>
      <c r="P4275" s="164">
        <f t="array" ref="P4275">XLOOKUP('FACP$'!$B4275,'perfil de pagos'!$A$4:$A$46,'perfil de pagos'!$B$4:$B$46+'FACP$'!$D4275)</f>
        <v>45217</v>
      </c>
      <c r="Q4275" s="165">
        <f t="shared" si="2"/>
        <v>0</v>
      </c>
      <c r="R4275" s="167"/>
      <c r="S4275" s="167">
        <v>2511.0</v>
      </c>
      <c r="T4275" s="168">
        <f t="shared" si="3"/>
        <v>12994.5172</v>
      </c>
      <c r="U4275" s="168">
        <f t="shared" si="4"/>
        <v>0</v>
      </c>
      <c r="V4275" s="168">
        <f t="shared" si="5"/>
        <v>0</v>
      </c>
      <c r="W4275" s="168">
        <f t="shared" si="6"/>
        <v>0</v>
      </c>
      <c r="X4275" s="168">
        <f t="shared" si="7"/>
        <v>0</v>
      </c>
      <c r="Y4275" s="168">
        <f t="shared" si="8"/>
        <v>0</v>
      </c>
      <c r="Z4275" s="168">
        <f t="shared" si="9"/>
        <v>0</v>
      </c>
    </row>
    <row r="4276" ht="15.0" customHeight="1">
      <c r="A4276" s="157" t="s">
        <v>5418</v>
      </c>
      <c r="B4276" s="158" t="s">
        <v>27</v>
      </c>
      <c r="C4276" s="158" t="s">
        <v>5419</v>
      </c>
      <c r="D4276" s="159">
        <v>45187.0</v>
      </c>
      <c r="E4276" s="157" t="s">
        <v>731</v>
      </c>
      <c r="F4276" s="160">
        <v>12840.1</v>
      </c>
      <c r="G4276" s="160">
        <f>'FACP$'!$F4276*0.16</f>
        <v>2054.416</v>
      </c>
      <c r="H4276" s="160">
        <f t="shared" si="124"/>
        <v>14894.516</v>
      </c>
      <c r="I4276" s="160"/>
      <c r="J4276" s="161"/>
      <c r="K4276" s="160"/>
      <c r="L4276" s="160">
        <f>+'FACP$'!$H4276-'FACP$'!$I4276-'FACP$'!$K4276</f>
        <v>14894.516</v>
      </c>
      <c r="M4276" s="162" t="s">
        <v>151</v>
      </c>
      <c r="N4276" s="162" t="s">
        <v>554</v>
      </c>
      <c r="O4276" s="164">
        <v>45219.0</v>
      </c>
      <c r="P4276" s="164">
        <f t="array" ref="P4276">XLOOKUP('FACP$'!$B4276,'perfil de pagos'!$A$4:$A$46,'perfil de pagos'!$B$4:$B$46+'FACP$'!$D4276)</f>
        <v>45217</v>
      </c>
      <c r="Q4276" s="165">
        <f t="shared" si="2"/>
        <v>0</v>
      </c>
      <c r="R4276" s="167"/>
      <c r="S4276" s="167">
        <v>2511.0</v>
      </c>
      <c r="T4276" s="168">
        <f t="shared" si="3"/>
        <v>14894.516</v>
      </c>
      <c r="U4276" s="168">
        <f t="shared" si="4"/>
        <v>0</v>
      </c>
      <c r="V4276" s="168">
        <f t="shared" si="5"/>
        <v>0</v>
      </c>
      <c r="W4276" s="168">
        <f t="shared" si="6"/>
        <v>0</v>
      </c>
      <c r="X4276" s="168">
        <f t="shared" si="7"/>
        <v>0</v>
      </c>
      <c r="Y4276" s="168">
        <f t="shared" si="8"/>
        <v>0</v>
      </c>
      <c r="Z4276" s="168">
        <f t="shared" si="9"/>
        <v>0</v>
      </c>
    </row>
    <row r="4277" ht="15.0" customHeight="1">
      <c r="A4277" s="157" t="s">
        <v>5420</v>
      </c>
      <c r="B4277" s="158" t="s">
        <v>41</v>
      </c>
      <c r="C4277" s="158" t="s">
        <v>5409</v>
      </c>
      <c r="D4277" s="159">
        <v>45187.0</v>
      </c>
      <c r="E4277" s="157" t="s">
        <v>731</v>
      </c>
      <c r="F4277" s="160">
        <v>185282.5</v>
      </c>
      <c r="G4277" s="160">
        <f>'FACP$'!$F4277*0.16</f>
        <v>29645.2</v>
      </c>
      <c r="H4277" s="160">
        <f t="shared" si="124"/>
        <v>214927.7</v>
      </c>
      <c r="I4277" s="160"/>
      <c r="J4277" s="161"/>
      <c r="K4277" s="160"/>
      <c r="L4277" s="160">
        <f>+'FACP$'!$H4277-'FACP$'!$I4277-'FACP$'!$K4277</f>
        <v>214927.7</v>
      </c>
      <c r="M4277" s="162" t="s">
        <v>121</v>
      </c>
      <c r="N4277" s="162" t="s">
        <v>554</v>
      </c>
      <c r="O4277" s="164">
        <v>45202.0</v>
      </c>
      <c r="P4277" s="164">
        <f t="array" ref="P4277">XLOOKUP('FACP$'!$B4277,'perfil de pagos'!$A$4:$A$46,'perfil de pagos'!$B$4:$B$46+'FACP$'!$D4277)</f>
        <v>45197</v>
      </c>
      <c r="Q4277" s="165">
        <f t="shared" si="2"/>
        <v>0</v>
      </c>
      <c r="R4277" s="167"/>
      <c r="S4277" s="167">
        <v>2457.0</v>
      </c>
      <c r="T4277" s="168">
        <f t="shared" si="3"/>
        <v>214927.7</v>
      </c>
      <c r="U4277" s="168">
        <f t="shared" si="4"/>
        <v>0</v>
      </c>
      <c r="V4277" s="168">
        <f t="shared" si="5"/>
        <v>0</v>
      </c>
      <c r="W4277" s="168">
        <f t="shared" si="6"/>
        <v>0</v>
      </c>
      <c r="X4277" s="168">
        <f t="shared" si="7"/>
        <v>0</v>
      </c>
      <c r="Y4277" s="168">
        <f t="shared" si="8"/>
        <v>0</v>
      </c>
      <c r="Z4277" s="168">
        <f t="shared" si="9"/>
        <v>0</v>
      </c>
    </row>
    <row r="4278" ht="15.0" customHeight="1">
      <c r="A4278" s="157" t="s">
        <v>5421</v>
      </c>
      <c r="B4278" s="158" t="s">
        <v>42</v>
      </c>
      <c r="C4278" s="158" t="s">
        <v>5409</v>
      </c>
      <c r="D4278" s="159">
        <v>45187.0</v>
      </c>
      <c r="E4278" s="157" t="s">
        <v>731</v>
      </c>
      <c r="F4278" s="160">
        <v>80250.65</v>
      </c>
      <c r="G4278" s="160">
        <f>'FACP$'!$F4278*0.16</f>
        <v>12840.104</v>
      </c>
      <c r="H4278" s="160">
        <f t="shared" si="124"/>
        <v>93090.754</v>
      </c>
      <c r="I4278" s="160"/>
      <c r="J4278" s="161"/>
      <c r="K4278" s="160"/>
      <c r="L4278" s="160">
        <f>+'FACP$'!$H4278-'FACP$'!$I4278-'FACP$'!$K4278</f>
        <v>93090.754</v>
      </c>
      <c r="M4278" s="162" t="s">
        <v>42</v>
      </c>
      <c r="N4278" s="162" t="s">
        <v>554</v>
      </c>
      <c r="O4278" s="164">
        <v>45202.0</v>
      </c>
      <c r="P4278" s="164">
        <f t="array" ref="P4278">XLOOKUP('FACP$'!$B4278,'perfil de pagos'!$A$4:$A$46,'perfil de pagos'!$B$4:$B$46+'FACP$'!$D4278)</f>
        <v>45197</v>
      </c>
      <c r="Q4278" s="165">
        <f t="shared" si="2"/>
        <v>0</v>
      </c>
      <c r="R4278" s="167"/>
      <c r="S4278" s="167">
        <v>2458.0</v>
      </c>
      <c r="T4278" s="168">
        <f t="shared" si="3"/>
        <v>93090.754</v>
      </c>
      <c r="U4278" s="168">
        <f t="shared" si="4"/>
        <v>0</v>
      </c>
      <c r="V4278" s="168">
        <f t="shared" si="5"/>
        <v>0</v>
      </c>
      <c r="W4278" s="168">
        <f t="shared" si="6"/>
        <v>0</v>
      </c>
      <c r="X4278" s="168">
        <f t="shared" si="7"/>
        <v>0</v>
      </c>
      <c r="Y4278" s="168">
        <f t="shared" si="8"/>
        <v>0</v>
      </c>
      <c r="Z4278" s="168">
        <f t="shared" si="9"/>
        <v>0</v>
      </c>
    </row>
    <row r="4279" ht="15.0" customHeight="1">
      <c r="A4279" s="157" t="s">
        <v>5422</v>
      </c>
      <c r="B4279" s="158" t="s">
        <v>43</v>
      </c>
      <c r="C4279" s="158" t="s">
        <v>5409</v>
      </c>
      <c r="D4279" s="159">
        <v>45187.0</v>
      </c>
      <c r="E4279" s="157" t="s">
        <v>731</v>
      </c>
      <c r="F4279" s="160">
        <v>446382.91</v>
      </c>
      <c r="G4279" s="160">
        <f>'FACP$'!$F4279*0.16</f>
        <v>71421.2656</v>
      </c>
      <c r="H4279" s="160">
        <f t="shared" si="124"/>
        <v>517804.1756</v>
      </c>
      <c r="I4279" s="160"/>
      <c r="J4279" s="161"/>
      <c r="K4279" s="160"/>
      <c r="L4279" s="160">
        <f>+'FACP$'!$H4279-'FACP$'!$I4279-'FACP$'!$K4279</f>
        <v>517804.1756</v>
      </c>
      <c r="M4279" s="162" t="s">
        <v>43</v>
      </c>
      <c r="N4279" s="162" t="s">
        <v>554</v>
      </c>
      <c r="O4279" s="164">
        <v>45247.0</v>
      </c>
      <c r="P4279" s="164">
        <f t="array" ref="P4279">XLOOKUP('FACP$'!$B4279,'perfil de pagos'!$A$4:$A$46,'perfil de pagos'!$B$4:$B$46+'FACP$'!$D4279)</f>
        <v>45212</v>
      </c>
      <c r="Q4279" s="165">
        <f t="shared" si="2"/>
        <v>0</v>
      </c>
      <c r="R4279" s="167"/>
      <c r="S4279" s="167">
        <v>2587.0</v>
      </c>
      <c r="T4279" s="168">
        <f t="shared" si="3"/>
        <v>517804.1756</v>
      </c>
      <c r="U4279" s="168">
        <f t="shared" si="4"/>
        <v>0</v>
      </c>
      <c r="V4279" s="168">
        <f t="shared" si="5"/>
        <v>0</v>
      </c>
      <c r="W4279" s="168">
        <f t="shared" si="6"/>
        <v>0</v>
      </c>
      <c r="X4279" s="168">
        <f t="shared" si="7"/>
        <v>0</v>
      </c>
      <c r="Y4279" s="168">
        <f t="shared" si="8"/>
        <v>0</v>
      </c>
      <c r="Z4279" s="168">
        <f t="shared" si="9"/>
        <v>0</v>
      </c>
    </row>
    <row r="4280" ht="15.0" customHeight="1">
      <c r="A4280" s="157" t="s">
        <v>5423</v>
      </c>
      <c r="B4280" s="158" t="s">
        <v>43</v>
      </c>
      <c r="C4280" s="158" t="s">
        <v>5413</v>
      </c>
      <c r="D4280" s="159">
        <v>45187.0</v>
      </c>
      <c r="E4280" s="157" t="s">
        <v>731</v>
      </c>
      <c r="F4280" s="160">
        <v>503279.09</v>
      </c>
      <c r="G4280" s="160">
        <f>'FACP$'!$F4280*0.16</f>
        <v>80524.6544</v>
      </c>
      <c r="H4280" s="160">
        <f t="shared" si="124"/>
        <v>583803.7444</v>
      </c>
      <c r="I4280" s="160"/>
      <c r="J4280" s="161"/>
      <c r="K4280" s="160"/>
      <c r="L4280" s="160">
        <f>+'FACP$'!$H4280-'FACP$'!$I4280-'FACP$'!$K4280</f>
        <v>583803.7444</v>
      </c>
      <c r="M4280" s="162" t="s">
        <v>43</v>
      </c>
      <c r="N4280" s="162" t="s">
        <v>554</v>
      </c>
      <c r="O4280" s="164">
        <v>45226.0</v>
      </c>
      <c r="P4280" s="164">
        <f t="array" ref="P4280">XLOOKUP('FACP$'!$B4280,'perfil de pagos'!$A$4:$A$46,'perfil de pagos'!$B$4:$B$46+'FACP$'!$D4280)</f>
        <v>45212</v>
      </c>
      <c r="Q4280" s="165">
        <f t="shared" si="2"/>
        <v>0</v>
      </c>
      <c r="R4280" s="167"/>
      <c r="S4280" s="167">
        <v>2529.0</v>
      </c>
      <c r="T4280" s="168">
        <f t="shared" si="3"/>
        <v>583803.7444</v>
      </c>
      <c r="U4280" s="168">
        <f t="shared" si="4"/>
        <v>0</v>
      </c>
      <c r="V4280" s="168">
        <f t="shared" si="5"/>
        <v>0</v>
      </c>
      <c r="W4280" s="168">
        <f t="shared" si="6"/>
        <v>0</v>
      </c>
      <c r="X4280" s="168">
        <f t="shared" si="7"/>
        <v>0</v>
      </c>
      <c r="Y4280" s="168">
        <f t="shared" si="8"/>
        <v>0</v>
      </c>
      <c r="Z4280" s="168">
        <f t="shared" si="9"/>
        <v>0</v>
      </c>
    </row>
    <row r="4281" ht="15.0" customHeight="1">
      <c r="A4281" s="157" t="s">
        <v>5424</v>
      </c>
      <c r="B4281" s="158" t="s">
        <v>44</v>
      </c>
      <c r="C4281" s="158" t="s">
        <v>5409</v>
      </c>
      <c r="D4281" s="159">
        <v>45187.0</v>
      </c>
      <c r="E4281" s="157" t="s">
        <v>731</v>
      </c>
      <c r="F4281" s="160">
        <v>62394.33</v>
      </c>
      <c r="G4281" s="160">
        <f>'FACP$'!$F4281*0.16</f>
        <v>9983.0928</v>
      </c>
      <c r="H4281" s="160">
        <f t="shared" si="124"/>
        <v>72377.4228</v>
      </c>
      <c r="I4281" s="160"/>
      <c r="J4281" s="161"/>
      <c r="K4281" s="160"/>
      <c r="L4281" s="160">
        <f>+'FACP$'!$H4281-'FACP$'!$I4281-'FACP$'!$K4281</f>
        <v>72377.4228</v>
      </c>
      <c r="M4281" s="162" t="s">
        <v>361</v>
      </c>
      <c r="N4281" s="162" t="s">
        <v>554</v>
      </c>
      <c r="O4281" s="164">
        <v>45205.0</v>
      </c>
      <c r="P4281" s="164">
        <f t="array" ref="P4281">XLOOKUP('FACP$'!$B4281,'perfil de pagos'!$A$4:$A$46,'perfil de pagos'!$B$4:$B$46+'FACP$'!$D4281)</f>
        <v>45197</v>
      </c>
      <c r="Q4281" s="165">
        <f t="shared" si="2"/>
        <v>0</v>
      </c>
      <c r="R4281" s="167"/>
      <c r="S4281" s="167">
        <v>2472.0</v>
      </c>
      <c r="T4281" s="168">
        <f t="shared" si="3"/>
        <v>72377.4228</v>
      </c>
      <c r="U4281" s="168">
        <f t="shared" si="4"/>
        <v>0</v>
      </c>
      <c r="V4281" s="168">
        <f t="shared" si="5"/>
        <v>0</v>
      </c>
      <c r="W4281" s="168">
        <f t="shared" si="6"/>
        <v>0</v>
      </c>
      <c r="X4281" s="168">
        <f t="shared" si="7"/>
        <v>0</v>
      </c>
      <c r="Y4281" s="168">
        <f t="shared" si="8"/>
        <v>0</v>
      </c>
      <c r="Z4281" s="168">
        <f t="shared" si="9"/>
        <v>0</v>
      </c>
    </row>
    <row r="4282" ht="15.0" customHeight="1">
      <c r="A4282" s="157" t="s">
        <v>5425</v>
      </c>
      <c r="B4282" s="158" t="s">
        <v>38</v>
      </c>
      <c r="C4282" s="158" t="s">
        <v>5409</v>
      </c>
      <c r="D4282" s="159">
        <v>45188.0</v>
      </c>
      <c r="E4282" s="157" t="s">
        <v>731</v>
      </c>
      <c r="F4282" s="160">
        <v>231983.58</v>
      </c>
      <c r="G4282" s="160">
        <f>'FACP$'!$F4282*0.16</f>
        <v>37117.3728</v>
      </c>
      <c r="H4282" s="160">
        <f t="shared" si="124"/>
        <v>269100.9528</v>
      </c>
      <c r="I4282" s="160"/>
      <c r="J4282" s="161"/>
      <c r="K4282" s="160"/>
      <c r="L4282" s="160">
        <f>+'FACP$'!$H4282-'FACP$'!$I4282-'FACP$'!$K4282</f>
        <v>269100.9528</v>
      </c>
      <c r="M4282" s="162" t="s">
        <v>4654</v>
      </c>
      <c r="N4282" s="162" t="s">
        <v>554</v>
      </c>
      <c r="O4282" s="164">
        <v>45230.0</v>
      </c>
      <c r="P4282" s="164">
        <f t="array" ref="P4282">XLOOKUP('FACP$'!$B4282,'perfil de pagos'!$A$4:$A$46,'perfil de pagos'!$B$4:$B$46+'FACP$'!$D4282)</f>
        <v>45218</v>
      </c>
      <c r="Q4282" s="165">
        <f t="shared" si="2"/>
        <v>0</v>
      </c>
      <c r="R4282" s="167"/>
      <c r="S4282" s="167">
        <v>2547.0</v>
      </c>
      <c r="T4282" s="168">
        <f t="shared" si="3"/>
        <v>269100.9528</v>
      </c>
      <c r="U4282" s="168">
        <f t="shared" si="4"/>
        <v>0</v>
      </c>
      <c r="V4282" s="168">
        <f t="shared" si="5"/>
        <v>0</v>
      </c>
      <c r="W4282" s="168">
        <f t="shared" si="6"/>
        <v>0</v>
      </c>
      <c r="X4282" s="168">
        <f t="shared" si="7"/>
        <v>0</v>
      </c>
      <c r="Y4282" s="168">
        <f t="shared" si="8"/>
        <v>0</v>
      </c>
      <c r="Z4282" s="168">
        <f t="shared" si="9"/>
        <v>0</v>
      </c>
    </row>
    <row r="4283" ht="15.0" customHeight="1">
      <c r="A4283" s="157" t="s">
        <v>5426</v>
      </c>
      <c r="B4283" s="158" t="s">
        <v>38</v>
      </c>
      <c r="C4283" s="158" t="s">
        <v>5409</v>
      </c>
      <c r="D4283" s="159">
        <v>45188.0</v>
      </c>
      <c r="E4283" s="157" t="s">
        <v>731</v>
      </c>
      <c r="F4283" s="160">
        <v>87555.11</v>
      </c>
      <c r="G4283" s="160">
        <f>'FACP$'!$F4283*0.16</f>
        <v>14008.8176</v>
      </c>
      <c r="H4283" s="160">
        <f t="shared" si="124"/>
        <v>101563.9276</v>
      </c>
      <c r="I4283" s="160"/>
      <c r="J4283" s="161"/>
      <c r="K4283" s="160"/>
      <c r="L4283" s="160">
        <f>+'FACP$'!$H4283-'FACP$'!$I4283-'FACP$'!$K4283</f>
        <v>101563.9276</v>
      </c>
      <c r="M4283" s="162" t="s">
        <v>4707</v>
      </c>
      <c r="N4283" s="162" t="s">
        <v>554</v>
      </c>
      <c r="O4283" s="164">
        <v>45245.0</v>
      </c>
      <c r="P4283" s="164">
        <f t="array" ref="P4283">XLOOKUP('FACP$'!$B4283,'perfil de pagos'!$A$4:$A$46,'perfil de pagos'!$B$4:$B$46+'FACP$'!$D4283)</f>
        <v>45218</v>
      </c>
      <c r="Q4283" s="165">
        <f t="shared" si="2"/>
        <v>0</v>
      </c>
      <c r="R4283" s="167"/>
      <c r="S4283" s="167">
        <v>2584.0</v>
      </c>
      <c r="T4283" s="168">
        <f t="shared" si="3"/>
        <v>101563.9276</v>
      </c>
      <c r="U4283" s="168">
        <f t="shared" si="4"/>
        <v>0</v>
      </c>
      <c r="V4283" s="168">
        <f t="shared" si="5"/>
        <v>0</v>
      </c>
      <c r="W4283" s="168">
        <f t="shared" si="6"/>
        <v>0</v>
      </c>
      <c r="X4283" s="168">
        <f t="shared" si="7"/>
        <v>0</v>
      </c>
      <c r="Y4283" s="168">
        <f t="shared" si="8"/>
        <v>0</v>
      </c>
      <c r="Z4283" s="168">
        <f t="shared" si="9"/>
        <v>0</v>
      </c>
    </row>
    <row r="4284" ht="15.0" customHeight="1">
      <c r="A4284" s="157" t="s">
        <v>5427</v>
      </c>
      <c r="B4284" s="158" t="s">
        <v>38</v>
      </c>
      <c r="C4284" s="158" t="s">
        <v>5413</v>
      </c>
      <c r="D4284" s="159">
        <v>45188.0</v>
      </c>
      <c r="E4284" s="157" t="s">
        <v>731</v>
      </c>
      <c r="F4284" s="160">
        <v>119949.65</v>
      </c>
      <c r="G4284" s="160">
        <f>'FACP$'!$F4284*0.16</f>
        <v>19191.944</v>
      </c>
      <c r="H4284" s="160">
        <f t="shared" si="124"/>
        <v>139141.594</v>
      </c>
      <c r="I4284" s="160"/>
      <c r="J4284" s="161"/>
      <c r="K4284" s="160"/>
      <c r="L4284" s="160">
        <f>+'FACP$'!$H4284-'FACP$'!$I4284-'FACP$'!$K4284</f>
        <v>139141.594</v>
      </c>
      <c r="M4284" s="162" t="s">
        <v>4707</v>
      </c>
      <c r="N4284" s="162" t="s">
        <v>554</v>
      </c>
      <c r="O4284" s="164">
        <v>45245.0</v>
      </c>
      <c r="P4284" s="164">
        <f t="array" ref="P4284">XLOOKUP('FACP$'!$B4284,'perfil de pagos'!$A$4:$A$46,'perfil de pagos'!$B$4:$B$46+'FACP$'!$D4284)</f>
        <v>45218</v>
      </c>
      <c r="Q4284" s="165">
        <f t="shared" si="2"/>
        <v>0</v>
      </c>
      <c r="R4284" s="167"/>
      <c r="S4284" s="167">
        <v>2584.0</v>
      </c>
      <c r="T4284" s="168">
        <f t="shared" si="3"/>
        <v>139141.594</v>
      </c>
      <c r="U4284" s="168">
        <f t="shared" si="4"/>
        <v>0</v>
      </c>
      <c r="V4284" s="168">
        <f t="shared" si="5"/>
        <v>0</v>
      </c>
      <c r="W4284" s="168">
        <f t="shared" si="6"/>
        <v>0</v>
      </c>
      <c r="X4284" s="168">
        <f t="shared" si="7"/>
        <v>0</v>
      </c>
      <c r="Y4284" s="168">
        <f t="shared" si="8"/>
        <v>0</v>
      </c>
      <c r="Z4284" s="168">
        <f t="shared" si="9"/>
        <v>0</v>
      </c>
    </row>
    <row r="4285" ht="15.0" customHeight="1">
      <c r="A4285" s="157" t="s">
        <v>5428</v>
      </c>
      <c r="B4285" s="158" t="s">
        <v>31</v>
      </c>
      <c r="C4285" s="158" t="s">
        <v>5429</v>
      </c>
      <c r="D4285" s="159">
        <v>45189.0</v>
      </c>
      <c r="E4285" s="157" t="s">
        <v>731</v>
      </c>
      <c r="F4285" s="160">
        <v>36412.5</v>
      </c>
      <c r="G4285" s="160">
        <f>'FACP$'!$F4285*0.16</f>
        <v>5826</v>
      </c>
      <c r="H4285" s="160">
        <f t="shared" si="124"/>
        <v>42238.5</v>
      </c>
      <c r="I4285" s="160"/>
      <c r="J4285" s="161"/>
      <c r="K4285" s="160"/>
      <c r="L4285" s="160">
        <f>+'FACP$'!$H4285-'FACP$'!$I4285-'FACP$'!$K4285</f>
        <v>42238.5</v>
      </c>
      <c r="M4285" s="162" t="s">
        <v>3183</v>
      </c>
      <c r="N4285" s="162" t="s">
        <v>554</v>
      </c>
      <c r="O4285" s="164">
        <v>45188.0</v>
      </c>
      <c r="P4285" s="164">
        <f t="array" ref="P4285">XLOOKUP('FACP$'!$B4285,'perfil de pagos'!$A$4:$A$46,'perfil de pagos'!$B$4:$B$46+'FACP$'!$D4285)</f>
        <v>45192</v>
      </c>
      <c r="Q4285" s="165">
        <f t="shared" si="2"/>
        <v>0</v>
      </c>
      <c r="R4285" s="167"/>
      <c r="S4285" s="167"/>
      <c r="T4285" s="168">
        <f t="shared" si="3"/>
        <v>42238.5</v>
      </c>
      <c r="U4285" s="168">
        <f t="shared" si="4"/>
        <v>0</v>
      </c>
      <c r="V4285" s="168">
        <f t="shared" si="5"/>
        <v>0</v>
      </c>
      <c r="W4285" s="168">
        <f t="shared" si="6"/>
        <v>0</v>
      </c>
      <c r="X4285" s="168">
        <f t="shared" si="7"/>
        <v>0</v>
      </c>
      <c r="Y4285" s="168">
        <f t="shared" si="8"/>
        <v>0</v>
      </c>
      <c r="Z4285" s="168">
        <f t="shared" si="9"/>
        <v>0</v>
      </c>
    </row>
    <row r="4286" ht="15.0" customHeight="1">
      <c r="A4286" s="157" t="s">
        <v>5430</v>
      </c>
      <c r="B4286" s="158" t="s">
        <v>32</v>
      </c>
      <c r="C4286" s="158" t="s">
        <v>5409</v>
      </c>
      <c r="D4286" s="159">
        <v>45190.0</v>
      </c>
      <c r="E4286" s="157" t="s">
        <v>731</v>
      </c>
      <c r="F4286" s="160">
        <v>39692.6</v>
      </c>
      <c r="G4286" s="160">
        <f>'FACP$'!$F4286*0.16</f>
        <v>6350.816</v>
      </c>
      <c r="H4286" s="160">
        <f t="shared" si="124"/>
        <v>46043.416</v>
      </c>
      <c r="I4286" s="160"/>
      <c r="J4286" s="161"/>
      <c r="K4286" s="160"/>
      <c r="L4286" s="160">
        <f>+'FACP$'!$H4286-'FACP$'!$I4286-'FACP$'!$K4286</f>
        <v>46043.416</v>
      </c>
      <c r="M4286" s="162" t="s">
        <v>395</v>
      </c>
      <c r="N4286" s="162" t="s">
        <v>554</v>
      </c>
      <c r="O4286" s="164">
        <v>45197.0</v>
      </c>
      <c r="P4286" s="164">
        <f t="array" ref="P4286">XLOOKUP('FACP$'!$B4286,'perfil de pagos'!$A$4:$A$46,'perfil de pagos'!$B$4:$B$46+'FACP$'!$D4286)</f>
        <v>45200</v>
      </c>
      <c r="Q4286" s="165">
        <f t="shared" si="2"/>
        <v>0</v>
      </c>
      <c r="R4286" s="167"/>
      <c r="S4286" s="167">
        <v>2455.0</v>
      </c>
      <c r="T4286" s="168">
        <f t="shared" si="3"/>
        <v>46043.416</v>
      </c>
      <c r="U4286" s="168">
        <f t="shared" si="4"/>
        <v>0</v>
      </c>
      <c r="V4286" s="168">
        <f t="shared" si="5"/>
        <v>0</v>
      </c>
      <c r="W4286" s="168">
        <f t="shared" si="6"/>
        <v>0</v>
      </c>
      <c r="X4286" s="168">
        <f t="shared" si="7"/>
        <v>0</v>
      </c>
      <c r="Y4286" s="168">
        <f t="shared" si="8"/>
        <v>0</v>
      </c>
      <c r="Z4286" s="168">
        <f t="shared" si="9"/>
        <v>0</v>
      </c>
    </row>
    <row r="4287" ht="15.0" customHeight="1">
      <c r="A4287" s="157" t="s">
        <v>5431</v>
      </c>
      <c r="B4287" s="158" t="s">
        <v>16</v>
      </c>
      <c r="C4287" s="158" t="s">
        <v>5409</v>
      </c>
      <c r="D4287" s="159">
        <v>45191.0</v>
      </c>
      <c r="E4287" s="157" t="s">
        <v>731</v>
      </c>
      <c r="F4287" s="160">
        <v>318960.12</v>
      </c>
      <c r="G4287" s="160">
        <f>'FACP$'!$F4287*0.16</f>
        <v>51033.6192</v>
      </c>
      <c r="H4287" s="160">
        <f t="shared" si="124"/>
        <v>369993.7392</v>
      </c>
      <c r="I4287" s="160"/>
      <c r="J4287" s="161"/>
      <c r="K4287" s="160"/>
      <c r="L4287" s="160">
        <f>+'FACP$'!$H4287-'FACP$'!$I4287-'FACP$'!$K4287</f>
        <v>369993.7392</v>
      </c>
      <c r="M4287" s="162" t="s">
        <v>985</v>
      </c>
      <c r="N4287" s="162" t="s">
        <v>554</v>
      </c>
      <c r="O4287" s="164">
        <v>45229.0</v>
      </c>
      <c r="P4287" s="164">
        <f t="array" ref="P4287">XLOOKUP('FACP$'!$B4287,'perfil de pagos'!$A$4:$A$46,'perfil de pagos'!$B$4:$B$46+'FACP$'!$D4287)</f>
        <v>45201</v>
      </c>
      <c r="Q4287" s="165">
        <f t="shared" si="2"/>
        <v>0</v>
      </c>
      <c r="R4287" s="167"/>
      <c r="S4287" s="167">
        <v>2533.0</v>
      </c>
      <c r="T4287" s="168">
        <f t="shared" si="3"/>
        <v>369993.7392</v>
      </c>
      <c r="U4287" s="168">
        <f t="shared" si="4"/>
        <v>0</v>
      </c>
      <c r="V4287" s="168">
        <f t="shared" si="5"/>
        <v>0</v>
      </c>
      <c r="W4287" s="168">
        <f t="shared" si="6"/>
        <v>0</v>
      </c>
      <c r="X4287" s="168">
        <f t="shared" si="7"/>
        <v>0</v>
      </c>
      <c r="Y4287" s="168">
        <f t="shared" si="8"/>
        <v>0</v>
      </c>
      <c r="Z4287" s="168">
        <f t="shared" si="9"/>
        <v>0</v>
      </c>
    </row>
    <row r="4288" ht="15.0" customHeight="1">
      <c r="A4288" s="157" t="s">
        <v>5432</v>
      </c>
      <c r="B4288" s="158" t="s">
        <v>16</v>
      </c>
      <c r="C4288" s="158" t="s">
        <v>5413</v>
      </c>
      <c r="D4288" s="159">
        <v>45191.0</v>
      </c>
      <c r="E4288" s="157" t="s">
        <v>731</v>
      </c>
      <c r="F4288" s="160">
        <v>485228.32</v>
      </c>
      <c r="G4288" s="160">
        <f>'FACP$'!$F4288*0.16</f>
        <v>77636.5312</v>
      </c>
      <c r="H4288" s="160">
        <f t="shared" si="124"/>
        <v>562864.8512</v>
      </c>
      <c r="I4288" s="160"/>
      <c r="J4288" s="161"/>
      <c r="K4288" s="160"/>
      <c r="L4288" s="160">
        <f>+'FACP$'!$H4288-'FACP$'!$I4288-'FACP$'!$K4288</f>
        <v>562864.8512</v>
      </c>
      <c r="M4288" s="162" t="s">
        <v>985</v>
      </c>
      <c r="N4288" s="162" t="s">
        <v>554</v>
      </c>
      <c r="O4288" s="164">
        <v>45252.0</v>
      </c>
      <c r="P4288" s="164">
        <f t="array" ref="P4288">XLOOKUP('FACP$'!$B4288,'perfil de pagos'!$A$4:$A$46,'perfil de pagos'!$B$4:$B$46+'FACP$'!$D4288)</f>
        <v>45201</v>
      </c>
      <c r="Q4288" s="165">
        <f t="shared" si="2"/>
        <v>0</v>
      </c>
      <c r="R4288" s="167"/>
      <c r="S4288" s="167">
        <v>2600.0</v>
      </c>
      <c r="T4288" s="168">
        <f t="shared" si="3"/>
        <v>562864.8512</v>
      </c>
      <c r="U4288" s="168">
        <f t="shared" si="4"/>
        <v>0</v>
      </c>
      <c r="V4288" s="168">
        <f t="shared" si="5"/>
        <v>0</v>
      </c>
      <c r="W4288" s="168">
        <f t="shared" si="6"/>
        <v>0</v>
      </c>
      <c r="X4288" s="168">
        <f t="shared" si="7"/>
        <v>0</v>
      </c>
      <c r="Y4288" s="168">
        <f t="shared" si="8"/>
        <v>0</v>
      </c>
      <c r="Z4288" s="168">
        <f t="shared" si="9"/>
        <v>0</v>
      </c>
    </row>
    <row r="4289" ht="15.0" customHeight="1">
      <c r="A4289" s="157" t="s">
        <v>5433</v>
      </c>
      <c r="B4289" s="158" t="s">
        <v>18</v>
      </c>
      <c r="C4289" s="158" t="s">
        <v>5409</v>
      </c>
      <c r="D4289" s="159">
        <v>45191.0</v>
      </c>
      <c r="E4289" s="157" t="s">
        <v>731</v>
      </c>
      <c r="F4289" s="160">
        <v>42007.0</v>
      </c>
      <c r="G4289" s="160">
        <f>'FACP$'!$F4289*0.16</f>
        <v>6721.12</v>
      </c>
      <c r="H4289" s="160">
        <f t="shared" si="124"/>
        <v>48728.12</v>
      </c>
      <c r="I4289" s="160"/>
      <c r="J4289" s="161"/>
      <c r="K4289" s="160"/>
      <c r="L4289" s="160">
        <f>+'FACP$'!$H4289-'FACP$'!$I4289-'FACP$'!$K4289</f>
        <v>48728.12</v>
      </c>
      <c r="M4289" s="162" t="s">
        <v>586</v>
      </c>
      <c r="N4289" s="162" t="s">
        <v>554</v>
      </c>
      <c r="O4289" s="164">
        <v>45208.0</v>
      </c>
      <c r="P4289" s="164">
        <f t="array" ref="P4289">XLOOKUP('FACP$'!$B4289,'perfil de pagos'!$A$4:$A$46,'perfil de pagos'!$B$4:$B$46+'FACP$'!$D4289)</f>
        <v>45201</v>
      </c>
      <c r="Q4289" s="165">
        <f t="shared" si="2"/>
        <v>0</v>
      </c>
      <c r="R4289" s="167"/>
      <c r="S4289" s="167">
        <v>2482.0</v>
      </c>
      <c r="T4289" s="168">
        <f t="shared" si="3"/>
        <v>48728.12</v>
      </c>
      <c r="U4289" s="168">
        <f t="shared" si="4"/>
        <v>0</v>
      </c>
      <c r="V4289" s="168">
        <f t="shared" si="5"/>
        <v>0</v>
      </c>
      <c r="W4289" s="168">
        <f t="shared" si="6"/>
        <v>0</v>
      </c>
      <c r="X4289" s="168">
        <f t="shared" si="7"/>
        <v>0</v>
      </c>
      <c r="Y4289" s="168">
        <f t="shared" si="8"/>
        <v>0</v>
      </c>
      <c r="Z4289" s="168">
        <f t="shared" si="9"/>
        <v>0</v>
      </c>
    </row>
    <row r="4290" ht="15.0" customHeight="1">
      <c r="A4290" s="157" t="s">
        <v>5434</v>
      </c>
      <c r="B4290" s="158" t="s">
        <v>19</v>
      </c>
      <c r="C4290" s="158" t="s">
        <v>5409</v>
      </c>
      <c r="D4290" s="159">
        <v>45191.0</v>
      </c>
      <c r="E4290" s="157" t="s">
        <v>731</v>
      </c>
      <c r="F4290" s="160">
        <v>72718.0</v>
      </c>
      <c r="G4290" s="160">
        <f>'FACP$'!$F4290*0.16</f>
        <v>11634.88</v>
      </c>
      <c r="H4290" s="160">
        <f t="shared" si="124"/>
        <v>84352.88</v>
      </c>
      <c r="I4290" s="160"/>
      <c r="J4290" s="161"/>
      <c r="K4290" s="160"/>
      <c r="L4290" s="160">
        <f>+'FACP$'!$H4290-'FACP$'!$I4290-'FACP$'!$K4290</f>
        <v>84352.88</v>
      </c>
      <c r="M4290" s="162" t="s">
        <v>732</v>
      </c>
      <c r="N4290" s="162" t="s">
        <v>554</v>
      </c>
      <c r="O4290" s="164">
        <v>45208.0</v>
      </c>
      <c r="P4290" s="164">
        <f t="array" ref="P4290">XLOOKUP('FACP$'!$B4290,'perfil de pagos'!$A$4:$A$46,'perfil de pagos'!$B$4:$B$46+'FACP$'!$D4290)</f>
        <v>45201</v>
      </c>
      <c r="Q4290" s="165">
        <f t="shared" si="2"/>
        <v>0</v>
      </c>
      <c r="R4290" s="167"/>
      <c r="S4290" s="167">
        <v>2482.0</v>
      </c>
      <c r="T4290" s="168">
        <f t="shared" si="3"/>
        <v>84352.88</v>
      </c>
      <c r="U4290" s="168">
        <f t="shared" si="4"/>
        <v>0</v>
      </c>
      <c r="V4290" s="168">
        <f t="shared" si="5"/>
        <v>0</v>
      </c>
      <c r="W4290" s="168">
        <f t="shared" si="6"/>
        <v>0</v>
      </c>
      <c r="X4290" s="168">
        <f t="shared" si="7"/>
        <v>0</v>
      </c>
      <c r="Y4290" s="168">
        <f t="shared" si="8"/>
        <v>0</v>
      </c>
      <c r="Z4290" s="168">
        <f t="shared" si="9"/>
        <v>0</v>
      </c>
    </row>
    <row r="4291" ht="15.0" customHeight="1">
      <c r="A4291" s="157" t="s">
        <v>5435</v>
      </c>
      <c r="B4291" s="158" t="s">
        <v>22</v>
      </c>
      <c r="C4291" s="158" t="s">
        <v>5409</v>
      </c>
      <c r="D4291" s="159">
        <v>45191.0</v>
      </c>
      <c r="E4291" s="157" t="s">
        <v>731</v>
      </c>
      <c r="F4291" s="160">
        <v>175415.42</v>
      </c>
      <c r="G4291" s="160">
        <f>'FACP$'!$F4291*0.16</f>
        <v>28066.4672</v>
      </c>
      <c r="H4291" s="160">
        <f t="shared" si="124"/>
        <v>203481.8872</v>
      </c>
      <c r="I4291" s="168">
        <v>45602.9856</v>
      </c>
      <c r="J4291" s="161"/>
      <c r="K4291" s="160"/>
      <c r="L4291" s="160">
        <f>+'FACP$'!$H4291-'FACP$'!$I4291-'FACP$'!$K4291</f>
        <v>157878.9016</v>
      </c>
      <c r="M4291" s="162" t="s">
        <v>220</v>
      </c>
      <c r="N4291" s="162" t="s">
        <v>554</v>
      </c>
      <c r="O4291" s="164">
        <v>45223.0</v>
      </c>
      <c r="P4291" s="164">
        <f t="array" ref="P4291">XLOOKUP('FACP$'!$B4291,'perfil de pagos'!$A$4:$A$46,'perfil de pagos'!$B$4:$B$46+'FACP$'!$D4291)</f>
        <v>45201</v>
      </c>
      <c r="Q4291" s="165">
        <f t="shared" si="2"/>
        <v>0</v>
      </c>
      <c r="R4291" s="220" t="s">
        <v>5436</v>
      </c>
      <c r="S4291" s="167" t="s">
        <v>5437</v>
      </c>
      <c r="T4291" s="168">
        <f t="shared" si="3"/>
        <v>157878.9016</v>
      </c>
      <c r="U4291" s="168">
        <f t="shared" si="4"/>
        <v>0</v>
      </c>
      <c r="V4291" s="168">
        <f t="shared" si="5"/>
        <v>0</v>
      </c>
      <c r="W4291" s="168">
        <f t="shared" si="6"/>
        <v>0</v>
      </c>
      <c r="X4291" s="168">
        <f t="shared" si="7"/>
        <v>0</v>
      </c>
      <c r="Y4291" s="168">
        <f t="shared" si="8"/>
        <v>0</v>
      </c>
      <c r="Z4291" s="168">
        <f t="shared" si="9"/>
        <v>0</v>
      </c>
    </row>
    <row r="4292" ht="15.0" customHeight="1">
      <c r="A4292" s="157" t="s">
        <v>5438</v>
      </c>
      <c r="B4292" s="158" t="s">
        <v>25</v>
      </c>
      <c r="C4292" s="158" t="s">
        <v>5409</v>
      </c>
      <c r="D4292" s="159">
        <v>45191.0</v>
      </c>
      <c r="E4292" s="157" t="s">
        <v>731</v>
      </c>
      <c r="F4292" s="160">
        <v>24710.0</v>
      </c>
      <c r="G4292" s="160">
        <f>'FACP$'!$F4292*0.16</f>
        <v>3953.6</v>
      </c>
      <c r="H4292" s="160">
        <f t="shared" si="124"/>
        <v>28663.6</v>
      </c>
      <c r="I4292" s="160"/>
      <c r="J4292" s="161"/>
      <c r="K4292" s="160"/>
      <c r="L4292" s="160">
        <f>+'FACP$'!$H4292-'FACP$'!$I4292-'FACP$'!$K4292</f>
        <v>28663.6</v>
      </c>
      <c r="M4292" s="162" t="s">
        <v>4388</v>
      </c>
      <c r="N4292" s="162" t="s">
        <v>554</v>
      </c>
      <c r="O4292" s="164">
        <v>45224.0</v>
      </c>
      <c r="P4292" s="164">
        <f t="array" ref="P4292">XLOOKUP('FACP$'!$B4292,'perfil de pagos'!$A$4:$A$46,'perfil de pagos'!$B$4:$B$46+'FACP$'!$D4292)</f>
        <v>45201</v>
      </c>
      <c r="Q4292" s="165">
        <f t="shared" si="2"/>
        <v>0</v>
      </c>
      <c r="R4292" s="167"/>
      <c r="S4292" s="167">
        <v>2523.0</v>
      </c>
      <c r="T4292" s="168">
        <f t="shared" si="3"/>
        <v>28663.6</v>
      </c>
      <c r="U4292" s="168">
        <f t="shared" si="4"/>
        <v>0</v>
      </c>
      <c r="V4292" s="168">
        <f t="shared" si="5"/>
        <v>0</v>
      </c>
      <c r="W4292" s="168">
        <f t="shared" si="6"/>
        <v>0</v>
      </c>
      <c r="X4292" s="168">
        <f t="shared" si="7"/>
        <v>0</v>
      </c>
      <c r="Y4292" s="168">
        <f t="shared" si="8"/>
        <v>0</v>
      </c>
      <c r="Z4292" s="168">
        <f t="shared" si="9"/>
        <v>0</v>
      </c>
    </row>
    <row r="4293" ht="15.0" customHeight="1">
      <c r="A4293" s="157" t="s">
        <v>5439</v>
      </c>
      <c r="B4293" s="158" t="s">
        <v>29</v>
      </c>
      <c r="C4293" s="158" t="s">
        <v>5409</v>
      </c>
      <c r="D4293" s="159">
        <v>45191.0</v>
      </c>
      <c r="E4293" s="157" t="s">
        <v>731</v>
      </c>
      <c r="F4293" s="160">
        <v>263417.16</v>
      </c>
      <c r="G4293" s="160">
        <f>'FACP$'!$F4293*0.16</f>
        <v>42146.7456</v>
      </c>
      <c r="H4293" s="160">
        <f t="shared" si="124"/>
        <v>305563.9056</v>
      </c>
      <c r="I4293" s="160"/>
      <c r="J4293" s="161"/>
      <c r="K4293" s="160"/>
      <c r="L4293" s="160">
        <f>+'FACP$'!$H4293-'FACP$'!$I4293-'FACP$'!$K4293</f>
        <v>305563.9056</v>
      </c>
      <c r="M4293" s="162" t="s">
        <v>130</v>
      </c>
      <c r="N4293" s="162" t="s">
        <v>554</v>
      </c>
      <c r="O4293" s="164">
        <v>45204.0</v>
      </c>
      <c r="P4293" s="164">
        <f t="array" ref="P4293">XLOOKUP('FACP$'!$B4293,'perfil de pagos'!$A$4:$A$46,'perfil de pagos'!$B$4:$B$46+'FACP$'!$D4293)</f>
        <v>45201</v>
      </c>
      <c r="Q4293" s="165">
        <f t="shared" si="2"/>
        <v>0</v>
      </c>
      <c r="R4293" s="167"/>
      <c r="S4293" s="167">
        <v>2470.0</v>
      </c>
      <c r="T4293" s="168">
        <f t="shared" si="3"/>
        <v>305563.9056</v>
      </c>
      <c r="U4293" s="168">
        <f t="shared" si="4"/>
        <v>0</v>
      </c>
      <c r="V4293" s="168">
        <f t="shared" si="5"/>
        <v>0</v>
      </c>
      <c r="W4293" s="168">
        <f t="shared" si="6"/>
        <v>0</v>
      </c>
      <c r="X4293" s="168">
        <f t="shared" si="7"/>
        <v>0</v>
      </c>
      <c r="Y4293" s="168">
        <f t="shared" si="8"/>
        <v>0</v>
      </c>
      <c r="Z4293" s="168">
        <f t="shared" si="9"/>
        <v>0</v>
      </c>
    </row>
    <row r="4294" ht="15.0" customHeight="1">
      <c r="A4294" s="157" t="s">
        <v>5440</v>
      </c>
      <c r="B4294" s="158" t="s">
        <v>29</v>
      </c>
      <c r="C4294" s="158" t="s">
        <v>5413</v>
      </c>
      <c r="D4294" s="159">
        <v>45191.0</v>
      </c>
      <c r="E4294" s="157" t="s">
        <v>731</v>
      </c>
      <c r="F4294" s="160">
        <v>383416.7</v>
      </c>
      <c r="G4294" s="160">
        <f>'FACP$'!$F4294*0.16</f>
        <v>61346.672</v>
      </c>
      <c r="H4294" s="160">
        <f t="shared" si="124"/>
        <v>444763.372</v>
      </c>
      <c r="I4294" s="160"/>
      <c r="J4294" s="161"/>
      <c r="K4294" s="160"/>
      <c r="L4294" s="160">
        <f>+'FACP$'!$H4294-'FACP$'!$I4294-'FACP$'!$K4294</f>
        <v>444763.372</v>
      </c>
      <c r="M4294" s="162" t="s">
        <v>130</v>
      </c>
      <c r="N4294" s="162" t="s">
        <v>554</v>
      </c>
      <c r="O4294" s="164">
        <v>45203.0</v>
      </c>
      <c r="P4294" s="164">
        <f t="array" ref="P4294">XLOOKUP('FACP$'!$B4294,'perfil de pagos'!$A$4:$A$46,'perfil de pagos'!$B$4:$B$46+'FACP$'!$D4294)</f>
        <v>45201</v>
      </c>
      <c r="Q4294" s="165">
        <f t="shared" si="2"/>
        <v>0</v>
      </c>
      <c r="R4294" s="167"/>
      <c r="S4294" s="167">
        <v>2468.0</v>
      </c>
      <c r="T4294" s="168">
        <f t="shared" si="3"/>
        <v>444763.372</v>
      </c>
      <c r="U4294" s="168">
        <f t="shared" si="4"/>
        <v>0</v>
      </c>
      <c r="V4294" s="168">
        <f t="shared" si="5"/>
        <v>0</v>
      </c>
      <c r="W4294" s="168">
        <f t="shared" si="6"/>
        <v>0</v>
      </c>
      <c r="X4294" s="168">
        <f t="shared" si="7"/>
        <v>0</v>
      </c>
      <c r="Y4294" s="168">
        <f t="shared" si="8"/>
        <v>0</v>
      </c>
      <c r="Z4294" s="168">
        <f t="shared" si="9"/>
        <v>0</v>
      </c>
    </row>
    <row r="4295" ht="15.0" customHeight="1">
      <c r="A4295" s="157" t="s">
        <v>5441</v>
      </c>
      <c r="B4295" s="158" t="s">
        <v>37</v>
      </c>
      <c r="C4295" s="158" t="s">
        <v>5409</v>
      </c>
      <c r="D4295" s="159">
        <v>45191.0</v>
      </c>
      <c r="E4295" s="157" t="s">
        <v>731</v>
      </c>
      <c r="F4295" s="160">
        <v>1349220.44</v>
      </c>
      <c r="G4295" s="160">
        <f>'FACP$'!$F4295*0.16</f>
        <v>215875.2704</v>
      </c>
      <c r="H4295" s="160">
        <f t="shared" si="124"/>
        <v>1565095.71</v>
      </c>
      <c r="I4295" s="160"/>
      <c r="J4295" s="161"/>
      <c r="K4295" s="160"/>
      <c r="L4295" s="160">
        <f>+'FACP$'!$H4295-'FACP$'!$I4295-'FACP$'!$K4295</f>
        <v>1565095.71</v>
      </c>
      <c r="M4295" s="162" t="s">
        <v>116</v>
      </c>
      <c r="N4295" s="162" t="s">
        <v>554</v>
      </c>
      <c r="O4295" s="164">
        <v>45202.0</v>
      </c>
      <c r="P4295" s="164">
        <f t="array" ref="P4295">XLOOKUP('FACP$'!$B4295,'perfil de pagos'!$A$4:$A$46,'perfil de pagos'!$B$4:$B$46+'FACP$'!$D4295)</f>
        <v>45201</v>
      </c>
      <c r="Q4295" s="165">
        <f t="shared" si="2"/>
        <v>0</v>
      </c>
      <c r="R4295" s="167"/>
      <c r="S4295" s="167">
        <v>2459.0</v>
      </c>
      <c r="T4295" s="168">
        <f t="shared" si="3"/>
        <v>1565095.71</v>
      </c>
      <c r="U4295" s="168">
        <f t="shared" si="4"/>
        <v>0</v>
      </c>
      <c r="V4295" s="168">
        <f t="shared" si="5"/>
        <v>0</v>
      </c>
      <c r="W4295" s="168">
        <f t="shared" si="6"/>
        <v>0</v>
      </c>
      <c r="X4295" s="168">
        <f t="shared" si="7"/>
        <v>0</v>
      </c>
      <c r="Y4295" s="168">
        <f t="shared" si="8"/>
        <v>0</v>
      </c>
      <c r="Z4295" s="168">
        <f t="shared" si="9"/>
        <v>0</v>
      </c>
    </row>
    <row r="4296" ht="15.0" customHeight="1">
      <c r="A4296" s="157" t="s">
        <v>5442</v>
      </c>
      <c r="B4296" s="158" t="s">
        <v>40</v>
      </c>
      <c r="C4296" s="158" t="s">
        <v>5409</v>
      </c>
      <c r="D4296" s="159">
        <v>45191.0</v>
      </c>
      <c r="E4296" s="157" t="s">
        <v>731</v>
      </c>
      <c r="F4296" s="160">
        <v>23292.93</v>
      </c>
      <c r="G4296" s="160">
        <f>'FACP$'!$F4296*0.16</f>
        <v>3726.8688</v>
      </c>
      <c r="H4296" s="160">
        <f t="shared" si="124"/>
        <v>27019.7988</v>
      </c>
      <c r="I4296" s="160"/>
      <c r="J4296" s="161"/>
      <c r="K4296" s="160"/>
      <c r="L4296" s="160">
        <f>+'FACP$'!$H4296-'FACP$'!$I4296-'FACP$'!$K4296</f>
        <v>27019.7988</v>
      </c>
      <c r="M4296" s="162" t="s">
        <v>490</v>
      </c>
      <c r="N4296" s="162" t="s">
        <v>554</v>
      </c>
      <c r="O4296" s="164">
        <v>45219.0</v>
      </c>
      <c r="P4296" s="164">
        <f t="array" ref="P4296">XLOOKUP('FACP$'!$B4296,'perfil de pagos'!$A$4:$A$46,'perfil de pagos'!$B$4:$B$46+'FACP$'!$D4296)</f>
        <v>45221</v>
      </c>
      <c r="Q4296" s="165">
        <f t="shared" si="2"/>
        <v>0</v>
      </c>
      <c r="R4296" s="167"/>
      <c r="S4296" s="167">
        <v>2516.0</v>
      </c>
      <c r="T4296" s="168">
        <f t="shared" si="3"/>
        <v>27019.7988</v>
      </c>
      <c r="U4296" s="168">
        <f t="shared" si="4"/>
        <v>0</v>
      </c>
      <c r="V4296" s="168">
        <f t="shared" si="5"/>
        <v>0</v>
      </c>
      <c r="W4296" s="168">
        <f t="shared" si="6"/>
        <v>0</v>
      </c>
      <c r="X4296" s="168">
        <f t="shared" si="7"/>
        <v>0</v>
      </c>
      <c r="Y4296" s="168">
        <f t="shared" si="8"/>
        <v>0</v>
      </c>
      <c r="Z4296" s="168">
        <f t="shared" si="9"/>
        <v>0</v>
      </c>
    </row>
    <row r="4297" ht="15.0" customHeight="1">
      <c r="A4297" s="157" t="s">
        <v>5443</v>
      </c>
      <c r="B4297" s="158" t="s">
        <v>35</v>
      </c>
      <c r="C4297" s="158" t="s">
        <v>5409</v>
      </c>
      <c r="D4297" s="159">
        <v>45191.0</v>
      </c>
      <c r="E4297" s="157" t="s">
        <v>731</v>
      </c>
      <c r="F4297" s="160">
        <v>74247.31</v>
      </c>
      <c r="G4297" s="160">
        <f>'FACP$'!$F4297*0.16</f>
        <v>11879.5696</v>
      </c>
      <c r="H4297" s="160">
        <f t="shared" si="124"/>
        <v>86126.8796</v>
      </c>
      <c r="I4297" s="160"/>
      <c r="J4297" s="161"/>
      <c r="K4297" s="160"/>
      <c r="L4297" s="160">
        <f>+'FACP$'!$H4297-'FACP$'!$I4297-'FACP$'!$K4297</f>
        <v>86126.8796</v>
      </c>
      <c r="M4297" s="162" t="s">
        <v>276</v>
      </c>
      <c r="N4297" s="162" t="s">
        <v>554</v>
      </c>
      <c r="O4297" s="164">
        <v>45211.0</v>
      </c>
      <c r="P4297" s="164">
        <f t="array" ref="P4297">XLOOKUP('FACP$'!$B4297,'perfil de pagos'!$A$4:$A$46,'perfil de pagos'!$B$4:$B$46+'FACP$'!$D4297)</f>
        <v>45201</v>
      </c>
      <c r="Q4297" s="165">
        <f t="shared" si="2"/>
        <v>0</v>
      </c>
      <c r="R4297" s="167"/>
      <c r="S4297" s="167">
        <v>2494.0</v>
      </c>
      <c r="T4297" s="168">
        <f t="shared" si="3"/>
        <v>86126.8796</v>
      </c>
      <c r="U4297" s="168">
        <f t="shared" si="4"/>
        <v>0</v>
      </c>
      <c r="V4297" s="168">
        <f t="shared" si="5"/>
        <v>0</v>
      </c>
      <c r="W4297" s="168">
        <f t="shared" si="6"/>
        <v>0</v>
      </c>
      <c r="X4297" s="168">
        <f t="shared" si="7"/>
        <v>0</v>
      </c>
      <c r="Y4297" s="168">
        <f t="shared" si="8"/>
        <v>0</v>
      </c>
      <c r="Z4297" s="168">
        <f t="shared" si="9"/>
        <v>0</v>
      </c>
    </row>
    <row r="4298" ht="15.0" customHeight="1">
      <c r="A4298" s="157" t="s">
        <v>5444</v>
      </c>
      <c r="B4298" s="158" t="s">
        <v>38</v>
      </c>
      <c r="C4298" s="158" t="s">
        <v>5409</v>
      </c>
      <c r="D4298" s="159">
        <v>45191.0</v>
      </c>
      <c r="E4298" s="157" t="s">
        <v>731</v>
      </c>
      <c r="F4298" s="160">
        <v>194555.62</v>
      </c>
      <c r="G4298" s="160">
        <f>'FACP$'!$F4298*0.16</f>
        <v>31128.8992</v>
      </c>
      <c r="H4298" s="160">
        <f t="shared" si="124"/>
        <v>225684.5192</v>
      </c>
      <c r="I4298" s="160"/>
      <c r="J4298" s="161"/>
      <c r="K4298" s="160"/>
      <c r="L4298" s="160">
        <f>+'FACP$'!$H4298-'FACP$'!$I4298-'FACP$'!$K4298</f>
        <v>225684.5192</v>
      </c>
      <c r="M4298" s="162" t="s">
        <v>642</v>
      </c>
      <c r="N4298" s="162" t="s">
        <v>554</v>
      </c>
      <c r="O4298" s="164">
        <v>45238.0</v>
      </c>
      <c r="P4298" s="164">
        <f t="array" ref="P4298">XLOOKUP('FACP$'!$B4298,'perfil de pagos'!$A$4:$A$46,'perfil de pagos'!$B$4:$B$46+'FACP$'!$D4298)</f>
        <v>45221</v>
      </c>
      <c r="Q4298" s="165">
        <f t="shared" si="2"/>
        <v>0</v>
      </c>
      <c r="R4298" s="167"/>
      <c r="S4298" s="167">
        <v>2566.0</v>
      </c>
      <c r="T4298" s="168">
        <f t="shared" si="3"/>
        <v>225684.5192</v>
      </c>
      <c r="U4298" s="168">
        <f t="shared" si="4"/>
        <v>0</v>
      </c>
      <c r="V4298" s="168">
        <f t="shared" si="5"/>
        <v>0</v>
      </c>
      <c r="W4298" s="168">
        <f t="shared" si="6"/>
        <v>0</v>
      </c>
      <c r="X4298" s="168">
        <f t="shared" si="7"/>
        <v>0</v>
      </c>
      <c r="Y4298" s="168">
        <f t="shared" si="8"/>
        <v>0</v>
      </c>
      <c r="Z4298" s="168">
        <f t="shared" si="9"/>
        <v>0</v>
      </c>
    </row>
    <row r="4299" ht="15.0" customHeight="1">
      <c r="A4299" s="157" t="s">
        <v>5445</v>
      </c>
      <c r="B4299" s="158" t="s">
        <v>38</v>
      </c>
      <c r="C4299" s="158" t="s">
        <v>5409</v>
      </c>
      <c r="D4299" s="159">
        <v>45191.0</v>
      </c>
      <c r="E4299" s="157" t="s">
        <v>731</v>
      </c>
      <c r="F4299" s="160">
        <v>570893.77</v>
      </c>
      <c r="G4299" s="160">
        <f>'FACP$'!$F4299*0.16</f>
        <v>91343.0032</v>
      </c>
      <c r="H4299" s="160">
        <f t="shared" si="124"/>
        <v>662236.7732</v>
      </c>
      <c r="I4299" s="160"/>
      <c r="J4299" s="161"/>
      <c r="K4299" s="160"/>
      <c r="L4299" s="160">
        <f>+'FACP$'!$H4299-'FACP$'!$I4299-'FACP$'!$K4299</f>
        <v>662236.7732</v>
      </c>
      <c r="M4299" s="162" t="s">
        <v>145</v>
      </c>
      <c r="N4299" s="162" t="s">
        <v>554</v>
      </c>
      <c r="O4299" s="164">
        <v>45245.0</v>
      </c>
      <c r="P4299" s="164">
        <f t="array" ref="P4299">XLOOKUP('FACP$'!$B4299,'perfil de pagos'!$A$4:$A$46,'perfil de pagos'!$B$4:$B$46+'FACP$'!$D4299)</f>
        <v>45221</v>
      </c>
      <c r="Q4299" s="165">
        <f t="shared" si="2"/>
        <v>0</v>
      </c>
      <c r="R4299" s="167"/>
      <c r="S4299" s="167">
        <v>2584.0</v>
      </c>
      <c r="T4299" s="168">
        <f t="shared" si="3"/>
        <v>662236.7732</v>
      </c>
      <c r="U4299" s="168">
        <f t="shared" si="4"/>
        <v>0</v>
      </c>
      <c r="V4299" s="168">
        <f t="shared" si="5"/>
        <v>0</v>
      </c>
      <c r="W4299" s="168">
        <f t="shared" si="6"/>
        <v>0</v>
      </c>
      <c r="X4299" s="168">
        <f t="shared" si="7"/>
        <v>0</v>
      </c>
      <c r="Y4299" s="168">
        <f t="shared" si="8"/>
        <v>0</v>
      </c>
      <c r="Z4299" s="168">
        <f t="shared" si="9"/>
        <v>0</v>
      </c>
    </row>
    <row r="4300" ht="15.0" customHeight="1">
      <c r="A4300" s="157" t="s">
        <v>5446</v>
      </c>
      <c r="B4300" s="158" t="s">
        <v>31</v>
      </c>
      <c r="C4300" s="158" t="s">
        <v>5447</v>
      </c>
      <c r="D4300" s="159">
        <v>45196.0</v>
      </c>
      <c r="E4300" s="157" t="s">
        <v>731</v>
      </c>
      <c r="F4300" s="160">
        <v>72825.1</v>
      </c>
      <c r="G4300" s="160">
        <f>'FACP$'!$F4300*0.16</f>
        <v>11652.016</v>
      </c>
      <c r="H4300" s="160">
        <f t="shared" si="124"/>
        <v>84477.116</v>
      </c>
      <c r="I4300" s="160"/>
      <c r="J4300" s="161"/>
      <c r="K4300" s="160"/>
      <c r="L4300" s="160">
        <f>+'FACP$'!$H4300-'FACP$'!$I4300-'FACP$'!$K4300</f>
        <v>84477.116</v>
      </c>
      <c r="M4300" s="162" t="s">
        <v>3183</v>
      </c>
      <c r="N4300" s="162" t="s">
        <v>554</v>
      </c>
      <c r="O4300" s="164">
        <v>45191.0</v>
      </c>
      <c r="P4300" s="164">
        <f t="array" ref="P4300">XLOOKUP('FACP$'!$B4300,'perfil de pagos'!$A$4:$A$46,'perfil de pagos'!$B$4:$B$46+'FACP$'!$D4300)</f>
        <v>45199</v>
      </c>
      <c r="Q4300" s="165">
        <f t="shared" si="2"/>
        <v>0</v>
      </c>
      <c r="R4300" s="167"/>
      <c r="S4300" s="167"/>
      <c r="T4300" s="168">
        <f t="shared" si="3"/>
        <v>84477.116</v>
      </c>
      <c r="U4300" s="168">
        <f t="shared" si="4"/>
        <v>0</v>
      </c>
      <c r="V4300" s="168">
        <f t="shared" si="5"/>
        <v>0</v>
      </c>
      <c r="W4300" s="168">
        <f t="shared" si="6"/>
        <v>0</v>
      </c>
      <c r="X4300" s="168">
        <f t="shared" si="7"/>
        <v>0</v>
      </c>
      <c r="Y4300" s="168">
        <f t="shared" si="8"/>
        <v>0</v>
      </c>
      <c r="Z4300" s="168">
        <f t="shared" si="9"/>
        <v>0</v>
      </c>
    </row>
    <row r="4301" ht="15.0" customHeight="1">
      <c r="A4301" s="157" t="s">
        <v>5448</v>
      </c>
      <c r="B4301" s="158" t="s">
        <v>27</v>
      </c>
      <c r="C4301" s="158" t="s">
        <v>5449</v>
      </c>
      <c r="D4301" s="159">
        <v>45198.0</v>
      </c>
      <c r="E4301" s="157" t="s">
        <v>731</v>
      </c>
      <c r="F4301" s="160">
        <v>160076.91</v>
      </c>
      <c r="G4301" s="160">
        <f>'FACP$'!$F4301*0.16</f>
        <v>25612.3056</v>
      </c>
      <c r="H4301" s="160">
        <f t="shared" si="124"/>
        <v>185689.2156</v>
      </c>
      <c r="I4301" s="160"/>
      <c r="J4301" s="161"/>
      <c r="K4301" s="160"/>
      <c r="L4301" s="160">
        <f>+'FACP$'!$H4301-'FACP$'!$I4301-'FACP$'!$K4301</f>
        <v>185689.2156</v>
      </c>
      <c r="M4301" s="162" t="s">
        <v>158</v>
      </c>
      <c r="N4301" s="162" t="s">
        <v>554</v>
      </c>
      <c r="O4301" s="164">
        <v>45230.0</v>
      </c>
      <c r="P4301" s="164">
        <f t="array" ref="P4301">XLOOKUP('FACP$'!$B4301,'perfil de pagos'!$A$4:$A$46,'perfil de pagos'!$B$4:$B$46+'FACP$'!$D4301)</f>
        <v>45228</v>
      </c>
      <c r="Q4301" s="165">
        <f t="shared" si="2"/>
        <v>0</v>
      </c>
      <c r="R4301" s="167"/>
      <c r="S4301" s="167">
        <v>2535.0</v>
      </c>
      <c r="T4301" s="168">
        <f t="shared" si="3"/>
        <v>185689.2156</v>
      </c>
      <c r="U4301" s="168">
        <f t="shared" si="4"/>
        <v>0</v>
      </c>
      <c r="V4301" s="168">
        <f t="shared" si="5"/>
        <v>0</v>
      </c>
      <c r="W4301" s="168">
        <f t="shared" si="6"/>
        <v>0</v>
      </c>
      <c r="X4301" s="168">
        <f t="shared" si="7"/>
        <v>0</v>
      </c>
      <c r="Y4301" s="168">
        <f t="shared" si="8"/>
        <v>0</v>
      </c>
      <c r="Z4301" s="168">
        <f t="shared" si="9"/>
        <v>0</v>
      </c>
    </row>
    <row r="4302" ht="15.0" customHeight="1">
      <c r="A4302" s="157" t="s">
        <v>5450</v>
      </c>
      <c r="B4302" s="158" t="s">
        <v>27</v>
      </c>
      <c r="C4302" s="158" t="s">
        <v>5451</v>
      </c>
      <c r="D4302" s="159">
        <v>45198.0</v>
      </c>
      <c r="E4302" s="157" t="s">
        <v>731</v>
      </c>
      <c r="F4302" s="160">
        <v>135366.24</v>
      </c>
      <c r="G4302" s="160">
        <f>'FACP$'!$F4302*0.16</f>
        <v>21658.5984</v>
      </c>
      <c r="H4302" s="160">
        <f t="shared" si="124"/>
        <v>157024.8384</v>
      </c>
      <c r="I4302" s="160"/>
      <c r="J4302" s="161"/>
      <c r="K4302" s="160"/>
      <c r="L4302" s="160">
        <f>+'FACP$'!$H4302-'FACP$'!$I4302-'FACP$'!$K4302</f>
        <v>157024.8384</v>
      </c>
      <c r="M4302" s="162" t="s">
        <v>158</v>
      </c>
      <c r="N4302" s="162" t="s">
        <v>554</v>
      </c>
      <c r="O4302" s="164">
        <v>45230.0</v>
      </c>
      <c r="P4302" s="164">
        <f t="array" ref="P4302">XLOOKUP('FACP$'!$B4302,'perfil de pagos'!$A$4:$A$46,'perfil de pagos'!$B$4:$B$46+'FACP$'!$D4302)</f>
        <v>45228</v>
      </c>
      <c r="Q4302" s="165">
        <f t="shared" si="2"/>
        <v>0</v>
      </c>
      <c r="R4302" s="167"/>
      <c r="S4302" s="167">
        <v>2535.0</v>
      </c>
      <c r="T4302" s="168">
        <f t="shared" si="3"/>
        <v>157024.8384</v>
      </c>
      <c r="U4302" s="168">
        <f t="shared" si="4"/>
        <v>0</v>
      </c>
      <c r="V4302" s="168">
        <f t="shared" si="5"/>
        <v>0</v>
      </c>
      <c r="W4302" s="168">
        <f t="shared" si="6"/>
        <v>0</v>
      </c>
      <c r="X4302" s="168">
        <f t="shared" si="7"/>
        <v>0</v>
      </c>
      <c r="Y4302" s="168">
        <f t="shared" si="8"/>
        <v>0</v>
      </c>
      <c r="Z4302" s="168">
        <f t="shared" si="9"/>
        <v>0</v>
      </c>
    </row>
    <row r="4303" ht="15.0" customHeight="1">
      <c r="A4303" s="157" t="s">
        <v>5452</v>
      </c>
      <c r="B4303" s="158" t="s">
        <v>27</v>
      </c>
      <c r="C4303" s="158" t="s">
        <v>5449</v>
      </c>
      <c r="D4303" s="159">
        <v>45198.0</v>
      </c>
      <c r="E4303" s="157" t="s">
        <v>731</v>
      </c>
      <c r="F4303" s="160">
        <v>315091.74</v>
      </c>
      <c r="G4303" s="160">
        <f>'FACP$'!$F4303*0.16</f>
        <v>50414.6784</v>
      </c>
      <c r="H4303" s="160">
        <f t="shared" si="124"/>
        <v>365506.4184</v>
      </c>
      <c r="I4303" s="160"/>
      <c r="J4303" s="161"/>
      <c r="K4303" s="160"/>
      <c r="L4303" s="160">
        <f>+'FACP$'!$H4303-'FACP$'!$I4303-'FACP$'!$K4303</f>
        <v>365506.4184</v>
      </c>
      <c r="M4303" s="162" t="s">
        <v>151</v>
      </c>
      <c r="N4303" s="162" t="s">
        <v>554</v>
      </c>
      <c r="O4303" s="164">
        <v>45230.0</v>
      </c>
      <c r="P4303" s="164">
        <f t="array" ref="P4303">XLOOKUP('FACP$'!$B4303,'perfil de pagos'!$A$4:$A$46,'perfil de pagos'!$B$4:$B$46+'FACP$'!$D4303)</f>
        <v>45228</v>
      </c>
      <c r="Q4303" s="165">
        <f t="shared" si="2"/>
        <v>0</v>
      </c>
      <c r="R4303" s="167"/>
      <c r="S4303" s="167">
        <v>2536.0</v>
      </c>
      <c r="T4303" s="168">
        <f t="shared" si="3"/>
        <v>365506.4184</v>
      </c>
      <c r="U4303" s="168">
        <f t="shared" si="4"/>
        <v>0</v>
      </c>
      <c r="V4303" s="168">
        <f t="shared" si="5"/>
        <v>0</v>
      </c>
      <c r="W4303" s="168">
        <f t="shared" si="6"/>
        <v>0</v>
      </c>
      <c r="X4303" s="168">
        <f t="shared" si="7"/>
        <v>0</v>
      </c>
      <c r="Y4303" s="168">
        <f t="shared" si="8"/>
        <v>0</v>
      </c>
      <c r="Z4303" s="168">
        <f t="shared" si="9"/>
        <v>0</v>
      </c>
    </row>
    <row r="4304" ht="15.0" customHeight="1">
      <c r="A4304" s="157" t="s">
        <v>5453</v>
      </c>
      <c r="B4304" s="158" t="s">
        <v>27</v>
      </c>
      <c r="C4304" s="158" t="s">
        <v>5451</v>
      </c>
      <c r="D4304" s="159">
        <v>45198.0</v>
      </c>
      <c r="E4304" s="157" t="s">
        <v>731</v>
      </c>
      <c r="F4304" s="160">
        <v>246507.06</v>
      </c>
      <c r="G4304" s="160">
        <f>'FACP$'!$F4304*0.16</f>
        <v>39441.1296</v>
      </c>
      <c r="H4304" s="160">
        <f t="shared" si="124"/>
        <v>285948.1896</v>
      </c>
      <c r="I4304" s="160"/>
      <c r="J4304" s="161"/>
      <c r="K4304" s="160"/>
      <c r="L4304" s="160">
        <f>+'FACP$'!$H4304-'FACP$'!$I4304-'FACP$'!$K4304</f>
        <v>285948.1896</v>
      </c>
      <c r="M4304" s="162" t="s">
        <v>151</v>
      </c>
      <c r="N4304" s="162" t="s">
        <v>554</v>
      </c>
      <c r="O4304" s="164">
        <v>45230.0</v>
      </c>
      <c r="P4304" s="164">
        <f t="array" ref="P4304">XLOOKUP('FACP$'!$B4304,'perfil de pagos'!$A$4:$A$46,'perfil de pagos'!$B$4:$B$46+'FACP$'!$D4304)</f>
        <v>45228</v>
      </c>
      <c r="Q4304" s="165">
        <f t="shared" si="2"/>
        <v>0</v>
      </c>
      <c r="R4304" s="167"/>
      <c r="S4304" s="167">
        <v>2536.0</v>
      </c>
      <c r="T4304" s="168">
        <f t="shared" si="3"/>
        <v>285948.1896</v>
      </c>
      <c r="U4304" s="168">
        <f t="shared" si="4"/>
        <v>0</v>
      </c>
      <c r="V4304" s="168">
        <f t="shared" si="5"/>
        <v>0</v>
      </c>
      <c r="W4304" s="168">
        <f t="shared" si="6"/>
        <v>0</v>
      </c>
      <c r="X4304" s="168">
        <f t="shared" si="7"/>
        <v>0</v>
      </c>
      <c r="Y4304" s="168">
        <f t="shared" si="8"/>
        <v>0</v>
      </c>
      <c r="Z4304" s="168">
        <f t="shared" si="9"/>
        <v>0</v>
      </c>
    </row>
    <row r="4305" ht="15.0" customHeight="1">
      <c r="A4305" s="157" t="s">
        <v>5454</v>
      </c>
      <c r="B4305" s="158" t="s">
        <v>27</v>
      </c>
      <c r="C4305" s="158" t="s">
        <v>5455</v>
      </c>
      <c r="D4305" s="159">
        <v>45198.0</v>
      </c>
      <c r="E4305" s="157" t="s">
        <v>731</v>
      </c>
      <c r="F4305" s="160">
        <v>11041.66</v>
      </c>
      <c r="G4305" s="160">
        <f>'FACP$'!$F4305*0.16</f>
        <v>1766.6656</v>
      </c>
      <c r="H4305" s="160">
        <f t="shared" si="124"/>
        <v>12808.3256</v>
      </c>
      <c r="I4305" s="160"/>
      <c r="J4305" s="161"/>
      <c r="K4305" s="160"/>
      <c r="L4305" s="160">
        <f>+'FACP$'!$H4305-'FACP$'!$I4305-'FACP$'!$K4305</f>
        <v>12808.3256</v>
      </c>
      <c r="M4305" s="162" t="s">
        <v>151</v>
      </c>
      <c r="N4305" s="162" t="s">
        <v>554</v>
      </c>
      <c r="O4305" s="164">
        <v>45230.0</v>
      </c>
      <c r="P4305" s="164">
        <f t="array" ref="P4305">XLOOKUP('FACP$'!$B4305,'perfil de pagos'!$A$4:$A$46,'perfil de pagos'!$B$4:$B$46+'FACP$'!$D4305)</f>
        <v>45228</v>
      </c>
      <c r="Q4305" s="165">
        <f t="shared" si="2"/>
        <v>0</v>
      </c>
      <c r="R4305" s="167"/>
      <c r="S4305" s="167">
        <v>2536.0</v>
      </c>
      <c r="T4305" s="168">
        <f t="shared" si="3"/>
        <v>12808.3256</v>
      </c>
      <c r="U4305" s="168">
        <f t="shared" si="4"/>
        <v>0</v>
      </c>
      <c r="V4305" s="168">
        <f t="shared" si="5"/>
        <v>0</v>
      </c>
      <c r="W4305" s="168">
        <f t="shared" si="6"/>
        <v>0</v>
      </c>
      <c r="X4305" s="168">
        <f t="shared" si="7"/>
        <v>0</v>
      </c>
      <c r="Y4305" s="168">
        <f t="shared" si="8"/>
        <v>0</v>
      </c>
      <c r="Z4305" s="168">
        <f t="shared" si="9"/>
        <v>0</v>
      </c>
    </row>
    <row r="4306" ht="15.0" customHeight="1">
      <c r="A4306" s="157" t="s">
        <v>5456</v>
      </c>
      <c r="B4306" s="158" t="s">
        <v>27</v>
      </c>
      <c r="C4306" s="158" t="s">
        <v>5457</v>
      </c>
      <c r="D4306" s="159">
        <v>45198.0</v>
      </c>
      <c r="E4306" s="157" t="s">
        <v>731</v>
      </c>
      <c r="F4306" s="160">
        <v>12929.22</v>
      </c>
      <c r="G4306" s="160">
        <f>'FACP$'!$F4306*0.16</f>
        <v>2068.6752</v>
      </c>
      <c r="H4306" s="160">
        <f t="shared" si="124"/>
        <v>14997.8952</v>
      </c>
      <c r="I4306" s="160"/>
      <c r="J4306" s="161"/>
      <c r="K4306" s="160"/>
      <c r="L4306" s="160">
        <f>+'FACP$'!$H4306-'FACP$'!$I4306-'FACP$'!$K4306</f>
        <v>14997.8952</v>
      </c>
      <c r="M4306" s="162" t="s">
        <v>151</v>
      </c>
      <c r="N4306" s="162" t="s">
        <v>554</v>
      </c>
      <c r="O4306" s="164">
        <v>45230.0</v>
      </c>
      <c r="P4306" s="164">
        <f t="array" ref="P4306">XLOOKUP('FACP$'!$B4306,'perfil de pagos'!$A$4:$A$46,'perfil de pagos'!$B$4:$B$46+'FACP$'!$D4306)</f>
        <v>45228</v>
      </c>
      <c r="Q4306" s="165">
        <f t="shared" si="2"/>
        <v>0</v>
      </c>
      <c r="R4306" s="167"/>
      <c r="S4306" s="167">
        <v>2536.0</v>
      </c>
      <c r="T4306" s="168">
        <f t="shared" si="3"/>
        <v>14997.8952</v>
      </c>
      <c r="U4306" s="168">
        <f t="shared" si="4"/>
        <v>0</v>
      </c>
      <c r="V4306" s="168">
        <f t="shared" si="5"/>
        <v>0</v>
      </c>
      <c r="W4306" s="168">
        <f t="shared" si="6"/>
        <v>0</v>
      </c>
      <c r="X4306" s="168">
        <f t="shared" si="7"/>
        <v>0</v>
      </c>
      <c r="Y4306" s="168">
        <f t="shared" si="8"/>
        <v>0</v>
      </c>
      <c r="Z4306" s="168">
        <f t="shared" si="9"/>
        <v>0</v>
      </c>
    </row>
    <row r="4307" ht="15.0" customHeight="1">
      <c r="A4307" s="157" t="s">
        <v>5458</v>
      </c>
      <c r="B4307" s="158" t="s">
        <v>40</v>
      </c>
      <c r="C4307" s="158" t="s">
        <v>5459</v>
      </c>
      <c r="D4307" s="159">
        <v>45198.0</v>
      </c>
      <c r="E4307" s="157" t="s">
        <v>731</v>
      </c>
      <c r="F4307" s="160">
        <v>537971.49</v>
      </c>
      <c r="G4307" s="160">
        <f>'FACP$'!$F4307*0.16</f>
        <v>86075.4384</v>
      </c>
      <c r="H4307" s="160">
        <f t="shared" si="124"/>
        <v>624046.9284</v>
      </c>
      <c r="I4307" s="160"/>
      <c r="J4307" s="161"/>
      <c r="K4307" s="160"/>
      <c r="L4307" s="160">
        <f>+'FACP$'!$H4307-'FACP$'!$I4307-'FACP$'!$K4307</f>
        <v>624046.9284</v>
      </c>
      <c r="M4307" s="162" t="s">
        <v>490</v>
      </c>
      <c r="N4307" s="162" t="s">
        <v>554</v>
      </c>
      <c r="O4307" s="164">
        <v>45226.0</v>
      </c>
      <c r="P4307" s="164">
        <f t="array" ref="P4307">XLOOKUP('FACP$'!$B4307,'perfil de pagos'!$A$4:$A$46,'perfil de pagos'!$B$4:$B$46+'FACP$'!$D4307)</f>
        <v>45228</v>
      </c>
      <c r="Q4307" s="165">
        <f t="shared" si="2"/>
        <v>0</v>
      </c>
      <c r="R4307" s="167"/>
      <c r="S4307" s="167"/>
      <c r="T4307" s="168">
        <f t="shared" si="3"/>
        <v>624046.9284</v>
      </c>
      <c r="U4307" s="168">
        <f t="shared" si="4"/>
        <v>0</v>
      </c>
      <c r="V4307" s="168">
        <f t="shared" si="5"/>
        <v>0</v>
      </c>
      <c r="W4307" s="168">
        <f t="shared" si="6"/>
        <v>0</v>
      </c>
      <c r="X4307" s="168">
        <f t="shared" si="7"/>
        <v>0</v>
      </c>
      <c r="Y4307" s="168">
        <f t="shared" si="8"/>
        <v>0</v>
      </c>
      <c r="Z4307" s="168">
        <f t="shared" si="9"/>
        <v>0</v>
      </c>
    </row>
    <row r="4308" ht="15.0" customHeight="1">
      <c r="A4308" s="157" t="s">
        <v>5460</v>
      </c>
      <c r="B4308" s="158" t="s">
        <v>40</v>
      </c>
      <c r="C4308" s="158" t="s">
        <v>5404</v>
      </c>
      <c r="D4308" s="159">
        <v>45204.0</v>
      </c>
      <c r="E4308" s="157" t="s">
        <v>731</v>
      </c>
      <c r="F4308" s="160">
        <v>526431.99</v>
      </c>
      <c r="G4308" s="160">
        <f>'FACP$'!$F4308*0.16</f>
        <v>84229.1184</v>
      </c>
      <c r="H4308" s="160">
        <f t="shared" si="124"/>
        <v>610661.1084</v>
      </c>
      <c r="I4308" s="160"/>
      <c r="J4308" s="161"/>
      <c r="K4308" s="160"/>
      <c r="L4308" s="160">
        <f>+'FACP$'!$H4308-'FACP$'!$I4308-'FACP$'!$K4308</f>
        <v>610661.1084</v>
      </c>
      <c r="M4308" s="162" t="s">
        <v>490</v>
      </c>
      <c r="N4308" s="162" t="s">
        <v>554</v>
      </c>
      <c r="O4308" s="164">
        <v>45226.0</v>
      </c>
      <c r="P4308" s="164">
        <f t="array" ref="P4308">XLOOKUP('FACP$'!$B4308,'perfil de pagos'!$A$4:$A$46,'perfil de pagos'!$B$4:$B$46+'FACP$'!$D4308)</f>
        <v>45234</v>
      </c>
      <c r="Q4308" s="165">
        <f t="shared" si="2"/>
        <v>0</v>
      </c>
      <c r="R4308" s="167" t="s">
        <v>5461</v>
      </c>
      <c r="S4308" s="167"/>
      <c r="T4308" s="168">
        <f t="shared" si="3"/>
        <v>610661.1084</v>
      </c>
      <c r="U4308" s="168">
        <f t="shared" si="4"/>
        <v>0</v>
      </c>
      <c r="V4308" s="168">
        <f t="shared" si="5"/>
        <v>0</v>
      </c>
      <c r="W4308" s="168">
        <f t="shared" si="6"/>
        <v>0</v>
      </c>
      <c r="X4308" s="168">
        <f t="shared" si="7"/>
        <v>0</v>
      </c>
      <c r="Y4308" s="168">
        <f t="shared" si="8"/>
        <v>0</v>
      </c>
      <c r="Z4308" s="168">
        <f t="shared" si="9"/>
        <v>0</v>
      </c>
    </row>
    <row r="4309" ht="15.0" customHeight="1">
      <c r="A4309" s="157" t="s">
        <v>5462</v>
      </c>
      <c r="B4309" s="158" t="s">
        <v>15</v>
      </c>
      <c r="C4309" s="158" t="s">
        <v>5463</v>
      </c>
      <c r="D4309" s="159">
        <v>45204.0</v>
      </c>
      <c r="E4309" s="157" t="s">
        <v>731</v>
      </c>
      <c r="F4309" s="160">
        <v>484172.41</v>
      </c>
      <c r="G4309" s="160">
        <f>'FACP$'!$F4309*0.16</f>
        <v>77467.5856</v>
      </c>
      <c r="H4309" s="160">
        <f t="shared" si="124"/>
        <v>561639.9956</v>
      </c>
      <c r="I4309" s="160"/>
      <c r="J4309" s="161"/>
      <c r="K4309" s="160"/>
      <c r="L4309" s="160">
        <f>+'FACP$'!$H4309-'FACP$'!$I4309-'FACP$'!$K4309</f>
        <v>561639.9956</v>
      </c>
      <c r="M4309" s="162" t="s">
        <v>443</v>
      </c>
      <c r="N4309" s="162" t="s">
        <v>554</v>
      </c>
      <c r="O4309" s="164">
        <v>45225.0</v>
      </c>
      <c r="P4309" s="164">
        <f t="array" ref="P4309">XLOOKUP('FACP$'!$B4309,'perfil de pagos'!$A$4:$A$46,'perfil de pagos'!$B$4:$B$46+'FACP$'!$D4309)</f>
        <v>45214</v>
      </c>
      <c r="Q4309" s="165">
        <f t="shared" si="2"/>
        <v>0</v>
      </c>
      <c r="R4309" s="167"/>
      <c r="S4309" s="167">
        <v>2527.0</v>
      </c>
      <c r="T4309" s="168">
        <f t="shared" si="3"/>
        <v>561639.9956</v>
      </c>
      <c r="U4309" s="168">
        <f t="shared" si="4"/>
        <v>0</v>
      </c>
      <c r="V4309" s="168">
        <f t="shared" si="5"/>
        <v>0</v>
      </c>
      <c r="W4309" s="168">
        <f t="shared" si="6"/>
        <v>0</v>
      </c>
      <c r="X4309" s="168">
        <f t="shared" si="7"/>
        <v>0</v>
      </c>
      <c r="Y4309" s="168">
        <f t="shared" si="8"/>
        <v>0</v>
      </c>
      <c r="Z4309" s="168">
        <f t="shared" si="9"/>
        <v>0</v>
      </c>
    </row>
    <row r="4310" ht="15.0" customHeight="1">
      <c r="A4310" s="157" t="s">
        <v>5464</v>
      </c>
      <c r="B4310" s="158" t="s">
        <v>35</v>
      </c>
      <c r="C4310" s="158" t="s">
        <v>5463</v>
      </c>
      <c r="D4310" s="159">
        <v>45204.0</v>
      </c>
      <c r="E4310" s="157" t="s">
        <v>731</v>
      </c>
      <c r="F4310" s="160">
        <v>69361.83</v>
      </c>
      <c r="G4310" s="160">
        <f>'FACP$'!$F4310*0.16</f>
        <v>11097.8928</v>
      </c>
      <c r="H4310" s="160">
        <f t="shared" si="124"/>
        <v>80459.7228</v>
      </c>
      <c r="I4310" s="160"/>
      <c r="J4310" s="161"/>
      <c r="K4310" s="160"/>
      <c r="L4310" s="160">
        <f>+'FACP$'!$H4310-'FACP$'!$I4310-'FACP$'!$K4310</f>
        <v>80459.7228</v>
      </c>
      <c r="M4310" s="162" t="s">
        <v>276</v>
      </c>
      <c r="N4310" s="162" t="s">
        <v>554</v>
      </c>
      <c r="O4310" s="164">
        <v>45219.0</v>
      </c>
      <c r="P4310" s="164">
        <f t="array" ref="P4310">XLOOKUP('FACP$'!$B4310,'perfil de pagos'!$A$4:$A$46,'perfil de pagos'!$B$4:$B$46+'FACP$'!$D4310)</f>
        <v>45214</v>
      </c>
      <c r="Q4310" s="165">
        <f t="shared" si="2"/>
        <v>0</v>
      </c>
      <c r="R4310" s="167"/>
      <c r="S4310" s="167">
        <v>2513.0</v>
      </c>
      <c r="T4310" s="168">
        <f t="shared" si="3"/>
        <v>80459.7228</v>
      </c>
      <c r="U4310" s="168">
        <f t="shared" si="4"/>
        <v>0</v>
      </c>
      <c r="V4310" s="168">
        <f t="shared" si="5"/>
        <v>0</v>
      </c>
      <c r="W4310" s="168">
        <f t="shared" si="6"/>
        <v>0</v>
      </c>
      <c r="X4310" s="168">
        <f t="shared" si="7"/>
        <v>0</v>
      </c>
      <c r="Y4310" s="168">
        <f t="shared" si="8"/>
        <v>0</v>
      </c>
      <c r="Z4310" s="168">
        <f t="shared" si="9"/>
        <v>0</v>
      </c>
    </row>
    <row r="4311" ht="15.0" customHeight="1">
      <c r="A4311" s="157" t="s">
        <v>5465</v>
      </c>
      <c r="B4311" s="158" t="s">
        <v>36</v>
      </c>
      <c r="C4311" s="158" t="s">
        <v>5463</v>
      </c>
      <c r="D4311" s="159">
        <v>45204.0</v>
      </c>
      <c r="E4311" s="157" t="s">
        <v>731</v>
      </c>
      <c r="F4311" s="160">
        <v>52732.71</v>
      </c>
      <c r="G4311" s="160">
        <f>'FACP$'!$F4311*0.16</f>
        <v>8437.2336</v>
      </c>
      <c r="H4311" s="160">
        <f t="shared" si="124"/>
        <v>61169.9436</v>
      </c>
      <c r="I4311" s="160"/>
      <c r="J4311" s="161"/>
      <c r="K4311" s="160"/>
      <c r="L4311" s="160">
        <f>+'FACP$'!$H4311-'FACP$'!$I4311-'FACP$'!$K4311</f>
        <v>61169.9436</v>
      </c>
      <c r="M4311" s="162" t="s">
        <v>278</v>
      </c>
      <c r="N4311" s="162" t="s">
        <v>554</v>
      </c>
      <c r="O4311" s="164">
        <v>45209.0</v>
      </c>
      <c r="P4311" s="164">
        <f t="array" ref="P4311">XLOOKUP('FACP$'!$B4311,'perfil de pagos'!$A$4:$A$46,'perfil de pagos'!$B$4:$B$46+'FACP$'!$D4311)</f>
        <v>45214</v>
      </c>
      <c r="Q4311" s="165">
        <f t="shared" si="2"/>
        <v>0</v>
      </c>
      <c r="R4311" s="167"/>
      <c r="S4311" s="167">
        <v>2486.0</v>
      </c>
      <c r="T4311" s="168">
        <f t="shared" si="3"/>
        <v>61169.9436</v>
      </c>
      <c r="U4311" s="168">
        <f t="shared" si="4"/>
        <v>0</v>
      </c>
      <c r="V4311" s="168">
        <f t="shared" si="5"/>
        <v>0</v>
      </c>
      <c r="W4311" s="168">
        <f t="shared" si="6"/>
        <v>0</v>
      </c>
      <c r="X4311" s="168">
        <f t="shared" si="7"/>
        <v>0</v>
      </c>
      <c r="Y4311" s="168">
        <f t="shared" si="8"/>
        <v>0</v>
      </c>
      <c r="Z4311" s="168">
        <f t="shared" si="9"/>
        <v>0</v>
      </c>
    </row>
    <row r="4312" ht="15.0" customHeight="1">
      <c r="A4312" s="157" t="s">
        <v>5466</v>
      </c>
      <c r="B4312" s="158" t="s">
        <v>36</v>
      </c>
      <c r="C4312" s="158" t="s">
        <v>5467</v>
      </c>
      <c r="D4312" s="159">
        <v>45204.0</v>
      </c>
      <c r="E4312" s="157" t="s">
        <v>731</v>
      </c>
      <c r="F4312" s="160">
        <v>42543.35</v>
      </c>
      <c r="G4312" s="160">
        <f>'FACP$'!$F4312*0.16</f>
        <v>6806.936</v>
      </c>
      <c r="H4312" s="160">
        <f t="shared" si="124"/>
        <v>49350.286</v>
      </c>
      <c r="I4312" s="160"/>
      <c r="J4312" s="161"/>
      <c r="K4312" s="160"/>
      <c r="L4312" s="160">
        <f>+'FACP$'!$H4312-'FACP$'!$I4312-'FACP$'!$K4312</f>
        <v>49350.286</v>
      </c>
      <c r="M4312" s="162" t="s">
        <v>278</v>
      </c>
      <c r="N4312" s="162" t="s">
        <v>554</v>
      </c>
      <c r="O4312" s="164">
        <v>45209.0</v>
      </c>
      <c r="P4312" s="164">
        <f t="array" ref="P4312">XLOOKUP('FACP$'!$B4312,'perfil de pagos'!$A$4:$A$46,'perfil de pagos'!$B$4:$B$46+'FACP$'!$D4312)</f>
        <v>45214</v>
      </c>
      <c r="Q4312" s="165">
        <f t="shared" si="2"/>
        <v>0</v>
      </c>
      <c r="R4312" s="167"/>
      <c r="S4312" s="167">
        <v>2485.0</v>
      </c>
      <c r="T4312" s="168">
        <f t="shared" si="3"/>
        <v>49350.286</v>
      </c>
      <c r="U4312" s="168">
        <f t="shared" si="4"/>
        <v>0</v>
      </c>
      <c r="V4312" s="168">
        <f t="shared" si="5"/>
        <v>0</v>
      </c>
      <c r="W4312" s="168">
        <f t="shared" si="6"/>
        <v>0</v>
      </c>
      <c r="X4312" s="168">
        <f t="shared" si="7"/>
        <v>0</v>
      </c>
      <c r="Y4312" s="168">
        <f t="shared" si="8"/>
        <v>0</v>
      </c>
      <c r="Z4312" s="168">
        <f t="shared" si="9"/>
        <v>0</v>
      </c>
    </row>
    <row r="4313" ht="15.0" customHeight="1">
      <c r="A4313" s="157" t="s">
        <v>5468</v>
      </c>
      <c r="B4313" s="158" t="s">
        <v>41</v>
      </c>
      <c r="C4313" s="158" t="s">
        <v>5463</v>
      </c>
      <c r="D4313" s="159">
        <v>45204.0</v>
      </c>
      <c r="E4313" s="157" t="s">
        <v>731</v>
      </c>
      <c r="F4313" s="160">
        <v>269771.08</v>
      </c>
      <c r="G4313" s="160">
        <f>'FACP$'!$F4313*0.16</f>
        <v>43163.3728</v>
      </c>
      <c r="H4313" s="160">
        <f t="shared" si="124"/>
        <v>312934.4528</v>
      </c>
      <c r="I4313" s="160"/>
      <c r="J4313" s="161"/>
      <c r="K4313" s="160"/>
      <c r="L4313" s="160">
        <f>+'FACP$'!$H4313-'FACP$'!$I4313-'FACP$'!$K4313</f>
        <v>312934.4528</v>
      </c>
      <c r="M4313" s="162" t="s">
        <v>121</v>
      </c>
      <c r="N4313" s="162" t="s">
        <v>554</v>
      </c>
      <c r="O4313" s="164">
        <v>45230.0</v>
      </c>
      <c r="P4313" s="164">
        <f t="array" ref="P4313">XLOOKUP('FACP$'!$B4313,'perfil de pagos'!$A$4:$A$46,'perfil de pagos'!$B$4:$B$46+'FACP$'!$D4313)</f>
        <v>45214</v>
      </c>
      <c r="Q4313" s="165">
        <f t="shared" si="2"/>
        <v>0</v>
      </c>
      <c r="R4313" s="167"/>
      <c r="S4313" s="167">
        <v>2561.0</v>
      </c>
      <c r="T4313" s="168">
        <f t="shared" si="3"/>
        <v>312934.4528</v>
      </c>
      <c r="U4313" s="168">
        <f t="shared" si="4"/>
        <v>0</v>
      </c>
      <c r="V4313" s="168">
        <f t="shared" si="5"/>
        <v>0</v>
      </c>
      <c r="W4313" s="168">
        <f t="shared" si="6"/>
        <v>0</v>
      </c>
      <c r="X4313" s="168">
        <f t="shared" si="7"/>
        <v>0</v>
      </c>
      <c r="Y4313" s="168">
        <f t="shared" si="8"/>
        <v>0</v>
      </c>
      <c r="Z4313" s="168">
        <f t="shared" si="9"/>
        <v>0</v>
      </c>
    </row>
    <row r="4314" ht="15.0" customHeight="1">
      <c r="A4314" s="157" t="s">
        <v>5469</v>
      </c>
      <c r="B4314" s="158" t="s">
        <v>42</v>
      </c>
      <c r="C4314" s="158" t="s">
        <v>5463</v>
      </c>
      <c r="D4314" s="159">
        <v>45204.0</v>
      </c>
      <c r="E4314" s="157" t="s">
        <v>731</v>
      </c>
      <c r="F4314" s="160">
        <v>269771.06</v>
      </c>
      <c r="G4314" s="160">
        <f>'FACP$'!$F4314*0.16</f>
        <v>43163.3696</v>
      </c>
      <c r="H4314" s="160">
        <f t="shared" si="124"/>
        <v>312934.4296</v>
      </c>
      <c r="I4314" s="160"/>
      <c r="J4314" s="161"/>
      <c r="K4314" s="160"/>
      <c r="L4314" s="160">
        <f>+'FACP$'!$H4314-'FACP$'!$I4314-'FACP$'!$K4314</f>
        <v>312934.4296</v>
      </c>
      <c r="M4314" s="162" t="s">
        <v>42</v>
      </c>
      <c r="N4314" s="162" t="s">
        <v>127</v>
      </c>
      <c r="O4314" s="164"/>
      <c r="P4314" s="164">
        <f t="array" ref="P4314">XLOOKUP('FACP$'!$B4314,'perfil de pagos'!$A$4:$A$46,'perfil de pagos'!$B$4:$B$46+'FACP$'!$D4314)</f>
        <v>45214</v>
      </c>
      <c r="Q4314" s="165">
        <f t="shared" si="2"/>
        <v>0</v>
      </c>
      <c r="R4314" s="167" t="s">
        <v>5470</v>
      </c>
      <c r="S4314" s="167"/>
      <c r="T4314" s="168">
        <f t="shared" si="3"/>
        <v>312934.4296</v>
      </c>
      <c r="U4314" s="168">
        <f t="shared" si="4"/>
        <v>0</v>
      </c>
      <c r="V4314" s="168">
        <f t="shared" si="5"/>
        <v>0</v>
      </c>
      <c r="W4314" s="168">
        <f t="shared" si="6"/>
        <v>0</v>
      </c>
      <c r="X4314" s="168">
        <f t="shared" si="7"/>
        <v>0</v>
      </c>
      <c r="Y4314" s="168">
        <f t="shared" si="8"/>
        <v>0</v>
      </c>
      <c r="Z4314" s="168">
        <f t="shared" si="9"/>
        <v>0</v>
      </c>
    </row>
    <row r="4315" ht="15.0" customHeight="1">
      <c r="A4315" s="157" t="s">
        <v>5471</v>
      </c>
      <c r="B4315" s="158" t="s">
        <v>43</v>
      </c>
      <c r="C4315" s="158" t="s">
        <v>5463</v>
      </c>
      <c r="D4315" s="159">
        <v>45204.0</v>
      </c>
      <c r="E4315" s="157" t="s">
        <v>731</v>
      </c>
      <c r="F4315" s="160">
        <v>589209.74</v>
      </c>
      <c r="G4315" s="160">
        <f>'FACP$'!$F4315*0.16</f>
        <v>94273.5584</v>
      </c>
      <c r="H4315" s="160">
        <f t="shared" si="124"/>
        <v>683483.2984</v>
      </c>
      <c r="I4315" s="160"/>
      <c r="J4315" s="161"/>
      <c r="K4315" s="160"/>
      <c r="L4315" s="160">
        <f>+'FACP$'!$H4315-'FACP$'!$I4315-'FACP$'!$K4315</f>
        <v>683483.2984</v>
      </c>
      <c r="M4315" s="162" t="s">
        <v>43</v>
      </c>
      <c r="N4315" s="162" t="s">
        <v>554</v>
      </c>
      <c r="O4315" s="164">
        <v>45247.0</v>
      </c>
      <c r="P4315" s="164">
        <f t="array" ref="P4315">XLOOKUP('FACP$'!$B4315,'perfil de pagos'!$A$4:$A$46,'perfil de pagos'!$B$4:$B$46+'FACP$'!$D4315)</f>
        <v>45229</v>
      </c>
      <c r="Q4315" s="165">
        <f t="shared" si="2"/>
        <v>0</v>
      </c>
      <c r="R4315" s="167"/>
      <c r="S4315" s="167">
        <v>2586.0</v>
      </c>
      <c r="T4315" s="168">
        <f t="shared" si="3"/>
        <v>683483.2984</v>
      </c>
      <c r="U4315" s="168">
        <f t="shared" si="4"/>
        <v>0</v>
      </c>
      <c r="V4315" s="168">
        <f t="shared" si="5"/>
        <v>0</v>
      </c>
      <c r="W4315" s="168">
        <f t="shared" si="6"/>
        <v>0</v>
      </c>
      <c r="X4315" s="168">
        <f t="shared" si="7"/>
        <v>0</v>
      </c>
      <c r="Y4315" s="168">
        <f t="shared" si="8"/>
        <v>0</v>
      </c>
      <c r="Z4315" s="168">
        <f t="shared" si="9"/>
        <v>0</v>
      </c>
    </row>
    <row r="4316" ht="15.0" customHeight="1">
      <c r="A4316" s="157" t="s">
        <v>5472</v>
      </c>
      <c r="B4316" s="158" t="s">
        <v>43</v>
      </c>
      <c r="C4316" s="158" t="s">
        <v>5467</v>
      </c>
      <c r="D4316" s="159">
        <v>45204.0</v>
      </c>
      <c r="E4316" s="157" t="s">
        <v>731</v>
      </c>
      <c r="F4316" s="160">
        <v>679268.04</v>
      </c>
      <c r="G4316" s="160">
        <f>'FACP$'!$F4316*0.16</f>
        <v>108682.8864</v>
      </c>
      <c r="H4316" s="160">
        <f t="shared" si="124"/>
        <v>787950.9264</v>
      </c>
      <c r="I4316" s="160"/>
      <c r="J4316" s="161">
        <f>+'NCP$'!A254</f>
        <v>342</v>
      </c>
      <c r="K4316" s="160">
        <f>+'NCP$'!H254</f>
        <v>30000.0012</v>
      </c>
      <c r="L4316" s="160">
        <f>+'FACP$'!$H4316-'FACP$'!$I4316-'FACP$'!$K4316</f>
        <v>757950.9252</v>
      </c>
      <c r="M4316" s="162" t="s">
        <v>43</v>
      </c>
      <c r="N4316" s="162" t="s">
        <v>554</v>
      </c>
      <c r="O4316" s="164">
        <v>45268.0</v>
      </c>
      <c r="P4316" s="164">
        <f t="array" ref="P4316">XLOOKUP('FACP$'!$B4316,'perfil de pagos'!$A$4:$A$46,'perfil de pagos'!$B$4:$B$46+'FACP$'!$D4316)</f>
        <v>45229</v>
      </c>
      <c r="Q4316" s="165">
        <f t="shared" si="2"/>
        <v>0</v>
      </c>
      <c r="R4316" s="167"/>
      <c r="S4316" s="167">
        <v>2641.0</v>
      </c>
      <c r="T4316" s="168">
        <f t="shared" si="3"/>
        <v>757950.9252</v>
      </c>
      <c r="U4316" s="168">
        <f t="shared" si="4"/>
        <v>0</v>
      </c>
      <c r="V4316" s="168">
        <f t="shared" si="5"/>
        <v>0</v>
      </c>
      <c r="W4316" s="168">
        <f t="shared" si="6"/>
        <v>0</v>
      </c>
      <c r="X4316" s="168">
        <f t="shared" si="7"/>
        <v>0</v>
      </c>
      <c r="Y4316" s="168">
        <f t="shared" si="8"/>
        <v>0</v>
      </c>
      <c r="Z4316" s="168">
        <f t="shared" si="9"/>
        <v>0</v>
      </c>
    </row>
    <row r="4317" ht="15.0" customHeight="1">
      <c r="A4317" s="157" t="s">
        <v>5473</v>
      </c>
      <c r="B4317" s="158" t="s">
        <v>44</v>
      </c>
      <c r="C4317" s="158" t="s">
        <v>5463</v>
      </c>
      <c r="D4317" s="159">
        <v>45204.0</v>
      </c>
      <c r="E4317" s="157" t="s">
        <v>731</v>
      </c>
      <c r="F4317" s="160">
        <v>236063.49</v>
      </c>
      <c r="G4317" s="160">
        <f>'FACP$'!$F4317*0.16</f>
        <v>37770.1584</v>
      </c>
      <c r="H4317" s="160">
        <f t="shared" si="124"/>
        <v>273833.6484</v>
      </c>
      <c r="I4317" s="160"/>
      <c r="J4317" s="161"/>
      <c r="K4317" s="160"/>
      <c r="L4317" s="160">
        <f>+'FACP$'!$H4317-'FACP$'!$I4317-'FACP$'!$K4317</f>
        <v>273833.6484</v>
      </c>
      <c r="M4317" s="162" t="s">
        <v>361</v>
      </c>
      <c r="N4317" s="162" t="s">
        <v>554</v>
      </c>
      <c r="O4317" s="164">
        <v>45219.0</v>
      </c>
      <c r="P4317" s="164">
        <f t="array" ref="P4317">XLOOKUP('FACP$'!$B4317,'perfil de pagos'!$A$4:$A$46,'perfil de pagos'!$B$4:$B$46+'FACP$'!$D4317)</f>
        <v>45214</v>
      </c>
      <c r="Q4317" s="165">
        <f t="shared" si="2"/>
        <v>0</v>
      </c>
      <c r="R4317" s="167"/>
      <c r="S4317" s="167">
        <v>2515.0</v>
      </c>
      <c r="T4317" s="168">
        <f t="shared" si="3"/>
        <v>273833.6484</v>
      </c>
      <c r="U4317" s="168">
        <f t="shared" si="4"/>
        <v>0</v>
      </c>
      <c r="V4317" s="168">
        <f t="shared" si="5"/>
        <v>0</v>
      </c>
      <c r="W4317" s="168">
        <f t="shared" si="6"/>
        <v>0</v>
      </c>
      <c r="X4317" s="168">
        <f t="shared" si="7"/>
        <v>0</v>
      </c>
      <c r="Y4317" s="168">
        <f t="shared" si="8"/>
        <v>0</v>
      </c>
      <c r="Z4317" s="168">
        <f t="shared" si="9"/>
        <v>0</v>
      </c>
    </row>
    <row r="4318" ht="15.0" customHeight="1">
      <c r="A4318" s="157" t="s">
        <v>5474</v>
      </c>
      <c r="B4318" s="158" t="s">
        <v>38</v>
      </c>
      <c r="C4318" s="158" t="s">
        <v>5463</v>
      </c>
      <c r="D4318" s="159">
        <v>45204.0</v>
      </c>
      <c r="E4318" s="157" t="s">
        <v>731</v>
      </c>
      <c r="F4318" s="160">
        <v>97049.99</v>
      </c>
      <c r="G4318" s="160">
        <f>'FACP$'!$F4318*0.16</f>
        <v>15527.9984</v>
      </c>
      <c r="H4318" s="160">
        <f t="shared" si="124"/>
        <v>112577.9884</v>
      </c>
      <c r="I4318" s="160"/>
      <c r="J4318" s="161"/>
      <c r="K4318" s="160"/>
      <c r="L4318" s="160">
        <f>+'FACP$'!$H4318-'FACP$'!$I4318-'FACP$'!$K4318</f>
        <v>112577.9884</v>
      </c>
      <c r="M4318" s="162" t="s">
        <v>4707</v>
      </c>
      <c r="N4318" s="162" t="s">
        <v>554</v>
      </c>
      <c r="O4318" s="164">
        <v>45252.0</v>
      </c>
      <c r="P4318" s="164">
        <f t="array" ref="P4318">XLOOKUP('FACP$'!$B4318,'perfil de pagos'!$A$4:$A$46,'perfil de pagos'!$B$4:$B$46+'FACP$'!$D4318)</f>
        <v>45234</v>
      </c>
      <c r="Q4318" s="165">
        <f t="shared" si="2"/>
        <v>0</v>
      </c>
      <c r="R4318" s="167"/>
      <c r="S4318" s="167">
        <v>2604.0</v>
      </c>
      <c r="T4318" s="168">
        <f t="shared" si="3"/>
        <v>112577.9884</v>
      </c>
      <c r="U4318" s="168">
        <f t="shared" si="4"/>
        <v>0</v>
      </c>
      <c r="V4318" s="168">
        <f t="shared" si="5"/>
        <v>0</v>
      </c>
      <c r="W4318" s="168">
        <f t="shared" si="6"/>
        <v>0</v>
      </c>
      <c r="X4318" s="168">
        <f t="shared" si="7"/>
        <v>0</v>
      </c>
      <c r="Y4318" s="168">
        <f t="shared" si="8"/>
        <v>0</v>
      </c>
      <c r="Z4318" s="168">
        <f t="shared" si="9"/>
        <v>0</v>
      </c>
    </row>
    <row r="4319" ht="15.0" customHeight="1">
      <c r="A4319" s="157" t="s">
        <v>5475</v>
      </c>
      <c r="B4319" s="158" t="s">
        <v>38</v>
      </c>
      <c r="C4319" s="158" t="s">
        <v>5467</v>
      </c>
      <c r="D4319" s="159">
        <v>45204.0</v>
      </c>
      <c r="E4319" s="157" t="s">
        <v>731</v>
      </c>
      <c r="F4319" s="160">
        <v>131015.61</v>
      </c>
      <c r="G4319" s="160">
        <f>'FACP$'!$F4319*0.16</f>
        <v>20962.4976</v>
      </c>
      <c r="H4319" s="160">
        <f t="shared" si="124"/>
        <v>151978.1076</v>
      </c>
      <c r="I4319" s="160"/>
      <c r="J4319" s="161"/>
      <c r="K4319" s="160"/>
      <c r="L4319" s="160">
        <f>+'FACP$'!$H4319-'FACP$'!$I4319-'FACP$'!$K4319</f>
        <v>151978.1076</v>
      </c>
      <c r="M4319" s="162" t="s">
        <v>4707</v>
      </c>
      <c r="N4319" s="162" t="s">
        <v>554</v>
      </c>
      <c r="O4319" s="164">
        <v>45238.0</v>
      </c>
      <c r="P4319" s="164">
        <f t="array" ref="P4319">XLOOKUP('FACP$'!$B4319,'perfil de pagos'!$A$4:$A$46,'perfil de pagos'!$B$4:$B$46+'FACP$'!$D4319)</f>
        <v>45234</v>
      </c>
      <c r="Q4319" s="165">
        <f t="shared" si="2"/>
        <v>0</v>
      </c>
      <c r="R4319" s="167"/>
      <c r="S4319" s="167">
        <v>2566.0</v>
      </c>
      <c r="T4319" s="168">
        <f t="shared" si="3"/>
        <v>151978.1076</v>
      </c>
      <c r="U4319" s="168">
        <f t="shared" si="4"/>
        <v>0</v>
      </c>
      <c r="V4319" s="168">
        <f t="shared" si="5"/>
        <v>0</v>
      </c>
      <c r="W4319" s="168">
        <f t="shared" si="6"/>
        <v>0</v>
      </c>
      <c r="X4319" s="168">
        <f t="shared" si="7"/>
        <v>0</v>
      </c>
      <c r="Y4319" s="168">
        <f t="shared" si="8"/>
        <v>0</v>
      </c>
      <c r="Z4319" s="168">
        <f t="shared" si="9"/>
        <v>0</v>
      </c>
    </row>
    <row r="4320" ht="15.0" customHeight="1">
      <c r="A4320" s="157" t="s">
        <v>5476</v>
      </c>
      <c r="B4320" s="158" t="s">
        <v>38</v>
      </c>
      <c r="C4320" s="158" t="s">
        <v>5463</v>
      </c>
      <c r="D4320" s="159">
        <v>45204.0</v>
      </c>
      <c r="E4320" s="157" t="s">
        <v>731</v>
      </c>
      <c r="F4320" s="160">
        <v>246073.15</v>
      </c>
      <c r="G4320" s="160">
        <f>'FACP$'!$F4320*0.16</f>
        <v>39371.704</v>
      </c>
      <c r="H4320" s="160">
        <f t="shared" si="124"/>
        <v>285444.854</v>
      </c>
      <c r="I4320" s="160"/>
      <c r="J4320" s="161"/>
      <c r="K4320" s="160"/>
      <c r="L4320" s="160">
        <f>+'FACP$'!$H4320-'FACP$'!$I4320-'FACP$'!$K4320</f>
        <v>285444.854</v>
      </c>
      <c r="M4320" s="162" t="s">
        <v>4654</v>
      </c>
      <c r="N4320" s="162" t="s">
        <v>554</v>
      </c>
      <c r="O4320" s="164">
        <v>45252.0</v>
      </c>
      <c r="P4320" s="164">
        <f t="array" ref="P4320">XLOOKUP('FACP$'!$B4320,'perfil de pagos'!$A$4:$A$46,'perfil de pagos'!$B$4:$B$46+'FACP$'!$D4320)</f>
        <v>45234</v>
      </c>
      <c r="Q4320" s="165">
        <f t="shared" si="2"/>
        <v>0</v>
      </c>
      <c r="R4320" s="167"/>
      <c r="S4320" s="167">
        <v>2604.0</v>
      </c>
      <c r="T4320" s="168">
        <f t="shared" si="3"/>
        <v>285444.854</v>
      </c>
      <c r="U4320" s="168">
        <f t="shared" si="4"/>
        <v>0</v>
      </c>
      <c r="V4320" s="168">
        <f t="shared" si="5"/>
        <v>0</v>
      </c>
      <c r="W4320" s="168">
        <f t="shared" si="6"/>
        <v>0</v>
      </c>
      <c r="X4320" s="168">
        <f t="shared" si="7"/>
        <v>0</v>
      </c>
      <c r="Y4320" s="168">
        <f t="shared" si="8"/>
        <v>0</v>
      </c>
      <c r="Z4320" s="168">
        <f t="shared" si="9"/>
        <v>0</v>
      </c>
    </row>
    <row r="4321" ht="15.0" customHeight="1">
      <c r="A4321" s="157" t="s">
        <v>5477</v>
      </c>
      <c r="B4321" s="158" t="s">
        <v>27</v>
      </c>
      <c r="C4321" s="158" t="s">
        <v>5463</v>
      </c>
      <c r="D4321" s="159">
        <v>45204.0</v>
      </c>
      <c r="E4321" s="157" t="s">
        <v>731</v>
      </c>
      <c r="F4321" s="160">
        <v>6446.08</v>
      </c>
      <c r="G4321" s="160">
        <f>'FACP$'!$F4321*0.16</f>
        <v>1031.3728</v>
      </c>
      <c r="H4321" s="160">
        <f t="shared" si="124"/>
        <v>7477.4528</v>
      </c>
      <c r="I4321" s="160"/>
      <c r="J4321" s="161"/>
      <c r="K4321" s="160"/>
      <c r="L4321" s="160">
        <f>+'FACP$'!$H4321-'FACP$'!$I4321-'FACP$'!$K4321</f>
        <v>7477.4528</v>
      </c>
      <c r="M4321" s="162" t="s">
        <v>158</v>
      </c>
      <c r="N4321" s="162" t="s">
        <v>554</v>
      </c>
      <c r="O4321" s="164">
        <v>45239.0</v>
      </c>
      <c r="P4321" s="164">
        <f t="array" ref="P4321">XLOOKUP('FACP$'!$B4321,'perfil de pagos'!$A$4:$A$46,'perfil de pagos'!$B$4:$B$46+'FACP$'!$D4321)</f>
        <v>45234</v>
      </c>
      <c r="Q4321" s="165">
        <f t="shared" si="2"/>
        <v>0</v>
      </c>
      <c r="R4321" s="167"/>
      <c r="S4321" s="167">
        <v>2572.0</v>
      </c>
      <c r="T4321" s="168">
        <f t="shared" si="3"/>
        <v>7477.4528</v>
      </c>
      <c r="U4321" s="168">
        <f t="shared" si="4"/>
        <v>0</v>
      </c>
      <c r="V4321" s="168">
        <f t="shared" si="5"/>
        <v>0</v>
      </c>
      <c r="W4321" s="168">
        <f t="shared" si="6"/>
        <v>0</v>
      </c>
      <c r="X4321" s="168">
        <f t="shared" si="7"/>
        <v>0</v>
      </c>
      <c r="Y4321" s="168">
        <f t="shared" si="8"/>
        <v>0</v>
      </c>
      <c r="Z4321" s="168">
        <f t="shared" si="9"/>
        <v>0</v>
      </c>
    </row>
    <row r="4322" ht="15.0" customHeight="1">
      <c r="A4322" s="157" t="s">
        <v>5478</v>
      </c>
      <c r="B4322" s="158" t="s">
        <v>27</v>
      </c>
      <c r="C4322" s="158" t="s">
        <v>5479</v>
      </c>
      <c r="D4322" s="159">
        <v>45204.0</v>
      </c>
      <c r="E4322" s="157" t="s">
        <v>731</v>
      </c>
      <c r="F4322" s="160">
        <v>4341.52</v>
      </c>
      <c r="G4322" s="160">
        <f>'FACP$'!$F4322*0.16</f>
        <v>694.6432</v>
      </c>
      <c r="H4322" s="160">
        <f t="shared" si="124"/>
        <v>5036.1632</v>
      </c>
      <c r="I4322" s="160"/>
      <c r="J4322" s="161"/>
      <c r="K4322" s="160"/>
      <c r="L4322" s="160">
        <f>+'FACP$'!$H4322-'FACP$'!$I4322-'FACP$'!$K4322</f>
        <v>5036.1632</v>
      </c>
      <c r="M4322" s="162" t="s">
        <v>158</v>
      </c>
      <c r="N4322" s="162" t="s">
        <v>554</v>
      </c>
      <c r="O4322" s="164">
        <v>45239.0</v>
      </c>
      <c r="P4322" s="164">
        <f t="array" ref="P4322">XLOOKUP('FACP$'!$B4322,'perfil de pagos'!$A$4:$A$46,'perfil de pagos'!$B$4:$B$46+'FACP$'!$D4322)</f>
        <v>45234</v>
      </c>
      <c r="Q4322" s="165">
        <f t="shared" si="2"/>
        <v>0</v>
      </c>
      <c r="R4322" s="167"/>
      <c r="S4322" s="167">
        <v>2572.0</v>
      </c>
      <c r="T4322" s="168">
        <f t="shared" si="3"/>
        <v>5036.1632</v>
      </c>
      <c r="U4322" s="168">
        <f t="shared" si="4"/>
        <v>0</v>
      </c>
      <c r="V4322" s="168">
        <f t="shared" si="5"/>
        <v>0</v>
      </c>
      <c r="W4322" s="168">
        <f t="shared" si="6"/>
        <v>0</v>
      </c>
      <c r="X4322" s="168">
        <f t="shared" si="7"/>
        <v>0</v>
      </c>
      <c r="Y4322" s="168">
        <f t="shared" si="8"/>
        <v>0</v>
      </c>
      <c r="Z4322" s="168">
        <f t="shared" si="9"/>
        <v>0</v>
      </c>
    </row>
    <row r="4323" ht="15.0" customHeight="1">
      <c r="A4323" s="157" t="s">
        <v>5480</v>
      </c>
      <c r="B4323" s="158" t="s">
        <v>27</v>
      </c>
      <c r="C4323" s="158" t="s">
        <v>5463</v>
      </c>
      <c r="D4323" s="159">
        <v>45204.0</v>
      </c>
      <c r="E4323" s="157" t="s">
        <v>731</v>
      </c>
      <c r="F4323" s="160">
        <v>26155.22</v>
      </c>
      <c r="G4323" s="160">
        <f>'FACP$'!$F4323*0.16</f>
        <v>4184.8352</v>
      </c>
      <c r="H4323" s="160">
        <f t="shared" si="124"/>
        <v>30340.0552</v>
      </c>
      <c r="I4323" s="160"/>
      <c r="J4323" s="161"/>
      <c r="K4323" s="160"/>
      <c r="L4323" s="160">
        <f>+'FACP$'!$H4323-'FACP$'!$I4323-'FACP$'!$K4323</f>
        <v>30340.0552</v>
      </c>
      <c r="M4323" s="162" t="s">
        <v>151</v>
      </c>
      <c r="N4323" s="162" t="s">
        <v>554</v>
      </c>
      <c r="O4323" s="164">
        <v>45239.0</v>
      </c>
      <c r="P4323" s="164">
        <f t="array" ref="P4323">XLOOKUP('FACP$'!$B4323,'perfil de pagos'!$A$4:$A$46,'perfil de pagos'!$B$4:$B$46+'FACP$'!$D4323)</f>
        <v>45234</v>
      </c>
      <c r="Q4323" s="165">
        <f t="shared" si="2"/>
        <v>0</v>
      </c>
      <c r="R4323" s="167"/>
      <c r="S4323" s="167">
        <v>2571.0</v>
      </c>
      <c r="T4323" s="168">
        <f t="shared" si="3"/>
        <v>30340.0552</v>
      </c>
      <c r="U4323" s="168">
        <f t="shared" si="4"/>
        <v>0</v>
      </c>
      <c r="V4323" s="168">
        <f t="shared" si="5"/>
        <v>0</v>
      </c>
      <c r="W4323" s="168">
        <f t="shared" si="6"/>
        <v>0</v>
      </c>
      <c r="X4323" s="168">
        <f t="shared" si="7"/>
        <v>0</v>
      </c>
      <c r="Y4323" s="168">
        <f t="shared" si="8"/>
        <v>0</v>
      </c>
      <c r="Z4323" s="168">
        <f t="shared" si="9"/>
        <v>0</v>
      </c>
    </row>
    <row r="4324" ht="15.0" customHeight="1">
      <c r="A4324" s="157" t="s">
        <v>5481</v>
      </c>
      <c r="B4324" s="158" t="s">
        <v>27</v>
      </c>
      <c r="C4324" s="158" t="s">
        <v>5479</v>
      </c>
      <c r="D4324" s="159">
        <v>45204.0</v>
      </c>
      <c r="E4324" s="157" t="s">
        <v>731</v>
      </c>
      <c r="F4324" s="160">
        <v>22057.45</v>
      </c>
      <c r="G4324" s="160">
        <f>'FACP$'!$F4324*0.16</f>
        <v>3529.192</v>
      </c>
      <c r="H4324" s="160">
        <f t="shared" si="124"/>
        <v>25586.642</v>
      </c>
      <c r="I4324" s="160"/>
      <c r="J4324" s="161"/>
      <c r="K4324" s="160"/>
      <c r="L4324" s="160">
        <f>+'FACP$'!$H4324-'FACP$'!$I4324-'FACP$'!$K4324</f>
        <v>25586.642</v>
      </c>
      <c r="M4324" s="162" t="s">
        <v>151</v>
      </c>
      <c r="N4324" s="162" t="s">
        <v>554</v>
      </c>
      <c r="O4324" s="164">
        <v>45239.0</v>
      </c>
      <c r="P4324" s="164">
        <f t="array" ref="P4324">XLOOKUP('FACP$'!$B4324,'perfil de pagos'!$A$4:$A$46,'perfil de pagos'!$B$4:$B$46+'FACP$'!$D4324)</f>
        <v>45234</v>
      </c>
      <c r="Q4324" s="165">
        <f t="shared" si="2"/>
        <v>0</v>
      </c>
      <c r="R4324" s="167"/>
      <c r="S4324" s="167">
        <v>2571.0</v>
      </c>
      <c r="T4324" s="168">
        <f t="shared" si="3"/>
        <v>25586.642</v>
      </c>
      <c r="U4324" s="168">
        <f t="shared" si="4"/>
        <v>0</v>
      </c>
      <c r="V4324" s="168">
        <f t="shared" si="5"/>
        <v>0</v>
      </c>
      <c r="W4324" s="168">
        <f t="shared" si="6"/>
        <v>0</v>
      </c>
      <c r="X4324" s="168">
        <f t="shared" si="7"/>
        <v>0</v>
      </c>
      <c r="Y4324" s="168">
        <f t="shared" si="8"/>
        <v>0</v>
      </c>
      <c r="Z4324" s="168">
        <f t="shared" si="9"/>
        <v>0</v>
      </c>
    </row>
    <row r="4325" ht="15.0" customHeight="1">
      <c r="A4325" s="157" t="s">
        <v>5482</v>
      </c>
      <c r="B4325" s="158" t="s">
        <v>27</v>
      </c>
      <c r="C4325" s="158" t="s">
        <v>5483</v>
      </c>
      <c r="D4325" s="159">
        <v>45204.0</v>
      </c>
      <c r="E4325" s="157" t="s">
        <v>731</v>
      </c>
      <c r="F4325" s="160">
        <v>1236.31</v>
      </c>
      <c r="G4325" s="160">
        <f>'FACP$'!$F4325*0.16</f>
        <v>197.8096</v>
      </c>
      <c r="H4325" s="160">
        <f t="shared" si="124"/>
        <v>1434.1196</v>
      </c>
      <c r="I4325" s="160"/>
      <c r="J4325" s="161"/>
      <c r="K4325" s="160"/>
      <c r="L4325" s="160">
        <f>+'FACP$'!$H4325-'FACP$'!$I4325-'FACP$'!$K4325</f>
        <v>1434.1196</v>
      </c>
      <c r="M4325" s="162" t="s">
        <v>151</v>
      </c>
      <c r="N4325" s="162" t="s">
        <v>554</v>
      </c>
      <c r="O4325" s="164">
        <v>45239.0</v>
      </c>
      <c r="P4325" s="164">
        <f t="array" ref="P4325">XLOOKUP('FACP$'!$B4325,'perfil de pagos'!$A$4:$A$46,'perfil de pagos'!$B$4:$B$46+'FACP$'!$D4325)</f>
        <v>45234</v>
      </c>
      <c r="Q4325" s="165">
        <f t="shared" si="2"/>
        <v>0</v>
      </c>
      <c r="R4325" s="167"/>
      <c r="S4325" s="167">
        <v>2571.0</v>
      </c>
      <c r="T4325" s="168">
        <f t="shared" si="3"/>
        <v>1434.1196</v>
      </c>
      <c r="U4325" s="168">
        <f t="shared" si="4"/>
        <v>0</v>
      </c>
      <c r="V4325" s="168">
        <f t="shared" si="5"/>
        <v>0</v>
      </c>
      <c r="W4325" s="168">
        <f t="shared" si="6"/>
        <v>0</v>
      </c>
      <c r="X4325" s="168">
        <f t="shared" si="7"/>
        <v>0</v>
      </c>
      <c r="Y4325" s="168">
        <f t="shared" si="8"/>
        <v>0</v>
      </c>
      <c r="Z4325" s="168">
        <f t="shared" si="9"/>
        <v>0</v>
      </c>
    </row>
    <row r="4326" ht="15.0" customHeight="1">
      <c r="A4326" s="157" t="s">
        <v>5484</v>
      </c>
      <c r="B4326" s="158" t="s">
        <v>27</v>
      </c>
      <c r="C4326" s="158" t="s">
        <v>5485</v>
      </c>
      <c r="D4326" s="159">
        <v>45204.0</v>
      </c>
      <c r="E4326" s="157" t="s">
        <v>731</v>
      </c>
      <c r="F4326" s="160">
        <v>1183.11</v>
      </c>
      <c r="G4326" s="160">
        <f>'FACP$'!$F4326*0.16</f>
        <v>189.2976</v>
      </c>
      <c r="H4326" s="160">
        <f t="shared" si="124"/>
        <v>1372.4076</v>
      </c>
      <c r="I4326" s="160"/>
      <c r="J4326" s="161"/>
      <c r="K4326" s="160"/>
      <c r="L4326" s="160">
        <f>+'FACP$'!$H4326-'FACP$'!$I4326-'FACP$'!$K4326</f>
        <v>1372.4076</v>
      </c>
      <c r="M4326" s="162" t="s">
        <v>151</v>
      </c>
      <c r="N4326" s="162" t="s">
        <v>554</v>
      </c>
      <c r="O4326" s="164">
        <v>45239.0</v>
      </c>
      <c r="P4326" s="164">
        <f t="array" ref="P4326">XLOOKUP('FACP$'!$B4326,'perfil de pagos'!$A$4:$A$46,'perfil de pagos'!$B$4:$B$46+'FACP$'!$D4326)</f>
        <v>45234</v>
      </c>
      <c r="Q4326" s="165">
        <f t="shared" si="2"/>
        <v>0</v>
      </c>
      <c r="R4326" s="167"/>
      <c r="S4326" s="167">
        <v>2571.0</v>
      </c>
      <c r="T4326" s="168">
        <f t="shared" si="3"/>
        <v>1372.4076</v>
      </c>
      <c r="U4326" s="168">
        <f t="shared" si="4"/>
        <v>0</v>
      </c>
      <c r="V4326" s="168">
        <f t="shared" si="5"/>
        <v>0</v>
      </c>
      <c r="W4326" s="168">
        <f t="shared" si="6"/>
        <v>0</v>
      </c>
      <c r="X4326" s="168">
        <f t="shared" si="7"/>
        <v>0</v>
      </c>
      <c r="Y4326" s="168">
        <f t="shared" si="8"/>
        <v>0</v>
      </c>
      <c r="Z4326" s="168">
        <f t="shared" si="9"/>
        <v>0</v>
      </c>
    </row>
    <row r="4327" ht="15.0" customHeight="1">
      <c r="A4327" s="157" t="s">
        <v>5486</v>
      </c>
      <c r="B4327" s="158" t="s">
        <v>31</v>
      </c>
      <c r="C4327" s="158" t="s">
        <v>5487</v>
      </c>
      <c r="D4327" s="159">
        <v>45204.0</v>
      </c>
      <c r="E4327" s="157" t="s">
        <v>731</v>
      </c>
      <c r="F4327" s="160">
        <v>54619.5</v>
      </c>
      <c r="G4327" s="160">
        <f>'FACP$'!$F4327*0.16</f>
        <v>8739.12</v>
      </c>
      <c r="H4327" s="160">
        <f t="shared" si="124"/>
        <v>63358.62</v>
      </c>
      <c r="I4327" s="160"/>
      <c r="J4327" s="161"/>
      <c r="K4327" s="160"/>
      <c r="L4327" s="160">
        <f>+'FACP$'!$H4327-'FACP$'!$I4327-'FACP$'!$K4327</f>
        <v>63358.62</v>
      </c>
      <c r="M4327" s="162" t="s">
        <v>3183</v>
      </c>
      <c r="N4327" s="162" t="s">
        <v>554</v>
      </c>
      <c r="O4327" s="164">
        <v>45198.0</v>
      </c>
      <c r="P4327" s="164">
        <f t="array" ref="P4327">XLOOKUP('FACP$'!$B4327,'perfil de pagos'!$A$4:$A$46,'perfil de pagos'!$B$4:$B$46+'FACP$'!$D4327)</f>
        <v>45207</v>
      </c>
      <c r="Q4327" s="165">
        <f t="shared" si="2"/>
        <v>0</v>
      </c>
      <c r="R4327" s="167"/>
      <c r="S4327" s="167"/>
      <c r="T4327" s="168">
        <f t="shared" si="3"/>
        <v>63358.62</v>
      </c>
      <c r="U4327" s="168">
        <f t="shared" si="4"/>
        <v>0</v>
      </c>
      <c r="V4327" s="168">
        <f t="shared" si="5"/>
        <v>0</v>
      </c>
      <c r="W4327" s="168">
        <f t="shared" si="6"/>
        <v>0</v>
      </c>
      <c r="X4327" s="168">
        <f t="shared" si="7"/>
        <v>0</v>
      </c>
      <c r="Y4327" s="168">
        <f t="shared" si="8"/>
        <v>0</v>
      </c>
      <c r="Z4327" s="168">
        <f t="shared" si="9"/>
        <v>0</v>
      </c>
    </row>
    <row r="4328" ht="15.0" customHeight="1">
      <c r="A4328" s="157" t="s">
        <v>5488</v>
      </c>
      <c r="B4328" s="158" t="s">
        <v>31</v>
      </c>
      <c r="C4328" s="158" t="s">
        <v>5489</v>
      </c>
      <c r="D4328" s="159">
        <v>45204.0</v>
      </c>
      <c r="E4328" s="157" t="s">
        <v>731</v>
      </c>
      <c r="F4328" s="160">
        <v>25471.75</v>
      </c>
      <c r="G4328" s="160">
        <f>'FACP$'!$F4328*0.16</f>
        <v>4075.48</v>
      </c>
      <c r="H4328" s="160">
        <f t="shared" si="124"/>
        <v>29547.23</v>
      </c>
      <c r="I4328" s="160"/>
      <c r="J4328" s="161"/>
      <c r="K4328" s="160"/>
      <c r="L4328" s="160">
        <f>+'FACP$'!$H4328-'FACP$'!$I4328-'FACP$'!$K4328</f>
        <v>29547.23</v>
      </c>
      <c r="M4328" s="162" t="s">
        <v>3183</v>
      </c>
      <c r="N4328" s="162" t="s">
        <v>554</v>
      </c>
      <c r="O4328" s="164">
        <v>45219.0</v>
      </c>
      <c r="P4328" s="164">
        <f t="array" ref="P4328">XLOOKUP('FACP$'!$B4328,'perfil de pagos'!$A$4:$A$46,'perfil de pagos'!$B$4:$B$46+'FACP$'!$D4328)</f>
        <v>45207</v>
      </c>
      <c r="Q4328" s="165">
        <f t="shared" si="2"/>
        <v>0</v>
      </c>
      <c r="R4328" s="167"/>
      <c r="S4328" s="167">
        <v>2517.0</v>
      </c>
      <c r="T4328" s="168">
        <f t="shared" si="3"/>
        <v>29547.23</v>
      </c>
      <c r="U4328" s="168">
        <f t="shared" si="4"/>
        <v>0</v>
      </c>
      <c r="V4328" s="168">
        <f t="shared" si="5"/>
        <v>0</v>
      </c>
      <c r="W4328" s="168">
        <f t="shared" si="6"/>
        <v>0</v>
      </c>
      <c r="X4328" s="168">
        <f t="shared" si="7"/>
        <v>0</v>
      </c>
      <c r="Y4328" s="168">
        <f t="shared" si="8"/>
        <v>0</v>
      </c>
      <c r="Z4328" s="168">
        <f t="shared" si="9"/>
        <v>0</v>
      </c>
    </row>
    <row r="4329" ht="15.0" customHeight="1">
      <c r="A4329" s="157" t="s">
        <v>5490</v>
      </c>
      <c r="B4329" s="158" t="s">
        <v>42</v>
      </c>
      <c r="C4329" s="158" t="s">
        <v>5463</v>
      </c>
      <c r="D4329" s="159">
        <v>45204.0</v>
      </c>
      <c r="E4329" s="157" t="s">
        <v>731</v>
      </c>
      <c r="F4329" s="160">
        <v>106537.2</v>
      </c>
      <c r="G4329" s="160">
        <f>'FACP$'!$F4329*0.16</f>
        <v>17045.952</v>
      </c>
      <c r="H4329" s="160">
        <f t="shared" si="124"/>
        <v>123583.152</v>
      </c>
      <c r="I4329" s="160"/>
      <c r="J4329" s="161"/>
      <c r="K4329" s="160"/>
      <c r="L4329" s="160">
        <f>+'FACP$'!$H4329-'FACP$'!$I4329-'FACP$'!$K4329</f>
        <v>123583.152</v>
      </c>
      <c r="M4329" s="162" t="s">
        <v>42</v>
      </c>
      <c r="N4329" s="162" t="s">
        <v>554</v>
      </c>
      <c r="O4329" s="164">
        <v>45211.0</v>
      </c>
      <c r="P4329" s="164">
        <f t="array" ref="P4329">XLOOKUP('FACP$'!$B4329,'perfil de pagos'!$A$4:$A$46,'perfil de pagos'!$B$4:$B$46+'FACP$'!$D4329)</f>
        <v>45214</v>
      </c>
      <c r="Q4329" s="165">
        <f t="shared" si="2"/>
        <v>0</v>
      </c>
      <c r="R4329" s="167"/>
      <c r="S4329" s="167">
        <v>2493.0</v>
      </c>
      <c r="T4329" s="168">
        <f t="shared" si="3"/>
        <v>123583.152</v>
      </c>
      <c r="U4329" s="168">
        <f t="shared" si="4"/>
        <v>0</v>
      </c>
      <c r="V4329" s="168">
        <f t="shared" si="5"/>
        <v>0</v>
      </c>
      <c r="W4329" s="168">
        <f t="shared" si="6"/>
        <v>0</v>
      </c>
      <c r="X4329" s="168">
        <f t="shared" si="7"/>
        <v>0</v>
      </c>
      <c r="Y4329" s="168">
        <f t="shared" si="8"/>
        <v>0</v>
      </c>
      <c r="Z4329" s="168">
        <f t="shared" si="9"/>
        <v>0</v>
      </c>
    </row>
    <row r="4330" ht="15.0" customHeight="1">
      <c r="A4330" s="157" t="s">
        <v>5491</v>
      </c>
      <c r="B4330" s="158" t="s">
        <v>16</v>
      </c>
      <c r="C4330" s="158" t="s">
        <v>5463</v>
      </c>
      <c r="D4330" s="159">
        <v>45205.0</v>
      </c>
      <c r="E4330" s="157" t="s">
        <v>731</v>
      </c>
      <c r="F4330" s="160">
        <v>329399.28</v>
      </c>
      <c r="G4330" s="160">
        <f>'FACP$'!$F4330*0.16</f>
        <v>52703.8848</v>
      </c>
      <c r="H4330" s="160">
        <f t="shared" si="124"/>
        <v>382103.1648</v>
      </c>
      <c r="I4330" s="160"/>
      <c r="J4330" s="161"/>
      <c r="K4330" s="160"/>
      <c r="L4330" s="160">
        <f>+'FACP$'!$H4330-'FACP$'!$I4330-'FACP$'!$K4330</f>
        <v>382103.1648</v>
      </c>
      <c r="M4330" s="162" t="s">
        <v>985</v>
      </c>
      <c r="N4330" s="162" t="s">
        <v>554</v>
      </c>
      <c r="O4330" s="164">
        <v>45223.0</v>
      </c>
      <c r="P4330" s="164">
        <f t="array" ref="P4330">XLOOKUP('FACP$'!$B4330,'perfil de pagos'!$A$4:$A$46,'perfil de pagos'!$B$4:$B$46+'FACP$'!$D4330)</f>
        <v>45215</v>
      </c>
      <c r="Q4330" s="165">
        <f t="shared" si="2"/>
        <v>0</v>
      </c>
      <c r="R4330" s="167"/>
      <c r="S4330" s="167">
        <v>2518.0</v>
      </c>
      <c r="T4330" s="168">
        <f t="shared" si="3"/>
        <v>382103.1648</v>
      </c>
      <c r="U4330" s="168">
        <f t="shared" si="4"/>
        <v>0</v>
      </c>
      <c r="V4330" s="168">
        <f t="shared" si="5"/>
        <v>0</v>
      </c>
      <c r="W4330" s="168">
        <f t="shared" si="6"/>
        <v>0</v>
      </c>
      <c r="X4330" s="168">
        <f t="shared" si="7"/>
        <v>0</v>
      </c>
      <c r="Y4330" s="168">
        <f t="shared" si="8"/>
        <v>0</v>
      </c>
      <c r="Z4330" s="168">
        <f t="shared" si="9"/>
        <v>0</v>
      </c>
    </row>
    <row r="4331" ht="15.0" customHeight="1">
      <c r="A4331" s="157" t="s">
        <v>5492</v>
      </c>
      <c r="B4331" s="158" t="s">
        <v>16</v>
      </c>
      <c r="C4331" s="158" t="s">
        <v>5467</v>
      </c>
      <c r="D4331" s="159">
        <v>45205.0</v>
      </c>
      <c r="E4331" s="157" t="s">
        <v>731</v>
      </c>
      <c r="F4331" s="160">
        <v>513351.52</v>
      </c>
      <c r="G4331" s="160">
        <f>'FACP$'!$F4331*0.16</f>
        <v>82136.2432</v>
      </c>
      <c r="H4331" s="160">
        <f t="shared" si="124"/>
        <v>595487.7632</v>
      </c>
      <c r="I4331" s="160"/>
      <c r="J4331" s="161"/>
      <c r="K4331" s="160"/>
      <c r="L4331" s="160">
        <f>+'FACP$'!$H4331-'FACP$'!$I4331-'FACP$'!$K4331</f>
        <v>595487.7632</v>
      </c>
      <c r="M4331" s="162" t="s">
        <v>985</v>
      </c>
      <c r="N4331" s="162" t="s">
        <v>554</v>
      </c>
      <c r="O4331" s="164">
        <v>45223.0</v>
      </c>
      <c r="P4331" s="164">
        <f t="array" ref="P4331">XLOOKUP('FACP$'!$B4331,'perfil de pagos'!$A$4:$A$46,'perfil de pagos'!$B$4:$B$46+'FACP$'!$D4331)</f>
        <v>45215</v>
      </c>
      <c r="Q4331" s="165">
        <f t="shared" si="2"/>
        <v>0</v>
      </c>
      <c r="R4331" s="167"/>
      <c r="S4331" s="167">
        <v>2518.0</v>
      </c>
      <c r="T4331" s="168">
        <f t="shared" si="3"/>
        <v>595487.7632</v>
      </c>
      <c r="U4331" s="168">
        <f t="shared" si="4"/>
        <v>0</v>
      </c>
      <c r="V4331" s="168">
        <f t="shared" si="5"/>
        <v>0</v>
      </c>
      <c r="W4331" s="168">
        <f t="shared" si="6"/>
        <v>0</v>
      </c>
      <c r="X4331" s="168">
        <f t="shared" si="7"/>
        <v>0</v>
      </c>
      <c r="Y4331" s="168">
        <f t="shared" si="8"/>
        <v>0</v>
      </c>
      <c r="Z4331" s="168">
        <f t="shared" si="9"/>
        <v>0</v>
      </c>
    </row>
    <row r="4332" ht="15.0" customHeight="1">
      <c r="A4332" s="157" t="s">
        <v>5493</v>
      </c>
      <c r="B4332" s="158" t="s">
        <v>18</v>
      </c>
      <c r="C4332" s="158" t="s">
        <v>5463</v>
      </c>
      <c r="D4332" s="159">
        <v>45205.0</v>
      </c>
      <c r="E4332" s="157" t="s">
        <v>731</v>
      </c>
      <c r="F4332" s="160">
        <v>75673.52</v>
      </c>
      <c r="G4332" s="160">
        <f>'FACP$'!$F4332*0.16</f>
        <v>12107.7632</v>
      </c>
      <c r="H4332" s="160">
        <f t="shared" si="124"/>
        <v>87781.2832</v>
      </c>
      <c r="I4332" s="160"/>
      <c r="J4332" s="161"/>
      <c r="K4332" s="160"/>
      <c r="L4332" s="160">
        <f>+'FACP$'!$H4332-'FACP$'!$I4332-'FACP$'!$K4332</f>
        <v>87781.2832</v>
      </c>
      <c r="M4332" s="162" t="s">
        <v>586</v>
      </c>
      <c r="N4332" s="162" t="s">
        <v>554</v>
      </c>
      <c r="O4332" s="164">
        <v>45224.0</v>
      </c>
      <c r="P4332" s="164">
        <f t="array" ref="P4332">XLOOKUP('FACP$'!$B4332,'perfil de pagos'!$A$4:$A$46,'perfil de pagos'!$B$4:$B$46+'FACP$'!$D4332)</f>
        <v>45215</v>
      </c>
      <c r="Q4332" s="165">
        <f t="shared" si="2"/>
        <v>0</v>
      </c>
      <c r="R4332" s="167"/>
      <c r="S4332" s="167">
        <v>2526.0</v>
      </c>
      <c r="T4332" s="168">
        <f t="shared" si="3"/>
        <v>87781.2832</v>
      </c>
      <c r="U4332" s="168">
        <f t="shared" si="4"/>
        <v>0</v>
      </c>
      <c r="V4332" s="168">
        <f t="shared" si="5"/>
        <v>0</v>
      </c>
      <c r="W4332" s="168">
        <f t="shared" si="6"/>
        <v>0</v>
      </c>
      <c r="X4332" s="168">
        <f t="shared" si="7"/>
        <v>0</v>
      </c>
      <c r="Y4332" s="168">
        <f t="shared" si="8"/>
        <v>0</v>
      </c>
      <c r="Z4332" s="168">
        <f t="shared" si="9"/>
        <v>0</v>
      </c>
    </row>
    <row r="4333" ht="15.0" customHeight="1">
      <c r="A4333" s="157" t="s">
        <v>5494</v>
      </c>
      <c r="B4333" s="158" t="s">
        <v>19</v>
      </c>
      <c r="C4333" s="158" t="s">
        <v>5463</v>
      </c>
      <c r="D4333" s="159">
        <v>45205.0</v>
      </c>
      <c r="E4333" s="157" t="s">
        <v>731</v>
      </c>
      <c r="F4333" s="160">
        <v>101977.09</v>
      </c>
      <c r="G4333" s="160">
        <f>'FACP$'!$F4333*0.16</f>
        <v>16316.3344</v>
      </c>
      <c r="H4333" s="160">
        <f t="shared" si="124"/>
        <v>118293.4244</v>
      </c>
      <c r="I4333" s="160"/>
      <c r="J4333" s="161"/>
      <c r="K4333" s="160"/>
      <c r="L4333" s="160">
        <f>+'FACP$'!$H4333-'FACP$'!$I4333-'FACP$'!$K4333</f>
        <v>118293.4244</v>
      </c>
      <c r="M4333" s="162" t="s">
        <v>732</v>
      </c>
      <c r="N4333" s="162" t="s">
        <v>554</v>
      </c>
      <c r="O4333" s="164">
        <v>45224.0</v>
      </c>
      <c r="P4333" s="164">
        <f t="array" ref="P4333">XLOOKUP('FACP$'!$B4333,'perfil de pagos'!$A$4:$A$46,'perfil de pagos'!$B$4:$B$46+'FACP$'!$D4333)</f>
        <v>45215</v>
      </c>
      <c r="Q4333" s="165">
        <f t="shared" si="2"/>
        <v>0</v>
      </c>
      <c r="R4333" s="167"/>
      <c r="S4333" s="167">
        <v>2526.0</v>
      </c>
      <c r="T4333" s="168">
        <f t="shared" si="3"/>
        <v>118293.4244</v>
      </c>
      <c r="U4333" s="168">
        <f t="shared" si="4"/>
        <v>0</v>
      </c>
      <c r="V4333" s="168">
        <f t="shared" si="5"/>
        <v>0</v>
      </c>
      <c r="W4333" s="168">
        <f t="shared" si="6"/>
        <v>0</v>
      </c>
      <c r="X4333" s="168">
        <f t="shared" si="7"/>
        <v>0</v>
      </c>
      <c r="Y4333" s="168">
        <f t="shared" si="8"/>
        <v>0</v>
      </c>
      <c r="Z4333" s="168">
        <f t="shared" si="9"/>
        <v>0</v>
      </c>
    </row>
    <row r="4334" ht="15.0" customHeight="1">
      <c r="A4334" s="157" t="s">
        <v>5495</v>
      </c>
      <c r="B4334" s="158" t="s">
        <v>22</v>
      </c>
      <c r="C4334" s="158" t="s">
        <v>5463</v>
      </c>
      <c r="D4334" s="159">
        <v>45205.0</v>
      </c>
      <c r="E4334" s="157" t="s">
        <v>731</v>
      </c>
      <c r="F4334" s="160">
        <v>185203.19</v>
      </c>
      <c r="G4334" s="160">
        <f>'FACP$'!$F4334*0.16</f>
        <v>29632.5104</v>
      </c>
      <c r="H4334" s="160">
        <f t="shared" si="124"/>
        <v>214835.7004</v>
      </c>
      <c r="I4334" s="160">
        <v>42121.09839999996</v>
      </c>
      <c r="J4334" s="161"/>
      <c r="K4334" s="160"/>
      <c r="L4334" s="160">
        <f>+'FACP$'!$H4334-'FACP$'!$I4334-'FACP$'!$K4334</f>
        <v>172714.602</v>
      </c>
      <c r="M4334" s="162" t="s">
        <v>220</v>
      </c>
      <c r="N4334" s="162" t="s">
        <v>554</v>
      </c>
      <c r="O4334" s="164">
        <v>45239.0</v>
      </c>
      <c r="P4334" s="164">
        <f t="array" ref="P4334">XLOOKUP('FACP$'!$B4334,'perfil de pagos'!$A$4:$A$46,'perfil de pagos'!$B$4:$B$46+'FACP$'!$D4334)</f>
        <v>45215</v>
      </c>
      <c r="Q4334" s="165">
        <f t="shared" si="2"/>
        <v>0</v>
      </c>
      <c r="R4334" s="220" t="s">
        <v>5496</v>
      </c>
      <c r="S4334" s="220" t="s">
        <v>5497</v>
      </c>
      <c r="T4334" s="168">
        <f t="shared" si="3"/>
        <v>172714.602</v>
      </c>
      <c r="U4334" s="168">
        <f t="shared" si="4"/>
        <v>0</v>
      </c>
      <c r="V4334" s="168">
        <f t="shared" si="5"/>
        <v>0</v>
      </c>
      <c r="W4334" s="168">
        <f t="shared" si="6"/>
        <v>0</v>
      </c>
      <c r="X4334" s="168">
        <f t="shared" si="7"/>
        <v>0</v>
      </c>
      <c r="Y4334" s="168">
        <f t="shared" si="8"/>
        <v>0</v>
      </c>
      <c r="Z4334" s="168">
        <f t="shared" si="9"/>
        <v>0</v>
      </c>
    </row>
    <row r="4335" ht="15.0" customHeight="1">
      <c r="A4335" s="157" t="s">
        <v>5498</v>
      </c>
      <c r="B4335" s="158" t="s">
        <v>25</v>
      </c>
      <c r="C4335" s="158" t="s">
        <v>5463</v>
      </c>
      <c r="D4335" s="159">
        <v>45205.0</v>
      </c>
      <c r="E4335" s="157" t="s">
        <v>731</v>
      </c>
      <c r="F4335" s="160">
        <v>48555.22</v>
      </c>
      <c r="G4335" s="160">
        <f>'FACP$'!$F4335*0.16</f>
        <v>7768.8352</v>
      </c>
      <c r="H4335" s="160">
        <f t="shared" si="124"/>
        <v>56324.0552</v>
      </c>
      <c r="I4335" s="160"/>
      <c r="J4335" s="161"/>
      <c r="K4335" s="160"/>
      <c r="L4335" s="160">
        <f>+'FACP$'!$H4335-'FACP$'!$I4335-'FACP$'!$K4335</f>
        <v>56324.0552</v>
      </c>
      <c r="M4335" s="162" t="s">
        <v>4388</v>
      </c>
      <c r="N4335" s="162" t="s">
        <v>554</v>
      </c>
      <c r="O4335" s="164">
        <v>45224.0</v>
      </c>
      <c r="P4335" s="164">
        <f t="array" ref="P4335">XLOOKUP('FACP$'!$B4335,'perfil de pagos'!$A$4:$A$46,'perfil de pagos'!$B$4:$B$46+'FACP$'!$D4335)</f>
        <v>45215</v>
      </c>
      <c r="Q4335" s="165">
        <f t="shared" si="2"/>
        <v>0</v>
      </c>
      <c r="R4335" s="167"/>
      <c r="S4335" s="167">
        <v>2523.0</v>
      </c>
      <c r="T4335" s="168">
        <f t="shared" si="3"/>
        <v>56324.0552</v>
      </c>
      <c r="U4335" s="168">
        <f t="shared" si="4"/>
        <v>0</v>
      </c>
      <c r="V4335" s="168">
        <f t="shared" si="5"/>
        <v>0</v>
      </c>
      <c r="W4335" s="168">
        <f t="shared" si="6"/>
        <v>0</v>
      </c>
      <c r="X4335" s="168">
        <f t="shared" si="7"/>
        <v>0</v>
      </c>
      <c r="Y4335" s="168">
        <f t="shared" si="8"/>
        <v>0</v>
      </c>
      <c r="Z4335" s="168">
        <f t="shared" si="9"/>
        <v>0</v>
      </c>
    </row>
    <row r="4336" ht="15.0" customHeight="1">
      <c r="A4336" s="157" t="s">
        <v>5499</v>
      </c>
      <c r="B4336" s="158" t="s">
        <v>29</v>
      </c>
      <c r="C4336" s="158" t="s">
        <v>5463</v>
      </c>
      <c r="D4336" s="159">
        <v>45205.0</v>
      </c>
      <c r="E4336" s="157" t="s">
        <v>731</v>
      </c>
      <c r="F4336" s="160">
        <v>296834.35</v>
      </c>
      <c r="G4336" s="160">
        <f>'FACP$'!$F4336*0.16</f>
        <v>47493.496</v>
      </c>
      <c r="H4336" s="160">
        <f t="shared" si="124"/>
        <v>344327.846</v>
      </c>
      <c r="I4336" s="160"/>
      <c r="J4336" s="161"/>
      <c r="K4336" s="160"/>
      <c r="L4336" s="160">
        <f>+'FACP$'!$H4336-'FACP$'!$I4336-'FACP$'!$K4336</f>
        <v>344327.846</v>
      </c>
      <c r="M4336" s="162" t="s">
        <v>130</v>
      </c>
      <c r="N4336" s="162" t="s">
        <v>554</v>
      </c>
      <c r="O4336" s="164">
        <v>45218.0</v>
      </c>
      <c r="P4336" s="164">
        <f t="array" ref="P4336">XLOOKUP('FACP$'!$B4336,'perfil de pagos'!$A$4:$A$46,'perfil de pagos'!$B$4:$B$46+'FACP$'!$D4336)</f>
        <v>45215</v>
      </c>
      <c r="Q4336" s="165">
        <f t="shared" si="2"/>
        <v>0</v>
      </c>
      <c r="R4336" s="167"/>
      <c r="S4336" s="167">
        <v>2510.0</v>
      </c>
      <c r="T4336" s="168">
        <f t="shared" si="3"/>
        <v>344327.846</v>
      </c>
      <c r="U4336" s="168">
        <f t="shared" si="4"/>
        <v>0</v>
      </c>
      <c r="V4336" s="168">
        <f t="shared" si="5"/>
        <v>0</v>
      </c>
      <c r="W4336" s="168">
        <f t="shared" si="6"/>
        <v>0</v>
      </c>
      <c r="X4336" s="168">
        <f t="shared" si="7"/>
        <v>0</v>
      </c>
      <c r="Y4336" s="168">
        <f t="shared" si="8"/>
        <v>0</v>
      </c>
      <c r="Z4336" s="168">
        <f t="shared" si="9"/>
        <v>0</v>
      </c>
    </row>
    <row r="4337" ht="15.0" customHeight="1">
      <c r="A4337" s="157" t="s">
        <v>5500</v>
      </c>
      <c r="B4337" s="158" t="s">
        <v>29</v>
      </c>
      <c r="C4337" s="158" t="s">
        <v>5467</v>
      </c>
      <c r="D4337" s="159">
        <v>45205.0</v>
      </c>
      <c r="E4337" s="157" t="s">
        <v>731</v>
      </c>
      <c r="F4337" s="160">
        <v>462715.65</v>
      </c>
      <c r="G4337" s="160">
        <f>'FACP$'!$F4337*0.16</f>
        <v>74034.504</v>
      </c>
      <c r="H4337" s="160">
        <f t="shared" si="124"/>
        <v>536750.154</v>
      </c>
      <c r="I4337" s="160"/>
      <c r="J4337" s="161"/>
      <c r="K4337" s="160"/>
      <c r="L4337" s="160">
        <f>+'FACP$'!$H4337-'FACP$'!$I4337-'FACP$'!$K4337</f>
        <v>536750.154</v>
      </c>
      <c r="M4337" s="162" t="s">
        <v>130</v>
      </c>
      <c r="N4337" s="162" t="s">
        <v>554</v>
      </c>
      <c r="O4337" s="164">
        <v>45218.0</v>
      </c>
      <c r="P4337" s="164">
        <f t="array" ref="P4337">XLOOKUP('FACP$'!$B4337,'perfil de pagos'!$A$4:$A$46,'perfil de pagos'!$B$4:$B$46+'FACP$'!$D4337)</f>
        <v>45215</v>
      </c>
      <c r="Q4337" s="165">
        <f t="shared" si="2"/>
        <v>0</v>
      </c>
      <c r="R4337" s="167"/>
      <c r="S4337" s="167">
        <v>2510.0</v>
      </c>
      <c r="T4337" s="168">
        <f t="shared" si="3"/>
        <v>536750.154</v>
      </c>
      <c r="U4337" s="168">
        <f t="shared" si="4"/>
        <v>0</v>
      </c>
      <c r="V4337" s="168">
        <f t="shared" si="5"/>
        <v>0</v>
      </c>
      <c r="W4337" s="168">
        <f t="shared" si="6"/>
        <v>0</v>
      </c>
      <c r="X4337" s="168">
        <f t="shared" si="7"/>
        <v>0</v>
      </c>
      <c r="Y4337" s="168">
        <f t="shared" si="8"/>
        <v>0</v>
      </c>
      <c r="Z4337" s="168">
        <f t="shared" si="9"/>
        <v>0</v>
      </c>
    </row>
    <row r="4338" ht="15.0" customHeight="1">
      <c r="A4338" s="157" t="s">
        <v>5501</v>
      </c>
      <c r="B4338" s="158" t="s">
        <v>37</v>
      </c>
      <c r="C4338" s="158" t="s">
        <v>5463</v>
      </c>
      <c r="D4338" s="159">
        <v>45205.0</v>
      </c>
      <c r="E4338" s="157" t="s">
        <v>731</v>
      </c>
      <c r="F4338" s="160">
        <v>1560711.91</v>
      </c>
      <c r="G4338" s="160">
        <f>'FACP$'!$F4338*0.16</f>
        <v>249713.9056</v>
      </c>
      <c r="H4338" s="160">
        <f t="shared" si="124"/>
        <v>1810425.816</v>
      </c>
      <c r="I4338" s="160"/>
      <c r="J4338" s="161"/>
      <c r="K4338" s="160"/>
      <c r="L4338" s="160">
        <f>+'FACP$'!$H4338-'FACP$'!$I4338-'FACP$'!$K4338</f>
        <v>1810425.816</v>
      </c>
      <c r="M4338" s="162" t="s">
        <v>116</v>
      </c>
      <c r="N4338" s="162" t="s">
        <v>554</v>
      </c>
      <c r="O4338" s="164">
        <v>45215.0</v>
      </c>
      <c r="P4338" s="164">
        <f t="array" ref="P4338">XLOOKUP('FACP$'!$B4338,'perfil de pagos'!$A$4:$A$46,'perfil de pagos'!$B$4:$B$46+'FACP$'!$D4338)</f>
        <v>45215</v>
      </c>
      <c r="Q4338" s="165">
        <f t="shared" si="2"/>
        <v>0</v>
      </c>
      <c r="R4338" s="167"/>
      <c r="S4338" s="167"/>
      <c r="T4338" s="168">
        <f t="shared" si="3"/>
        <v>1810425.816</v>
      </c>
      <c r="U4338" s="168">
        <f t="shared" si="4"/>
        <v>0</v>
      </c>
      <c r="V4338" s="168">
        <f t="shared" si="5"/>
        <v>0</v>
      </c>
      <c r="W4338" s="168">
        <f t="shared" si="6"/>
        <v>0</v>
      </c>
      <c r="X4338" s="168">
        <f t="shared" si="7"/>
        <v>0</v>
      </c>
      <c r="Y4338" s="168">
        <f t="shared" si="8"/>
        <v>0</v>
      </c>
      <c r="Z4338" s="168">
        <f t="shared" si="9"/>
        <v>0</v>
      </c>
    </row>
    <row r="4339" ht="15.0" customHeight="1">
      <c r="A4339" s="157" t="s">
        <v>5502</v>
      </c>
      <c r="B4339" s="158" t="s">
        <v>38</v>
      </c>
      <c r="C4339" s="158"/>
      <c r="D4339" s="159">
        <v>45209.0</v>
      </c>
      <c r="E4339" s="157" t="s">
        <v>731</v>
      </c>
      <c r="F4339" s="160"/>
      <c r="G4339" s="160"/>
      <c r="H4339" s="160">
        <f t="shared" si="124"/>
        <v>0</v>
      </c>
      <c r="I4339" s="160"/>
      <c r="J4339" s="161"/>
      <c r="K4339" s="160"/>
      <c r="L4339" s="160">
        <f>+'FACP$'!$H4339-'FACP$'!$I4339-'FACP$'!$K4339</f>
        <v>0</v>
      </c>
      <c r="M4339" s="162"/>
      <c r="N4339" s="162" t="s">
        <v>127</v>
      </c>
      <c r="O4339" s="164"/>
      <c r="P4339" s="164">
        <f t="shared" ref="P4339:P4341" si="125">D4339+10</f>
        <v>45219</v>
      </c>
      <c r="Q4339" s="165">
        <f t="shared" si="2"/>
        <v>0</v>
      </c>
      <c r="R4339" s="167" t="s">
        <v>448</v>
      </c>
      <c r="S4339" s="167"/>
      <c r="T4339" s="168">
        <f t="shared" si="3"/>
        <v>0</v>
      </c>
      <c r="U4339" s="168">
        <f t="shared" si="4"/>
        <v>0</v>
      </c>
      <c r="V4339" s="168">
        <f t="shared" si="5"/>
        <v>0</v>
      </c>
      <c r="W4339" s="168">
        <f t="shared" si="6"/>
        <v>0</v>
      </c>
      <c r="X4339" s="168">
        <f t="shared" si="7"/>
        <v>0</v>
      </c>
      <c r="Y4339" s="168">
        <f t="shared" si="8"/>
        <v>0</v>
      </c>
      <c r="Z4339" s="168">
        <f t="shared" si="9"/>
        <v>0</v>
      </c>
    </row>
    <row r="4340" ht="15.0" customHeight="1">
      <c r="A4340" s="157" t="s">
        <v>5503</v>
      </c>
      <c r="B4340" s="158" t="s">
        <v>38</v>
      </c>
      <c r="C4340" s="158"/>
      <c r="D4340" s="159">
        <v>45209.0</v>
      </c>
      <c r="E4340" s="157" t="s">
        <v>731</v>
      </c>
      <c r="F4340" s="160"/>
      <c r="G4340" s="160"/>
      <c r="H4340" s="160">
        <f t="shared" si="124"/>
        <v>0</v>
      </c>
      <c r="I4340" s="160"/>
      <c r="J4340" s="161"/>
      <c r="K4340" s="160"/>
      <c r="L4340" s="160">
        <f>+'FACP$'!$H4340-'FACP$'!$I4340-'FACP$'!$K4340</f>
        <v>0</v>
      </c>
      <c r="M4340" s="162"/>
      <c r="N4340" s="162" t="s">
        <v>127</v>
      </c>
      <c r="O4340" s="164"/>
      <c r="P4340" s="164">
        <f t="shared" si="125"/>
        <v>45219</v>
      </c>
      <c r="Q4340" s="165">
        <f t="shared" si="2"/>
        <v>0</v>
      </c>
      <c r="R4340" s="167" t="s">
        <v>448</v>
      </c>
      <c r="S4340" s="167"/>
      <c r="T4340" s="168">
        <f t="shared" si="3"/>
        <v>0</v>
      </c>
      <c r="U4340" s="168">
        <f t="shared" si="4"/>
        <v>0</v>
      </c>
      <c r="V4340" s="168">
        <f t="shared" si="5"/>
        <v>0</v>
      </c>
      <c r="W4340" s="168">
        <f t="shared" si="6"/>
        <v>0</v>
      </c>
      <c r="X4340" s="168">
        <f t="shared" si="7"/>
        <v>0</v>
      </c>
      <c r="Y4340" s="168">
        <f t="shared" si="8"/>
        <v>0</v>
      </c>
      <c r="Z4340" s="168">
        <f t="shared" si="9"/>
        <v>0</v>
      </c>
    </row>
    <row r="4341" ht="15.0" customHeight="1">
      <c r="A4341" s="157" t="s">
        <v>5504</v>
      </c>
      <c r="B4341" s="158" t="s">
        <v>38</v>
      </c>
      <c r="C4341" s="158"/>
      <c r="D4341" s="159">
        <v>45209.0</v>
      </c>
      <c r="E4341" s="157" t="s">
        <v>731</v>
      </c>
      <c r="F4341" s="160"/>
      <c r="G4341" s="160"/>
      <c r="H4341" s="160">
        <f t="shared" si="124"/>
        <v>0</v>
      </c>
      <c r="I4341" s="160"/>
      <c r="J4341" s="161"/>
      <c r="K4341" s="160"/>
      <c r="L4341" s="160">
        <f>+'FACP$'!$H4341-'FACP$'!$I4341-'FACP$'!$K4341</f>
        <v>0</v>
      </c>
      <c r="M4341" s="162"/>
      <c r="N4341" s="162" t="s">
        <v>127</v>
      </c>
      <c r="O4341" s="164"/>
      <c r="P4341" s="164">
        <f t="shared" si="125"/>
        <v>45219</v>
      </c>
      <c r="Q4341" s="165">
        <f t="shared" si="2"/>
        <v>0</v>
      </c>
      <c r="R4341" s="167" t="s">
        <v>448</v>
      </c>
      <c r="S4341" s="167"/>
      <c r="T4341" s="168">
        <f t="shared" si="3"/>
        <v>0</v>
      </c>
      <c r="U4341" s="168">
        <f t="shared" si="4"/>
        <v>0</v>
      </c>
      <c r="V4341" s="168">
        <f t="shared" si="5"/>
        <v>0</v>
      </c>
      <c r="W4341" s="168">
        <f t="shared" si="6"/>
        <v>0</v>
      </c>
      <c r="X4341" s="168">
        <f t="shared" si="7"/>
        <v>0</v>
      </c>
      <c r="Y4341" s="168">
        <f t="shared" si="8"/>
        <v>0</v>
      </c>
      <c r="Z4341" s="168">
        <f t="shared" si="9"/>
        <v>0</v>
      </c>
    </row>
    <row r="4342" ht="15.0" customHeight="1">
      <c r="A4342" s="157" t="s">
        <v>5505</v>
      </c>
      <c r="B4342" s="158" t="s">
        <v>38</v>
      </c>
      <c r="C4342" s="158" t="s">
        <v>5463</v>
      </c>
      <c r="D4342" s="159">
        <v>45209.0</v>
      </c>
      <c r="E4342" s="157" t="s">
        <v>731</v>
      </c>
      <c r="F4342" s="160">
        <v>174131.88</v>
      </c>
      <c r="G4342" s="160">
        <f>'FACP$'!$F4342*0.16</f>
        <v>27861.1008</v>
      </c>
      <c r="H4342" s="160">
        <f t="shared" si="124"/>
        <v>201992.9808</v>
      </c>
      <c r="I4342" s="160"/>
      <c r="J4342" s="161"/>
      <c r="K4342" s="160"/>
      <c r="L4342" s="160">
        <f>+'FACP$'!$H4342-'FACP$'!$I4342-'FACP$'!$K4342</f>
        <v>201992.9808</v>
      </c>
      <c r="M4342" s="162" t="s">
        <v>642</v>
      </c>
      <c r="N4342" s="162" t="s">
        <v>554</v>
      </c>
      <c r="O4342" s="164">
        <v>45252.0</v>
      </c>
      <c r="P4342" s="164">
        <f t="array" ref="P4342">XLOOKUP('FACP$'!$B4342,'perfil de pagos'!$A$4:$A$46,'perfil de pagos'!$B$4:$B$46+'FACP$'!$D4342)</f>
        <v>45239</v>
      </c>
      <c r="Q4342" s="165">
        <f t="shared" si="2"/>
        <v>0</v>
      </c>
      <c r="R4342" s="167"/>
      <c r="S4342" s="167">
        <v>2602.0</v>
      </c>
      <c r="T4342" s="168">
        <f t="shared" si="3"/>
        <v>201992.9808</v>
      </c>
      <c r="U4342" s="168">
        <f t="shared" si="4"/>
        <v>0</v>
      </c>
      <c r="V4342" s="168">
        <f t="shared" si="5"/>
        <v>0</v>
      </c>
      <c r="W4342" s="168">
        <f t="shared" si="6"/>
        <v>0</v>
      </c>
      <c r="X4342" s="168">
        <f t="shared" si="7"/>
        <v>0</v>
      </c>
      <c r="Y4342" s="168">
        <f t="shared" si="8"/>
        <v>0</v>
      </c>
      <c r="Z4342" s="168">
        <f t="shared" si="9"/>
        <v>0</v>
      </c>
    </row>
    <row r="4343" ht="15.0" customHeight="1">
      <c r="A4343" s="157" t="s">
        <v>5506</v>
      </c>
      <c r="B4343" s="158" t="s">
        <v>38</v>
      </c>
      <c r="C4343" s="158" t="s">
        <v>5463</v>
      </c>
      <c r="D4343" s="159">
        <v>45209.0</v>
      </c>
      <c r="E4343" s="157" t="s">
        <v>731</v>
      </c>
      <c r="F4343" s="160">
        <v>647152.78</v>
      </c>
      <c r="G4343" s="160">
        <f>'FACP$'!$F4343*0.16</f>
        <v>103544.4448</v>
      </c>
      <c r="H4343" s="160">
        <f t="shared" si="124"/>
        <v>750697.2248</v>
      </c>
      <c r="I4343" s="160"/>
      <c r="J4343" s="161"/>
      <c r="K4343" s="160"/>
      <c r="L4343" s="160">
        <f>+'FACP$'!$H4343-'FACP$'!$I4343-'FACP$'!$K4343</f>
        <v>750697.2248</v>
      </c>
      <c r="M4343" s="162" t="s">
        <v>145</v>
      </c>
      <c r="N4343" s="162" t="s">
        <v>554</v>
      </c>
      <c r="O4343" s="164">
        <v>45252.0</v>
      </c>
      <c r="P4343" s="164">
        <f t="array" ref="P4343">XLOOKUP('FACP$'!$B4343,'perfil de pagos'!$A$4:$A$46,'perfil de pagos'!$B$4:$B$46+'FACP$'!$D4343)</f>
        <v>45239</v>
      </c>
      <c r="Q4343" s="165">
        <f t="shared" si="2"/>
        <v>0</v>
      </c>
      <c r="R4343" s="167"/>
      <c r="S4343" s="167">
        <v>2602.0</v>
      </c>
      <c r="T4343" s="168">
        <f t="shared" si="3"/>
        <v>750697.2248</v>
      </c>
      <c r="U4343" s="168">
        <f t="shared" si="4"/>
        <v>0</v>
      </c>
      <c r="V4343" s="168">
        <f t="shared" si="5"/>
        <v>0</v>
      </c>
      <c r="W4343" s="168">
        <f t="shared" si="6"/>
        <v>0</v>
      </c>
      <c r="X4343" s="168">
        <f t="shared" si="7"/>
        <v>0</v>
      </c>
      <c r="Y4343" s="168">
        <f t="shared" si="8"/>
        <v>0</v>
      </c>
      <c r="Z4343" s="168">
        <f t="shared" si="9"/>
        <v>0</v>
      </c>
    </row>
    <row r="4344" ht="15.0" customHeight="1">
      <c r="A4344" s="157" t="s">
        <v>5507</v>
      </c>
      <c r="B4344" s="158" t="s">
        <v>31</v>
      </c>
      <c r="C4344" s="158" t="s">
        <v>5508</v>
      </c>
      <c r="D4344" s="159">
        <v>45209.0</v>
      </c>
      <c r="E4344" s="157" t="s">
        <v>731</v>
      </c>
      <c r="F4344" s="160">
        <v>54619.5</v>
      </c>
      <c r="G4344" s="160">
        <f>'FACP$'!$F4344*0.16</f>
        <v>8739.12</v>
      </c>
      <c r="H4344" s="160">
        <f t="shared" si="124"/>
        <v>63358.62</v>
      </c>
      <c r="I4344" s="160"/>
      <c r="J4344" s="161"/>
      <c r="K4344" s="160"/>
      <c r="L4344" s="160">
        <f>+'FACP$'!$H4344-'FACP$'!$I4344-'FACP$'!$K4344</f>
        <v>63358.62</v>
      </c>
      <c r="M4344" s="162" t="s">
        <v>3183</v>
      </c>
      <c r="N4344" s="162" t="s">
        <v>554</v>
      </c>
      <c r="O4344" s="164">
        <v>45206.0</v>
      </c>
      <c r="P4344" s="164">
        <f t="array" ref="P4344">XLOOKUP('FACP$'!$B4344,'perfil de pagos'!$A$4:$A$46,'perfil de pagos'!$B$4:$B$46+'FACP$'!$D4344)</f>
        <v>45212</v>
      </c>
      <c r="Q4344" s="165">
        <f t="shared" si="2"/>
        <v>0</v>
      </c>
      <c r="R4344" s="167"/>
      <c r="S4344" s="167"/>
      <c r="T4344" s="168">
        <f t="shared" si="3"/>
        <v>63358.62</v>
      </c>
      <c r="U4344" s="168">
        <f t="shared" si="4"/>
        <v>0</v>
      </c>
      <c r="V4344" s="168">
        <f t="shared" si="5"/>
        <v>0</v>
      </c>
      <c r="W4344" s="168">
        <f t="shared" si="6"/>
        <v>0</v>
      </c>
      <c r="X4344" s="168">
        <f t="shared" si="7"/>
        <v>0</v>
      </c>
      <c r="Y4344" s="168">
        <f t="shared" si="8"/>
        <v>0</v>
      </c>
      <c r="Z4344" s="168">
        <f t="shared" si="9"/>
        <v>0</v>
      </c>
    </row>
    <row r="4345" ht="15.0" customHeight="1">
      <c r="A4345" s="157" t="s">
        <v>5509</v>
      </c>
      <c r="B4345" s="158" t="s">
        <v>15</v>
      </c>
      <c r="C4345" s="158" t="s">
        <v>5510</v>
      </c>
      <c r="D4345" s="159">
        <v>45216.0</v>
      </c>
      <c r="E4345" s="157" t="s">
        <v>731</v>
      </c>
      <c r="F4345" s="160">
        <v>521261.85</v>
      </c>
      <c r="G4345" s="160">
        <f>'FACP$'!$F4345*0.16</f>
        <v>83401.896</v>
      </c>
      <c r="H4345" s="160">
        <f t="shared" si="124"/>
        <v>604663.746</v>
      </c>
      <c r="I4345" s="160"/>
      <c r="J4345" s="161"/>
      <c r="K4345" s="160"/>
      <c r="L4345" s="160">
        <f>+'FACP$'!$H4345-'FACP$'!$I4345-'FACP$'!$K4345</f>
        <v>604663.746</v>
      </c>
      <c r="M4345" s="162" t="s">
        <v>443</v>
      </c>
      <c r="N4345" s="162" t="s">
        <v>554</v>
      </c>
      <c r="O4345" s="164">
        <v>45239.0</v>
      </c>
      <c r="P4345" s="164">
        <f t="array" ref="P4345">XLOOKUP('FACP$'!$B4345,'perfil de pagos'!$A$4:$A$46,'perfil de pagos'!$B$4:$B$46+'FACP$'!$D4345)</f>
        <v>45226</v>
      </c>
      <c r="Q4345" s="165">
        <f t="shared" si="2"/>
        <v>0</v>
      </c>
      <c r="R4345" s="167"/>
      <c r="S4345" s="167">
        <v>2569.0</v>
      </c>
      <c r="T4345" s="168">
        <f t="shared" si="3"/>
        <v>604663.746</v>
      </c>
      <c r="U4345" s="168">
        <f t="shared" si="4"/>
        <v>0</v>
      </c>
      <c r="V4345" s="168">
        <f t="shared" si="5"/>
        <v>0</v>
      </c>
      <c r="W4345" s="168">
        <f t="shared" si="6"/>
        <v>0</v>
      </c>
      <c r="X4345" s="168">
        <f t="shared" si="7"/>
        <v>0</v>
      </c>
      <c r="Y4345" s="168">
        <f t="shared" si="8"/>
        <v>0</v>
      </c>
      <c r="Z4345" s="168">
        <f t="shared" si="9"/>
        <v>0</v>
      </c>
    </row>
    <row r="4346" ht="15.0" customHeight="1">
      <c r="A4346" s="157" t="s">
        <v>5511</v>
      </c>
      <c r="B4346" s="158" t="s">
        <v>32</v>
      </c>
      <c r="C4346" s="158" t="s">
        <v>5510</v>
      </c>
      <c r="D4346" s="159">
        <v>45216.0</v>
      </c>
      <c r="E4346" s="157" t="s">
        <v>731</v>
      </c>
      <c r="F4346" s="160">
        <v>40540.54</v>
      </c>
      <c r="G4346" s="160">
        <f>'FACP$'!$F4346*0.16</f>
        <v>6486.4864</v>
      </c>
      <c r="H4346" s="160">
        <f t="shared" si="124"/>
        <v>47027.0264</v>
      </c>
      <c r="I4346" s="160"/>
      <c r="J4346" s="161"/>
      <c r="K4346" s="160"/>
      <c r="L4346" s="160">
        <f>+'FACP$'!$H4346-'FACP$'!$I4346-'FACP$'!$K4346</f>
        <v>47027.0264</v>
      </c>
      <c r="M4346" s="162" t="s">
        <v>395</v>
      </c>
      <c r="N4346" s="162" t="s">
        <v>554</v>
      </c>
      <c r="O4346" s="164">
        <v>45219.0</v>
      </c>
      <c r="P4346" s="164">
        <f t="array" ref="P4346">XLOOKUP('FACP$'!$B4346,'perfil de pagos'!$A$4:$A$46,'perfil de pagos'!$B$4:$B$46+'FACP$'!$D4346)</f>
        <v>45226</v>
      </c>
      <c r="Q4346" s="165">
        <f t="shared" si="2"/>
        <v>0</v>
      </c>
      <c r="R4346" s="167"/>
      <c r="S4346" s="167">
        <v>2514.0</v>
      </c>
      <c r="T4346" s="168">
        <f t="shared" si="3"/>
        <v>47027.0264</v>
      </c>
      <c r="U4346" s="168">
        <f t="shared" si="4"/>
        <v>0</v>
      </c>
      <c r="V4346" s="168">
        <f t="shared" si="5"/>
        <v>0</v>
      </c>
      <c r="W4346" s="168">
        <f t="shared" si="6"/>
        <v>0</v>
      </c>
      <c r="X4346" s="168">
        <f t="shared" si="7"/>
        <v>0</v>
      </c>
      <c r="Y4346" s="168">
        <f t="shared" si="8"/>
        <v>0</v>
      </c>
      <c r="Z4346" s="168">
        <f t="shared" si="9"/>
        <v>0</v>
      </c>
    </row>
    <row r="4347" ht="15.0" customHeight="1">
      <c r="A4347" s="157" t="s">
        <v>5512</v>
      </c>
      <c r="B4347" s="158" t="s">
        <v>41</v>
      </c>
      <c r="C4347" s="158" t="s">
        <v>5510</v>
      </c>
      <c r="D4347" s="159">
        <v>45216.0</v>
      </c>
      <c r="E4347" s="157" t="s">
        <v>731</v>
      </c>
      <c r="F4347" s="160">
        <v>507494.73</v>
      </c>
      <c r="G4347" s="160">
        <f>'FACP$'!$F4347*0.16</f>
        <v>81199.1568</v>
      </c>
      <c r="H4347" s="160">
        <f t="shared" si="124"/>
        <v>588693.8868</v>
      </c>
      <c r="I4347" s="160"/>
      <c r="J4347" s="161"/>
      <c r="K4347" s="160"/>
      <c r="L4347" s="160">
        <f>+'FACP$'!$H4347-'FACP$'!$I4347-'FACP$'!$K4347</f>
        <v>588693.8868</v>
      </c>
      <c r="M4347" s="162" t="s">
        <v>121</v>
      </c>
      <c r="N4347" s="162" t="s">
        <v>554</v>
      </c>
      <c r="O4347" s="164">
        <v>45230.0</v>
      </c>
      <c r="P4347" s="164">
        <f t="array" ref="P4347">XLOOKUP('FACP$'!$B4347,'perfil de pagos'!$A$4:$A$46,'perfil de pagos'!$B$4:$B$46+'FACP$'!$D4347)</f>
        <v>45226</v>
      </c>
      <c r="Q4347" s="165">
        <f t="shared" si="2"/>
        <v>0</v>
      </c>
      <c r="R4347" s="167"/>
      <c r="S4347" s="167">
        <v>2561.0</v>
      </c>
      <c r="T4347" s="168">
        <f t="shared" si="3"/>
        <v>588693.8868</v>
      </c>
      <c r="U4347" s="168">
        <f t="shared" si="4"/>
        <v>0</v>
      </c>
      <c r="V4347" s="168">
        <f t="shared" si="5"/>
        <v>0</v>
      </c>
      <c r="W4347" s="168">
        <f t="shared" si="6"/>
        <v>0</v>
      </c>
      <c r="X4347" s="168">
        <f t="shared" si="7"/>
        <v>0</v>
      </c>
      <c r="Y4347" s="168">
        <f t="shared" si="8"/>
        <v>0</v>
      </c>
      <c r="Z4347" s="168">
        <f t="shared" si="9"/>
        <v>0</v>
      </c>
    </row>
    <row r="4348" ht="15.0" customHeight="1">
      <c r="A4348" s="157" t="s">
        <v>5513</v>
      </c>
      <c r="B4348" s="158" t="s">
        <v>35</v>
      </c>
      <c r="C4348" s="158" t="s">
        <v>5510</v>
      </c>
      <c r="D4348" s="159">
        <v>45216.0</v>
      </c>
      <c r="E4348" s="157" t="s">
        <v>731</v>
      </c>
      <c r="F4348" s="160">
        <v>79903.71</v>
      </c>
      <c r="G4348" s="160">
        <f>'FACP$'!$F4348*0.16</f>
        <v>12784.5936</v>
      </c>
      <c r="H4348" s="160">
        <f t="shared" si="124"/>
        <v>92688.3036</v>
      </c>
      <c r="I4348" s="160"/>
      <c r="J4348" s="161"/>
      <c r="K4348" s="160"/>
      <c r="L4348" s="160">
        <f>+'FACP$'!$H4348-'FACP$'!$I4348-'FACP$'!$K4348</f>
        <v>92688.3036</v>
      </c>
      <c r="M4348" s="162" t="s">
        <v>276</v>
      </c>
      <c r="N4348" s="162" t="s">
        <v>554</v>
      </c>
      <c r="O4348" s="164">
        <v>45226.0</v>
      </c>
      <c r="P4348" s="164">
        <f t="array" ref="P4348">XLOOKUP('FACP$'!$B4348,'perfil de pagos'!$A$4:$A$46,'perfil de pagos'!$B$4:$B$46+'FACP$'!$D4348)</f>
        <v>45226</v>
      </c>
      <c r="Q4348" s="165">
        <f t="shared" si="2"/>
        <v>0</v>
      </c>
      <c r="R4348" s="167"/>
      <c r="S4348" s="167">
        <v>2532.0</v>
      </c>
      <c r="T4348" s="168">
        <f t="shared" si="3"/>
        <v>92688.3036</v>
      </c>
      <c r="U4348" s="168">
        <f t="shared" si="4"/>
        <v>0</v>
      </c>
      <c r="V4348" s="168">
        <f t="shared" si="5"/>
        <v>0</v>
      </c>
      <c r="W4348" s="168">
        <f t="shared" si="6"/>
        <v>0</v>
      </c>
      <c r="X4348" s="168">
        <f t="shared" si="7"/>
        <v>0</v>
      </c>
      <c r="Y4348" s="168">
        <f t="shared" si="8"/>
        <v>0</v>
      </c>
      <c r="Z4348" s="168">
        <f t="shared" si="9"/>
        <v>0</v>
      </c>
    </row>
    <row r="4349" ht="15.0" customHeight="1">
      <c r="A4349" s="157" t="s">
        <v>5514</v>
      </c>
      <c r="B4349" s="158" t="s">
        <v>36</v>
      </c>
      <c r="C4349" s="158" t="s">
        <v>5510</v>
      </c>
      <c r="D4349" s="159">
        <v>45216.0</v>
      </c>
      <c r="E4349" s="157" t="s">
        <v>731</v>
      </c>
      <c r="F4349" s="160">
        <v>184051.42</v>
      </c>
      <c r="G4349" s="160">
        <f>'FACP$'!$F4349*0.16</f>
        <v>29448.2272</v>
      </c>
      <c r="H4349" s="160">
        <f t="shared" si="124"/>
        <v>213499.6472</v>
      </c>
      <c r="I4349" s="160"/>
      <c r="J4349" s="161"/>
      <c r="K4349" s="160"/>
      <c r="L4349" s="160">
        <f>+'FACP$'!$H4349-'FACP$'!$I4349-'FACP$'!$K4349</f>
        <v>213499.6472</v>
      </c>
      <c r="M4349" s="162" t="s">
        <v>278</v>
      </c>
      <c r="N4349" s="162" t="s">
        <v>554</v>
      </c>
      <c r="O4349" s="164">
        <v>45218.0</v>
      </c>
      <c r="P4349" s="164">
        <f t="array" ref="P4349">XLOOKUP('FACP$'!$B4349,'perfil de pagos'!$A$4:$A$46,'perfil de pagos'!$B$4:$B$46+'FACP$'!$D4349)</f>
        <v>45226</v>
      </c>
      <c r="Q4349" s="165">
        <f t="shared" si="2"/>
        <v>0</v>
      </c>
      <c r="R4349" s="167"/>
      <c r="S4349" s="167">
        <v>2509.0</v>
      </c>
      <c r="T4349" s="168">
        <f t="shared" si="3"/>
        <v>213499.6472</v>
      </c>
      <c r="U4349" s="168">
        <f t="shared" si="4"/>
        <v>0</v>
      </c>
      <c r="V4349" s="168">
        <f t="shared" si="5"/>
        <v>0</v>
      </c>
      <c r="W4349" s="168">
        <f t="shared" si="6"/>
        <v>0</v>
      </c>
      <c r="X4349" s="168">
        <f t="shared" si="7"/>
        <v>0</v>
      </c>
      <c r="Y4349" s="168">
        <f t="shared" si="8"/>
        <v>0</v>
      </c>
      <c r="Z4349" s="168">
        <f t="shared" si="9"/>
        <v>0</v>
      </c>
    </row>
    <row r="4350" ht="15.0" customHeight="1">
      <c r="A4350" s="157" t="s">
        <v>5515</v>
      </c>
      <c r="B4350" s="158" t="s">
        <v>36</v>
      </c>
      <c r="C4350" s="158" t="s">
        <v>5516</v>
      </c>
      <c r="D4350" s="159">
        <v>45216.0</v>
      </c>
      <c r="E4350" s="157" t="s">
        <v>731</v>
      </c>
      <c r="F4350" s="160">
        <v>138092.69</v>
      </c>
      <c r="G4350" s="160">
        <f>'FACP$'!$F4350*0.16</f>
        <v>22094.8304</v>
      </c>
      <c r="H4350" s="160">
        <f t="shared" si="124"/>
        <v>160187.5204</v>
      </c>
      <c r="I4350" s="160"/>
      <c r="J4350" s="161"/>
      <c r="K4350" s="160"/>
      <c r="L4350" s="160">
        <f>+'FACP$'!$H4350-'FACP$'!$I4350-'FACP$'!$K4350</f>
        <v>160187.5204</v>
      </c>
      <c r="M4350" s="162" t="s">
        <v>278</v>
      </c>
      <c r="N4350" s="162" t="s">
        <v>554</v>
      </c>
      <c r="O4350" s="164">
        <v>45218.0</v>
      </c>
      <c r="P4350" s="164">
        <f t="array" ref="P4350">XLOOKUP('FACP$'!$B4350,'perfil de pagos'!$A$4:$A$46,'perfil de pagos'!$B$4:$B$46+'FACP$'!$D4350)</f>
        <v>45226</v>
      </c>
      <c r="Q4350" s="165">
        <f t="shared" si="2"/>
        <v>0</v>
      </c>
      <c r="R4350" s="167"/>
      <c r="S4350" s="167">
        <v>2508.0</v>
      </c>
      <c r="T4350" s="168">
        <f t="shared" si="3"/>
        <v>160187.5204</v>
      </c>
      <c r="U4350" s="168">
        <f t="shared" si="4"/>
        <v>0</v>
      </c>
      <c r="V4350" s="168">
        <f t="shared" si="5"/>
        <v>0</v>
      </c>
      <c r="W4350" s="168">
        <f t="shared" si="6"/>
        <v>0</v>
      </c>
      <c r="X4350" s="168">
        <f t="shared" si="7"/>
        <v>0</v>
      </c>
      <c r="Y4350" s="168">
        <f t="shared" si="8"/>
        <v>0</v>
      </c>
      <c r="Z4350" s="168">
        <f t="shared" si="9"/>
        <v>0</v>
      </c>
    </row>
    <row r="4351" ht="15.0" customHeight="1">
      <c r="A4351" s="157" t="s">
        <v>5517</v>
      </c>
      <c r="B4351" s="158" t="s">
        <v>43</v>
      </c>
      <c r="C4351" s="158" t="s">
        <v>5510</v>
      </c>
      <c r="D4351" s="159">
        <v>45216.0</v>
      </c>
      <c r="E4351" s="157" t="s">
        <v>731</v>
      </c>
      <c r="F4351" s="160">
        <v>601661.85</v>
      </c>
      <c r="G4351" s="160">
        <f>'FACP$'!$F4351*0.16</f>
        <v>96265.896</v>
      </c>
      <c r="H4351" s="160">
        <f t="shared" si="124"/>
        <v>697927.746</v>
      </c>
      <c r="I4351" s="160"/>
      <c r="J4351" s="161"/>
      <c r="K4351" s="160"/>
      <c r="L4351" s="160">
        <f>+'FACP$'!$H4351-'FACP$'!$I4351-'FACP$'!$K4351</f>
        <v>697927.746</v>
      </c>
      <c r="M4351" s="162" t="s">
        <v>43</v>
      </c>
      <c r="N4351" s="162" t="s">
        <v>554</v>
      </c>
      <c r="O4351" s="164">
        <v>45254.0</v>
      </c>
      <c r="P4351" s="164">
        <f t="array" ref="P4351">XLOOKUP('FACP$'!$B4351,'perfil de pagos'!$A$4:$A$46,'perfil de pagos'!$B$4:$B$46+'FACP$'!$D4351)</f>
        <v>45241</v>
      </c>
      <c r="Q4351" s="165">
        <f t="shared" si="2"/>
        <v>0</v>
      </c>
      <c r="R4351" s="167"/>
      <c r="S4351" s="167">
        <v>2606.0</v>
      </c>
      <c r="T4351" s="168">
        <f t="shared" si="3"/>
        <v>697927.746</v>
      </c>
      <c r="U4351" s="168">
        <f t="shared" si="4"/>
        <v>0</v>
      </c>
      <c r="V4351" s="168">
        <f t="shared" si="5"/>
        <v>0</v>
      </c>
      <c r="W4351" s="168">
        <f t="shared" si="6"/>
        <v>0</v>
      </c>
      <c r="X4351" s="168">
        <f t="shared" si="7"/>
        <v>0</v>
      </c>
      <c r="Y4351" s="168">
        <f t="shared" si="8"/>
        <v>0</v>
      </c>
      <c r="Z4351" s="168">
        <f t="shared" si="9"/>
        <v>0</v>
      </c>
    </row>
    <row r="4352" ht="15.0" customHeight="1">
      <c r="A4352" s="157" t="s">
        <v>5518</v>
      </c>
      <c r="B4352" s="158" t="s">
        <v>43</v>
      </c>
      <c r="C4352" s="158" t="s">
        <v>5516</v>
      </c>
      <c r="D4352" s="159">
        <v>45216.0</v>
      </c>
      <c r="E4352" s="157" t="s">
        <v>731</v>
      </c>
      <c r="F4352" s="160">
        <v>613830.32</v>
      </c>
      <c r="G4352" s="160">
        <f>'FACP$'!$F4352*0.16</f>
        <v>98212.8512</v>
      </c>
      <c r="H4352" s="160">
        <f t="shared" si="124"/>
        <v>712043.1712</v>
      </c>
      <c r="I4352" s="160"/>
      <c r="J4352" s="161"/>
      <c r="K4352" s="160"/>
      <c r="L4352" s="160">
        <f>+'FACP$'!$H4352-'FACP$'!$I4352-'FACP$'!$K4352</f>
        <v>712043.1712</v>
      </c>
      <c r="M4352" s="162" t="s">
        <v>43</v>
      </c>
      <c r="N4352" s="162" t="s">
        <v>554</v>
      </c>
      <c r="O4352" s="164">
        <v>45261.0</v>
      </c>
      <c r="P4352" s="164">
        <f t="array" ref="P4352">XLOOKUP('FACP$'!$B4352,'perfil de pagos'!$A$4:$A$46,'perfil de pagos'!$B$4:$B$46+'FACP$'!$D4352)</f>
        <v>45241</v>
      </c>
      <c r="Q4352" s="165">
        <f t="shared" si="2"/>
        <v>0</v>
      </c>
      <c r="R4352" s="167"/>
      <c r="S4352" s="167">
        <v>2625.0</v>
      </c>
      <c r="T4352" s="168">
        <f t="shared" si="3"/>
        <v>712043.1712</v>
      </c>
      <c r="U4352" s="168">
        <f t="shared" si="4"/>
        <v>0</v>
      </c>
      <c r="V4352" s="168">
        <f t="shared" si="5"/>
        <v>0</v>
      </c>
      <c r="W4352" s="168">
        <f t="shared" si="6"/>
        <v>0</v>
      </c>
      <c r="X4352" s="168">
        <f t="shared" si="7"/>
        <v>0</v>
      </c>
      <c r="Y4352" s="168">
        <f t="shared" si="8"/>
        <v>0</v>
      </c>
      <c r="Z4352" s="168">
        <f t="shared" si="9"/>
        <v>0</v>
      </c>
    </row>
    <row r="4353" ht="15.0" customHeight="1">
      <c r="A4353" s="157" t="s">
        <v>5519</v>
      </c>
      <c r="B4353" s="158" t="s">
        <v>27</v>
      </c>
      <c r="C4353" s="158" t="s">
        <v>5520</v>
      </c>
      <c r="D4353" s="159">
        <v>45216.0</v>
      </c>
      <c r="E4353" s="157" t="s">
        <v>731</v>
      </c>
      <c r="F4353" s="160">
        <v>173552.63</v>
      </c>
      <c r="G4353" s="160">
        <f>'FACP$'!$F4353*0.16</f>
        <v>27768.4208</v>
      </c>
      <c r="H4353" s="160">
        <f t="shared" si="124"/>
        <v>201321.0508</v>
      </c>
      <c r="I4353" s="160"/>
      <c r="J4353" s="161"/>
      <c r="K4353" s="160"/>
      <c r="L4353" s="160">
        <f>+'FACP$'!$H4353-'FACP$'!$I4353-'FACP$'!$K4353</f>
        <v>201321.0508</v>
      </c>
      <c r="M4353" s="162" t="s">
        <v>158</v>
      </c>
      <c r="N4353" s="162" t="s">
        <v>554</v>
      </c>
      <c r="O4353" s="164">
        <v>45247.0</v>
      </c>
      <c r="P4353" s="164">
        <f t="array" ref="P4353">XLOOKUP('FACP$'!$B4353,'perfil de pagos'!$A$4:$A$46,'perfil de pagos'!$B$4:$B$46+'FACP$'!$D4353)</f>
        <v>45246</v>
      </c>
      <c r="Q4353" s="165">
        <f t="shared" si="2"/>
        <v>0</v>
      </c>
      <c r="R4353" s="167"/>
      <c r="S4353" s="167">
        <v>2591.0</v>
      </c>
      <c r="T4353" s="168">
        <f t="shared" si="3"/>
        <v>201321.0508</v>
      </c>
      <c r="U4353" s="168">
        <f t="shared" si="4"/>
        <v>0</v>
      </c>
      <c r="V4353" s="168">
        <f t="shared" si="5"/>
        <v>0</v>
      </c>
      <c r="W4353" s="168">
        <f t="shared" si="6"/>
        <v>0</v>
      </c>
      <c r="X4353" s="168">
        <f t="shared" si="7"/>
        <v>0</v>
      </c>
      <c r="Y4353" s="168">
        <f t="shared" si="8"/>
        <v>0</v>
      </c>
      <c r="Z4353" s="168">
        <f t="shared" si="9"/>
        <v>0</v>
      </c>
    </row>
    <row r="4354" ht="15.0" customHeight="1">
      <c r="A4354" s="157" t="s">
        <v>5521</v>
      </c>
      <c r="B4354" s="158" t="s">
        <v>27</v>
      </c>
      <c r="C4354" s="158" t="s">
        <v>5522</v>
      </c>
      <c r="D4354" s="159">
        <v>45216.0</v>
      </c>
      <c r="E4354" s="157" t="s">
        <v>731</v>
      </c>
      <c r="F4354" s="160">
        <v>138184.99</v>
      </c>
      <c r="G4354" s="160">
        <f>'FACP$'!$F4354*0.16</f>
        <v>22109.5984</v>
      </c>
      <c r="H4354" s="160">
        <f t="shared" si="124"/>
        <v>160294.5884</v>
      </c>
      <c r="I4354" s="160"/>
      <c r="J4354" s="161"/>
      <c r="K4354" s="160"/>
      <c r="L4354" s="160">
        <f>+'FACP$'!$H4354-'FACP$'!$I4354-'FACP$'!$K4354</f>
        <v>160294.5884</v>
      </c>
      <c r="M4354" s="162" t="s">
        <v>158</v>
      </c>
      <c r="N4354" s="162" t="s">
        <v>554</v>
      </c>
      <c r="O4354" s="164">
        <v>45247.0</v>
      </c>
      <c r="P4354" s="164">
        <f t="array" ref="P4354">XLOOKUP('FACP$'!$B4354,'perfil de pagos'!$A$4:$A$46,'perfil de pagos'!$B$4:$B$46+'FACP$'!$D4354)</f>
        <v>45246</v>
      </c>
      <c r="Q4354" s="165">
        <f t="shared" si="2"/>
        <v>0</v>
      </c>
      <c r="R4354" s="167"/>
      <c r="S4354" s="167">
        <v>2591.0</v>
      </c>
      <c r="T4354" s="168">
        <f t="shared" si="3"/>
        <v>160294.5884</v>
      </c>
      <c r="U4354" s="168">
        <f t="shared" si="4"/>
        <v>0</v>
      </c>
      <c r="V4354" s="168">
        <f t="shared" si="5"/>
        <v>0</v>
      </c>
      <c r="W4354" s="168">
        <f t="shared" si="6"/>
        <v>0</v>
      </c>
      <c r="X4354" s="168">
        <f t="shared" si="7"/>
        <v>0</v>
      </c>
      <c r="Y4354" s="168">
        <f t="shared" si="8"/>
        <v>0</v>
      </c>
      <c r="Z4354" s="168">
        <f t="shared" si="9"/>
        <v>0</v>
      </c>
    </row>
    <row r="4355" ht="15.0" customHeight="1">
      <c r="A4355" s="157" t="s">
        <v>5523</v>
      </c>
      <c r="B4355" s="158" t="s">
        <v>27</v>
      </c>
      <c r="C4355" s="158" t="s">
        <v>5520</v>
      </c>
      <c r="D4355" s="159">
        <v>45216.0</v>
      </c>
      <c r="E4355" s="157" t="s">
        <v>731</v>
      </c>
      <c r="F4355" s="160">
        <v>336312.11</v>
      </c>
      <c r="G4355" s="160">
        <f>'FACP$'!$F4355*0.16</f>
        <v>53809.9376</v>
      </c>
      <c r="H4355" s="160">
        <f t="shared" si="124"/>
        <v>390122.0476</v>
      </c>
      <c r="I4355" s="160"/>
      <c r="J4355" s="161"/>
      <c r="K4355" s="160"/>
      <c r="L4355" s="160">
        <f>+'FACP$'!$H4355-'FACP$'!$I4355-'FACP$'!$K4355</f>
        <v>390122.0476</v>
      </c>
      <c r="M4355" s="162" t="s">
        <v>151</v>
      </c>
      <c r="N4355" s="162" t="s">
        <v>554</v>
      </c>
      <c r="O4355" s="164">
        <v>45247.0</v>
      </c>
      <c r="P4355" s="164">
        <f t="array" ref="P4355">XLOOKUP('FACP$'!$B4355,'perfil de pagos'!$A$4:$A$46,'perfil de pagos'!$B$4:$B$46+'FACP$'!$D4355)</f>
        <v>45246</v>
      </c>
      <c r="Q4355" s="165">
        <f t="shared" si="2"/>
        <v>0</v>
      </c>
      <c r="R4355" s="167"/>
      <c r="S4355" s="167">
        <v>2590.0</v>
      </c>
      <c r="T4355" s="168">
        <f t="shared" si="3"/>
        <v>390122.0476</v>
      </c>
      <c r="U4355" s="168">
        <f t="shared" si="4"/>
        <v>0</v>
      </c>
      <c r="V4355" s="168">
        <f t="shared" si="5"/>
        <v>0</v>
      </c>
      <c r="W4355" s="168">
        <f t="shared" si="6"/>
        <v>0</v>
      </c>
      <c r="X4355" s="168">
        <f t="shared" si="7"/>
        <v>0</v>
      </c>
      <c r="Y4355" s="168">
        <f t="shared" si="8"/>
        <v>0</v>
      </c>
      <c r="Z4355" s="168">
        <f t="shared" si="9"/>
        <v>0</v>
      </c>
    </row>
    <row r="4356" ht="15.0" customHeight="1">
      <c r="A4356" s="157" t="s">
        <v>5524</v>
      </c>
      <c r="B4356" s="158" t="s">
        <v>27</v>
      </c>
      <c r="C4356" s="158" t="s">
        <v>5522</v>
      </c>
      <c r="D4356" s="159">
        <v>45216.0</v>
      </c>
      <c r="E4356" s="157" t="s">
        <v>731</v>
      </c>
      <c r="F4356" s="160">
        <v>245777.14</v>
      </c>
      <c r="G4356" s="160">
        <f>'FACP$'!$F4356*0.16</f>
        <v>39324.3424</v>
      </c>
      <c r="H4356" s="160">
        <f t="shared" si="124"/>
        <v>285101.4824</v>
      </c>
      <c r="I4356" s="160"/>
      <c r="J4356" s="161"/>
      <c r="K4356" s="160"/>
      <c r="L4356" s="160">
        <f>+'FACP$'!$H4356-'FACP$'!$I4356-'FACP$'!$K4356</f>
        <v>285101.4824</v>
      </c>
      <c r="M4356" s="162" t="s">
        <v>151</v>
      </c>
      <c r="N4356" s="162" t="s">
        <v>554</v>
      </c>
      <c r="O4356" s="164">
        <v>45247.0</v>
      </c>
      <c r="P4356" s="164">
        <f t="array" ref="P4356">XLOOKUP('FACP$'!$B4356,'perfil de pagos'!$A$4:$A$46,'perfil de pagos'!$B$4:$B$46+'FACP$'!$D4356)</f>
        <v>45246</v>
      </c>
      <c r="Q4356" s="165">
        <f t="shared" si="2"/>
        <v>0</v>
      </c>
      <c r="R4356" s="167"/>
      <c r="S4356" s="167">
        <v>2590.0</v>
      </c>
      <c r="T4356" s="168">
        <f t="shared" si="3"/>
        <v>285101.4824</v>
      </c>
      <c r="U4356" s="168">
        <f t="shared" si="4"/>
        <v>0</v>
      </c>
      <c r="V4356" s="168">
        <f t="shared" si="5"/>
        <v>0</v>
      </c>
      <c r="W4356" s="168">
        <f t="shared" si="6"/>
        <v>0</v>
      </c>
      <c r="X4356" s="168">
        <f t="shared" si="7"/>
        <v>0</v>
      </c>
      <c r="Y4356" s="168">
        <f t="shared" si="8"/>
        <v>0</v>
      </c>
      <c r="Z4356" s="168">
        <f t="shared" si="9"/>
        <v>0</v>
      </c>
    </row>
    <row r="4357" ht="15.0" customHeight="1">
      <c r="A4357" s="157" t="s">
        <v>5525</v>
      </c>
      <c r="B4357" s="158" t="s">
        <v>27</v>
      </c>
      <c r="C4357" s="158" t="s">
        <v>5526</v>
      </c>
      <c r="D4357" s="159">
        <v>45216.0</v>
      </c>
      <c r="E4357" s="157" t="s">
        <v>731</v>
      </c>
      <c r="F4357" s="160">
        <v>12831.8</v>
      </c>
      <c r="G4357" s="160">
        <f>'FACP$'!$F4357*0.16</f>
        <v>2053.088</v>
      </c>
      <c r="H4357" s="160">
        <f t="shared" si="124"/>
        <v>14884.888</v>
      </c>
      <c r="I4357" s="160"/>
      <c r="J4357" s="161"/>
      <c r="K4357" s="160"/>
      <c r="L4357" s="160">
        <f>+'FACP$'!$H4357-'FACP$'!$I4357-'FACP$'!$K4357</f>
        <v>14884.888</v>
      </c>
      <c r="M4357" s="162" t="s">
        <v>151</v>
      </c>
      <c r="N4357" s="162" t="s">
        <v>554</v>
      </c>
      <c r="O4357" s="164">
        <v>45247.0</v>
      </c>
      <c r="P4357" s="164">
        <f t="array" ref="P4357">XLOOKUP('FACP$'!$B4357,'perfil de pagos'!$A$4:$A$46,'perfil de pagos'!$B$4:$B$46+'FACP$'!$D4357)</f>
        <v>45246</v>
      </c>
      <c r="Q4357" s="165">
        <f t="shared" si="2"/>
        <v>0</v>
      </c>
      <c r="R4357" s="167"/>
      <c r="S4357" s="167">
        <v>2590.0</v>
      </c>
      <c r="T4357" s="168">
        <f t="shared" si="3"/>
        <v>14884.888</v>
      </c>
      <c r="U4357" s="168">
        <f t="shared" si="4"/>
        <v>0</v>
      </c>
      <c r="V4357" s="168">
        <f t="shared" si="5"/>
        <v>0</v>
      </c>
      <c r="W4357" s="168">
        <f t="shared" si="6"/>
        <v>0</v>
      </c>
      <c r="X4357" s="168">
        <f t="shared" si="7"/>
        <v>0</v>
      </c>
      <c r="Y4357" s="168">
        <f t="shared" si="8"/>
        <v>0</v>
      </c>
      <c r="Z4357" s="168">
        <f t="shared" si="9"/>
        <v>0</v>
      </c>
    </row>
    <row r="4358" ht="15.0" customHeight="1">
      <c r="A4358" s="157" t="s">
        <v>5527</v>
      </c>
      <c r="B4358" s="158" t="s">
        <v>27</v>
      </c>
      <c r="C4358" s="158" t="s">
        <v>5528</v>
      </c>
      <c r="D4358" s="159">
        <v>45216.0</v>
      </c>
      <c r="E4358" s="157" t="s">
        <v>731</v>
      </c>
      <c r="F4358" s="160">
        <v>13558.94</v>
      </c>
      <c r="G4358" s="160">
        <f>'FACP$'!$F4358*0.16</f>
        <v>2169.4304</v>
      </c>
      <c r="H4358" s="160">
        <f t="shared" si="124"/>
        <v>15728.3704</v>
      </c>
      <c r="I4358" s="160"/>
      <c r="J4358" s="161"/>
      <c r="K4358" s="160"/>
      <c r="L4358" s="160">
        <f>+'FACP$'!$H4358-'FACP$'!$I4358-'FACP$'!$K4358</f>
        <v>15728.3704</v>
      </c>
      <c r="M4358" s="162" t="s">
        <v>151</v>
      </c>
      <c r="N4358" s="162" t="s">
        <v>554</v>
      </c>
      <c r="O4358" s="164">
        <v>45247.0</v>
      </c>
      <c r="P4358" s="164">
        <f t="array" ref="P4358">XLOOKUP('FACP$'!$B4358,'perfil de pagos'!$A$4:$A$46,'perfil de pagos'!$B$4:$B$46+'FACP$'!$D4358)</f>
        <v>45246</v>
      </c>
      <c r="Q4358" s="165">
        <f t="shared" si="2"/>
        <v>0</v>
      </c>
      <c r="R4358" s="167"/>
      <c r="S4358" s="167">
        <v>2590.0</v>
      </c>
      <c r="T4358" s="168">
        <f t="shared" si="3"/>
        <v>15728.3704</v>
      </c>
      <c r="U4358" s="168">
        <f t="shared" si="4"/>
        <v>0</v>
      </c>
      <c r="V4358" s="168">
        <f t="shared" si="5"/>
        <v>0</v>
      </c>
      <c r="W4358" s="168">
        <f t="shared" si="6"/>
        <v>0</v>
      </c>
      <c r="X4358" s="168">
        <f t="shared" si="7"/>
        <v>0</v>
      </c>
      <c r="Y4358" s="168">
        <f t="shared" si="8"/>
        <v>0</v>
      </c>
      <c r="Z4358" s="168">
        <f t="shared" si="9"/>
        <v>0</v>
      </c>
    </row>
    <row r="4359" ht="15.0" customHeight="1">
      <c r="A4359" s="157" t="s">
        <v>5529</v>
      </c>
      <c r="B4359" s="158" t="s">
        <v>38</v>
      </c>
      <c r="C4359" s="158" t="s">
        <v>5510</v>
      </c>
      <c r="D4359" s="159">
        <v>45216.0</v>
      </c>
      <c r="E4359" s="157" t="s">
        <v>731</v>
      </c>
      <c r="F4359" s="160">
        <v>262940.62</v>
      </c>
      <c r="G4359" s="160">
        <f>'FACP$'!$F4359*0.16</f>
        <v>42070.4992</v>
      </c>
      <c r="H4359" s="160">
        <f t="shared" si="124"/>
        <v>305011.1192</v>
      </c>
      <c r="I4359" s="160"/>
      <c r="J4359" s="161"/>
      <c r="K4359" s="160"/>
      <c r="L4359" s="160">
        <f>+'FACP$'!$H4359-'FACP$'!$I4359-'FACP$'!$K4359</f>
        <v>305011.1192</v>
      </c>
      <c r="M4359" s="162" t="s">
        <v>4654</v>
      </c>
      <c r="N4359" s="162" t="s">
        <v>554</v>
      </c>
      <c r="O4359" s="164">
        <v>45266.0</v>
      </c>
      <c r="P4359" s="164">
        <f t="array" ref="P4359">XLOOKUP('FACP$'!$B4359,'perfil de pagos'!$A$4:$A$46,'perfil de pagos'!$B$4:$B$46+'FACP$'!$D4359)</f>
        <v>45246</v>
      </c>
      <c r="Q4359" s="165">
        <f t="shared" si="2"/>
        <v>0</v>
      </c>
      <c r="R4359" s="167"/>
      <c r="S4359" s="167">
        <v>2638.0</v>
      </c>
      <c r="T4359" s="168">
        <f t="shared" si="3"/>
        <v>305011.1192</v>
      </c>
      <c r="U4359" s="168">
        <f t="shared" si="4"/>
        <v>0</v>
      </c>
      <c r="V4359" s="168">
        <f t="shared" si="5"/>
        <v>0</v>
      </c>
      <c r="W4359" s="168">
        <f t="shared" si="6"/>
        <v>0</v>
      </c>
      <c r="X4359" s="168">
        <f t="shared" si="7"/>
        <v>0</v>
      </c>
      <c r="Y4359" s="168">
        <f t="shared" si="8"/>
        <v>0</v>
      </c>
      <c r="Z4359" s="168">
        <f t="shared" si="9"/>
        <v>0</v>
      </c>
    </row>
    <row r="4360" ht="15.0" customHeight="1">
      <c r="A4360" s="157" t="s">
        <v>5530</v>
      </c>
      <c r="B4360" s="158" t="s">
        <v>38</v>
      </c>
      <c r="C4360" s="158" t="s">
        <v>5510</v>
      </c>
      <c r="D4360" s="159">
        <v>45216.0</v>
      </c>
      <c r="E4360" s="157" t="s">
        <v>731</v>
      </c>
      <c r="F4360" s="160">
        <v>88929.02</v>
      </c>
      <c r="G4360" s="160">
        <f>'FACP$'!$F4360*0.16</f>
        <v>14228.6432</v>
      </c>
      <c r="H4360" s="160">
        <f t="shared" si="124"/>
        <v>103157.6632</v>
      </c>
      <c r="I4360" s="160"/>
      <c r="J4360" s="161"/>
      <c r="K4360" s="160"/>
      <c r="L4360" s="160">
        <f>+'FACP$'!$H4360-'FACP$'!$I4360-'FACP$'!$K4360</f>
        <v>103157.6632</v>
      </c>
      <c r="M4360" s="162" t="s">
        <v>4707</v>
      </c>
      <c r="N4360" s="162" t="s">
        <v>554</v>
      </c>
      <c r="O4360" s="164">
        <v>45266.0</v>
      </c>
      <c r="P4360" s="164">
        <f t="array" ref="P4360">XLOOKUP('FACP$'!$B4360,'perfil de pagos'!$A$4:$A$46,'perfil de pagos'!$B$4:$B$46+'FACP$'!$D4360)</f>
        <v>45246</v>
      </c>
      <c r="Q4360" s="165">
        <f t="shared" si="2"/>
        <v>0</v>
      </c>
      <c r="R4360" s="167"/>
      <c r="S4360" s="167">
        <v>2638.0</v>
      </c>
      <c r="T4360" s="168">
        <f t="shared" si="3"/>
        <v>103157.6632</v>
      </c>
      <c r="U4360" s="168">
        <f t="shared" si="4"/>
        <v>0</v>
      </c>
      <c r="V4360" s="168">
        <f t="shared" si="5"/>
        <v>0</v>
      </c>
      <c r="W4360" s="168">
        <f t="shared" si="6"/>
        <v>0</v>
      </c>
      <c r="X4360" s="168">
        <f t="shared" si="7"/>
        <v>0</v>
      </c>
      <c r="Y4360" s="168">
        <f t="shared" si="8"/>
        <v>0</v>
      </c>
      <c r="Z4360" s="168">
        <f t="shared" si="9"/>
        <v>0</v>
      </c>
    </row>
    <row r="4361" ht="15.0" customHeight="1">
      <c r="A4361" s="157" t="s">
        <v>5531</v>
      </c>
      <c r="B4361" s="158" t="s">
        <v>38</v>
      </c>
      <c r="C4361" s="158" t="s">
        <v>5516</v>
      </c>
      <c r="D4361" s="159">
        <v>45216.0</v>
      </c>
      <c r="E4361" s="157" t="s">
        <v>731</v>
      </c>
      <c r="F4361" s="160">
        <v>111681.39</v>
      </c>
      <c r="G4361" s="160">
        <f>'FACP$'!$F4361*0.16</f>
        <v>17869.0224</v>
      </c>
      <c r="H4361" s="160">
        <f t="shared" si="124"/>
        <v>129550.4124</v>
      </c>
      <c r="I4361" s="160"/>
      <c r="J4361" s="161"/>
      <c r="K4361" s="160"/>
      <c r="L4361" s="160">
        <f>+'FACP$'!$H4361-'FACP$'!$I4361-'FACP$'!$K4361</f>
        <v>129550.4124</v>
      </c>
      <c r="M4361" s="162" t="s">
        <v>4707</v>
      </c>
      <c r="N4361" s="162" t="s">
        <v>554</v>
      </c>
      <c r="O4361" s="164">
        <v>45266.0</v>
      </c>
      <c r="P4361" s="164">
        <f t="array" ref="P4361">XLOOKUP('FACP$'!$B4361,'perfil de pagos'!$A$4:$A$46,'perfil de pagos'!$B$4:$B$46+'FACP$'!$D4361)</f>
        <v>45246</v>
      </c>
      <c r="Q4361" s="165">
        <f t="shared" si="2"/>
        <v>0</v>
      </c>
      <c r="R4361" s="167"/>
      <c r="S4361" s="167">
        <v>2638.0</v>
      </c>
      <c r="T4361" s="168">
        <f t="shared" si="3"/>
        <v>129550.4124</v>
      </c>
      <c r="U4361" s="168">
        <f t="shared" si="4"/>
        <v>0</v>
      </c>
      <c r="V4361" s="168">
        <f t="shared" si="5"/>
        <v>0</v>
      </c>
      <c r="W4361" s="168">
        <f t="shared" si="6"/>
        <v>0</v>
      </c>
      <c r="X4361" s="168">
        <f t="shared" si="7"/>
        <v>0</v>
      </c>
      <c r="Y4361" s="168">
        <f t="shared" si="8"/>
        <v>0</v>
      </c>
      <c r="Z4361" s="168">
        <f t="shared" si="9"/>
        <v>0</v>
      </c>
    </row>
    <row r="4362" ht="15.0" customHeight="1">
      <c r="A4362" s="157" t="s">
        <v>5532</v>
      </c>
      <c r="B4362" s="158" t="s">
        <v>44</v>
      </c>
      <c r="C4362" s="158" t="s">
        <v>5510</v>
      </c>
      <c r="D4362" s="159">
        <v>45217.0</v>
      </c>
      <c r="E4362" s="157" t="s">
        <v>731</v>
      </c>
      <c r="F4362" s="160">
        <v>239098.27</v>
      </c>
      <c r="G4362" s="160">
        <f>'FACP$'!$F4362*0.16</f>
        <v>38255.7232</v>
      </c>
      <c r="H4362" s="160">
        <f t="shared" si="124"/>
        <v>277353.9932</v>
      </c>
      <c r="I4362" s="160"/>
      <c r="J4362" s="161"/>
      <c r="K4362" s="160"/>
      <c r="L4362" s="160">
        <f>+'FACP$'!$H4362-'FACP$'!$I4362-'FACP$'!$K4362</f>
        <v>277353.9932</v>
      </c>
      <c r="M4362" s="162" t="s">
        <v>361</v>
      </c>
      <c r="N4362" s="162" t="s">
        <v>554</v>
      </c>
      <c r="O4362" s="164">
        <v>45226.0</v>
      </c>
      <c r="P4362" s="164">
        <f t="array" ref="P4362">XLOOKUP('FACP$'!$B4362,'perfil de pagos'!$A$4:$A$46,'perfil de pagos'!$B$4:$B$46+'FACP$'!$D4362)</f>
        <v>45227</v>
      </c>
      <c r="Q4362" s="165">
        <f t="shared" si="2"/>
        <v>0</v>
      </c>
      <c r="R4362" s="167"/>
      <c r="S4362" s="167">
        <v>2530.0</v>
      </c>
      <c r="T4362" s="168">
        <f t="shared" si="3"/>
        <v>277353.9932</v>
      </c>
      <c r="U4362" s="168">
        <f t="shared" si="4"/>
        <v>0</v>
      </c>
      <c r="V4362" s="168">
        <f t="shared" si="5"/>
        <v>0</v>
      </c>
      <c r="W4362" s="168">
        <f t="shared" si="6"/>
        <v>0</v>
      </c>
      <c r="X4362" s="168">
        <f t="shared" si="7"/>
        <v>0</v>
      </c>
      <c r="Y4362" s="168">
        <f t="shared" si="8"/>
        <v>0</v>
      </c>
      <c r="Z4362" s="168">
        <f t="shared" si="9"/>
        <v>0</v>
      </c>
    </row>
    <row r="4363" ht="15.0" customHeight="1">
      <c r="A4363" s="157" t="s">
        <v>5533</v>
      </c>
      <c r="B4363" s="158" t="s">
        <v>31</v>
      </c>
      <c r="C4363" s="158" t="s">
        <v>5534</v>
      </c>
      <c r="D4363" s="159">
        <v>45217.0</v>
      </c>
      <c r="E4363" s="157" t="s">
        <v>731</v>
      </c>
      <c r="F4363" s="160">
        <v>54619.5</v>
      </c>
      <c r="G4363" s="160">
        <f>'FACP$'!$F4363*0.16</f>
        <v>8739.12</v>
      </c>
      <c r="H4363" s="160">
        <f t="shared" si="124"/>
        <v>63358.62</v>
      </c>
      <c r="I4363" s="160"/>
      <c r="J4363" s="161"/>
      <c r="K4363" s="160"/>
      <c r="L4363" s="160">
        <f>+'FACP$'!$H4363-'FACP$'!$I4363-'FACP$'!$K4363</f>
        <v>63358.62</v>
      </c>
      <c r="M4363" s="162" t="s">
        <v>3183</v>
      </c>
      <c r="N4363" s="162" t="s">
        <v>554</v>
      </c>
      <c r="O4363" s="164">
        <v>45212.0</v>
      </c>
      <c r="P4363" s="164">
        <f t="array" ref="P4363">XLOOKUP('FACP$'!$B4363,'perfil de pagos'!$A$4:$A$46,'perfil de pagos'!$B$4:$B$46+'FACP$'!$D4363)</f>
        <v>45220</v>
      </c>
      <c r="Q4363" s="165">
        <f t="shared" si="2"/>
        <v>0</v>
      </c>
      <c r="R4363" s="167"/>
      <c r="S4363" s="167">
        <v>2542.0</v>
      </c>
      <c r="T4363" s="168">
        <f t="shared" si="3"/>
        <v>63358.62</v>
      </c>
      <c r="U4363" s="168">
        <f t="shared" si="4"/>
        <v>0</v>
      </c>
      <c r="V4363" s="168">
        <f t="shared" si="5"/>
        <v>0</v>
      </c>
      <c r="W4363" s="168">
        <f t="shared" si="6"/>
        <v>0</v>
      </c>
      <c r="X4363" s="168">
        <f t="shared" si="7"/>
        <v>0</v>
      </c>
      <c r="Y4363" s="168">
        <f t="shared" si="8"/>
        <v>0</v>
      </c>
      <c r="Z4363" s="168">
        <f t="shared" si="9"/>
        <v>0</v>
      </c>
    </row>
    <row r="4364" ht="15.0" customHeight="1">
      <c r="A4364" s="157" t="s">
        <v>5535</v>
      </c>
      <c r="B4364" s="158" t="s">
        <v>31</v>
      </c>
      <c r="C4364" s="158" t="s">
        <v>5536</v>
      </c>
      <c r="D4364" s="159">
        <v>45217.0</v>
      </c>
      <c r="E4364" s="157" t="s">
        <v>731</v>
      </c>
      <c r="F4364" s="160">
        <v>54619.5</v>
      </c>
      <c r="G4364" s="160">
        <f>'FACP$'!$F4364*0.16</f>
        <v>8739.12</v>
      </c>
      <c r="H4364" s="160">
        <f t="shared" si="124"/>
        <v>63358.62</v>
      </c>
      <c r="I4364" s="160"/>
      <c r="J4364" s="161"/>
      <c r="K4364" s="160"/>
      <c r="L4364" s="160">
        <f>+'FACP$'!$H4364-'FACP$'!$I4364-'FACP$'!$K4364</f>
        <v>63358.62</v>
      </c>
      <c r="M4364" s="162" t="s">
        <v>3183</v>
      </c>
      <c r="N4364" s="162" t="s">
        <v>554</v>
      </c>
      <c r="O4364" s="164">
        <v>45216.0</v>
      </c>
      <c r="P4364" s="164">
        <f t="array" ref="P4364">XLOOKUP('FACP$'!$B4364,'perfil de pagos'!$A$4:$A$46,'perfil de pagos'!$B$4:$B$46+'FACP$'!$D4364)</f>
        <v>45220</v>
      </c>
      <c r="Q4364" s="165">
        <f t="shared" si="2"/>
        <v>0</v>
      </c>
      <c r="R4364" s="167"/>
      <c r="S4364" s="167">
        <v>2540.0</v>
      </c>
      <c r="T4364" s="168">
        <f t="shared" si="3"/>
        <v>63358.62</v>
      </c>
      <c r="U4364" s="168">
        <f t="shared" si="4"/>
        <v>0</v>
      </c>
      <c r="V4364" s="168">
        <f t="shared" si="5"/>
        <v>0</v>
      </c>
      <c r="W4364" s="168">
        <f t="shared" si="6"/>
        <v>0</v>
      </c>
      <c r="X4364" s="168">
        <f t="shared" si="7"/>
        <v>0</v>
      </c>
      <c r="Y4364" s="168">
        <f t="shared" si="8"/>
        <v>0</v>
      </c>
      <c r="Z4364" s="168">
        <f t="shared" si="9"/>
        <v>0</v>
      </c>
    </row>
    <row r="4365" ht="15.0" customHeight="1">
      <c r="A4365" s="157" t="s">
        <v>5537</v>
      </c>
      <c r="B4365" s="158" t="s">
        <v>16</v>
      </c>
      <c r="C4365" s="158" t="s">
        <v>5510</v>
      </c>
      <c r="D4365" s="159">
        <v>45223.0</v>
      </c>
      <c r="E4365" s="157" t="s">
        <v>731</v>
      </c>
      <c r="F4365" s="160">
        <v>316489.12</v>
      </c>
      <c r="G4365" s="160">
        <f>'FACP$'!$F4365*0.16</f>
        <v>50638.2592</v>
      </c>
      <c r="H4365" s="160">
        <f t="shared" si="124"/>
        <v>367127.3792</v>
      </c>
      <c r="I4365" s="160"/>
      <c r="J4365" s="161"/>
      <c r="K4365" s="160"/>
      <c r="L4365" s="160">
        <f>+'FACP$'!$H4365-'FACP$'!$I4365-'FACP$'!$K4365</f>
        <v>367127.3792</v>
      </c>
      <c r="M4365" s="162" t="s">
        <v>985</v>
      </c>
      <c r="N4365" s="162" t="s">
        <v>554</v>
      </c>
      <c r="O4365" s="164">
        <v>45239.0</v>
      </c>
      <c r="P4365" s="164">
        <f t="array" ref="P4365">XLOOKUP('FACP$'!$B4365,'perfil de pagos'!$A$4:$A$46,'perfil de pagos'!$B$4:$B$46+'FACP$'!$D4365)</f>
        <v>45233</v>
      </c>
      <c r="Q4365" s="165">
        <f t="shared" si="2"/>
        <v>0</v>
      </c>
      <c r="R4365" s="167"/>
      <c r="S4365" s="167">
        <v>2570.0</v>
      </c>
      <c r="T4365" s="168">
        <f t="shared" si="3"/>
        <v>367127.3792</v>
      </c>
      <c r="U4365" s="168">
        <f t="shared" si="4"/>
        <v>0</v>
      </c>
      <c r="V4365" s="168">
        <f t="shared" si="5"/>
        <v>0</v>
      </c>
      <c r="W4365" s="168">
        <f t="shared" si="6"/>
        <v>0</v>
      </c>
      <c r="X4365" s="168">
        <f t="shared" si="7"/>
        <v>0</v>
      </c>
      <c r="Y4365" s="168">
        <f t="shared" si="8"/>
        <v>0</v>
      </c>
      <c r="Z4365" s="168">
        <f t="shared" si="9"/>
        <v>0</v>
      </c>
    </row>
    <row r="4366" ht="15.0" customHeight="1">
      <c r="A4366" s="157" t="s">
        <v>5538</v>
      </c>
      <c r="B4366" s="158" t="s">
        <v>16</v>
      </c>
      <c r="C4366" s="158" t="s">
        <v>5516</v>
      </c>
      <c r="D4366" s="159">
        <v>45223.0</v>
      </c>
      <c r="E4366" s="157" t="s">
        <v>731</v>
      </c>
      <c r="F4366" s="160">
        <v>468134.73</v>
      </c>
      <c r="G4366" s="160">
        <f>'FACP$'!$F4366*0.16</f>
        <v>74901.5568</v>
      </c>
      <c r="H4366" s="160">
        <f t="shared" si="124"/>
        <v>543036.2868</v>
      </c>
      <c r="I4366" s="160"/>
      <c r="J4366" s="161"/>
      <c r="K4366" s="160"/>
      <c r="L4366" s="160">
        <f>+'FACP$'!$H4366-'FACP$'!$I4366-'FACP$'!$K4366</f>
        <v>543036.2868</v>
      </c>
      <c r="M4366" s="162" t="s">
        <v>985</v>
      </c>
      <c r="N4366" s="162" t="s">
        <v>554</v>
      </c>
      <c r="O4366" s="164">
        <v>45239.0</v>
      </c>
      <c r="P4366" s="164">
        <f t="array" ref="P4366">XLOOKUP('FACP$'!$B4366,'perfil de pagos'!$A$4:$A$46,'perfil de pagos'!$B$4:$B$46+'FACP$'!$D4366)</f>
        <v>45233</v>
      </c>
      <c r="Q4366" s="165">
        <f t="shared" si="2"/>
        <v>0</v>
      </c>
      <c r="R4366" s="167"/>
      <c r="S4366" s="167">
        <v>2570.0</v>
      </c>
      <c r="T4366" s="168">
        <f t="shared" si="3"/>
        <v>543036.2868</v>
      </c>
      <c r="U4366" s="168">
        <f t="shared" si="4"/>
        <v>0</v>
      </c>
      <c r="V4366" s="168">
        <f t="shared" si="5"/>
        <v>0</v>
      </c>
      <c r="W4366" s="168">
        <f t="shared" si="6"/>
        <v>0</v>
      </c>
      <c r="X4366" s="168">
        <f t="shared" si="7"/>
        <v>0</v>
      </c>
      <c r="Y4366" s="168">
        <f t="shared" si="8"/>
        <v>0</v>
      </c>
      <c r="Z4366" s="168">
        <f t="shared" si="9"/>
        <v>0</v>
      </c>
    </row>
    <row r="4367" ht="15.0" customHeight="1">
      <c r="A4367" s="157" t="s">
        <v>5539</v>
      </c>
      <c r="B4367" s="158" t="s">
        <v>18</v>
      </c>
      <c r="C4367" s="158" t="s">
        <v>5510</v>
      </c>
      <c r="D4367" s="159">
        <v>45223.0</v>
      </c>
      <c r="E4367" s="157" t="s">
        <v>731</v>
      </c>
      <c r="F4367" s="160">
        <v>86830.82</v>
      </c>
      <c r="G4367" s="160">
        <f>'FACP$'!$F4367*0.16</f>
        <v>13892.9312</v>
      </c>
      <c r="H4367" s="160">
        <f t="shared" si="124"/>
        <v>100723.7512</v>
      </c>
      <c r="I4367" s="160"/>
      <c r="J4367" s="161"/>
      <c r="K4367" s="160"/>
      <c r="L4367" s="160">
        <f>+'FACP$'!$H4367-'FACP$'!$I4367-'FACP$'!$K4367</f>
        <v>100723.7512</v>
      </c>
      <c r="M4367" s="162" t="s">
        <v>586</v>
      </c>
      <c r="N4367" s="162" t="s">
        <v>554</v>
      </c>
      <c r="O4367" s="164">
        <v>45247.0</v>
      </c>
      <c r="P4367" s="164">
        <f t="array" ref="P4367">XLOOKUP('FACP$'!$B4367,'perfil de pagos'!$A$4:$A$46,'perfil de pagos'!$B$4:$B$46+'FACP$'!$D4367)</f>
        <v>45233</v>
      </c>
      <c r="Q4367" s="165">
        <f t="shared" si="2"/>
        <v>0</v>
      </c>
      <c r="R4367" s="167"/>
      <c r="S4367" s="167">
        <v>2588.0</v>
      </c>
      <c r="T4367" s="168">
        <f t="shared" si="3"/>
        <v>100723.7512</v>
      </c>
      <c r="U4367" s="168">
        <f t="shared" si="4"/>
        <v>0</v>
      </c>
      <c r="V4367" s="168">
        <f t="shared" si="5"/>
        <v>0</v>
      </c>
      <c r="W4367" s="168">
        <f t="shared" si="6"/>
        <v>0</v>
      </c>
      <c r="X4367" s="168">
        <f t="shared" si="7"/>
        <v>0</v>
      </c>
      <c r="Y4367" s="168">
        <f t="shared" si="8"/>
        <v>0</v>
      </c>
      <c r="Z4367" s="168">
        <f t="shared" si="9"/>
        <v>0</v>
      </c>
    </row>
    <row r="4368" ht="15.0" customHeight="1">
      <c r="A4368" s="157" t="s">
        <v>5540</v>
      </c>
      <c r="B4368" s="158" t="s">
        <v>19</v>
      </c>
      <c r="C4368" s="158" t="s">
        <v>5510</v>
      </c>
      <c r="D4368" s="159">
        <v>45223.0</v>
      </c>
      <c r="E4368" s="157" t="s">
        <v>731</v>
      </c>
      <c r="F4368" s="160">
        <v>145871.0</v>
      </c>
      <c r="G4368" s="160">
        <f>'FACP$'!$F4368*0.16</f>
        <v>23339.36</v>
      </c>
      <c r="H4368" s="160">
        <f t="shared" si="124"/>
        <v>169210.36</v>
      </c>
      <c r="I4368" s="160"/>
      <c r="J4368" s="161"/>
      <c r="K4368" s="160"/>
      <c r="L4368" s="160">
        <f>+'FACP$'!$H4368-'FACP$'!$I4368-'FACP$'!$K4368</f>
        <v>169210.36</v>
      </c>
      <c r="M4368" s="162" t="s">
        <v>732</v>
      </c>
      <c r="N4368" s="162" t="s">
        <v>554</v>
      </c>
      <c r="O4368" s="164">
        <v>45247.0</v>
      </c>
      <c r="P4368" s="164">
        <f t="array" ref="P4368">XLOOKUP('FACP$'!$B4368,'perfil de pagos'!$A$4:$A$46,'perfil de pagos'!$B$4:$B$46+'FACP$'!$D4368)</f>
        <v>45233</v>
      </c>
      <c r="Q4368" s="165">
        <f t="shared" si="2"/>
        <v>0</v>
      </c>
      <c r="R4368" s="167"/>
      <c r="S4368" s="167">
        <v>2588.0</v>
      </c>
      <c r="T4368" s="168">
        <f t="shared" si="3"/>
        <v>169210.36</v>
      </c>
      <c r="U4368" s="168">
        <f t="shared" si="4"/>
        <v>0</v>
      </c>
      <c r="V4368" s="168">
        <f t="shared" si="5"/>
        <v>0</v>
      </c>
      <c r="W4368" s="168">
        <f t="shared" si="6"/>
        <v>0</v>
      </c>
      <c r="X4368" s="168">
        <f t="shared" si="7"/>
        <v>0</v>
      </c>
      <c r="Y4368" s="168">
        <f t="shared" si="8"/>
        <v>0</v>
      </c>
      <c r="Z4368" s="168">
        <f t="shared" si="9"/>
        <v>0</v>
      </c>
    </row>
    <row r="4369" ht="15.0" customHeight="1">
      <c r="A4369" s="157" t="s">
        <v>5541</v>
      </c>
      <c r="B4369" s="158" t="s">
        <v>22</v>
      </c>
      <c r="C4369" s="158" t="s">
        <v>5510</v>
      </c>
      <c r="D4369" s="159">
        <v>45223.0</v>
      </c>
      <c r="E4369" s="157" t="s">
        <v>731</v>
      </c>
      <c r="F4369" s="160">
        <v>205111.03</v>
      </c>
      <c r="G4369" s="160">
        <f>'FACP$'!$F4369*0.16</f>
        <v>32817.7648</v>
      </c>
      <c r="H4369" s="160">
        <f t="shared" si="124"/>
        <v>237928.7948</v>
      </c>
      <c r="I4369" s="160">
        <f>27285.398+200000</f>
        <v>227285.398</v>
      </c>
      <c r="J4369" s="161"/>
      <c r="K4369" s="160"/>
      <c r="L4369" s="160">
        <f>+'FACP$'!$H4369-'FACP$'!$I4369-'FACP$'!$K4369</f>
        <v>10643.3968</v>
      </c>
      <c r="M4369" s="162" t="s">
        <v>220</v>
      </c>
      <c r="N4369" s="162" t="s">
        <v>554</v>
      </c>
      <c r="O4369" s="164">
        <v>45260.0</v>
      </c>
      <c r="P4369" s="164">
        <f t="array" ref="P4369">XLOOKUP('FACP$'!$B4369,'perfil de pagos'!$A$4:$A$46,'perfil de pagos'!$B$4:$B$46+'FACP$'!$D4369)</f>
        <v>45233</v>
      </c>
      <c r="Q4369" s="165">
        <f t="shared" si="2"/>
        <v>0</v>
      </c>
      <c r="R4369" s="220" t="s">
        <v>5542</v>
      </c>
      <c r="S4369" s="167">
        <v>2619.0</v>
      </c>
      <c r="T4369" s="168">
        <f t="shared" si="3"/>
        <v>10643.3968</v>
      </c>
      <c r="U4369" s="168">
        <f t="shared" si="4"/>
        <v>0</v>
      </c>
      <c r="V4369" s="168">
        <f t="shared" si="5"/>
        <v>0</v>
      </c>
      <c r="W4369" s="168">
        <f t="shared" si="6"/>
        <v>0</v>
      </c>
      <c r="X4369" s="168">
        <f t="shared" si="7"/>
        <v>0</v>
      </c>
      <c r="Y4369" s="168">
        <f t="shared" si="8"/>
        <v>0</v>
      </c>
      <c r="Z4369" s="168">
        <f t="shared" si="9"/>
        <v>0</v>
      </c>
    </row>
    <row r="4370" ht="15.0" customHeight="1">
      <c r="A4370" s="157" t="s">
        <v>5543</v>
      </c>
      <c r="B4370" s="158" t="s">
        <v>25</v>
      </c>
      <c r="C4370" s="158" t="s">
        <v>5510</v>
      </c>
      <c r="D4370" s="159">
        <v>45223.0</v>
      </c>
      <c r="E4370" s="157" t="s">
        <v>731</v>
      </c>
      <c r="F4370" s="160">
        <v>59788.43</v>
      </c>
      <c r="G4370" s="160">
        <f>'FACP$'!$F4370*0.16</f>
        <v>9566.1488</v>
      </c>
      <c r="H4370" s="160">
        <f t="shared" si="124"/>
        <v>69354.5788</v>
      </c>
      <c r="I4370" s="160"/>
      <c r="J4370" s="161"/>
      <c r="K4370" s="160"/>
      <c r="L4370" s="160">
        <f>+'FACP$'!$H4370-'FACP$'!$I4370-'FACP$'!$K4370</f>
        <v>69354.5788</v>
      </c>
      <c r="M4370" s="162" t="s">
        <v>4388</v>
      </c>
      <c r="N4370" s="162" t="s">
        <v>554</v>
      </c>
      <c r="O4370" s="164">
        <v>45280.0</v>
      </c>
      <c r="P4370" s="164">
        <f t="array" ref="P4370">XLOOKUP('FACP$'!$B4370,'perfil de pagos'!$A$4:$A$46,'perfil de pagos'!$B$4:$B$46+'FACP$'!$D4370)</f>
        <v>45233</v>
      </c>
      <c r="Q4370" s="165">
        <f t="shared" si="2"/>
        <v>0</v>
      </c>
      <c r="R4370" s="167"/>
      <c r="S4370" s="167">
        <v>2673.0</v>
      </c>
      <c r="T4370" s="168">
        <f t="shared" si="3"/>
        <v>69354.5788</v>
      </c>
      <c r="U4370" s="168">
        <f t="shared" si="4"/>
        <v>0</v>
      </c>
      <c r="V4370" s="168">
        <f t="shared" si="5"/>
        <v>0</v>
      </c>
      <c r="W4370" s="168">
        <f t="shared" si="6"/>
        <v>0</v>
      </c>
      <c r="X4370" s="168">
        <f t="shared" si="7"/>
        <v>0</v>
      </c>
      <c r="Y4370" s="168">
        <f t="shared" si="8"/>
        <v>0</v>
      </c>
      <c r="Z4370" s="168">
        <f t="shared" si="9"/>
        <v>0</v>
      </c>
    </row>
    <row r="4371" ht="15.0" customHeight="1">
      <c r="A4371" s="157" t="s">
        <v>5544</v>
      </c>
      <c r="B4371" s="158" t="s">
        <v>29</v>
      </c>
      <c r="C4371" s="158" t="s">
        <v>5510</v>
      </c>
      <c r="D4371" s="159">
        <v>45223.0</v>
      </c>
      <c r="E4371" s="157" t="s">
        <v>731</v>
      </c>
      <c r="F4371" s="160">
        <v>297664.56</v>
      </c>
      <c r="G4371" s="160">
        <f>'FACP$'!$F4371*0.16</f>
        <v>47626.3296</v>
      </c>
      <c r="H4371" s="160">
        <f t="shared" si="124"/>
        <v>345290.8896</v>
      </c>
      <c r="I4371" s="160"/>
      <c r="J4371" s="161"/>
      <c r="K4371" s="160"/>
      <c r="L4371" s="160">
        <f>+'FACP$'!$H4371-'FACP$'!$I4371-'FACP$'!$K4371</f>
        <v>345290.8896</v>
      </c>
      <c r="M4371" s="162" t="s">
        <v>130</v>
      </c>
      <c r="N4371" s="162" t="s">
        <v>554</v>
      </c>
      <c r="O4371" s="164">
        <v>45237.0</v>
      </c>
      <c r="P4371" s="164">
        <f t="array" ref="P4371">XLOOKUP('FACP$'!$B4371,'perfil de pagos'!$A$4:$A$46,'perfil de pagos'!$B$4:$B$46+'FACP$'!$D4371)</f>
        <v>45233</v>
      </c>
      <c r="Q4371" s="165">
        <f t="shared" si="2"/>
        <v>0</v>
      </c>
      <c r="R4371" s="167"/>
      <c r="S4371" s="167">
        <v>2563.0</v>
      </c>
      <c r="T4371" s="168">
        <f t="shared" si="3"/>
        <v>345290.8896</v>
      </c>
      <c r="U4371" s="168">
        <f t="shared" si="4"/>
        <v>0</v>
      </c>
      <c r="V4371" s="168">
        <f t="shared" si="5"/>
        <v>0</v>
      </c>
      <c r="W4371" s="168">
        <f t="shared" si="6"/>
        <v>0</v>
      </c>
      <c r="X4371" s="168">
        <f t="shared" si="7"/>
        <v>0</v>
      </c>
      <c r="Y4371" s="168">
        <f t="shared" si="8"/>
        <v>0</v>
      </c>
      <c r="Z4371" s="168">
        <f t="shared" si="9"/>
        <v>0</v>
      </c>
    </row>
    <row r="4372" ht="15.0" customHeight="1">
      <c r="A4372" s="157" t="s">
        <v>5545</v>
      </c>
      <c r="B4372" s="158" t="s">
        <v>29</v>
      </c>
      <c r="C4372" s="158" t="s">
        <v>5516</v>
      </c>
      <c r="D4372" s="159">
        <v>45223.0</v>
      </c>
      <c r="E4372" s="157" t="s">
        <v>731</v>
      </c>
      <c r="F4372" s="160">
        <v>437568.51</v>
      </c>
      <c r="G4372" s="160">
        <f>'FACP$'!$F4372*0.16</f>
        <v>70010.9616</v>
      </c>
      <c r="H4372" s="160">
        <f t="shared" si="124"/>
        <v>507579.4716</v>
      </c>
      <c r="I4372" s="160"/>
      <c r="J4372" s="161"/>
      <c r="K4372" s="160"/>
      <c r="L4372" s="160">
        <f>+'FACP$'!$H4372-'FACP$'!$I4372-'FACP$'!$K4372</f>
        <v>507579.4716</v>
      </c>
      <c r="M4372" s="162" t="s">
        <v>130</v>
      </c>
      <c r="N4372" s="162" t="s">
        <v>554</v>
      </c>
      <c r="O4372" s="164">
        <v>45236.0</v>
      </c>
      <c r="P4372" s="164">
        <f t="array" ref="P4372">XLOOKUP('FACP$'!$B4372,'perfil de pagos'!$A$4:$A$46,'perfil de pagos'!$B$4:$B$46+'FACP$'!$D4372)</f>
        <v>45233</v>
      </c>
      <c r="Q4372" s="165">
        <f t="shared" si="2"/>
        <v>0</v>
      </c>
      <c r="R4372" s="167"/>
      <c r="S4372" s="167">
        <v>2562.0</v>
      </c>
      <c r="T4372" s="168">
        <f t="shared" si="3"/>
        <v>507579.4716</v>
      </c>
      <c r="U4372" s="168">
        <f t="shared" si="4"/>
        <v>0</v>
      </c>
      <c r="V4372" s="168">
        <f t="shared" si="5"/>
        <v>0</v>
      </c>
      <c r="W4372" s="168">
        <f t="shared" si="6"/>
        <v>0</v>
      </c>
      <c r="X4372" s="168">
        <f t="shared" si="7"/>
        <v>0</v>
      </c>
      <c r="Y4372" s="168">
        <f t="shared" si="8"/>
        <v>0</v>
      </c>
      <c r="Z4372" s="168">
        <f t="shared" si="9"/>
        <v>0</v>
      </c>
    </row>
    <row r="4373" ht="15.0" customHeight="1">
      <c r="A4373" s="157" t="s">
        <v>5546</v>
      </c>
      <c r="B4373" s="158" t="s">
        <v>38</v>
      </c>
      <c r="C4373" s="158" t="s">
        <v>5510</v>
      </c>
      <c r="D4373" s="159">
        <v>45223.0</v>
      </c>
      <c r="E4373" s="157" t="s">
        <v>731</v>
      </c>
      <c r="F4373" s="160">
        <v>181296.53</v>
      </c>
      <c r="G4373" s="160">
        <f>'FACP$'!$F4373*0.16</f>
        <v>29007.4448</v>
      </c>
      <c r="H4373" s="160">
        <f t="shared" si="124"/>
        <v>210303.9748</v>
      </c>
      <c r="I4373" s="160"/>
      <c r="J4373" s="161"/>
      <c r="K4373" s="160"/>
      <c r="L4373" s="160">
        <f>+'FACP$'!$H4373-'FACP$'!$I4373-'FACP$'!$K4373</f>
        <v>210303.9748</v>
      </c>
      <c r="M4373" s="162" t="s">
        <v>642</v>
      </c>
      <c r="N4373" s="162" t="s">
        <v>554</v>
      </c>
      <c r="O4373" s="164">
        <v>45266.0</v>
      </c>
      <c r="P4373" s="164">
        <f t="array" ref="P4373">XLOOKUP('FACP$'!$B4373,'perfil de pagos'!$A$4:$A$46,'perfil de pagos'!$B$4:$B$46+'FACP$'!$D4373)</f>
        <v>45253</v>
      </c>
      <c r="Q4373" s="165">
        <f t="shared" si="2"/>
        <v>0</v>
      </c>
      <c r="R4373" s="167"/>
      <c r="S4373" s="167">
        <v>2638.0</v>
      </c>
      <c r="T4373" s="168">
        <f t="shared" si="3"/>
        <v>210303.9748</v>
      </c>
      <c r="U4373" s="168">
        <f t="shared" si="4"/>
        <v>0</v>
      </c>
      <c r="V4373" s="168">
        <f t="shared" si="5"/>
        <v>0</v>
      </c>
      <c r="W4373" s="168">
        <f t="shared" si="6"/>
        <v>0</v>
      </c>
      <c r="X4373" s="168">
        <f t="shared" si="7"/>
        <v>0</v>
      </c>
      <c r="Y4373" s="168">
        <f t="shared" si="8"/>
        <v>0</v>
      </c>
      <c r="Z4373" s="168">
        <f t="shared" si="9"/>
        <v>0</v>
      </c>
    </row>
    <row r="4374" ht="15.0" customHeight="1">
      <c r="A4374" s="157" t="s">
        <v>5547</v>
      </c>
      <c r="B4374" s="158" t="s">
        <v>38</v>
      </c>
      <c r="C4374" s="158" t="s">
        <v>5510</v>
      </c>
      <c r="D4374" s="159">
        <v>45223.0</v>
      </c>
      <c r="E4374" s="157" t="s">
        <v>731</v>
      </c>
      <c r="F4374" s="160">
        <v>596913.55</v>
      </c>
      <c r="G4374" s="160">
        <f>'FACP$'!$F4374*0.16</f>
        <v>95506.168</v>
      </c>
      <c r="H4374" s="160">
        <f t="shared" si="124"/>
        <v>692419.718</v>
      </c>
      <c r="I4374" s="160"/>
      <c r="J4374" s="161"/>
      <c r="K4374" s="160"/>
      <c r="L4374" s="160">
        <f>+'FACP$'!$H4374-'FACP$'!$I4374-'FACP$'!$K4374</f>
        <v>692419.718</v>
      </c>
      <c r="M4374" s="162" t="s">
        <v>145</v>
      </c>
      <c r="N4374" s="162" t="s">
        <v>554</v>
      </c>
      <c r="O4374" s="164">
        <v>45266.0</v>
      </c>
      <c r="P4374" s="164">
        <f t="array" ref="P4374">XLOOKUP('FACP$'!$B4374,'perfil de pagos'!$A$4:$A$46,'perfil de pagos'!$B$4:$B$46+'FACP$'!$D4374)</f>
        <v>45253</v>
      </c>
      <c r="Q4374" s="165">
        <f t="shared" si="2"/>
        <v>0</v>
      </c>
      <c r="R4374" s="167"/>
      <c r="S4374" s="167">
        <v>2638.0</v>
      </c>
      <c r="T4374" s="168">
        <f t="shared" si="3"/>
        <v>692419.718</v>
      </c>
      <c r="U4374" s="168">
        <f t="shared" si="4"/>
        <v>0</v>
      </c>
      <c r="V4374" s="168">
        <f t="shared" si="5"/>
        <v>0</v>
      </c>
      <c r="W4374" s="168">
        <f t="shared" si="6"/>
        <v>0</v>
      </c>
      <c r="X4374" s="168">
        <f t="shared" si="7"/>
        <v>0</v>
      </c>
      <c r="Y4374" s="168">
        <f t="shared" si="8"/>
        <v>0</v>
      </c>
      <c r="Z4374" s="168">
        <f t="shared" si="9"/>
        <v>0</v>
      </c>
    </row>
    <row r="4375" ht="15.0" customHeight="1">
      <c r="A4375" s="157" t="s">
        <v>5548</v>
      </c>
      <c r="B4375" s="158" t="s">
        <v>37</v>
      </c>
      <c r="C4375" s="158" t="s">
        <v>5510</v>
      </c>
      <c r="D4375" s="159">
        <v>45223.0</v>
      </c>
      <c r="E4375" s="157" t="s">
        <v>731</v>
      </c>
      <c r="F4375" s="160">
        <v>1513304.08</v>
      </c>
      <c r="G4375" s="160">
        <f>'FACP$'!$F4375*0.16</f>
        <v>242128.6528</v>
      </c>
      <c r="H4375" s="160">
        <f t="shared" si="124"/>
        <v>1755432.733</v>
      </c>
      <c r="I4375" s="160"/>
      <c r="J4375" s="161"/>
      <c r="K4375" s="160"/>
      <c r="L4375" s="160">
        <f>+'FACP$'!$H4375-'FACP$'!$I4375-'FACP$'!$K4375</f>
        <v>1755432.733</v>
      </c>
      <c r="M4375" s="162" t="s">
        <v>116</v>
      </c>
      <c r="N4375" s="162" t="s">
        <v>554</v>
      </c>
      <c r="O4375" s="164">
        <v>45229.0</v>
      </c>
      <c r="P4375" s="164">
        <f t="array" ref="P4375">XLOOKUP('FACP$'!$B4375,'perfil de pagos'!$A$4:$A$46,'perfil de pagos'!$B$4:$B$46+'FACP$'!$D4375)</f>
        <v>45233</v>
      </c>
      <c r="Q4375" s="165">
        <f t="shared" si="2"/>
        <v>0</v>
      </c>
      <c r="R4375" s="167"/>
      <c r="S4375" s="167">
        <v>2534.0</v>
      </c>
      <c r="T4375" s="168">
        <f t="shared" si="3"/>
        <v>1755432.733</v>
      </c>
      <c r="U4375" s="168">
        <f t="shared" si="4"/>
        <v>0</v>
      </c>
      <c r="V4375" s="168">
        <f t="shared" si="5"/>
        <v>0</v>
      </c>
      <c r="W4375" s="168">
        <f t="shared" si="6"/>
        <v>0</v>
      </c>
      <c r="X4375" s="168">
        <f t="shared" si="7"/>
        <v>0</v>
      </c>
      <c r="Y4375" s="168">
        <f t="shared" si="8"/>
        <v>0</v>
      </c>
      <c r="Z4375" s="168">
        <f t="shared" si="9"/>
        <v>0</v>
      </c>
    </row>
    <row r="4376" ht="15.0" customHeight="1">
      <c r="A4376" s="157" t="s">
        <v>5549</v>
      </c>
      <c r="B4376" s="158" t="s">
        <v>31</v>
      </c>
      <c r="C4376" s="158" t="s">
        <v>5550</v>
      </c>
      <c r="D4376" s="159">
        <v>45223.0</v>
      </c>
      <c r="E4376" s="157" t="s">
        <v>731</v>
      </c>
      <c r="F4376" s="160">
        <v>54619.5</v>
      </c>
      <c r="G4376" s="160">
        <f>'FACP$'!$F4376*0.16</f>
        <v>8739.12</v>
      </c>
      <c r="H4376" s="160">
        <f t="shared" si="124"/>
        <v>63358.62</v>
      </c>
      <c r="I4376" s="160"/>
      <c r="J4376" s="161"/>
      <c r="K4376" s="160"/>
      <c r="L4376" s="160">
        <f>+'FACP$'!$H4376-'FACP$'!$I4376-'FACP$'!$K4376</f>
        <v>63358.62</v>
      </c>
      <c r="M4376" s="162" t="s">
        <v>3183</v>
      </c>
      <c r="N4376" s="162" t="s">
        <v>127</v>
      </c>
      <c r="O4376" s="164">
        <v>45246.0</v>
      </c>
      <c r="P4376" s="164">
        <f t="array" ref="P4376">XLOOKUP('FACP$'!$B4376,'perfil de pagos'!$A$4:$A$46,'perfil de pagos'!$B$4:$B$46+'FACP$'!$D4376)</f>
        <v>45226</v>
      </c>
      <c r="Q4376" s="165">
        <f t="shared" si="2"/>
        <v>0</v>
      </c>
      <c r="R4376" s="167" t="s">
        <v>448</v>
      </c>
      <c r="S4376" s="167"/>
      <c r="T4376" s="168">
        <f t="shared" si="3"/>
        <v>63358.62</v>
      </c>
      <c r="U4376" s="168">
        <f t="shared" si="4"/>
        <v>0</v>
      </c>
      <c r="V4376" s="168">
        <f t="shared" si="5"/>
        <v>0</v>
      </c>
      <c r="W4376" s="168">
        <f t="shared" si="6"/>
        <v>0</v>
      </c>
      <c r="X4376" s="168">
        <f t="shared" si="7"/>
        <v>0</v>
      </c>
      <c r="Y4376" s="168">
        <f t="shared" si="8"/>
        <v>0</v>
      </c>
      <c r="Z4376" s="168">
        <f t="shared" si="9"/>
        <v>0</v>
      </c>
    </row>
    <row r="4377" ht="15.0" customHeight="1">
      <c r="A4377" s="157" t="s">
        <v>5551</v>
      </c>
      <c r="B4377" s="158" t="s">
        <v>31</v>
      </c>
      <c r="C4377" s="158" t="s">
        <v>5550</v>
      </c>
      <c r="D4377" s="159">
        <v>45223.0</v>
      </c>
      <c r="E4377" s="157" t="s">
        <v>731</v>
      </c>
      <c r="F4377" s="160">
        <v>54619.5</v>
      </c>
      <c r="G4377" s="160">
        <f>'FACP$'!$F4377*0.16</f>
        <v>8739.12</v>
      </c>
      <c r="H4377" s="160">
        <f t="shared" si="124"/>
        <v>63358.62</v>
      </c>
      <c r="I4377" s="160"/>
      <c r="J4377" s="161"/>
      <c r="K4377" s="160"/>
      <c r="L4377" s="160">
        <f>+'FACP$'!$H4377-'FACP$'!$I4377-'FACP$'!$K4377</f>
        <v>63358.62</v>
      </c>
      <c r="M4377" s="162" t="s">
        <v>3183</v>
      </c>
      <c r="N4377" s="162" t="s">
        <v>554</v>
      </c>
      <c r="O4377" s="164">
        <v>45219.0</v>
      </c>
      <c r="P4377" s="164">
        <f t="array" ref="P4377">XLOOKUP('FACP$'!$B4377,'perfil de pagos'!$A$4:$A$46,'perfil de pagos'!$B$4:$B$46+'FACP$'!$D4377)</f>
        <v>45226</v>
      </c>
      <c r="Q4377" s="165">
        <f t="shared" si="2"/>
        <v>0</v>
      </c>
      <c r="R4377" s="167"/>
      <c r="S4377" s="167"/>
      <c r="T4377" s="168">
        <f t="shared" si="3"/>
        <v>63358.62</v>
      </c>
      <c r="U4377" s="168">
        <f t="shared" si="4"/>
        <v>0</v>
      </c>
      <c r="V4377" s="168">
        <f t="shared" si="5"/>
        <v>0</v>
      </c>
      <c r="W4377" s="168">
        <f t="shared" si="6"/>
        <v>0</v>
      </c>
      <c r="X4377" s="168">
        <f t="shared" si="7"/>
        <v>0</v>
      </c>
      <c r="Y4377" s="168">
        <f t="shared" si="8"/>
        <v>0</v>
      </c>
      <c r="Z4377" s="168">
        <f t="shared" si="9"/>
        <v>0</v>
      </c>
    </row>
    <row r="4378" ht="15.0" customHeight="1">
      <c r="A4378" s="157" t="s">
        <v>5552</v>
      </c>
      <c r="B4378" s="158" t="s">
        <v>40</v>
      </c>
      <c r="C4378" s="158" t="s">
        <v>5553</v>
      </c>
      <c r="D4378" s="159">
        <v>45224.0</v>
      </c>
      <c r="E4378" s="157" t="s">
        <v>731</v>
      </c>
      <c r="F4378" s="160">
        <v>537971.49</v>
      </c>
      <c r="G4378" s="160">
        <f>'FACP$'!$F4378*0.16</f>
        <v>86075.4384</v>
      </c>
      <c r="H4378" s="160">
        <f t="shared" si="124"/>
        <v>624046.9284</v>
      </c>
      <c r="I4378" s="160"/>
      <c r="J4378" s="161"/>
      <c r="K4378" s="160"/>
      <c r="L4378" s="160">
        <f>+'FACP$'!$H4378-'FACP$'!$I4378-'FACP$'!$K4378</f>
        <v>624046.9284</v>
      </c>
      <c r="M4378" s="162" t="s">
        <v>490</v>
      </c>
      <c r="N4378" s="162" t="s">
        <v>127</v>
      </c>
      <c r="O4378" s="164"/>
      <c r="P4378" s="164">
        <f t="array" ref="P4378">XLOOKUP('FACP$'!$B4378,'perfil de pagos'!$A$4:$A$46,'perfil de pagos'!$B$4:$B$46+'FACP$'!$D4378)</f>
        <v>45254</v>
      </c>
      <c r="Q4378" s="165">
        <f t="shared" si="2"/>
        <v>0</v>
      </c>
      <c r="R4378" s="167" t="s">
        <v>5554</v>
      </c>
      <c r="S4378" s="167"/>
      <c r="T4378" s="168">
        <f t="shared" si="3"/>
        <v>624046.9284</v>
      </c>
      <c r="U4378" s="168">
        <f t="shared" si="4"/>
        <v>0</v>
      </c>
      <c r="V4378" s="168">
        <f t="shared" si="5"/>
        <v>0</v>
      </c>
      <c r="W4378" s="168">
        <f t="shared" si="6"/>
        <v>0</v>
      </c>
      <c r="X4378" s="168">
        <f t="shared" si="7"/>
        <v>0</v>
      </c>
      <c r="Y4378" s="168">
        <f t="shared" si="8"/>
        <v>0</v>
      </c>
      <c r="Z4378" s="168">
        <f t="shared" si="9"/>
        <v>0</v>
      </c>
    </row>
    <row r="4379" ht="15.0" customHeight="1">
      <c r="A4379" s="157" t="s">
        <v>5555</v>
      </c>
      <c r="B4379" s="158" t="s">
        <v>31</v>
      </c>
      <c r="C4379" s="158" t="s">
        <v>5556</v>
      </c>
      <c r="D4379" s="159">
        <v>45225.0</v>
      </c>
      <c r="E4379" s="157" t="s">
        <v>731</v>
      </c>
      <c r="F4379" s="160">
        <v>54619.5</v>
      </c>
      <c r="G4379" s="160">
        <f>'FACP$'!$F4379*0.16</f>
        <v>8739.12</v>
      </c>
      <c r="H4379" s="160">
        <f t="shared" si="124"/>
        <v>63358.62</v>
      </c>
      <c r="I4379" s="160"/>
      <c r="J4379" s="161"/>
      <c r="K4379" s="160"/>
      <c r="L4379" s="160">
        <f>+'FACP$'!$H4379-'FACP$'!$I4379-'FACP$'!$K4379</f>
        <v>63358.62</v>
      </c>
      <c r="M4379" s="162" t="s">
        <v>3183</v>
      </c>
      <c r="N4379" s="162" t="s">
        <v>554</v>
      </c>
      <c r="O4379" s="164">
        <v>45226.0</v>
      </c>
      <c r="P4379" s="164">
        <f t="array" ref="P4379">XLOOKUP('FACP$'!$B4379,'perfil de pagos'!$A$4:$A$46,'perfil de pagos'!$B$4:$B$46+'FACP$'!$D4379)</f>
        <v>45228</v>
      </c>
      <c r="Q4379" s="165">
        <f t="shared" si="2"/>
        <v>0</v>
      </c>
      <c r="R4379" s="167"/>
      <c r="S4379" s="167">
        <v>2545.0</v>
      </c>
      <c r="T4379" s="168">
        <f t="shared" si="3"/>
        <v>63358.62</v>
      </c>
      <c r="U4379" s="168">
        <f t="shared" si="4"/>
        <v>0</v>
      </c>
      <c r="V4379" s="168">
        <f t="shared" si="5"/>
        <v>0</v>
      </c>
      <c r="W4379" s="168">
        <f t="shared" si="6"/>
        <v>0</v>
      </c>
      <c r="X4379" s="168">
        <f t="shared" si="7"/>
        <v>0</v>
      </c>
      <c r="Y4379" s="168">
        <f t="shared" si="8"/>
        <v>0</v>
      </c>
      <c r="Z4379" s="168">
        <f t="shared" si="9"/>
        <v>0</v>
      </c>
    </row>
    <row r="4380" ht="15.0" customHeight="1">
      <c r="A4380" s="157" t="s">
        <v>5557</v>
      </c>
      <c r="B4380" s="158" t="s">
        <v>42</v>
      </c>
      <c r="C4380" s="158" t="s">
        <v>5510</v>
      </c>
      <c r="D4380" s="159">
        <v>45229.0</v>
      </c>
      <c r="E4380" s="157" t="s">
        <v>731</v>
      </c>
      <c r="F4380" s="160">
        <v>128801.06</v>
      </c>
      <c r="G4380" s="160">
        <f>'FACP$'!$F4380*0.16</f>
        <v>20608.1696</v>
      </c>
      <c r="H4380" s="160">
        <f t="shared" si="124"/>
        <v>149409.2296</v>
      </c>
      <c r="I4380" s="160"/>
      <c r="J4380" s="161"/>
      <c r="K4380" s="160"/>
      <c r="L4380" s="160">
        <f>+'FACP$'!$H4380-'FACP$'!$I4380-'FACP$'!$K4380</f>
        <v>149409.2296</v>
      </c>
      <c r="M4380" s="162" t="s">
        <v>42</v>
      </c>
      <c r="N4380" s="162" t="s">
        <v>554</v>
      </c>
      <c r="O4380" s="164">
        <v>45233.0</v>
      </c>
      <c r="P4380" s="164">
        <f t="array" ref="P4380">XLOOKUP('FACP$'!$B4380,'perfil de pagos'!$A$4:$A$46,'perfil de pagos'!$B$4:$B$46+'FACP$'!$D4380)</f>
        <v>45239</v>
      </c>
      <c r="Q4380" s="165">
        <f t="shared" si="2"/>
        <v>0</v>
      </c>
      <c r="R4380" s="167"/>
      <c r="S4380" s="167">
        <v>2549.0</v>
      </c>
      <c r="T4380" s="168">
        <f t="shared" si="3"/>
        <v>149409.2296</v>
      </c>
      <c r="U4380" s="168">
        <f t="shared" si="4"/>
        <v>0</v>
      </c>
      <c r="V4380" s="168">
        <f t="shared" si="5"/>
        <v>0</v>
      </c>
      <c r="W4380" s="168">
        <f t="shared" si="6"/>
        <v>0</v>
      </c>
      <c r="X4380" s="168">
        <f t="shared" si="7"/>
        <v>0</v>
      </c>
      <c r="Y4380" s="168">
        <f t="shared" si="8"/>
        <v>0</v>
      </c>
      <c r="Z4380" s="168">
        <f t="shared" si="9"/>
        <v>0</v>
      </c>
    </row>
    <row r="4381" ht="15.0" customHeight="1">
      <c r="A4381" s="157" t="s">
        <v>5558</v>
      </c>
      <c r="B4381" s="158" t="s">
        <v>31</v>
      </c>
      <c r="C4381" s="158" t="s">
        <v>5559</v>
      </c>
      <c r="D4381" s="159">
        <v>45229.0</v>
      </c>
      <c r="E4381" s="157" t="s">
        <v>731</v>
      </c>
      <c r="F4381" s="160">
        <v>54619.5</v>
      </c>
      <c r="G4381" s="160">
        <f>'FACP$'!$F4381*0.16</f>
        <v>8739.12</v>
      </c>
      <c r="H4381" s="160">
        <f t="shared" si="124"/>
        <v>63358.62</v>
      </c>
      <c r="I4381" s="160"/>
      <c r="J4381" s="161"/>
      <c r="K4381" s="160"/>
      <c r="L4381" s="160">
        <f>+'FACP$'!$H4381-'FACP$'!$I4381-'FACP$'!$K4381</f>
        <v>63358.62</v>
      </c>
      <c r="M4381" s="162" t="s">
        <v>3183</v>
      </c>
      <c r="N4381" s="162" t="s">
        <v>554</v>
      </c>
      <c r="O4381" s="164">
        <v>45226.0</v>
      </c>
      <c r="P4381" s="164">
        <f t="array" ref="P4381">XLOOKUP('FACP$'!$B4381,'perfil de pagos'!$A$4:$A$46,'perfil de pagos'!$B$4:$B$46+'FACP$'!$D4381)</f>
        <v>45232</v>
      </c>
      <c r="Q4381" s="165">
        <f t="shared" si="2"/>
        <v>0</v>
      </c>
      <c r="R4381" s="167"/>
      <c r="S4381" s="167">
        <v>2545.0</v>
      </c>
      <c r="T4381" s="168">
        <f t="shared" si="3"/>
        <v>63358.62</v>
      </c>
      <c r="U4381" s="168">
        <f t="shared" si="4"/>
        <v>0</v>
      </c>
      <c r="V4381" s="168">
        <f t="shared" si="5"/>
        <v>0</v>
      </c>
      <c r="W4381" s="168">
        <f t="shared" si="6"/>
        <v>0</v>
      </c>
      <c r="X4381" s="168">
        <f t="shared" si="7"/>
        <v>0</v>
      </c>
      <c r="Y4381" s="168">
        <f t="shared" si="8"/>
        <v>0</v>
      </c>
      <c r="Z4381" s="168">
        <f t="shared" si="9"/>
        <v>0</v>
      </c>
    </row>
    <row r="4382" ht="15.0" customHeight="1">
      <c r="A4382" s="157" t="s">
        <v>5560</v>
      </c>
      <c r="B4382" s="158" t="s">
        <v>31</v>
      </c>
      <c r="C4382" s="158" t="s">
        <v>5561</v>
      </c>
      <c r="D4382" s="159">
        <v>45229.0</v>
      </c>
      <c r="E4382" s="157" t="s">
        <v>731</v>
      </c>
      <c r="F4382" s="160">
        <v>54619.5</v>
      </c>
      <c r="G4382" s="160">
        <f>'FACP$'!$F4382*0.16</f>
        <v>8739.12</v>
      </c>
      <c r="H4382" s="160">
        <f t="shared" si="124"/>
        <v>63358.62</v>
      </c>
      <c r="I4382" s="160"/>
      <c r="J4382" s="161"/>
      <c r="K4382" s="160"/>
      <c r="L4382" s="160">
        <f>+'FACP$'!$H4382-'FACP$'!$I4382-'FACP$'!$K4382</f>
        <v>63358.62</v>
      </c>
      <c r="M4382" s="162" t="s">
        <v>3183</v>
      </c>
      <c r="N4382" s="162" t="s">
        <v>554</v>
      </c>
      <c r="O4382" s="164">
        <v>45233.0</v>
      </c>
      <c r="P4382" s="164">
        <f t="array" ref="P4382">XLOOKUP('FACP$'!$B4382,'perfil de pagos'!$A$4:$A$46,'perfil de pagos'!$B$4:$B$46+'FACP$'!$D4382)</f>
        <v>45232</v>
      </c>
      <c r="Q4382" s="165">
        <f t="shared" si="2"/>
        <v>0</v>
      </c>
      <c r="R4382" s="220" t="s">
        <v>5562</v>
      </c>
      <c r="S4382" s="167">
        <v>2551.0</v>
      </c>
      <c r="T4382" s="168">
        <f t="shared" si="3"/>
        <v>63358.62</v>
      </c>
      <c r="U4382" s="168">
        <f t="shared" si="4"/>
        <v>0</v>
      </c>
      <c r="V4382" s="168">
        <f t="shared" si="5"/>
        <v>0</v>
      </c>
      <c r="W4382" s="168">
        <f t="shared" si="6"/>
        <v>0</v>
      </c>
      <c r="X4382" s="168">
        <f t="shared" si="7"/>
        <v>0</v>
      </c>
      <c r="Y4382" s="168">
        <f t="shared" si="8"/>
        <v>0</v>
      </c>
      <c r="Z4382" s="168">
        <f t="shared" si="9"/>
        <v>0</v>
      </c>
    </row>
    <row r="4383" ht="15.0" customHeight="1">
      <c r="A4383" s="157" t="s">
        <v>5563</v>
      </c>
      <c r="B4383" s="158" t="s">
        <v>40</v>
      </c>
      <c r="C4383" s="158" t="s">
        <v>5553</v>
      </c>
      <c r="D4383" s="159">
        <v>45229.0</v>
      </c>
      <c r="E4383" s="157" t="s">
        <v>731</v>
      </c>
      <c r="F4383" s="160">
        <v>537971.49</v>
      </c>
      <c r="G4383" s="160">
        <f>'FACP$'!$F4383*0.16</f>
        <v>86075.4384</v>
      </c>
      <c r="H4383" s="160">
        <f t="shared" si="124"/>
        <v>624046.9284</v>
      </c>
      <c r="I4383" s="160"/>
      <c r="J4383" s="161"/>
      <c r="K4383" s="160"/>
      <c r="L4383" s="160">
        <f>+'FACP$'!$H4383-'FACP$'!$I4383-'FACP$'!$K4383</f>
        <v>624046.9284</v>
      </c>
      <c r="M4383" s="162" t="s">
        <v>490</v>
      </c>
      <c r="N4383" s="162" t="s">
        <v>127</v>
      </c>
      <c r="O4383" s="164"/>
      <c r="P4383" s="164">
        <f t="array" ref="P4383">XLOOKUP('FACP$'!$B4383,'perfil de pagos'!$A$4:$A$46,'perfil de pagos'!$B$4:$B$46+'FACP$'!$D4383)</f>
        <v>45259</v>
      </c>
      <c r="Q4383" s="165">
        <f t="shared" si="2"/>
        <v>0</v>
      </c>
      <c r="R4383" s="167" t="s">
        <v>5564</v>
      </c>
      <c r="S4383" s="167"/>
      <c r="T4383" s="168">
        <f t="shared" si="3"/>
        <v>624046.9284</v>
      </c>
      <c r="U4383" s="168">
        <f t="shared" si="4"/>
        <v>0</v>
      </c>
      <c r="V4383" s="168">
        <f t="shared" si="5"/>
        <v>0</v>
      </c>
      <c r="W4383" s="168">
        <f t="shared" si="6"/>
        <v>0</v>
      </c>
      <c r="X4383" s="168">
        <f t="shared" si="7"/>
        <v>0</v>
      </c>
      <c r="Y4383" s="168">
        <f t="shared" si="8"/>
        <v>0</v>
      </c>
      <c r="Z4383" s="168">
        <f t="shared" si="9"/>
        <v>0</v>
      </c>
    </row>
    <row r="4384" ht="15.0" customHeight="1">
      <c r="A4384" s="157" t="s">
        <v>5565</v>
      </c>
      <c r="B4384" s="158" t="s">
        <v>27</v>
      </c>
      <c r="C4384" s="158" t="s">
        <v>5566</v>
      </c>
      <c r="D4384" s="159">
        <v>45230.0</v>
      </c>
      <c r="E4384" s="157" t="s">
        <v>731</v>
      </c>
      <c r="F4384" s="160">
        <v>173835.14</v>
      </c>
      <c r="G4384" s="160">
        <f>'FACP$'!$F4384*0.16</f>
        <v>27813.6224</v>
      </c>
      <c r="H4384" s="160">
        <f t="shared" si="124"/>
        <v>201648.7624</v>
      </c>
      <c r="I4384" s="160"/>
      <c r="J4384" s="161"/>
      <c r="K4384" s="160"/>
      <c r="L4384" s="160">
        <f>+'FACP$'!$H4384-'FACP$'!$I4384-'FACP$'!$K4384</f>
        <v>201648.7624</v>
      </c>
      <c r="M4384" s="162" t="s">
        <v>158</v>
      </c>
      <c r="N4384" s="162" t="s">
        <v>554</v>
      </c>
      <c r="O4384" s="164">
        <v>45254.0</v>
      </c>
      <c r="P4384" s="164">
        <f t="array" ref="P4384">XLOOKUP('FACP$'!$B4384,'perfil de pagos'!$A$4:$A$46,'perfil de pagos'!$B$4:$B$46+'FACP$'!$D4384)</f>
        <v>45260</v>
      </c>
      <c r="Q4384" s="165">
        <f t="shared" si="2"/>
        <v>0</v>
      </c>
      <c r="R4384" s="167"/>
      <c r="S4384" s="167">
        <v>2609.0</v>
      </c>
      <c r="T4384" s="168">
        <f t="shared" si="3"/>
        <v>201648.7624</v>
      </c>
      <c r="U4384" s="168">
        <f t="shared" si="4"/>
        <v>0</v>
      </c>
      <c r="V4384" s="168">
        <f t="shared" si="5"/>
        <v>0</v>
      </c>
      <c r="W4384" s="168">
        <f t="shared" si="6"/>
        <v>0</v>
      </c>
      <c r="X4384" s="168">
        <f t="shared" si="7"/>
        <v>0</v>
      </c>
      <c r="Y4384" s="168">
        <f t="shared" si="8"/>
        <v>0</v>
      </c>
      <c r="Z4384" s="168">
        <f t="shared" si="9"/>
        <v>0</v>
      </c>
    </row>
    <row r="4385" ht="15.0" customHeight="1">
      <c r="A4385" s="157" t="s">
        <v>5567</v>
      </c>
      <c r="B4385" s="158" t="s">
        <v>27</v>
      </c>
      <c r="C4385" s="158" t="s">
        <v>5568</v>
      </c>
      <c r="D4385" s="159">
        <v>45230.0</v>
      </c>
      <c r="E4385" s="157" t="s">
        <v>731</v>
      </c>
      <c r="F4385" s="160">
        <v>141622.7</v>
      </c>
      <c r="G4385" s="160">
        <f>'FACP$'!$F4385*0.16</f>
        <v>22659.632</v>
      </c>
      <c r="H4385" s="160">
        <f t="shared" si="124"/>
        <v>164282.332</v>
      </c>
      <c r="I4385" s="160"/>
      <c r="J4385" s="161"/>
      <c r="K4385" s="160"/>
      <c r="L4385" s="160">
        <f>+'FACP$'!$H4385-'FACP$'!$I4385-'FACP$'!$K4385</f>
        <v>164282.332</v>
      </c>
      <c r="M4385" s="162" t="s">
        <v>158</v>
      </c>
      <c r="N4385" s="162" t="s">
        <v>554</v>
      </c>
      <c r="O4385" s="164">
        <v>45259.0</v>
      </c>
      <c r="P4385" s="164">
        <f t="array" ref="P4385">XLOOKUP('FACP$'!$B4385,'perfil de pagos'!$A$4:$A$46,'perfil de pagos'!$B$4:$B$46+'FACP$'!$D4385)</f>
        <v>45260</v>
      </c>
      <c r="Q4385" s="165">
        <f t="shared" si="2"/>
        <v>0</v>
      </c>
      <c r="R4385" s="167"/>
      <c r="S4385" s="167">
        <v>2617.0</v>
      </c>
      <c r="T4385" s="168">
        <f t="shared" si="3"/>
        <v>164282.332</v>
      </c>
      <c r="U4385" s="168">
        <f t="shared" si="4"/>
        <v>0</v>
      </c>
      <c r="V4385" s="168">
        <f t="shared" si="5"/>
        <v>0</v>
      </c>
      <c r="W4385" s="168">
        <f t="shared" si="6"/>
        <v>0</v>
      </c>
      <c r="X4385" s="168">
        <f t="shared" si="7"/>
        <v>0</v>
      </c>
      <c r="Y4385" s="168">
        <f t="shared" si="8"/>
        <v>0</v>
      </c>
      <c r="Z4385" s="168">
        <f t="shared" si="9"/>
        <v>0</v>
      </c>
    </row>
    <row r="4386" ht="15.0" customHeight="1">
      <c r="A4386" s="157" t="s">
        <v>5569</v>
      </c>
      <c r="B4386" s="158" t="s">
        <v>27</v>
      </c>
      <c r="C4386" s="158" t="s">
        <v>5566</v>
      </c>
      <c r="D4386" s="159">
        <v>45230.0</v>
      </c>
      <c r="E4386" s="157" t="s">
        <v>731</v>
      </c>
      <c r="F4386" s="160">
        <v>333909.45</v>
      </c>
      <c r="G4386" s="160">
        <f>'FACP$'!$F4386*0.16</f>
        <v>53425.512</v>
      </c>
      <c r="H4386" s="160">
        <f t="shared" si="124"/>
        <v>387334.962</v>
      </c>
      <c r="I4386" s="160"/>
      <c r="J4386" s="161"/>
      <c r="K4386" s="160"/>
      <c r="L4386" s="160">
        <f>+'FACP$'!$H4386-'FACP$'!$I4386-'FACP$'!$K4386</f>
        <v>387334.962</v>
      </c>
      <c r="M4386" s="162" t="s">
        <v>151</v>
      </c>
      <c r="N4386" s="162" t="s">
        <v>554</v>
      </c>
      <c r="O4386" s="164">
        <v>45254.0</v>
      </c>
      <c r="P4386" s="164">
        <f t="array" ref="P4386">XLOOKUP('FACP$'!$B4386,'perfil de pagos'!$A$4:$A$46,'perfil de pagos'!$B$4:$B$46+'FACP$'!$D4386)</f>
        <v>45260</v>
      </c>
      <c r="Q4386" s="165">
        <f t="shared" si="2"/>
        <v>0</v>
      </c>
      <c r="R4386" s="167"/>
      <c r="S4386" s="167">
        <v>2610.0</v>
      </c>
      <c r="T4386" s="168">
        <f t="shared" si="3"/>
        <v>387334.962</v>
      </c>
      <c r="U4386" s="168">
        <f t="shared" si="4"/>
        <v>0</v>
      </c>
      <c r="V4386" s="168">
        <f t="shared" si="5"/>
        <v>0</v>
      </c>
      <c r="W4386" s="168">
        <f t="shared" si="6"/>
        <v>0</v>
      </c>
      <c r="X4386" s="168">
        <f t="shared" si="7"/>
        <v>0</v>
      </c>
      <c r="Y4386" s="168">
        <f t="shared" si="8"/>
        <v>0</v>
      </c>
      <c r="Z4386" s="168">
        <f t="shared" si="9"/>
        <v>0</v>
      </c>
    </row>
    <row r="4387" ht="15.0" customHeight="1">
      <c r="A4387" s="157" t="s">
        <v>5570</v>
      </c>
      <c r="B4387" s="158" t="s">
        <v>27</v>
      </c>
      <c r="C4387" s="158" t="s">
        <v>5568</v>
      </c>
      <c r="D4387" s="159">
        <v>45230.0</v>
      </c>
      <c r="E4387" s="157" t="s">
        <v>731</v>
      </c>
      <c r="F4387" s="160">
        <v>249218.05</v>
      </c>
      <c r="G4387" s="160">
        <f>'FACP$'!$F4387*0.16</f>
        <v>39874.888</v>
      </c>
      <c r="H4387" s="160">
        <f t="shared" si="124"/>
        <v>289092.938</v>
      </c>
      <c r="I4387" s="160"/>
      <c r="J4387" s="161"/>
      <c r="K4387" s="160"/>
      <c r="L4387" s="160">
        <f>+'FACP$'!$H4387-'FACP$'!$I4387-'FACP$'!$K4387</f>
        <v>289092.938</v>
      </c>
      <c r="M4387" s="162" t="s">
        <v>151</v>
      </c>
      <c r="N4387" s="162" t="s">
        <v>554</v>
      </c>
      <c r="O4387" s="164">
        <v>45259.0</v>
      </c>
      <c r="P4387" s="164">
        <f t="array" ref="P4387">XLOOKUP('FACP$'!$B4387,'perfil de pagos'!$A$4:$A$46,'perfil de pagos'!$B$4:$B$46+'FACP$'!$D4387)</f>
        <v>45260</v>
      </c>
      <c r="Q4387" s="165">
        <f t="shared" si="2"/>
        <v>0</v>
      </c>
      <c r="R4387" s="167"/>
      <c r="S4387" s="167">
        <v>2616.0</v>
      </c>
      <c r="T4387" s="168">
        <f t="shared" si="3"/>
        <v>289092.938</v>
      </c>
      <c r="U4387" s="168">
        <f t="shared" si="4"/>
        <v>0</v>
      </c>
      <c r="V4387" s="168">
        <f t="shared" si="5"/>
        <v>0</v>
      </c>
      <c r="W4387" s="168">
        <f t="shared" si="6"/>
        <v>0</v>
      </c>
      <c r="X4387" s="168">
        <f t="shared" si="7"/>
        <v>0</v>
      </c>
      <c r="Y4387" s="168">
        <f t="shared" si="8"/>
        <v>0</v>
      </c>
      <c r="Z4387" s="168">
        <f t="shared" si="9"/>
        <v>0</v>
      </c>
    </row>
    <row r="4388" ht="15.0" customHeight="1">
      <c r="A4388" s="157" t="s">
        <v>5571</v>
      </c>
      <c r="B4388" s="158" t="s">
        <v>27</v>
      </c>
      <c r="C4388" s="158" t="s">
        <v>5572</v>
      </c>
      <c r="D4388" s="159">
        <v>45230.0</v>
      </c>
      <c r="E4388" s="157" t="s">
        <v>731</v>
      </c>
      <c r="F4388" s="160">
        <v>11728.6</v>
      </c>
      <c r="G4388" s="160">
        <f>'FACP$'!$F4388*0.16</f>
        <v>1876.576</v>
      </c>
      <c r="H4388" s="160">
        <f t="shared" si="124"/>
        <v>13605.176</v>
      </c>
      <c r="I4388" s="160"/>
      <c r="J4388" s="161"/>
      <c r="K4388" s="160"/>
      <c r="L4388" s="160">
        <f>+'FACP$'!$H4388-'FACP$'!$I4388-'FACP$'!$K4388</f>
        <v>13605.176</v>
      </c>
      <c r="M4388" s="162" t="s">
        <v>151</v>
      </c>
      <c r="N4388" s="162" t="s">
        <v>554</v>
      </c>
      <c r="O4388" s="164">
        <v>45254.0</v>
      </c>
      <c r="P4388" s="164">
        <f t="array" ref="P4388">XLOOKUP('FACP$'!$B4388,'perfil de pagos'!$A$4:$A$46,'perfil de pagos'!$B$4:$B$46+'FACP$'!$D4388)</f>
        <v>45260</v>
      </c>
      <c r="Q4388" s="165">
        <f t="shared" si="2"/>
        <v>0</v>
      </c>
      <c r="R4388" s="167"/>
      <c r="S4388" s="167">
        <v>2610.0</v>
      </c>
      <c r="T4388" s="168">
        <f t="shared" si="3"/>
        <v>13605.176</v>
      </c>
      <c r="U4388" s="168">
        <f t="shared" si="4"/>
        <v>0</v>
      </c>
      <c r="V4388" s="168">
        <f t="shared" si="5"/>
        <v>0</v>
      </c>
      <c r="W4388" s="168">
        <f t="shared" si="6"/>
        <v>0</v>
      </c>
      <c r="X4388" s="168">
        <f t="shared" si="7"/>
        <v>0</v>
      </c>
      <c r="Y4388" s="168">
        <f t="shared" si="8"/>
        <v>0</v>
      </c>
      <c r="Z4388" s="168">
        <f t="shared" si="9"/>
        <v>0</v>
      </c>
    </row>
    <row r="4389" ht="15.0" customHeight="1">
      <c r="A4389" s="157" t="s">
        <v>5573</v>
      </c>
      <c r="B4389" s="158" t="s">
        <v>27</v>
      </c>
      <c r="C4389" s="158" t="s">
        <v>5574</v>
      </c>
      <c r="D4389" s="159">
        <v>45230.0</v>
      </c>
      <c r="E4389" s="157" t="s">
        <v>731</v>
      </c>
      <c r="F4389" s="160">
        <v>13587.87</v>
      </c>
      <c r="G4389" s="160">
        <f>'FACP$'!$F4389*0.16</f>
        <v>2174.0592</v>
      </c>
      <c r="H4389" s="160">
        <f t="shared" si="124"/>
        <v>15761.9292</v>
      </c>
      <c r="I4389" s="160"/>
      <c r="J4389" s="161"/>
      <c r="K4389" s="160"/>
      <c r="L4389" s="160">
        <f>+'FACP$'!$H4389-'FACP$'!$I4389-'FACP$'!$K4389</f>
        <v>15761.9292</v>
      </c>
      <c r="M4389" s="162" t="s">
        <v>151</v>
      </c>
      <c r="N4389" s="162" t="s">
        <v>554</v>
      </c>
      <c r="O4389" s="164">
        <v>45259.0</v>
      </c>
      <c r="P4389" s="164">
        <f t="array" ref="P4389">XLOOKUP('FACP$'!$B4389,'perfil de pagos'!$A$4:$A$46,'perfil de pagos'!$B$4:$B$46+'FACP$'!$D4389)</f>
        <v>45260</v>
      </c>
      <c r="Q4389" s="165">
        <f t="shared" si="2"/>
        <v>0</v>
      </c>
      <c r="R4389" s="167"/>
      <c r="S4389" s="167">
        <v>2616.0</v>
      </c>
      <c r="T4389" s="168">
        <f t="shared" si="3"/>
        <v>15761.9292</v>
      </c>
      <c r="U4389" s="168">
        <f t="shared" si="4"/>
        <v>0</v>
      </c>
      <c r="V4389" s="168">
        <f t="shared" si="5"/>
        <v>0</v>
      </c>
      <c r="W4389" s="168">
        <f t="shared" si="6"/>
        <v>0</v>
      </c>
      <c r="X4389" s="168">
        <f t="shared" si="7"/>
        <v>0</v>
      </c>
      <c r="Y4389" s="168">
        <f t="shared" si="8"/>
        <v>0</v>
      </c>
      <c r="Z4389" s="168">
        <f t="shared" si="9"/>
        <v>0</v>
      </c>
    </row>
    <row r="4390" ht="15.0" customHeight="1">
      <c r="A4390" s="157" t="s">
        <v>5575</v>
      </c>
      <c r="B4390" s="158" t="s">
        <v>40</v>
      </c>
      <c r="C4390" s="158" t="s">
        <v>5553</v>
      </c>
      <c r="D4390" s="159">
        <v>45231.0</v>
      </c>
      <c r="E4390" s="157" t="s">
        <v>731</v>
      </c>
      <c r="F4390" s="160">
        <v>537971.49</v>
      </c>
      <c r="G4390" s="160">
        <f>'FACP$'!$F4390*0.16</f>
        <v>86075.4384</v>
      </c>
      <c r="H4390" s="160">
        <f t="shared" si="124"/>
        <v>624046.9284</v>
      </c>
      <c r="I4390" s="160"/>
      <c r="J4390" s="161"/>
      <c r="K4390" s="160"/>
      <c r="L4390" s="160">
        <f>+'FACP$'!$H4390-'FACP$'!$I4390-'FACP$'!$K4390</f>
        <v>624046.9284</v>
      </c>
      <c r="M4390" s="162" t="s">
        <v>490</v>
      </c>
      <c r="N4390" s="162" t="s">
        <v>554</v>
      </c>
      <c r="O4390" s="164">
        <v>45259.0</v>
      </c>
      <c r="P4390" s="164">
        <f t="array" ref="P4390">XLOOKUP('FACP$'!$B4390,'perfil de pagos'!$A$4:$A$46,'perfil de pagos'!$B$4:$B$46+'FACP$'!$D4390)</f>
        <v>45261</v>
      </c>
      <c r="Q4390" s="165">
        <f t="shared" si="2"/>
        <v>0</v>
      </c>
      <c r="R4390" s="167"/>
      <c r="S4390" s="167">
        <v>2618.0</v>
      </c>
      <c r="T4390" s="168">
        <f t="shared" si="3"/>
        <v>624046.9284</v>
      </c>
      <c r="U4390" s="168">
        <f t="shared" si="4"/>
        <v>0</v>
      </c>
      <c r="V4390" s="168">
        <f t="shared" si="5"/>
        <v>0</v>
      </c>
      <c r="W4390" s="168">
        <f t="shared" si="6"/>
        <v>0</v>
      </c>
      <c r="X4390" s="168">
        <f t="shared" si="7"/>
        <v>0</v>
      </c>
      <c r="Y4390" s="168">
        <f t="shared" si="8"/>
        <v>0</v>
      </c>
      <c r="Z4390" s="168">
        <f t="shared" si="9"/>
        <v>0</v>
      </c>
    </row>
    <row r="4391" ht="15.0" customHeight="1">
      <c r="A4391" s="157" t="s">
        <v>5576</v>
      </c>
      <c r="B4391" s="158" t="s">
        <v>31</v>
      </c>
      <c r="C4391" s="158" t="s">
        <v>5577</v>
      </c>
      <c r="D4391" s="159">
        <v>45233.0</v>
      </c>
      <c r="E4391" s="157" t="s">
        <v>731</v>
      </c>
      <c r="F4391" s="160">
        <v>74000.0</v>
      </c>
      <c r="G4391" s="160">
        <f>'FACP$'!$F4391*0.16</f>
        <v>11840</v>
      </c>
      <c r="H4391" s="160">
        <f t="shared" si="124"/>
        <v>85840</v>
      </c>
      <c r="I4391" s="160"/>
      <c r="J4391" s="161"/>
      <c r="K4391" s="160"/>
      <c r="L4391" s="160">
        <f>+'FACP$'!$H4391-'FACP$'!$I4391-'FACP$'!$K4391</f>
        <v>85840</v>
      </c>
      <c r="M4391" s="162" t="s">
        <v>3183</v>
      </c>
      <c r="N4391" s="162" t="s">
        <v>554</v>
      </c>
      <c r="O4391" s="164">
        <v>45233.0</v>
      </c>
      <c r="P4391" s="164">
        <f t="array" ref="P4391">XLOOKUP('FACP$'!$B4391,'perfil de pagos'!$A$4:$A$46,'perfil de pagos'!$B$4:$B$46+'FACP$'!$D4391)</f>
        <v>45236</v>
      </c>
      <c r="Q4391" s="165">
        <f t="shared" si="2"/>
        <v>0</v>
      </c>
      <c r="R4391" s="167"/>
      <c r="S4391" s="167">
        <v>2551.0</v>
      </c>
      <c r="T4391" s="168">
        <f t="shared" si="3"/>
        <v>85840</v>
      </c>
      <c r="U4391" s="168">
        <f t="shared" si="4"/>
        <v>0</v>
      </c>
      <c r="V4391" s="168">
        <f t="shared" si="5"/>
        <v>0</v>
      </c>
      <c r="W4391" s="168">
        <f t="shared" si="6"/>
        <v>0</v>
      </c>
      <c r="X4391" s="168">
        <f t="shared" si="7"/>
        <v>0</v>
      </c>
      <c r="Y4391" s="168">
        <f t="shared" si="8"/>
        <v>0</v>
      </c>
      <c r="Z4391" s="168">
        <f t="shared" si="9"/>
        <v>0</v>
      </c>
    </row>
    <row r="4392" ht="15.0" customHeight="1">
      <c r="A4392" s="157" t="s">
        <v>5578</v>
      </c>
      <c r="B4392" s="158" t="s">
        <v>15</v>
      </c>
      <c r="C4392" s="158" t="s">
        <v>5579</v>
      </c>
      <c r="D4392" s="159">
        <v>45236.0</v>
      </c>
      <c r="E4392" s="157" t="s">
        <v>731</v>
      </c>
      <c r="F4392" s="160">
        <v>1011582.73</v>
      </c>
      <c r="G4392" s="160">
        <f>'FACP$'!$F4392*0.16</f>
        <v>161853.2368</v>
      </c>
      <c r="H4392" s="160">
        <f t="shared" si="124"/>
        <v>1173435.967</v>
      </c>
      <c r="I4392" s="160"/>
      <c r="J4392" s="161"/>
      <c r="K4392" s="160"/>
      <c r="L4392" s="160">
        <f>+'FACP$'!$H4392-'FACP$'!$I4392-'FACP$'!$K4392</f>
        <v>1173435.967</v>
      </c>
      <c r="M4392" s="162" t="s">
        <v>443</v>
      </c>
      <c r="N4392" s="162" t="s">
        <v>554</v>
      </c>
      <c r="O4392" s="164">
        <v>45253.0</v>
      </c>
      <c r="P4392" s="164">
        <f t="array" ref="P4392">XLOOKUP('FACP$'!$B4392,'perfil de pagos'!$A$4:$A$46,'perfil de pagos'!$B$4:$B$46+'FACP$'!$D4392)</f>
        <v>45246</v>
      </c>
      <c r="Q4392" s="165">
        <f t="shared" si="2"/>
        <v>0</v>
      </c>
      <c r="R4392" s="167"/>
      <c r="S4392" s="167">
        <v>2605.0</v>
      </c>
      <c r="T4392" s="168">
        <f t="shared" si="3"/>
        <v>1173435.967</v>
      </c>
      <c r="U4392" s="168">
        <f t="shared" si="4"/>
        <v>0</v>
      </c>
      <c r="V4392" s="168">
        <f t="shared" si="5"/>
        <v>0</v>
      </c>
      <c r="W4392" s="168">
        <f t="shared" si="6"/>
        <v>0</v>
      </c>
      <c r="X4392" s="168">
        <f t="shared" si="7"/>
        <v>0</v>
      </c>
      <c r="Y4392" s="168">
        <f t="shared" si="8"/>
        <v>0</v>
      </c>
      <c r="Z4392" s="168">
        <f t="shared" si="9"/>
        <v>0</v>
      </c>
    </row>
    <row r="4393" ht="15.0" customHeight="1">
      <c r="A4393" s="157" t="s">
        <v>5580</v>
      </c>
      <c r="B4393" s="158" t="s">
        <v>32</v>
      </c>
      <c r="C4393" s="158" t="s">
        <v>5579</v>
      </c>
      <c r="D4393" s="159">
        <v>45236.0</v>
      </c>
      <c r="E4393" s="157" t="s">
        <v>731</v>
      </c>
      <c r="F4393" s="160">
        <v>149488.99</v>
      </c>
      <c r="G4393" s="160">
        <f>'FACP$'!$F4393*0.16</f>
        <v>23918.2384</v>
      </c>
      <c r="H4393" s="160">
        <f t="shared" si="124"/>
        <v>173407.2284</v>
      </c>
      <c r="I4393" s="160"/>
      <c r="J4393" s="161"/>
      <c r="K4393" s="160"/>
      <c r="L4393" s="160">
        <f>+'FACP$'!$H4393-'FACP$'!$I4393-'FACP$'!$K4393</f>
        <v>173407.2284</v>
      </c>
      <c r="M4393" s="162" t="s">
        <v>395</v>
      </c>
      <c r="N4393" s="162" t="s">
        <v>554</v>
      </c>
      <c r="O4393" s="164">
        <v>45282.0</v>
      </c>
      <c r="P4393" s="164">
        <f t="array" ref="P4393">XLOOKUP('FACP$'!$B4393,'perfil de pagos'!$A$4:$A$46,'perfil de pagos'!$B$4:$B$46+'FACP$'!$D4393)</f>
        <v>45246</v>
      </c>
      <c r="Q4393" s="165">
        <f t="shared" si="2"/>
        <v>0</v>
      </c>
      <c r="R4393" s="167"/>
      <c r="S4393" s="167">
        <v>2686.0</v>
      </c>
      <c r="T4393" s="168">
        <f t="shared" si="3"/>
        <v>173407.2284</v>
      </c>
      <c r="U4393" s="168">
        <f t="shared" si="4"/>
        <v>0</v>
      </c>
      <c r="V4393" s="168">
        <f t="shared" si="5"/>
        <v>0</v>
      </c>
      <c r="W4393" s="168">
        <f t="shared" si="6"/>
        <v>0</v>
      </c>
      <c r="X4393" s="168">
        <f t="shared" si="7"/>
        <v>0</v>
      </c>
      <c r="Y4393" s="168">
        <f t="shared" si="8"/>
        <v>0</v>
      </c>
      <c r="Z4393" s="168">
        <f t="shared" si="9"/>
        <v>0</v>
      </c>
    </row>
    <row r="4394" ht="15.0" customHeight="1">
      <c r="A4394" s="157" t="s">
        <v>5581</v>
      </c>
      <c r="B4394" s="158" t="s">
        <v>35</v>
      </c>
      <c r="C4394" s="158" t="s">
        <v>5579</v>
      </c>
      <c r="D4394" s="159">
        <v>45236.0</v>
      </c>
      <c r="E4394" s="157" t="s">
        <v>731</v>
      </c>
      <c r="F4394" s="160">
        <v>227980.88</v>
      </c>
      <c r="G4394" s="160">
        <f>'FACP$'!$F4394*0.16</f>
        <v>36476.9408</v>
      </c>
      <c r="H4394" s="160">
        <f t="shared" si="124"/>
        <v>264457.8208</v>
      </c>
      <c r="I4394" s="160"/>
      <c r="J4394" s="161"/>
      <c r="K4394" s="160"/>
      <c r="L4394" s="160">
        <f>+'FACP$'!$H4394-'FACP$'!$I4394-'FACP$'!$K4394</f>
        <v>264457.8208</v>
      </c>
      <c r="M4394" s="162" t="s">
        <v>276</v>
      </c>
      <c r="N4394" s="162" t="s">
        <v>554</v>
      </c>
      <c r="O4394" s="164">
        <v>45247.0</v>
      </c>
      <c r="P4394" s="164">
        <f t="array" ref="P4394">XLOOKUP('FACP$'!$B4394,'perfil de pagos'!$A$4:$A$46,'perfil de pagos'!$B$4:$B$46+'FACP$'!$D4394)</f>
        <v>45246</v>
      </c>
      <c r="Q4394" s="165">
        <f t="shared" si="2"/>
        <v>0</v>
      </c>
      <c r="R4394" s="167"/>
      <c r="S4394" s="167">
        <v>2589.0</v>
      </c>
      <c r="T4394" s="168">
        <f t="shared" si="3"/>
        <v>264457.8208</v>
      </c>
      <c r="U4394" s="168">
        <f t="shared" si="4"/>
        <v>0</v>
      </c>
      <c r="V4394" s="168">
        <f t="shared" si="5"/>
        <v>0</v>
      </c>
      <c r="W4394" s="168">
        <f t="shared" si="6"/>
        <v>0</v>
      </c>
      <c r="X4394" s="168">
        <f t="shared" si="7"/>
        <v>0</v>
      </c>
      <c r="Y4394" s="168">
        <f t="shared" si="8"/>
        <v>0</v>
      </c>
      <c r="Z4394" s="168">
        <f t="shared" si="9"/>
        <v>0</v>
      </c>
    </row>
    <row r="4395" ht="15.0" customHeight="1">
      <c r="A4395" s="157" t="s">
        <v>5582</v>
      </c>
      <c r="B4395" s="158" t="s">
        <v>36</v>
      </c>
      <c r="C4395" s="158" t="s">
        <v>5579</v>
      </c>
      <c r="D4395" s="159">
        <v>45236.0</v>
      </c>
      <c r="E4395" s="157" t="s">
        <v>731</v>
      </c>
      <c r="F4395" s="160">
        <v>254683.18</v>
      </c>
      <c r="G4395" s="160">
        <f>'FACP$'!$F4395*0.16</f>
        <v>40749.3088</v>
      </c>
      <c r="H4395" s="160">
        <f t="shared" si="124"/>
        <v>295432.4888</v>
      </c>
      <c r="I4395" s="160"/>
      <c r="J4395" s="161">
        <v>346.0</v>
      </c>
      <c r="K4395" s="160">
        <f>'NCP$'!H256</f>
        <v>50167.68</v>
      </c>
      <c r="L4395" s="160">
        <f>+'FACP$'!$H4395-'FACP$'!$I4395-'FACP$'!$K4395</f>
        <v>245264.8088</v>
      </c>
      <c r="M4395" s="162" t="s">
        <v>278</v>
      </c>
      <c r="N4395" s="162" t="s">
        <v>554</v>
      </c>
      <c r="O4395" s="164">
        <v>45245.0</v>
      </c>
      <c r="P4395" s="164">
        <f t="array" ref="P4395">XLOOKUP('FACP$'!$B4395,'perfil de pagos'!$A$4:$A$46,'perfil de pagos'!$B$4:$B$46+'FACP$'!$D4395)</f>
        <v>45246</v>
      </c>
      <c r="Q4395" s="165">
        <f t="shared" si="2"/>
        <v>0</v>
      </c>
      <c r="R4395" s="167"/>
      <c r="S4395" s="167">
        <v>2583.0</v>
      </c>
      <c r="T4395" s="168">
        <f t="shared" si="3"/>
        <v>245264.8088</v>
      </c>
      <c r="U4395" s="168">
        <f t="shared" si="4"/>
        <v>0</v>
      </c>
      <c r="V4395" s="168">
        <f t="shared" si="5"/>
        <v>0</v>
      </c>
      <c r="W4395" s="168">
        <f t="shared" si="6"/>
        <v>0</v>
      </c>
      <c r="X4395" s="168">
        <f t="shared" si="7"/>
        <v>0</v>
      </c>
      <c r="Y4395" s="168">
        <f t="shared" si="8"/>
        <v>0</v>
      </c>
      <c r="Z4395" s="168">
        <f t="shared" si="9"/>
        <v>0</v>
      </c>
    </row>
    <row r="4396" ht="15.0" customHeight="1">
      <c r="A4396" s="157" t="s">
        <v>5583</v>
      </c>
      <c r="B4396" s="158" t="s">
        <v>36</v>
      </c>
      <c r="C4396" s="158" t="s">
        <v>5584</v>
      </c>
      <c r="D4396" s="159">
        <v>45236.0</v>
      </c>
      <c r="E4396" s="157" t="s">
        <v>731</v>
      </c>
      <c r="F4396" s="160">
        <v>199268.32</v>
      </c>
      <c r="G4396" s="160">
        <f>'FACP$'!$F4396*0.16</f>
        <v>31882.9312</v>
      </c>
      <c r="H4396" s="160">
        <f t="shared" si="124"/>
        <v>231151.2512</v>
      </c>
      <c r="I4396" s="160"/>
      <c r="J4396" s="161">
        <v>347.0</v>
      </c>
      <c r="K4396" s="160">
        <f>'NCP$'!H257</f>
        <v>36805.3964</v>
      </c>
      <c r="L4396" s="160">
        <f>+'FACP$'!$H4396-'FACP$'!$I4396-'FACP$'!$K4396</f>
        <v>194345.8548</v>
      </c>
      <c r="M4396" s="162" t="s">
        <v>278</v>
      </c>
      <c r="N4396" s="162" t="s">
        <v>554</v>
      </c>
      <c r="O4396" s="164">
        <v>45245.0</v>
      </c>
      <c r="P4396" s="164">
        <f t="array" ref="P4396">XLOOKUP('FACP$'!$B4396,'perfil de pagos'!$A$4:$A$46,'perfil de pagos'!$B$4:$B$46+'FACP$'!$D4396)</f>
        <v>45246</v>
      </c>
      <c r="Q4396" s="165">
        <f t="shared" si="2"/>
        <v>0</v>
      </c>
      <c r="R4396" s="167"/>
      <c r="S4396" s="167">
        <v>2582.0</v>
      </c>
      <c r="T4396" s="168">
        <f t="shared" si="3"/>
        <v>194345.8548</v>
      </c>
      <c r="U4396" s="168">
        <f t="shared" si="4"/>
        <v>0</v>
      </c>
      <c r="V4396" s="168">
        <f t="shared" si="5"/>
        <v>0</v>
      </c>
      <c r="W4396" s="168">
        <f t="shared" si="6"/>
        <v>0</v>
      </c>
      <c r="X4396" s="168">
        <f t="shared" si="7"/>
        <v>0</v>
      </c>
      <c r="Y4396" s="168">
        <f t="shared" si="8"/>
        <v>0</v>
      </c>
      <c r="Z4396" s="168">
        <f t="shared" si="9"/>
        <v>0</v>
      </c>
    </row>
    <row r="4397" ht="15.0" customHeight="1">
      <c r="A4397" s="157" t="s">
        <v>5585</v>
      </c>
      <c r="B4397" s="158" t="s">
        <v>41</v>
      </c>
      <c r="C4397" s="158" t="s">
        <v>5579</v>
      </c>
      <c r="D4397" s="159">
        <v>45236.0</v>
      </c>
      <c r="E4397" s="157" t="s">
        <v>731</v>
      </c>
      <c r="F4397" s="160">
        <v>747660.68</v>
      </c>
      <c r="G4397" s="160">
        <f>'FACP$'!$F4397*0.16</f>
        <v>119625.7088</v>
      </c>
      <c r="H4397" s="160">
        <f t="shared" si="124"/>
        <v>867286.3888</v>
      </c>
      <c r="I4397" s="160"/>
      <c r="J4397" s="161"/>
      <c r="K4397" s="160"/>
      <c r="L4397" s="160">
        <f>+'FACP$'!$H4397-'FACP$'!$I4397-'FACP$'!$K4397</f>
        <v>867286.3888</v>
      </c>
      <c r="M4397" s="162" t="s">
        <v>121</v>
      </c>
      <c r="N4397" s="162" t="s">
        <v>554</v>
      </c>
      <c r="O4397" s="164">
        <v>45289.0</v>
      </c>
      <c r="P4397" s="164">
        <f t="array" ref="P4397">XLOOKUP('FACP$'!$B4397,'perfil de pagos'!$A$4:$A$46,'perfil de pagos'!$B$4:$B$46+'FACP$'!$D4397)</f>
        <v>45246</v>
      </c>
      <c r="Q4397" s="165">
        <f t="shared" si="2"/>
        <v>0</v>
      </c>
      <c r="R4397" s="167"/>
      <c r="S4397" s="167">
        <v>2706.0</v>
      </c>
      <c r="T4397" s="168">
        <f t="shared" si="3"/>
        <v>867286.3888</v>
      </c>
      <c r="U4397" s="168">
        <f t="shared" si="4"/>
        <v>0</v>
      </c>
      <c r="V4397" s="168">
        <f t="shared" si="5"/>
        <v>0</v>
      </c>
      <c r="W4397" s="168">
        <f t="shared" si="6"/>
        <v>0</v>
      </c>
      <c r="X4397" s="168">
        <f t="shared" si="7"/>
        <v>0</v>
      </c>
      <c r="Y4397" s="168">
        <f t="shared" si="8"/>
        <v>0</v>
      </c>
      <c r="Z4397" s="168">
        <f t="shared" si="9"/>
        <v>0</v>
      </c>
    </row>
    <row r="4398" ht="15.0" customHeight="1">
      <c r="A4398" s="157" t="s">
        <v>5586</v>
      </c>
      <c r="B4398" s="158" t="s">
        <v>42</v>
      </c>
      <c r="C4398" s="158" t="s">
        <v>5579</v>
      </c>
      <c r="D4398" s="159">
        <v>45236.0</v>
      </c>
      <c r="E4398" s="157" t="s">
        <v>731</v>
      </c>
      <c r="F4398" s="160">
        <v>188261.13</v>
      </c>
      <c r="G4398" s="160">
        <f>'FACP$'!$F4398*0.16</f>
        <v>30121.7808</v>
      </c>
      <c r="H4398" s="160">
        <f t="shared" si="124"/>
        <v>218382.9108</v>
      </c>
      <c r="I4398" s="160"/>
      <c r="J4398" s="161">
        <v>350.0</v>
      </c>
      <c r="K4398" s="160">
        <f>'NCP$'!H259</f>
        <v>1008.3764</v>
      </c>
      <c r="L4398" s="160">
        <f>+'FACP$'!$H4398-'FACP$'!$I4398-'FACP$'!$K4398</f>
        <v>217374.5344</v>
      </c>
      <c r="M4398" s="162" t="s">
        <v>42</v>
      </c>
      <c r="N4398" s="162" t="s">
        <v>554</v>
      </c>
      <c r="O4398" s="164">
        <v>45247.0</v>
      </c>
      <c r="P4398" s="164">
        <f t="array" ref="P4398">XLOOKUP('FACP$'!$B4398,'perfil de pagos'!$A$4:$A$46,'perfil de pagos'!$B$4:$B$46+'FACP$'!$D4398)</f>
        <v>45246</v>
      </c>
      <c r="Q4398" s="165">
        <f t="shared" si="2"/>
        <v>0</v>
      </c>
      <c r="R4398" s="167"/>
      <c r="S4398" s="167">
        <v>2585.0</v>
      </c>
      <c r="T4398" s="168">
        <f t="shared" si="3"/>
        <v>217374.5344</v>
      </c>
      <c r="U4398" s="168">
        <f t="shared" si="4"/>
        <v>0</v>
      </c>
      <c r="V4398" s="168">
        <f t="shared" si="5"/>
        <v>0</v>
      </c>
      <c r="W4398" s="168">
        <f t="shared" si="6"/>
        <v>0</v>
      </c>
      <c r="X4398" s="168">
        <f t="shared" si="7"/>
        <v>0</v>
      </c>
      <c r="Y4398" s="168">
        <f t="shared" si="8"/>
        <v>0</v>
      </c>
      <c r="Z4398" s="168">
        <f t="shared" si="9"/>
        <v>0</v>
      </c>
    </row>
    <row r="4399" ht="15.0" customHeight="1">
      <c r="A4399" s="157" t="s">
        <v>5587</v>
      </c>
      <c r="B4399" s="158" t="s">
        <v>43</v>
      </c>
      <c r="C4399" s="158" t="s">
        <v>5579</v>
      </c>
      <c r="D4399" s="159">
        <v>45236.0</v>
      </c>
      <c r="E4399" s="157" t="s">
        <v>731</v>
      </c>
      <c r="F4399" s="160">
        <v>858252.85</v>
      </c>
      <c r="G4399" s="160">
        <f>'FACP$'!$F4399*0.16</f>
        <v>137320.456</v>
      </c>
      <c r="H4399" s="160">
        <f t="shared" si="124"/>
        <v>995573.306</v>
      </c>
      <c r="I4399" s="160"/>
      <c r="J4399" s="161"/>
      <c r="K4399" s="160"/>
      <c r="L4399" s="160">
        <f>+'FACP$'!$H4399-'FACP$'!$I4399-'FACP$'!$K4399</f>
        <v>995573.306</v>
      </c>
      <c r="M4399" s="162" t="s">
        <v>43</v>
      </c>
      <c r="N4399" s="162" t="s">
        <v>554</v>
      </c>
      <c r="O4399" s="164">
        <v>45275.0</v>
      </c>
      <c r="P4399" s="164">
        <f t="array" ref="P4399">XLOOKUP('FACP$'!$B4399,'perfil de pagos'!$A$4:$A$46,'perfil de pagos'!$B$4:$B$46+'FACP$'!$D4399)</f>
        <v>45261</v>
      </c>
      <c r="Q4399" s="165">
        <f t="shared" si="2"/>
        <v>0</v>
      </c>
      <c r="R4399" s="167"/>
      <c r="S4399" s="167">
        <v>2665.0</v>
      </c>
      <c r="T4399" s="168">
        <f t="shared" si="3"/>
        <v>995573.306</v>
      </c>
      <c r="U4399" s="168">
        <f t="shared" si="4"/>
        <v>0</v>
      </c>
      <c r="V4399" s="168">
        <f t="shared" si="5"/>
        <v>0</v>
      </c>
      <c r="W4399" s="168">
        <f t="shared" si="6"/>
        <v>0</v>
      </c>
      <c r="X4399" s="168">
        <f t="shared" si="7"/>
        <v>0</v>
      </c>
      <c r="Y4399" s="168">
        <f t="shared" si="8"/>
        <v>0</v>
      </c>
      <c r="Z4399" s="168">
        <f t="shared" si="9"/>
        <v>0</v>
      </c>
    </row>
    <row r="4400" ht="15.0" customHeight="1">
      <c r="A4400" s="157" t="s">
        <v>5588</v>
      </c>
      <c r="B4400" s="158" t="s">
        <v>43</v>
      </c>
      <c r="C4400" s="158" t="s">
        <v>5584</v>
      </c>
      <c r="D4400" s="159">
        <v>45236.0</v>
      </c>
      <c r="E4400" s="157" t="s">
        <v>731</v>
      </c>
      <c r="F4400" s="160">
        <v>925143.24</v>
      </c>
      <c r="G4400" s="160">
        <f>'FACP$'!$F4400*0.16</f>
        <v>148022.9184</v>
      </c>
      <c r="H4400" s="160">
        <f t="shared" si="124"/>
        <v>1073166.158</v>
      </c>
      <c r="I4400" s="160"/>
      <c r="J4400" s="161"/>
      <c r="K4400" s="160"/>
      <c r="L4400" s="160">
        <f>+'FACP$'!$H4400-'FACP$'!$I4400-'FACP$'!$K4400</f>
        <v>1073166.158</v>
      </c>
      <c r="M4400" s="162" t="s">
        <v>43</v>
      </c>
      <c r="N4400" s="162" t="s">
        <v>554</v>
      </c>
      <c r="O4400" s="164">
        <v>45275.0</v>
      </c>
      <c r="P4400" s="164">
        <f t="array" ref="P4400">XLOOKUP('FACP$'!$B4400,'perfil de pagos'!$A$4:$A$46,'perfil de pagos'!$B$4:$B$46+'FACP$'!$D4400)</f>
        <v>45261</v>
      </c>
      <c r="Q4400" s="165">
        <f t="shared" si="2"/>
        <v>0</v>
      </c>
      <c r="R4400" s="167"/>
      <c r="S4400" s="167">
        <v>2664.0</v>
      </c>
      <c r="T4400" s="168">
        <f t="shared" si="3"/>
        <v>1073166.158</v>
      </c>
      <c r="U4400" s="168">
        <f t="shared" si="4"/>
        <v>0</v>
      </c>
      <c r="V4400" s="168">
        <f t="shared" si="5"/>
        <v>0</v>
      </c>
      <c r="W4400" s="168">
        <f t="shared" si="6"/>
        <v>0</v>
      </c>
      <c r="X4400" s="168">
        <f t="shared" si="7"/>
        <v>0</v>
      </c>
      <c r="Y4400" s="168">
        <f t="shared" si="8"/>
        <v>0</v>
      </c>
      <c r="Z4400" s="168">
        <f t="shared" si="9"/>
        <v>0</v>
      </c>
    </row>
    <row r="4401" ht="15.0" customHeight="1">
      <c r="A4401" s="157" t="s">
        <v>5589</v>
      </c>
      <c r="B4401" s="158" t="s">
        <v>44</v>
      </c>
      <c r="C4401" s="158" t="s">
        <v>5579</v>
      </c>
      <c r="D4401" s="159">
        <v>45236.0</v>
      </c>
      <c r="E4401" s="157" t="s">
        <v>731</v>
      </c>
      <c r="F4401" s="160">
        <v>275702.1</v>
      </c>
      <c r="G4401" s="160">
        <f>'FACP$'!$F4401*0.16</f>
        <v>44112.336</v>
      </c>
      <c r="H4401" s="160">
        <f t="shared" si="124"/>
        <v>319814.436</v>
      </c>
      <c r="I4401" s="160"/>
      <c r="J4401" s="161"/>
      <c r="K4401" s="160"/>
      <c r="L4401" s="160">
        <f>+'FACP$'!$H4401-'FACP$'!$I4401-'FACP$'!$K4401</f>
        <v>319814.436</v>
      </c>
      <c r="M4401" s="162" t="s">
        <v>361</v>
      </c>
      <c r="N4401" s="162" t="s">
        <v>127</v>
      </c>
      <c r="O4401" s="164">
        <v>45240.0</v>
      </c>
      <c r="P4401" s="164">
        <f t="array" ref="P4401">XLOOKUP('FACP$'!$B4401,'perfil de pagos'!$A$4:$A$46,'perfil de pagos'!$B$4:$B$46+'FACP$'!$D4401)</f>
        <v>45246</v>
      </c>
      <c r="Q4401" s="165">
        <f t="shared" si="2"/>
        <v>0</v>
      </c>
      <c r="R4401" s="220" t="s">
        <v>5590</v>
      </c>
      <c r="S4401" s="167"/>
      <c r="T4401" s="168">
        <f t="shared" si="3"/>
        <v>319814.436</v>
      </c>
      <c r="U4401" s="168">
        <f t="shared" si="4"/>
        <v>0</v>
      </c>
      <c r="V4401" s="168">
        <f t="shared" si="5"/>
        <v>0</v>
      </c>
      <c r="W4401" s="168">
        <f t="shared" si="6"/>
        <v>0</v>
      </c>
      <c r="X4401" s="168">
        <f t="shared" si="7"/>
        <v>0</v>
      </c>
      <c r="Y4401" s="168">
        <f t="shared" si="8"/>
        <v>0</v>
      </c>
      <c r="Z4401" s="168">
        <f t="shared" si="9"/>
        <v>0</v>
      </c>
    </row>
    <row r="4402" ht="15.0" customHeight="1">
      <c r="A4402" s="157" t="s">
        <v>5591</v>
      </c>
      <c r="B4402" s="158" t="s">
        <v>38</v>
      </c>
      <c r="C4402" s="158" t="s">
        <v>5579</v>
      </c>
      <c r="D4402" s="159">
        <v>45236.0</v>
      </c>
      <c r="E4402" s="157" t="s">
        <v>731</v>
      </c>
      <c r="F4402" s="160">
        <v>92347.54</v>
      </c>
      <c r="G4402" s="160">
        <f>'FACP$'!$F4402*0.16</f>
        <v>14775.6064</v>
      </c>
      <c r="H4402" s="160">
        <f t="shared" si="124"/>
        <v>107123.1464</v>
      </c>
      <c r="I4402" s="160"/>
      <c r="J4402" s="161"/>
      <c r="K4402" s="160"/>
      <c r="L4402" s="160">
        <f>+'FACP$'!$H4402-'FACP$'!$I4402-'FACP$'!$K4402</f>
        <v>107123.1464</v>
      </c>
      <c r="M4402" s="162" t="s">
        <v>4707</v>
      </c>
      <c r="N4402" s="162" t="s">
        <v>554</v>
      </c>
      <c r="O4402" s="164">
        <v>45288.0</v>
      </c>
      <c r="P4402" s="164">
        <f t="array" ref="P4402">XLOOKUP('FACP$'!$B4402,'perfil de pagos'!$A$4:$A$46,'perfil de pagos'!$B$4:$B$46+'FACP$'!$D4402)</f>
        <v>45266</v>
      </c>
      <c r="Q4402" s="165">
        <f t="shared" si="2"/>
        <v>0</v>
      </c>
      <c r="R4402" s="167"/>
      <c r="S4402" s="167">
        <v>2699.0</v>
      </c>
      <c r="T4402" s="168">
        <f t="shared" si="3"/>
        <v>107123.1464</v>
      </c>
      <c r="U4402" s="168">
        <f t="shared" si="4"/>
        <v>0</v>
      </c>
      <c r="V4402" s="168">
        <f t="shared" si="5"/>
        <v>0</v>
      </c>
      <c r="W4402" s="168">
        <f t="shared" si="6"/>
        <v>0</v>
      </c>
      <c r="X4402" s="168">
        <f t="shared" si="7"/>
        <v>0</v>
      </c>
      <c r="Y4402" s="168">
        <f t="shared" si="8"/>
        <v>0</v>
      </c>
      <c r="Z4402" s="168">
        <f t="shared" si="9"/>
        <v>0</v>
      </c>
    </row>
    <row r="4403" ht="15.0" customHeight="1">
      <c r="A4403" s="157" t="s">
        <v>5592</v>
      </c>
      <c r="B4403" s="158" t="s">
        <v>38</v>
      </c>
      <c r="C4403" s="158" t="s">
        <v>5579</v>
      </c>
      <c r="D4403" s="159">
        <v>45236.0</v>
      </c>
      <c r="E4403" s="157" t="s">
        <v>731</v>
      </c>
      <c r="F4403" s="160">
        <v>265156.25</v>
      </c>
      <c r="G4403" s="160">
        <f>'FACP$'!$F4403*0.16</f>
        <v>42425</v>
      </c>
      <c r="H4403" s="160">
        <f t="shared" si="124"/>
        <v>307581.25</v>
      </c>
      <c r="I4403" s="160"/>
      <c r="J4403" s="161"/>
      <c r="K4403" s="160"/>
      <c r="L4403" s="160">
        <f>+'FACP$'!$H4403-'FACP$'!$I4403-'FACP$'!$K4403</f>
        <v>307581.25</v>
      </c>
      <c r="M4403" s="162" t="s">
        <v>4654</v>
      </c>
      <c r="N4403" s="162" t="s">
        <v>554</v>
      </c>
      <c r="O4403" s="164">
        <v>45288.0</v>
      </c>
      <c r="P4403" s="164">
        <f t="array" ref="P4403">XLOOKUP('FACP$'!$B4403,'perfil de pagos'!$A$4:$A$46,'perfil de pagos'!$B$4:$B$46+'FACP$'!$D4403)</f>
        <v>45266</v>
      </c>
      <c r="Q4403" s="165">
        <f t="shared" si="2"/>
        <v>0</v>
      </c>
      <c r="R4403" s="167"/>
      <c r="S4403" s="167">
        <v>2699.0</v>
      </c>
      <c r="T4403" s="168">
        <f t="shared" si="3"/>
        <v>307581.25</v>
      </c>
      <c r="U4403" s="168">
        <f t="shared" si="4"/>
        <v>0</v>
      </c>
      <c r="V4403" s="168">
        <f t="shared" si="5"/>
        <v>0</v>
      </c>
      <c r="W4403" s="168">
        <f t="shared" si="6"/>
        <v>0</v>
      </c>
      <c r="X4403" s="168">
        <f t="shared" si="7"/>
        <v>0</v>
      </c>
      <c r="Y4403" s="168">
        <f t="shared" si="8"/>
        <v>0</v>
      </c>
      <c r="Z4403" s="168">
        <f t="shared" si="9"/>
        <v>0</v>
      </c>
    </row>
    <row r="4404" ht="15.0" customHeight="1">
      <c r="A4404" s="157" t="s">
        <v>5593</v>
      </c>
      <c r="B4404" s="158" t="s">
        <v>27</v>
      </c>
      <c r="C4404" s="158" t="s">
        <v>5594</v>
      </c>
      <c r="D4404" s="159">
        <v>45236.0</v>
      </c>
      <c r="E4404" s="157" t="s">
        <v>731</v>
      </c>
      <c r="F4404" s="160">
        <v>1156.94</v>
      </c>
      <c r="G4404" s="160">
        <f>'FACP$'!$F4404*0.16</f>
        <v>185.1104</v>
      </c>
      <c r="H4404" s="160">
        <f t="shared" si="124"/>
        <v>1342.0504</v>
      </c>
      <c r="I4404" s="160"/>
      <c r="J4404" s="161"/>
      <c r="K4404" s="160"/>
      <c r="L4404" s="160">
        <f>+'FACP$'!$H4404-'FACP$'!$I4404-'FACP$'!$K4404</f>
        <v>1342.0504</v>
      </c>
      <c r="M4404" s="162" t="s">
        <v>158</v>
      </c>
      <c r="N4404" s="162" t="s">
        <v>554</v>
      </c>
      <c r="O4404" s="164">
        <v>45273.0</v>
      </c>
      <c r="P4404" s="164">
        <f t="array" ref="P4404">XLOOKUP('FACP$'!$B4404,'perfil de pagos'!$A$4:$A$46,'perfil de pagos'!$B$4:$B$46+'FACP$'!$D4404)</f>
        <v>45266</v>
      </c>
      <c r="Q4404" s="165">
        <f t="shared" si="2"/>
        <v>0</v>
      </c>
      <c r="R4404" s="167"/>
      <c r="S4404" s="167">
        <v>2660.0</v>
      </c>
      <c r="T4404" s="168">
        <f t="shared" si="3"/>
        <v>1342.0504</v>
      </c>
      <c r="U4404" s="168">
        <f t="shared" si="4"/>
        <v>0</v>
      </c>
      <c r="V4404" s="168">
        <f t="shared" si="5"/>
        <v>0</v>
      </c>
      <c r="W4404" s="168">
        <f t="shared" si="6"/>
        <v>0</v>
      </c>
      <c r="X4404" s="168">
        <f t="shared" si="7"/>
        <v>0</v>
      </c>
      <c r="Y4404" s="168">
        <f t="shared" si="8"/>
        <v>0</v>
      </c>
      <c r="Z4404" s="168">
        <f t="shared" si="9"/>
        <v>0</v>
      </c>
    </row>
    <row r="4405" ht="15.0" customHeight="1">
      <c r="A4405" s="157" t="s">
        <v>5595</v>
      </c>
      <c r="B4405" s="158" t="s">
        <v>27</v>
      </c>
      <c r="C4405" s="158" t="s">
        <v>5568</v>
      </c>
      <c r="D4405" s="159">
        <v>45236.0</v>
      </c>
      <c r="E4405" s="157" t="s">
        <v>731</v>
      </c>
      <c r="F4405" s="160">
        <v>1494.88</v>
      </c>
      <c r="G4405" s="160">
        <f>'FACP$'!$F4405*0.16</f>
        <v>239.1808</v>
      </c>
      <c r="H4405" s="160">
        <f t="shared" si="124"/>
        <v>1734.0608</v>
      </c>
      <c r="I4405" s="160"/>
      <c r="J4405" s="161"/>
      <c r="K4405" s="160"/>
      <c r="L4405" s="160">
        <f>+'FACP$'!$H4405-'FACP$'!$I4405-'FACP$'!$K4405</f>
        <v>1734.0608</v>
      </c>
      <c r="M4405" s="162" t="s">
        <v>158</v>
      </c>
      <c r="N4405" s="162" t="s">
        <v>554</v>
      </c>
      <c r="O4405" s="164">
        <v>45273.0</v>
      </c>
      <c r="P4405" s="164">
        <f t="array" ref="P4405">XLOOKUP('FACP$'!$B4405,'perfil de pagos'!$A$4:$A$46,'perfil de pagos'!$B$4:$B$46+'FACP$'!$D4405)</f>
        <v>45266</v>
      </c>
      <c r="Q4405" s="165">
        <f t="shared" si="2"/>
        <v>0</v>
      </c>
      <c r="R4405" s="167"/>
      <c r="S4405" s="167">
        <v>2660.0</v>
      </c>
      <c r="T4405" s="168">
        <f t="shared" si="3"/>
        <v>1734.0608</v>
      </c>
      <c r="U4405" s="168">
        <f t="shared" si="4"/>
        <v>0</v>
      </c>
      <c r="V4405" s="168">
        <f t="shared" si="5"/>
        <v>0</v>
      </c>
      <c r="W4405" s="168">
        <f t="shared" si="6"/>
        <v>0</v>
      </c>
      <c r="X4405" s="168">
        <f t="shared" si="7"/>
        <v>0</v>
      </c>
      <c r="Y4405" s="168">
        <f t="shared" si="8"/>
        <v>0</v>
      </c>
      <c r="Z4405" s="168">
        <f t="shared" si="9"/>
        <v>0</v>
      </c>
    </row>
    <row r="4406" ht="15.0" customHeight="1">
      <c r="A4406" s="157" t="s">
        <v>5596</v>
      </c>
      <c r="B4406" s="158" t="s">
        <v>27</v>
      </c>
      <c r="C4406" s="158" t="s">
        <v>5594</v>
      </c>
      <c r="D4406" s="159">
        <v>45236.0</v>
      </c>
      <c r="E4406" s="157" t="s">
        <v>731</v>
      </c>
      <c r="F4406" s="160">
        <v>10066.86</v>
      </c>
      <c r="G4406" s="160">
        <f>'FACP$'!$F4406*0.16</f>
        <v>1610.6976</v>
      </c>
      <c r="H4406" s="160">
        <f t="shared" si="124"/>
        <v>11677.5576</v>
      </c>
      <c r="I4406" s="160"/>
      <c r="J4406" s="161"/>
      <c r="K4406" s="160"/>
      <c r="L4406" s="160">
        <f>+'FACP$'!$H4406-'FACP$'!$I4406-'FACP$'!$K4406</f>
        <v>11677.5576</v>
      </c>
      <c r="M4406" s="162" t="s">
        <v>151</v>
      </c>
      <c r="N4406" s="162" t="s">
        <v>554</v>
      </c>
      <c r="O4406" s="164">
        <v>45272.0</v>
      </c>
      <c r="P4406" s="164">
        <f t="array" ref="P4406">XLOOKUP('FACP$'!$B4406,'perfil de pagos'!$A$4:$A$46,'perfil de pagos'!$B$4:$B$46+'FACP$'!$D4406)</f>
        <v>45266</v>
      </c>
      <c r="Q4406" s="165">
        <f t="shared" si="2"/>
        <v>0</v>
      </c>
      <c r="R4406" s="167"/>
      <c r="S4406" s="167">
        <v>2655.0</v>
      </c>
      <c r="T4406" s="168">
        <f t="shared" si="3"/>
        <v>11677.5576</v>
      </c>
      <c r="U4406" s="168">
        <f t="shared" si="4"/>
        <v>0</v>
      </c>
      <c r="V4406" s="168">
        <f t="shared" si="5"/>
        <v>0</v>
      </c>
      <c r="W4406" s="168">
        <f t="shared" si="6"/>
        <v>0</v>
      </c>
      <c r="X4406" s="168">
        <f t="shared" si="7"/>
        <v>0</v>
      </c>
      <c r="Y4406" s="168">
        <f t="shared" si="8"/>
        <v>0</v>
      </c>
      <c r="Z4406" s="168">
        <f t="shared" si="9"/>
        <v>0</v>
      </c>
    </row>
    <row r="4407" ht="15.0" customHeight="1">
      <c r="A4407" s="157" t="s">
        <v>5597</v>
      </c>
      <c r="B4407" s="158" t="s">
        <v>27</v>
      </c>
      <c r="C4407" s="158" t="s">
        <v>5568</v>
      </c>
      <c r="D4407" s="159">
        <v>45236.0</v>
      </c>
      <c r="E4407" s="157" t="s">
        <v>731</v>
      </c>
      <c r="F4407" s="160">
        <v>12409.47</v>
      </c>
      <c r="G4407" s="160">
        <f>'FACP$'!$F4407*0.16</f>
        <v>1985.5152</v>
      </c>
      <c r="H4407" s="160">
        <f t="shared" si="124"/>
        <v>14394.9852</v>
      </c>
      <c r="I4407" s="160"/>
      <c r="J4407" s="161"/>
      <c r="K4407" s="160"/>
      <c r="L4407" s="160">
        <f>+'FACP$'!$H4407-'FACP$'!$I4407-'FACP$'!$K4407</f>
        <v>14394.9852</v>
      </c>
      <c r="M4407" s="162" t="s">
        <v>151</v>
      </c>
      <c r="N4407" s="162" t="s">
        <v>554</v>
      </c>
      <c r="O4407" s="164">
        <v>45272.0</v>
      </c>
      <c r="P4407" s="164">
        <f t="array" ref="P4407">XLOOKUP('FACP$'!$B4407,'perfil de pagos'!$A$4:$A$46,'perfil de pagos'!$B$4:$B$46+'FACP$'!$D4407)</f>
        <v>45266</v>
      </c>
      <c r="Q4407" s="165">
        <f t="shared" si="2"/>
        <v>0</v>
      </c>
      <c r="R4407" s="167"/>
      <c r="S4407" s="167">
        <v>2655.0</v>
      </c>
      <c r="T4407" s="168">
        <f t="shared" si="3"/>
        <v>14394.9852</v>
      </c>
      <c r="U4407" s="168">
        <f t="shared" si="4"/>
        <v>0</v>
      </c>
      <c r="V4407" s="168">
        <f t="shared" si="5"/>
        <v>0</v>
      </c>
      <c r="W4407" s="168">
        <f t="shared" si="6"/>
        <v>0</v>
      </c>
      <c r="X4407" s="168">
        <f t="shared" si="7"/>
        <v>0</v>
      </c>
      <c r="Y4407" s="168">
        <f t="shared" si="8"/>
        <v>0</v>
      </c>
      <c r="Z4407" s="168">
        <f t="shared" si="9"/>
        <v>0</v>
      </c>
    </row>
    <row r="4408" ht="15.0" customHeight="1">
      <c r="A4408" s="157" t="s">
        <v>5598</v>
      </c>
      <c r="B4408" s="158" t="s">
        <v>27</v>
      </c>
      <c r="C4408" s="158" t="s">
        <v>5594</v>
      </c>
      <c r="D4408" s="159">
        <v>45236.0</v>
      </c>
      <c r="E4408" s="157" t="s">
        <v>731</v>
      </c>
      <c r="F4408" s="160">
        <v>749.41</v>
      </c>
      <c r="G4408" s="160">
        <f>'FACP$'!$F4408*0.16</f>
        <v>119.9056</v>
      </c>
      <c r="H4408" s="160">
        <f t="shared" si="124"/>
        <v>869.3156</v>
      </c>
      <c r="I4408" s="160"/>
      <c r="J4408" s="161"/>
      <c r="K4408" s="160"/>
      <c r="L4408" s="160">
        <f>+'FACP$'!$H4408-'FACP$'!$I4408-'FACP$'!$K4408</f>
        <v>869.3156</v>
      </c>
      <c r="M4408" s="162" t="s">
        <v>151</v>
      </c>
      <c r="N4408" s="162" t="s">
        <v>554</v>
      </c>
      <c r="O4408" s="164">
        <v>45272.0</v>
      </c>
      <c r="P4408" s="164">
        <f t="array" ref="P4408">XLOOKUP('FACP$'!$B4408,'perfil de pagos'!$A$4:$A$46,'perfil de pagos'!$B$4:$B$46+'FACP$'!$D4408)</f>
        <v>45266</v>
      </c>
      <c r="Q4408" s="165">
        <f t="shared" si="2"/>
        <v>0</v>
      </c>
      <c r="R4408" s="167"/>
      <c r="S4408" s="167">
        <v>2655.0</v>
      </c>
      <c r="T4408" s="168">
        <f t="shared" si="3"/>
        <v>869.3156</v>
      </c>
      <c r="U4408" s="168">
        <f t="shared" si="4"/>
        <v>0</v>
      </c>
      <c r="V4408" s="168">
        <f t="shared" si="5"/>
        <v>0</v>
      </c>
      <c r="W4408" s="168">
        <f t="shared" si="6"/>
        <v>0</v>
      </c>
      <c r="X4408" s="168">
        <f t="shared" si="7"/>
        <v>0</v>
      </c>
      <c r="Y4408" s="168">
        <f t="shared" si="8"/>
        <v>0</v>
      </c>
      <c r="Z4408" s="168">
        <f t="shared" si="9"/>
        <v>0</v>
      </c>
    </row>
    <row r="4409" ht="15.0" customHeight="1">
      <c r="A4409" s="157" t="s">
        <v>5599</v>
      </c>
      <c r="B4409" s="158" t="s">
        <v>27</v>
      </c>
      <c r="C4409" s="158" t="s">
        <v>5568</v>
      </c>
      <c r="D4409" s="159">
        <v>45236.0</v>
      </c>
      <c r="E4409" s="157" t="s">
        <v>731</v>
      </c>
      <c r="F4409" s="160">
        <v>645.47</v>
      </c>
      <c r="G4409" s="160">
        <f>'FACP$'!$F4409*0.16</f>
        <v>103.2752</v>
      </c>
      <c r="H4409" s="160">
        <f t="shared" si="124"/>
        <v>748.7452</v>
      </c>
      <c r="I4409" s="160"/>
      <c r="J4409" s="161"/>
      <c r="K4409" s="160"/>
      <c r="L4409" s="160">
        <f>+'FACP$'!$H4409-'FACP$'!$I4409-'FACP$'!$K4409</f>
        <v>748.7452</v>
      </c>
      <c r="M4409" s="162" t="s">
        <v>151</v>
      </c>
      <c r="N4409" s="162" t="s">
        <v>554</v>
      </c>
      <c r="O4409" s="164">
        <v>45272.0</v>
      </c>
      <c r="P4409" s="164">
        <f t="array" ref="P4409">XLOOKUP('FACP$'!$B4409,'perfil de pagos'!$A$4:$A$46,'perfil de pagos'!$B$4:$B$46+'FACP$'!$D4409)</f>
        <v>45266</v>
      </c>
      <c r="Q4409" s="165">
        <f t="shared" si="2"/>
        <v>0</v>
      </c>
      <c r="R4409" s="167"/>
      <c r="S4409" s="167">
        <v>2655.0</v>
      </c>
      <c r="T4409" s="168">
        <f t="shared" si="3"/>
        <v>748.7452</v>
      </c>
      <c r="U4409" s="168">
        <f t="shared" si="4"/>
        <v>0</v>
      </c>
      <c r="V4409" s="168">
        <f t="shared" si="5"/>
        <v>0</v>
      </c>
      <c r="W4409" s="168">
        <f t="shared" si="6"/>
        <v>0</v>
      </c>
      <c r="X4409" s="168">
        <f t="shared" si="7"/>
        <v>0</v>
      </c>
      <c r="Y4409" s="168">
        <f t="shared" si="8"/>
        <v>0</v>
      </c>
      <c r="Z4409" s="168">
        <f t="shared" si="9"/>
        <v>0</v>
      </c>
    </row>
    <row r="4410" ht="15.0" customHeight="1">
      <c r="A4410" s="157" t="s">
        <v>5600</v>
      </c>
      <c r="B4410" s="158" t="s">
        <v>38</v>
      </c>
      <c r="C4410" s="158" t="s">
        <v>5584</v>
      </c>
      <c r="D4410" s="159">
        <v>45236.0</v>
      </c>
      <c r="E4410" s="157" t="s">
        <v>731</v>
      </c>
      <c r="F4410" s="160">
        <v>92702.61</v>
      </c>
      <c r="G4410" s="160">
        <f>'FACP$'!$F4410*0.16</f>
        <v>14832.4176</v>
      </c>
      <c r="H4410" s="160">
        <f t="shared" si="124"/>
        <v>107535.0276</v>
      </c>
      <c r="I4410" s="160"/>
      <c r="J4410" s="161"/>
      <c r="K4410" s="160"/>
      <c r="L4410" s="160">
        <f>+'FACP$'!$H4410-'FACP$'!$I4410-'FACP$'!$K4410</f>
        <v>107535.0276</v>
      </c>
      <c r="M4410" s="162" t="s">
        <v>4707</v>
      </c>
      <c r="N4410" s="162" t="s">
        <v>554</v>
      </c>
      <c r="O4410" s="164">
        <v>45288.0</v>
      </c>
      <c r="P4410" s="164">
        <f t="array" ref="P4410">XLOOKUP('FACP$'!$B4410,'perfil de pagos'!$A$4:$A$46,'perfil de pagos'!$B$4:$B$46+'FACP$'!$D4410)</f>
        <v>45266</v>
      </c>
      <c r="Q4410" s="165">
        <f t="shared" si="2"/>
        <v>0</v>
      </c>
      <c r="R4410" s="167"/>
      <c r="S4410" s="167">
        <v>2699.0</v>
      </c>
      <c r="T4410" s="168">
        <f t="shared" si="3"/>
        <v>107535.0276</v>
      </c>
      <c r="U4410" s="168">
        <f t="shared" si="4"/>
        <v>0</v>
      </c>
      <c r="V4410" s="168">
        <f t="shared" si="5"/>
        <v>0</v>
      </c>
      <c r="W4410" s="168">
        <f t="shared" si="6"/>
        <v>0</v>
      </c>
      <c r="X4410" s="168">
        <f t="shared" si="7"/>
        <v>0</v>
      </c>
      <c r="Y4410" s="168">
        <f t="shared" si="8"/>
        <v>0</v>
      </c>
      <c r="Z4410" s="168">
        <f t="shared" si="9"/>
        <v>0</v>
      </c>
    </row>
    <row r="4411" ht="15.0" customHeight="1">
      <c r="A4411" s="157" t="s">
        <v>5601</v>
      </c>
      <c r="B4411" s="158" t="s">
        <v>31</v>
      </c>
      <c r="C4411" s="158" t="s">
        <v>5594</v>
      </c>
      <c r="D4411" s="159">
        <v>45236.0</v>
      </c>
      <c r="E4411" s="157" t="s">
        <v>731</v>
      </c>
      <c r="F4411" s="160">
        <v>123053.14</v>
      </c>
      <c r="G4411" s="160">
        <f>'FACP$'!$F4411*0.16</f>
        <v>19688.5024</v>
      </c>
      <c r="H4411" s="160">
        <f t="shared" si="124"/>
        <v>142741.6424</v>
      </c>
      <c r="I4411" s="160">
        <v>4801.38</v>
      </c>
      <c r="J4411" s="161"/>
      <c r="K4411" s="160"/>
      <c r="L4411" s="160">
        <f>+'FACP$'!$H4411-'FACP$'!$I4411-'FACP$'!$K4411</f>
        <v>137940.2624</v>
      </c>
      <c r="M4411" s="162" t="s">
        <v>3183</v>
      </c>
      <c r="N4411" s="162" t="s">
        <v>554</v>
      </c>
      <c r="O4411" s="164">
        <v>45270.0</v>
      </c>
      <c r="P4411" s="164">
        <f t="array" ref="P4411">XLOOKUP('FACP$'!$B4411,'perfil de pagos'!$A$4:$A$46,'perfil de pagos'!$B$4:$B$46+'FACP$'!$D4411)</f>
        <v>45239</v>
      </c>
      <c r="Q4411" s="165">
        <f t="shared" si="2"/>
        <v>0</v>
      </c>
      <c r="R4411" s="220" t="s">
        <v>5602</v>
      </c>
      <c r="S4411" s="223"/>
      <c r="T4411" s="168">
        <f t="shared" si="3"/>
        <v>137940.2624</v>
      </c>
      <c r="U4411" s="168">
        <f t="shared" si="4"/>
        <v>0</v>
      </c>
      <c r="V4411" s="168">
        <f t="shared" si="5"/>
        <v>0</v>
      </c>
      <c r="W4411" s="168">
        <f t="shared" si="6"/>
        <v>0</v>
      </c>
      <c r="X4411" s="168">
        <f t="shared" si="7"/>
        <v>0</v>
      </c>
      <c r="Y4411" s="168">
        <f t="shared" si="8"/>
        <v>0</v>
      </c>
      <c r="Z4411" s="168">
        <f t="shared" si="9"/>
        <v>0</v>
      </c>
    </row>
    <row r="4412" ht="15.0" customHeight="1">
      <c r="A4412" s="157" t="s">
        <v>5603</v>
      </c>
      <c r="B4412" s="158" t="s">
        <v>36</v>
      </c>
      <c r="C4412" s="158" t="s">
        <v>5604</v>
      </c>
      <c r="D4412" s="159">
        <v>45236.0</v>
      </c>
      <c r="E4412" s="157" t="s">
        <v>731</v>
      </c>
      <c r="F4412" s="160">
        <v>45672.0</v>
      </c>
      <c r="G4412" s="160">
        <f>'FACP$'!$F4412*0.16</f>
        <v>7307.52</v>
      </c>
      <c r="H4412" s="160">
        <f t="shared" si="124"/>
        <v>52979.52</v>
      </c>
      <c r="I4412" s="160"/>
      <c r="J4412" s="161"/>
      <c r="K4412" s="160"/>
      <c r="L4412" s="160">
        <f>+'FACP$'!$H4412-'FACP$'!$I4412-'FACP$'!$K4412</f>
        <v>52979.52</v>
      </c>
      <c r="M4412" s="162" t="s">
        <v>278</v>
      </c>
      <c r="N4412" s="162" t="s">
        <v>554</v>
      </c>
      <c r="O4412" s="164">
        <v>45252.0</v>
      </c>
      <c r="P4412" s="164">
        <f t="array" ref="P4412">XLOOKUP('FACP$'!$B4412,'perfil de pagos'!$A$4:$A$46,'perfil de pagos'!$B$4:$B$46+'FACP$'!$D4412)</f>
        <v>45246</v>
      </c>
      <c r="Q4412" s="165">
        <f t="shared" si="2"/>
        <v>0</v>
      </c>
      <c r="R4412" s="167"/>
      <c r="S4412" s="167">
        <v>2599.0</v>
      </c>
      <c r="T4412" s="168">
        <f t="shared" si="3"/>
        <v>52979.52</v>
      </c>
      <c r="U4412" s="168">
        <f t="shared" si="4"/>
        <v>0</v>
      </c>
      <c r="V4412" s="168">
        <f t="shared" si="5"/>
        <v>0</v>
      </c>
      <c r="W4412" s="168">
        <f t="shared" si="6"/>
        <v>0</v>
      </c>
      <c r="X4412" s="168">
        <f t="shared" si="7"/>
        <v>0</v>
      </c>
      <c r="Y4412" s="168">
        <f t="shared" si="8"/>
        <v>0</v>
      </c>
      <c r="Z4412" s="168">
        <f t="shared" si="9"/>
        <v>0</v>
      </c>
    </row>
    <row r="4413" ht="15.0" customHeight="1">
      <c r="A4413" s="157" t="s">
        <v>5605</v>
      </c>
      <c r="B4413" s="158" t="s">
        <v>16</v>
      </c>
      <c r="C4413" s="158" t="s">
        <v>5579</v>
      </c>
      <c r="D4413" s="159">
        <v>45239.0</v>
      </c>
      <c r="E4413" s="157" t="s">
        <v>731</v>
      </c>
      <c r="F4413" s="160">
        <v>342932.85</v>
      </c>
      <c r="G4413" s="160">
        <f>'FACP$'!$F4413*0.16</f>
        <v>54869.256</v>
      </c>
      <c r="H4413" s="160">
        <f t="shared" si="124"/>
        <v>397802.106</v>
      </c>
      <c r="I4413" s="160"/>
      <c r="J4413" s="161"/>
      <c r="K4413" s="160"/>
      <c r="L4413" s="160">
        <f>+'FACP$'!$H4413-'FACP$'!$I4413-'FACP$'!$K4413</f>
        <v>397802.106</v>
      </c>
      <c r="M4413" s="162" t="s">
        <v>985</v>
      </c>
      <c r="N4413" s="162" t="s">
        <v>554</v>
      </c>
      <c r="O4413" s="164">
        <v>45260.0</v>
      </c>
      <c r="P4413" s="164">
        <f t="array" ref="P4413">XLOOKUP('FACP$'!$B4413,'perfil de pagos'!$A$4:$A$46,'perfil de pagos'!$B$4:$B$46+'FACP$'!$D4413)</f>
        <v>45249</v>
      </c>
      <c r="Q4413" s="165">
        <f t="shared" si="2"/>
        <v>0</v>
      </c>
      <c r="R4413" s="167"/>
      <c r="S4413" s="167">
        <v>2620.0</v>
      </c>
      <c r="T4413" s="168">
        <f t="shared" si="3"/>
        <v>397802.106</v>
      </c>
      <c r="U4413" s="168">
        <f t="shared" si="4"/>
        <v>0</v>
      </c>
      <c r="V4413" s="168">
        <f t="shared" si="5"/>
        <v>0</v>
      </c>
      <c r="W4413" s="168">
        <f t="shared" si="6"/>
        <v>0</v>
      </c>
      <c r="X4413" s="168">
        <f t="shared" si="7"/>
        <v>0</v>
      </c>
      <c r="Y4413" s="168">
        <f t="shared" si="8"/>
        <v>0</v>
      </c>
      <c r="Z4413" s="168">
        <f t="shared" si="9"/>
        <v>0</v>
      </c>
    </row>
    <row r="4414" ht="15.0" customHeight="1">
      <c r="A4414" s="157" t="s">
        <v>5606</v>
      </c>
      <c r="B4414" s="158" t="s">
        <v>16</v>
      </c>
      <c r="C4414" s="158" t="s">
        <v>5584</v>
      </c>
      <c r="D4414" s="159">
        <v>45239.0</v>
      </c>
      <c r="E4414" s="157" t="s">
        <v>731</v>
      </c>
      <c r="F4414" s="160">
        <v>528714.99</v>
      </c>
      <c r="G4414" s="160">
        <f>'FACP$'!$F4414*0.16</f>
        <v>84594.3984</v>
      </c>
      <c r="H4414" s="160">
        <f t="shared" si="124"/>
        <v>613309.3884</v>
      </c>
      <c r="I4414" s="160"/>
      <c r="J4414" s="161"/>
      <c r="K4414" s="160"/>
      <c r="L4414" s="160">
        <f>+'FACP$'!$H4414-'FACP$'!$I4414-'FACP$'!$K4414</f>
        <v>613309.3884</v>
      </c>
      <c r="M4414" s="162" t="s">
        <v>985</v>
      </c>
      <c r="N4414" s="162" t="s">
        <v>554</v>
      </c>
      <c r="O4414" s="164">
        <v>45260.0</v>
      </c>
      <c r="P4414" s="164">
        <f t="array" ref="P4414">XLOOKUP('FACP$'!$B4414,'perfil de pagos'!$A$4:$A$46,'perfil de pagos'!$B$4:$B$46+'FACP$'!$D4414)</f>
        <v>45249</v>
      </c>
      <c r="Q4414" s="165">
        <f t="shared" si="2"/>
        <v>0</v>
      </c>
      <c r="R4414" s="167"/>
      <c r="S4414" s="167">
        <v>2620.0</v>
      </c>
      <c r="T4414" s="168">
        <f t="shared" si="3"/>
        <v>613309.3884</v>
      </c>
      <c r="U4414" s="168">
        <f t="shared" si="4"/>
        <v>0</v>
      </c>
      <c r="V4414" s="168">
        <f t="shared" si="5"/>
        <v>0</v>
      </c>
      <c r="W4414" s="168">
        <f t="shared" si="6"/>
        <v>0</v>
      </c>
      <c r="X4414" s="168">
        <f t="shared" si="7"/>
        <v>0</v>
      </c>
      <c r="Y4414" s="168">
        <f t="shared" si="8"/>
        <v>0</v>
      </c>
      <c r="Z4414" s="168">
        <f t="shared" si="9"/>
        <v>0</v>
      </c>
    </row>
    <row r="4415" ht="15.0" customHeight="1">
      <c r="A4415" s="157" t="s">
        <v>5607</v>
      </c>
      <c r="B4415" s="158" t="s">
        <v>18</v>
      </c>
      <c r="C4415" s="158" t="s">
        <v>5579</v>
      </c>
      <c r="D4415" s="159">
        <v>45239.0</v>
      </c>
      <c r="E4415" s="157" t="s">
        <v>731</v>
      </c>
      <c r="F4415" s="160">
        <v>107501.34</v>
      </c>
      <c r="G4415" s="160">
        <f>'FACP$'!$F4415*0.16</f>
        <v>17200.2144</v>
      </c>
      <c r="H4415" s="160">
        <f t="shared" si="124"/>
        <v>124701.5544</v>
      </c>
      <c r="I4415" s="160"/>
      <c r="J4415" s="161"/>
      <c r="K4415" s="160"/>
      <c r="L4415" s="160">
        <f>+'FACP$'!$H4415-'FACP$'!$I4415-'FACP$'!$K4415</f>
        <v>124701.5544</v>
      </c>
      <c r="M4415" s="162" t="s">
        <v>586</v>
      </c>
      <c r="N4415" s="162" t="s">
        <v>554</v>
      </c>
      <c r="O4415" s="164">
        <v>45247.0</v>
      </c>
      <c r="P4415" s="164">
        <f t="array" ref="P4415">XLOOKUP('FACP$'!$B4415,'perfil de pagos'!$A$4:$A$46,'perfil de pagos'!$B$4:$B$46+'FACP$'!$D4415)</f>
        <v>45249</v>
      </c>
      <c r="Q4415" s="165">
        <f t="shared" si="2"/>
        <v>0</v>
      </c>
      <c r="R4415" s="167"/>
      <c r="S4415" s="167">
        <v>2588.0</v>
      </c>
      <c r="T4415" s="168">
        <f t="shared" si="3"/>
        <v>124701.5544</v>
      </c>
      <c r="U4415" s="168">
        <f t="shared" si="4"/>
        <v>0</v>
      </c>
      <c r="V4415" s="168">
        <f t="shared" si="5"/>
        <v>0</v>
      </c>
      <c r="W4415" s="168">
        <f t="shared" si="6"/>
        <v>0</v>
      </c>
      <c r="X4415" s="168">
        <f t="shared" si="7"/>
        <v>0</v>
      </c>
      <c r="Y4415" s="168">
        <f t="shared" si="8"/>
        <v>0</v>
      </c>
      <c r="Z4415" s="168">
        <f t="shared" si="9"/>
        <v>0</v>
      </c>
    </row>
    <row r="4416" ht="15.0" customHeight="1">
      <c r="A4416" s="157" t="s">
        <v>5608</v>
      </c>
      <c r="B4416" s="158" t="s">
        <v>19</v>
      </c>
      <c r="C4416" s="158" t="s">
        <v>5579</v>
      </c>
      <c r="D4416" s="159">
        <v>45239.0</v>
      </c>
      <c r="E4416" s="157" t="s">
        <v>731</v>
      </c>
      <c r="F4416" s="160">
        <v>156170.81</v>
      </c>
      <c r="G4416" s="160">
        <f>'FACP$'!$F4416*0.16</f>
        <v>24987.3296</v>
      </c>
      <c r="H4416" s="160">
        <f t="shared" si="124"/>
        <v>181158.1396</v>
      </c>
      <c r="I4416" s="160"/>
      <c r="J4416" s="161"/>
      <c r="K4416" s="160"/>
      <c r="L4416" s="160">
        <f>+'FACP$'!$H4416-'FACP$'!$I4416-'FACP$'!$K4416</f>
        <v>181158.1396</v>
      </c>
      <c r="M4416" s="162" t="s">
        <v>732</v>
      </c>
      <c r="N4416" s="162" t="s">
        <v>554</v>
      </c>
      <c r="O4416" s="164">
        <v>45247.0</v>
      </c>
      <c r="P4416" s="164">
        <f t="array" ref="P4416">XLOOKUP('FACP$'!$B4416,'perfil de pagos'!$A$4:$A$46,'perfil de pagos'!$B$4:$B$46+'FACP$'!$D4416)</f>
        <v>45249</v>
      </c>
      <c r="Q4416" s="165">
        <f t="shared" si="2"/>
        <v>0</v>
      </c>
      <c r="R4416" s="167"/>
      <c r="S4416" s="167">
        <v>2588.0</v>
      </c>
      <c r="T4416" s="168">
        <f t="shared" si="3"/>
        <v>181158.1396</v>
      </c>
      <c r="U4416" s="168">
        <f t="shared" si="4"/>
        <v>0</v>
      </c>
      <c r="V4416" s="168">
        <f t="shared" si="5"/>
        <v>0</v>
      </c>
      <c r="W4416" s="168">
        <f t="shared" si="6"/>
        <v>0</v>
      </c>
      <c r="X4416" s="168">
        <f t="shared" si="7"/>
        <v>0</v>
      </c>
      <c r="Y4416" s="168">
        <f t="shared" si="8"/>
        <v>0</v>
      </c>
      <c r="Z4416" s="168">
        <f t="shared" si="9"/>
        <v>0</v>
      </c>
    </row>
    <row r="4417" ht="15.0" customHeight="1">
      <c r="A4417" s="157" t="s">
        <v>5609</v>
      </c>
      <c r="B4417" s="158" t="s">
        <v>22</v>
      </c>
      <c r="C4417" s="158" t="s">
        <v>5579</v>
      </c>
      <c r="D4417" s="159">
        <v>45239.0</v>
      </c>
      <c r="E4417" s="157" t="s">
        <v>731</v>
      </c>
      <c r="F4417" s="160">
        <v>268272.73</v>
      </c>
      <c r="G4417" s="160">
        <f>'FACP$'!$F4417*0.16</f>
        <v>42923.6368</v>
      </c>
      <c r="H4417" s="160">
        <f t="shared" si="124"/>
        <v>311196.3668</v>
      </c>
      <c r="I4417" s="160">
        <v>289356.6</v>
      </c>
      <c r="J4417" s="161"/>
      <c r="K4417" s="160"/>
      <c r="L4417" s="160">
        <f>+'FACP$'!$H4417-'FACP$'!$I4417-'FACP$'!$K4417</f>
        <v>21839.7668</v>
      </c>
      <c r="M4417" s="162" t="s">
        <v>220</v>
      </c>
      <c r="N4417" s="162" t="s">
        <v>554</v>
      </c>
      <c r="O4417" s="164">
        <v>45287.0</v>
      </c>
      <c r="P4417" s="164">
        <f t="array" ref="P4417">XLOOKUP('FACP$'!$B4417,'perfil de pagos'!$A$4:$A$46,'perfil de pagos'!$B$4:$B$46+'FACP$'!$D4417)</f>
        <v>45249</v>
      </c>
      <c r="Q4417" s="165">
        <f t="shared" si="2"/>
        <v>0</v>
      </c>
      <c r="R4417" s="220" t="s">
        <v>5610</v>
      </c>
      <c r="S4417" s="167">
        <v>2619.0</v>
      </c>
      <c r="T4417" s="168">
        <f t="shared" si="3"/>
        <v>21839.7668</v>
      </c>
      <c r="U4417" s="168">
        <f t="shared" si="4"/>
        <v>0</v>
      </c>
      <c r="V4417" s="168">
        <f t="shared" si="5"/>
        <v>0</v>
      </c>
      <c r="W4417" s="168">
        <f t="shared" si="6"/>
        <v>0</v>
      </c>
      <c r="X4417" s="168">
        <f t="shared" si="7"/>
        <v>0</v>
      </c>
      <c r="Y4417" s="168">
        <f t="shared" si="8"/>
        <v>0</v>
      </c>
      <c r="Z4417" s="168">
        <f t="shared" si="9"/>
        <v>0</v>
      </c>
    </row>
    <row r="4418" ht="15.0" customHeight="1">
      <c r="A4418" s="157" t="s">
        <v>5611</v>
      </c>
      <c r="B4418" s="158" t="s">
        <v>25</v>
      </c>
      <c r="C4418" s="158" t="s">
        <v>5579</v>
      </c>
      <c r="D4418" s="159">
        <v>45239.0</v>
      </c>
      <c r="E4418" s="157" t="s">
        <v>731</v>
      </c>
      <c r="F4418" s="160">
        <v>72644.12</v>
      </c>
      <c r="G4418" s="160">
        <f>'FACP$'!$F4418*0.16</f>
        <v>11623.0592</v>
      </c>
      <c r="H4418" s="160">
        <f t="shared" si="124"/>
        <v>84267.1792</v>
      </c>
      <c r="I4418" s="160"/>
      <c r="J4418" s="161"/>
      <c r="K4418" s="160"/>
      <c r="L4418" s="160">
        <f>+'FACP$'!$H4418-'FACP$'!$I4418-'FACP$'!$K4418</f>
        <v>84267.1792</v>
      </c>
      <c r="M4418" s="162" t="s">
        <v>4388</v>
      </c>
      <c r="N4418" s="162" t="s">
        <v>554</v>
      </c>
      <c r="O4418" s="164">
        <v>45280.0</v>
      </c>
      <c r="P4418" s="164">
        <f t="array" ref="P4418">XLOOKUP('FACP$'!$B4418,'perfil de pagos'!$A$4:$A$46,'perfil de pagos'!$B$4:$B$46+'FACP$'!$D4418)</f>
        <v>45249</v>
      </c>
      <c r="Q4418" s="165">
        <f t="shared" si="2"/>
        <v>0</v>
      </c>
      <c r="R4418" s="167"/>
      <c r="S4418" s="167">
        <v>2673.0</v>
      </c>
      <c r="T4418" s="168">
        <f t="shared" si="3"/>
        <v>84267.1792</v>
      </c>
      <c r="U4418" s="168">
        <f t="shared" si="4"/>
        <v>0</v>
      </c>
      <c r="V4418" s="168">
        <f t="shared" si="5"/>
        <v>0</v>
      </c>
      <c r="W4418" s="168">
        <f t="shared" si="6"/>
        <v>0</v>
      </c>
      <c r="X4418" s="168">
        <f t="shared" si="7"/>
        <v>0</v>
      </c>
      <c r="Y4418" s="168">
        <f t="shared" si="8"/>
        <v>0</v>
      </c>
      <c r="Z4418" s="168">
        <f t="shared" si="9"/>
        <v>0</v>
      </c>
    </row>
    <row r="4419" ht="15.0" customHeight="1">
      <c r="A4419" s="157" t="s">
        <v>5612</v>
      </c>
      <c r="B4419" s="158" t="s">
        <v>29</v>
      </c>
      <c r="C4419" s="158" t="s">
        <v>5579</v>
      </c>
      <c r="D4419" s="159">
        <v>45239.0</v>
      </c>
      <c r="E4419" s="157" t="s">
        <v>731</v>
      </c>
      <c r="F4419" s="160">
        <v>318092.23</v>
      </c>
      <c r="G4419" s="160">
        <f>'FACP$'!$F4419*0.16</f>
        <v>50894.7568</v>
      </c>
      <c r="H4419" s="160">
        <f t="shared" si="124"/>
        <v>368986.9868</v>
      </c>
      <c r="I4419" s="160"/>
      <c r="J4419" s="161"/>
      <c r="K4419" s="160"/>
      <c r="L4419" s="160">
        <f>+'FACP$'!$H4419-'FACP$'!$I4419-'FACP$'!$K4419</f>
        <v>368986.9868</v>
      </c>
      <c r="M4419" s="162" t="s">
        <v>130</v>
      </c>
      <c r="N4419" s="162" t="s">
        <v>554</v>
      </c>
      <c r="O4419" s="164">
        <v>45251.0</v>
      </c>
      <c r="P4419" s="164">
        <f t="array" ref="P4419">XLOOKUP('FACP$'!$B4419,'perfil de pagos'!$A$4:$A$46,'perfil de pagos'!$B$4:$B$46+'FACP$'!$D4419)</f>
        <v>45249</v>
      </c>
      <c r="Q4419" s="165">
        <f t="shared" si="2"/>
        <v>0</v>
      </c>
      <c r="R4419" s="167"/>
      <c r="S4419" s="167">
        <v>2598.0</v>
      </c>
      <c r="T4419" s="168">
        <f t="shared" si="3"/>
        <v>368986.9868</v>
      </c>
      <c r="U4419" s="168">
        <f t="shared" si="4"/>
        <v>0</v>
      </c>
      <c r="V4419" s="168">
        <f t="shared" si="5"/>
        <v>0</v>
      </c>
      <c r="W4419" s="168">
        <f t="shared" si="6"/>
        <v>0</v>
      </c>
      <c r="X4419" s="168">
        <f t="shared" si="7"/>
        <v>0</v>
      </c>
      <c r="Y4419" s="168">
        <f t="shared" si="8"/>
        <v>0</v>
      </c>
      <c r="Z4419" s="168">
        <f t="shared" si="9"/>
        <v>0</v>
      </c>
    </row>
    <row r="4420" ht="15.0" customHeight="1">
      <c r="A4420" s="157" t="s">
        <v>5613</v>
      </c>
      <c r="B4420" s="158" t="s">
        <v>29</v>
      </c>
      <c r="C4420" s="158" t="s">
        <v>5584</v>
      </c>
      <c r="D4420" s="159">
        <v>45239.0</v>
      </c>
      <c r="E4420" s="157" t="s">
        <v>731</v>
      </c>
      <c r="F4420" s="160">
        <v>485866.14</v>
      </c>
      <c r="G4420" s="160">
        <f>'FACP$'!$F4420*0.16</f>
        <v>77738.5824</v>
      </c>
      <c r="H4420" s="160">
        <f t="shared" si="124"/>
        <v>563604.7224</v>
      </c>
      <c r="I4420" s="160"/>
      <c r="J4420" s="161"/>
      <c r="K4420" s="160"/>
      <c r="L4420" s="160">
        <f>+'FACP$'!$H4420-'FACP$'!$I4420-'FACP$'!$K4420</f>
        <v>563604.7224</v>
      </c>
      <c r="M4420" s="162" t="s">
        <v>130</v>
      </c>
      <c r="N4420" s="162" t="s">
        <v>554</v>
      </c>
      <c r="O4420" s="164">
        <v>45265.0</v>
      </c>
      <c r="P4420" s="164">
        <f t="array" ref="P4420">XLOOKUP('FACP$'!$B4420,'perfil de pagos'!$A$4:$A$46,'perfil de pagos'!$B$4:$B$46+'FACP$'!$D4420)</f>
        <v>45249</v>
      </c>
      <c r="Q4420" s="165">
        <f t="shared" si="2"/>
        <v>0</v>
      </c>
      <c r="R4420" s="167"/>
      <c r="S4420" s="167">
        <v>2632.0</v>
      </c>
      <c r="T4420" s="168">
        <f t="shared" si="3"/>
        <v>563604.7224</v>
      </c>
      <c r="U4420" s="168">
        <f t="shared" si="4"/>
        <v>0</v>
      </c>
      <c r="V4420" s="168">
        <f t="shared" si="5"/>
        <v>0</v>
      </c>
      <c r="W4420" s="168">
        <f t="shared" si="6"/>
        <v>0</v>
      </c>
      <c r="X4420" s="168">
        <f t="shared" si="7"/>
        <v>0</v>
      </c>
      <c r="Y4420" s="168">
        <f t="shared" si="8"/>
        <v>0</v>
      </c>
      <c r="Z4420" s="168">
        <f t="shared" si="9"/>
        <v>0</v>
      </c>
    </row>
    <row r="4421" ht="15.0" customHeight="1">
      <c r="A4421" s="157" t="s">
        <v>5614</v>
      </c>
      <c r="B4421" s="158" t="s">
        <v>37</v>
      </c>
      <c r="C4421" s="158" t="s">
        <v>5579</v>
      </c>
      <c r="D4421" s="159">
        <v>45239.0</v>
      </c>
      <c r="E4421" s="157" t="s">
        <v>731</v>
      </c>
      <c r="F4421" s="160">
        <v>1654245.74</v>
      </c>
      <c r="G4421" s="160">
        <f>'FACP$'!$F4421*0.16</f>
        <v>264679.3184</v>
      </c>
      <c r="H4421" s="160">
        <f t="shared" si="124"/>
        <v>1918925.058</v>
      </c>
      <c r="I4421" s="160"/>
      <c r="J4421" s="161"/>
      <c r="K4421" s="160"/>
      <c r="L4421" s="160">
        <f>+'FACP$'!$H4421-'FACP$'!$I4421-'FACP$'!$K4421</f>
        <v>1918925.058</v>
      </c>
      <c r="M4421" s="162" t="s">
        <v>116</v>
      </c>
      <c r="N4421" s="162" t="s">
        <v>554</v>
      </c>
      <c r="O4421" s="164">
        <v>45251.0</v>
      </c>
      <c r="P4421" s="164">
        <f t="array" ref="P4421">XLOOKUP('FACP$'!$B4421,'perfil de pagos'!$A$4:$A$46,'perfil de pagos'!$B$4:$B$46+'FACP$'!$D4421)</f>
        <v>45249</v>
      </c>
      <c r="Q4421" s="165">
        <f t="shared" si="2"/>
        <v>0</v>
      </c>
      <c r="R4421" s="167"/>
      <c r="S4421" s="167">
        <v>2594.0</v>
      </c>
      <c r="T4421" s="168">
        <f t="shared" si="3"/>
        <v>1918925.058</v>
      </c>
      <c r="U4421" s="168">
        <f t="shared" si="4"/>
        <v>0</v>
      </c>
      <c r="V4421" s="168">
        <f t="shared" si="5"/>
        <v>0</v>
      </c>
      <c r="W4421" s="168">
        <f t="shared" si="6"/>
        <v>0</v>
      </c>
      <c r="X4421" s="168">
        <f t="shared" si="7"/>
        <v>0</v>
      </c>
      <c r="Y4421" s="168">
        <f t="shared" si="8"/>
        <v>0</v>
      </c>
      <c r="Z4421" s="168">
        <f t="shared" si="9"/>
        <v>0</v>
      </c>
    </row>
    <row r="4422" ht="15.0" customHeight="1">
      <c r="A4422" s="157" t="s">
        <v>5615</v>
      </c>
      <c r="B4422" s="158" t="s">
        <v>15</v>
      </c>
      <c r="C4422" s="158" t="s">
        <v>5616</v>
      </c>
      <c r="D4422" s="159">
        <v>45239.0</v>
      </c>
      <c r="E4422" s="157" t="s">
        <v>731</v>
      </c>
      <c r="F4422" s="160">
        <v>23823.04</v>
      </c>
      <c r="G4422" s="160">
        <f>'FACP$'!$F4422*0.16</f>
        <v>3811.6864</v>
      </c>
      <c r="H4422" s="160">
        <f t="shared" si="124"/>
        <v>27634.7264</v>
      </c>
      <c r="I4422" s="160"/>
      <c r="J4422" s="161"/>
      <c r="K4422" s="160"/>
      <c r="L4422" s="160">
        <f>+'FACP$'!$H4422-'FACP$'!$I4422-'FACP$'!$K4422</f>
        <v>27634.7264</v>
      </c>
      <c r="M4422" s="162" t="s">
        <v>443</v>
      </c>
      <c r="N4422" s="162" t="s">
        <v>554</v>
      </c>
      <c r="O4422" s="164">
        <v>45244.0</v>
      </c>
      <c r="P4422" s="164">
        <f t="array" ref="P4422">XLOOKUP('FACP$'!$B4422,'perfil de pagos'!$A$4:$A$46,'perfil de pagos'!$B$4:$B$46+'FACP$'!$D4422)</f>
        <v>45249</v>
      </c>
      <c r="Q4422" s="165">
        <f t="shared" si="2"/>
        <v>0</v>
      </c>
      <c r="R4422" s="167"/>
      <c r="S4422" s="167">
        <v>2576.0</v>
      </c>
      <c r="T4422" s="168">
        <f t="shared" si="3"/>
        <v>27634.7264</v>
      </c>
      <c r="U4422" s="168">
        <f t="shared" si="4"/>
        <v>0</v>
      </c>
      <c r="V4422" s="168">
        <f t="shared" si="5"/>
        <v>0</v>
      </c>
      <c r="W4422" s="168">
        <f t="shared" si="6"/>
        <v>0</v>
      </c>
      <c r="X4422" s="168">
        <f t="shared" si="7"/>
        <v>0</v>
      </c>
      <c r="Y4422" s="168">
        <f t="shared" si="8"/>
        <v>0</v>
      </c>
      <c r="Z4422" s="168">
        <f t="shared" si="9"/>
        <v>0</v>
      </c>
    </row>
    <row r="4423" ht="15.0" customHeight="1">
      <c r="A4423" s="157" t="s">
        <v>5617</v>
      </c>
      <c r="B4423" s="158" t="s">
        <v>38</v>
      </c>
      <c r="C4423" s="158" t="s">
        <v>5579</v>
      </c>
      <c r="D4423" s="159">
        <v>45239.0</v>
      </c>
      <c r="E4423" s="157" t="s">
        <v>731</v>
      </c>
      <c r="F4423" s="160">
        <v>220797.1</v>
      </c>
      <c r="G4423" s="160">
        <f>'FACP$'!$F4423*0.16</f>
        <v>35327.536</v>
      </c>
      <c r="H4423" s="160">
        <f t="shared" si="124"/>
        <v>256124.636</v>
      </c>
      <c r="I4423" s="160"/>
      <c r="J4423" s="161"/>
      <c r="K4423" s="160"/>
      <c r="L4423" s="160">
        <f>+'FACP$'!$H4423-'FACP$'!$I4423-'FACP$'!$K4423</f>
        <v>256124.636</v>
      </c>
      <c r="M4423" s="162" t="s">
        <v>642</v>
      </c>
      <c r="N4423" s="162" t="s">
        <v>554</v>
      </c>
      <c r="O4423" s="164">
        <v>45288.0</v>
      </c>
      <c r="P4423" s="164">
        <f t="array" ref="P4423">XLOOKUP('FACP$'!$B4423,'perfil de pagos'!$A$4:$A$46,'perfil de pagos'!$B$4:$B$46+'FACP$'!$D4423)</f>
        <v>45269</v>
      </c>
      <c r="Q4423" s="165">
        <f t="shared" si="2"/>
        <v>0</v>
      </c>
      <c r="R4423" s="167"/>
      <c r="S4423" s="167">
        <v>2699.0</v>
      </c>
      <c r="T4423" s="168">
        <f t="shared" si="3"/>
        <v>256124.636</v>
      </c>
      <c r="U4423" s="168">
        <f t="shared" si="4"/>
        <v>0</v>
      </c>
      <c r="V4423" s="168">
        <f t="shared" si="5"/>
        <v>0</v>
      </c>
      <c r="W4423" s="168">
        <f t="shared" si="6"/>
        <v>0</v>
      </c>
      <c r="X4423" s="168">
        <f t="shared" si="7"/>
        <v>0</v>
      </c>
      <c r="Y4423" s="168">
        <f t="shared" si="8"/>
        <v>0</v>
      </c>
      <c r="Z4423" s="168">
        <f t="shared" si="9"/>
        <v>0</v>
      </c>
    </row>
    <row r="4424" ht="15.0" customHeight="1">
      <c r="A4424" s="157" t="s">
        <v>5618</v>
      </c>
      <c r="B4424" s="158" t="s">
        <v>38</v>
      </c>
      <c r="C4424" s="158" t="s">
        <v>5579</v>
      </c>
      <c r="D4424" s="159">
        <v>45239.0</v>
      </c>
      <c r="E4424" s="157" t="s">
        <v>731</v>
      </c>
      <c r="F4424" s="160">
        <v>702789.17</v>
      </c>
      <c r="G4424" s="160">
        <f>'FACP$'!$F4424*0.16</f>
        <v>112446.2672</v>
      </c>
      <c r="H4424" s="160">
        <f t="shared" si="124"/>
        <v>815235.4372</v>
      </c>
      <c r="I4424" s="160"/>
      <c r="J4424" s="161"/>
      <c r="K4424" s="160"/>
      <c r="L4424" s="160">
        <f>+'FACP$'!$H4424-'FACP$'!$I4424-'FACP$'!$K4424</f>
        <v>815235.4372</v>
      </c>
      <c r="M4424" s="162" t="s">
        <v>145</v>
      </c>
      <c r="N4424" s="162" t="s">
        <v>554</v>
      </c>
      <c r="O4424" s="164">
        <v>45288.0</v>
      </c>
      <c r="P4424" s="164">
        <f t="array" ref="P4424">XLOOKUP('FACP$'!$B4424,'perfil de pagos'!$A$4:$A$46,'perfil de pagos'!$B$4:$B$46+'FACP$'!$D4424)</f>
        <v>45269</v>
      </c>
      <c r="Q4424" s="165">
        <f t="shared" si="2"/>
        <v>0</v>
      </c>
      <c r="R4424" s="167"/>
      <c r="S4424" s="167">
        <v>2699.0</v>
      </c>
      <c r="T4424" s="168">
        <f t="shared" si="3"/>
        <v>815235.4372</v>
      </c>
      <c r="U4424" s="168">
        <f t="shared" si="4"/>
        <v>0</v>
      </c>
      <c r="V4424" s="168">
        <f t="shared" si="5"/>
        <v>0</v>
      </c>
      <c r="W4424" s="168">
        <f t="shared" si="6"/>
        <v>0</v>
      </c>
      <c r="X4424" s="168">
        <f t="shared" si="7"/>
        <v>0</v>
      </c>
      <c r="Y4424" s="168">
        <f t="shared" si="8"/>
        <v>0</v>
      </c>
      <c r="Z4424" s="168">
        <f t="shared" si="9"/>
        <v>0</v>
      </c>
    </row>
    <row r="4425" ht="15.0" customHeight="1">
      <c r="A4425" s="157" t="s">
        <v>5619</v>
      </c>
      <c r="B4425" s="158" t="s">
        <v>31</v>
      </c>
      <c r="C4425" s="158" t="s">
        <v>5620</v>
      </c>
      <c r="D4425" s="159">
        <v>45239.0</v>
      </c>
      <c r="E4425" s="157" t="s">
        <v>731</v>
      </c>
      <c r="F4425" s="160">
        <v>250000.41</v>
      </c>
      <c r="G4425" s="160">
        <f>'FACP$'!$F4425*0.16</f>
        <v>40000.0656</v>
      </c>
      <c r="H4425" s="160">
        <f t="shared" si="124"/>
        <v>290000.4756</v>
      </c>
      <c r="I4425" s="160">
        <v>262059.7376</v>
      </c>
      <c r="J4425" s="161"/>
      <c r="K4425" s="160"/>
      <c r="L4425" s="160">
        <f>+'FACP$'!$H4425-'FACP$'!$I4425-'FACP$'!$K4425</f>
        <v>27940.738</v>
      </c>
      <c r="M4425" s="162" t="s">
        <v>3183</v>
      </c>
      <c r="N4425" s="162" t="s">
        <v>554</v>
      </c>
      <c r="O4425" s="164">
        <v>45261.0</v>
      </c>
      <c r="P4425" s="164">
        <f t="array" ref="P4425">XLOOKUP('FACP$'!$B4425,'perfil de pagos'!$A$4:$A$46,'perfil de pagos'!$B$4:$B$46+'FACP$'!$D4425)</f>
        <v>45242</v>
      </c>
      <c r="Q4425" s="165">
        <f t="shared" si="2"/>
        <v>0</v>
      </c>
      <c r="R4425" s="167" t="s">
        <v>5621</v>
      </c>
      <c r="S4425" s="167" t="s">
        <v>5622</v>
      </c>
      <c r="T4425" s="168">
        <f t="shared" si="3"/>
        <v>27940.738</v>
      </c>
      <c r="U4425" s="168">
        <f t="shared" si="4"/>
        <v>0</v>
      </c>
      <c r="V4425" s="168">
        <f t="shared" si="5"/>
        <v>0</v>
      </c>
      <c r="W4425" s="168">
        <f t="shared" si="6"/>
        <v>0</v>
      </c>
      <c r="X4425" s="168">
        <f t="shared" si="7"/>
        <v>0</v>
      </c>
      <c r="Y4425" s="168">
        <f t="shared" si="8"/>
        <v>0</v>
      </c>
      <c r="Z4425" s="168">
        <f t="shared" si="9"/>
        <v>0</v>
      </c>
    </row>
    <row r="4426" ht="15.0" customHeight="1">
      <c r="A4426" s="157" t="s">
        <v>5623</v>
      </c>
      <c r="B4426" s="158" t="s">
        <v>44</v>
      </c>
      <c r="C4426" s="158" t="s">
        <v>5579</v>
      </c>
      <c r="D4426" s="159">
        <v>45243.0</v>
      </c>
      <c r="E4426" s="157" t="s">
        <v>731</v>
      </c>
      <c r="F4426" s="160">
        <v>275702.1</v>
      </c>
      <c r="G4426" s="160">
        <f>'FACP$'!$F4426*0.16</f>
        <v>44112.336</v>
      </c>
      <c r="H4426" s="160">
        <f t="shared" si="124"/>
        <v>319814.436</v>
      </c>
      <c r="I4426" s="160"/>
      <c r="J4426" s="161"/>
      <c r="K4426" s="160"/>
      <c r="L4426" s="160">
        <f>+'FACP$'!$H4426-'FACP$'!$I4426-'FACP$'!$K4426</f>
        <v>319814.436</v>
      </c>
      <c r="M4426" s="162" t="s">
        <v>361</v>
      </c>
      <c r="N4426" s="162" t="s">
        <v>554</v>
      </c>
      <c r="O4426" s="164">
        <v>45212.0</v>
      </c>
      <c r="P4426" s="164">
        <f t="array" ref="P4426">XLOOKUP('FACP$'!$B4426,'perfil de pagos'!$A$4:$A$46,'perfil de pagos'!$B$4:$B$46+'FACP$'!$D4426)</f>
        <v>45253</v>
      </c>
      <c r="Q4426" s="165">
        <f t="shared" si="2"/>
        <v>0</v>
      </c>
      <c r="R4426" s="220" t="s">
        <v>5624</v>
      </c>
      <c r="S4426" s="171">
        <v>2573.0</v>
      </c>
      <c r="T4426" s="168">
        <f t="shared" si="3"/>
        <v>319814.436</v>
      </c>
      <c r="U4426" s="168">
        <f t="shared" si="4"/>
        <v>0</v>
      </c>
      <c r="V4426" s="168">
        <f t="shared" si="5"/>
        <v>0</v>
      </c>
      <c r="W4426" s="168">
        <f t="shared" si="6"/>
        <v>0</v>
      </c>
      <c r="X4426" s="168">
        <f t="shared" si="7"/>
        <v>0</v>
      </c>
      <c r="Y4426" s="168">
        <f t="shared" si="8"/>
        <v>0</v>
      </c>
      <c r="Z4426" s="168">
        <f t="shared" si="9"/>
        <v>0</v>
      </c>
    </row>
    <row r="4427" ht="15.0" customHeight="1">
      <c r="A4427" s="157" t="s">
        <v>5625</v>
      </c>
      <c r="B4427" s="158" t="s">
        <v>31</v>
      </c>
      <c r="C4427" s="158" t="s">
        <v>5626</v>
      </c>
      <c r="D4427" s="159">
        <v>45246.0</v>
      </c>
      <c r="E4427" s="157" t="s">
        <v>731</v>
      </c>
      <c r="F4427" s="160">
        <v>38004.03</v>
      </c>
      <c r="G4427" s="160">
        <f>'FACP$'!$F4427*0.16</f>
        <v>6080.6448</v>
      </c>
      <c r="H4427" s="160">
        <f t="shared" si="124"/>
        <v>44084.6748</v>
      </c>
      <c r="I4427" s="160"/>
      <c r="J4427" s="161"/>
      <c r="K4427" s="160"/>
      <c r="L4427" s="160">
        <f>+'FACP$'!$H4427-'FACP$'!$I4427-'FACP$'!$K4427</f>
        <v>44084.6748</v>
      </c>
      <c r="M4427" s="162" t="s">
        <v>3183</v>
      </c>
      <c r="N4427" s="162" t="s">
        <v>554</v>
      </c>
      <c r="O4427" s="164">
        <v>45261.0</v>
      </c>
      <c r="P4427" s="164">
        <f t="array" ref="P4427">XLOOKUP('FACP$'!$B4427,'perfil de pagos'!$A$4:$A$46,'perfil de pagos'!$B$4:$B$46+'FACP$'!$D4427)</f>
        <v>45249</v>
      </c>
      <c r="Q4427" s="165">
        <f t="shared" si="2"/>
        <v>0</v>
      </c>
      <c r="R4427" s="167"/>
      <c r="S4427" s="167">
        <v>2635.0</v>
      </c>
      <c r="T4427" s="168">
        <f t="shared" si="3"/>
        <v>44084.6748</v>
      </c>
      <c r="U4427" s="168">
        <f t="shared" si="4"/>
        <v>0</v>
      </c>
      <c r="V4427" s="168">
        <f t="shared" si="5"/>
        <v>0</v>
      </c>
      <c r="W4427" s="168">
        <f t="shared" si="6"/>
        <v>0</v>
      </c>
      <c r="X4427" s="168">
        <f t="shared" si="7"/>
        <v>0</v>
      </c>
      <c r="Y4427" s="168">
        <f t="shared" si="8"/>
        <v>0</v>
      </c>
      <c r="Z4427" s="168">
        <f t="shared" si="9"/>
        <v>0</v>
      </c>
    </row>
    <row r="4428" ht="15.0" customHeight="1">
      <c r="A4428" s="157" t="s">
        <v>5627</v>
      </c>
      <c r="B4428" s="158" t="s">
        <v>15</v>
      </c>
      <c r="C4428" s="158" t="s">
        <v>5626</v>
      </c>
      <c r="D4428" s="159">
        <v>45252.0</v>
      </c>
      <c r="E4428" s="157" t="s">
        <v>731</v>
      </c>
      <c r="F4428" s="160">
        <v>1205743.4</v>
      </c>
      <c r="G4428" s="160">
        <f>'FACP$'!$F4428*0.16</f>
        <v>192918.944</v>
      </c>
      <c r="H4428" s="160">
        <f t="shared" si="124"/>
        <v>1398662.344</v>
      </c>
      <c r="I4428" s="160"/>
      <c r="J4428" s="161"/>
      <c r="K4428" s="160"/>
      <c r="L4428" s="160">
        <f>+'FACP$'!$H4428-'FACP$'!$I4428-'FACP$'!$K4428</f>
        <v>1398662.344</v>
      </c>
      <c r="M4428" s="162" t="s">
        <v>443</v>
      </c>
      <c r="N4428" s="162" t="s">
        <v>554</v>
      </c>
      <c r="O4428" s="164">
        <v>45267.0</v>
      </c>
      <c r="P4428" s="164">
        <f t="array" ref="P4428">XLOOKUP('FACP$'!$B4428,'perfil de pagos'!$A$4:$A$46,'perfil de pagos'!$B$4:$B$46+'FACP$'!$D4428)</f>
        <v>45262</v>
      </c>
      <c r="Q4428" s="165">
        <f t="shared" si="2"/>
        <v>0</v>
      </c>
      <c r="R4428" s="167"/>
      <c r="S4428" s="167">
        <v>2640.0</v>
      </c>
      <c r="T4428" s="168">
        <f t="shared" si="3"/>
        <v>1398662.344</v>
      </c>
      <c r="U4428" s="168">
        <f t="shared" si="4"/>
        <v>0</v>
      </c>
      <c r="V4428" s="168">
        <f t="shared" si="5"/>
        <v>0</v>
      </c>
      <c r="W4428" s="168">
        <f t="shared" si="6"/>
        <v>0</v>
      </c>
      <c r="X4428" s="168">
        <f t="shared" si="7"/>
        <v>0</v>
      </c>
      <c r="Y4428" s="168">
        <f t="shared" si="8"/>
        <v>0</v>
      </c>
      <c r="Z4428" s="168">
        <f t="shared" si="9"/>
        <v>0</v>
      </c>
    </row>
    <row r="4429" ht="15.0" customHeight="1">
      <c r="A4429" s="157" t="s">
        <v>5628</v>
      </c>
      <c r="B4429" s="158" t="s">
        <v>32</v>
      </c>
      <c r="C4429" s="158" t="s">
        <v>5626</v>
      </c>
      <c r="D4429" s="159">
        <v>45252.0</v>
      </c>
      <c r="E4429" s="157" t="s">
        <v>731</v>
      </c>
      <c r="F4429" s="160">
        <v>129374.61</v>
      </c>
      <c r="G4429" s="160">
        <f>'FACP$'!$F4429*0.16</f>
        <v>20699.9376</v>
      </c>
      <c r="H4429" s="160">
        <f t="shared" si="124"/>
        <v>150074.5476</v>
      </c>
      <c r="I4429" s="160"/>
      <c r="J4429" s="161"/>
      <c r="K4429" s="160"/>
      <c r="L4429" s="160">
        <f>+'FACP$'!$H4429-'FACP$'!$I4429-'FACP$'!$K4429</f>
        <v>150074.5476</v>
      </c>
      <c r="M4429" s="162" t="s">
        <v>395</v>
      </c>
      <c r="N4429" s="162" t="s">
        <v>554</v>
      </c>
      <c r="O4429" s="164">
        <v>45289.0</v>
      </c>
      <c r="P4429" s="164">
        <f t="array" ref="P4429">XLOOKUP('FACP$'!$B4429,'perfil de pagos'!$A$4:$A$46,'perfil de pagos'!$B$4:$B$46+'FACP$'!$D4429)</f>
        <v>45262</v>
      </c>
      <c r="Q4429" s="165">
        <f t="shared" si="2"/>
        <v>0</v>
      </c>
      <c r="R4429" s="167"/>
      <c r="S4429" s="167">
        <v>2704.0</v>
      </c>
      <c r="T4429" s="168">
        <f t="shared" si="3"/>
        <v>150074.5476</v>
      </c>
      <c r="U4429" s="168">
        <f t="shared" si="4"/>
        <v>0</v>
      </c>
      <c r="V4429" s="168">
        <f t="shared" si="5"/>
        <v>0</v>
      </c>
      <c r="W4429" s="168">
        <f t="shared" si="6"/>
        <v>0</v>
      </c>
      <c r="X4429" s="168">
        <f t="shared" si="7"/>
        <v>0</v>
      </c>
      <c r="Y4429" s="168">
        <f t="shared" si="8"/>
        <v>0</v>
      </c>
      <c r="Z4429" s="168">
        <f t="shared" si="9"/>
        <v>0</v>
      </c>
    </row>
    <row r="4430" ht="15.0" customHeight="1">
      <c r="A4430" s="157" t="s">
        <v>5629</v>
      </c>
      <c r="B4430" s="158" t="s">
        <v>38</v>
      </c>
      <c r="C4430" s="158" t="s">
        <v>5626</v>
      </c>
      <c r="D4430" s="159">
        <v>45252.0</v>
      </c>
      <c r="E4430" s="157" t="s">
        <v>731</v>
      </c>
      <c r="F4430" s="160">
        <v>81444.08</v>
      </c>
      <c r="G4430" s="160">
        <f>'FACP$'!$F4430*0.16</f>
        <v>13031.0528</v>
      </c>
      <c r="H4430" s="160">
        <f t="shared" si="124"/>
        <v>94475.1328</v>
      </c>
      <c r="I4430" s="160"/>
      <c r="J4430" s="161"/>
      <c r="K4430" s="160"/>
      <c r="L4430" s="160">
        <f>+'FACP$'!$H4430-'FACP$'!$I4430-'FACP$'!$K4430</f>
        <v>94475.1328</v>
      </c>
      <c r="M4430" s="162" t="s">
        <v>4707</v>
      </c>
      <c r="N4430" s="162" t="s">
        <v>554</v>
      </c>
      <c r="O4430" s="164">
        <v>45294.0</v>
      </c>
      <c r="P4430" s="164">
        <f t="array" ref="P4430">XLOOKUP('FACP$'!$B4430,'perfil de pagos'!$A$4:$A$46,'perfil de pagos'!$B$4:$B$46+'FACP$'!$D4430)</f>
        <v>45282</v>
      </c>
      <c r="Q4430" s="165">
        <f t="shared" si="2"/>
        <v>0</v>
      </c>
      <c r="R4430" s="167"/>
      <c r="S4430" s="167">
        <v>2727.0</v>
      </c>
      <c r="T4430" s="168">
        <f t="shared" si="3"/>
        <v>94475.1328</v>
      </c>
      <c r="U4430" s="168">
        <f t="shared" si="4"/>
        <v>0</v>
      </c>
      <c r="V4430" s="168">
        <f t="shared" si="5"/>
        <v>0</v>
      </c>
      <c r="W4430" s="168">
        <f t="shared" si="6"/>
        <v>0</v>
      </c>
      <c r="X4430" s="168">
        <f t="shared" si="7"/>
        <v>0</v>
      </c>
      <c r="Y4430" s="168">
        <f t="shared" si="8"/>
        <v>0</v>
      </c>
      <c r="Z4430" s="168">
        <f t="shared" si="9"/>
        <v>0</v>
      </c>
    </row>
    <row r="4431" ht="15.0" customHeight="1">
      <c r="A4431" s="157" t="s">
        <v>5630</v>
      </c>
      <c r="B4431" s="158" t="s">
        <v>38</v>
      </c>
      <c r="C4431" s="158" t="s">
        <v>5631</v>
      </c>
      <c r="D4431" s="159">
        <v>45252.0</v>
      </c>
      <c r="E4431" s="157" t="s">
        <v>731</v>
      </c>
      <c r="F4431" s="160">
        <v>114045.93</v>
      </c>
      <c r="G4431" s="160">
        <f>'FACP$'!$F4431*0.16</f>
        <v>18247.3488</v>
      </c>
      <c r="H4431" s="160">
        <f t="shared" si="124"/>
        <v>132293.2788</v>
      </c>
      <c r="I4431" s="160"/>
      <c r="J4431" s="161"/>
      <c r="K4431" s="160"/>
      <c r="L4431" s="160">
        <f>+'FACP$'!$H4431-'FACP$'!$I4431-'FACP$'!$K4431</f>
        <v>132293.2788</v>
      </c>
      <c r="M4431" s="162" t="s">
        <v>4707</v>
      </c>
      <c r="N4431" s="162" t="s">
        <v>554</v>
      </c>
      <c r="O4431" s="164">
        <v>45294.0</v>
      </c>
      <c r="P4431" s="164">
        <f t="array" ref="P4431">XLOOKUP('FACP$'!$B4431,'perfil de pagos'!$A$4:$A$46,'perfil de pagos'!$B$4:$B$46+'FACP$'!$D4431)</f>
        <v>45282</v>
      </c>
      <c r="Q4431" s="165">
        <f t="shared" si="2"/>
        <v>0</v>
      </c>
      <c r="R4431" s="167"/>
      <c r="S4431" s="167">
        <v>2727.0</v>
      </c>
      <c r="T4431" s="168">
        <f t="shared" si="3"/>
        <v>132293.2788</v>
      </c>
      <c r="U4431" s="168">
        <f t="shared" si="4"/>
        <v>0</v>
      </c>
      <c r="V4431" s="168">
        <f t="shared" si="5"/>
        <v>0</v>
      </c>
      <c r="W4431" s="168">
        <f t="shared" si="6"/>
        <v>0</v>
      </c>
      <c r="X4431" s="168">
        <f t="shared" si="7"/>
        <v>0</v>
      </c>
      <c r="Y4431" s="168">
        <f t="shared" si="8"/>
        <v>0</v>
      </c>
      <c r="Z4431" s="168">
        <f t="shared" si="9"/>
        <v>0</v>
      </c>
    </row>
    <row r="4432" ht="15.0" customHeight="1">
      <c r="A4432" s="157" t="s">
        <v>5632</v>
      </c>
      <c r="B4432" s="158" t="s">
        <v>38</v>
      </c>
      <c r="C4432" s="158" t="s">
        <v>5626</v>
      </c>
      <c r="D4432" s="159">
        <v>45252.0</v>
      </c>
      <c r="E4432" s="157" t="s">
        <v>731</v>
      </c>
      <c r="F4432" s="160">
        <v>181882.43</v>
      </c>
      <c r="G4432" s="160">
        <f>'FACP$'!$F4432*0.16</f>
        <v>29101.1888</v>
      </c>
      <c r="H4432" s="160">
        <f t="shared" si="124"/>
        <v>210983.6188</v>
      </c>
      <c r="I4432" s="160"/>
      <c r="J4432" s="161"/>
      <c r="K4432" s="160"/>
      <c r="L4432" s="160">
        <f>+'FACP$'!$H4432-'FACP$'!$I4432-'FACP$'!$K4432</f>
        <v>210983.6188</v>
      </c>
      <c r="M4432" s="162" t="s">
        <v>4654</v>
      </c>
      <c r="N4432" s="162" t="s">
        <v>554</v>
      </c>
      <c r="O4432" s="164">
        <v>45294.0</v>
      </c>
      <c r="P4432" s="164">
        <f t="array" ref="P4432">XLOOKUP('FACP$'!$B4432,'perfil de pagos'!$A$4:$A$46,'perfil de pagos'!$B$4:$B$46+'FACP$'!$D4432)</f>
        <v>45282</v>
      </c>
      <c r="Q4432" s="165">
        <f t="shared" si="2"/>
        <v>0</v>
      </c>
      <c r="R4432" s="167"/>
      <c r="S4432" s="167">
        <v>2727.0</v>
      </c>
      <c r="T4432" s="168">
        <f t="shared" si="3"/>
        <v>210983.6188</v>
      </c>
      <c r="U4432" s="168">
        <f t="shared" si="4"/>
        <v>0</v>
      </c>
      <c r="V4432" s="168">
        <f t="shared" si="5"/>
        <v>0</v>
      </c>
      <c r="W4432" s="168">
        <f t="shared" si="6"/>
        <v>0</v>
      </c>
      <c r="X4432" s="168">
        <f t="shared" si="7"/>
        <v>0</v>
      </c>
      <c r="Y4432" s="168">
        <f t="shared" si="8"/>
        <v>0</v>
      </c>
      <c r="Z4432" s="168">
        <f t="shared" si="9"/>
        <v>0</v>
      </c>
    </row>
    <row r="4433" ht="15.0" customHeight="1">
      <c r="A4433" s="157" t="s">
        <v>5633</v>
      </c>
      <c r="B4433" s="169" t="s">
        <v>35</v>
      </c>
      <c r="C4433" s="158" t="s">
        <v>5626</v>
      </c>
      <c r="D4433" s="159">
        <v>45252.0</v>
      </c>
      <c r="E4433" s="157" t="s">
        <v>731</v>
      </c>
      <c r="F4433" s="160">
        <v>225973.27</v>
      </c>
      <c r="G4433" s="160">
        <f>'FACP$'!$F4433*0.16</f>
        <v>36155.7232</v>
      </c>
      <c r="H4433" s="160">
        <f t="shared" si="124"/>
        <v>262128.9932</v>
      </c>
      <c r="I4433" s="160"/>
      <c r="J4433" s="161"/>
      <c r="K4433" s="160"/>
      <c r="L4433" s="160">
        <f>+'FACP$'!$H4433-'FACP$'!$I4433-'FACP$'!$K4433</f>
        <v>262128.9932</v>
      </c>
      <c r="M4433" s="162" t="s">
        <v>276</v>
      </c>
      <c r="N4433" s="162" t="s">
        <v>554</v>
      </c>
      <c r="O4433" s="164">
        <v>45271.0</v>
      </c>
      <c r="P4433" s="164">
        <f t="array" ref="P4433">XLOOKUP('FACP$'!$B4433,'perfil de pagos'!$A$4:$A$46,'perfil de pagos'!$B$4:$B$46+'FACP$'!$D4433)</f>
        <v>45262</v>
      </c>
      <c r="Q4433" s="165">
        <f t="shared" si="2"/>
        <v>0</v>
      </c>
      <c r="R4433" s="167"/>
      <c r="S4433" s="167">
        <v>2654.0</v>
      </c>
      <c r="T4433" s="168">
        <f t="shared" si="3"/>
        <v>262128.9932</v>
      </c>
      <c r="U4433" s="168">
        <f t="shared" si="4"/>
        <v>0</v>
      </c>
      <c r="V4433" s="168">
        <f t="shared" si="5"/>
        <v>0</v>
      </c>
      <c r="W4433" s="168">
        <f t="shared" si="6"/>
        <v>0</v>
      </c>
      <c r="X4433" s="168">
        <f t="shared" si="7"/>
        <v>0</v>
      </c>
      <c r="Y4433" s="168">
        <f t="shared" si="8"/>
        <v>0</v>
      </c>
      <c r="Z4433" s="168">
        <f t="shared" si="9"/>
        <v>0</v>
      </c>
    </row>
    <row r="4434" ht="15.0" customHeight="1">
      <c r="A4434" s="157" t="s">
        <v>5634</v>
      </c>
      <c r="B4434" s="158" t="s">
        <v>36</v>
      </c>
      <c r="C4434" s="158" t="s">
        <v>5626</v>
      </c>
      <c r="D4434" s="159">
        <v>45252.0</v>
      </c>
      <c r="E4434" s="157" t="s">
        <v>731</v>
      </c>
      <c r="F4434" s="160">
        <v>148913.42</v>
      </c>
      <c r="G4434" s="160">
        <f>'FACP$'!$F4434*0.16</f>
        <v>23826.1472</v>
      </c>
      <c r="H4434" s="160">
        <f t="shared" si="124"/>
        <v>172739.5672</v>
      </c>
      <c r="I4434" s="160"/>
      <c r="J4434" s="161"/>
      <c r="K4434" s="160"/>
      <c r="L4434" s="160">
        <f>+'FACP$'!$H4434-'FACP$'!$I4434-'FACP$'!$K4434</f>
        <v>172739.5672</v>
      </c>
      <c r="M4434" s="162" t="s">
        <v>278</v>
      </c>
      <c r="N4434" s="162" t="s">
        <v>554</v>
      </c>
      <c r="O4434" s="164">
        <v>45260.0</v>
      </c>
      <c r="P4434" s="164">
        <f t="array" ref="P4434">XLOOKUP('FACP$'!$B4434,'perfil de pagos'!$A$4:$A$46,'perfil de pagos'!$B$4:$B$46+'FACP$'!$D4434)</f>
        <v>45262</v>
      </c>
      <c r="Q4434" s="165">
        <f t="shared" si="2"/>
        <v>0</v>
      </c>
      <c r="R4434" s="167"/>
      <c r="S4434" s="167">
        <v>2622.0</v>
      </c>
      <c r="T4434" s="168">
        <f t="shared" si="3"/>
        <v>172739.5672</v>
      </c>
      <c r="U4434" s="168">
        <f t="shared" si="4"/>
        <v>0</v>
      </c>
      <c r="V4434" s="168">
        <f t="shared" si="5"/>
        <v>0</v>
      </c>
      <c r="W4434" s="168">
        <f t="shared" si="6"/>
        <v>0</v>
      </c>
      <c r="X4434" s="168">
        <f t="shared" si="7"/>
        <v>0</v>
      </c>
      <c r="Y4434" s="168">
        <f t="shared" si="8"/>
        <v>0</v>
      </c>
      <c r="Z4434" s="168">
        <f t="shared" si="9"/>
        <v>0</v>
      </c>
    </row>
    <row r="4435" ht="15.0" customHeight="1">
      <c r="A4435" s="157" t="s">
        <v>5635</v>
      </c>
      <c r="B4435" s="158" t="s">
        <v>36</v>
      </c>
      <c r="C4435" s="158" t="s">
        <v>5631</v>
      </c>
      <c r="D4435" s="159">
        <v>45252.0</v>
      </c>
      <c r="E4435" s="157" t="s">
        <v>731</v>
      </c>
      <c r="F4435" s="160">
        <v>123519.54</v>
      </c>
      <c r="G4435" s="160">
        <f>'FACP$'!$F4435*0.16</f>
        <v>19763.1264</v>
      </c>
      <c r="H4435" s="160">
        <f t="shared" si="124"/>
        <v>143282.6664</v>
      </c>
      <c r="I4435" s="160"/>
      <c r="J4435" s="161"/>
      <c r="K4435" s="160"/>
      <c r="L4435" s="160">
        <f>+'FACP$'!$H4435-'FACP$'!$I4435-'FACP$'!$K4435</f>
        <v>143282.6664</v>
      </c>
      <c r="M4435" s="162" t="s">
        <v>278</v>
      </c>
      <c r="N4435" s="162" t="s">
        <v>554</v>
      </c>
      <c r="O4435" s="164">
        <v>45260.0</v>
      </c>
      <c r="P4435" s="164">
        <f t="array" ref="P4435">XLOOKUP('FACP$'!$B4435,'perfil de pagos'!$A$4:$A$46,'perfil de pagos'!$B$4:$B$46+'FACP$'!$D4435)</f>
        <v>45262</v>
      </c>
      <c r="Q4435" s="165">
        <f t="shared" si="2"/>
        <v>0</v>
      </c>
      <c r="R4435" s="167"/>
      <c r="S4435" s="167">
        <v>2621.0</v>
      </c>
      <c r="T4435" s="168">
        <f t="shared" si="3"/>
        <v>143282.6664</v>
      </c>
      <c r="U4435" s="168">
        <f t="shared" si="4"/>
        <v>0</v>
      </c>
      <c r="V4435" s="168">
        <f t="shared" si="5"/>
        <v>0</v>
      </c>
      <c r="W4435" s="168">
        <f t="shared" si="6"/>
        <v>0</v>
      </c>
      <c r="X4435" s="168">
        <f t="shared" si="7"/>
        <v>0</v>
      </c>
      <c r="Y4435" s="168">
        <f t="shared" si="8"/>
        <v>0</v>
      </c>
      <c r="Z4435" s="168">
        <f t="shared" si="9"/>
        <v>0</v>
      </c>
    </row>
    <row r="4436" ht="15.0" customHeight="1">
      <c r="A4436" s="157" t="s">
        <v>5636</v>
      </c>
      <c r="B4436" s="158" t="s">
        <v>43</v>
      </c>
      <c r="C4436" s="158" t="s">
        <v>5626</v>
      </c>
      <c r="D4436" s="159">
        <v>45252.0</v>
      </c>
      <c r="E4436" s="157" t="s">
        <v>731</v>
      </c>
      <c r="F4436" s="160">
        <v>928057.49</v>
      </c>
      <c r="G4436" s="160">
        <f>'FACP$'!$F4436*0.16</f>
        <v>148489.1984</v>
      </c>
      <c r="H4436" s="160">
        <f t="shared" si="124"/>
        <v>1076546.688</v>
      </c>
      <c r="I4436" s="160"/>
      <c r="J4436" s="161"/>
      <c r="K4436" s="160"/>
      <c r="L4436" s="160">
        <f>+'FACP$'!$H4436-'FACP$'!$I4436-'FACP$'!$K4436</f>
        <v>1076546.688</v>
      </c>
      <c r="M4436" s="162" t="s">
        <v>43</v>
      </c>
      <c r="N4436" s="162" t="s">
        <v>554</v>
      </c>
      <c r="O4436" s="164">
        <v>45300.0</v>
      </c>
      <c r="P4436" s="164">
        <f t="array" ref="P4436">XLOOKUP('FACP$'!$B4436,'perfil de pagos'!$A$4:$A$46,'perfil de pagos'!$B$4:$B$46+'FACP$'!$D4436)</f>
        <v>45277</v>
      </c>
      <c r="Q4436" s="165">
        <f t="shared" si="2"/>
        <v>0</v>
      </c>
      <c r="R4436" s="167"/>
      <c r="S4436" s="167">
        <v>2722.0</v>
      </c>
      <c r="T4436" s="168">
        <f t="shared" si="3"/>
        <v>1076546.688</v>
      </c>
      <c r="U4436" s="168">
        <f t="shared" si="4"/>
        <v>0</v>
      </c>
      <c r="V4436" s="168">
        <f t="shared" si="5"/>
        <v>0</v>
      </c>
      <c r="W4436" s="168">
        <f t="shared" si="6"/>
        <v>0</v>
      </c>
      <c r="X4436" s="168">
        <f t="shared" si="7"/>
        <v>0</v>
      </c>
      <c r="Y4436" s="168">
        <f t="shared" si="8"/>
        <v>0</v>
      </c>
      <c r="Z4436" s="168">
        <f t="shared" si="9"/>
        <v>0</v>
      </c>
    </row>
    <row r="4437" ht="15.0" customHeight="1">
      <c r="A4437" s="157" t="s">
        <v>5637</v>
      </c>
      <c r="B4437" s="158" t="s">
        <v>43</v>
      </c>
      <c r="C4437" s="158" t="s">
        <v>5631</v>
      </c>
      <c r="D4437" s="159">
        <v>45252.0</v>
      </c>
      <c r="E4437" s="157" t="s">
        <v>731</v>
      </c>
      <c r="F4437" s="160">
        <v>1049337.23</v>
      </c>
      <c r="G4437" s="160">
        <f>'FACP$'!$F4437*0.16</f>
        <v>167893.9568</v>
      </c>
      <c r="H4437" s="160">
        <f t="shared" si="124"/>
        <v>1217231.187</v>
      </c>
      <c r="I4437" s="160"/>
      <c r="J4437" s="161"/>
      <c r="K4437" s="160"/>
      <c r="L4437" s="160">
        <f>+'FACP$'!$H4437-'FACP$'!$I4437-'FACP$'!$K4437</f>
        <v>1217231.187</v>
      </c>
      <c r="M4437" s="162" t="s">
        <v>43</v>
      </c>
      <c r="N4437" s="162" t="s">
        <v>554</v>
      </c>
      <c r="O4437" s="164">
        <v>45286.0</v>
      </c>
      <c r="P4437" s="164">
        <f t="array" ref="P4437">XLOOKUP('FACP$'!$B4437,'perfil de pagos'!$A$4:$A$46,'perfil de pagos'!$B$4:$B$46+'FACP$'!$D4437)</f>
        <v>45277</v>
      </c>
      <c r="Q4437" s="165">
        <f t="shared" si="2"/>
        <v>0</v>
      </c>
      <c r="R4437" s="167"/>
      <c r="S4437" s="167">
        <v>2694.0</v>
      </c>
      <c r="T4437" s="168">
        <f t="shared" si="3"/>
        <v>1217231.187</v>
      </c>
      <c r="U4437" s="168">
        <f t="shared" si="4"/>
        <v>0</v>
      </c>
      <c r="V4437" s="168">
        <f t="shared" si="5"/>
        <v>0</v>
      </c>
      <c r="W4437" s="168">
        <f t="shared" si="6"/>
        <v>0</v>
      </c>
      <c r="X4437" s="168">
        <f t="shared" si="7"/>
        <v>0</v>
      </c>
      <c r="Y4437" s="168">
        <f t="shared" si="8"/>
        <v>0</v>
      </c>
      <c r="Z4437" s="168">
        <f t="shared" si="9"/>
        <v>0</v>
      </c>
    </row>
    <row r="4438" ht="15.0" customHeight="1">
      <c r="A4438" s="157" t="s">
        <v>5638</v>
      </c>
      <c r="B4438" s="158" t="s">
        <v>44</v>
      </c>
      <c r="C4438" s="158" t="s">
        <v>5626</v>
      </c>
      <c r="D4438" s="159">
        <v>45252.0</v>
      </c>
      <c r="E4438" s="157" t="s">
        <v>731</v>
      </c>
      <c r="F4438" s="160">
        <v>127963.22</v>
      </c>
      <c r="G4438" s="160">
        <f>'FACP$'!$F4438*0.16</f>
        <v>20474.1152</v>
      </c>
      <c r="H4438" s="160">
        <f t="shared" si="124"/>
        <v>148437.3352</v>
      </c>
      <c r="I4438" s="160"/>
      <c r="J4438" s="161"/>
      <c r="K4438" s="160"/>
      <c r="L4438" s="160">
        <f>+'FACP$'!$H4438-'FACP$'!$I4438-'FACP$'!$K4438</f>
        <v>148437.3352</v>
      </c>
      <c r="M4438" s="162" t="s">
        <v>361</v>
      </c>
      <c r="N4438" s="162" t="s">
        <v>554</v>
      </c>
      <c r="O4438" s="164">
        <v>45268.0</v>
      </c>
      <c r="P4438" s="164">
        <f t="array" ref="P4438">XLOOKUP('FACP$'!$B4438,'perfil de pagos'!$A$4:$A$46,'perfil de pagos'!$B$4:$B$46+'FACP$'!$D4438)</f>
        <v>45262</v>
      </c>
      <c r="Q4438" s="165">
        <f t="shared" si="2"/>
        <v>0</v>
      </c>
      <c r="R4438" s="167"/>
      <c r="S4438" s="167">
        <v>2643.0</v>
      </c>
      <c r="T4438" s="168">
        <f t="shared" si="3"/>
        <v>148437.3352</v>
      </c>
      <c r="U4438" s="168">
        <f t="shared" si="4"/>
        <v>0</v>
      </c>
      <c r="V4438" s="168">
        <f t="shared" si="5"/>
        <v>0</v>
      </c>
      <c r="W4438" s="168">
        <f t="shared" si="6"/>
        <v>0</v>
      </c>
      <c r="X4438" s="168">
        <f t="shared" si="7"/>
        <v>0</v>
      </c>
      <c r="Y4438" s="168">
        <f t="shared" si="8"/>
        <v>0</v>
      </c>
      <c r="Z4438" s="168">
        <f t="shared" si="9"/>
        <v>0</v>
      </c>
    </row>
    <row r="4439" ht="15.0" customHeight="1">
      <c r="A4439" s="157" t="s">
        <v>5639</v>
      </c>
      <c r="B4439" s="158" t="s">
        <v>41</v>
      </c>
      <c r="C4439" s="158" t="s">
        <v>5626</v>
      </c>
      <c r="D4439" s="159">
        <v>45252.0</v>
      </c>
      <c r="E4439" s="157" t="s">
        <v>731</v>
      </c>
      <c r="F4439" s="160">
        <v>733021.36</v>
      </c>
      <c r="G4439" s="160">
        <f>'FACP$'!$F4439*0.16</f>
        <v>117283.4176</v>
      </c>
      <c r="H4439" s="160">
        <f t="shared" si="124"/>
        <v>850304.7776</v>
      </c>
      <c r="I4439" s="160"/>
      <c r="J4439" s="161"/>
      <c r="K4439" s="160"/>
      <c r="L4439" s="160">
        <f>+'FACP$'!$H4439-'FACP$'!$I4439-'FACP$'!$K4439</f>
        <v>850304.7776</v>
      </c>
      <c r="M4439" s="162" t="s">
        <v>121</v>
      </c>
      <c r="N4439" s="162" t="s">
        <v>554</v>
      </c>
      <c r="O4439" s="164">
        <v>45310.0</v>
      </c>
      <c r="P4439" s="164">
        <f t="array" ref="P4439">XLOOKUP('FACP$'!$B4439,'perfil de pagos'!$A$4:$A$46,'perfil de pagos'!$B$4:$B$46+'FACP$'!$D4439)</f>
        <v>45262</v>
      </c>
      <c r="Q4439" s="165">
        <f t="shared" si="2"/>
        <v>0</v>
      </c>
      <c r="R4439" s="167"/>
      <c r="S4439" s="167">
        <v>2741.0</v>
      </c>
      <c r="T4439" s="168">
        <f t="shared" si="3"/>
        <v>850304.7776</v>
      </c>
      <c r="U4439" s="168">
        <f t="shared" si="4"/>
        <v>0</v>
      </c>
      <c r="V4439" s="168">
        <f t="shared" si="5"/>
        <v>0</v>
      </c>
      <c r="W4439" s="168">
        <f t="shared" si="6"/>
        <v>0</v>
      </c>
      <c r="X4439" s="168">
        <f t="shared" si="7"/>
        <v>0</v>
      </c>
      <c r="Y4439" s="168">
        <f t="shared" si="8"/>
        <v>0</v>
      </c>
      <c r="Z4439" s="168">
        <f t="shared" si="9"/>
        <v>0</v>
      </c>
    </row>
    <row r="4440" ht="15.0" customHeight="1">
      <c r="A4440" s="157" t="s">
        <v>5640</v>
      </c>
      <c r="B4440" s="158" t="s">
        <v>42</v>
      </c>
      <c r="C4440" s="158" t="s">
        <v>5626</v>
      </c>
      <c r="D4440" s="159">
        <v>45252.0</v>
      </c>
      <c r="E4440" s="157" t="s">
        <v>731</v>
      </c>
      <c r="F4440" s="160">
        <v>166336.66</v>
      </c>
      <c r="G4440" s="160">
        <f>'FACP$'!$F4440*0.16</f>
        <v>26613.8656</v>
      </c>
      <c r="H4440" s="160">
        <f t="shared" si="124"/>
        <v>192950.5256</v>
      </c>
      <c r="I4440" s="160"/>
      <c r="J4440" s="161"/>
      <c r="K4440" s="160"/>
      <c r="L4440" s="160">
        <f>+'FACP$'!$H4440-'FACP$'!$I4440-'FACP$'!$K4440</f>
        <v>192950.5256</v>
      </c>
      <c r="M4440" s="162" t="s">
        <v>42</v>
      </c>
      <c r="N4440" s="162" t="s">
        <v>554</v>
      </c>
      <c r="O4440" s="164">
        <v>45268.0</v>
      </c>
      <c r="P4440" s="164">
        <f t="array" ref="P4440">XLOOKUP('FACP$'!$B4440,'perfil de pagos'!$A$4:$A$46,'perfil de pagos'!$B$4:$B$46+'FACP$'!$D4440)</f>
        <v>45262</v>
      </c>
      <c r="Q4440" s="165">
        <f t="shared" si="2"/>
        <v>0</v>
      </c>
      <c r="R4440" s="167"/>
      <c r="S4440" s="167">
        <v>2644.0</v>
      </c>
      <c r="T4440" s="168">
        <f t="shared" si="3"/>
        <v>192950.5256</v>
      </c>
      <c r="U4440" s="168">
        <f t="shared" si="4"/>
        <v>0</v>
      </c>
      <c r="V4440" s="168">
        <f t="shared" si="5"/>
        <v>0</v>
      </c>
      <c r="W4440" s="168">
        <f t="shared" si="6"/>
        <v>0</v>
      </c>
      <c r="X4440" s="168">
        <f t="shared" si="7"/>
        <v>0</v>
      </c>
      <c r="Y4440" s="168">
        <f t="shared" si="8"/>
        <v>0</v>
      </c>
      <c r="Z4440" s="168">
        <f t="shared" si="9"/>
        <v>0</v>
      </c>
    </row>
    <row r="4441" ht="15.0" customHeight="1">
      <c r="A4441" s="157" t="s">
        <v>5641</v>
      </c>
      <c r="B4441" s="158" t="s">
        <v>27</v>
      </c>
      <c r="C4441" s="158" t="s">
        <v>5642</v>
      </c>
      <c r="D4441" s="159">
        <v>45252.0</v>
      </c>
      <c r="E4441" s="157" t="s">
        <v>731</v>
      </c>
      <c r="F4441" s="160">
        <v>150499.04</v>
      </c>
      <c r="G4441" s="160">
        <f>'FACP$'!$F4441*0.16</f>
        <v>24079.8464</v>
      </c>
      <c r="H4441" s="160">
        <f t="shared" si="124"/>
        <v>174578.8864</v>
      </c>
      <c r="I4441" s="160"/>
      <c r="J4441" s="161"/>
      <c r="K4441" s="160"/>
      <c r="L4441" s="160">
        <f>+'FACP$'!$H4441-'FACP$'!$I4441-'FACP$'!$K4441</f>
        <v>174578.8864</v>
      </c>
      <c r="M4441" s="162" t="s">
        <v>158</v>
      </c>
      <c r="N4441" s="162" t="s">
        <v>554</v>
      </c>
      <c r="O4441" s="164">
        <v>45273.0</v>
      </c>
      <c r="P4441" s="164">
        <f t="array" ref="P4441">XLOOKUP('FACP$'!$B4441,'perfil de pagos'!$A$4:$A$46,'perfil de pagos'!$B$4:$B$46+'FACP$'!$D4441)</f>
        <v>45282</v>
      </c>
      <c r="Q4441" s="165">
        <f t="shared" si="2"/>
        <v>0</v>
      </c>
      <c r="R4441" s="167"/>
      <c r="S4441" s="167">
        <v>2660.0</v>
      </c>
      <c r="T4441" s="168">
        <f t="shared" si="3"/>
        <v>174578.8864</v>
      </c>
      <c r="U4441" s="168">
        <f t="shared" si="4"/>
        <v>0</v>
      </c>
      <c r="V4441" s="168">
        <f t="shared" si="5"/>
        <v>0</v>
      </c>
      <c r="W4441" s="168">
        <f t="shared" si="6"/>
        <v>0</v>
      </c>
      <c r="X4441" s="168">
        <f t="shared" si="7"/>
        <v>0</v>
      </c>
      <c r="Y4441" s="168">
        <f t="shared" si="8"/>
        <v>0</v>
      </c>
      <c r="Z4441" s="168">
        <f t="shared" si="9"/>
        <v>0</v>
      </c>
    </row>
    <row r="4442" ht="15.0" customHeight="1">
      <c r="A4442" s="157" t="s">
        <v>5643</v>
      </c>
      <c r="B4442" s="158" t="s">
        <v>27</v>
      </c>
      <c r="C4442" s="158" t="s">
        <v>5644</v>
      </c>
      <c r="D4442" s="159">
        <v>45252.0</v>
      </c>
      <c r="E4442" s="157" t="s">
        <v>731</v>
      </c>
      <c r="F4442" s="160">
        <v>126154.84</v>
      </c>
      <c r="G4442" s="160">
        <f>'FACP$'!$F4442*0.16</f>
        <v>20184.7744</v>
      </c>
      <c r="H4442" s="160">
        <f t="shared" si="124"/>
        <v>146339.6144</v>
      </c>
      <c r="I4442" s="160"/>
      <c r="J4442" s="161"/>
      <c r="K4442" s="160"/>
      <c r="L4442" s="160">
        <f>+'FACP$'!$H4442-'FACP$'!$I4442-'FACP$'!$K4442</f>
        <v>146339.6144</v>
      </c>
      <c r="M4442" s="162" t="s">
        <v>158</v>
      </c>
      <c r="N4442" s="162" t="s">
        <v>554</v>
      </c>
      <c r="O4442" s="164">
        <v>45274.0</v>
      </c>
      <c r="P4442" s="164">
        <f t="array" ref="P4442">XLOOKUP('FACP$'!$B4442,'perfil de pagos'!$A$4:$A$46,'perfil de pagos'!$B$4:$B$46+'FACP$'!$D4442)</f>
        <v>45282</v>
      </c>
      <c r="Q4442" s="165">
        <f t="shared" si="2"/>
        <v>0</v>
      </c>
      <c r="R4442" s="167"/>
      <c r="S4442" s="167">
        <v>2662.0</v>
      </c>
      <c r="T4442" s="168">
        <f t="shared" si="3"/>
        <v>146339.6144</v>
      </c>
      <c r="U4442" s="168">
        <f t="shared" si="4"/>
        <v>0</v>
      </c>
      <c r="V4442" s="168">
        <f t="shared" si="5"/>
        <v>0</v>
      </c>
      <c r="W4442" s="168">
        <f t="shared" si="6"/>
        <v>0</v>
      </c>
      <c r="X4442" s="168">
        <f t="shared" si="7"/>
        <v>0</v>
      </c>
      <c r="Y4442" s="168">
        <f t="shared" si="8"/>
        <v>0</v>
      </c>
      <c r="Z4442" s="168">
        <f t="shared" si="9"/>
        <v>0</v>
      </c>
    </row>
    <row r="4443" ht="15.0" customHeight="1">
      <c r="A4443" s="157" t="s">
        <v>5645</v>
      </c>
      <c r="B4443" s="158" t="s">
        <v>27</v>
      </c>
      <c r="C4443" s="158" t="s">
        <v>5642</v>
      </c>
      <c r="D4443" s="159">
        <v>45252.0</v>
      </c>
      <c r="E4443" s="157" t="s">
        <v>731</v>
      </c>
      <c r="F4443" s="160">
        <v>295474.85</v>
      </c>
      <c r="G4443" s="160">
        <f>'FACP$'!$F4443*0.16</f>
        <v>47275.976</v>
      </c>
      <c r="H4443" s="160">
        <f t="shared" si="124"/>
        <v>342750.826</v>
      </c>
      <c r="I4443" s="160"/>
      <c r="J4443" s="161"/>
      <c r="K4443" s="160"/>
      <c r="L4443" s="160">
        <f>+'FACP$'!$H4443-'FACP$'!$I4443-'FACP$'!$K4443</f>
        <v>342750.826</v>
      </c>
      <c r="M4443" s="162" t="s">
        <v>151</v>
      </c>
      <c r="N4443" s="162" t="s">
        <v>554</v>
      </c>
      <c r="O4443" s="164">
        <v>45272.0</v>
      </c>
      <c r="P4443" s="164">
        <f t="array" ref="P4443">XLOOKUP('FACP$'!$B4443,'perfil de pagos'!$A$4:$A$46,'perfil de pagos'!$B$4:$B$46+'FACP$'!$D4443)</f>
        <v>45282</v>
      </c>
      <c r="Q4443" s="165">
        <f t="shared" si="2"/>
        <v>0</v>
      </c>
      <c r="R4443" s="167"/>
      <c r="S4443" s="167">
        <v>2655.0</v>
      </c>
      <c r="T4443" s="168">
        <f t="shared" si="3"/>
        <v>342750.826</v>
      </c>
      <c r="U4443" s="168">
        <f t="shared" si="4"/>
        <v>0</v>
      </c>
      <c r="V4443" s="168">
        <f t="shared" si="5"/>
        <v>0</v>
      </c>
      <c r="W4443" s="168">
        <f t="shared" si="6"/>
        <v>0</v>
      </c>
      <c r="X4443" s="168">
        <f t="shared" si="7"/>
        <v>0</v>
      </c>
      <c r="Y4443" s="168">
        <f t="shared" si="8"/>
        <v>0</v>
      </c>
      <c r="Z4443" s="168">
        <f t="shared" si="9"/>
        <v>0</v>
      </c>
    </row>
    <row r="4444" ht="15.0" customHeight="1">
      <c r="A4444" s="157" t="s">
        <v>5646</v>
      </c>
      <c r="B4444" s="158" t="s">
        <v>27</v>
      </c>
      <c r="C4444" s="158" t="s">
        <v>5644</v>
      </c>
      <c r="D4444" s="159">
        <v>45252.0</v>
      </c>
      <c r="E4444" s="157" t="s">
        <v>731</v>
      </c>
      <c r="F4444" s="160">
        <v>230019.54</v>
      </c>
      <c r="G4444" s="160">
        <f>'FACP$'!$F4444*0.16</f>
        <v>36803.1264</v>
      </c>
      <c r="H4444" s="160">
        <f t="shared" si="124"/>
        <v>266822.6664</v>
      </c>
      <c r="I4444" s="160"/>
      <c r="J4444" s="161"/>
      <c r="K4444" s="160"/>
      <c r="L4444" s="160">
        <f>+'FACP$'!$H4444-'FACP$'!$I4444-'FACP$'!$K4444</f>
        <v>266822.6664</v>
      </c>
      <c r="M4444" s="162" t="s">
        <v>151</v>
      </c>
      <c r="N4444" s="162" t="s">
        <v>554</v>
      </c>
      <c r="O4444" s="164">
        <v>45274.0</v>
      </c>
      <c r="P4444" s="164">
        <f t="array" ref="P4444">XLOOKUP('FACP$'!$B4444,'perfil de pagos'!$A$4:$A$46,'perfil de pagos'!$B$4:$B$46+'FACP$'!$D4444)</f>
        <v>45282</v>
      </c>
      <c r="Q4444" s="165">
        <f t="shared" si="2"/>
        <v>0</v>
      </c>
      <c r="R4444" s="167"/>
      <c r="S4444" s="167">
        <v>2663.0</v>
      </c>
      <c r="T4444" s="168">
        <f t="shared" si="3"/>
        <v>266822.6664</v>
      </c>
      <c r="U4444" s="168">
        <f t="shared" si="4"/>
        <v>0</v>
      </c>
      <c r="V4444" s="168">
        <f t="shared" si="5"/>
        <v>0</v>
      </c>
      <c r="W4444" s="168">
        <f t="shared" si="6"/>
        <v>0</v>
      </c>
      <c r="X4444" s="168">
        <f t="shared" si="7"/>
        <v>0</v>
      </c>
      <c r="Y4444" s="168">
        <f t="shared" si="8"/>
        <v>0</v>
      </c>
      <c r="Z4444" s="168">
        <f t="shared" si="9"/>
        <v>0</v>
      </c>
    </row>
    <row r="4445" ht="15.0" customHeight="1">
      <c r="A4445" s="157" t="s">
        <v>5647</v>
      </c>
      <c r="B4445" s="158" t="s">
        <v>27</v>
      </c>
      <c r="C4445" s="158" t="s">
        <v>5642</v>
      </c>
      <c r="D4445" s="159">
        <v>45252.0</v>
      </c>
      <c r="E4445" s="157" t="s">
        <v>731</v>
      </c>
      <c r="F4445" s="160">
        <v>10355.86</v>
      </c>
      <c r="G4445" s="160">
        <f>'FACP$'!$F4445*0.16</f>
        <v>1656.9376</v>
      </c>
      <c r="H4445" s="160">
        <f t="shared" si="124"/>
        <v>12012.7976</v>
      </c>
      <c r="I4445" s="160"/>
      <c r="J4445" s="161"/>
      <c r="K4445" s="160"/>
      <c r="L4445" s="160">
        <f>+'FACP$'!$H4445-'FACP$'!$I4445-'FACP$'!$K4445</f>
        <v>12012.7976</v>
      </c>
      <c r="M4445" s="162" t="s">
        <v>151</v>
      </c>
      <c r="N4445" s="162" t="s">
        <v>554</v>
      </c>
      <c r="O4445" s="164">
        <v>45272.0</v>
      </c>
      <c r="P4445" s="164">
        <f t="array" ref="P4445">XLOOKUP('FACP$'!$B4445,'perfil de pagos'!$A$4:$A$46,'perfil de pagos'!$B$4:$B$46+'FACP$'!$D4445)</f>
        <v>45282</v>
      </c>
      <c r="Q4445" s="165">
        <f t="shared" si="2"/>
        <v>0</v>
      </c>
      <c r="R4445" s="167"/>
      <c r="S4445" s="167">
        <v>2655.0</v>
      </c>
      <c r="T4445" s="168">
        <f t="shared" si="3"/>
        <v>12012.7976</v>
      </c>
      <c r="U4445" s="168">
        <f t="shared" si="4"/>
        <v>0</v>
      </c>
      <c r="V4445" s="168">
        <f t="shared" si="5"/>
        <v>0</v>
      </c>
      <c r="W4445" s="168">
        <f t="shared" si="6"/>
        <v>0</v>
      </c>
      <c r="X4445" s="168">
        <f t="shared" si="7"/>
        <v>0</v>
      </c>
      <c r="Y4445" s="168">
        <f t="shared" si="8"/>
        <v>0</v>
      </c>
      <c r="Z4445" s="168">
        <f t="shared" si="9"/>
        <v>0</v>
      </c>
    </row>
    <row r="4446" ht="15.0" customHeight="1">
      <c r="A4446" s="157" t="s">
        <v>5648</v>
      </c>
      <c r="B4446" s="158" t="s">
        <v>27</v>
      </c>
      <c r="C4446" s="158" t="s">
        <v>5644</v>
      </c>
      <c r="D4446" s="159">
        <v>45252.0</v>
      </c>
      <c r="E4446" s="157" t="s">
        <v>731</v>
      </c>
      <c r="F4446" s="160">
        <v>12541.03</v>
      </c>
      <c r="G4446" s="160">
        <f>'FACP$'!$F4446*0.16</f>
        <v>2006.5648</v>
      </c>
      <c r="H4446" s="160">
        <f t="shared" si="124"/>
        <v>14547.5948</v>
      </c>
      <c r="I4446" s="160"/>
      <c r="J4446" s="161"/>
      <c r="K4446" s="160"/>
      <c r="L4446" s="160">
        <f>+'FACP$'!$H4446-'FACP$'!$I4446-'FACP$'!$K4446</f>
        <v>14547.5948</v>
      </c>
      <c r="M4446" s="162" t="s">
        <v>151</v>
      </c>
      <c r="N4446" s="162" t="s">
        <v>554</v>
      </c>
      <c r="O4446" s="164">
        <v>45274.0</v>
      </c>
      <c r="P4446" s="164">
        <f t="array" ref="P4446">XLOOKUP('FACP$'!$B4446,'perfil de pagos'!$A$4:$A$46,'perfil de pagos'!$B$4:$B$46+'FACP$'!$D4446)</f>
        <v>45282</v>
      </c>
      <c r="Q4446" s="165">
        <f t="shared" si="2"/>
        <v>0</v>
      </c>
      <c r="R4446" s="167"/>
      <c r="S4446" s="167">
        <v>2663.0</v>
      </c>
      <c r="T4446" s="168">
        <f t="shared" si="3"/>
        <v>14547.5948</v>
      </c>
      <c r="U4446" s="168">
        <f t="shared" si="4"/>
        <v>0</v>
      </c>
      <c r="V4446" s="168">
        <f t="shared" si="5"/>
        <v>0</v>
      </c>
      <c r="W4446" s="168">
        <f t="shared" si="6"/>
        <v>0</v>
      </c>
      <c r="X4446" s="168">
        <f t="shared" si="7"/>
        <v>0</v>
      </c>
      <c r="Y4446" s="168">
        <f t="shared" si="8"/>
        <v>0</v>
      </c>
      <c r="Z4446" s="168">
        <f t="shared" si="9"/>
        <v>0</v>
      </c>
    </row>
    <row r="4447" ht="15.0" customHeight="1">
      <c r="A4447" s="157" t="s">
        <v>5649</v>
      </c>
      <c r="B4447" s="158" t="s">
        <v>22</v>
      </c>
      <c r="C4447" s="158" t="s">
        <v>5626</v>
      </c>
      <c r="D4447" s="159">
        <v>45253.0</v>
      </c>
      <c r="E4447" s="157" t="s">
        <v>731</v>
      </c>
      <c r="F4447" s="160">
        <v>173550.45</v>
      </c>
      <c r="G4447" s="160">
        <f>'FACP$'!$F4447*0.16</f>
        <v>27768.072</v>
      </c>
      <c r="H4447" s="160">
        <f t="shared" si="124"/>
        <v>201318.522</v>
      </c>
      <c r="I4447" s="160">
        <v>71810.13</v>
      </c>
      <c r="J4447" s="161"/>
      <c r="K4447" s="160"/>
      <c r="L4447" s="160">
        <f>+'FACP$'!$H4447-'FACP$'!$I4447-'FACP$'!$K4447</f>
        <v>129508.392</v>
      </c>
      <c r="M4447" s="162" t="s">
        <v>220</v>
      </c>
      <c r="N4447" s="162" t="s">
        <v>554</v>
      </c>
      <c r="O4447" s="164">
        <v>45293.0</v>
      </c>
      <c r="P4447" s="164">
        <f t="array" ref="P4447">XLOOKUP('FACP$'!$B4447,'perfil de pagos'!$A$4:$A$46,'perfil de pagos'!$B$4:$B$46+'FACP$'!$D4447)</f>
        <v>45263</v>
      </c>
      <c r="Q4447" s="165">
        <f t="shared" si="2"/>
        <v>0</v>
      </c>
      <c r="R4447" s="220" t="s">
        <v>5650</v>
      </c>
      <c r="S4447" s="167">
        <v>2709.0</v>
      </c>
      <c r="T4447" s="168">
        <f t="shared" si="3"/>
        <v>129508.392</v>
      </c>
      <c r="U4447" s="168">
        <f t="shared" si="4"/>
        <v>0</v>
      </c>
      <c r="V4447" s="168">
        <f t="shared" si="5"/>
        <v>0</v>
      </c>
      <c r="W4447" s="168">
        <f t="shared" si="6"/>
        <v>0</v>
      </c>
      <c r="X4447" s="168">
        <f t="shared" si="7"/>
        <v>0</v>
      </c>
      <c r="Y4447" s="168">
        <f t="shared" si="8"/>
        <v>0</v>
      </c>
      <c r="Z4447" s="168">
        <f t="shared" si="9"/>
        <v>0</v>
      </c>
    </row>
    <row r="4448" ht="15.0" customHeight="1">
      <c r="A4448" s="157" t="s">
        <v>5651</v>
      </c>
      <c r="B4448" s="158" t="s">
        <v>29</v>
      </c>
      <c r="C4448" s="158" t="s">
        <v>5626</v>
      </c>
      <c r="D4448" s="159">
        <v>45253.0</v>
      </c>
      <c r="E4448" s="157" t="s">
        <v>731</v>
      </c>
      <c r="F4448" s="160">
        <v>233904.9</v>
      </c>
      <c r="G4448" s="160">
        <f>'FACP$'!$F4448*0.16</f>
        <v>37424.784</v>
      </c>
      <c r="H4448" s="160">
        <f t="shared" si="124"/>
        <v>271329.684</v>
      </c>
      <c r="I4448" s="160"/>
      <c r="J4448" s="161"/>
      <c r="K4448" s="160"/>
      <c r="L4448" s="160">
        <f>+'FACP$'!$H4448-'FACP$'!$I4448-'FACP$'!$K4448</f>
        <v>271329.684</v>
      </c>
      <c r="M4448" s="162" t="s">
        <v>130</v>
      </c>
      <c r="N4448" s="162" t="s">
        <v>554</v>
      </c>
      <c r="O4448" s="164">
        <v>45273.0</v>
      </c>
      <c r="P4448" s="164">
        <f t="array" ref="P4448">XLOOKUP('FACP$'!$B4448,'perfil de pagos'!$A$4:$A$46,'perfil de pagos'!$B$4:$B$46+'FACP$'!$D4448)</f>
        <v>45263</v>
      </c>
      <c r="Q4448" s="165">
        <f t="shared" si="2"/>
        <v>0</v>
      </c>
      <c r="R4448" s="167"/>
      <c r="S4448" s="167">
        <v>2656.0</v>
      </c>
      <c r="T4448" s="168">
        <f t="shared" si="3"/>
        <v>271329.684</v>
      </c>
      <c r="U4448" s="168">
        <f t="shared" si="4"/>
        <v>0</v>
      </c>
      <c r="V4448" s="168">
        <f t="shared" si="5"/>
        <v>0</v>
      </c>
      <c r="W4448" s="168">
        <f t="shared" si="6"/>
        <v>0</v>
      </c>
      <c r="X4448" s="168">
        <f t="shared" si="7"/>
        <v>0</v>
      </c>
      <c r="Y4448" s="168">
        <f t="shared" si="8"/>
        <v>0</v>
      </c>
      <c r="Z4448" s="168">
        <f t="shared" si="9"/>
        <v>0</v>
      </c>
    </row>
    <row r="4449" ht="15.0" customHeight="1">
      <c r="A4449" s="157" t="s">
        <v>5652</v>
      </c>
      <c r="B4449" s="158" t="s">
        <v>29</v>
      </c>
      <c r="C4449" s="158" t="s">
        <v>5653</v>
      </c>
      <c r="D4449" s="159">
        <v>45253.0</v>
      </c>
      <c r="E4449" s="157" t="s">
        <v>731</v>
      </c>
      <c r="F4449" s="160">
        <v>368371.28</v>
      </c>
      <c r="G4449" s="160">
        <f>'FACP$'!$F4449*0.16</f>
        <v>58939.4048</v>
      </c>
      <c r="H4449" s="160">
        <f t="shared" si="124"/>
        <v>427310.6848</v>
      </c>
      <c r="I4449" s="160"/>
      <c r="J4449" s="161"/>
      <c r="K4449" s="160"/>
      <c r="L4449" s="160">
        <f>+'FACP$'!$H4449-'FACP$'!$I4449-'FACP$'!$K4449</f>
        <v>427310.6848</v>
      </c>
      <c r="M4449" s="162" t="s">
        <v>130</v>
      </c>
      <c r="N4449" s="162" t="s">
        <v>554</v>
      </c>
      <c r="O4449" s="164">
        <v>45266.0</v>
      </c>
      <c r="P4449" s="164">
        <f t="array" ref="P4449">XLOOKUP('FACP$'!$B4449,'perfil de pagos'!$A$4:$A$46,'perfil de pagos'!$B$4:$B$46+'FACP$'!$D4449)</f>
        <v>45263</v>
      </c>
      <c r="Q4449" s="165">
        <f t="shared" si="2"/>
        <v>0</v>
      </c>
      <c r="R4449" s="167"/>
      <c r="S4449" s="167">
        <v>2636.0</v>
      </c>
      <c r="T4449" s="168">
        <f t="shared" si="3"/>
        <v>427310.6848</v>
      </c>
      <c r="U4449" s="168">
        <f t="shared" si="4"/>
        <v>0</v>
      </c>
      <c r="V4449" s="168">
        <f t="shared" si="5"/>
        <v>0</v>
      </c>
      <c r="W4449" s="168">
        <f t="shared" si="6"/>
        <v>0</v>
      </c>
      <c r="X4449" s="168">
        <f t="shared" si="7"/>
        <v>0</v>
      </c>
      <c r="Y4449" s="168">
        <f t="shared" si="8"/>
        <v>0</v>
      </c>
      <c r="Z4449" s="168">
        <f t="shared" si="9"/>
        <v>0</v>
      </c>
    </row>
    <row r="4450" ht="15.0" customHeight="1">
      <c r="A4450" s="157" t="s">
        <v>5654</v>
      </c>
      <c r="B4450" s="158" t="s">
        <v>16</v>
      </c>
      <c r="C4450" s="158" t="s">
        <v>5626</v>
      </c>
      <c r="D4450" s="159">
        <v>45253.0</v>
      </c>
      <c r="E4450" s="157" t="s">
        <v>731</v>
      </c>
      <c r="F4450" s="160">
        <v>277995.18</v>
      </c>
      <c r="G4450" s="160">
        <f>'FACP$'!$F4450*0.16</f>
        <v>44479.2288</v>
      </c>
      <c r="H4450" s="160">
        <f t="shared" si="124"/>
        <v>322474.4088</v>
      </c>
      <c r="I4450" s="160"/>
      <c r="J4450" s="161"/>
      <c r="K4450" s="160"/>
      <c r="L4450" s="160">
        <f>+'FACP$'!$H4450-'FACP$'!$I4450-'FACP$'!$K4450</f>
        <v>322474.4088</v>
      </c>
      <c r="M4450" s="162" t="s">
        <v>985</v>
      </c>
      <c r="N4450" s="162" t="s">
        <v>554</v>
      </c>
      <c r="O4450" s="164">
        <v>45273.0</v>
      </c>
      <c r="P4450" s="164">
        <f t="array" ref="P4450">XLOOKUP('FACP$'!$B4450,'perfil de pagos'!$A$4:$A$46,'perfil de pagos'!$B$4:$B$46+'FACP$'!$D4450)</f>
        <v>45263</v>
      </c>
      <c r="Q4450" s="165">
        <f t="shared" si="2"/>
        <v>0</v>
      </c>
      <c r="R4450" s="167"/>
      <c r="S4450" s="167">
        <v>2659.0</v>
      </c>
      <c r="T4450" s="168">
        <f t="shared" si="3"/>
        <v>322474.4088</v>
      </c>
      <c r="U4450" s="168">
        <f t="shared" si="4"/>
        <v>0</v>
      </c>
      <c r="V4450" s="168">
        <f t="shared" si="5"/>
        <v>0</v>
      </c>
      <c r="W4450" s="168">
        <f t="shared" si="6"/>
        <v>0</v>
      </c>
      <c r="X4450" s="168">
        <f t="shared" si="7"/>
        <v>0</v>
      </c>
      <c r="Y4450" s="168">
        <f t="shared" si="8"/>
        <v>0</v>
      </c>
      <c r="Z4450" s="168">
        <f t="shared" si="9"/>
        <v>0</v>
      </c>
    </row>
    <row r="4451" ht="15.0" customHeight="1">
      <c r="A4451" s="157" t="s">
        <v>5655</v>
      </c>
      <c r="B4451" s="158" t="s">
        <v>16</v>
      </c>
      <c r="C4451" s="158" t="s">
        <v>5653</v>
      </c>
      <c r="D4451" s="159">
        <v>45253.0</v>
      </c>
      <c r="E4451" s="157" t="s">
        <v>731</v>
      </c>
      <c r="F4451" s="160">
        <v>453126.36</v>
      </c>
      <c r="G4451" s="160">
        <f>'FACP$'!$F4451*0.16</f>
        <v>72500.2176</v>
      </c>
      <c r="H4451" s="160">
        <f t="shared" si="124"/>
        <v>525626.5776</v>
      </c>
      <c r="I4451" s="160"/>
      <c r="J4451" s="161"/>
      <c r="K4451" s="160"/>
      <c r="L4451" s="160">
        <f>+'FACP$'!$H4451-'FACP$'!$I4451-'FACP$'!$K4451</f>
        <v>525626.5776</v>
      </c>
      <c r="M4451" s="162" t="s">
        <v>985</v>
      </c>
      <c r="N4451" s="162" t="s">
        <v>554</v>
      </c>
      <c r="O4451" s="164">
        <v>45273.0</v>
      </c>
      <c r="P4451" s="164">
        <f t="array" ref="P4451">XLOOKUP('FACP$'!$B4451,'perfil de pagos'!$A$4:$A$46,'perfil de pagos'!$B$4:$B$46+'FACP$'!$D4451)</f>
        <v>45263</v>
      </c>
      <c r="Q4451" s="165">
        <f t="shared" si="2"/>
        <v>0</v>
      </c>
      <c r="R4451" s="167"/>
      <c r="S4451" s="167">
        <v>2659.0</v>
      </c>
      <c r="T4451" s="168">
        <f t="shared" si="3"/>
        <v>525626.5776</v>
      </c>
      <c r="U4451" s="168">
        <f t="shared" si="4"/>
        <v>0</v>
      </c>
      <c r="V4451" s="168">
        <f t="shared" si="5"/>
        <v>0</v>
      </c>
      <c r="W4451" s="168">
        <f t="shared" si="6"/>
        <v>0</v>
      </c>
      <c r="X4451" s="168">
        <f t="shared" si="7"/>
        <v>0</v>
      </c>
      <c r="Y4451" s="168">
        <f t="shared" si="8"/>
        <v>0</v>
      </c>
      <c r="Z4451" s="168">
        <f t="shared" si="9"/>
        <v>0</v>
      </c>
    </row>
    <row r="4452" ht="15.0" customHeight="1">
      <c r="A4452" s="157" t="s">
        <v>5656</v>
      </c>
      <c r="B4452" s="158" t="s">
        <v>25</v>
      </c>
      <c r="C4452" s="158" t="s">
        <v>5626</v>
      </c>
      <c r="D4452" s="159">
        <v>45253.0</v>
      </c>
      <c r="E4452" s="157" t="s">
        <v>731</v>
      </c>
      <c r="F4452" s="160">
        <v>57603.83</v>
      </c>
      <c r="G4452" s="160">
        <f>'FACP$'!$F4452*0.16</f>
        <v>9216.6128</v>
      </c>
      <c r="H4452" s="160">
        <f t="shared" si="124"/>
        <v>66820.4428</v>
      </c>
      <c r="I4452" s="160"/>
      <c r="J4452" s="161"/>
      <c r="K4452" s="160"/>
      <c r="L4452" s="160">
        <f>+'FACP$'!$H4452-'FACP$'!$I4452-'FACP$'!$K4452</f>
        <v>66820.4428</v>
      </c>
      <c r="M4452" s="162" t="s">
        <v>4388</v>
      </c>
      <c r="N4452" s="162" t="s">
        <v>554</v>
      </c>
      <c r="O4452" s="164">
        <v>45280.0</v>
      </c>
      <c r="P4452" s="164">
        <f t="array" ref="P4452">XLOOKUP('FACP$'!$B4452,'perfil de pagos'!$A$4:$A$46,'perfil de pagos'!$B$4:$B$46+'FACP$'!$D4452)</f>
        <v>45263</v>
      </c>
      <c r="Q4452" s="165">
        <f t="shared" si="2"/>
        <v>0</v>
      </c>
      <c r="R4452" s="167"/>
      <c r="S4452" s="167">
        <v>2673.0</v>
      </c>
      <c r="T4452" s="168">
        <f t="shared" si="3"/>
        <v>66820.4428</v>
      </c>
      <c r="U4452" s="168">
        <f t="shared" si="4"/>
        <v>0</v>
      </c>
      <c r="V4452" s="168">
        <f t="shared" si="5"/>
        <v>0</v>
      </c>
      <c r="W4452" s="168">
        <f t="shared" si="6"/>
        <v>0</v>
      </c>
      <c r="X4452" s="168">
        <f t="shared" si="7"/>
        <v>0</v>
      </c>
      <c r="Y4452" s="168">
        <f t="shared" si="8"/>
        <v>0</v>
      </c>
      <c r="Z4452" s="168">
        <f t="shared" si="9"/>
        <v>0</v>
      </c>
    </row>
    <row r="4453" ht="15.0" customHeight="1">
      <c r="A4453" s="157" t="s">
        <v>5657</v>
      </c>
      <c r="B4453" s="158" t="s">
        <v>38</v>
      </c>
      <c r="C4453" s="158" t="s">
        <v>5626</v>
      </c>
      <c r="D4453" s="159">
        <v>45253.0</v>
      </c>
      <c r="E4453" s="157" t="s">
        <v>731</v>
      </c>
      <c r="F4453" s="160">
        <v>170449.23</v>
      </c>
      <c r="G4453" s="160">
        <f>'FACP$'!$F4453*0.16</f>
        <v>27271.8768</v>
      </c>
      <c r="H4453" s="160">
        <f t="shared" si="124"/>
        <v>197721.1068</v>
      </c>
      <c r="I4453" s="160"/>
      <c r="J4453" s="161"/>
      <c r="K4453" s="160"/>
      <c r="L4453" s="160">
        <f>+'FACP$'!$H4453-'FACP$'!$I4453-'FACP$'!$K4453</f>
        <v>197721.1068</v>
      </c>
      <c r="M4453" s="162" t="s">
        <v>642</v>
      </c>
      <c r="N4453" s="162" t="s">
        <v>554</v>
      </c>
      <c r="O4453" s="164">
        <v>45301.0</v>
      </c>
      <c r="P4453" s="164">
        <f t="array" ref="P4453">XLOOKUP('FACP$'!$B4453,'perfil de pagos'!$A$4:$A$46,'perfil de pagos'!$B$4:$B$46+'FACP$'!$D4453)</f>
        <v>45283</v>
      </c>
      <c r="Q4453" s="165">
        <f t="shared" si="2"/>
        <v>0</v>
      </c>
      <c r="R4453" s="167"/>
      <c r="S4453" s="167">
        <v>2726.0</v>
      </c>
      <c r="T4453" s="168">
        <f t="shared" si="3"/>
        <v>197721.1068</v>
      </c>
      <c r="U4453" s="168">
        <f t="shared" si="4"/>
        <v>0</v>
      </c>
      <c r="V4453" s="168">
        <f t="shared" si="5"/>
        <v>0</v>
      </c>
      <c r="W4453" s="168">
        <f t="shared" si="6"/>
        <v>0</v>
      </c>
      <c r="X4453" s="168">
        <f t="shared" si="7"/>
        <v>0</v>
      </c>
      <c r="Y4453" s="168">
        <f t="shared" si="8"/>
        <v>0</v>
      </c>
      <c r="Z4453" s="168">
        <f t="shared" si="9"/>
        <v>0</v>
      </c>
    </row>
    <row r="4454" ht="15.0" customHeight="1">
      <c r="A4454" s="157" t="s">
        <v>5658</v>
      </c>
      <c r="B4454" s="158" t="s">
        <v>38</v>
      </c>
      <c r="C4454" s="158" t="s">
        <v>5653</v>
      </c>
      <c r="D4454" s="159">
        <v>45253.0</v>
      </c>
      <c r="E4454" s="157" t="s">
        <v>731</v>
      </c>
      <c r="F4454" s="160">
        <v>411954.2</v>
      </c>
      <c r="G4454" s="160">
        <f>'FACP$'!$F4454*0.16</f>
        <v>65912.672</v>
      </c>
      <c r="H4454" s="160">
        <f t="shared" si="124"/>
        <v>477866.872</v>
      </c>
      <c r="I4454" s="160"/>
      <c r="J4454" s="161"/>
      <c r="K4454" s="160"/>
      <c r="L4454" s="160">
        <f>+'FACP$'!$H4454-'FACP$'!$I4454-'FACP$'!$K4454</f>
        <v>477866.872</v>
      </c>
      <c r="M4454" s="162" t="s">
        <v>145</v>
      </c>
      <c r="N4454" s="162" t="s">
        <v>554</v>
      </c>
      <c r="O4454" s="164">
        <v>45301.0</v>
      </c>
      <c r="P4454" s="164">
        <f t="array" ref="P4454">XLOOKUP('FACP$'!$B4454,'perfil de pagos'!$A$4:$A$46,'perfil de pagos'!$B$4:$B$46+'FACP$'!$D4454)</f>
        <v>45283</v>
      </c>
      <c r="Q4454" s="165">
        <f t="shared" si="2"/>
        <v>0</v>
      </c>
      <c r="R4454" s="167"/>
      <c r="S4454" s="167">
        <v>2726.0</v>
      </c>
      <c r="T4454" s="168">
        <f t="shared" si="3"/>
        <v>477866.872</v>
      </c>
      <c r="U4454" s="168">
        <f t="shared" si="4"/>
        <v>0</v>
      </c>
      <c r="V4454" s="168">
        <f t="shared" si="5"/>
        <v>0</v>
      </c>
      <c r="W4454" s="168">
        <f t="shared" si="6"/>
        <v>0</v>
      </c>
      <c r="X4454" s="168">
        <f t="shared" si="7"/>
        <v>0</v>
      </c>
      <c r="Y4454" s="168">
        <f t="shared" si="8"/>
        <v>0</v>
      </c>
      <c r="Z4454" s="168">
        <f t="shared" si="9"/>
        <v>0</v>
      </c>
    </row>
    <row r="4455" ht="15.0" customHeight="1">
      <c r="A4455" s="157" t="s">
        <v>5659</v>
      </c>
      <c r="B4455" s="158" t="s">
        <v>37</v>
      </c>
      <c r="C4455" s="158" t="s">
        <v>5626</v>
      </c>
      <c r="D4455" s="159">
        <v>45253.0</v>
      </c>
      <c r="E4455" s="157" t="s">
        <v>731</v>
      </c>
      <c r="F4455" s="160">
        <v>1331578.84</v>
      </c>
      <c r="G4455" s="160">
        <f>'FACP$'!$F4455*0.16</f>
        <v>213052.6144</v>
      </c>
      <c r="H4455" s="160">
        <f t="shared" si="124"/>
        <v>1544631.454</v>
      </c>
      <c r="I4455" s="160"/>
      <c r="J4455" s="161"/>
      <c r="K4455" s="160"/>
      <c r="L4455" s="160">
        <f>+'FACP$'!$H4455-'FACP$'!$I4455-'FACP$'!$K4455</f>
        <v>1544631.454</v>
      </c>
      <c r="M4455" s="162" t="s">
        <v>116</v>
      </c>
      <c r="N4455" s="162" t="s">
        <v>554</v>
      </c>
      <c r="O4455" s="164">
        <v>45264.0</v>
      </c>
      <c r="P4455" s="164">
        <f t="array" ref="P4455">XLOOKUP('FACP$'!$B4455,'perfil de pagos'!$A$4:$A$46,'perfil de pagos'!$B$4:$B$46+'FACP$'!$D4455)</f>
        <v>45263</v>
      </c>
      <c r="Q4455" s="165">
        <f t="shared" si="2"/>
        <v>0</v>
      </c>
      <c r="R4455" s="167"/>
      <c r="S4455" s="167">
        <v>2630.0</v>
      </c>
      <c r="T4455" s="168">
        <f t="shared" si="3"/>
        <v>1544631.454</v>
      </c>
      <c r="U4455" s="168">
        <f t="shared" si="4"/>
        <v>0</v>
      </c>
      <c r="V4455" s="168">
        <f t="shared" si="5"/>
        <v>0</v>
      </c>
      <c r="W4455" s="168">
        <f t="shared" si="6"/>
        <v>0</v>
      </c>
      <c r="X4455" s="168">
        <f t="shared" si="7"/>
        <v>0</v>
      </c>
      <c r="Y4455" s="168">
        <f t="shared" si="8"/>
        <v>0</v>
      </c>
      <c r="Z4455" s="168">
        <f t="shared" si="9"/>
        <v>0</v>
      </c>
    </row>
    <row r="4456" ht="15.0" customHeight="1">
      <c r="A4456" s="157" t="s">
        <v>5660</v>
      </c>
      <c r="B4456" s="158" t="s">
        <v>19</v>
      </c>
      <c r="C4456" s="158" t="s">
        <v>5626</v>
      </c>
      <c r="D4456" s="159">
        <v>45253.0</v>
      </c>
      <c r="E4456" s="157" t="s">
        <v>731</v>
      </c>
      <c r="F4456" s="160">
        <v>185905.23</v>
      </c>
      <c r="G4456" s="160">
        <f>'FACP$'!$F4456*0.16</f>
        <v>29744.8368</v>
      </c>
      <c r="H4456" s="160">
        <f t="shared" si="124"/>
        <v>215650.0668</v>
      </c>
      <c r="I4456" s="160"/>
      <c r="J4456" s="161"/>
      <c r="K4456" s="160"/>
      <c r="L4456" s="160">
        <f>+'FACP$'!$H4456-'FACP$'!$I4456-'FACP$'!$K4456</f>
        <v>215650.0668</v>
      </c>
      <c r="M4456" s="162" t="s">
        <v>732</v>
      </c>
      <c r="N4456" s="162" t="s">
        <v>554</v>
      </c>
      <c r="O4456" s="164">
        <v>45260.0</v>
      </c>
      <c r="P4456" s="164">
        <f t="array" ref="P4456">XLOOKUP('FACP$'!$B4456,'perfil de pagos'!$A$4:$A$46,'perfil de pagos'!$B$4:$B$46+'FACP$'!$D4456)</f>
        <v>45263</v>
      </c>
      <c r="Q4456" s="165">
        <f t="shared" si="2"/>
        <v>0</v>
      </c>
      <c r="R4456" s="167"/>
      <c r="S4456" s="167">
        <v>2623.0</v>
      </c>
      <c r="T4456" s="168">
        <f t="shared" si="3"/>
        <v>215650.0668</v>
      </c>
      <c r="U4456" s="168">
        <f t="shared" si="4"/>
        <v>0</v>
      </c>
      <c r="V4456" s="168">
        <f t="shared" si="5"/>
        <v>0</v>
      </c>
      <c r="W4456" s="168">
        <f t="shared" si="6"/>
        <v>0</v>
      </c>
      <c r="X4456" s="168">
        <f t="shared" si="7"/>
        <v>0</v>
      </c>
      <c r="Y4456" s="168">
        <f t="shared" si="8"/>
        <v>0</v>
      </c>
      <c r="Z4456" s="168">
        <f t="shared" si="9"/>
        <v>0</v>
      </c>
    </row>
    <row r="4457" ht="15.0" customHeight="1">
      <c r="A4457" s="157" t="s">
        <v>5661</v>
      </c>
      <c r="B4457" s="158" t="s">
        <v>18</v>
      </c>
      <c r="C4457" s="158" t="s">
        <v>5626</v>
      </c>
      <c r="D4457" s="159">
        <v>45253.0</v>
      </c>
      <c r="E4457" s="157" t="s">
        <v>731</v>
      </c>
      <c r="F4457" s="160">
        <v>80928.16</v>
      </c>
      <c r="G4457" s="160">
        <f>'FACP$'!$F4457*0.16</f>
        <v>12948.5056</v>
      </c>
      <c r="H4457" s="160">
        <f t="shared" si="124"/>
        <v>93876.6656</v>
      </c>
      <c r="I4457" s="160"/>
      <c r="J4457" s="161"/>
      <c r="K4457" s="160"/>
      <c r="L4457" s="160">
        <f>+'FACP$'!$H4457-'FACP$'!$I4457-'FACP$'!$K4457</f>
        <v>93876.6656</v>
      </c>
      <c r="M4457" s="162" t="s">
        <v>586</v>
      </c>
      <c r="N4457" s="162" t="s">
        <v>554</v>
      </c>
      <c r="O4457" s="164">
        <v>45260.0</v>
      </c>
      <c r="P4457" s="164">
        <f t="array" ref="P4457">XLOOKUP('FACP$'!$B4457,'perfil de pagos'!$A$4:$A$46,'perfil de pagos'!$B$4:$B$46+'FACP$'!$D4457)</f>
        <v>45263</v>
      </c>
      <c r="Q4457" s="165">
        <f t="shared" si="2"/>
        <v>0</v>
      </c>
      <c r="R4457" s="167"/>
      <c r="S4457" s="167">
        <v>2623.0</v>
      </c>
      <c r="T4457" s="168">
        <f t="shared" si="3"/>
        <v>93876.6656</v>
      </c>
      <c r="U4457" s="168">
        <f t="shared" si="4"/>
        <v>0</v>
      </c>
      <c r="V4457" s="168">
        <f t="shared" si="5"/>
        <v>0</v>
      </c>
      <c r="W4457" s="168">
        <f t="shared" si="6"/>
        <v>0</v>
      </c>
      <c r="X4457" s="168">
        <f t="shared" si="7"/>
        <v>0</v>
      </c>
      <c r="Y4457" s="168">
        <f t="shared" si="8"/>
        <v>0</v>
      </c>
      <c r="Z4457" s="168">
        <f t="shared" si="9"/>
        <v>0</v>
      </c>
    </row>
    <row r="4458" ht="15.0" customHeight="1">
      <c r="A4458" s="157" t="s">
        <v>5662</v>
      </c>
      <c r="B4458" s="158" t="s">
        <v>31</v>
      </c>
      <c r="C4458" s="158" t="s">
        <v>5663</v>
      </c>
      <c r="D4458" s="159">
        <v>45257.0</v>
      </c>
      <c r="E4458" s="157" t="s">
        <v>731</v>
      </c>
      <c r="F4458" s="160">
        <v>281097.23</v>
      </c>
      <c r="G4458" s="160">
        <f>'FACP$'!$F4458*0.16</f>
        <v>44975.5568</v>
      </c>
      <c r="H4458" s="160">
        <f t="shared" si="124"/>
        <v>326072.7868</v>
      </c>
      <c r="I4458" s="160">
        <f>235813.69+22302.03</f>
        <v>258115.72</v>
      </c>
      <c r="J4458" s="161"/>
      <c r="K4458" s="160"/>
      <c r="L4458" s="160">
        <f>+'FACP$'!$H4458-'FACP$'!$I4458-'FACP$'!$K4458</f>
        <v>67957.0668</v>
      </c>
      <c r="M4458" s="162" t="s">
        <v>3183</v>
      </c>
      <c r="N4458" s="162" t="s">
        <v>554</v>
      </c>
      <c r="O4458" s="164">
        <v>45289.0</v>
      </c>
      <c r="P4458" s="164">
        <f t="array" ref="P4458">XLOOKUP('FACP$'!$B4458,'perfil de pagos'!$A$4:$A$46,'perfil de pagos'!$B$4:$B$46+'FACP$'!$D4458)</f>
        <v>45260</v>
      </c>
      <c r="Q4458" s="165">
        <f t="shared" si="2"/>
        <v>0</v>
      </c>
      <c r="R4458" s="220" t="s">
        <v>5664</v>
      </c>
      <c r="S4458" s="220" t="s">
        <v>5665</v>
      </c>
      <c r="T4458" s="168">
        <f t="shared" si="3"/>
        <v>67957.0668</v>
      </c>
      <c r="U4458" s="168">
        <f t="shared" si="4"/>
        <v>0</v>
      </c>
      <c r="V4458" s="168">
        <f t="shared" si="5"/>
        <v>0</v>
      </c>
      <c r="W4458" s="168">
        <f t="shared" si="6"/>
        <v>0</v>
      </c>
      <c r="X4458" s="168">
        <f t="shared" si="7"/>
        <v>0</v>
      </c>
      <c r="Y4458" s="168">
        <f t="shared" si="8"/>
        <v>0</v>
      </c>
      <c r="Z4458" s="168">
        <f t="shared" si="9"/>
        <v>0</v>
      </c>
    </row>
    <row r="4459" ht="15.0" customHeight="1">
      <c r="A4459" s="157" t="s">
        <v>5666</v>
      </c>
      <c r="B4459" s="158" t="s">
        <v>28</v>
      </c>
      <c r="C4459" s="158" t="s">
        <v>5667</v>
      </c>
      <c r="D4459" s="159">
        <v>45259.0</v>
      </c>
      <c r="E4459" s="157" t="s">
        <v>731</v>
      </c>
      <c r="F4459" s="160">
        <v>629250.92</v>
      </c>
      <c r="G4459" s="160">
        <f>'FACP$'!$F4459*0.16</f>
        <v>100680.1472</v>
      </c>
      <c r="H4459" s="160">
        <f t="shared" si="124"/>
        <v>729931.0672</v>
      </c>
      <c r="I4459" s="160"/>
      <c r="J4459" s="161"/>
      <c r="K4459" s="160"/>
      <c r="L4459" s="160">
        <f>+'FACP$'!$H4459-'FACP$'!$I4459-'FACP$'!$K4459</f>
        <v>729931.0672</v>
      </c>
      <c r="M4459" s="162" t="s">
        <v>504</v>
      </c>
      <c r="N4459" s="162" t="s">
        <v>554</v>
      </c>
      <c r="O4459" s="164">
        <v>45275.0</v>
      </c>
      <c r="P4459" s="164">
        <f t="array" ref="P4459">XLOOKUP('FACP$'!$B4459,'perfil de pagos'!$A$4:$A$46,'perfil de pagos'!$B$4:$B$46+'FACP$'!$D4459)</f>
        <v>45269</v>
      </c>
      <c r="Q4459" s="165">
        <f t="shared" si="2"/>
        <v>0</v>
      </c>
      <c r="R4459" s="167"/>
      <c r="S4459" s="167">
        <v>2667.0</v>
      </c>
      <c r="T4459" s="168">
        <f t="shared" si="3"/>
        <v>729931.0672</v>
      </c>
      <c r="U4459" s="168">
        <f t="shared" si="4"/>
        <v>0</v>
      </c>
      <c r="V4459" s="168">
        <f t="shared" si="5"/>
        <v>0</v>
      </c>
      <c r="W4459" s="168">
        <f t="shared" si="6"/>
        <v>0</v>
      </c>
      <c r="X4459" s="168">
        <f t="shared" si="7"/>
        <v>0</v>
      </c>
      <c r="Y4459" s="168">
        <f t="shared" si="8"/>
        <v>0</v>
      </c>
      <c r="Z4459" s="168">
        <f t="shared" si="9"/>
        <v>0</v>
      </c>
    </row>
    <row r="4460" ht="15.0" customHeight="1">
      <c r="A4460" s="157" t="s">
        <v>5668</v>
      </c>
      <c r="B4460" s="158" t="s">
        <v>27</v>
      </c>
      <c r="C4460" s="158" t="s">
        <v>5669</v>
      </c>
      <c r="D4460" s="159">
        <v>45259.0</v>
      </c>
      <c r="E4460" s="157" t="s">
        <v>731</v>
      </c>
      <c r="F4460" s="160">
        <v>142351.99</v>
      </c>
      <c r="G4460" s="160">
        <f>'FACP$'!$F4460*0.16</f>
        <v>22776.3184</v>
      </c>
      <c r="H4460" s="160">
        <f t="shared" si="124"/>
        <v>165128.3084</v>
      </c>
      <c r="I4460" s="160"/>
      <c r="J4460" s="161"/>
      <c r="K4460" s="160"/>
      <c r="L4460" s="160">
        <f>+'FACP$'!$H4460-'FACP$'!$I4460-'FACP$'!$K4460</f>
        <v>165128.3084</v>
      </c>
      <c r="M4460" s="162" t="s">
        <v>158</v>
      </c>
      <c r="N4460" s="162" t="s">
        <v>554</v>
      </c>
      <c r="O4460" s="164">
        <v>45282.0</v>
      </c>
      <c r="P4460" s="164">
        <f t="array" ref="P4460">XLOOKUP('FACP$'!$B4460,'perfil de pagos'!$A$4:$A$46,'perfil de pagos'!$B$4:$B$46+'FACP$'!$D4460)</f>
        <v>45289</v>
      </c>
      <c r="Q4460" s="165">
        <f t="shared" si="2"/>
        <v>0</v>
      </c>
      <c r="R4460" s="167"/>
      <c r="S4460" s="167">
        <v>2682.0</v>
      </c>
      <c r="T4460" s="168">
        <f t="shared" si="3"/>
        <v>165128.3084</v>
      </c>
      <c r="U4460" s="168">
        <f t="shared" si="4"/>
        <v>0</v>
      </c>
      <c r="V4460" s="168">
        <f t="shared" si="5"/>
        <v>0</v>
      </c>
      <c r="W4460" s="168">
        <f t="shared" si="6"/>
        <v>0</v>
      </c>
      <c r="X4460" s="168">
        <f t="shared" si="7"/>
        <v>0</v>
      </c>
      <c r="Y4460" s="168">
        <f t="shared" si="8"/>
        <v>0</v>
      </c>
      <c r="Z4460" s="168">
        <f t="shared" si="9"/>
        <v>0</v>
      </c>
    </row>
    <row r="4461" ht="15.0" customHeight="1">
      <c r="A4461" s="157" t="s">
        <v>5670</v>
      </c>
      <c r="B4461" s="158" t="s">
        <v>27</v>
      </c>
      <c r="C4461" s="158" t="s">
        <v>5671</v>
      </c>
      <c r="D4461" s="159">
        <v>45259.0</v>
      </c>
      <c r="E4461" s="157" t="s">
        <v>731</v>
      </c>
      <c r="F4461" s="160">
        <v>121002.17</v>
      </c>
      <c r="G4461" s="160">
        <f>'FACP$'!$F4461*0.16</f>
        <v>19360.3472</v>
      </c>
      <c r="H4461" s="160">
        <f t="shared" si="124"/>
        <v>140362.5172</v>
      </c>
      <c r="I4461" s="160"/>
      <c r="J4461" s="161"/>
      <c r="K4461" s="160"/>
      <c r="L4461" s="160">
        <f>+'FACP$'!$H4461-'FACP$'!$I4461-'FACP$'!$K4461</f>
        <v>140362.5172</v>
      </c>
      <c r="M4461" s="162" t="s">
        <v>158</v>
      </c>
      <c r="N4461" s="162" t="s">
        <v>554</v>
      </c>
      <c r="O4461" s="164">
        <v>45302.0</v>
      </c>
      <c r="P4461" s="164">
        <f t="array" ref="P4461">XLOOKUP('FACP$'!$B4461,'perfil de pagos'!$A$4:$A$46,'perfil de pagos'!$B$4:$B$46+'FACP$'!$D4461)</f>
        <v>45289</v>
      </c>
      <c r="Q4461" s="165">
        <f t="shared" si="2"/>
        <v>0</v>
      </c>
      <c r="R4461" s="167"/>
      <c r="S4461" s="167">
        <v>2730.0</v>
      </c>
      <c r="T4461" s="168">
        <f t="shared" si="3"/>
        <v>140362.5172</v>
      </c>
      <c r="U4461" s="168">
        <f t="shared" si="4"/>
        <v>0</v>
      </c>
      <c r="V4461" s="168">
        <f t="shared" si="5"/>
        <v>0</v>
      </c>
      <c r="W4461" s="168">
        <f t="shared" si="6"/>
        <v>0</v>
      </c>
      <c r="X4461" s="168">
        <f t="shared" si="7"/>
        <v>0</v>
      </c>
      <c r="Y4461" s="168">
        <f t="shared" si="8"/>
        <v>0</v>
      </c>
      <c r="Z4461" s="168">
        <f t="shared" si="9"/>
        <v>0</v>
      </c>
    </row>
    <row r="4462" ht="15.0" customHeight="1">
      <c r="A4462" s="157" t="s">
        <v>5672</v>
      </c>
      <c r="B4462" s="158" t="s">
        <v>27</v>
      </c>
      <c r="C4462" s="158" t="s">
        <v>5669</v>
      </c>
      <c r="D4462" s="159">
        <v>45259.0</v>
      </c>
      <c r="E4462" s="157" t="s">
        <v>731</v>
      </c>
      <c r="F4462" s="160">
        <v>288095.12</v>
      </c>
      <c r="G4462" s="160">
        <f>'FACP$'!$F4462*0.16</f>
        <v>46095.2192</v>
      </c>
      <c r="H4462" s="160">
        <f t="shared" si="124"/>
        <v>334190.3392</v>
      </c>
      <c r="I4462" s="160"/>
      <c r="J4462" s="161"/>
      <c r="K4462" s="160"/>
      <c r="L4462" s="160">
        <f>+'FACP$'!$H4462-'FACP$'!$I4462-'FACP$'!$K4462</f>
        <v>334190.3392</v>
      </c>
      <c r="M4462" s="162" t="s">
        <v>151</v>
      </c>
      <c r="N4462" s="162" t="s">
        <v>554</v>
      </c>
      <c r="O4462" s="164">
        <v>45282.0</v>
      </c>
      <c r="P4462" s="164">
        <f t="array" ref="P4462">XLOOKUP('FACP$'!$B4462,'perfil de pagos'!$A$4:$A$46,'perfil de pagos'!$B$4:$B$46+'FACP$'!$D4462)</f>
        <v>45289</v>
      </c>
      <c r="Q4462" s="165">
        <f t="shared" si="2"/>
        <v>0</v>
      </c>
      <c r="R4462" s="167"/>
      <c r="S4462" s="167">
        <v>2683.0</v>
      </c>
      <c r="T4462" s="168">
        <f t="shared" si="3"/>
        <v>334190.3392</v>
      </c>
      <c r="U4462" s="168">
        <f t="shared" si="4"/>
        <v>0</v>
      </c>
      <c r="V4462" s="168">
        <f t="shared" si="5"/>
        <v>0</v>
      </c>
      <c r="W4462" s="168">
        <f t="shared" si="6"/>
        <v>0</v>
      </c>
      <c r="X4462" s="168">
        <f t="shared" si="7"/>
        <v>0</v>
      </c>
      <c r="Y4462" s="168">
        <f t="shared" si="8"/>
        <v>0</v>
      </c>
      <c r="Z4462" s="168">
        <f t="shared" si="9"/>
        <v>0</v>
      </c>
    </row>
    <row r="4463" ht="15.0" customHeight="1">
      <c r="A4463" s="157" t="s">
        <v>5673</v>
      </c>
      <c r="B4463" s="158" t="s">
        <v>27</v>
      </c>
      <c r="C4463" s="158" t="s">
        <v>5671</v>
      </c>
      <c r="D4463" s="159">
        <v>45259.0</v>
      </c>
      <c r="E4463" s="157" t="s">
        <v>731</v>
      </c>
      <c r="F4463" s="160">
        <v>213685.52</v>
      </c>
      <c r="G4463" s="160">
        <f>'FACP$'!$F4463*0.16</f>
        <v>34189.6832</v>
      </c>
      <c r="H4463" s="160">
        <f t="shared" si="124"/>
        <v>247875.2032</v>
      </c>
      <c r="I4463" s="160"/>
      <c r="J4463" s="161"/>
      <c r="K4463" s="160"/>
      <c r="L4463" s="160">
        <f>+'FACP$'!$H4463-'FACP$'!$I4463-'FACP$'!$K4463</f>
        <v>247875.2032</v>
      </c>
      <c r="M4463" s="162" t="s">
        <v>151</v>
      </c>
      <c r="N4463" s="162" t="s">
        <v>554</v>
      </c>
      <c r="O4463" s="164">
        <v>45302.0</v>
      </c>
      <c r="P4463" s="164">
        <f t="array" ref="P4463">XLOOKUP('FACP$'!$B4463,'perfil de pagos'!$A$4:$A$46,'perfil de pagos'!$B$4:$B$46+'FACP$'!$D4463)</f>
        <v>45289</v>
      </c>
      <c r="Q4463" s="165">
        <f t="shared" si="2"/>
        <v>0</v>
      </c>
      <c r="R4463" s="167"/>
      <c r="S4463" s="167">
        <v>2738.0</v>
      </c>
      <c r="T4463" s="168">
        <f t="shared" si="3"/>
        <v>247875.2032</v>
      </c>
      <c r="U4463" s="168">
        <f t="shared" si="4"/>
        <v>0</v>
      </c>
      <c r="V4463" s="168">
        <f t="shared" si="5"/>
        <v>0</v>
      </c>
      <c r="W4463" s="168">
        <f t="shared" si="6"/>
        <v>0</v>
      </c>
      <c r="X4463" s="168">
        <f t="shared" si="7"/>
        <v>0</v>
      </c>
      <c r="Y4463" s="168">
        <f t="shared" si="8"/>
        <v>0</v>
      </c>
      <c r="Z4463" s="168">
        <f t="shared" si="9"/>
        <v>0</v>
      </c>
    </row>
    <row r="4464" ht="15.0" customHeight="1">
      <c r="A4464" s="157" t="s">
        <v>5674</v>
      </c>
      <c r="B4464" s="158" t="s">
        <v>27</v>
      </c>
      <c r="C4464" s="158" t="s">
        <v>5669</v>
      </c>
      <c r="D4464" s="159">
        <v>45259.0</v>
      </c>
      <c r="E4464" s="157" t="s">
        <v>731</v>
      </c>
      <c r="F4464" s="160">
        <v>9947.04</v>
      </c>
      <c r="G4464" s="160">
        <f>'FACP$'!$F4464*0.16</f>
        <v>1591.5264</v>
      </c>
      <c r="H4464" s="160">
        <f t="shared" si="124"/>
        <v>11538.5664</v>
      </c>
      <c r="I4464" s="160"/>
      <c r="J4464" s="161"/>
      <c r="K4464" s="160"/>
      <c r="L4464" s="160">
        <f>+'FACP$'!$H4464-'FACP$'!$I4464-'FACP$'!$K4464</f>
        <v>11538.5664</v>
      </c>
      <c r="M4464" s="162" t="s">
        <v>151</v>
      </c>
      <c r="N4464" s="162" t="s">
        <v>554</v>
      </c>
      <c r="O4464" s="164">
        <v>45282.0</v>
      </c>
      <c r="P4464" s="164">
        <f t="array" ref="P4464">XLOOKUP('FACP$'!$B4464,'perfil de pagos'!$A$4:$A$46,'perfil de pagos'!$B$4:$B$46+'FACP$'!$D4464)</f>
        <v>45289</v>
      </c>
      <c r="Q4464" s="165">
        <f t="shared" si="2"/>
        <v>0</v>
      </c>
      <c r="R4464" s="167"/>
      <c r="S4464" s="167">
        <v>2683.0</v>
      </c>
      <c r="T4464" s="168">
        <f t="shared" si="3"/>
        <v>11538.5664</v>
      </c>
      <c r="U4464" s="168">
        <f t="shared" si="4"/>
        <v>0</v>
      </c>
      <c r="V4464" s="168">
        <f t="shared" si="5"/>
        <v>0</v>
      </c>
      <c r="W4464" s="168">
        <f t="shared" si="6"/>
        <v>0</v>
      </c>
      <c r="X4464" s="168">
        <f t="shared" si="7"/>
        <v>0</v>
      </c>
      <c r="Y4464" s="168">
        <f t="shared" si="8"/>
        <v>0</v>
      </c>
      <c r="Z4464" s="168">
        <f t="shared" si="9"/>
        <v>0</v>
      </c>
    </row>
    <row r="4465" ht="15.0" customHeight="1">
      <c r="A4465" s="157" t="s">
        <v>5675</v>
      </c>
      <c r="B4465" s="158" t="s">
        <v>27</v>
      </c>
      <c r="C4465" s="158" t="s">
        <v>5671</v>
      </c>
      <c r="D4465" s="159">
        <v>45259.0</v>
      </c>
      <c r="E4465" s="157" t="s">
        <v>731</v>
      </c>
      <c r="F4465" s="160">
        <v>11653.73</v>
      </c>
      <c r="G4465" s="160">
        <f>'FACP$'!$F4465*0.16</f>
        <v>1864.5968</v>
      </c>
      <c r="H4465" s="160">
        <f t="shared" si="124"/>
        <v>13518.3268</v>
      </c>
      <c r="I4465" s="160"/>
      <c r="J4465" s="161"/>
      <c r="K4465" s="160"/>
      <c r="L4465" s="160">
        <f>+'FACP$'!$H4465-'FACP$'!$I4465-'FACP$'!$K4465</f>
        <v>13518.3268</v>
      </c>
      <c r="M4465" s="162" t="s">
        <v>151</v>
      </c>
      <c r="N4465" s="162" t="s">
        <v>554</v>
      </c>
      <c r="O4465" s="164">
        <v>45302.0</v>
      </c>
      <c r="P4465" s="164">
        <f t="array" ref="P4465">XLOOKUP('FACP$'!$B4465,'perfil de pagos'!$A$4:$A$46,'perfil de pagos'!$B$4:$B$46+'FACP$'!$D4465)</f>
        <v>45289</v>
      </c>
      <c r="Q4465" s="165">
        <f t="shared" si="2"/>
        <v>0</v>
      </c>
      <c r="R4465" s="167"/>
      <c r="S4465" s="167">
        <v>2738.0</v>
      </c>
      <c r="T4465" s="168">
        <f t="shared" si="3"/>
        <v>13518.3268</v>
      </c>
      <c r="U4465" s="168">
        <f t="shared" si="4"/>
        <v>0</v>
      </c>
      <c r="V4465" s="168">
        <f t="shared" si="5"/>
        <v>0</v>
      </c>
      <c r="W4465" s="168">
        <f t="shared" si="6"/>
        <v>0</v>
      </c>
      <c r="X4465" s="168">
        <f t="shared" si="7"/>
        <v>0</v>
      </c>
      <c r="Y4465" s="168">
        <f t="shared" si="8"/>
        <v>0</v>
      </c>
      <c r="Z4465" s="168">
        <f t="shared" si="9"/>
        <v>0</v>
      </c>
    </row>
    <row r="4466" ht="15.0" customHeight="1">
      <c r="A4466" s="157" t="s">
        <v>5676</v>
      </c>
      <c r="B4466" s="158" t="s">
        <v>35</v>
      </c>
      <c r="C4466" s="158" t="s">
        <v>5677</v>
      </c>
      <c r="D4466" s="159">
        <v>45264.0</v>
      </c>
      <c r="E4466" s="157" t="s">
        <v>731</v>
      </c>
      <c r="F4466" s="160">
        <v>354230.52</v>
      </c>
      <c r="G4466" s="160">
        <f>'FACP$'!$F4466*0.16</f>
        <v>56676.8832</v>
      </c>
      <c r="H4466" s="160">
        <f t="shared" si="124"/>
        <v>410907.4032</v>
      </c>
      <c r="I4466" s="160"/>
      <c r="J4466" s="161"/>
      <c r="K4466" s="160"/>
      <c r="L4466" s="160">
        <f>+'FACP$'!$H4466-'FACP$'!$I4466-'FACP$'!$K4466</f>
        <v>410907.4032</v>
      </c>
      <c r="M4466" s="162" t="s">
        <v>276</v>
      </c>
      <c r="N4466" s="162" t="s">
        <v>554</v>
      </c>
      <c r="O4466" s="164">
        <v>45282.0</v>
      </c>
      <c r="P4466" s="164">
        <f t="array" ref="P4466">XLOOKUP('FACP$'!$B4466,'perfil de pagos'!$A$4:$A$46,'perfil de pagos'!$B$4:$B$46+'FACP$'!$D4466)</f>
        <v>45274</v>
      </c>
      <c r="Q4466" s="165">
        <f t="shared" si="2"/>
        <v>0</v>
      </c>
      <c r="R4466" s="167"/>
      <c r="S4466" s="167">
        <v>2681.0</v>
      </c>
      <c r="T4466" s="168">
        <f t="shared" si="3"/>
        <v>410907.4032</v>
      </c>
      <c r="U4466" s="168">
        <f t="shared" si="4"/>
        <v>0</v>
      </c>
      <c r="V4466" s="168">
        <f t="shared" si="5"/>
        <v>0</v>
      </c>
      <c r="W4466" s="168">
        <f t="shared" si="6"/>
        <v>0</v>
      </c>
      <c r="X4466" s="168">
        <f t="shared" si="7"/>
        <v>0</v>
      </c>
      <c r="Y4466" s="168">
        <f t="shared" si="8"/>
        <v>0</v>
      </c>
      <c r="Z4466" s="168">
        <f t="shared" si="9"/>
        <v>0</v>
      </c>
    </row>
    <row r="4467" ht="15.0" customHeight="1">
      <c r="A4467" s="157" t="s">
        <v>5678</v>
      </c>
      <c r="B4467" s="158" t="s">
        <v>41</v>
      </c>
      <c r="C4467" s="158" t="s">
        <v>5679</v>
      </c>
      <c r="D4467" s="159">
        <v>45264.0</v>
      </c>
      <c r="E4467" s="157" t="s">
        <v>731</v>
      </c>
      <c r="F4467" s="160">
        <v>1015346.12</v>
      </c>
      <c r="G4467" s="160">
        <f>'FACP$'!$F4467*0.16</f>
        <v>162455.3792</v>
      </c>
      <c r="H4467" s="160">
        <f t="shared" si="124"/>
        <v>1177801.499</v>
      </c>
      <c r="I4467" s="160"/>
      <c r="J4467" s="161"/>
      <c r="K4467" s="160"/>
      <c r="L4467" s="160">
        <f>+'FACP$'!$H4467-'FACP$'!$I4467-'FACP$'!$K4467</f>
        <v>1177801.499</v>
      </c>
      <c r="M4467" s="162" t="s">
        <v>121</v>
      </c>
      <c r="N4467" s="162" t="s">
        <v>554</v>
      </c>
      <c r="O4467" s="164">
        <v>45310.0</v>
      </c>
      <c r="P4467" s="164">
        <f t="array" ref="P4467">XLOOKUP('FACP$'!$B4467,'perfil de pagos'!$A$4:$A$46,'perfil de pagos'!$B$4:$B$46+'FACP$'!$D4467)</f>
        <v>45274</v>
      </c>
      <c r="Q4467" s="165">
        <f t="shared" si="2"/>
        <v>0</v>
      </c>
      <c r="R4467" s="167"/>
      <c r="S4467" s="167">
        <v>2741.0</v>
      </c>
      <c r="T4467" s="168">
        <f t="shared" si="3"/>
        <v>1177801.499</v>
      </c>
      <c r="U4467" s="168">
        <f t="shared" si="4"/>
        <v>0</v>
      </c>
      <c r="V4467" s="168">
        <f t="shared" si="5"/>
        <v>0</v>
      </c>
      <c r="W4467" s="168">
        <f t="shared" si="6"/>
        <v>0</v>
      </c>
      <c r="X4467" s="168">
        <f t="shared" si="7"/>
        <v>0</v>
      </c>
      <c r="Y4467" s="168">
        <f t="shared" si="8"/>
        <v>0</v>
      </c>
      <c r="Z4467" s="168">
        <f t="shared" si="9"/>
        <v>0</v>
      </c>
    </row>
    <row r="4468" ht="15.0" customHeight="1">
      <c r="A4468" s="157" t="s">
        <v>5680</v>
      </c>
      <c r="B4468" s="158" t="s">
        <v>36</v>
      </c>
      <c r="C4468" s="158" t="s">
        <v>5679</v>
      </c>
      <c r="D4468" s="159">
        <v>45264.0</v>
      </c>
      <c r="E4468" s="157" t="s">
        <v>731</v>
      </c>
      <c r="F4468" s="160">
        <v>194043.18</v>
      </c>
      <c r="G4468" s="160">
        <f>'FACP$'!$F4468*0.16</f>
        <v>31046.9088</v>
      </c>
      <c r="H4468" s="160">
        <f t="shared" si="124"/>
        <v>225090.0888</v>
      </c>
      <c r="I4468" s="160"/>
      <c r="J4468" s="161"/>
      <c r="K4468" s="160"/>
      <c r="L4468" s="160">
        <f>+'FACP$'!$H4468-'FACP$'!$I4468-'FACP$'!$K4468</f>
        <v>225090.0888</v>
      </c>
      <c r="M4468" s="162" t="s">
        <v>278</v>
      </c>
      <c r="N4468" s="162" t="s">
        <v>554</v>
      </c>
      <c r="O4468" s="164">
        <v>45273.0</v>
      </c>
      <c r="P4468" s="164">
        <f t="array" ref="P4468">XLOOKUP('FACP$'!$B4468,'perfil de pagos'!$A$4:$A$46,'perfil de pagos'!$B$4:$B$46+'FACP$'!$D4468)</f>
        <v>45274</v>
      </c>
      <c r="Q4468" s="165">
        <f t="shared" si="2"/>
        <v>0</v>
      </c>
      <c r="R4468" s="167"/>
      <c r="S4468" s="167">
        <v>2658.0</v>
      </c>
      <c r="T4468" s="168">
        <f t="shared" si="3"/>
        <v>225090.0888</v>
      </c>
      <c r="U4468" s="168">
        <f t="shared" si="4"/>
        <v>0</v>
      </c>
      <c r="V4468" s="168">
        <f t="shared" si="5"/>
        <v>0</v>
      </c>
      <c r="W4468" s="168">
        <f t="shared" si="6"/>
        <v>0</v>
      </c>
      <c r="X4468" s="168">
        <f t="shared" si="7"/>
        <v>0</v>
      </c>
      <c r="Y4468" s="168">
        <f t="shared" si="8"/>
        <v>0</v>
      </c>
      <c r="Z4468" s="168">
        <f t="shared" si="9"/>
        <v>0</v>
      </c>
    </row>
    <row r="4469" ht="15.0" customHeight="1">
      <c r="A4469" s="157" t="s">
        <v>5681</v>
      </c>
      <c r="B4469" s="158" t="s">
        <v>36</v>
      </c>
      <c r="C4469" s="158" t="s">
        <v>5682</v>
      </c>
      <c r="D4469" s="159">
        <v>45264.0</v>
      </c>
      <c r="E4469" s="157" t="s">
        <v>731</v>
      </c>
      <c r="F4469" s="160">
        <v>152140.24</v>
      </c>
      <c r="G4469" s="160">
        <f>'FACP$'!$F4469*0.16</f>
        <v>24342.4384</v>
      </c>
      <c r="H4469" s="160">
        <f t="shared" si="124"/>
        <v>176482.6784</v>
      </c>
      <c r="I4469" s="160"/>
      <c r="J4469" s="161"/>
      <c r="K4469" s="160"/>
      <c r="L4469" s="160">
        <f>+'FACP$'!$H4469-'FACP$'!$I4469-'FACP$'!$K4469</f>
        <v>176482.6784</v>
      </c>
      <c r="M4469" s="162" t="s">
        <v>278</v>
      </c>
      <c r="N4469" s="162" t="s">
        <v>554</v>
      </c>
      <c r="O4469" s="164">
        <v>45273.0</v>
      </c>
      <c r="P4469" s="164">
        <f t="array" ref="P4469">XLOOKUP('FACP$'!$B4469,'perfil de pagos'!$A$4:$A$46,'perfil de pagos'!$B$4:$B$46+'FACP$'!$D4469)</f>
        <v>45274</v>
      </c>
      <c r="Q4469" s="165">
        <f t="shared" si="2"/>
        <v>0</v>
      </c>
      <c r="R4469" s="167"/>
      <c r="S4469" s="167">
        <v>2657.0</v>
      </c>
      <c r="T4469" s="168">
        <f t="shared" si="3"/>
        <v>176482.6784</v>
      </c>
      <c r="U4469" s="168">
        <f t="shared" si="4"/>
        <v>0</v>
      </c>
      <c r="V4469" s="168">
        <f t="shared" si="5"/>
        <v>0</v>
      </c>
      <c r="W4469" s="168">
        <f t="shared" si="6"/>
        <v>0</v>
      </c>
      <c r="X4469" s="168">
        <f t="shared" si="7"/>
        <v>0</v>
      </c>
      <c r="Y4469" s="168">
        <f t="shared" si="8"/>
        <v>0</v>
      </c>
      <c r="Z4469" s="168">
        <f t="shared" si="9"/>
        <v>0</v>
      </c>
    </row>
    <row r="4470" ht="15.0" customHeight="1">
      <c r="A4470" s="157" t="s">
        <v>5683</v>
      </c>
      <c r="B4470" s="158" t="s">
        <v>42</v>
      </c>
      <c r="C4470" s="158" t="s">
        <v>5679</v>
      </c>
      <c r="D4470" s="159">
        <v>45264.0</v>
      </c>
      <c r="E4470" s="157" t="s">
        <v>731</v>
      </c>
      <c r="F4470" s="160">
        <v>209582.05</v>
      </c>
      <c r="G4470" s="160">
        <f>'FACP$'!$F4470*0.16</f>
        <v>33533.128</v>
      </c>
      <c r="H4470" s="160">
        <f t="shared" si="124"/>
        <v>243115.178</v>
      </c>
      <c r="I4470" s="160"/>
      <c r="J4470" s="161"/>
      <c r="K4470" s="160"/>
      <c r="L4470" s="160">
        <f>+'FACP$'!$H4470-'FACP$'!$I4470-'FACP$'!$K4470</f>
        <v>243115.178</v>
      </c>
      <c r="M4470" s="162" t="s">
        <v>42</v>
      </c>
      <c r="N4470" s="162" t="s">
        <v>554</v>
      </c>
      <c r="O4470" s="164">
        <v>45281.0</v>
      </c>
      <c r="P4470" s="164">
        <f t="array" ref="P4470">XLOOKUP('FACP$'!$B4470,'perfil de pagos'!$A$4:$A$46,'perfil de pagos'!$B$4:$B$46+'FACP$'!$D4470)</f>
        <v>45274</v>
      </c>
      <c r="Q4470" s="165">
        <f t="shared" si="2"/>
        <v>0</v>
      </c>
      <c r="R4470" s="167"/>
      <c r="S4470" s="167">
        <v>2675.0</v>
      </c>
      <c r="T4470" s="168">
        <f t="shared" si="3"/>
        <v>243115.178</v>
      </c>
      <c r="U4470" s="168">
        <f t="shared" si="4"/>
        <v>0</v>
      </c>
      <c r="V4470" s="168">
        <f t="shared" si="5"/>
        <v>0</v>
      </c>
      <c r="W4470" s="168">
        <f t="shared" si="6"/>
        <v>0</v>
      </c>
      <c r="X4470" s="168">
        <f t="shared" si="7"/>
        <v>0</v>
      </c>
      <c r="Y4470" s="168">
        <f t="shared" si="8"/>
        <v>0</v>
      </c>
      <c r="Z4470" s="168">
        <f t="shared" si="9"/>
        <v>0</v>
      </c>
    </row>
    <row r="4471" ht="15.0" customHeight="1">
      <c r="A4471" s="157" t="s">
        <v>5684</v>
      </c>
      <c r="B4471" s="158" t="s">
        <v>43</v>
      </c>
      <c r="C4471" s="158" t="s">
        <v>5679</v>
      </c>
      <c r="D4471" s="159">
        <v>45264.0</v>
      </c>
      <c r="E4471" s="157" t="s">
        <v>731</v>
      </c>
      <c r="F4471" s="160">
        <v>1224703.39</v>
      </c>
      <c r="G4471" s="160">
        <f>'FACP$'!$F4471*0.16</f>
        <v>195952.5424</v>
      </c>
      <c r="H4471" s="160">
        <f t="shared" si="124"/>
        <v>1420655.932</v>
      </c>
      <c r="I4471" s="160"/>
      <c r="J4471" s="161"/>
      <c r="K4471" s="160"/>
      <c r="L4471" s="160">
        <f>+'FACP$'!$H4471-'FACP$'!$I4471-'FACP$'!$K4471</f>
        <v>1420655.932</v>
      </c>
      <c r="M4471" s="162" t="s">
        <v>43</v>
      </c>
      <c r="N4471" s="162" t="s">
        <v>554</v>
      </c>
      <c r="O4471" s="164">
        <v>45313.0</v>
      </c>
      <c r="P4471" s="164">
        <f t="array" ref="P4471">XLOOKUP('FACP$'!$B4471,'perfil de pagos'!$A$4:$A$46,'perfil de pagos'!$B$4:$B$46+'FACP$'!$D4471)</f>
        <v>45289</v>
      </c>
      <c r="Q4471" s="165">
        <f t="shared" si="2"/>
        <v>0</v>
      </c>
      <c r="R4471" s="167"/>
      <c r="S4471" s="167">
        <v>2750.0</v>
      </c>
      <c r="T4471" s="168">
        <f t="shared" si="3"/>
        <v>1420655.932</v>
      </c>
      <c r="U4471" s="168">
        <f t="shared" si="4"/>
        <v>0</v>
      </c>
      <c r="V4471" s="168">
        <f t="shared" si="5"/>
        <v>0</v>
      </c>
      <c r="W4471" s="168">
        <f t="shared" si="6"/>
        <v>0</v>
      </c>
      <c r="X4471" s="168">
        <f t="shared" si="7"/>
        <v>0</v>
      </c>
      <c r="Y4471" s="168">
        <f t="shared" si="8"/>
        <v>0</v>
      </c>
      <c r="Z4471" s="168">
        <f t="shared" si="9"/>
        <v>0</v>
      </c>
    </row>
    <row r="4472" ht="15.0" customHeight="1">
      <c r="A4472" s="157" t="s">
        <v>5685</v>
      </c>
      <c r="B4472" s="158" t="s">
        <v>43</v>
      </c>
      <c r="C4472" s="158" t="s">
        <v>5682</v>
      </c>
      <c r="D4472" s="159">
        <v>45264.0</v>
      </c>
      <c r="E4472" s="157" t="s">
        <v>731</v>
      </c>
      <c r="F4472" s="160">
        <v>1290138.83</v>
      </c>
      <c r="G4472" s="160">
        <f>'FACP$'!$F4472*0.16</f>
        <v>206422.2128</v>
      </c>
      <c r="H4472" s="160">
        <f t="shared" si="124"/>
        <v>1496561.043</v>
      </c>
      <c r="I4472" s="160"/>
      <c r="J4472" s="161"/>
      <c r="K4472" s="160"/>
      <c r="L4472" s="160">
        <f>+'FACP$'!$H4472-'FACP$'!$I4472-'FACP$'!$K4472</f>
        <v>1496561.043</v>
      </c>
      <c r="M4472" s="162" t="s">
        <v>43</v>
      </c>
      <c r="N4472" s="162" t="s">
        <v>554</v>
      </c>
      <c r="O4472" s="164">
        <v>45306.0</v>
      </c>
      <c r="P4472" s="164">
        <f t="array" ref="P4472">XLOOKUP('FACP$'!$B4472,'perfil de pagos'!$A$4:$A$46,'perfil de pagos'!$B$4:$B$46+'FACP$'!$D4472)</f>
        <v>45289</v>
      </c>
      <c r="Q4472" s="165">
        <f t="shared" si="2"/>
        <v>0</v>
      </c>
      <c r="R4472" s="167"/>
      <c r="S4472" s="167">
        <v>2746.0</v>
      </c>
      <c r="T4472" s="168">
        <f t="shared" si="3"/>
        <v>1496561.043</v>
      </c>
      <c r="U4472" s="168">
        <f t="shared" si="4"/>
        <v>0</v>
      </c>
      <c r="V4472" s="168">
        <f t="shared" si="5"/>
        <v>0</v>
      </c>
      <c r="W4472" s="168">
        <f t="shared" si="6"/>
        <v>0</v>
      </c>
      <c r="X4472" s="168">
        <f t="shared" si="7"/>
        <v>0</v>
      </c>
      <c r="Y4472" s="168">
        <f t="shared" si="8"/>
        <v>0</v>
      </c>
      <c r="Z4472" s="168">
        <f t="shared" si="9"/>
        <v>0</v>
      </c>
    </row>
    <row r="4473" ht="15.0" customHeight="1">
      <c r="A4473" s="157" t="s">
        <v>5686</v>
      </c>
      <c r="B4473" s="158" t="s">
        <v>44</v>
      </c>
      <c r="C4473" s="158" t="s">
        <v>5679</v>
      </c>
      <c r="D4473" s="159">
        <v>45264.0</v>
      </c>
      <c r="E4473" s="157" t="s">
        <v>731</v>
      </c>
      <c r="F4473" s="160">
        <v>166693.46</v>
      </c>
      <c r="G4473" s="160">
        <f>'FACP$'!$F4473*0.16</f>
        <v>26670.9536</v>
      </c>
      <c r="H4473" s="160">
        <f t="shared" si="124"/>
        <v>193364.4136</v>
      </c>
      <c r="I4473" s="160"/>
      <c r="J4473" s="161"/>
      <c r="K4473" s="160"/>
      <c r="L4473" s="160">
        <f>+'FACP$'!$H4473-'FACP$'!$I4473-'FACP$'!$K4473</f>
        <v>193364.4136</v>
      </c>
      <c r="M4473" s="162" t="s">
        <v>361</v>
      </c>
      <c r="N4473" s="162" t="s">
        <v>554</v>
      </c>
      <c r="O4473" s="164">
        <v>45275.0</v>
      </c>
      <c r="P4473" s="164">
        <f t="array" ref="P4473">XLOOKUP('FACP$'!$B4473,'perfil de pagos'!$A$4:$A$46,'perfil de pagos'!$B$4:$B$46+'FACP$'!$D4473)</f>
        <v>45274</v>
      </c>
      <c r="Q4473" s="165">
        <f t="shared" si="2"/>
        <v>0</v>
      </c>
      <c r="R4473" s="167"/>
      <c r="S4473" s="167">
        <v>2668.0</v>
      </c>
      <c r="T4473" s="168">
        <f t="shared" si="3"/>
        <v>193364.4136</v>
      </c>
      <c r="U4473" s="168">
        <f t="shared" si="4"/>
        <v>0</v>
      </c>
      <c r="V4473" s="168">
        <f t="shared" si="5"/>
        <v>0</v>
      </c>
      <c r="W4473" s="168">
        <f t="shared" si="6"/>
        <v>0</v>
      </c>
      <c r="X4473" s="168">
        <f t="shared" si="7"/>
        <v>0</v>
      </c>
      <c r="Y4473" s="168">
        <f t="shared" si="8"/>
        <v>0</v>
      </c>
      <c r="Z4473" s="168">
        <f t="shared" si="9"/>
        <v>0</v>
      </c>
    </row>
    <row r="4474" ht="15.0" customHeight="1">
      <c r="A4474" s="157" t="s">
        <v>5687</v>
      </c>
      <c r="B4474" s="158" t="s">
        <v>15</v>
      </c>
      <c r="C4474" s="158" t="s">
        <v>5679</v>
      </c>
      <c r="D4474" s="159">
        <v>45264.0</v>
      </c>
      <c r="E4474" s="157" t="s">
        <v>731</v>
      </c>
      <c r="F4474" s="160">
        <v>1799731.73</v>
      </c>
      <c r="G4474" s="160">
        <f>'FACP$'!$F4474*0.16</f>
        <v>287957.0768</v>
      </c>
      <c r="H4474" s="160">
        <f t="shared" si="124"/>
        <v>2087688.807</v>
      </c>
      <c r="I4474" s="160"/>
      <c r="J4474" s="161"/>
      <c r="K4474" s="160"/>
      <c r="L4474" s="160">
        <f>+'FACP$'!$H4474-'FACP$'!$I4474-'FACP$'!$K4474</f>
        <v>2087688.807</v>
      </c>
      <c r="M4474" s="162" t="s">
        <v>443</v>
      </c>
      <c r="N4474" s="162" t="s">
        <v>554</v>
      </c>
      <c r="O4474" s="164">
        <v>45288.0</v>
      </c>
      <c r="P4474" s="164">
        <f t="array" ref="P4474">XLOOKUP('FACP$'!$B4474,'perfil de pagos'!$A$4:$A$46,'perfil de pagos'!$B$4:$B$46+'FACP$'!$D4474)</f>
        <v>45274</v>
      </c>
      <c r="Q4474" s="165">
        <f t="shared" si="2"/>
        <v>0</v>
      </c>
      <c r="R4474" s="167"/>
      <c r="S4474" s="167">
        <v>2697.0</v>
      </c>
      <c r="T4474" s="168">
        <f t="shared" si="3"/>
        <v>2087688.807</v>
      </c>
      <c r="U4474" s="168">
        <f t="shared" si="4"/>
        <v>0</v>
      </c>
      <c r="V4474" s="168">
        <f t="shared" si="5"/>
        <v>0</v>
      </c>
      <c r="W4474" s="168">
        <f t="shared" si="6"/>
        <v>0</v>
      </c>
      <c r="X4474" s="168">
        <f t="shared" si="7"/>
        <v>0</v>
      </c>
      <c r="Y4474" s="168">
        <f t="shared" si="8"/>
        <v>0</v>
      </c>
      <c r="Z4474" s="168">
        <f t="shared" si="9"/>
        <v>0</v>
      </c>
    </row>
    <row r="4475" ht="15.0" customHeight="1">
      <c r="A4475" s="157" t="s">
        <v>5688</v>
      </c>
      <c r="B4475" s="158" t="s">
        <v>32</v>
      </c>
      <c r="C4475" s="158" t="s">
        <v>5679</v>
      </c>
      <c r="D4475" s="159">
        <v>45264.0</v>
      </c>
      <c r="E4475" s="157" t="s">
        <v>731</v>
      </c>
      <c r="F4475" s="160">
        <v>178302.68</v>
      </c>
      <c r="G4475" s="160">
        <f>'FACP$'!$F4475*0.16</f>
        <v>28528.4288</v>
      </c>
      <c r="H4475" s="160">
        <f t="shared" si="124"/>
        <v>206831.1088</v>
      </c>
      <c r="I4475" s="160"/>
      <c r="J4475" s="161"/>
      <c r="K4475" s="160"/>
      <c r="L4475" s="160">
        <f>+'FACP$'!$H4475-'FACP$'!$I4475-'FACP$'!$K4475</f>
        <v>206831.1088</v>
      </c>
      <c r="M4475" s="162" t="s">
        <v>395</v>
      </c>
      <c r="N4475" s="162" t="s">
        <v>554</v>
      </c>
      <c r="O4475" s="164">
        <v>45324.0</v>
      </c>
      <c r="P4475" s="164">
        <f t="array" ref="P4475">XLOOKUP('FACP$'!$B4475,'perfil de pagos'!$A$4:$A$46,'perfil de pagos'!$B$4:$B$46+'FACP$'!$D4475)</f>
        <v>45274</v>
      </c>
      <c r="Q4475" s="165">
        <f t="shared" si="2"/>
        <v>0</v>
      </c>
      <c r="R4475" s="167"/>
      <c r="S4475" s="167">
        <v>2778.0</v>
      </c>
      <c r="T4475" s="168">
        <f t="shared" si="3"/>
        <v>206831.1088</v>
      </c>
      <c r="U4475" s="168">
        <f t="shared" si="4"/>
        <v>0</v>
      </c>
      <c r="V4475" s="168">
        <f t="shared" si="5"/>
        <v>0</v>
      </c>
      <c r="W4475" s="168">
        <f t="shared" si="6"/>
        <v>0</v>
      </c>
      <c r="X4475" s="168">
        <f t="shared" si="7"/>
        <v>0</v>
      </c>
      <c r="Y4475" s="168">
        <f t="shared" si="8"/>
        <v>0</v>
      </c>
      <c r="Z4475" s="168">
        <f t="shared" si="9"/>
        <v>0</v>
      </c>
    </row>
    <row r="4476" ht="15.0" customHeight="1">
      <c r="A4476" s="157" t="s">
        <v>5689</v>
      </c>
      <c r="B4476" s="158" t="s">
        <v>27</v>
      </c>
      <c r="C4476" s="158" t="s">
        <v>5679</v>
      </c>
      <c r="D4476" s="159">
        <v>45264.0</v>
      </c>
      <c r="E4476" s="157" t="s">
        <v>731</v>
      </c>
      <c r="F4476" s="160">
        <v>2770.32</v>
      </c>
      <c r="G4476" s="160">
        <f>'FACP$'!$F4476*0.16</f>
        <v>443.2512</v>
      </c>
      <c r="H4476" s="160">
        <f t="shared" si="124"/>
        <v>3213.5712</v>
      </c>
      <c r="I4476" s="160"/>
      <c r="J4476" s="161"/>
      <c r="K4476" s="160"/>
      <c r="L4476" s="160">
        <f>+'FACP$'!$H4476-'FACP$'!$I4476-'FACP$'!$K4476</f>
        <v>3213.5712</v>
      </c>
      <c r="M4476" s="162" t="s">
        <v>158</v>
      </c>
      <c r="N4476" s="162" t="s">
        <v>554</v>
      </c>
      <c r="O4476" s="164">
        <v>45302.0</v>
      </c>
      <c r="P4476" s="164">
        <f t="array" ref="P4476">XLOOKUP('FACP$'!$B4476,'perfil de pagos'!$A$4:$A$46,'perfil de pagos'!$B$4:$B$46+'FACP$'!$D4476)</f>
        <v>45294</v>
      </c>
      <c r="Q4476" s="165">
        <f t="shared" si="2"/>
        <v>0</v>
      </c>
      <c r="R4476" s="167"/>
      <c r="S4476" s="167">
        <v>2730.0</v>
      </c>
      <c r="T4476" s="168">
        <f t="shared" si="3"/>
        <v>3213.5712</v>
      </c>
      <c r="U4476" s="168">
        <f t="shared" si="4"/>
        <v>0</v>
      </c>
      <c r="V4476" s="168">
        <f t="shared" si="5"/>
        <v>0</v>
      </c>
      <c r="W4476" s="168">
        <f t="shared" si="6"/>
        <v>0</v>
      </c>
      <c r="X4476" s="168">
        <f t="shared" si="7"/>
        <v>0</v>
      </c>
      <c r="Y4476" s="168">
        <f t="shared" si="8"/>
        <v>0</v>
      </c>
      <c r="Z4476" s="168">
        <f t="shared" si="9"/>
        <v>0</v>
      </c>
    </row>
    <row r="4477" ht="15.0" customHeight="1">
      <c r="A4477" s="157" t="s">
        <v>5690</v>
      </c>
      <c r="B4477" s="158" t="s">
        <v>27</v>
      </c>
      <c r="C4477" s="158" t="s">
        <v>5682</v>
      </c>
      <c r="D4477" s="159">
        <v>45264.0</v>
      </c>
      <c r="E4477" s="157" t="s">
        <v>731</v>
      </c>
      <c r="F4477" s="160">
        <v>4315.2</v>
      </c>
      <c r="G4477" s="160">
        <f>'FACP$'!$F4477*0.16</f>
        <v>690.432</v>
      </c>
      <c r="H4477" s="160">
        <f t="shared" si="124"/>
        <v>5005.632</v>
      </c>
      <c r="I4477" s="160"/>
      <c r="J4477" s="161"/>
      <c r="K4477" s="160"/>
      <c r="L4477" s="160">
        <f>+'FACP$'!$H4477-'FACP$'!$I4477-'FACP$'!$K4477</f>
        <v>5005.632</v>
      </c>
      <c r="M4477" s="162" t="s">
        <v>158</v>
      </c>
      <c r="N4477" s="162" t="s">
        <v>554</v>
      </c>
      <c r="O4477" s="164">
        <v>45302.0</v>
      </c>
      <c r="P4477" s="164">
        <f t="array" ref="P4477">XLOOKUP('FACP$'!$B4477,'perfil de pagos'!$A$4:$A$46,'perfil de pagos'!$B$4:$B$46+'FACP$'!$D4477)</f>
        <v>45294</v>
      </c>
      <c r="Q4477" s="165">
        <f t="shared" si="2"/>
        <v>0</v>
      </c>
      <c r="R4477" s="167"/>
      <c r="S4477" s="167">
        <v>2730.0</v>
      </c>
      <c r="T4477" s="168">
        <f t="shared" si="3"/>
        <v>5005.632</v>
      </c>
      <c r="U4477" s="168">
        <f t="shared" si="4"/>
        <v>0</v>
      </c>
      <c r="V4477" s="168">
        <f t="shared" si="5"/>
        <v>0</v>
      </c>
      <c r="W4477" s="168">
        <f t="shared" si="6"/>
        <v>0</v>
      </c>
      <c r="X4477" s="168">
        <f t="shared" si="7"/>
        <v>0</v>
      </c>
      <c r="Y4477" s="168">
        <f t="shared" si="8"/>
        <v>0</v>
      </c>
      <c r="Z4477" s="168">
        <f t="shared" si="9"/>
        <v>0</v>
      </c>
    </row>
    <row r="4478" ht="15.0" customHeight="1">
      <c r="A4478" s="157" t="s">
        <v>5691</v>
      </c>
      <c r="B4478" s="158" t="s">
        <v>27</v>
      </c>
      <c r="C4478" s="158" t="s">
        <v>5679</v>
      </c>
      <c r="D4478" s="159">
        <v>45264.0</v>
      </c>
      <c r="E4478" s="157" t="s">
        <v>731</v>
      </c>
      <c r="F4478" s="160">
        <v>27832.0</v>
      </c>
      <c r="G4478" s="160">
        <f>'FACP$'!$F4478*0.16</f>
        <v>4453.12</v>
      </c>
      <c r="H4478" s="160">
        <f t="shared" si="124"/>
        <v>32285.12</v>
      </c>
      <c r="I4478" s="160"/>
      <c r="J4478" s="161"/>
      <c r="K4478" s="160"/>
      <c r="L4478" s="160">
        <f>+'FACP$'!$H4478-'FACP$'!$I4478-'FACP$'!$K4478</f>
        <v>32285.12</v>
      </c>
      <c r="M4478" s="162" t="s">
        <v>151</v>
      </c>
      <c r="N4478" s="162" t="s">
        <v>554</v>
      </c>
      <c r="O4478" s="164">
        <v>45302.0</v>
      </c>
      <c r="P4478" s="164">
        <f t="array" ref="P4478">XLOOKUP('FACP$'!$B4478,'perfil de pagos'!$A$4:$A$46,'perfil de pagos'!$B$4:$B$46+'FACP$'!$D4478)</f>
        <v>45294</v>
      </c>
      <c r="Q4478" s="165">
        <f t="shared" si="2"/>
        <v>0</v>
      </c>
      <c r="R4478" s="167"/>
      <c r="S4478" s="167">
        <v>2738.0</v>
      </c>
      <c r="T4478" s="168">
        <f t="shared" si="3"/>
        <v>32285.12</v>
      </c>
      <c r="U4478" s="168">
        <f t="shared" si="4"/>
        <v>0</v>
      </c>
      <c r="V4478" s="168">
        <f t="shared" si="5"/>
        <v>0</v>
      </c>
      <c r="W4478" s="168">
        <f t="shared" si="6"/>
        <v>0</v>
      </c>
      <c r="X4478" s="168">
        <f t="shared" si="7"/>
        <v>0</v>
      </c>
      <c r="Y4478" s="168">
        <f t="shared" si="8"/>
        <v>0</v>
      </c>
      <c r="Z4478" s="168">
        <f t="shared" si="9"/>
        <v>0</v>
      </c>
    </row>
    <row r="4479" ht="15.0" customHeight="1">
      <c r="A4479" s="157" t="s">
        <v>5692</v>
      </c>
      <c r="B4479" s="158" t="s">
        <v>27</v>
      </c>
      <c r="C4479" s="158" t="s">
        <v>5682</v>
      </c>
      <c r="D4479" s="159">
        <v>45264.0</v>
      </c>
      <c r="E4479" s="157" t="s">
        <v>731</v>
      </c>
      <c r="F4479" s="160">
        <v>31362.62</v>
      </c>
      <c r="G4479" s="160">
        <f>'FACP$'!$F4479*0.16</f>
        <v>5018.0192</v>
      </c>
      <c r="H4479" s="160">
        <f t="shared" si="124"/>
        <v>36380.6392</v>
      </c>
      <c r="I4479" s="160"/>
      <c r="J4479" s="161"/>
      <c r="K4479" s="160"/>
      <c r="L4479" s="160">
        <f>+'FACP$'!$H4479-'FACP$'!$I4479-'FACP$'!$K4479</f>
        <v>36380.6392</v>
      </c>
      <c r="M4479" s="162" t="s">
        <v>151</v>
      </c>
      <c r="N4479" s="162" t="s">
        <v>554</v>
      </c>
      <c r="O4479" s="164">
        <v>45302.0</v>
      </c>
      <c r="P4479" s="164">
        <f t="array" ref="P4479">XLOOKUP('FACP$'!$B4479,'perfil de pagos'!$A$4:$A$46,'perfil de pagos'!$B$4:$B$46+'FACP$'!$D4479)</f>
        <v>45294</v>
      </c>
      <c r="Q4479" s="165">
        <f t="shared" si="2"/>
        <v>0</v>
      </c>
      <c r="R4479" s="167"/>
      <c r="S4479" s="167">
        <v>2738.0</v>
      </c>
      <c r="T4479" s="168">
        <f t="shared" si="3"/>
        <v>36380.6392</v>
      </c>
      <c r="U4479" s="168">
        <f t="shared" si="4"/>
        <v>0</v>
      </c>
      <c r="V4479" s="168">
        <f t="shared" si="5"/>
        <v>0</v>
      </c>
      <c r="W4479" s="168">
        <f t="shared" si="6"/>
        <v>0</v>
      </c>
      <c r="X4479" s="168">
        <f t="shared" si="7"/>
        <v>0</v>
      </c>
      <c r="Y4479" s="168">
        <f t="shared" si="8"/>
        <v>0</v>
      </c>
      <c r="Z4479" s="168">
        <f t="shared" si="9"/>
        <v>0</v>
      </c>
    </row>
    <row r="4480" ht="15.0" customHeight="1">
      <c r="A4480" s="157" t="s">
        <v>5693</v>
      </c>
      <c r="B4480" s="158" t="s">
        <v>27</v>
      </c>
      <c r="C4480" s="158" t="s">
        <v>5679</v>
      </c>
      <c r="D4480" s="159">
        <v>45264.0</v>
      </c>
      <c r="E4480" s="157" t="s">
        <v>731</v>
      </c>
      <c r="F4480" s="160">
        <v>946.85</v>
      </c>
      <c r="G4480" s="160">
        <f>'FACP$'!$F4480*0.16</f>
        <v>151.496</v>
      </c>
      <c r="H4480" s="160">
        <f t="shared" si="124"/>
        <v>1098.346</v>
      </c>
      <c r="I4480" s="160"/>
      <c r="J4480" s="161"/>
      <c r="K4480" s="160"/>
      <c r="L4480" s="160">
        <f>+'FACP$'!$H4480-'FACP$'!$I4480-'FACP$'!$K4480</f>
        <v>1098.346</v>
      </c>
      <c r="M4480" s="162" t="s">
        <v>151</v>
      </c>
      <c r="N4480" s="162" t="s">
        <v>554</v>
      </c>
      <c r="O4480" s="164">
        <v>45302.0</v>
      </c>
      <c r="P4480" s="164">
        <f t="array" ref="P4480">XLOOKUP('FACP$'!$B4480,'perfil de pagos'!$A$4:$A$46,'perfil de pagos'!$B$4:$B$46+'FACP$'!$D4480)</f>
        <v>45294</v>
      </c>
      <c r="Q4480" s="165">
        <f t="shared" si="2"/>
        <v>0</v>
      </c>
      <c r="R4480" s="167"/>
      <c r="S4480" s="167">
        <v>2738.0</v>
      </c>
      <c r="T4480" s="168">
        <f t="shared" si="3"/>
        <v>1098.346</v>
      </c>
      <c r="U4480" s="168">
        <f t="shared" si="4"/>
        <v>0</v>
      </c>
      <c r="V4480" s="168">
        <f t="shared" si="5"/>
        <v>0</v>
      </c>
      <c r="W4480" s="168">
        <f t="shared" si="6"/>
        <v>0</v>
      </c>
      <c r="X4480" s="168">
        <f t="shared" si="7"/>
        <v>0</v>
      </c>
      <c r="Y4480" s="168">
        <f t="shared" si="8"/>
        <v>0</v>
      </c>
      <c r="Z4480" s="168">
        <f t="shared" si="9"/>
        <v>0</v>
      </c>
    </row>
    <row r="4481" ht="15.0" customHeight="1">
      <c r="A4481" s="157" t="s">
        <v>5694</v>
      </c>
      <c r="B4481" s="158" t="s">
        <v>27</v>
      </c>
      <c r="C4481" s="158" t="s">
        <v>5682</v>
      </c>
      <c r="D4481" s="159">
        <v>45264.0</v>
      </c>
      <c r="E4481" s="157" t="s">
        <v>731</v>
      </c>
      <c r="F4481" s="160">
        <v>1272.37</v>
      </c>
      <c r="G4481" s="160">
        <f>'FACP$'!$F4481*0.16</f>
        <v>203.5792</v>
      </c>
      <c r="H4481" s="160">
        <f t="shared" si="124"/>
        <v>1475.9492</v>
      </c>
      <c r="I4481" s="160"/>
      <c r="J4481" s="161"/>
      <c r="K4481" s="160"/>
      <c r="L4481" s="160">
        <f>+'FACP$'!$H4481-'FACP$'!$I4481-'FACP$'!$K4481</f>
        <v>1475.9492</v>
      </c>
      <c r="M4481" s="162" t="s">
        <v>151</v>
      </c>
      <c r="N4481" s="162" t="s">
        <v>554</v>
      </c>
      <c r="O4481" s="164">
        <v>45302.0</v>
      </c>
      <c r="P4481" s="164">
        <f t="array" ref="P4481">XLOOKUP('FACP$'!$B4481,'perfil de pagos'!$A$4:$A$46,'perfil de pagos'!$B$4:$B$46+'FACP$'!$D4481)</f>
        <v>45294</v>
      </c>
      <c r="Q4481" s="165">
        <f t="shared" si="2"/>
        <v>0</v>
      </c>
      <c r="R4481" s="167"/>
      <c r="S4481" s="167">
        <v>2738.0</v>
      </c>
      <c r="T4481" s="168">
        <f t="shared" si="3"/>
        <v>1475.9492</v>
      </c>
      <c r="U4481" s="168">
        <f t="shared" si="4"/>
        <v>0</v>
      </c>
      <c r="V4481" s="168">
        <f t="shared" si="5"/>
        <v>0</v>
      </c>
      <c r="W4481" s="168">
        <f t="shared" si="6"/>
        <v>0</v>
      </c>
      <c r="X4481" s="168">
        <f t="shared" si="7"/>
        <v>0</v>
      </c>
      <c r="Y4481" s="168">
        <f t="shared" si="8"/>
        <v>0</v>
      </c>
      <c r="Z4481" s="168">
        <f t="shared" si="9"/>
        <v>0</v>
      </c>
    </row>
    <row r="4482" ht="15.0" customHeight="1">
      <c r="A4482" s="157" t="s">
        <v>5695</v>
      </c>
      <c r="B4482" s="158" t="s">
        <v>29</v>
      </c>
      <c r="C4482" s="158" t="s">
        <v>5679</v>
      </c>
      <c r="D4482" s="159">
        <v>45264.0</v>
      </c>
      <c r="E4482" s="157" t="s">
        <v>731</v>
      </c>
      <c r="F4482" s="160">
        <v>296463.09</v>
      </c>
      <c r="G4482" s="160">
        <f>'FACP$'!$F4482*0.16</f>
        <v>47434.0944</v>
      </c>
      <c r="H4482" s="160">
        <f t="shared" si="124"/>
        <v>343897.1844</v>
      </c>
      <c r="I4482" s="160"/>
      <c r="J4482" s="161"/>
      <c r="K4482" s="160"/>
      <c r="L4482" s="160">
        <f>+'FACP$'!$H4482-'FACP$'!$I4482-'FACP$'!$K4482</f>
        <v>343897.1844</v>
      </c>
      <c r="M4482" s="162" t="s">
        <v>130</v>
      </c>
      <c r="N4482" s="162" t="s">
        <v>554</v>
      </c>
      <c r="O4482" s="164">
        <v>45273.0</v>
      </c>
      <c r="P4482" s="164">
        <f t="array" ref="P4482">XLOOKUP('FACP$'!$B4482,'perfil de pagos'!$A$4:$A$46,'perfil de pagos'!$B$4:$B$46+'FACP$'!$D4482)</f>
        <v>45274</v>
      </c>
      <c r="Q4482" s="165">
        <f t="shared" si="2"/>
        <v>0</v>
      </c>
      <c r="R4482" s="167"/>
      <c r="S4482" s="167">
        <v>2656.0</v>
      </c>
      <c r="T4482" s="168">
        <f t="shared" si="3"/>
        <v>343897.1844</v>
      </c>
      <c r="U4482" s="168">
        <f t="shared" si="4"/>
        <v>0</v>
      </c>
      <c r="V4482" s="168">
        <f t="shared" si="5"/>
        <v>0</v>
      </c>
      <c r="W4482" s="168">
        <f t="shared" si="6"/>
        <v>0</v>
      </c>
      <c r="X4482" s="168">
        <f t="shared" si="7"/>
        <v>0</v>
      </c>
      <c r="Y4482" s="168">
        <f t="shared" si="8"/>
        <v>0</v>
      </c>
      <c r="Z4482" s="168">
        <f t="shared" si="9"/>
        <v>0</v>
      </c>
    </row>
    <row r="4483" ht="15.0" customHeight="1">
      <c r="A4483" s="157" t="s">
        <v>5696</v>
      </c>
      <c r="B4483" s="158" t="s">
        <v>29</v>
      </c>
      <c r="C4483" s="158" t="s">
        <v>5682</v>
      </c>
      <c r="D4483" s="159">
        <v>45264.0</v>
      </c>
      <c r="E4483" s="157" t="s">
        <v>731</v>
      </c>
      <c r="F4483" s="160">
        <v>444526.17</v>
      </c>
      <c r="G4483" s="160">
        <f>'FACP$'!$F4483*0.16</f>
        <v>71124.1872</v>
      </c>
      <c r="H4483" s="160">
        <f t="shared" si="124"/>
        <v>515650.3572</v>
      </c>
      <c r="I4483" s="160"/>
      <c r="J4483" s="161"/>
      <c r="K4483" s="160"/>
      <c r="L4483" s="160">
        <f>+'FACP$'!$H4483-'FACP$'!$I4483-'FACP$'!$K4483</f>
        <v>515650.3572</v>
      </c>
      <c r="M4483" s="162" t="s">
        <v>130</v>
      </c>
      <c r="N4483" s="162" t="s">
        <v>554</v>
      </c>
      <c r="O4483" s="164">
        <v>45274.0</v>
      </c>
      <c r="P4483" s="164">
        <f t="array" ref="P4483">XLOOKUP('FACP$'!$B4483,'perfil de pagos'!$A$4:$A$46,'perfil de pagos'!$B$4:$B$46+'FACP$'!$D4483)</f>
        <v>45274</v>
      </c>
      <c r="Q4483" s="165">
        <f t="shared" si="2"/>
        <v>0</v>
      </c>
      <c r="R4483" s="167"/>
      <c r="S4483" s="167">
        <v>2661.0</v>
      </c>
      <c r="T4483" s="168">
        <f t="shared" si="3"/>
        <v>515650.3572</v>
      </c>
      <c r="U4483" s="168">
        <f t="shared" si="4"/>
        <v>0</v>
      </c>
      <c r="V4483" s="168">
        <f t="shared" si="5"/>
        <v>0</v>
      </c>
      <c r="W4483" s="168">
        <f t="shared" si="6"/>
        <v>0</v>
      </c>
      <c r="X4483" s="168">
        <f t="shared" si="7"/>
        <v>0</v>
      </c>
      <c r="Y4483" s="168">
        <f t="shared" si="8"/>
        <v>0</v>
      </c>
      <c r="Z4483" s="168">
        <f t="shared" si="9"/>
        <v>0</v>
      </c>
    </row>
    <row r="4484" ht="15.0" customHeight="1">
      <c r="A4484" s="157" t="s">
        <v>5697</v>
      </c>
      <c r="B4484" s="158" t="s">
        <v>29</v>
      </c>
      <c r="C4484" s="158" t="s">
        <v>5698</v>
      </c>
      <c r="D4484" s="159">
        <v>45264.0</v>
      </c>
      <c r="E4484" s="157" t="s">
        <v>731</v>
      </c>
      <c r="F4484" s="160">
        <v>222750.28</v>
      </c>
      <c r="G4484" s="160">
        <f>'FACP$'!$F4484*0.16</f>
        <v>35640.0448</v>
      </c>
      <c r="H4484" s="160">
        <f t="shared" si="124"/>
        <v>258390.3248</v>
      </c>
      <c r="I4484" s="160"/>
      <c r="J4484" s="161"/>
      <c r="K4484" s="160"/>
      <c r="L4484" s="160">
        <f>+'FACP$'!$H4484-'FACP$'!$I4484-'FACP$'!$K4484</f>
        <v>258390.3248</v>
      </c>
      <c r="M4484" s="162" t="s">
        <v>130</v>
      </c>
      <c r="N4484" s="162" t="s">
        <v>554</v>
      </c>
      <c r="O4484" s="164">
        <v>45273.0</v>
      </c>
      <c r="P4484" s="164">
        <f t="array" ref="P4484">XLOOKUP('FACP$'!$B4484,'perfil de pagos'!$A$4:$A$46,'perfil de pagos'!$B$4:$B$46+'FACP$'!$D4484)</f>
        <v>45274</v>
      </c>
      <c r="Q4484" s="165">
        <f t="shared" si="2"/>
        <v>0</v>
      </c>
      <c r="R4484" s="167"/>
      <c r="S4484" s="167">
        <v>2656.0</v>
      </c>
      <c r="T4484" s="168">
        <f t="shared" si="3"/>
        <v>258390.3248</v>
      </c>
      <c r="U4484" s="168">
        <f t="shared" si="4"/>
        <v>0</v>
      </c>
      <c r="V4484" s="168">
        <f t="shared" si="5"/>
        <v>0</v>
      </c>
      <c r="W4484" s="168">
        <f t="shared" si="6"/>
        <v>0</v>
      </c>
      <c r="X4484" s="168">
        <f t="shared" si="7"/>
        <v>0</v>
      </c>
      <c r="Y4484" s="168">
        <f t="shared" si="8"/>
        <v>0</v>
      </c>
      <c r="Z4484" s="168">
        <f t="shared" si="9"/>
        <v>0</v>
      </c>
    </row>
    <row r="4485" ht="15.0" customHeight="1">
      <c r="A4485" s="157" t="s">
        <v>5699</v>
      </c>
      <c r="B4485" s="158" t="s">
        <v>29</v>
      </c>
      <c r="C4485" s="158" t="s">
        <v>5700</v>
      </c>
      <c r="D4485" s="159">
        <v>45264.0</v>
      </c>
      <c r="E4485" s="157" t="s">
        <v>731</v>
      </c>
      <c r="F4485" s="160">
        <v>423348.37</v>
      </c>
      <c r="G4485" s="160">
        <f>'FACP$'!$F4485*0.16</f>
        <v>67735.7392</v>
      </c>
      <c r="H4485" s="160">
        <f t="shared" si="124"/>
        <v>491084.1092</v>
      </c>
      <c r="I4485" s="160"/>
      <c r="J4485" s="161"/>
      <c r="K4485" s="160"/>
      <c r="L4485" s="160">
        <f>+'FACP$'!$H4485-'FACP$'!$I4485-'FACP$'!$K4485</f>
        <v>491084.1092</v>
      </c>
      <c r="M4485" s="162" t="s">
        <v>130</v>
      </c>
      <c r="N4485" s="162" t="s">
        <v>554</v>
      </c>
      <c r="O4485" s="164">
        <v>45274.0</v>
      </c>
      <c r="P4485" s="164">
        <f t="array" ref="P4485">XLOOKUP('FACP$'!$B4485,'perfil de pagos'!$A$4:$A$46,'perfil de pagos'!$B$4:$B$46+'FACP$'!$D4485)</f>
        <v>45274</v>
      </c>
      <c r="Q4485" s="165">
        <f t="shared" si="2"/>
        <v>0</v>
      </c>
      <c r="R4485" s="167"/>
      <c r="S4485" s="167">
        <v>2661.0</v>
      </c>
      <c r="T4485" s="168">
        <f t="shared" si="3"/>
        <v>491084.1092</v>
      </c>
      <c r="U4485" s="168">
        <f t="shared" si="4"/>
        <v>0</v>
      </c>
      <c r="V4485" s="168">
        <f t="shared" si="5"/>
        <v>0</v>
      </c>
      <c r="W4485" s="168">
        <f t="shared" si="6"/>
        <v>0</v>
      </c>
      <c r="X4485" s="168">
        <f t="shared" si="7"/>
        <v>0</v>
      </c>
      <c r="Y4485" s="168">
        <f t="shared" si="8"/>
        <v>0</v>
      </c>
      <c r="Z4485" s="168">
        <f t="shared" si="9"/>
        <v>0</v>
      </c>
    </row>
    <row r="4486" ht="15.0" customHeight="1">
      <c r="A4486" s="157" t="s">
        <v>5701</v>
      </c>
      <c r="B4486" s="158" t="s">
        <v>38</v>
      </c>
      <c r="C4486" s="158" t="s">
        <v>5679</v>
      </c>
      <c r="D4486" s="159">
        <v>45265.0</v>
      </c>
      <c r="E4486" s="157" t="s">
        <v>731</v>
      </c>
      <c r="F4486" s="160">
        <v>196604.1</v>
      </c>
      <c r="G4486" s="160">
        <f>'FACP$'!$F4486*0.16</f>
        <v>31456.656</v>
      </c>
      <c r="H4486" s="160">
        <f t="shared" si="124"/>
        <v>228060.756</v>
      </c>
      <c r="I4486" s="160"/>
      <c r="J4486" s="161"/>
      <c r="K4486" s="160"/>
      <c r="L4486" s="160">
        <f>+'FACP$'!$H4486-'FACP$'!$I4486-'FACP$'!$K4486</f>
        <v>228060.756</v>
      </c>
      <c r="M4486" s="162" t="s">
        <v>4654</v>
      </c>
      <c r="N4486" s="162" t="s">
        <v>554</v>
      </c>
      <c r="O4486" s="164">
        <v>45301.0</v>
      </c>
      <c r="P4486" s="164">
        <f t="array" ref="P4486">XLOOKUP('FACP$'!$B4486,'perfil de pagos'!$A$4:$A$46,'perfil de pagos'!$B$4:$B$46+'FACP$'!$D4486)</f>
        <v>45295</v>
      </c>
      <c r="Q4486" s="165">
        <f t="shared" si="2"/>
        <v>0</v>
      </c>
      <c r="R4486" s="167"/>
      <c r="S4486" s="167">
        <v>2726.0</v>
      </c>
      <c r="T4486" s="168">
        <f t="shared" si="3"/>
        <v>228060.756</v>
      </c>
      <c r="U4486" s="168">
        <f t="shared" si="4"/>
        <v>0</v>
      </c>
      <c r="V4486" s="168">
        <f t="shared" si="5"/>
        <v>0</v>
      </c>
      <c r="W4486" s="168">
        <f t="shared" si="6"/>
        <v>0</v>
      </c>
      <c r="X4486" s="168">
        <f t="shared" si="7"/>
        <v>0</v>
      </c>
      <c r="Y4486" s="168">
        <f t="shared" si="8"/>
        <v>0</v>
      </c>
      <c r="Z4486" s="168">
        <f t="shared" si="9"/>
        <v>0</v>
      </c>
    </row>
    <row r="4487" ht="15.0" customHeight="1">
      <c r="A4487" s="157" t="s">
        <v>5702</v>
      </c>
      <c r="B4487" s="158" t="s">
        <v>38</v>
      </c>
      <c r="C4487" s="158" t="s">
        <v>5679</v>
      </c>
      <c r="D4487" s="159">
        <v>45265.0</v>
      </c>
      <c r="E4487" s="157" t="s">
        <v>731</v>
      </c>
      <c r="F4487" s="160">
        <v>102374.75</v>
      </c>
      <c r="G4487" s="160">
        <f>'FACP$'!$F4487*0.16</f>
        <v>16379.96</v>
      </c>
      <c r="H4487" s="160">
        <f t="shared" si="124"/>
        <v>118754.71</v>
      </c>
      <c r="I4487" s="160"/>
      <c r="J4487" s="161"/>
      <c r="K4487" s="160"/>
      <c r="L4487" s="160">
        <f>+'FACP$'!$H4487-'FACP$'!$I4487-'FACP$'!$K4487</f>
        <v>118754.71</v>
      </c>
      <c r="M4487" s="162" t="s">
        <v>4707</v>
      </c>
      <c r="N4487" s="162" t="s">
        <v>554</v>
      </c>
      <c r="O4487" s="164">
        <v>45316.0</v>
      </c>
      <c r="P4487" s="164">
        <f t="array" ref="P4487">XLOOKUP('FACP$'!$B4487,'perfil de pagos'!$A$4:$A$46,'perfil de pagos'!$B$4:$B$46+'FACP$'!$D4487)</f>
        <v>45295</v>
      </c>
      <c r="Q4487" s="165">
        <f t="shared" si="2"/>
        <v>0</v>
      </c>
      <c r="R4487" s="167"/>
      <c r="S4487" s="167">
        <v>2765.0</v>
      </c>
      <c r="T4487" s="168">
        <f t="shared" si="3"/>
        <v>118754.71</v>
      </c>
      <c r="U4487" s="168">
        <f t="shared" si="4"/>
        <v>0</v>
      </c>
      <c r="V4487" s="168">
        <f t="shared" si="5"/>
        <v>0</v>
      </c>
      <c r="W4487" s="168">
        <f t="shared" si="6"/>
        <v>0</v>
      </c>
      <c r="X4487" s="168">
        <f t="shared" si="7"/>
        <v>0</v>
      </c>
      <c r="Y4487" s="168">
        <f t="shared" si="8"/>
        <v>0</v>
      </c>
      <c r="Z4487" s="168">
        <f t="shared" si="9"/>
        <v>0</v>
      </c>
    </row>
    <row r="4488" ht="15.0" customHeight="1">
      <c r="A4488" s="157" t="s">
        <v>5703</v>
      </c>
      <c r="B4488" s="158" t="s">
        <v>38</v>
      </c>
      <c r="C4488" s="158" t="s">
        <v>5682</v>
      </c>
      <c r="D4488" s="159">
        <v>45265.0</v>
      </c>
      <c r="E4488" s="157" t="s">
        <v>731</v>
      </c>
      <c r="F4488" s="160">
        <v>123254.4</v>
      </c>
      <c r="G4488" s="160">
        <f>'FACP$'!$F4488*0.16</f>
        <v>19720.704</v>
      </c>
      <c r="H4488" s="160">
        <f t="shared" si="124"/>
        <v>142975.104</v>
      </c>
      <c r="I4488" s="160"/>
      <c r="J4488" s="161"/>
      <c r="K4488" s="160"/>
      <c r="L4488" s="160">
        <f>+'FACP$'!$H4488-'FACP$'!$I4488-'FACP$'!$K4488</f>
        <v>142975.104</v>
      </c>
      <c r="M4488" s="162" t="s">
        <v>4707</v>
      </c>
      <c r="N4488" s="162" t="s">
        <v>554</v>
      </c>
      <c r="O4488" s="164">
        <v>45316.0</v>
      </c>
      <c r="P4488" s="164">
        <f t="array" ref="P4488">XLOOKUP('FACP$'!$B4488,'perfil de pagos'!$A$4:$A$46,'perfil de pagos'!$B$4:$B$46+'FACP$'!$D4488)</f>
        <v>45295</v>
      </c>
      <c r="Q4488" s="165">
        <f t="shared" si="2"/>
        <v>0</v>
      </c>
      <c r="R4488" s="167"/>
      <c r="S4488" s="167">
        <v>2765.0</v>
      </c>
      <c r="T4488" s="168">
        <f t="shared" si="3"/>
        <v>142975.104</v>
      </c>
      <c r="U4488" s="168">
        <f t="shared" si="4"/>
        <v>0</v>
      </c>
      <c r="V4488" s="168">
        <f t="shared" si="5"/>
        <v>0</v>
      </c>
      <c r="W4488" s="168">
        <f t="shared" si="6"/>
        <v>0</v>
      </c>
      <c r="X4488" s="168">
        <f t="shared" si="7"/>
        <v>0</v>
      </c>
      <c r="Y4488" s="168">
        <f t="shared" si="8"/>
        <v>0</v>
      </c>
      <c r="Z4488" s="168">
        <f t="shared" si="9"/>
        <v>0</v>
      </c>
    </row>
    <row r="4489" ht="15.0" customHeight="1">
      <c r="A4489" s="157" t="s">
        <v>5704</v>
      </c>
      <c r="B4489" s="158" t="s">
        <v>31</v>
      </c>
      <c r="C4489" s="158" t="s">
        <v>5679</v>
      </c>
      <c r="D4489" s="159">
        <v>45265.0</v>
      </c>
      <c r="E4489" s="157" t="s">
        <v>731</v>
      </c>
      <c r="F4489" s="160">
        <v>302395.14</v>
      </c>
      <c r="G4489" s="160">
        <f>'FACP$'!$F4489*0.16</f>
        <v>48383.2224</v>
      </c>
      <c r="H4489" s="160">
        <f t="shared" si="124"/>
        <v>350778.3624</v>
      </c>
      <c r="I4489" s="160"/>
      <c r="J4489" s="161"/>
      <c r="K4489" s="160"/>
      <c r="L4489" s="160">
        <f>+'FACP$'!$H4489-'FACP$'!$I4489-'FACP$'!$K4489</f>
        <v>350778.3624</v>
      </c>
      <c r="M4489" s="162" t="s">
        <v>3183</v>
      </c>
      <c r="N4489" s="162" t="s">
        <v>554</v>
      </c>
      <c r="O4489" s="164">
        <v>45289.0</v>
      </c>
      <c r="P4489" s="164">
        <f t="array" ref="P4489">XLOOKUP('FACP$'!$B4489,'perfil de pagos'!$A$4:$A$46,'perfil de pagos'!$B$4:$B$46+'FACP$'!$D4489)</f>
        <v>45268</v>
      </c>
      <c r="Q4489" s="165">
        <f t="shared" si="2"/>
        <v>0</v>
      </c>
      <c r="R4489" s="167"/>
      <c r="S4489" s="167">
        <v>2717.0</v>
      </c>
      <c r="T4489" s="168">
        <f t="shared" si="3"/>
        <v>350778.3624</v>
      </c>
      <c r="U4489" s="168">
        <f t="shared" si="4"/>
        <v>0</v>
      </c>
      <c r="V4489" s="168">
        <f t="shared" si="5"/>
        <v>0</v>
      </c>
      <c r="W4489" s="168">
        <f t="shared" si="6"/>
        <v>0</v>
      </c>
      <c r="X4489" s="168">
        <f t="shared" si="7"/>
        <v>0</v>
      </c>
      <c r="Y4489" s="168">
        <f t="shared" si="8"/>
        <v>0</v>
      </c>
      <c r="Z4489" s="168">
        <f t="shared" si="9"/>
        <v>0</v>
      </c>
    </row>
    <row r="4490" ht="15.0" customHeight="1">
      <c r="A4490" s="157" t="s">
        <v>5705</v>
      </c>
      <c r="B4490" s="158" t="s">
        <v>38</v>
      </c>
      <c r="C4490" s="158" t="s">
        <v>5706</v>
      </c>
      <c r="D4490" s="159">
        <v>45267.0</v>
      </c>
      <c r="E4490" s="157" t="s">
        <v>731</v>
      </c>
      <c r="F4490" s="160">
        <v>31060.35</v>
      </c>
      <c r="G4490" s="160">
        <f>'FACP$'!$F4490*0.16</f>
        <v>4969.656</v>
      </c>
      <c r="H4490" s="160">
        <f t="shared" si="124"/>
        <v>36030.006</v>
      </c>
      <c r="I4490" s="160"/>
      <c r="J4490" s="161"/>
      <c r="K4490" s="160"/>
      <c r="L4490" s="160">
        <f>+'FACP$'!$H4490-'FACP$'!$I4490-'FACP$'!$K4490</f>
        <v>36030.006</v>
      </c>
      <c r="M4490" s="162" t="s">
        <v>145</v>
      </c>
      <c r="N4490" s="162" t="s">
        <v>554</v>
      </c>
      <c r="O4490" s="164">
        <v>45289.0</v>
      </c>
      <c r="P4490" s="164">
        <f t="array" ref="P4490">XLOOKUP('FACP$'!$B4490,'perfil de pagos'!$A$4:$A$46,'perfil de pagos'!$B$4:$B$46+'FACP$'!$D4490)</f>
        <v>45297</v>
      </c>
      <c r="Q4490" s="165">
        <f t="shared" si="2"/>
        <v>0</v>
      </c>
      <c r="R4490" s="167"/>
      <c r="S4490" s="167">
        <v>2765.0</v>
      </c>
      <c r="T4490" s="168">
        <f t="shared" si="3"/>
        <v>36030.006</v>
      </c>
      <c r="U4490" s="168">
        <f t="shared" si="4"/>
        <v>0</v>
      </c>
      <c r="V4490" s="168">
        <f t="shared" si="5"/>
        <v>0</v>
      </c>
      <c r="W4490" s="168">
        <f t="shared" si="6"/>
        <v>0</v>
      </c>
      <c r="X4490" s="168">
        <f t="shared" si="7"/>
        <v>0</v>
      </c>
      <c r="Y4490" s="168">
        <f t="shared" si="8"/>
        <v>0</v>
      </c>
      <c r="Z4490" s="168">
        <f t="shared" si="9"/>
        <v>0</v>
      </c>
    </row>
    <row r="4491" ht="15.0" customHeight="1">
      <c r="A4491" s="157" t="s">
        <v>5707</v>
      </c>
      <c r="B4491" s="158" t="s">
        <v>18</v>
      </c>
      <c r="C4491" s="158" t="s">
        <v>5679</v>
      </c>
      <c r="D4491" s="159">
        <v>45267.0</v>
      </c>
      <c r="E4491" s="157" t="s">
        <v>731</v>
      </c>
      <c r="F4491" s="160">
        <v>91343.38</v>
      </c>
      <c r="G4491" s="160">
        <f>'FACP$'!$F4491*0.16</f>
        <v>14614.9408</v>
      </c>
      <c r="H4491" s="160">
        <f t="shared" si="124"/>
        <v>105958.3208</v>
      </c>
      <c r="I4491" s="160"/>
      <c r="J4491" s="161"/>
      <c r="K4491" s="160"/>
      <c r="L4491" s="160">
        <f>+'FACP$'!$H4491-'FACP$'!$I4491-'FACP$'!$K4491</f>
        <v>105958.3208</v>
      </c>
      <c r="M4491" s="162" t="s">
        <v>586</v>
      </c>
      <c r="N4491" s="162" t="s">
        <v>554</v>
      </c>
      <c r="O4491" s="164">
        <v>45283.0</v>
      </c>
      <c r="P4491" s="164">
        <f t="array" ref="P4491">XLOOKUP('FACP$'!$B4491,'perfil de pagos'!$A$4:$A$46,'perfil de pagos'!$B$4:$B$46+'FACP$'!$D4491)</f>
        <v>45277</v>
      </c>
      <c r="Q4491" s="165">
        <f t="shared" si="2"/>
        <v>0</v>
      </c>
      <c r="R4491" s="167"/>
      <c r="S4491" s="167">
        <v>2687.0</v>
      </c>
      <c r="T4491" s="168">
        <f t="shared" si="3"/>
        <v>105958.3208</v>
      </c>
      <c r="U4491" s="168">
        <f t="shared" si="4"/>
        <v>0</v>
      </c>
      <c r="V4491" s="168">
        <f t="shared" si="5"/>
        <v>0</v>
      </c>
      <c r="W4491" s="168">
        <f t="shared" si="6"/>
        <v>0</v>
      </c>
      <c r="X4491" s="168">
        <f t="shared" si="7"/>
        <v>0</v>
      </c>
      <c r="Y4491" s="168">
        <f t="shared" si="8"/>
        <v>0</v>
      </c>
      <c r="Z4491" s="168">
        <f t="shared" si="9"/>
        <v>0</v>
      </c>
    </row>
    <row r="4492" ht="15.0" customHeight="1">
      <c r="A4492" s="157" t="s">
        <v>5708</v>
      </c>
      <c r="B4492" s="158" t="s">
        <v>127</v>
      </c>
      <c r="C4492" s="158"/>
      <c r="D4492" s="159"/>
      <c r="E4492" s="157" t="s">
        <v>731</v>
      </c>
      <c r="F4492" s="160"/>
      <c r="G4492" s="160"/>
      <c r="H4492" s="160">
        <f t="shared" si="124"/>
        <v>0</v>
      </c>
      <c r="I4492" s="160"/>
      <c r="J4492" s="161"/>
      <c r="K4492" s="160"/>
      <c r="L4492" s="160">
        <f>+'FACP$'!$H4492-'FACP$'!$I4492-'FACP$'!$K4492</f>
        <v>0</v>
      </c>
      <c r="M4492" s="162" t="s">
        <v>127</v>
      </c>
      <c r="N4492" s="162"/>
      <c r="O4492" s="164"/>
      <c r="P4492" s="164" t="str">
        <f t="array" ref="P4492">XLOOKUP('FACP$'!$B4492,'perfil de pagos'!$A$4:$A$46,'perfil de pagos'!$B$4:$B$46+'FACP$'!$D4492)</f>
        <v>#N/A</v>
      </c>
      <c r="Q4492" s="165" t="str">
        <f t="shared" si="2"/>
        <v>#N/A</v>
      </c>
      <c r="R4492" s="167"/>
      <c r="S4492" s="167"/>
      <c r="T4492" s="168" t="str">
        <f t="shared" si="3"/>
        <v>#N/A</v>
      </c>
      <c r="U4492" s="168" t="str">
        <f t="shared" si="4"/>
        <v>#N/A</v>
      </c>
      <c r="V4492" s="168" t="str">
        <f t="shared" si="5"/>
        <v>#N/A</v>
      </c>
      <c r="W4492" s="168" t="str">
        <f t="shared" si="6"/>
        <v>#N/A</v>
      </c>
      <c r="X4492" s="168" t="str">
        <f t="shared" si="7"/>
        <v>#N/A</v>
      </c>
      <c r="Y4492" s="168" t="str">
        <f t="shared" si="8"/>
        <v>#N/A</v>
      </c>
      <c r="Z4492" s="168" t="str">
        <f t="shared" si="9"/>
        <v>#N/A</v>
      </c>
    </row>
    <row r="4493" ht="15.0" customHeight="1">
      <c r="A4493" s="157" t="s">
        <v>5709</v>
      </c>
      <c r="B4493" s="158" t="s">
        <v>19</v>
      </c>
      <c r="C4493" s="158" t="s">
        <v>5679</v>
      </c>
      <c r="D4493" s="159">
        <v>45267.0</v>
      </c>
      <c r="E4493" s="157" t="s">
        <v>731</v>
      </c>
      <c r="F4493" s="160">
        <v>211691.28</v>
      </c>
      <c r="G4493" s="160">
        <f>'FACP$'!$F4493*0.16</f>
        <v>33870.6048</v>
      </c>
      <c r="H4493" s="160">
        <f t="shared" si="124"/>
        <v>245561.8848</v>
      </c>
      <c r="I4493" s="160"/>
      <c r="J4493" s="161"/>
      <c r="K4493" s="160"/>
      <c r="L4493" s="160">
        <f>+'FACP$'!$H4493-'FACP$'!$I4493-'FACP$'!$K4493</f>
        <v>245561.8848</v>
      </c>
      <c r="M4493" s="162" t="s">
        <v>732</v>
      </c>
      <c r="N4493" s="162" t="s">
        <v>554</v>
      </c>
      <c r="O4493" s="164">
        <v>45283.0</v>
      </c>
      <c r="P4493" s="164">
        <f t="array" ref="P4493">XLOOKUP('FACP$'!$B4493,'perfil de pagos'!$A$4:$A$46,'perfil de pagos'!$B$4:$B$46+'FACP$'!$D4493)</f>
        <v>45277</v>
      </c>
      <c r="Q4493" s="165">
        <f t="shared" si="2"/>
        <v>0</v>
      </c>
      <c r="R4493" s="167"/>
      <c r="S4493" s="167">
        <v>2687.0</v>
      </c>
      <c r="T4493" s="168">
        <f t="shared" si="3"/>
        <v>245561.8848</v>
      </c>
      <c r="U4493" s="168">
        <f t="shared" si="4"/>
        <v>0</v>
      </c>
      <c r="V4493" s="168">
        <f t="shared" si="5"/>
        <v>0</v>
      </c>
      <c r="W4493" s="168">
        <f t="shared" si="6"/>
        <v>0</v>
      </c>
      <c r="X4493" s="168">
        <f t="shared" si="7"/>
        <v>0</v>
      </c>
      <c r="Y4493" s="168">
        <f t="shared" si="8"/>
        <v>0</v>
      </c>
      <c r="Z4493" s="168">
        <f t="shared" si="9"/>
        <v>0</v>
      </c>
    </row>
    <row r="4494" ht="15.0" customHeight="1">
      <c r="A4494" s="157" t="s">
        <v>5710</v>
      </c>
      <c r="B4494" s="158" t="s">
        <v>25</v>
      </c>
      <c r="C4494" s="158" t="s">
        <v>5679</v>
      </c>
      <c r="D4494" s="159">
        <v>45267.0</v>
      </c>
      <c r="E4494" s="157" t="s">
        <v>731</v>
      </c>
      <c r="F4494" s="160">
        <v>61800.86</v>
      </c>
      <c r="G4494" s="160">
        <f>'FACP$'!$F4494*0.16</f>
        <v>9888.1376</v>
      </c>
      <c r="H4494" s="160">
        <f t="shared" si="124"/>
        <v>71688.9976</v>
      </c>
      <c r="I4494" s="160"/>
      <c r="J4494" s="161"/>
      <c r="K4494" s="160"/>
      <c r="L4494" s="160">
        <f>+'FACP$'!$H4494-'FACP$'!$I4494-'FACP$'!$K4494</f>
        <v>71688.9976</v>
      </c>
      <c r="M4494" s="162" t="s">
        <v>4388</v>
      </c>
      <c r="N4494" s="162" t="s">
        <v>554</v>
      </c>
      <c r="O4494" s="164">
        <v>45289.0</v>
      </c>
      <c r="P4494" s="164">
        <f t="array" ref="P4494">XLOOKUP('FACP$'!$B4494,'perfil de pagos'!$A$4:$A$46,'perfil de pagos'!$B$4:$B$46+'FACP$'!$D4494)</f>
        <v>45277</v>
      </c>
      <c r="Q4494" s="165">
        <f t="shared" si="2"/>
        <v>0</v>
      </c>
      <c r="R4494" s="167"/>
      <c r="S4494" s="167">
        <v>2703.0</v>
      </c>
      <c r="T4494" s="168">
        <f t="shared" si="3"/>
        <v>71688.9976</v>
      </c>
      <c r="U4494" s="168">
        <f t="shared" si="4"/>
        <v>0</v>
      </c>
      <c r="V4494" s="168">
        <f t="shared" si="5"/>
        <v>0</v>
      </c>
      <c r="W4494" s="168">
        <f t="shared" si="6"/>
        <v>0</v>
      </c>
      <c r="X4494" s="168">
        <f t="shared" si="7"/>
        <v>0</v>
      </c>
      <c r="Y4494" s="168">
        <f t="shared" si="8"/>
        <v>0</v>
      </c>
      <c r="Z4494" s="168">
        <f t="shared" si="9"/>
        <v>0</v>
      </c>
    </row>
    <row r="4495" ht="15.0" customHeight="1">
      <c r="A4495" s="157" t="s">
        <v>5711</v>
      </c>
      <c r="B4495" s="158" t="s">
        <v>22</v>
      </c>
      <c r="C4495" s="158" t="s">
        <v>5679</v>
      </c>
      <c r="D4495" s="159">
        <v>45267.0</v>
      </c>
      <c r="E4495" s="157" t="s">
        <v>731</v>
      </c>
      <c r="F4495" s="160">
        <v>221177.73</v>
      </c>
      <c r="G4495" s="160">
        <f>'FACP$'!$F4495*0.16</f>
        <v>35388.4368</v>
      </c>
      <c r="H4495" s="160">
        <f t="shared" si="124"/>
        <v>256566.1668</v>
      </c>
      <c r="I4495" s="160"/>
      <c r="J4495" s="161"/>
      <c r="K4495" s="160"/>
      <c r="L4495" s="160">
        <f>+'FACP$'!$H4495-'FACP$'!$I4495-'FACP$'!$K4495</f>
        <v>256566.1668</v>
      </c>
      <c r="M4495" s="162" t="s">
        <v>220</v>
      </c>
      <c r="N4495" s="162" t="s">
        <v>554</v>
      </c>
      <c r="O4495" s="164">
        <v>45299.0</v>
      </c>
      <c r="P4495" s="164">
        <f t="array" ref="P4495">XLOOKUP('FACP$'!$B4495,'perfil de pagos'!$A$4:$A$46,'perfil de pagos'!$B$4:$B$46+'FACP$'!$D4495)</f>
        <v>45277</v>
      </c>
      <c r="Q4495" s="165">
        <f t="shared" si="2"/>
        <v>0</v>
      </c>
      <c r="R4495" s="167"/>
      <c r="S4495" s="167">
        <v>2729.0</v>
      </c>
      <c r="T4495" s="168">
        <f t="shared" si="3"/>
        <v>256566.1668</v>
      </c>
      <c r="U4495" s="168">
        <f t="shared" si="4"/>
        <v>0</v>
      </c>
      <c r="V4495" s="168">
        <f t="shared" si="5"/>
        <v>0</v>
      </c>
      <c r="W4495" s="168">
        <f t="shared" si="6"/>
        <v>0</v>
      </c>
      <c r="X4495" s="168">
        <f t="shared" si="7"/>
        <v>0</v>
      </c>
      <c r="Y4495" s="168">
        <f t="shared" si="8"/>
        <v>0</v>
      </c>
      <c r="Z4495" s="168">
        <f t="shared" si="9"/>
        <v>0</v>
      </c>
    </row>
    <row r="4496" ht="15.0" customHeight="1">
      <c r="A4496" s="157" t="s">
        <v>5712</v>
      </c>
      <c r="B4496" s="158" t="s">
        <v>16</v>
      </c>
      <c r="C4496" s="158" t="s">
        <v>5679</v>
      </c>
      <c r="D4496" s="159">
        <v>45267.0</v>
      </c>
      <c r="E4496" s="157" t="s">
        <v>731</v>
      </c>
      <c r="F4496" s="160">
        <v>335451.04</v>
      </c>
      <c r="G4496" s="160">
        <f>'FACP$'!$F4496*0.16</f>
        <v>53672.1664</v>
      </c>
      <c r="H4496" s="160">
        <f t="shared" si="124"/>
        <v>389123.2064</v>
      </c>
      <c r="I4496" s="160"/>
      <c r="J4496" s="161"/>
      <c r="K4496" s="160"/>
      <c r="L4496" s="160">
        <f>+'FACP$'!$H4496-'FACP$'!$I4496-'FACP$'!$K4496</f>
        <v>389123.2064</v>
      </c>
      <c r="M4496" s="162" t="s">
        <v>985</v>
      </c>
      <c r="N4496" s="162" t="s">
        <v>554</v>
      </c>
      <c r="O4496" s="164">
        <v>45313.0</v>
      </c>
      <c r="P4496" s="164">
        <f t="array" ref="P4496">XLOOKUP('FACP$'!$B4496,'perfil de pagos'!$A$4:$A$46,'perfil de pagos'!$B$4:$B$46+'FACP$'!$D4496)</f>
        <v>45277</v>
      </c>
      <c r="Q4496" s="165">
        <f t="shared" si="2"/>
        <v>0</v>
      </c>
      <c r="R4496" s="167"/>
      <c r="S4496" s="167">
        <v>2749.0</v>
      </c>
      <c r="T4496" s="168">
        <f t="shared" si="3"/>
        <v>389123.2064</v>
      </c>
      <c r="U4496" s="168">
        <f t="shared" si="4"/>
        <v>0</v>
      </c>
      <c r="V4496" s="168">
        <f t="shared" si="5"/>
        <v>0</v>
      </c>
      <c r="W4496" s="168">
        <f t="shared" si="6"/>
        <v>0</v>
      </c>
      <c r="X4496" s="168">
        <f t="shared" si="7"/>
        <v>0</v>
      </c>
      <c r="Y4496" s="168">
        <f t="shared" si="8"/>
        <v>0</v>
      </c>
      <c r="Z4496" s="168">
        <f t="shared" si="9"/>
        <v>0</v>
      </c>
    </row>
    <row r="4497" ht="15.0" customHeight="1">
      <c r="A4497" s="157" t="s">
        <v>5713</v>
      </c>
      <c r="B4497" s="158" t="s">
        <v>16</v>
      </c>
      <c r="C4497" s="158" t="s">
        <v>5682</v>
      </c>
      <c r="D4497" s="159">
        <v>45267.0</v>
      </c>
      <c r="E4497" s="157" t="s">
        <v>731</v>
      </c>
      <c r="F4497" s="160">
        <v>525803.07</v>
      </c>
      <c r="G4497" s="160">
        <f>'FACP$'!$F4497*0.16</f>
        <v>84128.4912</v>
      </c>
      <c r="H4497" s="160">
        <f t="shared" si="124"/>
        <v>609931.5612</v>
      </c>
      <c r="I4497" s="160"/>
      <c r="J4497" s="161"/>
      <c r="K4497" s="160"/>
      <c r="L4497" s="160">
        <f>+'FACP$'!$H4497-'FACP$'!$I4497-'FACP$'!$K4497</f>
        <v>609931.5612</v>
      </c>
      <c r="M4497" s="162" t="s">
        <v>985</v>
      </c>
      <c r="N4497" s="162" t="s">
        <v>554</v>
      </c>
      <c r="O4497" s="164">
        <v>45313.0</v>
      </c>
      <c r="P4497" s="164">
        <f t="array" ref="P4497">XLOOKUP('FACP$'!$B4497,'perfil de pagos'!$A$4:$A$46,'perfil de pagos'!$B$4:$B$46+'FACP$'!$D4497)</f>
        <v>45277</v>
      </c>
      <c r="Q4497" s="165">
        <f t="shared" si="2"/>
        <v>0</v>
      </c>
      <c r="R4497" s="167"/>
      <c r="S4497" s="167">
        <v>2749.0</v>
      </c>
      <c r="T4497" s="168">
        <f t="shared" si="3"/>
        <v>609931.5612</v>
      </c>
      <c r="U4497" s="168">
        <f t="shared" si="4"/>
        <v>0</v>
      </c>
      <c r="V4497" s="168">
        <f t="shared" si="5"/>
        <v>0</v>
      </c>
      <c r="W4497" s="168">
        <f t="shared" si="6"/>
        <v>0</v>
      </c>
      <c r="X4497" s="168">
        <f t="shared" si="7"/>
        <v>0</v>
      </c>
      <c r="Y4497" s="168">
        <f t="shared" si="8"/>
        <v>0</v>
      </c>
      <c r="Z4497" s="168">
        <f t="shared" si="9"/>
        <v>0</v>
      </c>
    </row>
    <row r="4498" ht="15.0" customHeight="1">
      <c r="A4498" s="157" t="s">
        <v>5714</v>
      </c>
      <c r="B4498" s="158" t="s">
        <v>40</v>
      </c>
      <c r="C4498" s="158" t="s">
        <v>5679</v>
      </c>
      <c r="D4498" s="159">
        <v>45267.0</v>
      </c>
      <c r="E4498" s="157" t="s">
        <v>731</v>
      </c>
      <c r="F4498" s="160">
        <v>301609.07</v>
      </c>
      <c r="G4498" s="160">
        <f>'FACP$'!$F4498*0.16</f>
        <v>48257.4512</v>
      </c>
      <c r="H4498" s="160">
        <f t="shared" si="124"/>
        <v>349866.5212</v>
      </c>
      <c r="I4498" s="160"/>
      <c r="J4498" s="161"/>
      <c r="K4498" s="160"/>
      <c r="L4498" s="160">
        <f>+'FACP$'!$H4498-'FACP$'!$I4498-'FACP$'!$K4498</f>
        <v>349866.5212</v>
      </c>
      <c r="M4498" s="162" t="s">
        <v>490</v>
      </c>
      <c r="N4498" s="162" t="s">
        <v>554</v>
      </c>
      <c r="O4498" s="164">
        <v>45296.0</v>
      </c>
      <c r="P4498" s="164">
        <f t="array" ref="P4498">XLOOKUP('FACP$'!$B4498,'perfil de pagos'!$A$4:$A$46,'perfil de pagos'!$B$4:$B$46+'FACP$'!$D4498)</f>
        <v>45297</v>
      </c>
      <c r="Q4498" s="165">
        <f t="shared" si="2"/>
        <v>0</v>
      </c>
      <c r="R4498" s="167"/>
      <c r="S4498" s="167">
        <v>2721.0</v>
      </c>
      <c r="T4498" s="168">
        <f t="shared" si="3"/>
        <v>349866.5212</v>
      </c>
      <c r="U4498" s="168">
        <f t="shared" si="4"/>
        <v>0</v>
      </c>
      <c r="V4498" s="168">
        <f t="shared" si="5"/>
        <v>0</v>
      </c>
      <c r="W4498" s="168">
        <f t="shared" si="6"/>
        <v>0</v>
      </c>
      <c r="X4498" s="168">
        <f t="shared" si="7"/>
        <v>0</v>
      </c>
      <c r="Y4498" s="168">
        <f t="shared" si="8"/>
        <v>0</v>
      </c>
      <c r="Z4498" s="168">
        <f t="shared" si="9"/>
        <v>0</v>
      </c>
    </row>
    <row r="4499" ht="15.0" customHeight="1">
      <c r="A4499" s="157" t="s">
        <v>5715</v>
      </c>
      <c r="B4499" s="158" t="s">
        <v>40</v>
      </c>
      <c r="C4499" s="158" t="s">
        <v>5682</v>
      </c>
      <c r="D4499" s="159">
        <v>45267.0</v>
      </c>
      <c r="E4499" s="157" t="s">
        <v>731</v>
      </c>
      <c r="F4499" s="160">
        <v>270385.1</v>
      </c>
      <c r="G4499" s="160">
        <f>'FACP$'!$F4499*0.16</f>
        <v>43261.616</v>
      </c>
      <c r="H4499" s="160">
        <f t="shared" si="124"/>
        <v>313646.716</v>
      </c>
      <c r="I4499" s="160"/>
      <c r="J4499" s="161"/>
      <c r="K4499" s="160"/>
      <c r="L4499" s="160">
        <f>+'FACP$'!$H4499-'FACP$'!$I4499-'FACP$'!$K4499</f>
        <v>313646.716</v>
      </c>
      <c r="M4499" s="162" t="s">
        <v>490</v>
      </c>
      <c r="N4499" s="162" t="s">
        <v>554</v>
      </c>
      <c r="O4499" s="164">
        <v>45281.0</v>
      </c>
      <c r="P4499" s="164">
        <f t="array" ref="P4499">XLOOKUP('FACP$'!$B4499,'perfil de pagos'!$A$4:$A$46,'perfil de pagos'!$B$4:$B$46+'FACP$'!$D4499)</f>
        <v>45297</v>
      </c>
      <c r="Q4499" s="165">
        <f t="shared" si="2"/>
        <v>0</v>
      </c>
      <c r="R4499" s="167"/>
      <c r="S4499" s="167">
        <v>2676.0</v>
      </c>
      <c r="T4499" s="168">
        <f t="shared" si="3"/>
        <v>313646.716</v>
      </c>
      <c r="U4499" s="168">
        <f t="shared" si="4"/>
        <v>0</v>
      </c>
      <c r="V4499" s="168">
        <f t="shared" si="5"/>
        <v>0</v>
      </c>
      <c r="W4499" s="168">
        <f t="shared" si="6"/>
        <v>0</v>
      </c>
      <c r="X4499" s="168">
        <f t="shared" si="7"/>
        <v>0</v>
      </c>
      <c r="Y4499" s="168">
        <f t="shared" si="8"/>
        <v>0</v>
      </c>
      <c r="Z4499" s="168">
        <f t="shared" si="9"/>
        <v>0</v>
      </c>
    </row>
    <row r="4500" ht="15.0" customHeight="1">
      <c r="A4500" s="157" t="s">
        <v>5716</v>
      </c>
      <c r="B4500" s="158" t="s">
        <v>37</v>
      </c>
      <c r="C4500" s="158" t="s">
        <v>5679</v>
      </c>
      <c r="D4500" s="159">
        <v>45267.0</v>
      </c>
      <c r="E4500" s="157" t="s">
        <v>731</v>
      </c>
      <c r="F4500" s="160">
        <v>1628700.07</v>
      </c>
      <c r="G4500" s="160">
        <f>'FACP$'!$F4500*0.16</f>
        <v>260592.0112</v>
      </c>
      <c r="H4500" s="160">
        <f t="shared" si="124"/>
        <v>1889292.081</v>
      </c>
      <c r="I4500" s="160"/>
      <c r="J4500" s="161"/>
      <c r="K4500" s="160"/>
      <c r="L4500" s="160">
        <f>+'FACP$'!$H4500-'FACP$'!$I4500-'FACP$'!$K4500</f>
        <v>1889292.081</v>
      </c>
      <c r="M4500" s="162" t="s">
        <v>116</v>
      </c>
      <c r="N4500" s="162" t="s">
        <v>554</v>
      </c>
      <c r="O4500" s="164">
        <v>45275.0</v>
      </c>
      <c r="P4500" s="164">
        <f t="array" ref="P4500">XLOOKUP('FACP$'!$B4500,'perfil de pagos'!$A$4:$A$46,'perfil de pagos'!$B$4:$B$46+'FACP$'!$D4500)</f>
        <v>45277</v>
      </c>
      <c r="Q4500" s="165">
        <f t="shared" si="2"/>
        <v>0</v>
      </c>
      <c r="R4500" s="167"/>
      <c r="S4500" s="167">
        <v>2669.0</v>
      </c>
      <c r="T4500" s="168">
        <f t="shared" si="3"/>
        <v>1889292.081</v>
      </c>
      <c r="U4500" s="168">
        <f t="shared" si="4"/>
        <v>0</v>
      </c>
      <c r="V4500" s="168">
        <f t="shared" si="5"/>
        <v>0</v>
      </c>
      <c r="W4500" s="168">
        <f t="shared" si="6"/>
        <v>0</v>
      </c>
      <c r="X4500" s="168">
        <f t="shared" si="7"/>
        <v>0</v>
      </c>
      <c r="Y4500" s="168">
        <f t="shared" si="8"/>
        <v>0</v>
      </c>
      <c r="Z4500" s="168">
        <f t="shared" si="9"/>
        <v>0</v>
      </c>
    </row>
    <row r="4501" ht="15.0" customHeight="1">
      <c r="A4501" s="157" t="s">
        <v>5717</v>
      </c>
      <c r="B4501" s="158" t="s">
        <v>38</v>
      </c>
      <c r="C4501" s="158" t="s">
        <v>5679</v>
      </c>
      <c r="D4501" s="159">
        <v>45268.0</v>
      </c>
      <c r="E4501" s="157" t="s">
        <v>731</v>
      </c>
      <c r="F4501" s="160">
        <v>663896.13</v>
      </c>
      <c r="G4501" s="160">
        <f>'FACP$'!$F4501*0.16</f>
        <v>106223.3808</v>
      </c>
      <c r="H4501" s="160">
        <f t="shared" si="124"/>
        <v>770119.5108</v>
      </c>
      <c r="I4501" s="160"/>
      <c r="J4501" s="161"/>
      <c r="K4501" s="160"/>
      <c r="L4501" s="160">
        <f>+'FACP$'!$H4501-'FACP$'!$I4501-'FACP$'!$K4501</f>
        <v>770119.5108</v>
      </c>
      <c r="M4501" s="162" t="s">
        <v>145</v>
      </c>
      <c r="N4501" s="162" t="s">
        <v>554</v>
      </c>
      <c r="O4501" s="164">
        <v>45316.0</v>
      </c>
      <c r="P4501" s="164">
        <f t="array" ref="P4501">XLOOKUP('FACP$'!$B4501,'perfil de pagos'!$A$4:$A$46,'perfil de pagos'!$B$4:$B$46+'FACP$'!$D4501)</f>
        <v>45298</v>
      </c>
      <c r="Q4501" s="165">
        <f t="shared" si="2"/>
        <v>0</v>
      </c>
      <c r="R4501" s="167"/>
      <c r="S4501" s="167">
        <v>2765.0</v>
      </c>
      <c r="T4501" s="168">
        <f t="shared" si="3"/>
        <v>770119.5108</v>
      </c>
      <c r="U4501" s="168">
        <f t="shared" si="4"/>
        <v>0</v>
      </c>
      <c r="V4501" s="168">
        <f t="shared" si="5"/>
        <v>0</v>
      </c>
      <c r="W4501" s="168">
        <f t="shared" si="6"/>
        <v>0</v>
      </c>
      <c r="X4501" s="168">
        <f t="shared" si="7"/>
        <v>0</v>
      </c>
      <c r="Y4501" s="168">
        <f t="shared" si="8"/>
        <v>0</v>
      </c>
      <c r="Z4501" s="168">
        <f t="shared" si="9"/>
        <v>0</v>
      </c>
    </row>
    <row r="4502" ht="15.0" customHeight="1">
      <c r="A4502" s="157" t="s">
        <v>5718</v>
      </c>
      <c r="B4502" s="158" t="s">
        <v>38</v>
      </c>
      <c r="C4502" s="158" t="s">
        <v>5679</v>
      </c>
      <c r="D4502" s="159">
        <v>45268.0</v>
      </c>
      <c r="E4502" s="157" t="s">
        <v>731</v>
      </c>
      <c r="F4502" s="160">
        <v>199975.39</v>
      </c>
      <c r="G4502" s="160">
        <f>'FACP$'!$F4502*0.16</f>
        <v>31996.0624</v>
      </c>
      <c r="H4502" s="160">
        <f t="shared" si="124"/>
        <v>231971.4524</v>
      </c>
      <c r="I4502" s="160"/>
      <c r="J4502" s="161"/>
      <c r="K4502" s="160"/>
      <c r="L4502" s="160">
        <f>+'FACP$'!$H4502-'FACP$'!$I4502-'FACP$'!$K4502</f>
        <v>231971.4524</v>
      </c>
      <c r="M4502" s="162" t="s">
        <v>642</v>
      </c>
      <c r="N4502" s="162" t="s">
        <v>554</v>
      </c>
      <c r="O4502" s="164">
        <v>45316.0</v>
      </c>
      <c r="P4502" s="164">
        <f t="array" ref="P4502">XLOOKUP('FACP$'!$B4502,'perfil de pagos'!$A$4:$A$46,'perfil de pagos'!$B$4:$B$46+'FACP$'!$D4502)</f>
        <v>45298</v>
      </c>
      <c r="Q4502" s="165">
        <f t="shared" si="2"/>
        <v>0</v>
      </c>
      <c r="R4502" s="167"/>
      <c r="S4502" s="167">
        <v>2765.0</v>
      </c>
      <c r="T4502" s="168">
        <f t="shared" si="3"/>
        <v>231971.4524</v>
      </c>
      <c r="U4502" s="168">
        <f t="shared" si="4"/>
        <v>0</v>
      </c>
      <c r="V4502" s="168">
        <f t="shared" si="5"/>
        <v>0</v>
      </c>
      <c r="W4502" s="168">
        <f t="shared" si="6"/>
        <v>0</v>
      </c>
      <c r="X4502" s="168">
        <f t="shared" si="7"/>
        <v>0</v>
      </c>
      <c r="Y4502" s="168">
        <f t="shared" si="8"/>
        <v>0</v>
      </c>
      <c r="Z4502" s="168">
        <f t="shared" si="9"/>
        <v>0</v>
      </c>
    </row>
    <row r="4503" ht="15.0" customHeight="1">
      <c r="A4503" s="157" t="s">
        <v>5719</v>
      </c>
      <c r="B4503" s="158" t="s">
        <v>31</v>
      </c>
      <c r="C4503" s="158" t="s">
        <v>5720</v>
      </c>
      <c r="D4503" s="159">
        <v>45271.0</v>
      </c>
      <c r="E4503" s="157" t="s">
        <v>731</v>
      </c>
      <c r="F4503" s="160">
        <v>338396.11</v>
      </c>
      <c r="G4503" s="160">
        <f>'FACP$'!$F4503*0.16</f>
        <v>54143.3776</v>
      </c>
      <c r="H4503" s="160">
        <f t="shared" si="124"/>
        <v>392539.4876</v>
      </c>
      <c r="I4503" s="160"/>
      <c r="J4503" s="161"/>
      <c r="K4503" s="160"/>
      <c r="L4503" s="160">
        <f>+'FACP$'!$H4503-'FACP$'!$I4503-'FACP$'!$K4503</f>
        <v>392539.4876</v>
      </c>
      <c r="M4503" s="162" t="s">
        <v>3183</v>
      </c>
      <c r="N4503" s="162" t="s">
        <v>554</v>
      </c>
      <c r="O4503" s="164">
        <v>45275.0</v>
      </c>
      <c r="P4503" s="164">
        <f t="array" ref="P4503">XLOOKUP('FACP$'!$B4503,'perfil de pagos'!$A$4:$A$46,'perfil de pagos'!$B$4:$B$46+'FACP$'!$D4503)</f>
        <v>45274</v>
      </c>
      <c r="Q4503" s="165">
        <f t="shared" si="2"/>
        <v>0</v>
      </c>
      <c r="R4503" s="167"/>
      <c r="S4503" s="167">
        <v>2666.0</v>
      </c>
      <c r="T4503" s="168">
        <f t="shared" si="3"/>
        <v>392539.4876</v>
      </c>
      <c r="U4503" s="168">
        <f t="shared" si="4"/>
        <v>0</v>
      </c>
      <c r="V4503" s="168">
        <f t="shared" si="5"/>
        <v>0</v>
      </c>
      <c r="W4503" s="168">
        <f t="shared" si="6"/>
        <v>0</v>
      </c>
      <c r="X4503" s="168">
        <f t="shared" si="7"/>
        <v>0</v>
      </c>
      <c r="Y4503" s="168">
        <f t="shared" si="8"/>
        <v>0</v>
      </c>
      <c r="Z4503" s="168">
        <f t="shared" si="9"/>
        <v>0</v>
      </c>
    </row>
    <row r="4504" ht="15.0" customHeight="1">
      <c r="A4504" s="157" t="s">
        <v>5721</v>
      </c>
      <c r="B4504" s="158" t="s">
        <v>40</v>
      </c>
      <c r="C4504" s="158" t="s">
        <v>5722</v>
      </c>
      <c r="D4504" s="159">
        <v>45272.0</v>
      </c>
      <c r="E4504" s="157" t="s">
        <v>731</v>
      </c>
      <c r="F4504" s="160">
        <v>267586.39</v>
      </c>
      <c r="G4504" s="160">
        <f>'FACP$'!$F4504*0.16</f>
        <v>42813.8224</v>
      </c>
      <c r="H4504" s="160">
        <f t="shared" si="124"/>
        <v>310400.2124</v>
      </c>
      <c r="I4504" s="160"/>
      <c r="J4504" s="161"/>
      <c r="K4504" s="160"/>
      <c r="L4504" s="160">
        <f>+'FACP$'!$H4504-'FACP$'!$I4504-'FACP$'!$K4504</f>
        <v>310400.2124</v>
      </c>
      <c r="M4504" s="162" t="s">
        <v>490</v>
      </c>
      <c r="N4504" s="162" t="s">
        <v>127</v>
      </c>
      <c r="O4504" s="164"/>
      <c r="P4504" s="164">
        <f t="array" ref="P4504">XLOOKUP('FACP$'!$B4504,'perfil de pagos'!$A$4:$A$46,'perfil de pagos'!$B$4:$B$46+'FACP$'!$D4504)</f>
        <v>45302</v>
      </c>
      <c r="Q4504" s="165">
        <f t="shared" si="2"/>
        <v>0</v>
      </c>
      <c r="R4504" s="167" t="s">
        <v>5723</v>
      </c>
      <c r="S4504" s="167"/>
      <c r="T4504" s="168">
        <f t="shared" si="3"/>
        <v>310400.2124</v>
      </c>
      <c r="U4504" s="168">
        <f t="shared" si="4"/>
        <v>0</v>
      </c>
      <c r="V4504" s="168">
        <f t="shared" si="5"/>
        <v>0</v>
      </c>
      <c r="W4504" s="168">
        <f t="shared" si="6"/>
        <v>0</v>
      </c>
      <c r="X4504" s="168">
        <f t="shared" si="7"/>
        <v>0</v>
      </c>
      <c r="Y4504" s="168">
        <f t="shared" si="8"/>
        <v>0</v>
      </c>
      <c r="Z4504" s="168">
        <f t="shared" si="9"/>
        <v>0</v>
      </c>
    </row>
    <row r="4505" ht="15.0" customHeight="1">
      <c r="A4505" s="157" t="s">
        <v>5724</v>
      </c>
      <c r="B4505" s="158" t="s">
        <v>40</v>
      </c>
      <c r="C4505" s="158" t="s">
        <v>5722</v>
      </c>
      <c r="D4505" s="159">
        <v>45274.0</v>
      </c>
      <c r="E4505" s="157" t="s">
        <v>731</v>
      </c>
      <c r="F4505" s="160">
        <v>267586.39</v>
      </c>
      <c r="G4505" s="160">
        <f>'FACP$'!$F4505*0.16</f>
        <v>42813.8224</v>
      </c>
      <c r="H4505" s="160">
        <f t="shared" si="124"/>
        <v>310400.2124</v>
      </c>
      <c r="I4505" s="160"/>
      <c r="J4505" s="161"/>
      <c r="K4505" s="160"/>
      <c r="L4505" s="160">
        <f>+'FACP$'!$H4505-'FACP$'!$I4505-'FACP$'!$K4505</f>
        <v>310400.2124</v>
      </c>
      <c r="M4505" s="162" t="s">
        <v>490</v>
      </c>
      <c r="N4505" s="162" t="s">
        <v>554</v>
      </c>
      <c r="O4505" s="164">
        <v>45300.0</v>
      </c>
      <c r="P4505" s="164">
        <f t="array" ref="P4505">XLOOKUP('FACP$'!$B4505,'perfil de pagos'!$A$4:$A$46,'perfil de pagos'!$B$4:$B$46+'FACP$'!$D4505)</f>
        <v>45304</v>
      </c>
      <c r="Q4505" s="165">
        <f t="shared" si="2"/>
        <v>0</v>
      </c>
      <c r="R4505" s="167"/>
      <c r="S4505" s="167">
        <v>2767.0</v>
      </c>
      <c r="T4505" s="168">
        <f t="shared" si="3"/>
        <v>310400.2124</v>
      </c>
      <c r="U4505" s="168">
        <f t="shared" si="4"/>
        <v>0</v>
      </c>
      <c r="V4505" s="168">
        <f t="shared" si="5"/>
        <v>0</v>
      </c>
      <c r="W4505" s="168">
        <f t="shared" si="6"/>
        <v>0</v>
      </c>
      <c r="X4505" s="168">
        <f t="shared" si="7"/>
        <v>0</v>
      </c>
      <c r="Y4505" s="168">
        <f t="shared" si="8"/>
        <v>0</v>
      </c>
      <c r="Z4505" s="168">
        <f t="shared" si="9"/>
        <v>0</v>
      </c>
    </row>
    <row r="4506" ht="15.0" customHeight="1">
      <c r="A4506" s="157" t="s">
        <v>5725</v>
      </c>
      <c r="B4506" s="158" t="s">
        <v>31</v>
      </c>
      <c r="C4506" s="158" t="s">
        <v>5726</v>
      </c>
      <c r="D4506" s="159">
        <v>45275.0</v>
      </c>
      <c r="E4506" s="157" t="s">
        <v>731</v>
      </c>
      <c r="F4506" s="160">
        <v>246514.79</v>
      </c>
      <c r="G4506" s="160">
        <f>'FACP$'!$F4506*0.16</f>
        <v>39442.3664</v>
      </c>
      <c r="H4506" s="160">
        <f t="shared" si="124"/>
        <v>285957.1564</v>
      </c>
      <c r="I4506" s="160"/>
      <c r="J4506" s="161"/>
      <c r="K4506" s="160"/>
      <c r="L4506" s="160">
        <f>+'FACP$'!$H4506-'FACP$'!$I4506-'FACP$'!$K4506</f>
        <v>285957.1564</v>
      </c>
      <c r="M4506" s="162" t="s">
        <v>3183</v>
      </c>
      <c r="N4506" s="162" t="s">
        <v>554</v>
      </c>
      <c r="O4506" s="164">
        <v>45280.0</v>
      </c>
      <c r="P4506" s="164">
        <f t="array" ref="P4506">XLOOKUP('FACP$'!$B4506,'perfil de pagos'!$A$4:$A$46,'perfil de pagos'!$B$4:$B$46+'FACP$'!$D4506)</f>
        <v>45278</v>
      </c>
      <c r="Q4506" s="165">
        <f t="shared" si="2"/>
        <v>0</v>
      </c>
      <c r="R4506" s="167"/>
      <c r="S4506" s="167">
        <v>2674.0</v>
      </c>
      <c r="T4506" s="168">
        <f t="shared" si="3"/>
        <v>285957.1564</v>
      </c>
      <c r="U4506" s="168">
        <f t="shared" si="4"/>
        <v>0</v>
      </c>
      <c r="V4506" s="168">
        <f t="shared" si="5"/>
        <v>0</v>
      </c>
      <c r="W4506" s="168">
        <f t="shared" si="6"/>
        <v>0</v>
      </c>
      <c r="X4506" s="168">
        <f t="shared" si="7"/>
        <v>0</v>
      </c>
      <c r="Y4506" s="168">
        <f t="shared" si="8"/>
        <v>0</v>
      </c>
      <c r="Z4506" s="168">
        <f t="shared" si="9"/>
        <v>0</v>
      </c>
    </row>
    <row r="4507" ht="15.0" customHeight="1">
      <c r="A4507" s="157" t="s">
        <v>5727</v>
      </c>
      <c r="B4507" s="158" t="s">
        <v>31</v>
      </c>
      <c r="C4507" s="158" t="s">
        <v>5728</v>
      </c>
      <c r="D4507" s="159">
        <v>45278.0</v>
      </c>
      <c r="E4507" s="157" t="s">
        <v>731</v>
      </c>
      <c r="F4507" s="160">
        <v>374243.01</v>
      </c>
      <c r="G4507" s="160">
        <f>'FACP$'!$F4507*0.16</f>
        <v>59878.8816</v>
      </c>
      <c r="H4507" s="160">
        <f t="shared" si="124"/>
        <v>434121.8916</v>
      </c>
      <c r="I4507" s="160">
        <v>81264.57</v>
      </c>
      <c r="J4507" s="161">
        <f>'NCP$'!A260</f>
        <v>356</v>
      </c>
      <c r="K4507" s="160">
        <f>'NCP$'!H260</f>
        <v>171918.8092</v>
      </c>
      <c r="L4507" s="160">
        <f>+'FACP$'!$H4507-'FACP$'!$I4507-'FACP$'!$K4507</f>
        <v>180938.5124</v>
      </c>
      <c r="M4507" s="162" t="s">
        <v>3183</v>
      </c>
      <c r="N4507" s="162" t="s">
        <v>554</v>
      </c>
      <c r="O4507" s="164">
        <v>45294.0</v>
      </c>
      <c r="P4507" s="164">
        <f t="array" ref="P4507">XLOOKUP('FACP$'!$B4507,'perfil de pagos'!$A$4:$A$46,'perfil de pagos'!$B$4:$B$46+'FACP$'!$D4507)</f>
        <v>45281</v>
      </c>
      <c r="Q4507" s="165">
        <f t="shared" si="2"/>
        <v>0</v>
      </c>
      <c r="R4507" s="167"/>
      <c r="S4507" s="220" t="s">
        <v>5729</v>
      </c>
      <c r="T4507" s="168">
        <f t="shared" si="3"/>
        <v>180938.5124</v>
      </c>
      <c r="U4507" s="168">
        <f t="shared" si="4"/>
        <v>0</v>
      </c>
      <c r="V4507" s="168">
        <f t="shared" si="5"/>
        <v>0</v>
      </c>
      <c r="W4507" s="168">
        <f t="shared" si="6"/>
        <v>0</v>
      </c>
      <c r="X4507" s="168">
        <f t="shared" si="7"/>
        <v>0</v>
      </c>
      <c r="Y4507" s="168">
        <f t="shared" si="8"/>
        <v>0</v>
      </c>
      <c r="Z4507" s="168">
        <f t="shared" si="9"/>
        <v>0</v>
      </c>
    </row>
    <row r="4508" ht="15.0" customHeight="1">
      <c r="A4508" s="157" t="s">
        <v>5730</v>
      </c>
      <c r="B4508" s="158" t="s">
        <v>15</v>
      </c>
      <c r="C4508" s="158" t="s">
        <v>5698</v>
      </c>
      <c r="D4508" s="159">
        <v>45279.0</v>
      </c>
      <c r="E4508" s="157" t="s">
        <v>731</v>
      </c>
      <c r="F4508" s="160">
        <v>957746.24</v>
      </c>
      <c r="G4508" s="160">
        <f>'FACP$'!$F4508*0.16</f>
        <v>153239.3984</v>
      </c>
      <c r="H4508" s="160">
        <f t="shared" si="124"/>
        <v>1110985.638</v>
      </c>
      <c r="I4508" s="160"/>
      <c r="J4508" s="161"/>
      <c r="K4508" s="160"/>
      <c r="L4508" s="160">
        <f>+'FACP$'!$H4508-'FACP$'!$I4508-'FACP$'!$K4508</f>
        <v>1110985.638</v>
      </c>
      <c r="M4508" s="162" t="s">
        <v>443</v>
      </c>
      <c r="N4508" s="162" t="s">
        <v>554</v>
      </c>
      <c r="O4508" s="164">
        <v>45301.0</v>
      </c>
      <c r="P4508" s="164">
        <f t="array" ref="P4508">XLOOKUP('FACP$'!$B4508,'perfil de pagos'!$A$4:$A$46,'perfil de pagos'!$B$4:$B$46+'FACP$'!$D4508)</f>
        <v>45289</v>
      </c>
      <c r="Q4508" s="165">
        <f t="shared" si="2"/>
        <v>0</v>
      </c>
      <c r="R4508" s="167"/>
      <c r="S4508" s="167">
        <v>2723.0</v>
      </c>
      <c r="T4508" s="168">
        <f t="shared" si="3"/>
        <v>1110985.638</v>
      </c>
      <c r="U4508" s="168">
        <f t="shared" si="4"/>
        <v>0</v>
      </c>
      <c r="V4508" s="168">
        <f t="shared" si="5"/>
        <v>0</v>
      </c>
      <c r="W4508" s="168">
        <f t="shared" si="6"/>
        <v>0</v>
      </c>
      <c r="X4508" s="168">
        <f t="shared" si="7"/>
        <v>0</v>
      </c>
      <c r="Y4508" s="168">
        <f t="shared" si="8"/>
        <v>0</v>
      </c>
      <c r="Z4508" s="168">
        <f t="shared" si="9"/>
        <v>0</v>
      </c>
    </row>
    <row r="4509" ht="15.0" customHeight="1">
      <c r="A4509" s="157" t="s">
        <v>5731</v>
      </c>
      <c r="B4509" s="158" t="s">
        <v>35</v>
      </c>
      <c r="C4509" s="158" t="s">
        <v>5698</v>
      </c>
      <c r="D4509" s="159">
        <v>45279.0</v>
      </c>
      <c r="E4509" s="157" t="s">
        <v>731</v>
      </c>
      <c r="F4509" s="160">
        <v>345206.81</v>
      </c>
      <c r="G4509" s="160">
        <f>'FACP$'!$F4509*0.16</f>
        <v>55233.0896</v>
      </c>
      <c r="H4509" s="160">
        <f t="shared" si="124"/>
        <v>400439.8996</v>
      </c>
      <c r="I4509" s="160"/>
      <c r="J4509" s="161"/>
      <c r="K4509" s="160"/>
      <c r="L4509" s="160">
        <f>+'FACP$'!$H4509-'FACP$'!$I4509-'FACP$'!$K4509</f>
        <v>400439.8996</v>
      </c>
      <c r="M4509" s="162" t="s">
        <v>276</v>
      </c>
      <c r="N4509" s="162" t="s">
        <v>554</v>
      </c>
      <c r="O4509" s="164">
        <v>45299.0</v>
      </c>
      <c r="P4509" s="164">
        <f t="array" ref="P4509">XLOOKUP('FACP$'!$B4509,'perfil de pagos'!$A$4:$A$46,'perfil de pagos'!$B$4:$B$46+'FACP$'!$D4509)</f>
        <v>45289</v>
      </c>
      <c r="Q4509" s="165">
        <f t="shared" si="2"/>
        <v>0</v>
      </c>
      <c r="R4509" s="167"/>
      <c r="S4509" s="167">
        <v>2719.0</v>
      </c>
      <c r="T4509" s="168">
        <f t="shared" si="3"/>
        <v>400439.8996</v>
      </c>
      <c r="U4509" s="168">
        <f t="shared" si="4"/>
        <v>0</v>
      </c>
      <c r="V4509" s="168">
        <f t="shared" si="5"/>
        <v>0</v>
      </c>
      <c r="W4509" s="168">
        <f t="shared" si="6"/>
        <v>0</v>
      </c>
      <c r="X4509" s="168">
        <f t="shared" si="7"/>
        <v>0</v>
      </c>
      <c r="Y4509" s="168">
        <f t="shared" si="8"/>
        <v>0</v>
      </c>
      <c r="Z4509" s="168">
        <f t="shared" si="9"/>
        <v>0</v>
      </c>
    </row>
    <row r="4510" ht="15.0" customHeight="1">
      <c r="A4510" s="157" t="s">
        <v>5732</v>
      </c>
      <c r="B4510" s="158" t="s">
        <v>36</v>
      </c>
      <c r="C4510" s="158" t="s">
        <v>5698</v>
      </c>
      <c r="D4510" s="159">
        <v>45279.0</v>
      </c>
      <c r="E4510" s="157" t="s">
        <v>731</v>
      </c>
      <c r="F4510" s="160">
        <v>168210.72</v>
      </c>
      <c r="G4510" s="160">
        <f>'FACP$'!$F4510*0.16</f>
        <v>26913.7152</v>
      </c>
      <c r="H4510" s="160">
        <f t="shared" si="124"/>
        <v>195124.4352</v>
      </c>
      <c r="I4510" s="160"/>
      <c r="J4510" s="161"/>
      <c r="K4510" s="160"/>
      <c r="L4510" s="160">
        <f>+'FACP$'!$H4510-'FACP$'!$I4510-'FACP$'!$K4510</f>
        <v>195124.4352</v>
      </c>
      <c r="M4510" s="162" t="s">
        <v>278</v>
      </c>
      <c r="N4510" s="162" t="s">
        <v>554</v>
      </c>
      <c r="O4510" s="164">
        <v>45282.0</v>
      </c>
      <c r="P4510" s="164">
        <f t="array" ref="P4510">XLOOKUP('FACP$'!$B4510,'perfil de pagos'!$A$4:$A$46,'perfil de pagos'!$B$4:$B$46+'FACP$'!$D4510)</f>
        <v>45289</v>
      </c>
      <c r="Q4510" s="165">
        <f t="shared" si="2"/>
        <v>0</v>
      </c>
      <c r="R4510" s="167"/>
      <c r="S4510" s="167">
        <v>2685.0</v>
      </c>
      <c r="T4510" s="168">
        <f t="shared" si="3"/>
        <v>195124.4352</v>
      </c>
      <c r="U4510" s="168">
        <f t="shared" si="4"/>
        <v>0</v>
      </c>
      <c r="V4510" s="168">
        <f t="shared" si="5"/>
        <v>0</v>
      </c>
      <c r="W4510" s="168">
        <f t="shared" si="6"/>
        <v>0</v>
      </c>
      <c r="X4510" s="168">
        <f t="shared" si="7"/>
        <v>0</v>
      </c>
      <c r="Y4510" s="168">
        <f t="shared" si="8"/>
        <v>0</v>
      </c>
      <c r="Z4510" s="168">
        <f t="shared" si="9"/>
        <v>0</v>
      </c>
    </row>
    <row r="4511" ht="15.0" customHeight="1">
      <c r="A4511" s="157" t="s">
        <v>5733</v>
      </c>
      <c r="B4511" s="158" t="s">
        <v>36</v>
      </c>
      <c r="C4511" s="158" t="s">
        <v>5700</v>
      </c>
      <c r="D4511" s="159">
        <v>45279.0</v>
      </c>
      <c r="E4511" s="157" t="s">
        <v>731</v>
      </c>
      <c r="F4511" s="160">
        <v>148768.7</v>
      </c>
      <c r="G4511" s="160">
        <f>'FACP$'!$F4511*0.16</f>
        <v>23802.992</v>
      </c>
      <c r="H4511" s="160">
        <f t="shared" si="124"/>
        <v>172571.692</v>
      </c>
      <c r="I4511" s="160"/>
      <c r="J4511" s="161"/>
      <c r="K4511" s="160"/>
      <c r="L4511" s="160">
        <f>+'FACP$'!$H4511-'FACP$'!$I4511-'FACP$'!$K4511</f>
        <v>172571.692</v>
      </c>
      <c r="M4511" s="162" t="s">
        <v>278</v>
      </c>
      <c r="N4511" s="162" t="s">
        <v>554</v>
      </c>
      <c r="O4511" s="164">
        <v>45282.0</v>
      </c>
      <c r="P4511" s="164">
        <f t="array" ref="P4511">XLOOKUP('FACP$'!$B4511,'perfil de pagos'!$A$4:$A$46,'perfil de pagos'!$B$4:$B$46+'FACP$'!$D4511)</f>
        <v>45289</v>
      </c>
      <c r="Q4511" s="165">
        <f t="shared" si="2"/>
        <v>0</v>
      </c>
      <c r="R4511" s="167"/>
      <c r="S4511" s="167">
        <v>2684.0</v>
      </c>
      <c r="T4511" s="168">
        <f t="shared" si="3"/>
        <v>172571.692</v>
      </c>
      <c r="U4511" s="168">
        <f t="shared" si="4"/>
        <v>0</v>
      </c>
      <c r="V4511" s="168">
        <f t="shared" si="5"/>
        <v>0</v>
      </c>
      <c r="W4511" s="168">
        <f t="shared" si="6"/>
        <v>0</v>
      </c>
      <c r="X4511" s="168">
        <f t="shared" si="7"/>
        <v>0</v>
      </c>
      <c r="Y4511" s="168">
        <f t="shared" si="8"/>
        <v>0</v>
      </c>
      <c r="Z4511" s="168">
        <f t="shared" si="9"/>
        <v>0</v>
      </c>
    </row>
    <row r="4512" ht="15.0" customHeight="1">
      <c r="A4512" s="157" t="s">
        <v>5734</v>
      </c>
      <c r="B4512" s="158" t="s">
        <v>31</v>
      </c>
      <c r="C4512" s="158" t="s">
        <v>5698</v>
      </c>
      <c r="D4512" s="159">
        <v>45279.0</v>
      </c>
      <c r="E4512" s="157" t="s">
        <v>731</v>
      </c>
      <c r="F4512" s="160">
        <v>172799.93</v>
      </c>
      <c r="G4512" s="160">
        <f>'FACP$'!$F4512*0.16</f>
        <v>27647.9888</v>
      </c>
      <c r="H4512" s="160">
        <f t="shared" si="124"/>
        <v>200447.9188</v>
      </c>
      <c r="I4512" s="160"/>
      <c r="J4512" s="161"/>
      <c r="K4512" s="160"/>
      <c r="L4512" s="160">
        <f>+'FACP$'!$H4512-'FACP$'!$I4512-'FACP$'!$K4512</f>
        <v>200447.9188</v>
      </c>
      <c r="M4512" s="162" t="s">
        <v>3183</v>
      </c>
      <c r="N4512" s="162" t="s">
        <v>554</v>
      </c>
      <c r="O4512" s="164">
        <v>45294.0</v>
      </c>
      <c r="P4512" s="164">
        <f t="array" ref="P4512">XLOOKUP('FACP$'!$B4512,'perfil de pagos'!$A$4:$A$46,'perfil de pagos'!$B$4:$B$46+'FACP$'!$D4512)</f>
        <v>45282</v>
      </c>
      <c r="Q4512" s="165">
        <f t="shared" si="2"/>
        <v>0</v>
      </c>
      <c r="R4512" s="167"/>
      <c r="S4512" s="167">
        <v>2736.0</v>
      </c>
      <c r="T4512" s="168">
        <f t="shared" si="3"/>
        <v>200447.9188</v>
      </c>
      <c r="U4512" s="168">
        <f t="shared" si="4"/>
        <v>0</v>
      </c>
      <c r="V4512" s="168">
        <f t="shared" si="5"/>
        <v>0</v>
      </c>
      <c r="W4512" s="168">
        <f t="shared" si="6"/>
        <v>0</v>
      </c>
      <c r="X4512" s="168">
        <f t="shared" si="7"/>
        <v>0</v>
      </c>
      <c r="Y4512" s="168">
        <f t="shared" si="8"/>
        <v>0</v>
      </c>
      <c r="Z4512" s="168">
        <f t="shared" si="9"/>
        <v>0</v>
      </c>
    </row>
    <row r="4513" ht="15.0" customHeight="1">
      <c r="A4513" s="157" t="s">
        <v>5735</v>
      </c>
      <c r="B4513" s="158" t="s">
        <v>42</v>
      </c>
      <c r="C4513" s="158" t="s">
        <v>5698</v>
      </c>
      <c r="D4513" s="159">
        <v>45279.0</v>
      </c>
      <c r="E4513" s="157" t="s">
        <v>731</v>
      </c>
      <c r="F4513" s="160">
        <v>215066.43</v>
      </c>
      <c r="G4513" s="160">
        <f>'FACP$'!$F4513*0.16</f>
        <v>34410.6288</v>
      </c>
      <c r="H4513" s="160">
        <f t="shared" si="124"/>
        <v>249477.0588</v>
      </c>
      <c r="I4513" s="160"/>
      <c r="J4513" s="161"/>
      <c r="K4513" s="160"/>
      <c r="L4513" s="160">
        <f>+'FACP$'!$H4513-'FACP$'!$I4513-'FACP$'!$K4513</f>
        <v>249477.0588</v>
      </c>
      <c r="M4513" s="162" t="s">
        <v>42</v>
      </c>
      <c r="N4513" s="162" t="s">
        <v>554</v>
      </c>
      <c r="O4513" s="164">
        <v>45310.0</v>
      </c>
      <c r="P4513" s="164">
        <f t="array" ref="P4513">XLOOKUP('FACP$'!$B4513,'perfil de pagos'!$A$4:$A$46,'perfil de pagos'!$B$4:$B$46+'FACP$'!$D4513)</f>
        <v>45289</v>
      </c>
      <c r="Q4513" s="165">
        <f t="shared" si="2"/>
        <v>0</v>
      </c>
      <c r="R4513" s="167"/>
      <c r="S4513" s="167">
        <v>2745.0</v>
      </c>
      <c r="T4513" s="168">
        <f t="shared" si="3"/>
        <v>249477.0588</v>
      </c>
      <c r="U4513" s="168">
        <f t="shared" si="4"/>
        <v>0</v>
      </c>
      <c r="V4513" s="168">
        <f t="shared" si="5"/>
        <v>0</v>
      </c>
      <c r="W4513" s="168">
        <f t="shared" si="6"/>
        <v>0</v>
      </c>
      <c r="X4513" s="168">
        <f t="shared" si="7"/>
        <v>0</v>
      </c>
      <c r="Y4513" s="168">
        <f t="shared" si="8"/>
        <v>0</v>
      </c>
      <c r="Z4513" s="168">
        <f t="shared" si="9"/>
        <v>0</v>
      </c>
    </row>
    <row r="4514" ht="15.0" customHeight="1">
      <c r="A4514" s="157" t="s">
        <v>5736</v>
      </c>
      <c r="B4514" s="158" t="s">
        <v>43</v>
      </c>
      <c r="C4514" s="158" t="s">
        <v>5698</v>
      </c>
      <c r="D4514" s="159">
        <v>45279.0</v>
      </c>
      <c r="E4514" s="157" t="s">
        <v>731</v>
      </c>
      <c r="F4514" s="160">
        <v>1063994.85</v>
      </c>
      <c r="G4514" s="160">
        <f>'FACP$'!$F4514*0.16</f>
        <v>170239.176</v>
      </c>
      <c r="H4514" s="160">
        <f t="shared" si="124"/>
        <v>1234234.026</v>
      </c>
      <c r="I4514" s="160"/>
      <c r="J4514" s="161"/>
      <c r="K4514" s="160"/>
      <c r="L4514" s="160">
        <f>+'FACP$'!$H4514-'FACP$'!$I4514-'FACP$'!$K4514</f>
        <v>1234234.026</v>
      </c>
      <c r="M4514" s="162" t="s">
        <v>43</v>
      </c>
      <c r="N4514" s="162" t="s">
        <v>554</v>
      </c>
      <c r="O4514" s="164">
        <v>45322.0</v>
      </c>
      <c r="P4514" s="164">
        <f t="array" ref="P4514">XLOOKUP('FACP$'!$B4514,'perfil de pagos'!$A$4:$A$46,'perfil de pagos'!$B$4:$B$46+'FACP$'!$D4514)</f>
        <v>45304</v>
      </c>
      <c r="Q4514" s="165">
        <f t="shared" si="2"/>
        <v>0</v>
      </c>
      <c r="R4514" s="167"/>
      <c r="S4514" s="167">
        <v>2773.0</v>
      </c>
      <c r="T4514" s="168">
        <f t="shared" si="3"/>
        <v>1234234.026</v>
      </c>
      <c r="U4514" s="168">
        <f t="shared" si="4"/>
        <v>0</v>
      </c>
      <c r="V4514" s="168">
        <f t="shared" si="5"/>
        <v>0</v>
      </c>
      <c r="W4514" s="168">
        <f t="shared" si="6"/>
        <v>0</v>
      </c>
      <c r="X4514" s="168">
        <f t="shared" si="7"/>
        <v>0</v>
      </c>
      <c r="Y4514" s="168">
        <f t="shared" si="8"/>
        <v>0</v>
      </c>
      <c r="Z4514" s="168">
        <f t="shared" si="9"/>
        <v>0</v>
      </c>
    </row>
    <row r="4515" ht="15.0" customHeight="1">
      <c r="A4515" s="157" t="s">
        <v>5737</v>
      </c>
      <c r="B4515" s="158" t="s">
        <v>43</v>
      </c>
      <c r="C4515" s="158" t="s">
        <v>5700</v>
      </c>
      <c r="D4515" s="159">
        <v>45279.0</v>
      </c>
      <c r="E4515" s="157" t="s">
        <v>731</v>
      </c>
      <c r="F4515" s="160">
        <v>1211673.92</v>
      </c>
      <c r="G4515" s="160">
        <f>'FACP$'!$F4515*0.16</f>
        <v>193867.8272</v>
      </c>
      <c r="H4515" s="160">
        <f t="shared" si="124"/>
        <v>1405541.747</v>
      </c>
      <c r="I4515" s="160"/>
      <c r="J4515" s="161"/>
      <c r="K4515" s="160"/>
      <c r="L4515" s="160">
        <f>+'FACP$'!$H4515-'FACP$'!$I4515-'FACP$'!$K4515</f>
        <v>1405541.747</v>
      </c>
      <c r="M4515" s="162" t="s">
        <v>43</v>
      </c>
      <c r="N4515" s="162" t="s">
        <v>554</v>
      </c>
      <c r="O4515" s="164">
        <v>45324.0</v>
      </c>
      <c r="P4515" s="164">
        <f t="array" ref="P4515">XLOOKUP('FACP$'!$B4515,'perfil de pagos'!$A$4:$A$46,'perfil de pagos'!$B$4:$B$46+'FACP$'!$D4515)</f>
        <v>45304</v>
      </c>
      <c r="Q4515" s="165">
        <f t="shared" si="2"/>
        <v>0</v>
      </c>
      <c r="R4515" s="167"/>
      <c r="S4515" s="167">
        <v>2779.0</v>
      </c>
      <c r="T4515" s="168">
        <f t="shared" si="3"/>
        <v>1405541.747</v>
      </c>
      <c r="U4515" s="168">
        <f t="shared" si="4"/>
        <v>0</v>
      </c>
      <c r="V4515" s="168">
        <f t="shared" si="5"/>
        <v>0</v>
      </c>
      <c r="W4515" s="168">
        <f t="shared" si="6"/>
        <v>0</v>
      </c>
      <c r="X4515" s="168">
        <f t="shared" si="7"/>
        <v>0</v>
      </c>
      <c r="Y4515" s="168">
        <f t="shared" si="8"/>
        <v>0</v>
      </c>
      <c r="Z4515" s="168">
        <f t="shared" si="9"/>
        <v>0</v>
      </c>
    </row>
    <row r="4516" ht="15.0" customHeight="1">
      <c r="A4516" s="157" t="s">
        <v>5738</v>
      </c>
      <c r="B4516" s="158" t="s">
        <v>44</v>
      </c>
      <c r="C4516" s="158" t="s">
        <v>5698</v>
      </c>
      <c r="D4516" s="159">
        <v>45279.0</v>
      </c>
      <c r="E4516" s="157" t="s">
        <v>731</v>
      </c>
      <c r="F4516" s="160">
        <v>225979.68</v>
      </c>
      <c r="G4516" s="160">
        <f>'FACP$'!$F4516*0.16</f>
        <v>36156.7488</v>
      </c>
      <c r="H4516" s="160">
        <f t="shared" si="124"/>
        <v>262136.4288</v>
      </c>
      <c r="I4516" s="160"/>
      <c r="J4516" s="161"/>
      <c r="K4516" s="160"/>
      <c r="L4516" s="160">
        <f>+'FACP$'!$H4516-'FACP$'!$I4516-'FACP$'!$K4516</f>
        <v>262136.4288</v>
      </c>
      <c r="M4516" s="162" t="s">
        <v>361</v>
      </c>
      <c r="N4516" s="162" t="s">
        <v>554</v>
      </c>
      <c r="O4516" s="164">
        <v>45289.0</v>
      </c>
      <c r="P4516" s="164">
        <f t="array" ref="P4516">XLOOKUP('FACP$'!$B4516,'perfil de pagos'!$A$4:$A$46,'perfil de pagos'!$B$4:$B$46+'FACP$'!$D4516)</f>
        <v>45289</v>
      </c>
      <c r="Q4516" s="165">
        <f t="shared" si="2"/>
        <v>0</v>
      </c>
      <c r="R4516" s="167"/>
      <c r="S4516" s="167">
        <v>2705.0</v>
      </c>
      <c r="T4516" s="168">
        <f t="shared" si="3"/>
        <v>262136.4288</v>
      </c>
      <c r="U4516" s="168">
        <f t="shared" si="4"/>
        <v>0</v>
      </c>
      <c r="V4516" s="168">
        <f t="shared" si="5"/>
        <v>0</v>
      </c>
      <c r="W4516" s="168">
        <f t="shared" si="6"/>
        <v>0</v>
      </c>
      <c r="X4516" s="168">
        <f t="shared" si="7"/>
        <v>0</v>
      </c>
      <c r="Y4516" s="168">
        <f t="shared" si="8"/>
        <v>0</v>
      </c>
      <c r="Z4516" s="168">
        <f t="shared" si="9"/>
        <v>0</v>
      </c>
    </row>
    <row r="4517" ht="15.0" customHeight="1">
      <c r="A4517" s="157" t="s">
        <v>5739</v>
      </c>
      <c r="B4517" s="158" t="s">
        <v>32</v>
      </c>
      <c r="C4517" s="158" t="s">
        <v>5698</v>
      </c>
      <c r="D4517" s="159">
        <v>45279.0</v>
      </c>
      <c r="E4517" s="157" t="s">
        <v>731</v>
      </c>
      <c r="F4517" s="160">
        <v>173478.04</v>
      </c>
      <c r="G4517" s="160">
        <f>'FACP$'!$F4517*0.16</f>
        <v>27756.4864</v>
      </c>
      <c r="H4517" s="160">
        <f t="shared" si="124"/>
        <v>201234.5264</v>
      </c>
      <c r="I4517" s="160"/>
      <c r="J4517" s="161"/>
      <c r="K4517" s="160"/>
      <c r="L4517" s="160">
        <f>+'FACP$'!$H4517-'FACP$'!$I4517-'FACP$'!$K4517</f>
        <v>201234.5264</v>
      </c>
      <c r="M4517" s="162" t="s">
        <v>395</v>
      </c>
      <c r="N4517" s="162" t="s">
        <v>554</v>
      </c>
      <c r="O4517" s="164">
        <v>45334.0</v>
      </c>
      <c r="P4517" s="164">
        <f t="array" ref="P4517">XLOOKUP('FACP$'!$B4517,'perfil de pagos'!$A$4:$A$46,'perfil de pagos'!$B$4:$B$46+'FACP$'!$D4517)</f>
        <v>45289</v>
      </c>
      <c r="Q4517" s="165">
        <f t="shared" si="2"/>
        <v>0</v>
      </c>
      <c r="R4517" s="167"/>
      <c r="S4517" s="167">
        <v>2797.0</v>
      </c>
      <c r="T4517" s="168">
        <f t="shared" si="3"/>
        <v>201234.5264</v>
      </c>
      <c r="U4517" s="168">
        <f t="shared" si="4"/>
        <v>0</v>
      </c>
      <c r="V4517" s="168">
        <f t="shared" si="5"/>
        <v>0</v>
      </c>
      <c r="W4517" s="168">
        <f t="shared" si="6"/>
        <v>0</v>
      </c>
      <c r="X4517" s="168">
        <f t="shared" si="7"/>
        <v>0</v>
      </c>
      <c r="Y4517" s="168">
        <f t="shared" si="8"/>
        <v>0</v>
      </c>
      <c r="Z4517" s="168">
        <f t="shared" si="9"/>
        <v>0</v>
      </c>
    </row>
    <row r="4518" ht="15.0" customHeight="1">
      <c r="A4518" s="157" t="s">
        <v>5740</v>
      </c>
      <c r="B4518" s="158" t="s">
        <v>41</v>
      </c>
      <c r="C4518" s="158" t="s">
        <v>5698</v>
      </c>
      <c r="D4518" s="159">
        <v>45279.0</v>
      </c>
      <c r="E4518" s="157" t="s">
        <v>731</v>
      </c>
      <c r="F4518" s="160">
        <v>882220.85</v>
      </c>
      <c r="G4518" s="160">
        <f>'FACP$'!$F4518*0.16</f>
        <v>141155.336</v>
      </c>
      <c r="H4518" s="160">
        <f t="shared" si="124"/>
        <v>1023376.186</v>
      </c>
      <c r="I4518" s="160"/>
      <c r="J4518" s="161"/>
      <c r="K4518" s="160"/>
      <c r="L4518" s="160">
        <f>+'FACP$'!$H4518-'FACP$'!$I4518-'FACP$'!$K4518</f>
        <v>1023376.186</v>
      </c>
      <c r="M4518" s="162" t="s">
        <v>121</v>
      </c>
      <c r="N4518" s="162" t="s">
        <v>554</v>
      </c>
      <c r="O4518" s="164">
        <v>45317.0</v>
      </c>
      <c r="P4518" s="164">
        <f t="array" ref="P4518">XLOOKUP('FACP$'!$B4518,'perfil de pagos'!$A$4:$A$46,'perfil de pagos'!$B$4:$B$46+'FACP$'!$D4518)</f>
        <v>45289</v>
      </c>
      <c r="Q4518" s="165">
        <f t="shared" si="2"/>
        <v>0</v>
      </c>
      <c r="R4518" s="167"/>
      <c r="S4518" s="167">
        <v>2762.0</v>
      </c>
      <c r="T4518" s="168">
        <f t="shared" si="3"/>
        <v>1023376.186</v>
      </c>
      <c r="U4518" s="168">
        <f t="shared" si="4"/>
        <v>0</v>
      </c>
      <c r="V4518" s="168">
        <f t="shared" si="5"/>
        <v>0</v>
      </c>
      <c r="W4518" s="168">
        <f t="shared" si="6"/>
        <v>0</v>
      </c>
      <c r="X4518" s="168">
        <f t="shared" si="7"/>
        <v>0</v>
      </c>
      <c r="Y4518" s="168">
        <f t="shared" si="8"/>
        <v>0</v>
      </c>
      <c r="Z4518" s="168">
        <f t="shared" si="9"/>
        <v>0</v>
      </c>
    </row>
    <row r="4519" ht="15.0" customHeight="1">
      <c r="A4519" s="157" t="s">
        <v>5741</v>
      </c>
      <c r="B4519" s="158" t="s">
        <v>127</v>
      </c>
      <c r="C4519" s="158"/>
      <c r="D4519" s="159"/>
      <c r="E4519" s="157" t="s">
        <v>731</v>
      </c>
      <c r="F4519" s="160"/>
      <c r="G4519" s="160">
        <f>'FACP$'!$F4519*0.16</f>
        <v>0</v>
      </c>
      <c r="H4519" s="160">
        <f t="shared" si="124"/>
        <v>0</v>
      </c>
      <c r="I4519" s="160"/>
      <c r="J4519" s="161"/>
      <c r="K4519" s="160"/>
      <c r="L4519" s="160">
        <f>+'FACP$'!$H4519-'FACP$'!$I4519-'FACP$'!$K4519</f>
        <v>0</v>
      </c>
      <c r="M4519" s="162"/>
      <c r="N4519" s="162"/>
      <c r="O4519" s="164"/>
      <c r="P4519" s="164" t="str">
        <f t="array" ref="P4519">XLOOKUP('FACP$'!$B4519,'perfil de pagos'!$A$4:$A$46,'perfil de pagos'!$B$4:$B$46+'FACP$'!$D4519)</f>
        <v>#N/A</v>
      </c>
      <c r="Q4519" s="165" t="str">
        <f t="shared" si="2"/>
        <v>#N/A</v>
      </c>
      <c r="R4519" s="167"/>
      <c r="S4519" s="167"/>
      <c r="T4519" s="168" t="str">
        <f t="shared" si="3"/>
        <v>#N/A</v>
      </c>
      <c r="U4519" s="168" t="str">
        <f t="shared" si="4"/>
        <v>#N/A</v>
      </c>
      <c r="V4519" s="168" t="str">
        <f t="shared" si="5"/>
        <v>#N/A</v>
      </c>
      <c r="W4519" s="168" t="str">
        <f t="shared" si="6"/>
        <v>#N/A</v>
      </c>
      <c r="X4519" s="168" t="str">
        <f t="shared" si="7"/>
        <v>#N/A</v>
      </c>
      <c r="Y4519" s="168" t="str">
        <f t="shared" si="8"/>
        <v>#N/A</v>
      </c>
      <c r="Z4519" s="168" t="str">
        <f t="shared" si="9"/>
        <v>#N/A</v>
      </c>
    </row>
    <row r="4520" ht="15.0" customHeight="1">
      <c r="A4520" s="157" t="s">
        <v>5742</v>
      </c>
      <c r="B4520" s="158" t="s">
        <v>27</v>
      </c>
      <c r="C4520" s="158" t="s">
        <v>5743</v>
      </c>
      <c r="D4520" s="159">
        <v>45279.0</v>
      </c>
      <c r="E4520" s="157" t="s">
        <v>731</v>
      </c>
      <c r="F4520" s="160">
        <v>143962.14</v>
      </c>
      <c r="G4520" s="160">
        <f>'FACP$'!$F4520*0.16</f>
        <v>23033.9424</v>
      </c>
      <c r="H4520" s="160">
        <f t="shared" si="124"/>
        <v>166996.0824</v>
      </c>
      <c r="I4520" s="160"/>
      <c r="J4520" s="161"/>
      <c r="K4520" s="160"/>
      <c r="L4520" s="160">
        <f>+'FACP$'!$H4520-'FACP$'!$I4520-'FACP$'!$K4520</f>
        <v>166996.0824</v>
      </c>
      <c r="M4520" s="162" t="s">
        <v>158</v>
      </c>
      <c r="N4520" s="162" t="s">
        <v>554</v>
      </c>
      <c r="O4520" s="164">
        <v>45320.0</v>
      </c>
      <c r="P4520" s="164">
        <f t="array" ref="P4520">XLOOKUP('FACP$'!$B4520,'perfil de pagos'!$A$4:$A$46,'perfil de pagos'!$B$4:$B$46+'FACP$'!$D4520)</f>
        <v>45309</v>
      </c>
      <c r="Q4520" s="165">
        <f t="shared" si="2"/>
        <v>0</v>
      </c>
      <c r="R4520" s="167"/>
      <c r="S4520" s="167">
        <v>2772.0</v>
      </c>
      <c r="T4520" s="168">
        <f t="shared" si="3"/>
        <v>166996.0824</v>
      </c>
      <c r="U4520" s="168">
        <f t="shared" si="4"/>
        <v>0</v>
      </c>
      <c r="V4520" s="168">
        <f t="shared" si="5"/>
        <v>0</v>
      </c>
      <c r="W4520" s="168">
        <f t="shared" si="6"/>
        <v>0</v>
      </c>
      <c r="X4520" s="168">
        <f t="shared" si="7"/>
        <v>0</v>
      </c>
      <c r="Y4520" s="168">
        <f t="shared" si="8"/>
        <v>0</v>
      </c>
      <c r="Z4520" s="168">
        <f t="shared" si="9"/>
        <v>0</v>
      </c>
    </row>
    <row r="4521" ht="15.0" customHeight="1">
      <c r="A4521" s="157" t="s">
        <v>5744</v>
      </c>
      <c r="B4521" s="158" t="s">
        <v>27</v>
      </c>
      <c r="C4521" s="158" t="s">
        <v>5745</v>
      </c>
      <c r="D4521" s="159">
        <v>45279.0</v>
      </c>
      <c r="E4521" s="157" t="s">
        <v>731</v>
      </c>
      <c r="F4521" s="160">
        <v>129891.73</v>
      </c>
      <c r="G4521" s="160">
        <f>'FACP$'!$F4521*0.16</f>
        <v>20782.6768</v>
      </c>
      <c r="H4521" s="160">
        <f t="shared" si="124"/>
        <v>150674.4068</v>
      </c>
      <c r="I4521" s="160"/>
      <c r="J4521" s="161"/>
      <c r="K4521" s="160"/>
      <c r="L4521" s="160">
        <f>+'FACP$'!$H4521-'FACP$'!$I4521-'FACP$'!$K4521</f>
        <v>150674.4068</v>
      </c>
      <c r="M4521" s="162" t="s">
        <v>158</v>
      </c>
      <c r="N4521" s="162" t="s">
        <v>554</v>
      </c>
      <c r="O4521" s="164">
        <v>45320.0</v>
      </c>
      <c r="P4521" s="164">
        <f t="array" ref="P4521">XLOOKUP('FACP$'!$B4521,'perfil de pagos'!$A$4:$A$46,'perfil de pagos'!$B$4:$B$46+'FACP$'!$D4521)</f>
        <v>45309</v>
      </c>
      <c r="Q4521" s="165">
        <f t="shared" si="2"/>
        <v>0</v>
      </c>
      <c r="R4521" s="167"/>
      <c r="S4521" s="167">
        <v>2772.0</v>
      </c>
      <c r="T4521" s="168">
        <f t="shared" si="3"/>
        <v>150674.4068</v>
      </c>
      <c r="U4521" s="168">
        <f t="shared" si="4"/>
        <v>0</v>
      </c>
      <c r="V4521" s="168">
        <f t="shared" si="5"/>
        <v>0</v>
      </c>
      <c r="W4521" s="168">
        <f t="shared" si="6"/>
        <v>0</v>
      </c>
      <c r="X4521" s="168">
        <f t="shared" si="7"/>
        <v>0</v>
      </c>
      <c r="Y4521" s="168">
        <f t="shared" si="8"/>
        <v>0</v>
      </c>
      <c r="Z4521" s="168">
        <f t="shared" si="9"/>
        <v>0</v>
      </c>
    </row>
    <row r="4522" ht="15.0" customHeight="1">
      <c r="A4522" s="157" t="s">
        <v>5746</v>
      </c>
      <c r="B4522" s="158" t="s">
        <v>27</v>
      </c>
      <c r="C4522" s="158" t="s">
        <v>5743</v>
      </c>
      <c r="D4522" s="159">
        <v>45279.0</v>
      </c>
      <c r="E4522" s="157" t="s">
        <v>731</v>
      </c>
      <c r="F4522" s="160">
        <v>275911.15</v>
      </c>
      <c r="G4522" s="160">
        <f>'FACP$'!$F4522*0.16</f>
        <v>44145.784</v>
      </c>
      <c r="H4522" s="160">
        <f t="shared" si="124"/>
        <v>320056.934</v>
      </c>
      <c r="I4522" s="160"/>
      <c r="J4522" s="161"/>
      <c r="K4522" s="160"/>
      <c r="L4522" s="160">
        <f>+'FACP$'!$H4522-'FACP$'!$I4522-'FACP$'!$K4522</f>
        <v>320056.934</v>
      </c>
      <c r="M4522" s="162" t="s">
        <v>151</v>
      </c>
      <c r="N4522" s="162" t="s">
        <v>554</v>
      </c>
      <c r="O4522" s="164">
        <v>45320.0</v>
      </c>
      <c r="P4522" s="164">
        <f t="array" ref="P4522">XLOOKUP('FACP$'!$B4522,'perfil de pagos'!$A$4:$A$46,'perfil de pagos'!$B$4:$B$46+'FACP$'!$D4522)</f>
        <v>45309</v>
      </c>
      <c r="Q4522" s="165">
        <f t="shared" si="2"/>
        <v>0</v>
      </c>
      <c r="R4522" s="167"/>
      <c r="S4522" s="167">
        <v>2771.0</v>
      </c>
      <c r="T4522" s="168">
        <f t="shared" si="3"/>
        <v>320056.934</v>
      </c>
      <c r="U4522" s="168">
        <f t="shared" si="4"/>
        <v>0</v>
      </c>
      <c r="V4522" s="168">
        <f t="shared" si="5"/>
        <v>0</v>
      </c>
      <c r="W4522" s="168">
        <f t="shared" si="6"/>
        <v>0</v>
      </c>
      <c r="X4522" s="168">
        <f t="shared" si="7"/>
        <v>0</v>
      </c>
      <c r="Y4522" s="168">
        <f t="shared" si="8"/>
        <v>0</v>
      </c>
      <c r="Z4522" s="168">
        <f t="shared" si="9"/>
        <v>0</v>
      </c>
    </row>
    <row r="4523" ht="15.0" customHeight="1">
      <c r="A4523" s="157" t="s">
        <v>5747</v>
      </c>
      <c r="B4523" s="158" t="s">
        <v>27</v>
      </c>
      <c r="C4523" s="158" t="s">
        <v>5745</v>
      </c>
      <c r="D4523" s="159">
        <v>45279.0</v>
      </c>
      <c r="E4523" s="157" t="s">
        <v>731</v>
      </c>
      <c r="F4523" s="160">
        <v>226116.59</v>
      </c>
      <c r="G4523" s="160">
        <f>'FACP$'!$F4523*0.16</f>
        <v>36178.6544</v>
      </c>
      <c r="H4523" s="160">
        <f t="shared" si="124"/>
        <v>262295.2444</v>
      </c>
      <c r="I4523" s="160"/>
      <c r="J4523" s="161"/>
      <c r="K4523" s="160"/>
      <c r="L4523" s="160">
        <f>+'FACP$'!$H4523-'FACP$'!$I4523-'FACP$'!$K4523</f>
        <v>262295.2444</v>
      </c>
      <c r="M4523" s="162" t="s">
        <v>151</v>
      </c>
      <c r="N4523" s="162" t="s">
        <v>554</v>
      </c>
      <c r="O4523" s="164">
        <v>45320.0</v>
      </c>
      <c r="P4523" s="164">
        <f t="array" ref="P4523">XLOOKUP('FACP$'!$B4523,'perfil de pagos'!$A$4:$A$46,'perfil de pagos'!$B$4:$B$46+'FACP$'!$D4523)</f>
        <v>45309</v>
      </c>
      <c r="Q4523" s="165">
        <f t="shared" si="2"/>
        <v>0</v>
      </c>
      <c r="R4523" s="167"/>
      <c r="S4523" s="167">
        <v>2771.0</v>
      </c>
      <c r="T4523" s="168">
        <f t="shared" si="3"/>
        <v>262295.2444</v>
      </c>
      <c r="U4523" s="168">
        <f t="shared" si="4"/>
        <v>0</v>
      </c>
      <c r="V4523" s="168">
        <f t="shared" si="5"/>
        <v>0</v>
      </c>
      <c r="W4523" s="168">
        <f t="shared" si="6"/>
        <v>0</v>
      </c>
      <c r="X4523" s="168">
        <f t="shared" si="7"/>
        <v>0</v>
      </c>
      <c r="Y4523" s="168">
        <f t="shared" si="8"/>
        <v>0</v>
      </c>
      <c r="Z4523" s="168">
        <f t="shared" si="9"/>
        <v>0</v>
      </c>
    </row>
    <row r="4524" ht="15.0" customHeight="1">
      <c r="A4524" s="157" t="s">
        <v>5748</v>
      </c>
      <c r="B4524" s="158" t="s">
        <v>27</v>
      </c>
      <c r="C4524" s="158" t="s">
        <v>5743</v>
      </c>
      <c r="D4524" s="159">
        <v>45279.0</v>
      </c>
      <c r="E4524" s="157" t="s">
        <v>731</v>
      </c>
      <c r="F4524" s="160">
        <v>9960.83</v>
      </c>
      <c r="G4524" s="160">
        <f>'FACP$'!$F4524*0.16</f>
        <v>1593.7328</v>
      </c>
      <c r="H4524" s="160">
        <f t="shared" si="124"/>
        <v>11554.5628</v>
      </c>
      <c r="I4524" s="160"/>
      <c r="J4524" s="161"/>
      <c r="K4524" s="160"/>
      <c r="L4524" s="160">
        <f>+'FACP$'!$H4524-'FACP$'!$I4524-'FACP$'!$K4524</f>
        <v>11554.5628</v>
      </c>
      <c r="M4524" s="162" t="s">
        <v>151</v>
      </c>
      <c r="N4524" s="162" t="s">
        <v>554</v>
      </c>
      <c r="O4524" s="164">
        <v>45320.0</v>
      </c>
      <c r="P4524" s="164">
        <f t="array" ref="P4524">XLOOKUP('FACP$'!$B4524,'perfil de pagos'!$A$4:$A$46,'perfil de pagos'!$B$4:$B$46+'FACP$'!$D4524)</f>
        <v>45309</v>
      </c>
      <c r="Q4524" s="165">
        <f t="shared" si="2"/>
        <v>0</v>
      </c>
      <c r="R4524" s="167"/>
      <c r="S4524" s="167">
        <v>2771.0</v>
      </c>
      <c r="T4524" s="168">
        <f t="shared" si="3"/>
        <v>11554.5628</v>
      </c>
      <c r="U4524" s="168">
        <f t="shared" si="4"/>
        <v>0</v>
      </c>
      <c r="V4524" s="168">
        <f t="shared" si="5"/>
        <v>0</v>
      </c>
      <c r="W4524" s="168">
        <f t="shared" si="6"/>
        <v>0</v>
      </c>
      <c r="X4524" s="168">
        <f t="shared" si="7"/>
        <v>0</v>
      </c>
      <c r="Y4524" s="168">
        <f t="shared" si="8"/>
        <v>0</v>
      </c>
      <c r="Z4524" s="168">
        <f t="shared" si="9"/>
        <v>0</v>
      </c>
    </row>
    <row r="4525" ht="15.0" customHeight="1">
      <c r="A4525" s="157" t="s">
        <v>5749</v>
      </c>
      <c r="B4525" s="158" t="s">
        <v>27</v>
      </c>
      <c r="C4525" s="158" t="s">
        <v>5745</v>
      </c>
      <c r="D4525" s="159">
        <v>45279.0</v>
      </c>
      <c r="E4525" s="157" t="s">
        <v>731</v>
      </c>
      <c r="F4525" s="160">
        <v>12281.44</v>
      </c>
      <c r="G4525" s="160">
        <f>'FACP$'!$F4525*0.16</f>
        <v>1965.0304</v>
      </c>
      <c r="H4525" s="160">
        <f t="shared" si="124"/>
        <v>14246.4704</v>
      </c>
      <c r="I4525" s="160"/>
      <c r="J4525" s="161"/>
      <c r="K4525" s="160"/>
      <c r="L4525" s="160">
        <f>+'FACP$'!$H4525-'FACP$'!$I4525-'FACP$'!$K4525</f>
        <v>14246.4704</v>
      </c>
      <c r="M4525" s="162" t="s">
        <v>151</v>
      </c>
      <c r="N4525" s="162" t="s">
        <v>554</v>
      </c>
      <c r="O4525" s="164">
        <v>45320.0</v>
      </c>
      <c r="P4525" s="164">
        <f t="array" ref="P4525">XLOOKUP('FACP$'!$B4525,'perfil de pagos'!$A$4:$A$46,'perfil de pagos'!$B$4:$B$46+'FACP$'!$D4525)</f>
        <v>45309</v>
      </c>
      <c r="Q4525" s="165">
        <f t="shared" si="2"/>
        <v>0</v>
      </c>
      <c r="R4525" s="167"/>
      <c r="S4525" s="167">
        <v>2771.0</v>
      </c>
      <c r="T4525" s="168">
        <f t="shared" si="3"/>
        <v>14246.4704</v>
      </c>
      <c r="U4525" s="168">
        <f t="shared" si="4"/>
        <v>0</v>
      </c>
      <c r="V4525" s="168">
        <f t="shared" si="5"/>
        <v>0</v>
      </c>
      <c r="W4525" s="168">
        <f t="shared" si="6"/>
        <v>0</v>
      </c>
      <c r="X4525" s="168">
        <f t="shared" si="7"/>
        <v>0</v>
      </c>
      <c r="Y4525" s="168">
        <f t="shared" si="8"/>
        <v>0</v>
      </c>
      <c r="Z4525" s="168">
        <f t="shared" si="9"/>
        <v>0</v>
      </c>
    </row>
    <row r="4526" ht="15.0" customHeight="1">
      <c r="A4526" s="157" t="s">
        <v>5750</v>
      </c>
      <c r="B4526" s="158" t="s">
        <v>40</v>
      </c>
      <c r="C4526" s="158" t="s">
        <v>5698</v>
      </c>
      <c r="D4526" s="159">
        <v>45280.0</v>
      </c>
      <c r="E4526" s="157" t="s">
        <v>731</v>
      </c>
      <c r="F4526" s="160">
        <v>191334.44</v>
      </c>
      <c r="G4526" s="160">
        <f>'FACP$'!$F4526*0.16</f>
        <v>30613.5104</v>
      </c>
      <c r="H4526" s="160">
        <f t="shared" si="124"/>
        <v>221947.9504</v>
      </c>
      <c r="I4526" s="160"/>
      <c r="J4526" s="161"/>
      <c r="K4526" s="160"/>
      <c r="L4526" s="160">
        <f>+'FACP$'!$H4526-'FACP$'!$I4526-'FACP$'!$K4526</f>
        <v>221947.9504</v>
      </c>
      <c r="M4526" s="162" t="s">
        <v>490</v>
      </c>
      <c r="N4526" s="162" t="s">
        <v>554</v>
      </c>
      <c r="O4526" s="164">
        <v>45310.0</v>
      </c>
      <c r="P4526" s="164">
        <f t="array" ref="P4526">XLOOKUP('FACP$'!$B4526,'perfil de pagos'!$A$4:$A$46,'perfil de pagos'!$B$4:$B$46+'FACP$'!$D4526)</f>
        <v>45310</v>
      </c>
      <c r="Q4526" s="165">
        <f t="shared" si="2"/>
        <v>0</v>
      </c>
      <c r="R4526" s="167"/>
      <c r="S4526" s="167">
        <v>2747.0</v>
      </c>
      <c r="T4526" s="168">
        <f t="shared" si="3"/>
        <v>221947.9504</v>
      </c>
      <c r="U4526" s="168">
        <f t="shared" si="4"/>
        <v>0</v>
      </c>
      <c r="V4526" s="168">
        <f t="shared" si="5"/>
        <v>0</v>
      </c>
      <c r="W4526" s="168">
        <f t="shared" si="6"/>
        <v>0</v>
      </c>
      <c r="X4526" s="168">
        <f t="shared" si="7"/>
        <v>0</v>
      </c>
      <c r="Y4526" s="168">
        <f t="shared" si="8"/>
        <v>0</v>
      </c>
      <c r="Z4526" s="168">
        <f t="shared" si="9"/>
        <v>0</v>
      </c>
    </row>
    <row r="4527" ht="15.0" customHeight="1">
      <c r="A4527" s="157" t="s">
        <v>5751</v>
      </c>
      <c r="B4527" s="158" t="s">
        <v>40</v>
      </c>
      <c r="C4527" s="158" t="s">
        <v>5700</v>
      </c>
      <c r="D4527" s="159">
        <v>45280.0</v>
      </c>
      <c r="E4527" s="157" t="s">
        <v>731</v>
      </c>
      <c r="F4527" s="160">
        <v>186263.69</v>
      </c>
      <c r="G4527" s="160">
        <f>'FACP$'!$F4527*0.16</f>
        <v>29802.1904</v>
      </c>
      <c r="H4527" s="160">
        <f t="shared" si="124"/>
        <v>216065.8804</v>
      </c>
      <c r="I4527" s="160"/>
      <c r="J4527" s="161"/>
      <c r="K4527" s="160"/>
      <c r="L4527" s="160">
        <f>+'FACP$'!$H4527-'FACP$'!$I4527-'FACP$'!$K4527</f>
        <v>216065.8804</v>
      </c>
      <c r="M4527" s="162" t="s">
        <v>490</v>
      </c>
      <c r="N4527" s="162" t="s">
        <v>554</v>
      </c>
      <c r="O4527" s="164">
        <v>45300.0</v>
      </c>
      <c r="P4527" s="164">
        <f t="array" ref="P4527">XLOOKUP('FACP$'!$B4527,'perfil de pagos'!$A$4:$A$46,'perfil de pagos'!$B$4:$B$46+'FACP$'!$D4527)</f>
        <v>45310</v>
      </c>
      <c r="Q4527" s="165">
        <f t="shared" si="2"/>
        <v>0</v>
      </c>
      <c r="R4527" s="167"/>
      <c r="S4527" s="167">
        <v>2767.0</v>
      </c>
      <c r="T4527" s="168">
        <f t="shared" si="3"/>
        <v>216065.8804</v>
      </c>
      <c r="U4527" s="168">
        <f t="shared" si="4"/>
        <v>0</v>
      </c>
      <c r="V4527" s="168">
        <f t="shared" si="5"/>
        <v>0</v>
      </c>
      <c r="W4527" s="168">
        <f t="shared" si="6"/>
        <v>0</v>
      </c>
      <c r="X4527" s="168">
        <f t="shared" si="7"/>
        <v>0</v>
      </c>
      <c r="Y4527" s="168">
        <f t="shared" si="8"/>
        <v>0</v>
      </c>
      <c r="Z4527" s="168">
        <f t="shared" si="9"/>
        <v>0</v>
      </c>
    </row>
    <row r="4528" ht="15.0" customHeight="1">
      <c r="A4528" s="157" t="s">
        <v>5752</v>
      </c>
      <c r="B4528" s="158" t="s">
        <v>40</v>
      </c>
      <c r="C4528" s="158" t="s">
        <v>5753</v>
      </c>
      <c r="D4528" s="159">
        <v>45280.0</v>
      </c>
      <c r="E4528" s="157" t="s">
        <v>731</v>
      </c>
      <c r="F4528" s="160">
        <v>57201.58</v>
      </c>
      <c r="G4528" s="160">
        <f>'FACP$'!$F4528*0.16</f>
        <v>9152.2528</v>
      </c>
      <c r="H4528" s="160">
        <f t="shared" si="124"/>
        <v>66353.8328</v>
      </c>
      <c r="I4528" s="160"/>
      <c r="J4528" s="161"/>
      <c r="K4528" s="160"/>
      <c r="L4528" s="160">
        <f>+'FACP$'!$H4528-'FACP$'!$I4528-'FACP$'!$K4528</f>
        <v>66353.8328</v>
      </c>
      <c r="M4528" s="162" t="s">
        <v>490</v>
      </c>
      <c r="N4528" s="162" t="s">
        <v>554</v>
      </c>
      <c r="O4528" s="164">
        <v>45310.0</v>
      </c>
      <c r="P4528" s="164">
        <f t="array" ref="P4528">XLOOKUP('FACP$'!$B4528,'perfil de pagos'!$A$4:$A$46,'perfil de pagos'!$B$4:$B$46+'FACP$'!$D4528)</f>
        <v>45310</v>
      </c>
      <c r="Q4528" s="165">
        <f t="shared" si="2"/>
        <v>0</v>
      </c>
      <c r="R4528" s="167"/>
      <c r="S4528" s="167">
        <v>2747.0</v>
      </c>
      <c r="T4528" s="168">
        <f t="shared" si="3"/>
        <v>66353.8328</v>
      </c>
      <c r="U4528" s="168">
        <f t="shared" si="4"/>
        <v>0</v>
      </c>
      <c r="V4528" s="168">
        <f t="shared" si="5"/>
        <v>0</v>
      </c>
      <c r="W4528" s="168">
        <f t="shared" si="6"/>
        <v>0</v>
      </c>
      <c r="X4528" s="168">
        <f t="shared" si="7"/>
        <v>0</v>
      </c>
      <c r="Y4528" s="168">
        <f t="shared" si="8"/>
        <v>0</v>
      </c>
      <c r="Z4528" s="168">
        <f t="shared" si="9"/>
        <v>0</v>
      </c>
    </row>
    <row r="4529" ht="15.0" customHeight="1">
      <c r="A4529" s="157" t="s">
        <v>5754</v>
      </c>
      <c r="B4529" s="158" t="s">
        <v>40</v>
      </c>
      <c r="C4529" s="158" t="s">
        <v>5755</v>
      </c>
      <c r="D4529" s="159">
        <v>45280.0</v>
      </c>
      <c r="E4529" s="157" t="s">
        <v>731</v>
      </c>
      <c r="F4529" s="160">
        <v>39178.91</v>
      </c>
      <c r="G4529" s="160">
        <f>'FACP$'!$F4529*0.16</f>
        <v>6268.6256</v>
      </c>
      <c r="H4529" s="160">
        <f t="shared" si="124"/>
        <v>45447.5356</v>
      </c>
      <c r="I4529" s="160"/>
      <c r="J4529" s="161"/>
      <c r="K4529" s="160"/>
      <c r="L4529" s="160">
        <f>+'FACP$'!$H4529-'FACP$'!$I4529-'FACP$'!$K4529</f>
        <v>45447.5356</v>
      </c>
      <c r="M4529" s="162" t="s">
        <v>490</v>
      </c>
      <c r="N4529" s="162" t="s">
        <v>554</v>
      </c>
      <c r="O4529" s="164">
        <v>45300.0</v>
      </c>
      <c r="P4529" s="164">
        <f t="array" ref="P4529">XLOOKUP('FACP$'!$B4529,'perfil de pagos'!$A$4:$A$46,'perfil de pagos'!$B$4:$B$46+'FACP$'!$D4529)</f>
        <v>45310</v>
      </c>
      <c r="Q4529" s="165">
        <f t="shared" si="2"/>
        <v>0</v>
      </c>
      <c r="R4529" s="167"/>
      <c r="S4529" s="167">
        <v>2767.0</v>
      </c>
      <c r="T4529" s="168">
        <f t="shared" si="3"/>
        <v>45447.5356</v>
      </c>
      <c r="U4529" s="168">
        <f t="shared" si="4"/>
        <v>0</v>
      </c>
      <c r="V4529" s="168">
        <f t="shared" si="5"/>
        <v>0</v>
      </c>
      <c r="W4529" s="168">
        <f t="shared" si="6"/>
        <v>0</v>
      </c>
      <c r="X4529" s="168">
        <f t="shared" si="7"/>
        <v>0</v>
      </c>
      <c r="Y4529" s="168">
        <f t="shared" si="8"/>
        <v>0</v>
      </c>
      <c r="Z4529" s="168">
        <f t="shared" si="9"/>
        <v>0</v>
      </c>
    </row>
    <row r="4530" ht="15.0" customHeight="1">
      <c r="A4530" s="157" t="s">
        <v>5756</v>
      </c>
      <c r="B4530" s="158" t="s">
        <v>40</v>
      </c>
      <c r="C4530" s="158" t="s">
        <v>5757</v>
      </c>
      <c r="D4530" s="159">
        <v>45280.0</v>
      </c>
      <c r="E4530" s="157" t="s">
        <v>731</v>
      </c>
      <c r="F4530" s="160">
        <v>312528.89</v>
      </c>
      <c r="G4530" s="160">
        <f>'FACP$'!$F4530*0.16</f>
        <v>50004.6224</v>
      </c>
      <c r="H4530" s="160">
        <f t="shared" si="124"/>
        <v>362533.5124</v>
      </c>
      <c r="I4530" s="160"/>
      <c r="J4530" s="161"/>
      <c r="K4530" s="160"/>
      <c r="L4530" s="160">
        <f>+'FACP$'!$H4530-'FACP$'!$I4530-'FACP$'!$K4530</f>
        <v>362533.5124</v>
      </c>
      <c r="M4530" s="162" t="s">
        <v>490</v>
      </c>
      <c r="N4530" s="162" t="s">
        <v>554</v>
      </c>
      <c r="O4530" s="164">
        <v>45310.0</v>
      </c>
      <c r="P4530" s="164">
        <f t="array" ref="P4530">XLOOKUP('FACP$'!$B4530,'perfil de pagos'!$A$4:$A$46,'perfil de pagos'!$B$4:$B$46+'FACP$'!$D4530)</f>
        <v>45310</v>
      </c>
      <c r="Q4530" s="165">
        <f t="shared" si="2"/>
        <v>0</v>
      </c>
      <c r="R4530" s="167"/>
      <c r="S4530" s="167">
        <v>2747.0</v>
      </c>
      <c r="T4530" s="168">
        <f t="shared" si="3"/>
        <v>362533.5124</v>
      </c>
      <c r="U4530" s="168">
        <f t="shared" si="4"/>
        <v>0</v>
      </c>
      <c r="V4530" s="168">
        <f t="shared" si="5"/>
        <v>0</v>
      </c>
      <c r="W4530" s="168">
        <f t="shared" si="6"/>
        <v>0</v>
      </c>
      <c r="X4530" s="168">
        <f t="shared" si="7"/>
        <v>0</v>
      </c>
      <c r="Y4530" s="168">
        <f t="shared" si="8"/>
        <v>0</v>
      </c>
      <c r="Z4530" s="168">
        <f t="shared" si="9"/>
        <v>0</v>
      </c>
    </row>
    <row r="4531" ht="15.0" customHeight="1">
      <c r="A4531" s="157" t="s">
        <v>5758</v>
      </c>
      <c r="B4531" s="158" t="s">
        <v>38</v>
      </c>
      <c r="C4531" s="158" t="s">
        <v>5698</v>
      </c>
      <c r="D4531" s="159">
        <v>45280.0</v>
      </c>
      <c r="E4531" s="157" t="s">
        <v>731</v>
      </c>
      <c r="F4531" s="160">
        <v>173702.49</v>
      </c>
      <c r="G4531" s="160">
        <f>'FACP$'!$F4531*0.16</f>
        <v>27792.3984</v>
      </c>
      <c r="H4531" s="160">
        <f t="shared" si="124"/>
        <v>201494.8884</v>
      </c>
      <c r="I4531" s="160"/>
      <c r="J4531" s="161"/>
      <c r="K4531" s="160"/>
      <c r="L4531" s="160">
        <f>+'FACP$'!$H4531-'FACP$'!$I4531-'FACP$'!$K4531</f>
        <v>201494.8884</v>
      </c>
      <c r="M4531" s="162" t="s">
        <v>4654</v>
      </c>
      <c r="N4531" s="162" t="s">
        <v>554</v>
      </c>
      <c r="O4531" s="164">
        <v>45330.0</v>
      </c>
      <c r="P4531" s="164">
        <f t="array" ref="P4531">XLOOKUP('FACP$'!$B4531,'perfil de pagos'!$A$4:$A$46,'perfil de pagos'!$B$4:$B$46+'FACP$'!$D4531)</f>
        <v>45310</v>
      </c>
      <c r="Q4531" s="165">
        <f t="shared" si="2"/>
        <v>0</v>
      </c>
      <c r="R4531" s="167">
        <v>2788.0</v>
      </c>
      <c r="S4531" s="167"/>
      <c r="T4531" s="168">
        <f t="shared" si="3"/>
        <v>201494.8884</v>
      </c>
      <c r="U4531" s="168">
        <f t="shared" si="4"/>
        <v>0</v>
      </c>
      <c r="V4531" s="168">
        <f t="shared" si="5"/>
        <v>0</v>
      </c>
      <c r="W4531" s="168">
        <f t="shared" si="6"/>
        <v>0</v>
      </c>
      <c r="X4531" s="168">
        <f t="shared" si="7"/>
        <v>0</v>
      </c>
      <c r="Y4531" s="168">
        <f t="shared" si="8"/>
        <v>0</v>
      </c>
      <c r="Z4531" s="168">
        <f t="shared" si="9"/>
        <v>0</v>
      </c>
    </row>
    <row r="4532" ht="15.0" customHeight="1">
      <c r="A4532" s="157" t="s">
        <v>5759</v>
      </c>
      <c r="B4532" s="158" t="s">
        <v>38</v>
      </c>
      <c r="C4532" s="158" t="s">
        <v>5698</v>
      </c>
      <c r="D4532" s="159">
        <v>45280.0</v>
      </c>
      <c r="E4532" s="157" t="s">
        <v>731</v>
      </c>
      <c r="F4532" s="160">
        <v>55254.95</v>
      </c>
      <c r="G4532" s="160">
        <f>'FACP$'!$F4532*0.16</f>
        <v>8840.792</v>
      </c>
      <c r="H4532" s="160">
        <f t="shared" si="124"/>
        <v>64095.742</v>
      </c>
      <c r="I4532" s="160"/>
      <c r="J4532" s="161"/>
      <c r="K4532" s="160"/>
      <c r="L4532" s="160">
        <f>+'FACP$'!$H4532-'FACP$'!$I4532-'FACP$'!$K4532</f>
        <v>64095.742</v>
      </c>
      <c r="M4532" s="162" t="s">
        <v>4707</v>
      </c>
      <c r="N4532" s="162" t="s">
        <v>554</v>
      </c>
      <c r="O4532" s="164">
        <v>45330.0</v>
      </c>
      <c r="P4532" s="164">
        <f t="array" ref="P4532">XLOOKUP('FACP$'!$B4532,'perfil de pagos'!$A$4:$A$46,'perfil de pagos'!$B$4:$B$46+'FACP$'!$D4532)</f>
        <v>45310</v>
      </c>
      <c r="Q4532" s="165">
        <f t="shared" si="2"/>
        <v>0</v>
      </c>
      <c r="R4532" s="167">
        <v>2788.0</v>
      </c>
      <c r="S4532" s="167"/>
      <c r="T4532" s="168">
        <f t="shared" si="3"/>
        <v>64095.742</v>
      </c>
      <c r="U4532" s="168">
        <f t="shared" si="4"/>
        <v>0</v>
      </c>
      <c r="V4532" s="168">
        <f t="shared" si="5"/>
        <v>0</v>
      </c>
      <c r="W4532" s="168">
        <f t="shared" si="6"/>
        <v>0</v>
      </c>
      <c r="X4532" s="168">
        <f t="shared" si="7"/>
        <v>0</v>
      </c>
      <c r="Y4532" s="168">
        <f t="shared" si="8"/>
        <v>0</v>
      </c>
      <c r="Z4532" s="168">
        <f t="shared" si="9"/>
        <v>0</v>
      </c>
    </row>
    <row r="4533" ht="15.0" customHeight="1">
      <c r="A4533" s="157" t="s">
        <v>5760</v>
      </c>
      <c r="B4533" s="158" t="s">
        <v>38</v>
      </c>
      <c r="C4533" s="158" t="s">
        <v>5700</v>
      </c>
      <c r="D4533" s="159">
        <v>45280.0</v>
      </c>
      <c r="E4533" s="157" t="s">
        <v>600</v>
      </c>
      <c r="F4533" s="160">
        <v>81576.77</v>
      </c>
      <c r="G4533" s="160">
        <f>'FACP$'!$F4533*0.16</f>
        <v>13052.2832</v>
      </c>
      <c r="H4533" s="160">
        <f t="shared" si="124"/>
        <v>94629.0532</v>
      </c>
      <c r="I4533" s="160"/>
      <c r="J4533" s="161"/>
      <c r="K4533" s="160"/>
      <c r="L4533" s="160">
        <f>+'FACP$'!$H4533-'FACP$'!$I4533-'FACP$'!$K4533</f>
        <v>94629.0532</v>
      </c>
      <c r="M4533" s="162" t="s">
        <v>4707</v>
      </c>
      <c r="N4533" s="162" t="s">
        <v>554</v>
      </c>
      <c r="O4533" s="164">
        <v>45330.0</v>
      </c>
      <c r="P4533" s="164">
        <f>D4533+10</f>
        <v>45290</v>
      </c>
      <c r="Q4533" s="165">
        <f t="shared" si="2"/>
        <v>0</v>
      </c>
      <c r="R4533" s="167">
        <v>2788.0</v>
      </c>
      <c r="S4533" s="167"/>
      <c r="T4533" s="168">
        <f t="shared" si="3"/>
        <v>94629.0532</v>
      </c>
      <c r="U4533" s="168">
        <f t="shared" si="4"/>
        <v>0</v>
      </c>
      <c r="V4533" s="168">
        <f t="shared" si="5"/>
        <v>0</v>
      </c>
      <c r="W4533" s="168">
        <f t="shared" si="6"/>
        <v>0</v>
      </c>
      <c r="X4533" s="168">
        <f t="shared" si="7"/>
        <v>0</v>
      </c>
      <c r="Y4533" s="168">
        <f t="shared" si="8"/>
        <v>0</v>
      </c>
      <c r="Z4533" s="168">
        <f t="shared" si="9"/>
        <v>0</v>
      </c>
    </row>
    <row r="4534" ht="15.0" customHeight="1">
      <c r="A4534" s="157" t="s">
        <v>5761</v>
      </c>
      <c r="B4534" s="158" t="s">
        <v>16</v>
      </c>
      <c r="C4534" s="158" t="s">
        <v>5698</v>
      </c>
      <c r="D4534" s="159">
        <v>45281.0</v>
      </c>
      <c r="E4534" s="157" t="s">
        <v>731</v>
      </c>
      <c r="F4534" s="160">
        <v>283952.39</v>
      </c>
      <c r="G4534" s="160">
        <f>'FACP$'!$F4534*0.16</f>
        <v>45432.3824</v>
      </c>
      <c r="H4534" s="160">
        <f t="shared" si="124"/>
        <v>329384.7724</v>
      </c>
      <c r="I4534" s="160"/>
      <c r="J4534" s="161"/>
      <c r="K4534" s="160"/>
      <c r="L4534" s="160">
        <f>+'FACP$'!$H4534-'FACP$'!$I4534-'FACP$'!$K4534</f>
        <v>329384.7724</v>
      </c>
      <c r="M4534" s="162" t="s">
        <v>985</v>
      </c>
      <c r="N4534" s="162" t="s">
        <v>554</v>
      </c>
      <c r="O4534" s="164">
        <v>45313.0</v>
      </c>
      <c r="P4534" s="164">
        <f t="array" ref="P4534">XLOOKUP('FACP$'!$B4534,'perfil de pagos'!$A$4:$A$46,'perfil de pagos'!$B$4:$B$46+'FACP$'!$D4534)</f>
        <v>45291</v>
      </c>
      <c r="Q4534" s="165">
        <f t="shared" si="2"/>
        <v>0</v>
      </c>
      <c r="R4534" s="167"/>
      <c r="S4534" s="167">
        <v>2751.0</v>
      </c>
      <c r="T4534" s="168">
        <f t="shared" si="3"/>
        <v>329384.7724</v>
      </c>
      <c r="U4534" s="168">
        <f t="shared" si="4"/>
        <v>0</v>
      </c>
      <c r="V4534" s="168">
        <f t="shared" si="5"/>
        <v>0</v>
      </c>
      <c r="W4534" s="168">
        <f t="shared" si="6"/>
        <v>0</v>
      </c>
      <c r="X4534" s="168">
        <f t="shared" si="7"/>
        <v>0</v>
      </c>
      <c r="Y4534" s="168">
        <f t="shared" si="8"/>
        <v>0</v>
      </c>
      <c r="Z4534" s="168">
        <f t="shared" si="9"/>
        <v>0</v>
      </c>
    </row>
    <row r="4535" ht="15.0" customHeight="1">
      <c r="A4535" s="157" t="s">
        <v>5762</v>
      </c>
      <c r="B4535" s="158" t="s">
        <v>16</v>
      </c>
      <c r="C4535" s="158" t="s">
        <v>5700</v>
      </c>
      <c r="D4535" s="159">
        <v>45281.0</v>
      </c>
      <c r="E4535" s="157" t="s">
        <v>731</v>
      </c>
      <c r="F4535" s="160">
        <v>471978.78</v>
      </c>
      <c r="G4535" s="160">
        <f>'FACP$'!$F4535*0.16</f>
        <v>75516.6048</v>
      </c>
      <c r="H4535" s="160">
        <f t="shared" si="124"/>
        <v>547495.3848</v>
      </c>
      <c r="I4535" s="160"/>
      <c r="J4535" s="161"/>
      <c r="K4535" s="160"/>
      <c r="L4535" s="160">
        <f>+'FACP$'!$H4535-'FACP$'!$I4535-'FACP$'!$K4535</f>
        <v>547495.3848</v>
      </c>
      <c r="M4535" s="162" t="s">
        <v>985</v>
      </c>
      <c r="N4535" s="162" t="s">
        <v>554</v>
      </c>
      <c r="O4535" s="164">
        <v>45313.0</v>
      </c>
      <c r="P4535" s="164">
        <f t="array" ref="P4535">XLOOKUP('FACP$'!$B4535,'perfil de pagos'!$A$4:$A$46,'perfil de pagos'!$B$4:$B$46+'FACP$'!$D4535)</f>
        <v>45291</v>
      </c>
      <c r="Q4535" s="165">
        <f t="shared" si="2"/>
        <v>0</v>
      </c>
      <c r="R4535" s="167"/>
      <c r="S4535" s="167">
        <v>2751.0</v>
      </c>
      <c r="T4535" s="168">
        <f t="shared" si="3"/>
        <v>547495.3848</v>
      </c>
      <c r="U4535" s="168">
        <f t="shared" si="4"/>
        <v>0</v>
      </c>
      <c r="V4535" s="168">
        <f t="shared" si="5"/>
        <v>0</v>
      </c>
      <c r="W4535" s="168">
        <f t="shared" si="6"/>
        <v>0</v>
      </c>
      <c r="X4535" s="168">
        <f t="shared" si="7"/>
        <v>0</v>
      </c>
      <c r="Y4535" s="168">
        <f t="shared" si="8"/>
        <v>0</v>
      </c>
      <c r="Z4535" s="168">
        <f t="shared" si="9"/>
        <v>0</v>
      </c>
    </row>
    <row r="4536" ht="15.0" customHeight="1">
      <c r="A4536" s="157" t="s">
        <v>5763</v>
      </c>
      <c r="B4536" s="158" t="s">
        <v>18</v>
      </c>
      <c r="C4536" s="158" t="s">
        <v>5698</v>
      </c>
      <c r="D4536" s="159">
        <v>45281.0</v>
      </c>
      <c r="E4536" s="157" t="s">
        <v>731</v>
      </c>
      <c r="F4536" s="160">
        <v>72863.53</v>
      </c>
      <c r="G4536" s="160">
        <f>'FACP$'!$F4536*0.16</f>
        <v>11658.1648</v>
      </c>
      <c r="H4536" s="160">
        <f t="shared" si="124"/>
        <v>84521.6948</v>
      </c>
      <c r="I4536" s="160"/>
      <c r="J4536" s="161"/>
      <c r="K4536" s="160"/>
      <c r="L4536" s="160">
        <f>+'FACP$'!$H4536-'FACP$'!$I4536-'FACP$'!$K4536</f>
        <v>84521.6948</v>
      </c>
      <c r="M4536" s="162" t="s">
        <v>586</v>
      </c>
      <c r="N4536" s="162" t="s">
        <v>554</v>
      </c>
      <c r="O4536" s="164">
        <v>45287.0</v>
      </c>
      <c r="P4536" s="164">
        <f t="array" ref="P4536">XLOOKUP('FACP$'!$B4536,'perfil de pagos'!$A$4:$A$46,'perfil de pagos'!$B$4:$B$46+'FACP$'!$D4536)</f>
        <v>45291</v>
      </c>
      <c r="Q4536" s="165">
        <f t="shared" si="2"/>
        <v>0</v>
      </c>
      <c r="R4536" s="167"/>
      <c r="S4536" s="167">
        <v>2696.0</v>
      </c>
      <c r="T4536" s="168">
        <f t="shared" si="3"/>
        <v>84521.6948</v>
      </c>
      <c r="U4536" s="168">
        <f t="shared" si="4"/>
        <v>0</v>
      </c>
      <c r="V4536" s="168">
        <f t="shared" si="5"/>
        <v>0</v>
      </c>
      <c r="W4536" s="168">
        <f t="shared" si="6"/>
        <v>0</v>
      </c>
      <c r="X4536" s="168">
        <f t="shared" si="7"/>
        <v>0</v>
      </c>
      <c r="Y4536" s="168">
        <f t="shared" si="8"/>
        <v>0</v>
      </c>
      <c r="Z4536" s="168">
        <f t="shared" si="9"/>
        <v>0</v>
      </c>
    </row>
    <row r="4537" ht="15.0" customHeight="1">
      <c r="A4537" s="157" t="s">
        <v>5764</v>
      </c>
      <c r="B4537" s="158" t="s">
        <v>19</v>
      </c>
      <c r="C4537" s="158" t="s">
        <v>5698</v>
      </c>
      <c r="D4537" s="159">
        <v>45281.0</v>
      </c>
      <c r="E4537" s="157" t="s">
        <v>731</v>
      </c>
      <c r="F4537" s="160">
        <v>164395.15</v>
      </c>
      <c r="G4537" s="160">
        <f>'FACP$'!$F4537*0.16</f>
        <v>26303.224</v>
      </c>
      <c r="H4537" s="160">
        <f t="shared" si="124"/>
        <v>190698.374</v>
      </c>
      <c r="I4537" s="160"/>
      <c r="J4537" s="161"/>
      <c r="K4537" s="160"/>
      <c r="L4537" s="160">
        <f>+'FACP$'!$H4537-'FACP$'!$I4537-'FACP$'!$K4537</f>
        <v>190698.374</v>
      </c>
      <c r="M4537" s="162" t="s">
        <v>732</v>
      </c>
      <c r="N4537" s="162" t="s">
        <v>554</v>
      </c>
      <c r="O4537" s="164">
        <v>45287.0</v>
      </c>
      <c r="P4537" s="164">
        <f t="array" ref="P4537">XLOOKUP('FACP$'!$B4537,'perfil de pagos'!$A$4:$A$46,'perfil de pagos'!$B$4:$B$46+'FACP$'!$D4537)</f>
        <v>45291</v>
      </c>
      <c r="Q4537" s="165">
        <f t="shared" si="2"/>
        <v>0</v>
      </c>
      <c r="R4537" s="167"/>
      <c r="S4537" s="167">
        <v>2696.0</v>
      </c>
      <c r="T4537" s="168">
        <f t="shared" si="3"/>
        <v>190698.374</v>
      </c>
      <c r="U4537" s="168">
        <f t="shared" si="4"/>
        <v>0</v>
      </c>
      <c r="V4537" s="168">
        <f t="shared" si="5"/>
        <v>0</v>
      </c>
      <c r="W4537" s="168">
        <f t="shared" si="6"/>
        <v>0</v>
      </c>
      <c r="X4537" s="168">
        <f t="shared" si="7"/>
        <v>0</v>
      </c>
      <c r="Y4537" s="168">
        <f t="shared" si="8"/>
        <v>0</v>
      </c>
      <c r="Z4537" s="168">
        <f t="shared" si="9"/>
        <v>0</v>
      </c>
    </row>
    <row r="4538" ht="15.0" customHeight="1">
      <c r="A4538" s="157" t="s">
        <v>5765</v>
      </c>
      <c r="B4538" s="158" t="s">
        <v>22</v>
      </c>
      <c r="C4538" s="158" t="s">
        <v>5698</v>
      </c>
      <c r="D4538" s="159">
        <v>45281.0</v>
      </c>
      <c r="E4538" s="157" t="s">
        <v>731</v>
      </c>
      <c r="F4538" s="160">
        <v>194715.74</v>
      </c>
      <c r="G4538" s="160">
        <f>'FACP$'!$F4538*0.16</f>
        <v>31154.5184</v>
      </c>
      <c r="H4538" s="160">
        <f t="shared" si="124"/>
        <v>225870.2584</v>
      </c>
      <c r="I4538" s="160">
        <v>200000.0</v>
      </c>
      <c r="J4538" s="161"/>
      <c r="K4538" s="160"/>
      <c r="L4538" s="160">
        <f>+'FACP$'!$H4538-'FACP$'!$I4538-'FACP$'!$K4538</f>
        <v>25870.2584</v>
      </c>
      <c r="M4538" s="162" t="s">
        <v>220</v>
      </c>
      <c r="N4538" s="162" t="s">
        <v>554</v>
      </c>
      <c r="O4538" s="164">
        <v>45331.0</v>
      </c>
      <c r="P4538" s="164">
        <f t="array" ref="P4538">XLOOKUP('FACP$'!$B4538,'perfil de pagos'!$A$4:$A$46,'perfil de pagos'!$B$4:$B$46+'FACP$'!$D4538)</f>
        <v>45291</v>
      </c>
      <c r="Q4538" s="165">
        <f t="shared" si="2"/>
        <v>0</v>
      </c>
      <c r="R4538" s="220" t="s">
        <v>5766</v>
      </c>
      <c r="S4538" s="220" t="s">
        <v>5767</v>
      </c>
      <c r="T4538" s="168">
        <f t="shared" si="3"/>
        <v>25870.2584</v>
      </c>
      <c r="U4538" s="168">
        <f t="shared" si="4"/>
        <v>0</v>
      </c>
      <c r="V4538" s="168">
        <f t="shared" si="5"/>
        <v>0</v>
      </c>
      <c r="W4538" s="168">
        <f t="shared" si="6"/>
        <v>0</v>
      </c>
      <c r="X4538" s="168">
        <f t="shared" si="7"/>
        <v>0</v>
      </c>
      <c r="Y4538" s="168">
        <f t="shared" si="8"/>
        <v>0</v>
      </c>
      <c r="Z4538" s="168">
        <f t="shared" si="9"/>
        <v>0</v>
      </c>
    </row>
    <row r="4539" ht="15.0" customHeight="1">
      <c r="A4539" s="157" t="s">
        <v>5768</v>
      </c>
      <c r="B4539" s="158" t="s">
        <v>25</v>
      </c>
      <c r="C4539" s="158" t="s">
        <v>5698</v>
      </c>
      <c r="D4539" s="159">
        <v>45281.0</v>
      </c>
      <c r="E4539" s="157" t="s">
        <v>731</v>
      </c>
      <c r="F4539" s="160">
        <v>50956.05</v>
      </c>
      <c r="G4539" s="160">
        <f>'FACP$'!$F4539*0.16</f>
        <v>8152.968</v>
      </c>
      <c r="H4539" s="160">
        <f t="shared" si="124"/>
        <v>59109.018</v>
      </c>
      <c r="I4539" s="160"/>
      <c r="J4539" s="161"/>
      <c r="K4539" s="160"/>
      <c r="L4539" s="160">
        <f>+'FACP$'!$H4539-'FACP$'!$I4539-'FACP$'!$K4539</f>
        <v>59109.018</v>
      </c>
      <c r="M4539" s="162" t="s">
        <v>4388</v>
      </c>
      <c r="N4539" s="162" t="s">
        <v>554</v>
      </c>
      <c r="O4539" s="164">
        <v>45289.0</v>
      </c>
      <c r="P4539" s="164">
        <f t="array" ref="P4539">XLOOKUP('FACP$'!$B4539,'perfil de pagos'!$A$4:$A$46,'perfil de pagos'!$B$4:$B$46+'FACP$'!$D4539)</f>
        <v>45291</v>
      </c>
      <c r="Q4539" s="165">
        <f t="shared" si="2"/>
        <v>0</v>
      </c>
      <c r="R4539" s="167"/>
      <c r="S4539" s="167">
        <v>2703.0</v>
      </c>
      <c r="T4539" s="168">
        <f t="shared" si="3"/>
        <v>59109.018</v>
      </c>
      <c r="U4539" s="168">
        <f t="shared" si="4"/>
        <v>0</v>
      </c>
      <c r="V4539" s="168">
        <f t="shared" si="5"/>
        <v>0</v>
      </c>
      <c r="W4539" s="168">
        <f t="shared" si="6"/>
        <v>0</v>
      </c>
      <c r="X4539" s="168">
        <f t="shared" si="7"/>
        <v>0</v>
      </c>
      <c r="Y4539" s="168">
        <f t="shared" si="8"/>
        <v>0</v>
      </c>
      <c r="Z4539" s="168">
        <f t="shared" si="9"/>
        <v>0</v>
      </c>
    </row>
    <row r="4540" ht="15.0" customHeight="1">
      <c r="A4540" s="157" t="s">
        <v>5769</v>
      </c>
      <c r="B4540" s="158" t="s">
        <v>37</v>
      </c>
      <c r="C4540" s="158" t="s">
        <v>5698</v>
      </c>
      <c r="D4540" s="159">
        <v>45281.0</v>
      </c>
      <c r="E4540" s="157" t="s">
        <v>731</v>
      </c>
      <c r="F4540" s="160">
        <v>1369552.6</v>
      </c>
      <c r="G4540" s="160">
        <f>'FACP$'!$F4540*0.16</f>
        <v>219128.416</v>
      </c>
      <c r="H4540" s="160">
        <f t="shared" si="124"/>
        <v>1588681.016</v>
      </c>
      <c r="I4540" s="160"/>
      <c r="J4540" s="161"/>
      <c r="K4540" s="160"/>
      <c r="L4540" s="160">
        <f>+'FACP$'!$H4540-'FACP$'!$I4540-'FACP$'!$K4540</f>
        <v>1588681.016</v>
      </c>
      <c r="M4540" s="162" t="s">
        <v>116</v>
      </c>
      <c r="N4540" s="162" t="s">
        <v>554</v>
      </c>
      <c r="O4540" s="164">
        <v>44929.0</v>
      </c>
      <c r="P4540" s="164">
        <f t="array" ref="P4540">XLOOKUP('FACP$'!$B4540,'perfil de pagos'!$A$4:$A$46,'perfil de pagos'!$B$4:$B$46+'FACP$'!$D4540)</f>
        <v>45291</v>
      </c>
      <c r="Q4540" s="165">
        <f t="shared" si="2"/>
        <v>0</v>
      </c>
      <c r="R4540" s="167"/>
      <c r="S4540" s="167">
        <v>2707.0</v>
      </c>
      <c r="T4540" s="168">
        <f t="shared" si="3"/>
        <v>1588681.016</v>
      </c>
      <c r="U4540" s="168">
        <f t="shared" si="4"/>
        <v>0</v>
      </c>
      <c r="V4540" s="168">
        <f t="shared" si="5"/>
        <v>0</v>
      </c>
      <c r="W4540" s="168">
        <f t="shared" si="6"/>
        <v>0</v>
      </c>
      <c r="X4540" s="168">
        <f t="shared" si="7"/>
        <v>0</v>
      </c>
      <c r="Y4540" s="168">
        <f t="shared" si="8"/>
        <v>0</v>
      </c>
      <c r="Z4540" s="168">
        <f t="shared" si="9"/>
        <v>0</v>
      </c>
    </row>
    <row r="4541" ht="15.0" customHeight="1">
      <c r="A4541" s="157" t="s">
        <v>5770</v>
      </c>
      <c r="B4541" s="158" t="s">
        <v>31</v>
      </c>
      <c r="C4541" s="158" t="s">
        <v>5771</v>
      </c>
      <c r="D4541" s="159">
        <v>45282.0</v>
      </c>
      <c r="E4541" s="157" t="s">
        <v>731</v>
      </c>
      <c r="F4541" s="160">
        <v>357210.0</v>
      </c>
      <c r="G4541" s="160">
        <f>'FACP$'!$F4541*0.16</f>
        <v>57153.6</v>
      </c>
      <c r="H4541" s="160">
        <f t="shared" si="124"/>
        <v>414363.6</v>
      </c>
      <c r="I4541" s="160"/>
      <c r="J4541" s="161">
        <f>'NCP$'!A269</f>
        <v>367</v>
      </c>
      <c r="K4541" s="160">
        <f>'NCP$'!H269</f>
        <v>306534.9996</v>
      </c>
      <c r="L4541" s="160">
        <f>+'FACP$'!$H4541-'FACP$'!$I4541-'FACP$'!$K4541</f>
        <v>107828.6004</v>
      </c>
      <c r="M4541" s="162" t="s">
        <v>3183</v>
      </c>
      <c r="N4541" s="162"/>
      <c r="O4541" s="164"/>
      <c r="P4541" s="164">
        <f t="array" ref="P4541">XLOOKUP('FACP$'!$B4541,'perfil de pagos'!$A$4:$A$46,'perfil de pagos'!$B$4:$B$46+'FACP$'!$D4541)</f>
        <v>45285</v>
      </c>
      <c r="Q4541" s="165">
        <f t="shared" si="2"/>
        <v>504</v>
      </c>
      <c r="R4541" s="167"/>
      <c r="S4541" s="167"/>
      <c r="T4541" s="168">
        <f t="shared" si="3"/>
        <v>0</v>
      </c>
      <c r="U4541" s="168">
        <f t="shared" si="4"/>
        <v>0</v>
      </c>
      <c r="V4541" s="168">
        <f t="shared" si="5"/>
        <v>0</v>
      </c>
      <c r="W4541" s="168">
        <f t="shared" si="6"/>
        <v>0</v>
      </c>
      <c r="X4541" s="168">
        <f t="shared" si="7"/>
        <v>0</v>
      </c>
      <c r="Y4541" s="168">
        <f t="shared" si="8"/>
        <v>0</v>
      </c>
      <c r="Z4541" s="168">
        <f t="shared" si="9"/>
        <v>107828.6004</v>
      </c>
    </row>
    <row r="4542" ht="15.0" customHeight="1">
      <c r="A4542" s="210" t="s">
        <v>5772</v>
      </c>
      <c r="B4542" s="209" t="s">
        <v>27</v>
      </c>
      <c r="C4542" s="209" t="s">
        <v>5773</v>
      </c>
      <c r="D4542" s="186">
        <v>45289.0</v>
      </c>
      <c r="E4542" s="210" t="s">
        <v>731</v>
      </c>
      <c r="F4542" s="211">
        <v>138283.55</v>
      </c>
      <c r="G4542" s="211">
        <f>'FACP$'!$F4542*0.16</f>
        <v>22125.368</v>
      </c>
      <c r="H4542" s="231">
        <f t="shared" si="124"/>
        <v>160408.918</v>
      </c>
      <c r="I4542" s="211"/>
      <c r="J4542" s="212">
        <f>'NCP$'!A301</f>
        <v>408</v>
      </c>
      <c r="K4542" s="211">
        <f>'NCP$'!H301</f>
        <v>7681.6128</v>
      </c>
      <c r="L4542" s="250">
        <f>+'FACP$'!$H4542-'FACP$'!$I4542-'FACP$'!$K4542</f>
        <v>152727.3052</v>
      </c>
      <c r="M4542" s="227" t="s">
        <v>158</v>
      </c>
      <c r="N4542" s="162" t="s">
        <v>554</v>
      </c>
      <c r="O4542" s="164">
        <v>45602.0</v>
      </c>
      <c r="P4542" s="164">
        <f t="array" ref="P4542">XLOOKUP('FACP$'!$B4542,'perfil de pagos'!$A$4:$A$46,'perfil de pagos'!$B$4:$B$46+'FACP$'!$D4542)</f>
        <v>45319</v>
      </c>
      <c r="Q4542" s="165">
        <f t="shared" si="2"/>
        <v>0</v>
      </c>
      <c r="R4542" s="167"/>
      <c r="S4542" s="167">
        <v>3379.0</v>
      </c>
      <c r="T4542" s="168">
        <f t="shared" si="3"/>
        <v>152727.3052</v>
      </c>
      <c r="U4542" s="168">
        <f t="shared" si="4"/>
        <v>0</v>
      </c>
      <c r="V4542" s="168">
        <f t="shared" si="5"/>
        <v>0</v>
      </c>
      <c r="W4542" s="168">
        <f t="shared" si="6"/>
        <v>0</v>
      </c>
      <c r="X4542" s="168">
        <f t="shared" si="7"/>
        <v>0</v>
      </c>
      <c r="Y4542" s="168">
        <f t="shared" si="8"/>
        <v>0</v>
      </c>
      <c r="Z4542" s="168">
        <f t="shared" si="9"/>
        <v>0</v>
      </c>
    </row>
    <row r="4543" ht="15.0" customHeight="1">
      <c r="A4543" s="210" t="s">
        <v>5774</v>
      </c>
      <c r="B4543" s="209" t="s">
        <v>27</v>
      </c>
      <c r="C4543" s="209" t="s">
        <v>5775</v>
      </c>
      <c r="D4543" s="186">
        <v>45289.0</v>
      </c>
      <c r="E4543" s="210" t="s">
        <v>731</v>
      </c>
      <c r="F4543" s="211">
        <v>116562.36</v>
      </c>
      <c r="G4543" s="211">
        <f>'FACP$'!$F4543*0.16</f>
        <v>18649.9776</v>
      </c>
      <c r="H4543" s="211">
        <f t="shared" si="124"/>
        <v>135212.3376</v>
      </c>
      <c r="I4543" s="211"/>
      <c r="J4543" s="212"/>
      <c r="K4543" s="211"/>
      <c r="L4543" s="211">
        <f>+'FACP$'!$H4543-'FACP$'!$I4543-'FACP$'!$K4543</f>
        <v>135212.3376</v>
      </c>
      <c r="M4543" s="227" t="s">
        <v>158</v>
      </c>
      <c r="N4543" s="162" t="s">
        <v>554</v>
      </c>
      <c r="O4543" s="164">
        <v>45428.0</v>
      </c>
      <c r="P4543" s="164">
        <f t="array" ref="P4543">XLOOKUP('FACP$'!$B4543,'perfil de pagos'!$A$4:$A$46,'perfil de pagos'!$B$4:$B$46+'FACP$'!$D4543)</f>
        <v>45319</v>
      </c>
      <c r="Q4543" s="165">
        <f>IF(N4561="CANCELADO",0,IF(N4561="PAGADO",0,IF(ISBLANK(N4561),TODAY()-P4543)))</f>
        <v>0</v>
      </c>
      <c r="R4543" s="167"/>
      <c r="S4543" s="167">
        <v>2983.0</v>
      </c>
      <c r="T4543" s="168">
        <f t="shared" si="3"/>
        <v>135212.3376</v>
      </c>
      <c r="U4543" s="168">
        <f t="shared" si="4"/>
        <v>0</v>
      </c>
      <c r="V4543" s="168">
        <f t="shared" si="5"/>
        <v>0</v>
      </c>
      <c r="W4543" s="168">
        <f t="shared" si="6"/>
        <v>0</v>
      </c>
      <c r="X4543" s="168">
        <f t="shared" si="7"/>
        <v>0</v>
      </c>
      <c r="Y4543" s="168">
        <f t="shared" si="8"/>
        <v>0</v>
      </c>
      <c r="Z4543" s="168">
        <f t="shared" si="9"/>
        <v>0</v>
      </c>
    </row>
    <row r="4544" ht="15.0" customHeight="1">
      <c r="A4544" s="210" t="s">
        <v>5776</v>
      </c>
      <c r="B4544" s="209" t="s">
        <v>27</v>
      </c>
      <c r="C4544" s="209" t="s">
        <v>5773</v>
      </c>
      <c r="D4544" s="186">
        <v>45289.0</v>
      </c>
      <c r="E4544" s="210" t="s">
        <v>731</v>
      </c>
      <c r="F4544" s="211">
        <v>228519.78</v>
      </c>
      <c r="G4544" s="211">
        <f>'FACP$'!$F4544*0.16</f>
        <v>36563.1648</v>
      </c>
      <c r="H4544" s="231">
        <f t="shared" si="124"/>
        <v>265082.9448</v>
      </c>
      <c r="I4544" s="211"/>
      <c r="J4544" s="212">
        <f>'NCP$'!A305</f>
        <v>412</v>
      </c>
      <c r="K4544" s="211">
        <f>'NCP$'!H305</f>
        <v>9758.152</v>
      </c>
      <c r="L4544" s="298">
        <f>+'FACP$'!$H4544-'FACP$'!$I4544-'FACP$'!$K4544</f>
        <v>255324.7928</v>
      </c>
      <c r="M4544" s="227" t="s">
        <v>151</v>
      </c>
      <c r="N4544" s="162" t="s">
        <v>554</v>
      </c>
      <c r="O4544" s="164">
        <v>45602.0</v>
      </c>
      <c r="P4544" s="164">
        <f t="array" ref="P4544">XLOOKUP('FACP$'!$B4544,'perfil de pagos'!$A$4:$A$46,'perfil de pagos'!$B$4:$B$46+'FACP$'!$D4544)</f>
        <v>45319</v>
      </c>
      <c r="Q4544" s="165">
        <f t="shared" ref="Q4544:Q4560" si="126">IF(N4544="CANCELADO",0,IF(N4544="PAGADO",0,IF(ISBLANK(N4544),TODAY()-P4544)))</f>
        <v>0</v>
      </c>
      <c r="R4544" s="167"/>
      <c r="S4544" s="167">
        <v>3380.0</v>
      </c>
      <c r="T4544" s="168">
        <f t="shared" si="3"/>
        <v>255324.7928</v>
      </c>
      <c r="U4544" s="168">
        <f t="shared" si="4"/>
        <v>0</v>
      </c>
      <c r="V4544" s="168">
        <f t="shared" si="5"/>
        <v>0</v>
      </c>
      <c r="W4544" s="168">
        <f t="shared" si="6"/>
        <v>0</v>
      </c>
      <c r="X4544" s="168">
        <f t="shared" si="7"/>
        <v>0</v>
      </c>
      <c r="Y4544" s="168">
        <f t="shared" si="8"/>
        <v>0</v>
      </c>
      <c r="Z4544" s="168">
        <f t="shared" si="9"/>
        <v>0</v>
      </c>
    </row>
    <row r="4545" ht="15.0" customHeight="1">
      <c r="A4545" s="210" t="s">
        <v>5777</v>
      </c>
      <c r="B4545" s="209" t="s">
        <v>27</v>
      </c>
      <c r="C4545" s="209" t="s">
        <v>5775</v>
      </c>
      <c r="D4545" s="186">
        <v>45289.0</v>
      </c>
      <c r="E4545" s="210" t="s">
        <v>731</v>
      </c>
      <c r="F4545" s="211">
        <v>152657.28</v>
      </c>
      <c r="G4545" s="211">
        <f>'FACP$'!$F4545*0.16</f>
        <v>24425.1648</v>
      </c>
      <c r="H4545" s="250">
        <f t="shared" si="124"/>
        <v>177082.4448</v>
      </c>
      <c r="I4545" s="211"/>
      <c r="J4545" s="212"/>
      <c r="K4545" s="211"/>
      <c r="L4545" s="211">
        <f>+'FACP$'!$H4545-'FACP$'!$I4545-'FACP$'!$K4545</f>
        <v>177082.4448</v>
      </c>
      <c r="M4545" s="227" t="s">
        <v>151</v>
      </c>
      <c r="N4545" s="162" t="s">
        <v>554</v>
      </c>
      <c r="O4545" s="164">
        <v>45428.0</v>
      </c>
      <c r="P4545" s="164">
        <f t="array" ref="P4545">XLOOKUP('FACP$'!$B4545,'perfil de pagos'!$A$4:$A$46,'perfil de pagos'!$B$4:$B$46+'FACP$'!$D4545)</f>
        <v>45319</v>
      </c>
      <c r="Q4545" s="165">
        <f t="shared" si="126"/>
        <v>0</v>
      </c>
      <c r="R4545" s="167"/>
      <c r="S4545" s="167">
        <v>2984.0</v>
      </c>
      <c r="T4545" s="168">
        <f t="shared" si="3"/>
        <v>177082.4448</v>
      </c>
      <c r="U4545" s="168">
        <f t="shared" si="4"/>
        <v>0</v>
      </c>
      <c r="V4545" s="168">
        <f t="shared" si="5"/>
        <v>0</v>
      </c>
      <c r="W4545" s="168">
        <f t="shared" si="6"/>
        <v>0</v>
      </c>
      <c r="X4545" s="168">
        <f t="shared" si="7"/>
        <v>0</v>
      </c>
      <c r="Y4545" s="168">
        <f t="shared" si="8"/>
        <v>0</v>
      </c>
      <c r="Z4545" s="168">
        <f t="shared" si="9"/>
        <v>0</v>
      </c>
    </row>
    <row r="4546" ht="15.0" customHeight="1">
      <c r="A4546" s="210" t="s">
        <v>5778</v>
      </c>
      <c r="B4546" s="209" t="s">
        <v>27</v>
      </c>
      <c r="C4546" s="209" t="s">
        <v>5773</v>
      </c>
      <c r="D4546" s="186">
        <v>45289.0</v>
      </c>
      <c r="E4546" s="210" t="s">
        <v>731</v>
      </c>
      <c r="F4546" s="211">
        <v>6789.02</v>
      </c>
      <c r="G4546" s="211">
        <f>'FACP$'!$F4546*0.16</f>
        <v>1086.2432</v>
      </c>
      <c r="H4546" s="231">
        <f t="shared" si="124"/>
        <v>7875.2632</v>
      </c>
      <c r="I4546" s="211"/>
      <c r="J4546" s="212">
        <f>'NCP$'!A302</f>
        <v>409</v>
      </c>
      <c r="K4546" s="211">
        <f>'NCP$'!H302</f>
        <v>220.2608</v>
      </c>
      <c r="L4546" s="298">
        <f>+'FACP$'!$H4546-'FACP$'!$I4546-'FACP$'!$K4546</f>
        <v>7655.0024</v>
      </c>
      <c r="M4546" s="227" t="s">
        <v>151</v>
      </c>
      <c r="N4546" s="162" t="s">
        <v>554</v>
      </c>
      <c r="O4546" s="164">
        <v>45602.0</v>
      </c>
      <c r="P4546" s="164">
        <f t="array" ref="P4546">XLOOKUP('FACP$'!$B4546,'perfil de pagos'!$A$4:$A$46,'perfil de pagos'!$B$4:$B$46+'FACP$'!$D4546)</f>
        <v>45319</v>
      </c>
      <c r="Q4546" s="165">
        <f t="shared" si="126"/>
        <v>0</v>
      </c>
      <c r="R4546" s="167"/>
      <c r="S4546" s="167">
        <v>3380.0</v>
      </c>
      <c r="T4546" s="168">
        <f t="shared" si="3"/>
        <v>7655.0024</v>
      </c>
      <c r="U4546" s="168">
        <f t="shared" si="4"/>
        <v>0</v>
      </c>
      <c r="V4546" s="168">
        <f t="shared" si="5"/>
        <v>0</v>
      </c>
      <c r="W4546" s="168">
        <f t="shared" si="6"/>
        <v>0</v>
      </c>
      <c r="X4546" s="168">
        <f t="shared" si="7"/>
        <v>0</v>
      </c>
      <c r="Y4546" s="168">
        <f t="shared" si="8"/>
        <v>0</v>
      </c>
      <c r="Z4546" s="168">
        <f t="shared" si="9"/>
        <v>0</v>
      </c>
    </row>
    <row r="4547" ht="15.0" customHeight="1">
      <c r="A4547" s="210" t="s">
        <v>5779</v>
      </c>
      <c r="B4547" s="209" t="s">
        <v>27</v>
      </c>
      <c r="C4547" s="209" t="s">
        <v>5775</v>
      </c>
      <c r="D4547" s="186">
        <v>45289.0</v>
      </c>
      <c r="E4547" s="210" t="s">
        <v>731</v>
      </c>
      <c r="F4547" s="211">
        <v>8321.65</v>
      </c>
      <c r="G4547" s="211">
        <f>'FACP$'!$F4547*0.16</f>
        <v>1331.464</v>
      </c>
      <c r="H4547" s="250">
        <f t="shared" si="124"/>
        <v>9653.114</v>
      </c>
      <c r="I4547" s="211"/>
      <c r="J4547" s="212"/>
      <c r="K4547" s="211"/>
      <c r="L4547" s="211">
        <f>+'FACP$'!$H4547-'FACP$'!$I4547-'FACP$'!$K4547</f>
        <v>9653.114</v>
      </c>
      <c r="M4547" s="227" t="s">
        <v>151</v>
      </c>
      <c r="N4547" s="162" t="s">
        <v>554</v>
      </c>
      <c r="O4547" s="164">
        <v>45428.0</v>
      </c>
      <c r="P4547" s="164">
        <f t="array" ref="P4547">XLOOKUP('FACP$'!$B4547,'perfil de pagos'!$A$4:$A$46,'perfil de pagos'!$B$4:$B$46+'FACP$'!$D4547)</f>
        <v>45319</v>
      </c>
      <c r="Q4547" s="165">
        <f t="shared" si="126"/>
        <v>0</v>
      </c>
      <c r="R4547" s="167"/>
      <c r="S4547" s="167">
        <v>2984.0</v>
      </c>
      <c r="T4547" s="168">
        <f t="shared" si="3"/>
        <v>9653.114</v>
      </c>
      <c r="U4547" s="168">
        <f t="shared" si="4"/>
        <v>0</v>
      </c>
      <c r="V4547" s="168">
        <f t="shared" si="5"/>
        <v>0</v>
      </c>
      <c r="W4547" s="168">
        <f t="shared" si="6"/>
        <v>0</v>
      </c>
      <c r="X4547" s="168">
        <f t="shared" si="7"/>
        <v>0</v>
      </c>
      <c r="Y4547" s="168">
        <f t="shared" si="8"/>
        <v>0</v>
      </c>
      <c r="Z4547" s="168">
        <f t="shared" si="9"/>
        <v>0</v>
      </c>
    </row>
    <row r="4548" ht="15.0" customHeight="1">
      <c r="A4548" s="157" t="s">
        <v>5780</v>
      </c>
      <c r="B4548" s="158" t="s">
        <v>31</v>
      </c>
      <c r="C4548" s="158" t="s">
        <v>5781</v>
      </c>
      <c r="D4548" s="159">
        <v>45293.0</v>
      </c>
      <c r="E4548" s="157" t="s">
        <v>731</v>
      </c>
      <c r="F4548" s="160">
        <v>357210.0</v>
      </c>
      <c r="G4548" s="160">
        <f>'FACP$'!$F4548*0.16</f>
        <v>57153.6</v>
      </c>
      <c r="H4548" s="160">
        <f t="shared" si="124"/>
        <v>414363.6</v>
      </c>
      <c r="I4548" s="160"/>
      <c r="J4548" s="161">
        <v>364.0</v>
      </c>
      <c r="K4548" s="160">
        <f>'NCP$'!H268</f>
        <v>233366.1088</v>
      </c>
      <c r="L4548" s="160">
        <f>+'FACP$'!$H4548-'FACP$'!$I4548-'FACP$'!$K4548</f>
        <v>180997.4912</v>
      </c>
      <c r="M4548" s="162" t="s">
        <v>3183</v>
      </c>
      <c r="N4548" s="162"/>
      <c r="O4548" s="164"/>
      <c r="P4548" s="164">
        <f t="array" ref="P4548">XLOOKUP('FACP$'!$B4548,'perfil de pagos'!$A$4:$A$46,'perfil de pagos'!$B$4:$B$46+'FACP$'!$D4548)</f>
        <v>45296</v>
      </c>
      <c r="Q4548" s="165">
        <f t="shared" si="126"/>
        <v>493</v>
      </c>
      <c r="R4548" s="167"/>
      <c r="S4548" s="167"/>
      <c r="T4548" s="168">
        <f t="shared" si="3"/>
        <v>0</v>
      </c>
      <c r="U4548" s="168">
        <f t="shared" si="4"/>
        <v>0</v>
      </c>
      <c r="V4548" s="168">
        <f t="shared" si="5"/>
        <v>0</v>
      </c>
      <c r="W4548" s="168">
        <f t="shared" si="6"/>
        <v>0</v>
      </c>
      <c r="X4548" s="168">
        <f t="shared" si="7"/>
        <v>0</v>
      </c>
      <c r="Y4548" s="168">
        <f t="shared" si="8"/>
        <v>0</v>
      </c>
      <c r="Z4548" s="168">
        <f t="shared" si="9"/>
        <v>180997.4912</v>
      </c>
    </row>
    <row r="4549" ht="15.0" customHeight="1">
      <c r="A4549" s="157" t="s">
        <v>5782</v>
      </c>
      <c r="B4549" s="158" t="s">
        <v>28</v>
      </c>
      <c r="C4549" s="158" t="s">
        <v>5783</v>
      </c>
      <c r="D4549" s="159">
        <v>45294.0</v>
      </c>
      <c r="E4549" s="157" t="s">
        <v>731</v>
      </c>
      <c r="F4549" s="160">
        <v>629250.92</v>
      </c>
      <c r="G4549" s="160">
        <f>'FACP$'!$F4549*0.16</f>
        <v>100680.1472</v>
      </c>
      <c r="H4549" s="160">
        <f t="shared" si="124"/>
        <v>729931.0672</v>
      </c>
      <c r="I4549" s="160"/>
      <c r="J4549" s="161"/>
      <c r="K4549" s="160"/>
      <c r="L4549" s="160">
        <f>+'FACP$'!$H4549-'FACP$'!$I4549-'FACP$'!$K4549</f>
        <v>729931.0672</v>
      </c>
      <c r="M4549" s="162" t="s">
        <v>504</v>
      </c>
      <c r="N4549" s="162" t="s">
        <v>554</v>
      </c>
      <c r="O4549" s="164">
        <v>45301.0</v>
      </c>
      <c r="P4549" s="164">
        <f t="shared" ref="P4549:P4555" si="127">D4549+10</f>
        <v>45304</v>
      </c>
      <c r="Q4549" s="165">
        <f t="shared" si="126"/>
        <v>0</v>
      </c>
      <c r="R4549" s="167"/>
      <c r="S4549" s="167">
        <v>2724.0</v>
      </c>
      <c r="T4549" s="168">
        <f t="shared" si="3"/>
        <v>729931.0672</v>
      </c>
      <c r="U4549" s="168">
        <f t="shared" si="4"/>
        <v>0</v>
      </c>
      <c r="V4549" s="168">
        <f t="shared" si="5"/>
        <v>0</v>
      </c>
      <c r="W4549" s="168">
        <f t="shared" si="6"/>
        <v>0</v>
      </c>
      <c r="X4549" s="168">
        <f t="shared" si="7"/>
        <v>0</v>
      </c>
      <c r="Y4549" s="168">
        <f t="shared" si="8"/>
        <v>0</v>
      </c>
      <c r="Z4549" s="168">
        <f t="shared" si="9"/>
        <v>0</v>
      </c>
    </row>
    <row r="4550" ht="15.0" customHeight="1">
      <c r="A4550" s="157" t="s">
        <v>5784</v>
      </c>
      <c r="B4550" s="158" t="s">
        <v>31</v>
      </c>
      <c r="C4550" s="158" t="s">
        <v>5785</v>
      </c>
      <c r="D4550" s="159">
        <v>45294.0</v>
      </c>
      <c r="E4550" s="157" t="s">
        <v>731</v>
      </c>
      <c r="F4550" s="160">
        <v>357210.0</v>
      </c>
      <c r="G4550" s="160">
        <f>'FACP$'!$F4550*0.16</f>
        <v>57153.6</v>
      </c>
      <c r="H4550" s="160">
        <f t="shared" si="124"/>
        <v>414363.6</v>
      </c>
      <c r="I4550" s="160"/>
      <c r="J4550" s="161"/>
      <c r="K4550" s="160"/>
      <c r="L4550" s="160">
        <f>+'FACP$'!$H4550-'FACP$'!$I4550-'FACP$'!$K4550</f>
        <v>414363.6</v>
      </c>
      <c r="M4550" s="162" t="s">
        <v>3183</v>
      </c>
      <c r="N4550" s="162" t="s">
        <v>127</v>
      </c>
      <c r="O4550" s="164"/>
      <c r="P4550" s="164">
        <f t="shared" si="127"/>
        <v>45304</v>
      </c>
      <c r="Q4550" s="165">
        <f t="shared" si="126"/>
        <v>0</v>
      </c>
      <c r="R4550" s="167"/>
      <c r="S4550" s="167"/>
      <c r="T4550" s="168">
        <f t="shared" si="3"/>
        <v>414363.6</v>
      </c>
      <c r="U4550" s="168">
        <f t="shared" si="4"/>
        <v>0</v>
      </c>
      <c r="V4550" s="168">
        <f t="shared" si="5"/>
        <v>0</v>
      </c>
      <c r="W4550" s="168">
        <f t="shared" si="6"/>
        <v>0</v>
      </c>
      <c r="X4550" s="168">
        <f t="shared" si="7"/>
        <v>0</v>
      </c>
      <c r="Y4550" s="168">
        <f t="shared" si="8"/>
        <v>0</v>
      </c>
      <c r="Z4550" s="168">
        <f t="shared" si="9"/>
        <v>0</v>
      </c>
    </row>
    <row r="4551" ht="15.0" customHeight="1">
      <c r="A4551" s="157" t="s">
        <v>5786</v>
      </c>
      <c r="B4551" s="158" t="s">
        <v>32</v>
      </c>
      <c r="C4551" s="158" t="s">
        <v>5753</v>
      </c>
      <c r="D4551" s="159">
        <v>45295.0</v>
      </c>
      <c r="E4551" s="157" t="s">
        <v>731</v>
      </c>
      <c r="F4551" s="160">
        <v>312441.32</v>
      </c>
      <c r="G4551" s="160">
        <f>'FACP$'!$F4551*0.16</f>
        <v>49990.6112</v>
      </c>
      <c r="H4551" s="160">
        <f t="shared" si="124"/>
        <v>362431.9312</v>
      </c>
      <c r="I4551" s="160"/>
      <c r="J4551" s="161"/>
      <c r="K4551" s="160"/>
      <c r="L4551" s="160">
        <f>+'FACP$'!$H4551-'FACP$'!$I4551-'FACP$'!$K4551</f>
        <v>362431.9312</v>
      </c>
      <c r="M4551" s="162" t="s">
        <v>395</v>
      </c>
      <c r="N4551" s="162" t="s">
        <v>554</v>
      </c>
      <c r="O4551" s="164">
        <v>45404.0</v>
      </c>
      <c r="P4551" s="164">
        <f t="shared" si="127"/>
        <v>45305</v>
      </c>
      <c r="Q4551" s="165">
        <f t="shared" si="126"/>
        <v>0</v>
      </c>
      <c r="R4551" s="167"/>
      <c r="S4551" s="167">
        <v>2944.0</v>
      </c>
      <c r="T4551" s="168">
        <f t="shared" si="3"/>
        <v>362431.9312</v>
      </c>
      <c r="U4551" s="168">
        <f t="shared" si="4"/>
        <v>0</v>
      </c>
      <c r="V4551" s="168">
        <f t="shared" si="5"/>
        <v>0</v>
      </c>
      <c r="W4551" s="168">
        <f t="shared" si="6"/>
        <v>0</v>
      </c>
      <c r="X4551" s="168">
        <f t="shared" si="7"/>
        <v>0</v>
      </c>
      <c r="Y4551" s="168">
        <f t="shared" si="8"/>
        <v>0</v>
      </c>
      <c r="Z4551" s="168">
        <f t="shared" si="9"/>
        <v>0</v>
      </c>
    </row>
    <row r="4552" ht="15.0" customHeight="1">
      <c r="A4552" s="157" t="s">
        <v>5787</v>
      </c>
      <c r="B4552" s="158" t="s">
        <v>41</v>
      </c>
      <c r="C4552" s="158" t="s">
        <v>5753</v>
      </c>
      <c r="D4552" s="159">
        <v>45295.0</v>
      </c>
      <c r="E4552" s="157" t="s">
        <v>731</v>
      </c>
      <c r="F4552" s="160">
        <v>1043969.88</v>
      </c>
      <c r="G4552" s="160">
        <f>'FACP$'!$F4552*0.16</f>
        <v>167035.1808</v>
      </c>
      <c r="H4552" s="160">
        <f t="shared" si="124"/>
        <v>1211005.061</v>
      </c>
      <c r="I4552" s="160"/>
      <c r="J4552" s="161"/>
      <c r="K4552" s="160"/>
      <c r="L4552" s="160">
        <f>+'FACP$'!$H4552-'FACP$'!$I4552-'FACP$'!$K4552</f>
        <v>1211005.061</v>
      </c>
      <c r="M4552" s="162" t="s">
        <v>121</v>
      </c>
      <c r="N4552" s="162" t="s">
        <v>554</v>
      </c>
      <c r="O4552" s="164">
        <v>45343.0</v>
      </c>
      <c r="P4552" s="164">
        <f t="shared" si="127"/>
        <v>45305</v>
      </c>
      <c r="Q4552" s="165">
        <f t="shared" si="126"/>
        <v>0</v>
      </c>
      <c r="R4552" s="167"/>
      <c r="S4552" s="167">
        <v>2812.0</v>
      </c>
      <c r="T4552" s="168">
        <f t="shared" si="3"/>
        <v>1211005.061</v>
      </c>
      <c r="U4552" s="168">
        <f t="shared" si="4"/>
        <v>0</v>
      </c>
      <c r="V4552" s="168">
        <f t="shared" si="5"/>
        <v>0</v>
      </c>
      <c r="W4552" s="168">
        <f t="shared" si="6"/>
        <v>0</v>
      </c>
      <c r="X4552" s="168">
        <f t="shared" si="7"/>
        <v>0</v>
      </c>
      <c r="Y4552" s="168">
        <f t="shared" si="8"/>
        <v>0</v>
      </c>
      <c r="Z4552" s="168">
        <f t="shared" si="9"/>
        <v>0</v>
      </c>
    </row>
    <row r="4553" ht="15.0" customHeight="1">
      <c r="A4553" s="157" t="s">
        <v>5788</v>
      </c>
      <c r="B4553" s="158" t="s">
        <v>35</v>
      </c>
      <c r="C4553" s="158" t="s">
        <v>5753</v>
      </c>
      <c r="D4553" s="159">
        <v>45295.0</v>
      </c>
      <c r="E4553" s="157" t="s">
        <v>731</v>
      </c>
      <c r="F4553" s="160">
        <v>382684.13</v>
      </c>
      <c r="G4553" s="160">
        <f>'FACP$'!$F4553*0.16</f>
        <v>61229.4608</v>
      </c>
      <c r="H4553" s="160">
        <f t="shared" si="124"/>
        <v>443913.5908</v>
      </c>
      <c r="I4553" s="160"/>
      <c r="J4553" s="161"/>
      <c r="K4553" s="160"/>
      <c r="L4553" s="160">
        <f>+'FACP$'!$H4553-'FACP$'!$I4553-'FACP$'!$K4553</f>
        <v>443913.5908</v>
      </c>
      <c r="M4553" s="162" t="s">
        <v>276</v>
      </c>
      <c r="N4553" s="162" t="s">
        <v>554</v>
      </c>
      <c r="O4553" s="164">
        <v>45314.0</v>
      </c>
      <c r="P4553" s="164">
        <f t="shared" si="127"/>
        <v>45305</v>
      </c>
      <c r="Q4553" s="165">
        <f t="shared" si="126"/>
        <v>0</v>
      </c>
      <c r="R4553" s="167"/>
      <c r="S4553" s="167">
        <v>2753.0</v>
      </c>
      <c r="T4553" s="168">
        <f t="shared" si="3"/>
        <v>443913.5908</v>
      </c>
      <c r="U4553" s="168">
        <f t="shared" si="4"/>
        <v>0</v>
      </c>
      <c r="V4553" s="168">
        <f t="shared" si="5"/>
        <v>0</v>
      </c>
      <c r="W4553" s="168">
        <f t="shared" si="6"/>
        <v>0</v>
      </c>
      <c r="X4553" s="168">
        <f t="shared" si="7"/>
        <v>0</v>
      </c>
      <c r="Y4553" s="168">
        <f t="shared" si="8"/>
        <v>0</v>
      </c>
      <c r="Z4553" s="168">
        <f t="shared" si="9"/>
        <v>0</v>
      </c>
    </row>
    <row r="4554" ht="15.0" customHeight="1">
      <c r="A4554" s="157" t="s">
        <v>5789</v>
      </c>
      <c r="B4554" s="158" t="s">
        <v>36</v>
      </c>
      <c r="C4554" s="158" t="s">
        <v>5753</v>
      </c>
      <c r="D4554" s="159">
        <v>45295.0</v>
      </c>
      <c r="E4554" s="157" t="s">
        <v>731</v>
      </c>
      <c r="F4554" s="160">
        <v>175527.33</v>
      </c>
      <c r="G4554" s="160">
        <f>'FACP$'!$F4554*0.16</f>
        <v>28084.3728</v>
      </c>
      <c r="H4554" s="160">
        <f t="shared" si="124"/>
        <v>203611.7028</v>
      </c>
      <c r="I4554" s="160"/>
      <c r="J4554" s="161"/>
      <c r="K4554" s="160"/>
      <c r="L4554" s="160">
        <f>+'FACP$'!$H4554-'FACP$'!$I4554-'FACP$'!$K4554</f>
        <v>203611.7028</v>
      </c>
      <c r="M4554" s="162" t="s">
        <v>278</v>
      </c>
      <c r="N4554" s="162" t="s">
        <v>554</v>
      </c>
      <c r="O4554" s="164">
        <v>45306.0</v>
      </c>
      <c r="P4554" s="164">
        <f t="shared" si="127"/>
        <v>45305</v>
      </c>
      <c r="Q4554" s="165">
        <f t="shared" si="126"/>
        <v>0</v>
      </c>
      <c r="R4554" s="167"/>
      <c r="S4554" s="167">
        <v>2740.0</v>
      </c>
      <c r="T4554" s="168">
        <f t="shared" si="3"/>
        <v>203611.7028</v>
      </c>
      <c r="U4554" s="168">
        <f t="shared" si="4"/>
        <v>0</v>
      </c>
      <c r="V4554" s="168">
        <f t="shared" si="5"/>
        <v>0</v>
      </c>
      <c r="W4554" s="168">
        <f t="shared" si="6"/>
        <v>0</v>
      </c>
      <c r="X4554" s="168">
        <f t="shared" si="7"/>
        <v>0</v>
      </c>
      <c r="Y4554" s="168">
        <f t="shared" si="8"/>
        <v>0</v>
      </c>
      <c r="Z4554" s="168">
        <f t="shared" si="9"/>
        <v>0</v>
      </c>
    </row>
    <row r="4555" ht="15.0" customHeight="1">
      <c r="A4555" s="157" t="s">
        <v>5790</v>
      </c>
      <c r="B4555" s="158" t="s">
        <v>36</v>
      </c>
      <c r="C4555" s="158" t="s">
        <v>5755</v>
      </c>
      <c r="D4555" s="159">
        <v>45295.0</v>
      </c>
      <c r="E4555" s="157" t="s">
        <v>731</v>
      </c>
      <c r="F4555" s="160">
        <v>160131.63</v>
      </c>
      <c r="G4555" s="160">
        <f>'FACP$'!$F4555*0.16</f>
        <v>25621.0608</v>
      </c>
      <c r="H4555" s="160">
        <f t="shared" si="124"/>
        <v>185752.6908</v>
      </c>
      <c r="I4555" s="160"/>
      <c r="J4555" s="161"/>
      <c r="K4555" s="160"/>
      <c r="L4555" s="160">
        <f>+'FACP$'!$H4555-'FACP$'!$I4555-'FACP$'!$K4555</f>
        <v>185752.6908</v>
      </c>
      <c r="M4555" s="162" t="s">
        <v>278</v>
      </c>
      <c r="N4555" s="162" t="s">
        <v>554</v>
      </c>
      <c r="O4555" s="164">
        <v>45306.0</v>
      </c>
      <c r="P4555" s="164">
        <f t="shared" si="127"/>
        <v>45305</v>
      </c>
      <c r="Q4555" s="165">
        <f t="shared" si="126"/>
        <v>0</v>
      </c>
      <c r="R4555" s="167"/>
      <c r="S4555" s="167">
        <v>2739.0</v>
      </c>
      <c r="T4555" s="168">
        <f t="shared" si="3"/>
        <v>185752.6908</v>
      </c>
      <c r="U4555" s="168">
        <f t="shared" si="4"/>
        <v>0</v>
      </c>
      <c r="V4555" s="168">
        <f t="shared" si="5"/>
        <v>0</v>
      </c>
      <c r="W4555" s="168">
        <f t="shared" si="6"/>
        <v>0</v>
      </c>
      <c r="X4555" s="168">
        <f t="shared" si="7"/>
        <v>0</v>
      </c>
      <c r="Y4555" s="168">
        <f t="shared" si="8"/>
        <v>0</v>
      </c>
      <c r="Z4555" s="168">
        <f t="shared" si="9"/>
        <v>0</v>
      </c>
    </row>
    <row r="4556" ht="15.0" customHeight="1">
      <c r="A4556" s="157" t="s">
        <v>5791</v>
      </c>
      <c r="B4556" s="158" t="s">
        <v>31</v>
      </c>
      <c r="C4556" s="158" t="s">
        <v>5753</v>
      </c>
      <c r="D4556" s="159">
        <v>45295.0</v>
      </c>
      <c r="E4556" s="157" t="s">
        <v>731</v>
      </c>
      <c r="F4556" s="160">
        <v>92288.14</v>
      </c>
      <c r="G4556" s="160">
        <f>'FACP$'!$F4556*0.16</f>
        <v>14766.1024</v>
      </c>
      <c r="H4556" s="160">
        <f t="shared" si="124"/>
        <v>107054.2424</v>
      </c>
      <c r="I4556" s="160"/>
      <c r="J4556" s="161"/>
      <c r="K4556" s="160"/>
      <c r="L4556" s="160">
        <f>+'FACP$'!$H4556-'FACP$'!$I4556-'FACP$'!$K4556</f>
        <v>107054.2424</v>
      </c>
      <c r="M4556" s="162" t="s">
        <v>3183</v>
      </c>
      <c r="N4556" s="162"/>
      <c r="O4556" s="164"/>
      <c r="P4556" s="164">
        <f t="array" ref="P4556">XLOOKUP('FACP$'!$B4556,'perfil de pagos'!$A$4:$A$46,'perfil de pagos'!$B$4:$B$46+'FACP$'!$D4556)</f>
        <v>45298</v>
      </c>
      <c r="Q4556" s="165">
        <f t="shared" si="126"/>
        <v>491</v>
      </c>
      <c r="R4556" s="167"/>
      <c r="S4556" s="167"/>
      <c r="T4556" s="168">
        <f t="shared" si="3"/>
        <v>0</v>
      </c>
      <c r="U4556" s="168">
        <f t="shared" si="4"/>
        <v>0</v>
      </c>
      <c r="V4556" s="168">
        <f t="shared" si="5"/>
        <v>0</v>
      </c>
      <c r="W4556" s="168">
        <f t="shared" si="6"/>
        <v>0</v>
      </c>
      <c r="X4556" s="168">
        <f t="shared" si="7"/>
        <v>0</v>
      </c>
      <c r="Y4556" s="168">
        <f t="shared" si="8"/>
        <v>0</v>
      </c>
      <c r="Z4556" s="168">
        <f t="shared" si="9"/>
        <v>107054.2424</v>
      </c>
    </row>
    <row r="4557" ht="15.0" customHeight="1">
      <c r="A4557" s="157" t="s">
        <v>5792</v>
      </c>
      <c r="B4557" s="158" t="s">
        <v>42</v>
      </c>
      <c r="C4557" s="158" t="s">
        <v>5753</v>
      </c>
      <c r="D4557" s="159">
        <v>45295.0</v>
      </c>
      <c r="E4557" s="157" t="s">
        <v>731</v>
      </c>
      <c r="F4557" s="160">
        <v>223964.85</v>
      </c>
      <c r="G4557" s="160">
        <f>'FACP$'!$F4557*0.16</f>
        <v>35834.376</v>
      </c>
      <c r="H4557" s="160">
        <f t="shared" si="124"/>
        <v>259799.226</v>
      </c>
      <c r="I4557" s="160"/>
      <c r="J4557" s="161"/>
      <c r="K4557" s="160"/>
      <c r="L4557" s="160">
        <f>+'FACP$'!$H4557-'FACP$'!$I4557-'FACP$'!$K4557</f>
        <v>259799.226</v>
      </c>
      <c r="M4557" s="162" t="s">
        <v>42</v>
      </c>
      <c r="N4557" s="162" t="s">
        <v>554</v>
      </c>
      <c r="O4557" s="164">
        <v>45323.0</v>
      </c>
      <c r="P4557" s="164">
        <f t="array" ref="P4557">XLOOKUP('FACP$'!$B4557,'perfil de pagos'!$A$4:$A$46,'perfil de pagos'!$B$4:$B$46+'FACP$'!$D4557)</f>
        <v>45305</v>
      </c>
      <c r="Q4557" s="165">
        <f t="shared" si="126"/>
        <v>0</v>
      </c>
      <c r="R4557" s="167"/>
      <c r="S4557" s="167">
        <v>2776.0</v>
      </c>
      <c r="T4557" s="168">
        <f t="shared" si="3"/>
        <v>259799.226</v>
      </c>
      <c r="U4557" s="168">
        <f t="shared" si="4"/>
        <v>0</v>
      </c>
      <c r="V4557" s="168">
        <f t="shared" si="5"/>
        <v>0</v>
      </c>
      <c r="W4557" s="168">
        <f t="shared" si="6"/>
        <v>0</v>
      </c>
      <c r="X4557" s="168">
        <f t="shared" si="7"/>
        <v>0</v>
      </c>
      <c r="Y4557" s="168">
        <f t="shared" si="8"/>
        <v>0</v>
      </c>
      <c r="Z4557" s="168">
        <f t="shared" si="9"/>
        <v>0</v>
      </c>
    </row>
    <row r="4558" ht="15.0" customHeight="1">
      <c r="A4558" s="157" t="s">
        <v>5793</v>
      </c>
      <c r="B4558" s="158" t="s">
        <v>43</v>
      </c>
      <c r="C4558" s="158" t="s">
        <v>5753</v>
      </c>
      <c r="D4558" s="159">
        <v>45295.0</v>
      </c>
      <c r="E4558" s="157" t="s">
        <v>731</v>
      </c>
      <c r="F4558" s="160">
        <v>1515294.23</v>
      </c>
      <c r="G4558" s="160">
        <f>'FACP$'!$F4558*0.16</f>
        <v>242447.0768</v>
      </c>
      <c r="H4558" s="160">
        <f t="shared" si="124"/>
        <v>1757741.307</v>
      </c>
      <c r="I4558" s="160"/>
      <c r="J4558" s="161"/>
      <c r="K4558" s="160"/>
      <c r="L4558" s="160">
        <f>+'FACP$'!$H4558-'FACP$'!$I4558-'FACP$'!$K4558</f>
        <v>1757741.307</v>
      </c>
      <c r="M4558" s="162" t="s">
        <v>43</v>
      </c>
      <c r="N4558" s="162" t="s">
        <v>554</v>
      </c>
      <c r="O4558" s="164">
        <v>45331.0</v>
      </c>
      <c r="P4558" s="164">
        <f t="array" ref="P4558">XLOOKUP('FACP$'!$B4558,'perfil de pagos'!$A$4:$A$46,'perfil de pagos'!$B$4:$B$46+'FACP$'!$D4558)</f>
        <v>45320</v>
      </c>
      <c r="Q4558" s="165">
        <f t="shared" si="126"/>
        <v>0</v>
      </c>
      <c r="R4558" s="167"/>
      <c r="S4558" s="167"/>
      <c r="T4558" s="168">
        <f t="shared" si="3"/>
        <v>1757741.307</v>
      </c>
      <c r="U4558" s="168">
        <f t="shared" si="4"/>
        <v>0</v>
      </c>
      <c r="V4558" s="168">
        <f t="shared" si="5"/>
        <v>0</v>
      </c>
      <c r="W4558" s="168">
        <f t="shared" si="6"/>
        <v>0</v>
      </c>
      <c r="X4558" s="168">
        <f t="shared" si="7"/>
        <v>0</v>
      </c>
      <c r="Y4558" s="168">
        <f t="shared" si="8"/>
        <v>0</v>
      </c>
      <c r="Z4558" s="168">
        <f t="shared" si="9"/>
        <v>0</v>
      </c>
    </row>
    <row r="4559" ht="15.0" customHeight="1">
      <c r="A4559" s="157" t="s">
        <v>5794</v>
      </c>
      <c r="B4559" s="158" t="s">
        <v>43</v>
      </c>
      <c r="C4559" s="158" t="s">
        <v>5755</v>
      </c>
      <c r="D4559" s="159">
        <v>45295.0</v>
      </c>
      <c r="E4559" s="157" t="s">
        <v>731</v>
      </c>
      <c r="F4559" s="160">
        <v>1678244.92</v>
      </c>
      <c r="G4559" s="160">
        <f>'FACP$'!$F4559*0.16</f>
        <v>268519.1872</v>
      </c>
      <c r="H4559" s="160">
        <f t="shared" si="124"/>
        <v>1946764.107</v>
      </c>
      <c r="I4559" s="160"/>
      <c r="J4559" s="161"/>
      <c r="K4559" s="160"/>
      <c r="L4559" s="160">
        <f>+'FACP$'!$H4559-'FACP$'!$I4559-'FACP$'!$K4559</f>
        <v>1946764.107</v>
      </c>
      <c r="M4559" s="162" t="s">
        <v>43</v>
      </c>
      <c r="N4559" s="162" t="s">
        <v>554</v>
      </c>
      <c r="O4559" s="164">
        <v>45344.0</v>
      </c>
      <c r="P4559" s="164">
        <f t="array" ref="P4559">XLOOKUP('FACP$'!$B4559,'perfil de pagos'!$A$4:$A$46,'perfil de pagos'!$B$4:$B$46+'FACP$'!$D4559)</f>
        <v>45320</v>
      </c>
      <c r="Q4559" s="165">
        <f t="shared" si="126"/>
        <v>0</v>
      </c>
      <c r="R4559" s="167"/>
      <c r="S4559" s="167">
        <v>2813.0</v>
      </c>
      <c r="T4559" s="168">
        <f t="shared" si="3"/>
        <v>1946764.107</v>
      </c>
      <c r="U4559" s="168">
        <f t="shared" si="4"/>
        <v>0</v>
      </c>
      <c r="V4559" s="168">
        <f t="shared" si="5"/>
        <v>0</v>
      </c>
      <c r="W4559" s="168">
        <f t="shared" si="6"/>
        <v>0</v>
      </c>
      <c r="X4559" s="168">
        <f t="shared" si="7"/>
        <v>0</v>
      </c>
      <c r="Y4559" s="168">
        <f t="shared" si="8"/>
        <v>0</v>
      </c>
      <c r="Z4559" s="168">
        <f t="shared" si="9"/>
        <v>0</v>
      </c>
    </row>
    <row r="4560" ht="15.0" customHeight="1">
      <c r="A4560" s="157" t="s">
        <v>5795</v>
      </c>
      <c r="B4560" s="158" t="s">
        <v>44</v>
      </c>
      <c r="C4560" s="158" t="s">
        <v>5753</v>
      </c>
      <c r="D4560" s="159">
        <v>45295.0</v>
      </c>
      <c r="E4560" s="157" t="s">
        <v>731</v>
      </c>
      <c r="F4560" s="160">
        <v>270831.16</v>
      </c>
      <c r="G4560" s="160">
        <f>'FACP$'!$F4560*0.16</f>
        <v>43332.9856</v>
      </c>
      <c r="H4560" s="160">
        <f t="shared" si="124"/>
        <v>314164.1456</v>
      </c>
      <c r="I4560" s="160"/>
      <c r="J4560" s="161"/>
      <c r="K4560" s="160"/>
      <c r="L4560" s="160">
        <f>+'FACP$'!$H4560-'FACP$'!$I4560-'FACP$'!$K4560</f>
        <v>314164.1456</v>
      </c>
      <c r="M4560" s="162" t="s">
        <v>361</v>
      </c>
      <c r="N4560" s="162" t="s">
        <v>554</v>
      </c>
      <c r="O4560" s="164">
        <v>45302.0</v>
      </c>
      <c r="P4560" s="164">
        <f t="array" ref="P4560">XLOOKUP('FACP$'!$B4560,'perfil de pagos'!$A$4:$A$46,'perfil de pagos'!$B$4:$B$46+'FACP$'!$D4560)</f>
        <v>45305</v>
      </c>
      <c r="Q4560" s="165">
        <f t="shared" si="126"/>
        <v>0</v>
      </c>
      <c r="R4560" s="167"/>
      <c r="S4560" s="167">
        <v>2731.0</v>
      </c>
      <c r="T4560" s="168">
        <f t="shared" si="3"/>
        <v>314164.1456</v>
      </c>
      <c r="U4560" s="168">
        <f t="shared" si="4"/>
        <v>0</v>
      </c>
      <c r="V4560" s="168">
        <f t="shared" si="5"/>
        <v>0</v>
      </c>
      <c r="W4560" s="168">
        <f t="shared" si="6"/>
        <v>0</v>
      </c>
      <c r="X4560" s="168">
        <f t="shared" si="7"/>
        <v>0</v>
      </c>
      <c r="Y4560" s="168">
        <f t="shared" si="8"/>
        <v>0</v>
      </c>
      <c r="Z4560" s="168">
        <f t="shared" si="9"/>
        <v>0</v>
      </c>
    </row>
    <row r="4561" ht="15.0" customHeight="1">
      <c r="A4561" s="210" t="s">
        <v>5796</v>
      </c>
      <c r="B4561" s="209" t="s">
        <v>27</v>
      </c>
      <c r="C4561" s="209" t="s">
        <v>5775</v>
      </c>
      <c r="D4561" s="186">
        <v>45295.0</v>
      </c>
      <c r="E4561" s="210" t="s">
        <v>731</v>
      </c>
      <c r="F4561" s="211">
        <v>3897.72</v>
      </c>
      <c r="G4561" s="211">
        <f>'FACP$'!$F4561*0.16</f>
        <v>623.6352</v>
      </c>
      <c r="H4561" s="211">
        <f t="shared" si="124"/>
        <v>4521.3552</v>
      </c>
      <c r="I4561" s="211"/>
      <c r="J4561" s="212"/>
      <c r="K4561" s="211"/>
      <c r="L4561" s="211">
        <f>+'FACP$'!$H4561-'FACP$'!$I4561-'FACP$'!$K4561</f>
        <v>4521.3552</v>
      </c>
      <c r="M4561" s="227" t="s">
        <v>158</v>
      </c>
      <c r="N4561" s="162" t="s">
        <v>554</v>
      </c>
      <c r="O4561" s="164">
        <v>45428.0</v>
      </c>
      <c r="P4561" s="164">
        <f t="array" ref="P4561">XLOOKUP('FACP$'!$B4561,'perfil de pagos'!$A$4:$A$46,'perfil de pagos'!$B$4:$B$46+'FACP$'!$D4561)</f>
        <v>45325</v>
      </c>
      <c r="Q4561" s="165">
        <f>IF(N4579="CANCELADO",0,IF(N4579="PAGADO",0,IF(ISBLANK(N4579),TODAY()-P4561)))</f>
        <v>0</v>
      </c>
      <c r="R4561" s="167"/>
      <c r="S4561" s="167">
        <v>2983.0</v>
      </c>
      <c r="T4561" s="168">
        <f t="shared" si="3"/>
        <v>4521.3552</v>
      </c>
      <c r="U4561" s="168">
        <f t="shared" si="4"/>
        <v>0</v>
      </c>
      <c r="V4561" s="168">
        <f t="shared" si="5"/>
        <v>0</v>
      </c>
      <c r="W4561" s="168">
        <f t="shared" si="6"/>
        <v>0</v>
      </c>
      <c r="X4561" s="168">
        <f t="shared" si="7"/>
        <v>0</v>
      </c>
      <c r="Y4561" s="168">
        <f t="shared" si="8"/>
        <v>0</v>
      </c>
      <c r="Z4561" s="168">
        <f t="shared" si="9"/>
        <v>0</v>
      </c>
    </row>
    <row r="4562" ht="15.0" customHeight="1">
      <c r="A4562" s="210" t="s">
        <v>5797</v>
      </c>
      <c r="B4562" s="209" t="s">
        <v>27</v>
      </c>
      <c r="C4562" s="209" t="s">
        <v>5775</v>
      </c>
      <c r="D4562" s="186">
        <v>45295.0</v>
      </c>
      <c r="E4562" s="210" t="s">
        <v>731</v>
      </c>
      <c r="F4562" s="211">
        <v>8427.98</v>
      </c>
      <c r="G4562" s="211">
        <f>'FACP$'!$F4562*0.16</f>
        <v>1348.4768</v>
      </c>
      <c r="H4562" s="250">
        <f t="shared" si="124"/>
        <v>9776.4568</v>
      </c>
      <c r="I4562" s="211"/>
      <c r="J4562" s="212"/>
      <c r="K4562" s="211"/>
      <c r="L4562" s="211">
        <f>+'FACP$'!$H4562-'FACP$'!$I4562-'FACP$'!$K4562</f>
        <v>9776.4568</v>
      </c>
      <c r="M4562" s="227" t="s">
        <v>151</v>
      </c>
      <c r="N4562" s="162" t="s">
        <v>554</v>
      </c>
      <c r="O4562" s="164">
        <v>45428.0</v>
      </c>
      <c r="P4562" s="164">
        <f t="array" ref="P4562">XLOOKUP('FACP$'!$B4562,'perfil de pagos'!$A$4:$A$46,'perfil de pagos'!$B$4:$B$46+'FACP$'!$D4562)</f>
        <v>45325</v>
      </c>
      <c r="Q4562" s="165">
        <f t="shared" ref="Q4562:Q5805" si="128">IF(N4562="CANCELADO",0,IF(N4562="PAGADO",0,IF(ISBLANK(N4562),TODAY()-P4562)))</f>
        <v>0</v>
      </c>
      <c r="R4562" s="167"/>
      <c r="S4562" s="167">
        <v>2984.0</v>
      </c>
      <c r="T4562" s="168">
        <f t="shared" si="3"/>
        <v>9776.4568</v>
      </c>
      <c r="U4562" s="168">
        <f t="shared" si="4"/>
        <v>0</v>
      </c>
      <c r="V4562" s="168">
        <f t="shared" si="5"/>
        <v>0</v>
      </c>
      <c r="W4562" s="168">
        <f t="shared" si="6"/>
        <v>0</v>
      </c>
      <c r="X4562" s="168">
        <f t="shared" si="7"/>
        <v>0</v>
      </c>
      <c r="Y4562" s="168">
        <f t="shared" si="8"/>
        <v>0</v>
      </c>
      <c r="Z4562" s="168">
        <f t="shared" si="9"/>
        <v>0</v>
      </c>
    </row>
    <row r="4563" ht="15.0" customHeight="1">
      <c r="A4563" s="210" t="s">
        <v>5798</v>
      </c>
      <c r="B4563" s="209" t="s">
        <v>27</v>
      </c>
      <c r="C4563" s="209" t="s">
        <v>5775</v>
      </c>
      <c r="D4563" s="186">
        <v>45295.0</v>
      </c>
      <c r="E4563" s="210" t="s">
        <v>731</v>
      </c>
      <c r="F4563" s="211">
        <v>607.51</v>
      </c>
      <c r="G4563" s="211">
        <f>'FACP$'!$F4563*0.16</f>
        <v>97.2016</v>
      </c>
      <c r="H4563" s="250">
        <f t="shared" si="124"/>
        <v>704.7116</v>
      </c>
      <c r="I4563" s="211"/>
      <c r="J4563" s="212"/>
      <c r="K4563" s="211"/>
      <c r="L4563" s="211">
        <f>+'FACP$'!$H4563-'FACP$'!$I4563-'FACP$'!$K4563</f>
        <v>704.7116</v>
      </c>
      <c r="M4563" s="227" t="s">
        <v>151</v>
      </c>
      <c r="N4563" s="162" t="s">
        <v>554</v>
      </c>
      <c r="O4563" s="164">
        <v>45428.0</v>
      </c>
      <c r="P4563" s="164">
        <f t="array" ref="P4563">XLOOKUP('FACP$'!$B4563,'perfil de pagos'!$A$4:$A$46,'perfil de pagos'!$B$4:$B$46+'FACP$'!$D4563)</f>
        <v>45325</v>
      </c>
      <c r="Q4563" s="165">
        <f t="shared" si="128"/>
        <v>0</v>
      </c>
      <c r="R4563" s="167"/>
      <c r="S4563" s="220">
        <v>2984.0</v>
      </c>
      <c r="T4563" s="168">
        <f t="shared" si="3"/>
        <v>704.7116</v>
      </c>
      <c r="U4563" s="168">
        <f t="shared" si="4"/>
        <v>0</v>
      </c>
      <c r="V4563" s="168">
        <f t="shared" si="5"/>
        <v>0</v>
      </c>
      <c r="W4563" s="168">
        <f t="shared" si="6"/>
        <v>0</v>
      </c>
      <c r="X4563" s="168">
        <f t="shared" si="7"/>
        <v>0</v>
      </c>
      <c r="Y4563" s="168">
        <f t="shared" si="8"/>
        <v>0</v>
      </c>
      <c r="Z4563" s="168">
        <f t="shared" si="9"/>
        <v>0</v>
      </c>
    </row>
    <row r="4564" ht="15.0" customHeight="1">
      <c r="A4564" s="157" t="s">
        <v>5799</v>
      </c>
      <c r="B4564" s="158" t="s">
        <v>38</v>
      </c>
      <c r="C4564" s="158" t="s">
        <v>5753</v>
      </c>
      <c r="D4564" s="159">
        <v>45295.0</v>
      </c>
      <c r="E4564" s="157" t="s">
        <v>731</v>
      </c>
      <c r="F4564" s="160">
        <v>144028.43</v>
      </c>
      <c r="G4564" s="160">
        <f>'FACP$'!$F4564*0.16</f>
        <v>23044.5488</v>
      </c>
      <c r="H4564" s="160">
        <f t="shared" si="124"/>
        <v>167072.9788</v>
      </c>
      <c r="I4564" s="160"/>
      <c r="J4564" s="161"/>
      <c r="K4564" s="160"/>
      <c r="L4564" s="160">
        <f>+'FACP$'!$H4564-'FACP$'!$I4564-'FACP$'!$K4564</f>
        <v>167072.9788</v>
      </c>
      <c r="M4564" s="162" t="s">
        <v>4654</v>
      </c>
      <c r="N4564" s="162" t="s">
        <v>554</v>
      </c>
      <c r="O4564" s="164">
        <v>45330.0</v>
      </c>
      <c r="P4564" s="164">
        <f t="array" ref="P4564">XLOOKUP('FACP$'!$B4564,'perfil de pagos'!$A$4:$A$46,'perfil de pagos'!$B$4:$B$46+'FACP$'!$D4564)</f>
        <v>45325</v>
      </c>
      <c r="Q4564" s="165">
        <f t="shared" si="128"/>
        <v>0</v>
      </c>
      <c r="R4564" s="167"/>
      <c r="S4564" s="167">
        <v>2788.0</v>
      </c>
      <c r="T4564" s="168">
        <f t="shared" si="3"/>
        <v>167072.9788</v>
      </c>
      <c r="U4564" s="168">
        <f t="shared" si="4"/>
        <v>0</v>
      </c>
      <c r="V4564" s="168">
        <f t="shared" si="5"/>
        <v>0</v>
      </c>
      <c r="W4564" s="168">
        <f t="shared" si="6"/>
        <v>0</v>
      </c>
      <c r="X4564" s="168">
        <f t="shared" si="7"/>
        <v>0</v>
      </c>
      <c r="Y4564" s="168">
        <f t="shared" si="8"/>
        <v>0</v>
      </c>
      <c r="Z4564" s="168">
        <f t="shared" si="9"/>
        <v>0</v>
      </c>
    </row>
    <row r="4565" ht="15.0" customHeight="1">
      <c r="A4565" s="157" t="s">
        <v>5800</v>
      </c>
      <c r="B4565" s="158" t="s">
        <v>38</v>
      </c>
      <c r="C4565" s="158" t="s">
        <v>5753</v>
      </c>
      <c r="D4565" s="159">
        <v>45295.0</v>
      </c>
      <c r="E4565" s="157" t="s">
        <v>731</v>
      </c>
      <c r="F4565" s="160">
        <v>55017.99</v>
      </c>
      <c r="G4565" s="160">
        <f>'FACP$'!$F4565*0.16</f>
        <v>8802.8784</v>
      </c>
      <c r="H4565" s="160">
        <f t="shared" si="124"/>
        <v>63820.8684</v>
      </c>
      <c r="I4565" s="160"/>
      <c r="J4565" s="161"/>
      <c r="K4565" s="160"/>
      <c r="L4565" s="160">
        <f>+'FACP$'!$H4565-'FACP$'!$I4565-'FACP$'!$K4565</f>
        <v>63820.8684</v>
      </c>
      <c r="M4565" s="162" t="s">
        <v>4707</v>
      </c>
      <c r="N4565" s="162" t="s">
        <v>554</v>
      </c>
      <c r="O4565" s="164">
        <v>45330.0</v>
      </c>
      <c r="P4565" s="164">
        <f t="array" ref="P4565">XLOOKUP('FACP$'!$B4565,'perfil de pagos'!$A$4:$A$46,'perfil de pagos'!$B$4:$B$46+'FACP$'!$D4565)</f>
        <v>45325</v>
      </c>
      <c r="Q4565" s="165">
        <f t="shared" si="128"/>
        <v>0</v>
      </c>
      <c r="R4565" s="167"/>
      <c r="S4565" s="167">
        <v>2788.0</v>
      </c>
      <c r="T4565" s="168">
        <f t="shared" si="3"/>
        <v>63820.8684</v>
      </c>
      <c r="U4565" s="168">
        <f t="shared" si="4"/>
        <v>0</v>
      </c>
      <c r="V4565" s="168">
        <f t="shared" si="5"/>
        <v>0</v>
      </c>
      <c r="W4565" s="168">
        <f t="shared" si="6"/>
        <v>0</v>
      </c>
      <c r="X4565" s="168">
        <f t="shared" si="7"/>
        <v>0</v>
      </c>
      <c r="Y4565" s="168">
        <f t="shared" si="8"/>
        <v>0</v>
      </c>
      <c r="Z4565" s="168">
        <f t="shared" si="9"/>
        <v>0</v>
      </c>
    </row>
    <row r="4566" ht="15.0" customHeight="1">
      <c r="A4566" s="157" t="s">
        <v>5801</v>
      </c>
      <c r="B4566" s="158" t="s">
        <v>38</v>
      </c>
      <c r="C4566" s="158" t="s">
        <v>5755</v>
      </c>
      <c r="D4566" s="159">
        <v>45295.0</v>
      </c>
      <c r="E4566" s="157" t="s">
        <v>731</v>
      </c>
      <c r="F4566" s="160">
        <v>85475.21</v>
      </c>
      <c r="G4566" s="160">
        <f>'FACP$'!$F4566*0.16</f>
        <v>13676.0336</v>
      </c>
      <c r="H4566" s="160">
        <f t="shared" si="124"/>
        <v>99151.2436</v>
      </c>
      <c r="I4566" s="160"/>
      <c r="J4566" s="161"/>
      <c r="K4566" s="160"/>
      <c r="L4566" s="160">
        <f>+'FACP$'!$H4566-'FACP$'!$I4566-'FACP$'!$K4566</f>
        <v>99151.2436</v>
      </c>
      <c r="M4566" s="162" t="s">
        <v>4707</v>
      </c>
      <c r="N4566" s="162" t="s">
        <v>554</v>
      </c>
      <c r="O4566" s="164">
        <v>45330.0</v>
      </c>
      <c r="P4566" s="164">
        <f>D4566+10</f>
        <v>45305</v>
      </c>
      <c r="Q4566" s="165">
        <f t="shared" si="128"/>
        <v>0</v>
      </c>
      <c r="R4566" s="167"/>
      <c r="S4566" s="167">
        <v>2788.0</v>
      </c>
      <c r="T4566" s="168">
        <f t="shared" si="3"/>
        <v>99151.2436</v>
      </c>
      <c r="U4566" s="168">
        <f t="shared" si="4"/>
        <v>0</v>
      </c>
      <c r="V4566" s="168">
        <f t="shared" si="5"/>
        <v>0</v>
      </c>
      <c r="W4566" s="168">
        <f t="shared" si="6"/>
        <v>0</v>
      </c>
      <c r="X4566" s="168">
        <f t="shared" si="7"/>
        <v>0</v>
      </c>
      <c r="Y4566" s="168">
        <f t="shared" si="8"/>
        <v>0</v>
      </c>
      <c r="Z4566" s="168">
        <f t="shared" si="9"/>
        <v>0</v>
      </c>
    </row>
    <row r="4567" ht="15.0" customHeight="1">
      <c r="A4567" s="157" t="s">
        <v>5802</v>
      </c>
      <c r="B4567" s="158" t="s">
        <v>27</v>
      </c>
      <c r="C4567" s="158" t="s">
        <v>5803</v>
      </c>
      <c r="D4567" s="159">
        <v>45296.0</v>
      </c>
      <c r="E4567" s="157" t="s">
        <v>731</v>
      </c>
      <c r="F4567" s="160">
        <v>31000.0</v>
      </c>
      <c r="G4567" s="160">
        <f>'FACP$'!$F4567*0.16</f>
        <v>4960</v>
      </c>
      <c r="H4567" s="160">
        <f t="shared" si="124"/>
        <v>35960</v>
      </c>
      <c r="I4567" s="160"/>
      <c r="J4567" s="161"/>
      <c r="K4567" s="160"/>
      <c r="L4567" s="160">
        <f>+'FACP$'!$H4567-'FACP$'!$I4567-'FACP$'!$K4567</f>
        <v>35960</v>
      </c>
      <c r="M4567" s="162" t="s">
        <v>5804</v>
      </c>
      <c r="N4567" s="162" t="s">
        <v>554</v>
      </c>
      <c r="O4567" s="164">
        <v>45302.0</v>
      </c>
      <c r="P4567" s="164">
        <f t="array" ref="P4567">XLOOKUP('FACP$'!$B4567,'perfil de pagos'!$A$4:$A$46,'perfil de pagos'!$B$4:$B$46+'FACP$'!$D4567)</f>
        <v>45326</v>
      </c>
      <c r="Q4567" s="165">
        <f t="shared" si="128"/>
        <v>0</v>
      </c>
      <c r="R4567" s="167"/>
      <c r="S4567" s="220" t="s">
        <v>466</v>
      </c>
      <c r="T4567" s="168">
        <f t="shared" si="3"/>
        <v>35960</v>
      </c>
      <c r="U4567" s="168">
        <f t="shared" si="4"/>
        <v>0</v>
      </c>
      <c r="V4567" s="168">
        <f t="shared" si="5"/>
        <v>0</v>
      </c>
      <c r="W4567" s="168">
        <f t="shared" si="6"/>
        <v>0</v>
      </c>
      <c r="X4567" s="168">
        <f t="shared" si="7"/>
        <v>0</v>
      </c>
      <c r="Y4567" s="168">
        <f t="shared" si="8"/>
        <v>0</v>
      </c>
      <c r="Z4567" s="168">
        <f t="shared" si="9"/>
        <v>0</v>
      </c>
    </row>
    <row r="4568" ht="15.0" customHeight="1">
      <c r="A4568" s="157" t="s">
        <v>5805</v>
      </c>
      <c r="B4568" s="158" t="s">
        <v>27</v>
      </c>
      <c r="C4568" s="158" t="s">
        <v>5806</v>
      </c>
      <c r="D4568" s="159">
        <v>45296.0</v>
      </c>
      <c r="E4568" s="157" t="s">
        <v>731</v>
      </c>
      <c r="F4568" s="160">
        <v>31000.0</v>
      </c>
      <c r="G4568" s="160">
        <f>'FACP$'!$F4568*0.16</f>
        <v>4960</v>
      </c>
      <c r="H4568" s="160">
        <f t="shared" si="124"/>
        <v>35960</v>
      </c>
      <c r="I4568" s="160"/>
      <c r="J4568" s="161"/>
      <c r="K4568" s="160"/>
      <c r="L4568" s="160">
        <f>+'FACP$'!$H4568-'FACP$'!$I4568-'FACP$'!$K4568</f>
        <v>35960</v>
      </c>
      <c r="M4568" s="162" t="s">
        <v>5804</v>
      </c>
      <c r="N4568" s="162" t="s">
        <v>554</v>
      </c>
      <c r="O4568" s="164">
        <v>45302.0</v>
      </c>
      <c r="P4568" s="164">
        <f t="array" ref="P4568">XLOOKUP('FACP$'!$B4568,'perfil de pagos'!$A$4:$A$46,'perfil de pagos'!$B$4:$B$46+'FACP$'!$D4568)</f>
        <v>45326</v>
      </c>
      <c r="Q4568" s="165">
        <f t="shared" si="128"/>
        <v>0</v>
      </c>
      <c r="R4568" s="167"/>
      <c r="S4568" s="220" t="s">
        <v>466</v>
      </c>
      <c r="T4568" s="168">
        <f t="shared" si="3"/>
        <v>35960</v>
      </c>
      <c r="U4568" s="168">
        <f t="shared" si="4"/>
        <v>0</v>
      </c>
      <c r="V4568" s="168">
        <f t="shared" si="5"/>
        <v>0</v>
      </c>
      <c r="W4568" s="168">
        <f t="shared" si="6"/>
        <v>0</v>
      </c>
      <c r="X4568" s="168">
        <f t="shared" si="7"/>
        <v>0</v>
      </c>
      <c r="Y4568" s="168">
        <f t="shared" si="8"/>
        <v>0</v>
      </c>
      <c r="Z4568" s="168">
        <f t="shared" si="9"/>
        <v>0</v>
      </c>
    </row>
    <row r="4569" ht="15.0" customHeight="1">
      <c r="A4569" s="157" t="s">
        <v>5807</v>
      </c>
      <c r="B4569" s="158" t="s">
        <v>15</v>
      </c>
      <c r="C4569" s="158" t="s">
        <v>5753</v>
      </c>
      <c r="D4569" s="159">
        <v>45296.0</v>
      </c>
      <c r="E4569" s="157" t="s">
        <v>731</v>
      </c>
      <c r="F4569" s="160">
        <v>466776.03</v>
      </c>
      <c r="G4569" s="160">
        <f>'FACP$'!$F4569*0.16</f>
        <v>74684.1648</v>
      </c>
      <c r="H4569" s="160">
        <f t="shared" si="124"/>
        <v>541460.1948</v>
      </c>
      <c r="I4569" s="160"/>
      <c r="J4569" s="161"/>
      <c r="K4569" s="160"/>
      <c r="L4569" s="160">
        <f>+'FACP$'!$H4569-'FACP$'!$I4569-'FACP$'!$K4569</f>
        <v>541460.1948</v>
      </c>
      <c r="M4569" s="162" t="s">
        <v>443</v>
      </c>
      <c r="N4569" s="162" t="s">
        <v>554</v>
      </c>
      <c r="O4569" s="164">
        <v>45315.0</v>
      </c>
      <c r="P4569" s="164">
        <f t="array" ref="P4569">XLOOKUP('FACP$'!$B4569,'perfil de pagos'!$A$4:$A$46,'perfil de pagos'!$B$4:$B$46+'FACP$'!$D4569)</f>
        <v>45306</v>
      </c>
      <c r="Q4569" s="165">
        <f t="shared" si="128"/>
        <v>0</v>
      </c>
      <c r="R4569" s="167"/>
      <c r="S4569" s="167">
        <v>2754.0</v>
      </c>
      <c r="T4569" s="168">
        <f t="shared" si="3"/>
        <v>541460.1948</v>
      </c>
      <c r="U4569" s="168">
        <f t="shared" si="4"/>
        <v>0</v>
      </c>
      <c r="V4569" s="168">
        <f t="shared" si="5"/>
        <v>0</v>
      </c>
      <c r="W4569" s="168">
        <f t="shared" si="6"/>
        <v>0</v>
      </c>
      <c r="X4569" s="168">
        <f t="shared" si="7"/>
        <v>0</v>
      </c>
      <c r="Y4569" s="168">
        <f t="shared" si="8"/>
        <v>0</v>
      </c>
      <c r="Z4569" s="168">
        <f t="shared" si="9"/>
        <v>0</v>
      </c>
    </row>
    <row r="4570" ht="15.0" customHeight="1">
      <c r="A4570" s="157" t="s">
        <v>5808</v>
      </c>
      <c r="B4570" s="158" t="s">
        <v>16</v>
      </c>
      <c r="C4570" s="158" t="s">
        <v>5753</v>
      </c>
      <c r="D4570" s="159">
        <v>45299.0</v>
      </c>
      <c r="E4570" s="157" t="s">
        <v>731</v>
      </c>
      <c r="F4570" s="160">
        <v>301535.74</v>
      </c>
      <c r="G4570" s="160">
        <f>'FACP$'!$F4570*0.16</f>
        <v>48245.7184</v>
      </c>
      <c r="H4570" s="160">
        <f t="shared" si="124"/>
        <v>349781.4584</v>
      </c>
      <c r="I4570" s="160"/>
      <c r="J4570" s="161"/>
      <c r="K4570" s="160"/>
      <c r="L4570" s="160">
        <f>+'FACP$'!$H4570-'FACP$'!$I4570-'FACP$'!$K4570</f>
        <v>349781.4584</v>
      </c>
      <c r="M4570" s="162" t="s">
        <v>985</v>
      </c>
      <c r="N4570" s="162" t="s">
        <v>554</v>
      </c>
      <c r="O4570" s="164">
        <v>45341.0</v>
      </c>
      <c r="P4570" s="164">
        <f t="array" ref="P4570">XLOOKUP('FACP$'!$B4570,'perfil de pagos'!$A$4:$A$46,'perfil de pagos'!$B$4:$B$46+'FACP$'!$D4570)</f>
        <v>45309</v>
      </c>
      <c r="Q4570" s="165">
        <f t="shared" si="128"/>
        <v>0</v>
      </c>
      <c r="R4570" s="167"/>
      <c r="S4570" s="167">
        <v>2811.0</v>
      </c>
      <c r="T4570" s="168">
        <f t="shared" si="3"/>
        <v>349781.4584</v>
      </c>
      <c r="U4570" s="168">
        <f t="shared" si="4"/>
        <v>0</v>
      </c>
      <c r="V4570" s="168">
        <f t="shared" si="5"/>
        <v>0</v>
      </c>
      <c r="W4570" s="168">
        <f t="shared" si="6"/>
        <v>0</v>
      </c>
      <c r="X4570" s="168">
        <f t="shared" si="7"/>
        <v>0</v>
      </c>
      <c r="Y4570" s="168">
        <f t="shared" si="8"/>
        <v>0</v>
      </c>
      <c r="Z4570" s="168">
        <f t="shared" si="9"/>
        <v>0</v>
      </c>
    </row>
    <row r="4571" ht="15.0" customHeight="1">
      <c r="A4571" s="157" t="s">
        <v>5809</v>
      </c>
      <c r="B4571" s="158" t="s">
        <v>16</v>
      </c>
      <c r="C4571" s="158" t="s">
        <v>5755</v>
      </c>
      <c r="D4571" s="159">
        <v>45299.0</v>
      </c>
      <c r="E4571" s="157" t="s">
        <v>731</v>
      </c>
      <c r="F4571" s="160">
        <v>508601.04</v>
      </c>
      <c r="G4571" s="160">
        <f>'FACP$'!$F4571*0.16</f>
        <v>81376.1664</v>
      </c>
      <c r="H4571" s="160">
        <f t="shared" si="124"/>
        <v>589977.2064</v>
      </c>
      <c r="I4571" s="160"/>
      <c r="J4571" s="161"/>
      <c r="K4571" s="160"/>
      <c r="L4571" s="160">
        <f>+'FACP$'!$H4571-'FACP$'!$I4571-'FACP$'!$K4571</f>
        <v>589977.2064</v>
      </c>
      <c r="M4571" s="162" t="s">
        <v>985</v>
      </c>
      <c r="N4571" s="162" t="s">
        <v>554</v>
      </c>
      <c r="O4571" s="164">
        <v>45341.0</v>
      </c>
      <c r="P4571" s="164">
        <f t="array" ref="P4571">XLOOKUP('FACP$'!$B4571,'perfil de pagos'!$A$4:$A$46,'perfil de pagos'!$B$4:$B$46+'FACP$'!$D4571)</f>
        <v>45309</v>
      </c>
      <c r="Q4571" s="165">
        <f t="shared" si="128"/>
        <v>0</v>
      </c>
      <c r="R4571" s="167"/>
      <c r="S4571" s="167">
        <v>2811.0</v>
      </c>
      <c r="T4571" s="168">
        <f t="shared" si="3"/>
        <v>589977.2064</v>
      </c>
      <c r="U4571" s="168">
        <f t="shared" si="4"/>
        <v>0</v>
      </c>
      <c r="V4571" s="168">
        <f t="shared" si="5"/>
        <v>0</v>
      </c>
      <c r="W4571" s="168">
        <f t="shared" si="6"/>
        <v>0</v>
      </c>
      <c r="X4571" s="168">
        <f t="shared" si="7"/>
        <v>0</v>
      </c>
      <c r="Y4571" s="168">
        <f t="shared" si="8"/>
        <v>0</v>
      </c>
      <c r="Z4571" s="168">
        <f t="shared" si="9"/>
        <v>0</v>
      </c>
    </row>
    <row r="4572" ht="15.0" customHeight="1">
      <c r="A4572" s="157" t="s">
        <v>5810</v>
      </c>
      <c r="B4572" s="158" t="s">
        <v>18</v>
      </c>
      <c r="C4572" s="158" t="s">
        <v>5753</v>
      </c>
      <c r="D4572" s="159">
        <v>45299.0</v>
      </c>
      <c r="E4572" s="157" t="s">
        <v>731</v>
      </c>
      <c r="F4572" s="160">
        <v>76715.0</v>
      </c>
      <c r="G4572" s="160">
        <f>'FACP$'!$F4572*0.16</f>
        <v>12274.4</v>
      </c>
      <c r="H4572" s="160">
        <f t="shared" si="124"/>
        <v>88989.4</v>
      </c>
      <c r="I4572" s="160"/>
      <c r="J4572" s="161"/>
      <c r="K4572" s="160"/>
      <c r="L4572" s="160">
        <f>+'FACP$'!$H4572-'FACP$'!$I4572-'FACP$'!$K4572</f>
        <v>88989.4</v>
      </c>
      <c r="M4572" s="162" t="s">
        <v>586</v>
      </c>
      <c r="N4572" s="162" t="s">
        <v>554</v>
      </c>
      <c r="O4572" s="164">
        <v>45329.0</v>
      </c>
      <c r="P4572" s="164">
        <f t="array" ref="P4572">XLOOKUP('FACP$'!$B4572,'perfil de pagos'!$A$4:$A$46,'perfil de pagos'!$B$4:$B$46+'FACP$'!$D4572)</f>
        <v>45309</v>
      </c>
      <c r="Q4572" s="165">
        <f t="shared" si="128"/>
        <v>0</v>
      </c>
      <c r="R4572" s="167"/>
      <c r="S4572" s="167">
        <v>2787.0</v>
      </c>
      <c r="T4572" s="168">
        <f t="shared" si="3"/>
        <v>88989.4</v>
      </c>
      <c r="U4572" s="168">
        <f t="shared" si="4"/>
        <v>0</v>
      </c>
      <c r="V4572" s="168">
        <f t="shared" si="5"/>
        <v>0</v>
      </c>
      <c r="W4572" s="168">
        <f t="shared" si="6"/>
        <v>0</v>
      </c>
      <c r="X4572" s="168">
        <f t="shared" si="7"/>
        <v>0</v>
      </c>
      <c r="Y4572" s="168">
        <f t="shared" si="8"/>
        <v>0</v>
      </c>
      <c r="Z4572" s="168">
        <f t="shared" si="9"/>
        <v>0</v>
      </c>
    </row>
    <row r="4573" ht="15.0" customHeight="1">
      <c r="A4573" s="157" t="s">
        <v>5811</v>
      </c>
      <c r="B4573" s="158" t="s">
        <v>19</v>
      </c>
      <c r="C4573" s="158" t="s">
        <v>5753</v>
      </c>
      <c r="D4573" s="159">
        <v>45299.0</v>
      </c>
      <c r="E4573" s="157" t="s">
        <v>731</v>
      </c>
      <c r="F4573" s="160">
        <v>179050.29</v>
      </c>
      <c r="G4573" s="160">
        <f>'FACP$'!$F4573*0.16</f>
        <v>28648.0464</v>
      </c>
      <c r="H4573" s="160">
        <f t="shared" si="124"/>
        <v>207698.3364</v>
      </c>
      <c r="I4573" s="160"/>
      <c r="J4573" s="161"/>
      <c r="K4573" s="160"/>
      <c r="L4573" s="160">
        <f>+'FACP$'!$H4573-'FACP$'!$I4573-'FACP$'!$K4573</f>
        <v>207698.3364</v>
      </c>
      <c r="M4573" s="162" t="s">
        <v>732</v>
      </c>
      <c r="N4573" s="162" t="s">
        <v>554</v>
      </c>
      <c r="O4573" s="164">
        <v>45329.0</v>
      </c>
      <c r="P4573" s="164">
        <f t="array" ref="P4573">XLOOKUP('FACP$'!$B4573,'perfil de pagos'!$A$4:$A$46,'perfil de pagos'!$B$4:$B$46+'FACP$'!$D4573)</f>
        <v>45309</v>
      </c>
      <c r="Q4573" s="165">
        <f t="shared" si="128"/>
        <v>0</v>
      </c>
      <c r="R4573" s="167"/>
      <c r="S4573" s="167">
        <v>2787.0</v>
      </c>
      <c r="T4573" s="168">
        <f t="shared" si="3"/>
        <v>207698.3364</v>
      </c>
      <c r="U4573" s="168">
        <f t="shared" si="4"/>
        <v>0</v>
      </c>
      <c r="V4573" s="168">
        <f t="shared" si="5"/>
        <v>0</v>
      </c>
      <c r="W4573" s="168">
        <f t="shared" si="6"/>
        <v>0</v>
      </c>
      <c r="X4573" s="168">
        <f t="shared" si="7"/>
        <v>0</v>
      </c>
      <c r="Y4573" s="168">
        <f t="shared" si="8"/>
        <v>0</v>
      </c>
      <c r="Z4573" s="168">
        <f t="shared" si="9"/>
        <v>0</v>
      </c>
    </row>
    <row r="4574" ht="15.0" customHeight="1">
      <c r="A4574" s="157" t="s">
        <v>5812</v>
      </c>
      <c r="B4574" s="158" t="s">
        <v>22</v>
      </c>
      <c r="C4574" s="158" t="s">
        <v>5753</v>
      </c>
      <c r="D4574" s="159">
        <v>45299.0</v>
      </c>
      <c r="E4574" s="157" t="s">
        <v>731</v>
      </c>
      <c r="F4574" s="160">
        <v>205249.85</v>
      </c>
      <c r="G4574" s="160">
        <f>'FACP$'!$F4574*0.16</f>
        <v>32839.976</v>
      </c>
      <c r="H4574" s="160">
        <f t="shared" si="124"/>
        <v>238089.826</v>
      </c>
      <c r="I4574" s="160">
        <v>174129.74</v>
      </c>
      <c r="J4574" s="161"/>
      <c r="K4574" s="160"/>
      <c r="L4574" s="160">
        <f>+'FACP$'!$H4574-'FACP$'!$I4574-'FACP$'!$K4574</f>
        <v>63960.086</v>
      </c>
      <c r="M4574" s="162" t="s">
        <v>220</v>
      </c>
      <c r="N4574" s="162" t="s">
        <v>554</v>
      </c>
      <c r="O4574" s="164">
        <v>45344.0</v>
      </c>
      <c r="P4574" s="164">
        <f t="array" ref="P4574">XLOOKUP('FACP$'!$B4574,'perfil de pagos'!$A$4:$A$46,'perfil de pagos'!$B$4:$B$46+'FACP$'!$D4574)</f>
        <v>45309</v>
      </c>
      <c r="Q4574" s="165">
        <f t="shared" si="128"/>
        <v>0</v>
      </c>
      <c r="R4574" s="220" t="s">
        <v>5813</v>
      </c>
      <c r="S4574" s="167" t="s">
        <v>5814</v>
      </c>
      <c r="T4574" s="168">
        <f t="shared" si="3"/>
        <v>63960.086</v>
      </c>
      <c r="U4574" s="168">
        <f t="shared" si="4"/>
        <v>0</v>
      </c>
      <c r="V4574" s="168">
        <f t="shared" si="5"/>
        <v>0</v>
      </c>
      <c r="W4574" s="168">
        <f t="shared" si="6"/>
        <v>0</v>
      </c>
      <c r="X4574" s="168">
        <f t="shared" si="7"/>
        <v>0</v>
      </c>
      <c r="Y4574" s="168">
        <f t="shared" si="8"/>
        <v>0</v>
      </c>
      <c r="Z4574" s="168">
        <f t="shared" si="9"/>
        <v>0</v>
      </c>
    </row>
    <row r="4575" ht="15.0" customHeight="1">
      <c r="A4575" s="157" t="s">
        <v>5815</v>
      </c>
      <c r="B4575" s="158" t="s">
        <v>25</v>
      </c>
      <c r="C4575" s="158" t="s">
        <v>5753</v>
      </c>
      <c r="D4575" s="159">
        <v>45299.0</v>
      </c>
      <c r="E4575" s="157" t="s">
        <v>731</v>
      </c>
      <c r="F4575" s="160">
        <v>57993.0</v>
      </c>
      <c r="G4575" s="160">
        <f>'FACP$'!$F4575*0.16</f>
        <v>9278.88</v>
      </c>
      <c r="H4575" s="160">
        <f t="shared" si="124"/>
        <v>67271.88</v>
      </c>
      <c r="I4575" s="160"/>
      <c r="J4575" s="161"/>
      <c r="K4575" s="160"/>
      <c r="L4575" s="160">
        <f>+'FACP$'!$H4575-'FACP$'!$I4575-'FACP$'!$K4575</f>
        <v>67271.88</v>
      </c>
      <c r="M4575" s="162" t="s">
        <v>4388</v>
      </c>
      <c r="N4575" s="162" t="s">
        <v>554</v>
      </c>
      <c r="O4575" s="164">
        <v>45370.0</v>
      </c>
      <c r="P4575" s="164">
        <f t="array" ref="P4575">XLOOKUP('FACP$'!$B4575,'perfil de pagos'!$A$4:$A$46,'perfil de pagos'!$B$4:$B$46+'FACP$'!$D4575)</f>
        <v>45309</v>
      </c>
      <c r="Q4575" s="165">
        <f t="shared" si="128"/>
        <v>0</v>
      </c>
      <c r="R4575" s="167"/>
      <c r="S4575" s="167">
        <v>2865.0</v>
      </c>
      <c r="T4575" s="168">
        <f t="shared" si="3"/>
        <v>67271.88</v>
      </c>
      <c r="U4575" s="168">
        <f t="shared" si="4"/>
        <v>0</v>
      </c>
      <c r="V4575" s="168">
        <f t="shared" si="5"/>
        <v>0</v>
      </c>
      <c r="W4575" s="168">
        <f t="shared" si="6"/>
        <v>0</v>
      </c>
      <c r="X4575" s="168">
        <f t="shared" si="7"/>
        <v>0</v>
      </c>
      <c r="Y4575" s="168">
        <f t="shared" si="8"/>
        <v>0</v>
      </c>
      <c r="Z4575" s="168">
        <f t="shared" si="9"/>
        <v>0</v>
      </c>
    </row>
    <row r="4576" ht="15.0" customHeight="1">
      <c r="A4576" s="157" t="s">
        <v>5816</v>
      </c>
      <c r="B4576" s="158" t="s">
        <v>37</v>
      </c>
      <c r="C4576" s="158" t="s">
        <v>5753</v>
      </c>
      <c r="D4576" s="159">
        <v>45299.0</v>
      </c>
      <c r="E4576" s="157" t="s">
        <v>731</v>
      </c>
      <c r="F4576" s="160">
        <v>1686340.9</v>
      </c>
      <c r="G4576" s="160">
        <f>'FACP$'!$F4576*0.16</f>
        <v>269814.544</v>
      </c>
      <c r="H4576" s="160">
        <f t="shared" si="124"/>
        <v>1956155.444</v>
      </c>
      <c r="I4576" s="160"/>
      <c r="J4576" s="161"/>
      <c r="K4576" s="160"/>
      <c r="L4576" s="160">
        <f>+'FACP$'!$H4576-'FACP$'!$I4576-'FACP$'!$K4576</f>
        <v>1956155.444</v>
      </c>
      <c r="M4576" s="162" t="s">
        <v>116</v>
      </c>
      <c r="N4576" s="162" t="s">
        <v>554</v>
      </c>
      <c r="O4576" s="164">
        <v>45313.0</v>
      </c>
      <c r="P4576" s="164">
        <f t="array" ref="P4576">XLOOKUP('FACP$'!$B4576,'perfil de pagos'!$A$4:$A$46,'perfil de pagos'!$B$4:$B$46+'FACP$'!$D4576)</f>
        <v>45309</v>
      </c>
      <c r="Q4576" s="165">
        <f t="shared" si="128"/>
        <v>0</v>
      </c>
      <c r="R4576" s="167"/>
      <c r="S4576" s="167">
        <v>2743.0</v>
      </c>
      <c r="T4576" s="168">
        <f t="shared" si="3"/>
        <v>1956155.444</v>
      </c>
      <c r="U4576" s="168">
        <f t="shared" si="4"/>
        <v>0</v>
      </c>
      <c r="V4576" s="168">
        <f t="shared" si="5"/>
        <v>0</v>
      </c>
      <c r="W4576" s="168">
        <f t="shared" si="6"/>
        <v>0</v>
      </c>
      <c r="X4576" s="168">
        <f t="shared" si="7"/>
        <v>0</v>
      </c>
      <c r="Y4576" s="168">
        <f t="shared" si="8"/>
        <v>0</v>
      </c>
      <c r="Z4576" s="168">
        <f t="shared" si="9"/>
        <v>0</v>
      </c>
    </row>
    <row r="4577" ht="15.0" customHeight="1">
      <c r="A4577" s="157" t="s">
        <v>5817</v>
      </c>
      <c r="B4577" s="158" t="s">
        <v>29</v>
      </c>
      <c r="C4577" s="158" t="s">
        <v>5753</v>
      </c>
      <c r="D4577" s="159">
        <v>45299.0</v>
      </c>
      <c r="E4577" s="157" t="s">
        <v>731</v>
      </c>
      <c r="F4577" s="160">
        <v>278486.32</v>
      </c>
      <c r="G4577" s="160">
        <f>'FACP$'!$F4577*0.16</f>
        <v>44557.8112</v>
      </c>
      <c r="H4577" s="160">
        <f t="shared" si="124"/>
        <v>323044.1312</v>
      </c>
      <c r="I4577" s="160"/>
      <c r="J4577" s="161"/>
      <c r="K4577" s="160"/>
      <c r="L4577" s="160">
        <f>+'FACP$'!$H4577-'FACP$'!$I4577-'FACP$'!$K4577</f>
        <v>323044.1312</v>
      </c>
      <c r="M4577" s="162" t="s">
        <v>130</v>
      </c>
      <c r="N4577" s="162" t="s">
        <v>554</v>
      </c>
      <c r="O4577" s="164">
        <v>45314.0</v>
      </c>
      <c r="P4577" s="164">
        <f t="array" ref="P4577">XLOOKUP('FACP$'!$B4577,'perfil de pagos'!$A$4:$A$46,'perfil de pagos'!$B$4:$B$46+'FACP$'!$D4577)</f>
        <v>45309</v>
      </c>
      <c r="Q4577" s="165">
        <f t="shared" si="128"/>
        <v>0</v>
      </c>
      <c r="R4577" s="167"/>
      <c r="S4577" s="167">
        <v>2768.0</v>
      </c>
      <c r="T4577" s="168">
        <f t="shared" si="3"/>
        <v>323044.1312</v>
      </c>
      <c r="U4577" s="168">
        <f t="shared" si="4"/>
        <v>0</v>
      </c>
      <c r="V4577" s="168">
        <f t="shared" si="5"/>
        <v>0</v>
      </c>
      <c r="W4577" s="168">
        <f t="shared" si="6"/>
        <v>0</v>
      </c>
      <c r="X4577" s="168">
        <f t="shared" si="7"/>
        <v>0</v>
      </c>
      <c r="Y4577" s="168">
        <f t="shared" si="8"/>
        <v>0</v>
      </c>
      <c r="Z4577" s="168">
        <f t="shared" si="9"/>
        <v>0</v>
      </c>
    </row>
    <row r="4578" ht="15.0" customHeight="1">
      <c r="A4578" s="157" t="s">
        <v>5818</v>
      </c>
      <c r="B4578" s="158" t="s">
        <v>29</v>
      </c>
      <c r="C4578" s="158" t="s">
        <v>5755</v>
      </c>
      <c r="D4578" s="159">
        <v>45299.0</v>
      </c>
      <c r="E4578" s="157" t="s">
        <v>731</v>
      </c>
      <c r="F4578" s="160">
        <v>459924.33</v>
      </c>
      <c r="G4578" s="160">
        <f>'FACP$'!$F4578*0.16</f>
        <v>73587.8928</v>
      </c>
      <c r="H4578" s="160">
        <f t="shared" si="124"/>
        <v>533512.2228</v>
      </c>
      <c r="I4578" s="160"/>
      <c r="J4578" s="161"/>
      <c r="K4578" s="160"/>
      <c r="L4578" s="160">
        <f>+'FACP$'!$H4578-'FACP$'!$I4578-'FACP$'!$K4578</f>
        <v>533512.2228</v>
      </c>
      <c r="M4578" s="162" t="s">
        <v>130</v>
      </c>
      <c r="N4578" s="162" t="s">
        <v>554</v>
      </c>
      <c r="O4578" s="164">
        <v>45314.0</v>
      </c>
      <c r="P4578" s="164">
        <f t="array" ref="P4578">XLOOKUP('FACP$'!$B4578,'perfil de pagos'!$A$4:$A$46,'perfil de pagos'!$B$4:$B$46+'FACP$'!$D4578)</f>
        <v>45309</v>
      </c>
      <c r="Q4578" s="165">
        <f t="shared" si="128"/>
        <v>0</v>
      </c>
      <c r="R4578" s="167"/>
      <c r="S4578" s="167">
        <v>2768.0</v>
      </c>
      <c r="T4578" s="168">
        <f t="shared" si="3"/>
        <v>533512.2228</v>
      </c>
      <c r="U4578" s="168">
        <f t="shared" si="4"/>
        <v>0</v>
      </c>
      <c r="V4578" s="168">
        <f t="shared" si="5"/>
        <v>0</v>
      </c>
      <c r="W4578" s="168">
        <f t="shared" si="6"/>
        <v>0</v>
      </c>
      <c r="X4578" s="168">
        <f t="shared" si="7"/>
        <v>0</v>
      </c>
      <c r="Y4578" s="168">
        <f t="shared" si="8"/>
        <v>0</v>
      </c>
      <c r="Z4578" s="168">
        <f t="shared" si="9"/>
        <v>0</v>
      </c>
    </row>
    <row r="4579" ht="15.0" customHeight="1">
      <c r="A4579" s="157" t="s">
        <v>5819</v>
      </c>
      <c r="B4579" s="158" t="s">
        <v>29</v>
      </c>
      <c r="C4579" s="158" t="s">
        <v>5820</v>
      </c>
      <c r="D4579" s="159">
        <v>45299.0</v>
      </c>
      <c r="E4579" s="157" t="s">
        <v>731</v>
      </c>
      <c r="F4579" s="160">
        <v>9485.22</v>
      </c>
      <c r="G4579" s="160">
        <f>'FACP$'!$F4579*0.16</f>
        <v>1517.6352</v>
      </c>
      <c r="H4579" s="160">
        <f t="shared" si="124"/>
        <v>11002.8552</v>
      </c>
      <c r="I4579" s="160"/>
      <c r="J4579" s="161"/>
      <c r="K4579" s="160"/>
      <c r="L4579" s="160">
        <f>+'FACP$'!$H4579-'FACP$'!$I4579-'FACP$'!$K4579</f>
        <v>11002.8552</v>
      </c>
      <c r="M4579" s="162" t="s">
        <v>130</v>
      </c>
      <c r="N4579" s="162" t="s">
        <v>554</v>
      </c>
      <c r="O4579" s="164">
        <v>45335.0</v>
      </c>
      <c r="P4579" s="164">
        <f t="array" ref="P4579">XLOOKUP('FACP$'!$B4579,'perfil de pagos'!$A$4:$A$46,'perfil de pagos'!$B$4:$B$46+'FACP$'!$D4579)</f>
        <v>45309</v>
      </c>
      <c r="Q4579" s="165">
        <f t="shared" si="128"/>
        <v>0</v>
      </c>
      <c r="R4579" s="167"/>
      <c r="S4579" s="167">
        <v>2798.0</v>
      </c>
      <c r="T4579" s="168">
        <f t="shared" si="3"/>
        <v>11002.8552</v>
      </c>
      <c r="U4579" s="168">
        <f t="shared" si="4"/>
        <v>0</v>
      </c>
      <c r="V4579" s="168">
        <f t="shared" si="5"/>
        <v>0</v>
      </c>
      <c r="W4579" s="168">
        <f t="shared" si="6"/>
        <v>0</v>
      </c>
      <c r="X4579" s="168">
        <f t="shared" si="7"/>
        <v>0</v>
      </c>
      <c r="Y4579" s="168">
        <f t="shared" si="8"/>
        <v>0</v>
      </c>
      <c r="Z4579" s="168">
        <f t="shared" si="9"/>
        <v>0</v>
      </c>
    </row>
    <row r="4580" ht="15.0" customHeight="1">
      <c r="A4580" s="157" t="s">
        <v>5821</v>
      </c>
      <c r="B4580" s="158" t="s">
        <v>38</v>
      </c>
      <c r="C4580" s="158" t="s">
        <v>5698</v>
      </c>
      <c r="D4580" s="159">
        <v>45300.0</v>
      </c>
      <c r="E4580" s="157" t="s">
        <v>731</v>
      </c>
      <c r="F4580" s="160">
        <v>558386.65</v>
      </c>
      <c r="G4580" s="160">
        <f>'FACP$'!$F4580*0.16</f>
        <v>89341.864</v>
      </c>
      <c r="H4580" s="160">
        <f t="shared" si="124"/>
        <v>647728.514</v>
      </c>
      <c r="I4580" s="160"/>
      <c r="J4580" s="161"/>
      <c r="K4580" s="160"/>
      <c r="L4580" s="160">
        <f>+'FACP$'!$H4580-'FACP$'!$I4580-'FACP$'!$K4580</f>
        <v>647728.514</v>
      </c>
      <c r="M4580" s="162" t="s">
        <v>145</v>
      </c>
      <c r="N4580" s="162" t="s">
        <v>554</v>
      </c>
      <c r="O4580" s="164">
        <v>45349.0</v>
      </c>
      <c r="P4580" s="164">
        <f t="array" ref="P4580">XLOOKUP('FACP$'!$B4580,'perfil de pagos'!$A$4:$A$46,'perfil de pagos'!$B$4:$B$46+'FACP$'!$D4580)</f>
        <v>45330</v>
      </c>
      <c r="Q4580" s="165">
        <f t="shared" si="128"/>
        <v>0</v>
      </c>
      <c r="R4580" s="167"/>
      <c r="S4580" s="167">
        <v>2827.0</v>
      </c>
      <c r="T4580" s="168">
        <f t="shared" si="3"/>
        <v>647728.514</v>
      </c>
      <c r="U4580" s="168">
        <f t="shared" si="4"/>
        <v>0</v>
      </c>
      <c r="V4580" s="168">
        <f t="shared" si="5"/>
        <v>0</v>
      </c>
      <c r="W4580" s="168">
        <f t="shared" si="6"/>
        <v>0</v>
      </c>
      <c r="X4580" s="168">
        <f t="shared" si="7"/>
        <v>0</v>
      </c>
      <c r="Y4580" s="168">
        <f t="shared" si="8"/>
        <v>0</v>
      </c>
      <c r="Z4580" s="168">
        <f t="shared" si="9"/>
        <v>0</v>
      </c>
    </row>
    <row r="4581" ht="15.0" customHeight="1">
      <c r="A4581" s="157" t="s">
        <v>5822</v>
      </c>
      <c r="B4581" s="158" t="s">
        <v>38</v>
      </c>
      <c r="C4581" s="158" t="s">
        <v>5698</v>
      </c>
      <c r="D4581" s="159">
        <v>45300.0</v>
      </c>
      <c r="E4581" s="157" t="s">
        <v>731</v>
      </c>
      <c r="F4581" s="160">
        <v>219215.57</v>
      </c>
      <c r="G4581" s="160">
        <f>'FACP$'!$F4581*0.16</f>
        <v>35074.4912</v>
      </c>
      <c r="H4581" s="160">
        <f t="shared" si="124"/>
        <v>254290.0612</v>
      </c>
      <c r="I4581" s="160"/>
      <c r="J4581" s="161"/>
      <c r="K4581" s="160"/>
      <c r="L4581" s="160">
        <f>+'FACP$'!$H4581-'FACP$'!$I4581-'FACP$'!$K4581</f>
        <v>254290.0612</v>
      </c>
      <c r="M4581" s="162" t="s">
        <v>642</v>
      </c>
      <c r="N4581" s="162" t="s">
        <v>554</v>
      </c>
      <c r="O4581" s="164">
        <v>45349.0</v>
      </c>
      <c r="P4581" s="164">
        <f t="array" ref="P4581">XLOOKUP('FACP$'!$B4581,'perfil de pagos'!$A$4:$A$46,'perfil de pagos'!$B$4:$B$46+'FACP$'!$D4581)</f>
        <v>45330</v>
      </c>
      <c r="Q4581" s="165">
        <f t="shared" si="128"/>
        <v>0</v>
      </c>
      <c r="R4581" s="167"/>
      <c r="S4581" s="167">
        <v>2827.0</v>
      </c>
      <c r="T4581" s="168">
        <f t="shared" si="3"/>
        <v>254290.0612</v>
      </c>
      <c r="U4581" s="168">
        <f t="shared" si="4"/>
        <v>0</v>
      </c>
      <c r="V4581" s="168">
        <f t="shared" si="5"/>
        <v>0</v>
      </c>
      <c r="W4581" s="168">
        <f t="shared" si="6"/>
        <v>0</v>
      </c>
      <c r="X4581" s="168">
        <f t="shared" si="7"/>
        <v>0</v>
      </c>
      <c r="Y4581" s="168">
        <f t="shared" si="8"/>
        <v>0</v>
      </c>
      <c r="Z4581" s="168">
        <f t="shared" si="9"/>
        <v>0</v>
      </c>
    </row>
    <row r="4582" ht="15.0" customHeight="1">
      <c r="A4582" s="157" t="s">
        <v>5823</v>
      </c>
      <c r="B4582" s="158" t="s">
        <v>38</v>
      </c>
      <c r="C4582" s="158" t="s">
        <v>5753</v>
      </c>
      <c r="D4582" s="159">
        <v>45300.0</v>
      </c>
      <c r="E4582" s="157" t="s">
        <v>731</v>
      </c>
      <c r="F4582" s="160">
        <v>526029.75</v>
      </c>
      <c r="G4582" s="160">
        <f>'FACP$'!$F4582*0.16</f>
        <v>84164.76</v>
      </c>
      <c r="H4582" s="160">
        <f t="shared" si="124"/>
        <v>610194.51</v>
      </c>
      <c r="I4582" s="160"/>
      <c r="J4582" s="161"/>
      <c r="K4582" s="160"/>
      <c r="L4582" s="160">
        <f>+'FACP$'!$H4582-'FACP$'!$I4582-'FACP$'!$K4582</f>
        <v>610194.51</v>
      </c>
      <c r="M4582" s="162" t="s">
        <v>145</v>
      </c>
      <c r="N4582" s="162" t="s">
        <v>554</v>
      </c>
      <c r="O4582" s="164">
        <v>45349.0</v>
      </c>
      <c r="P4582" s="164">
        <f t="array" ref="P4582">XLOOKUP('FACP$'!$B4582,'perfil de pagos'!$A$4:$A$46,'perfil de pagos'!$B$4:$B$46+'FACP$'!$D4582)</f>
        <v>45330</v>
      </c>
      <c r="Q4582" s="165">
        <f t="shared" si="128"/>
        <v>0</v>
      </c>
      <c r="R4582" s="167"/>
      <c r="S4582" s="167">
        <v>2827.0</v>
      </c>
      <c r="T4582" s="168">
        <f t="shared" si="3"/>
        <v>610194.51</v>
      </c>
      <c r="U4582" s="168">
        <f t="shared" si="4"/>
        <v>0</v>
      </c>
      <c r="V4582" s="168">
        <f t="shared" si="5"/>
        <v>0</v>
      </c>
      <c r="W4582" s="168">
        <f t="shared" si="6"/>
        <v>0</v>
      </c>
      <c r="X4582" s="168">
        <f t="shared" si="7"/>
        <v>0</v>
      </c>
      <c r="Y4582" s="168">
        <f t="shared" si="8"/>
        <v>0</v>
      </c>
      <c r="Z4582" s="168">
        <f t="shared" si="9"/>
        <v>0</v>
      </c>
    </row>
    <row r="4583" ht="15.0" customHeight="1">
      <c r="A4583" s="157" t="s">
        <v>5824</v>
      </c>
      <c r="B4583" s="158" t="s">
        <v>38</v>
      </c>
      <c r="C4583" s="158" t="s">
        <v>5755</v>
      </c>
      <c r="D4583" s="159">
        <v>45300.0</v>
      </c>
      <c r="E4583" s="157" t="s">
        <v>731</v>
      </c>
      <c r="F4583" s="160">
        <v>219965.17</v>
      </c>
      <c r="G4583" s="160">
        <f>'FACP$'!$F4583*0.16</f>
        <v>35194.4272</v>
      </c>
      <c r="H4583" s="160">
        <f t="shared" si="124"/>
        <v>255159.5972</v>
      </c>
      <c r="I4583" s="160"/>
      <c r="J4583" s="161"/>
      <c r="K4583" s="160"/>
      <c r="L4583" s="160">
        <f>+'FACP$'!$H4583-'FACP$'!$I4583-'FACP$'!$K4583</f>
        <v>255159.5972</v>
      </c>
      <c r="M4583" s="162" t="s">
        <v>642</v>
      </c>
      <c r="N4583" s="162" t="s">
        <v>554</v>
      </c>
      <c r="O4583" s="164">
        <v>45349.0</v>
      </c>
      <c r="P4583" s="164">
        <f t="array" ref="P4583">XLOOKUP('FACP$'!$B4583,'perfil de pagos'!$A$4:$A$46,'perfil de pagos'!$B$4:$B$46+'FACP$'!$D4583)</f>
        <v>45330</v>
      </c>
      <c r="Q4583" s="165">
        <f t="shared" si="128"/>
        <v>0</v>
      </c>
      <c r="R4583" s="167"/>
      <c r="S4583" s="167">
        <v>2827.0</v>
      </c>
      <c r="T4583" s="168">
        <f t="shared" si="3"/>
        <v>255159.5972</v>
      </c>
      <c r="U4583" s="168">
        <f t="shared" si="4"/>
        <v>0</v>
      </c>
      <c r="V4583" s="168">
        <f t="shared" si="5"/>
        <v>0</v>
      </c>
      <c r="W4583" s="168">
        <f t="shared" si="6"/>
        <v>0</v>
      </c>
      <c r="X4583" s="168">
        <f t="shared" si="7"/>
        <v>0</v>
      </c>
      <c r="Y4583" s="168">
        <f t="shared" si="8"/>
        <v>0</v>
      </c>
      <c r="Z4583" s="168">
        <f t="shared" si="9"/>
        <v>0</v>
      </c>
    </row>
    <row r="4584" ht="15.0" customHeight="1">
      <c r="A4584" s="157" t="s">
        <v>5825</v>
      </c>
      <c r="B4584" s="158" t="s">
        <v>40</v>
      </c>
      <c r="C4584" s="158" t="s">
        <v>5826</v>
      </c>
      <c r="D4584" s="159">
        <v>45307.0</v>
      </c>
      <c r="E4584" s="157" t="s">
        <v>731</v>
      </c>
      <c r="F4584" s="160">
        <v>3406.32</v>
      </c>
      <c r="G4584" s="160">
        <f>'FACP$'!$F4584*0.16</f>
        <v>545.0112</v>
      </c>
      <c r="H4584" s="160">
        <f t="shared" si="124"/>
        <v>3951.3312</v>
      </c>
      <c r="I4584" s="160"/>
      <c r="J4584" s="161">
        <f>'NCP$'!A272</f>
        <v>376</v>
      </c>
      <c r="K4584" s="160">
        <f>'NCP$'!H272</f>
        <v>2019.0496</v>
      </c>
      <c r="L4584" s="160">
        <f>+'FACP$'!$H4584-'FACP$'!$I4584-'FACP$'!$K4584</f>
        <v>1932.2816</v>
      </c>
      <c r="M4584" s="162" t="s">
        <v>490</v>
      </c>
      <c r="N4584" s="162" t="s">
        <v>554</v>
      </c>
      <c r="O4584" s="164">
        <v>45337.0</v>
      </c>
      <c r="P4584" s="164">
        <f t="array" ref="P4584">XLOOKUP('FACP$'!$B4584,'perfil de pagos'!$A$4:$A$46,'perfil de pagos'!$B$4:$B$46+'FACP$'!$D4584)</f>
        <v>45337</v>
      </c>
      <c r="Q4584" s="165">
        <f t="shared" si="128"/>
        <v>0</v>
      </c>
      <c r="R4584" s="167"/>
      <c r="S4584" s="167">
        <v>2803.0</v>
      </c>
      <c r="T4584" s="168">
        <f t="shared" si="3"/>
        <v>1932.2816</v>
      </c>
      <c r="U4584" s="168">
        <f t="shared" si="4"/>
        <v>0</v>
      </c>
      <c r="V4584" s="168">
        <f t="shared" si="5"/>
        <v>0</v>
      </c>
      <c r="W4584" s="168">
        <f t="shared" si="6"/>
        <v>0</v>
      </c>
      <c r="X4584" s="168">
        <f t="shared" si="7"/>
        <v>0</v>
      </c>
      <c r="Y4584" s="168">
        <f t="shared" si="8"/>
        <v>0</v>
      </c>
      <c r="Z4584" s="168">
        <f t="shared" si="9"/>
        <v>0</v>
      </c>
    </row>
    <row r="4585" ht="15.0" customHeight="1">
      <c r="A4585" s="157" t="s">
        <v>5827</v>
      </c>
      <c r="B4585" s="158" t="s">
        <v>40</v>
      </c>
      <c r="C4585" s="158" t="s">
        <v>5828</v>
      </c>
      <c r="D4585" s="159">
        <v>45307.0</v>
      </c>
      <c r="E4585" s="157" t="s">
        <v>731</v>
      </c>
      <c r="F4585" s="160">
        <v>12188.79</v>
      </c>
      <c r="G4585" s="160">
        <f>'FACP$'!$F4585*0.16</f>
        <v>1950.2064</v>
      </c>
      <c r="H4585" s="160">
        <f t="shared" si="124"/>
        <v>14138.9964</v>
      </c>
      <c r="I4585" s="160"/>
      <c r="J4585" s="161">
        <f>'NCP$'!A273</f>
        <v>377</v>
      </c>
      <c r="K4585" s="160">
        <f>'NCP$'!H273</f>
        <v>2044.4652</v>
      </c>
      <c r="L4585" s="160">
        <f>+'FACP$'!$H4585-'FACP$'!$I4585-'FACP$'!$K4585</f>
        <v>12094.5312</v>
      </c>
      <c r="M4585" s="162" t="s">
        <v>490</v>
      </c>
      <c r="N4585" s="162" t="s">
        <v>554</v>
      </c>
      <c r="O4585" s="164">
        <v>45331.0</v>
      </c>
      <c r="P4585" s="164">
        <f t="array" ref="P4585">XLOOKUP('FACP$'!$B4585,'perfil de pagos'!$A$4:$A$46,'perfil de pagos'!$B$4:$B$46+'FACP$'!$D4585)</f>
        <v>45337</v>
      </c>
      <c r="Q4585" s="165">
        <f t="shared" si="128"/>
        <v>0</v>
      </c>
      <c r="R4585" s="167"/>
      <c r="S4585" s="167">
        <v>2791.0</v>
      </c>
      <c r="T4585" s="168">
        <f t="shared" si="3"/>
        <v>12094.5312</v>
      </c>
      <c r="U4585" s="168">
        <f t="shared" si="4"/>
        <v>0</v>
      </c>
      <c r="V4585" s="168">
        <f t="shared" si="5"/>
        <v>0</v>
      </c>
      <c r="W4585" s="168">
        <f t="shared" si="6"/>
        <v>0</v>
      </c>
      <c r="X4585" s="168">
        <f t="shared" si="7"/>
        <v>0</v>
      </c>
      <c r="Y4585" s="168">
        <f t="shared" si="8"/>
        <v>0</v>
      </c>
      <c r="Z4585" s="168">
        <f t="shared" si="9"/>
        <v>0</v>
      </c>
    </row>
    <row r="4586" ht="15.0" customHeight="1">
      <c r="A4586" s="157" t="s">
        <v>5829</v>
      </c>
      <c r="B4586" s="158" t="s">
        <v>36</v>
      </c>
      <c r="C4586" s="158" t="s">
        <v>5830</v>
      </c>
      <c r="D4586" s="159">
        <v>45308.0</v>
      </c>
      <c r="E4586" s="157" t="s">
        <v>731</v>
      </c>
      <c r="F4586" s="160">
        <v>208642.34</v>
      </c>
      <c r="G4586" s="160">
        <f>'FACP$'!$F4586*0.16</f>
        <v>33382.7744</v>
      </c>
      <c r="H4586" s="160">
        <f t="shared" si="124"/>
        <v>242025.1144</v>
      </c>
      <c r="I4586" s="160"/>
      <c r="J4586" s="161"/>
      <c r="K4586" s="160"/>
      <c r="L4586" s="160">
        <f>+'FACP$'!$H4586-'FACP$'!$I4586-'FACP$'!$K4586</f>
        <v>242025.1144</v>
      </c>
      <c r="M4586" s="162" t="s">
        <v>278</v>
      </c>
      <c r="N4586" s="162" t="s">
        <v>554</v>
      </c>
      <c r="O4586" s="164">
        <v>45320.0</v>
      </c>
      <c r="P4586" s="164">
        <f t="array" ref="P4586">XLOOKUP('FACP$'!$B4586,'perfil de pagos'!$A$4:$A$46,'perfil de pagos'!$B$4:$B$46+'FACP$'!$D4586)</f>
        <v>45318</v>
      </c>
      <c r="Q4586" s="165">
        <f t="shared" si="128"/>
        <v>0</v>
      </c>
      <c r="R4586" s="167"/>
      <c r="S4586" s="167">
        <v>2770.0</v>
      </c>
      <c r="T4586" s="168">
        <f t="shared" si="3"/>
        <v>242025.1144</v>
      </c>
      <c r="U4586" s="168">
        <f t="shared" si="4"/>
        <v>0</v>
      </c>
      <c r="V4586" s="168">
        <f t="shared" si="5"/>
        <v>0</v>
      </c>
      <c r="W4586" s="168">
        <f t="shared" si="6"/>
        <v>0</v>
      </c>
      <c r="X4586" s="168">
        <f t="shared" si="7"/>
        <v>0</v>
      </c>
      <c r="Y4586" s="168">
        <f t="shared" si="8"/>
        <v>0</v>
      </c>
      <c r="Z4586" s="168">
        <f t="shared" si="9"/>
        <v>0</v>
      </c>
    </row>
    <row r="4587" ht="15.0" customHeight="1">
      <c r="A4587" s="157" t="s">
        <v>5831</v>
      </c>
      <c r="B4587" s="158" t="s">
        <v>36</v>
      </c>
      <c r="C4587" s="158" t="s">
        <v>5832</v>
      </c>
      <c r="D4587" s="159">
        <v>45308.0</v>
      </c>
      <c r="E4587" s="157" t="s">
        <v>731</v>
      </c>
      <c r="F4587" s="160">
        <v>143645.36</v>
      </c>
      <c r="G4587" s="160">
        <f>'FACP$'!$F4587*0.16</f>
        <v>22983.2576</v>
      </c>
      <c r="H4587" s="160">
        <f t="shared" si="124"/>
        <v>166628.6176</v>
      </c>
      <c r="I4587" s="160"/>
      <c r="J4587" s="161"/>
      <c r="K4587" s="160"/>
      <c r="L4587" s="160">
        <f>+'FACP$'!$H4587-'FACP$'!$I4587-'FACP$'!$K4587</f>
        <v>166628.6176</v>
      </c>
      <c r="M4587" s="162" t="s">
        <v>278</v>
      </c>
      <c r="N4587" s="162" t="s">
        <v>554</v>
      </c>
      <c r="O4587" s="164">
        <v>45320.0</v>
      </c>
      <c r="P4587" s="164">
        <f t="array" ref="P4587">XLOOKUP('FACP$'!$B4587,'perfil de pagos'!$A$4:$A$46,'perfil de pagos'!$B$4:$B$46+'FACP$'!$D4587)</f>
        <v>45318</v>
      </c>
      <c r="Q4587" s="165">
        <f t="shared" si="128"/>
        <v>0</v>
      </c>
      <c r="R4587" s="167"/>
      <c r="S4587" s="167">
        <v>2769.0</v>
      </c>
      <c r="T4587" s="168">
        <f t="shared" si="3"/>
        <v>166628.6176</v>
      </c>
      <c r="U4587" s="168">
        <f t="shared" si="4"/>
        <v>0</v>
      </c>
      <c r="V4587" s="168">
        <f t="shared" si="5"/>
        <v>0</v>
      </c>
      <c r="W4587" s="168">
        <f t="shared" si="6"/>
        <v>0</v>
      </c>
      <c r="X4587" s="168">
        <f t="shared" si="7"/>
        <v>0</v>
      </c>
      <c r="Y4587" s="168">
        <f t="shared" si="8"/>
        <v>0</v>
      </c>
      <c r="Z4587" s="168">
        <f t="shared" si="9"/>
        <v>0</v>
      </c>
    </row>
    <row r="4588" ht="15.0" customHeight="1">
      <c r="A4588" s="157" t="s">
        <v>5833</v>
      </c>
      <c r="B4588" s="158" t="s">
        <v>42</v>
      </c>
      <c r="C4588" s="158" t="s">
        <v>5830</v>
      </c>
      <c r="D4588" s="159">
        <v>45308.0</v>
      </c>
      <c r="E4588" s="157" t="s">
        <v>731</v>
      </c>
      <c r="F4588" s="160">
        <v>212243.75</v>
      </c>
      <c r="G4588" s="160">
        <f>'FACP$'!$F4588*0.16</f>
        <v>33959</v>
      </c>
      <c r="H4588" s="160">
        <f t="shared" si="124"/>
        <v>246202.75</v>
      </c>
      <c r="I4588" s="160"/>
      <c r="J4588" s="161"/>
      <c r="K4588" s="160"/>
      <c r="L4588" s="160">
        <f>+'FACP$'!$H4588-'FACP$'!$I4588-'FACP$'!$K4588</f>
        <v>246202.75</v>
      </c>
      <c r="M4588" s="162" t="s">
        <v>42</v>
      </c>
      <c r="N4588" s="162" t="s">
        <v>554</v>
      </c>
      <c r="O4588" s="164">
        <v>45337.0</v>
      </c>
      <c r="P4588" s="164">
        <f t="array" ref="P4588">XLOOKUP('FACP$'!$B4588,'perfil de pagos'!$A$4:$A$46,'perfil de pagos'!$B$4:$B$46+'FACP$'!$D4588)</f>
        <v>45318</v>
      </c>
      <c r="Q4588" s="165">
        <f t="shared" si="128"/>
        <v>0</v>
      </c>
      <c r="R4588" s="167"/>
      <c r="S4588" s="167">
        <v>2802.0</v>
      </c>
      <c r="T4588" s="168">
        <f t="shared" si="3"/>
        <v>246202.75</v>
      </c>
      <c r="U4588" s="168">
        <f t="shared" si="4"/>
        <v>0</v>
      </c>
      <c r="V4588" s="168">
        <f t="shared" si="5"/>
        <v>0</v>
      </c>
      <c r="W4588" s="168">
        <f t="shared" si="6"/>
        <v>0</v>
      </c>
      <c r="X4588" s="168">
        <f t="shared" si="7"/>
        <v>0</v>
      </c>
      <c r="Y4588" s="168">
        <f t="shared" si="8"/>
        <v>0</v>
      </c>
      <c r="Z4588" s="168">
        <f t="shared" si="9"/>
        <v>0</v>
      </c>
    </row>
    <row r="4589" ht="15.0" customHeight="1">
      <c r="A4589" s="157" t="s">
        <v>5834</v>
      </c>
      <c r="B4589" s="158" t="s">
        <v>41</v>
      </c>
      <c r="C4589" s="158" t="s">
        <v>5830</v>
      </c>
      <c r="D4589" s="159">
        <v>45308.0</v>
      </c>
      <c r="E4589" s="157" t="s">
        <v>731</v>
      </c>
      <c r="F4589" s="160">
        <v>1230798.64</v>
      </c>
      <c r="G4589" s="160">
        <f>'FACP$'!$F4589*0.16</f>
        <v>196927.7824</v>
      </c>
      <c r="H4589" s="160">
        <f t="shared" si="124"/>
        <v>1427726.422</v>
      </c>
      <c r="I4589" s="160"/>
      <c r="J4589" s="161"/>
      <c r="K4589" s="160"/>
      <c r="L4589" s="160">
        <f>+'FACP$'!$H4589-'FACP$'!$I4589-'FACP$'!$K4589</f>
        <v>1427726.422</v>
      </c>
      <c r="M4589" s="162" t="s">
        <v>121</v>
      </c>
      <c r="N4589" s="162" t="s">
        <v>554</v>
      </c>
      <c r="O4589" s="164">
        <v>45343.0</v>
      </c>
      <c r="P4589" s="164">
        <f t="array" ref="P4589">XLOOKUP('FACP$'!$B4589,'perfil de pagos'!$A$4:$A$46,'perfil de pagos'!$B$4:$B$46+'FACP$'!$D4589)</f>
        <v>45318</v>
      </c>
      <c r="Q4589" s="165">
        <f t="shared" si="128"/>
        <v>0</v>
      </c>
      <c r="R4589" s="167"/>
      <c r="S4589" s="167">
        <v>2812.0</v>
      </c>
      <c r="T4589" s="168">
        <f t="shared" si="3"/>
        <v>1427726.422</v>
      </c>
      <c r="U4589" s="168">
        <f t="shared" si="4"/>
        <v>0</v>
      </c>
      <c r="V4589" s="168">
        <f t="shared" si="5"/>
        <v>0</v>
      </c>
      <c r="W4589" s="168">
        <f t="shared" si="6"/>
        <v>0</v>
      </c>
      <c r="X4589" s="168">
        <f t="shared" si="7"/>
        <v>0</v>
      </c>
      <c r="Y4589" s="168">
        <f t="shared" si="8"/>
        <v>0</v>
      </c>
      <c r="Z4589" s="168">
        <f t="shared" si="9"/>
        <v>0</v>
      </c>
    </row>
    <row r="4590" ht="15.0" customHeight="1">
      <c r="A4590" s="157" t="s">
        <v>5835</v>
      </c>
      <c r="B4590" s="158" t="s">
        <v>44</v>
      </c>
      <c r="C4590" s="158" t="s">
        <v>5830</v>
      </c>
      <c r="D4590" s="159">
        <v>45309.0</v>
      </c>
      <c r="E4590" s="157" t="s">
        <v>731</v>
      </c>
      <c r="F4590" s="160">
        <v>380733.9</v>
      </c>
      <c r="G4590" s="160">
        <f>'FACP$'!$F4590*0.16</f>
        <v>60917.424</v>
      </c>
      <c r="H4590" s="160">
        <f t="shared" si="124"/>
        <v>441651.324</v>
      </c>
      <c r="I4590" s="160"/>
      <c r="J4590" s="161"/>
      <c r="K4590" s="160"/>
      <c r="L4590" s="160">
        <f>+'FACP$'!$H4590-'FACP$'!$I4590-'FACP$'!$K4590</f>
        <v>441651.324</v>
      </c>
      <c r="M4590" s="162" t="s">
        <v>361</v>
      </c>
      <c r="N4590" s="162" t="s">
        <v>554</v>
      </c>
      <c r="O4590" s="164">
        <v>45324.0</v>
      </c>
      <c r="P4590" s="164">
        <f t="array" ref="P4590">XLOOKUP('FACP$'!$B4590,'perfil de pagos'!$A$4:$A$46,'perfil de pagos'!$B$4:$B$46+'FACP$'!$D4590)</f>
        <v>45319</v>
      </c>
      <c r="Q4590" s="165">
        <f t="shared" si="128"/>
        <v>0</v>
      </c>
      <c r="R4590" s="167"/>
      <c r="S4590" s="167">
        <v>2777.0</v>
      </c>
      <c r="T4590" s="168">
        <f t="shared" si="3"/>
        <v>441651.324</v>
      </c>
      <c r="U4590" s="168">
        <f t="shared" si="4"/>
        <v>0</v>
      </c>
      <c r="V4590" s="168">
        <f t="shared" si="5"/>
        <v>0</v>
      </c>
      <c r="W4590" s="168">
        <f t="shared" si="6"/>
        <v>0</v>
      </c>
      <c r="X4590" s="168">
        <f t="shared" si="7"/>
        <v>0</v>
      </c>
      <c r="Y4590" s="168">
        <f t="shared" si="8"/>
        <v>0</v>
      </c>
      <c r="Z4590" s="168">
        <f t="shared" si="9"/>
        <v>0</v>
      </c>
    </row>
    <row r="4591" ht="15.0" customHeight="1">
      <c r="A4591" s="157" t="s">
        <v>5836</v>
      </c>
      <c r="B4591" s="158" t="s">
        <v>35</v>
      </c>
      <c r="C4591" s="158" t="s">
        <v>5830</v>
      </c>
      <c r="D4591" s="159">
        <v>45309.0</v>
      </c>
      <c r="E4591" s="157" t="s">
        <v>731</v>
      </c>
      <c r="F4591" s="160">
        <v>445154.5</v>
      </c>
      <c r="G4591" s="160">
        <f>'FACP$'!$F4591*0.16</f>
        <v>71224.72</v>
      </c>
      <c r="H4591" s="160">
        <f t="shared" si="124"/>
        <v>516379.22</v>
      </c>
      <c r="I4591" s="160"/>
      <c r="J4591" s="161"/>
      <c r="K4591" s="160"/>
      <c r="L4591" s="160">
        <f>+'FACP$'!$H4591-'FACP$'!$I4591-'FACP$'!$K4591</f>
        <v>516379.22</v>
      </c>
      <c r="M4591" s="162" t="s">
        <v>276</v>
      </c>
      <c r="N4591" s="162" t="s">
        <v>554</v>
      </c>
      <c r="O4591" s="164">
        <v>45316.0</v>
      </c>
      <c r="P4591" s="164">
        <f t="array" ref="P4591">XLOOKUP('FACP$'!$B4591,'perfil de pagos'!$A$4:$A$46,'perfil de pagos'!$B$4:$B$46+'FACP$'!$D4591)</f>
        <v>45319</v>
      </c>
      <c r="Q4591" s="165">
        <f t="shared" si="128"/>
        <v>0</v>
      </c>
      <c r="R4591" s="167"/>
      <c r="S4591" s="220">
        <v>2761.0</v>
      </c>
      <c r="T4591" s="168">
        <f t="shared" si="3"/>
        <v>516379.22</v>
      </c>
      <c r="U4591" s="168">
        <f t="shared" si="4"/>
        <v>0</v>
      </c>
      <c r="V4591" s="168">
        <f t="shared" si="5"/>
        <v>0</v>
      </c>
      <c r="W4591" s="168">
        <f t="shared" si="6"/>
        <v>0</v>
      </c>
      <c r="X4591" s="168">
        <f t="shared" si="7"/>
        <v>0</v>
      </c>
      <c r="Y4591" s="168">
        <f t="shared" si="8"/>
        <v>0</v>
      </c>
      <c r="Z4591" s="168">
        <f t="shared" si="9"/>
        <v>0</v>
      </c>
    </row>
    <row r="4592" ht="15.0" customHeight="1">
      <c r="A4592" s="157" t="s">
        <v>5837</v>
      </c>
      <c r="B4592" s="158" t="s">
        <v>32</v>
      </c>
      <c r="C4592" s="158" t="s">
        <v>5830</v>
      </c>
      <c r="D4592" s="159">
        <v>45310.0</v>
      </c>
      <c r="E4592" s="157" t="s">
        <v>731</v>
      </c>
      <c r="F4592" s="160">
        <v>197959.52</v>
      </c>
      <c r="G4592" s="160">
        <f>'FACP$'!$F4592*0.16</f>
        <v>31673.5232</v>
      </c>
      <c r="H4592" s="160">
        <f t="shared" si="124"/>
        <v>229633.0432</v>
      </c>
      <c r="I4592" s="160"/>
      <c r="J4592" s="161"/>
      <c r="K4592" s="160"/>
      <c r="L4592" s="160">
        <f>+'FACP$'!$H4592-'FACP$'!$I4592-'FACP$'!$K4592</f>
        <v>229633.0432</v>
      </c>
      <c r="M4592" s="162" t="s">
        <v>395</v>
      </c>
      <c r="N4592" s="162" t="s">
        <v>554</v>
      </c>
      <c r="O4592" s="164">
        <v>45314.0</v>
      </c>
      <c r="P4592" s="164">
        <f t="array" ref="P4592">XLOOKUP('FACP$'!$B4592,'perfil de pagos'!$A$4:$A$46,'perfil de pagos'!$B$4:$B$46+'FACP$'!$D4592)</f>
        <v>45320</v>
      </c>
      <c r="Q4592" s="165">
        <f t="shared" si="128"/>
        <v>0</v>
      </c>
      <c r="R4592" s="167"/>
      <c r="S4592" s="167">
        <v>2824.0</v>
      </c>
      <c r="T4592" s="168">
        <f t="shared" si="3"/>
        <v>229633.0432</v>
      </c>
      <c r="U4592" s="168">
        <f t="shared" si="4"/>
        <v>0</v>
      </c>
      <c r="V4592" s="168">
        <f t="shared" si="5"/>
        <v>0</v>
      </c>
      <c r="W4592" s="168">
        <f t="shared" si="6"/>
        <v>0</v>
      </c>
      <c r="X4592" s="168">
        <f t="shared" si="7"/>
        <v>0</v>
      </c>
      <c r="Y4592" s="168">
        <f t="shared" si="8"/>
        <v>0</v>
      </c>
      <c r="Z4592" s="168">
        <f t="shared" si="9"/>
        <v>0</v>
      </c>
    </row>
    <row r="4593" ht="15.0" customHeight="1">
      <c r="A4593" s="157" t="s">
        <v>5838</v>
      </c>
      <c r="B4593" s="158" t="s">
        <v>38</v>
      </c>
      <c r="C4593" s="158" t="s">
        <v>5830</v>
      </c>
      <c r="D4593" s="159">
        <v>45310.0</v>
      </c>
      <c r="E4593" s="157" t="s">
        <v>731</v>
      </c>
      <c r="F4593" s="160">
        <v>66426.4</v>
      </c>
      <c r="G4593" s="160">
        <f>'FACP$'!$F4593*0.16</f>
        <v>10628.224</v>
      </c>
      <c r="H4593" s="160">
        <f t="shared" si="124"/>
        <v>77054.624</v>
      </c>
      <c r="I4593" s="160"/>
      <c r="J4593" s="161"/>
      <c r="K4593" s="160"/>
      <c r="L4593" s="160">
        <f>+'FACP$'!$H4593-'FACP$'!$I4593-'FACP$'!$K4593</f>
        <v>77054.624</v>
      </c>
      <c r="M4593" s="162" t="s">
        <v>4707</v>
      </c>
      <c r="N4593" s="162" t="s">
        <v>554</v>
      </c>
      <c r="O4593" s="164">
        <v>45349.0</v>
      </c>
      <c r="P4593" s="164">
        <f t="array" ref="P4593">XLOOKUP('FACP$'!$B4593,'perfil de pagos'!$A$4:$A$46,'perfil de pagos'!$B$4:$B$46+'FACP$'!$D4593)</f>
        <v>45340</v>
      </c>
      <c r="Q4593" s="165">
        <f t="shared" si="128"/>
        <v>0</v>
      </c>
      <c r="R4593" s="167"/>
      <c r="S4593" s="167">
        <v>2827.0</v>
      </c>
      <c r="T4593" s="168">
        <f t="shared" si="3"/>
        <v>77054.624</v>
      </c>
      <c r="U4593" s="168">
        <f t="shared" si="4"/>
        <v>0</v>
      </c>
      <c r="V4593" s="168">
        <f t="shared" si="5"/>
        <v>0</v>
      </c>
      <c r="W4593" s="168">
        <f t="shared" si="6"/>
        <v>0</v>
      </c>
      <c r="X4593" s="168">
        <f t="shared" si="7"/>
        <v>0</v>
      </c>
      <c r="Y4593" s="168">
        <f t="shared" si="8"/>
        <v>0</v>
      </c>
      <c r="Z4593" s="168">
        <f t="shared" si="9"/>
        <v>0</v>
      </c>
    </row>
    <row r="4594" ht="15.0" customHeight="1">
      <c r="A4594" s="157" t="s">
        <v>5839</v>
      </c>
      <c r="B4594" s="158" t="s">
        <v>38</v>
      </c>
      <c r="C4594" s="158" t="s">
        <v>5832</v>
      </c>
      <c r="D4594" s="159">
        <v>45310.0</v>
      </c>
      <c r="E4594" s="157" t="s">
        <v>731</v>
      </c>
      <c r="F4594" s="160">
        <v>89269.18</v>
      </c>
      <c r="G4594" s="160">
        <f>'FACP$'!$F4594*0.16</f>
        <v>14283.0688</v>
      </c>
      <c r="H4594" s="160">
        <f t="shared" si="124"/>
        <v>103552.2488</v>
      </c>
      <c r="I4594" s="160"/>
      <c r="J4594" s="161"/>
      <c r="K4594" s="160"/>
      <c r="L4594" s="160">
        <f>+'FACP$'!$H4594-'FACP$'!$I4594-'FACP$'!$K4594</f>
        <v>103552.2488</v>
      </c>
      <c r="M4594" s="162" t="s">
        <v>4707</v>
      </c>
      <c r="N4594" s="162" t="s">
        <v>554</v>
      </c>
      <c r="O4594" s="164">
        <v>45359.0</v>
      </c>
      <c r="P4594" s="164">
        <f t="array" ref="P4594">XLOOKUP('FACP$'!$B4594,'perfil de pagos'!$A$4:$A$46,'perfil de pagos'!$B$4:$B$46+'FACP$'!$D4594)</f>
        <v>45340</v>
      </c>
      <c r="Q4594" s="165">
        <f t="shared" si="128"/>
        <v>0</v>
      </c>
      <c r="R4594" s="167"/>
      <c r="S4594" s="167">
        <v>2847.0</v>
      </c>
      <c r="T4594" s="168">
        <f t="shared" si="3"/>
        <v>103552.2488</v>
      </c>
      <c r="U4594" s="168">
        <f t="shared" si="4"/>
        <v>0</v>
      </c>
      <c r="V4594" s="168">
        <f t="shared" si="5"/>
        <v>0</v>
      </c>
      <c r="W4594" s="168">
        <f t="shared" si="6"/>
        <v>0</v>
      </c>
      <c r="X4594" s="168">
        <f t="shared" si="7"/>
        <v>0</v>
      </c>
      <c r="Y4594" s="168">
        <f t="shared" si="8"/>
        <v>0</v>
      </c>
      <c r="Z4594" s="168">
        <f t="shared" si="9"/>
        <v>0</v>
      </c>
    </row>
    <row r="4595" ht="15.0" customHeight="1">
      <c r="A4595" s="157" t="s">
        <v>5840</v>
      </c>
      <c r="B4595" s="158" t="s">
        <v>38</v>
      </c>
      <c r="C4595" s="158" t="s">
        <v>5830</v>
      </c>
      <c r="D4595" s="159">
        <v>45310.0</v>
      </c>
      <c r="E4595" s="157" t="s">
        <v>731</v>
      </c>
      <c r="F4595" s="160">
        <v>126522.52</v>
      </c>
      <c r="G4595" s="160">
        <f>'FACP$'!$F4595*0.16</f>
        <v>20243.6032</v>
      </c>
      <c r="H4595" s="160">
        <f t="shared" si="124"/>
        <v>146766.1232</v>
      </c>
      <c r="I4595" s="160"/>
      <c r="J4595" s="161"/>
      <c r="K4595" s="160"/>
      <c r="L4595" s="160">
        <f>+'FACP$'!$H4595-'FACP$'!$I4595-'FACP$'!$K4595</f>
        <v>146766.1232</v>
      </c>
      <c r="M4595" s="162" t="s">
        <v>4654</v>
      </c>
      <c r="N4595" s="162" t="s">
        <v>554</v>
      </c>
      <c r="O4595" s="164">
        <v>45359.0</v>
      </c>
      <c r="P4595" s="164">
        <f t="array" ref="P4595">XLOOKUP('FACP$'!$B4595,'perfil de pagos'!$A$4:$A$46,'perfil de pagos'!$B$4:$B$46+'FACP$'!$D4595)</f>
        <v>45340</v>
      </c>
      <c r="Q4595" s="165">
        <f t="shared" si="128"/>
        <v>0</v>
      </c>
      <c r="R4595" s="167"/>
      <c r="S4595" s="167">
        <v>2847.0</v>
      </c>
      <c r="T4595" s="168">
        <f t="shared" si="3"/>
        <v>146766.1232</v>
      </c>
      <c r="U4595" s="168">
        <f t="shared" si="4"/>
        <v>0</v>
      </c>
      <c r="V4595" s="168">
        <f t="shared" si="5"/>
        <v>0</v>
      </c>
      <c r="W4595" s="168">
        <f t="shared" si="6"/>
        <v>0</v>
      </c>
      <c r="X4595" s="168">
        <f t="shared" si="7"/>
        <v>0</v>
      </c>
      <c r="Y4595" s="168">
        <f t="shared" si="8"/>
        <v>0</v>
      </c>
      <c r="Z4595" s="168">
        <f t="shared" si="9"/>
        <v>0</v>
      </c>
    </row>
    <row r="4596" ht="15.0" customHeight="1">
      <c r="A4596" s="157" t="s">
        <v>5841</v>
      </c>
      <c r="B4596" s="158" t="s">
        <v>43</v>
      </c>
      <c r="C4596" s="158" t="s">
        <v>5830</v>
      </c>
      <c r="D4596" s="159">
        <v>45310.0</v>
      </c>
      <c r="E4596" s="157" t="s">
        <v>731</v>
      </c>
      <c r="F4596" s="160">
        <v>1718220.93</v>
      </c>
      <c r="G4596" s="160">
        <f>'FACP$'!$F4596*0.16</f>
        <v>274915.3488</v>
      </c>
      <c r="H4596" s="160">
        <f t="shared" si="124"/>
        <v>1993136.279</v>
      </c>
      <c r="I4596" s="160"/>
      <c r="J4596" s="161"/>
      <c r="K4596" s="160"/>
      <c r="L4596" s="160">
        <f>+'FACP$'!$H4596-'FACP$'!$I4596-'FACP$'!$K4596</f>
        <v>1993136.279</v>
      </c>
      <c r="M4596" s="162" t="s">
        <v>43</v>
      </c>
      <c r="N4596" s="162" t="s">
        <v>554</v>
      </c>
      <c r="O4596" s="164">
        <v>45345.0</v>
      </c>
      <c r="P4596" s="164">
        <f t="array" ref="P4596">XLOOKUP('FACP$'!$B4596,'perfil de pagos'!$A$4:$A$46,'perfil de pagos'!$B$4:$B$46+'FACP$'!$D4596)</f>
        <v>45335</v>
      </c>
      <c r="Q4596" s="165">
        <f t="shared" si="128"/>
        <v>0</v>
      </c>
      <c r="R4596" s="167"/>
      <c r="S4596" s="167">
        <v>2819.0</v>
      </c>
      <c r="T4596" s="168">
        <f t="shared" si="3"/>
        <v>1993136.279</v>
      </c>
      <c r="U4596" s="168">
        <f t="shared" si="4"/>
        <v>0</v>
      </c>
      <c r="V4596" s="168">
        <f t="shared" si="5"/>
        <v>0</v>
      </c>
      <c r="W4596" s="168">
        <f t="shared" si="6"/>
        <v>0</v>
      </c>
      <c r="X4596" s="168">
        <f t="shared" si="7"/>
        <v>0</v>
      </c>
      <c r="Y4596" s="168">
        <f t="shared" si="8"/>
        <v>0</v>
      </c>
      <c r="Z4596" s="168">
        <f t="shared" si="9"/>
        <v>0</v>
      </c>
    </row>
    <row r="4597" ht="15.0" customHeight="1">
      <c r="A4597" s="157" t="s">
        <v>5842</v>
      </c>
      <c r="B4597" s="158" t="s">
        <v>43</v>
      </c>
      <c r="C4597" s="158" t="s">
        <v>5832</v>
      </c>
      <c r="D4597" s="159">
        <v>45310.0</v>
      </c>
      <c r="E4597" s="157" t="s">
        <v>731</v>
      </c>
      <c r="F4597" s="160">
        <v>1585777.27</v>
      </c>
      <c r="G4597" s="160">
        <f>'FACP$'!$F4597*0.16</f>
        <v>253724.3632</v>
      </c>
      <c r="H4597" s="160">
        <f t="shared" si="124"/>
        <v>1839501.633</v>
      </c>
      <c r="I4597" s="160"/>
      <c r="J4597" s="161"/>
      <c r="K4597" s="160"/>
      <c r="L4597" s="160">
        <f>+'FACP$'!$H4597-'FACP$'!$I4597-'FACP$'!$K4597</f>
        <v>1839501.633</v>
      </c>
      <c r="M4597" s="162" t="s">
        <v>43</v>
      </c>
      <c r="N4597" s="162" t="s">
        <v>554</v>
      </c>
      <c r="O4597" s="164">
        <v>45345.0</v>
      </c>
      <c r="P4597" s="164">
        <f t="array" ref="P4597">XLOOKUP('FACP$'!$B4597,'perfil de pagos'!$A$4:$A$46,'perfil de pagos'!$B$4:$B$46+'FACP$'!$D4597)</f>
        <v>45335</v>
      </c>
      <c r="Q4597" s="165">
        <f t="shared" si="128"/>
        <v>0</v>
      </c>
      <c r="R4597" s="167"/>
      <c r="S4597" s="167">
        <v>2818.0</v>
      </c>
      <c r="T4597" s="168">
        <f t="shared" si="3"/>
        <v>1839501.633</v>
      </c>
      <c r="U4597" s="168">
        <f t="shared" si="4"/>
        <v>0</v>
      </c>
      <c r="V4597" s="168">
        <f t="shared" si="5"/>
        <v>0</v>
      </c>
      <c r="W4597" s="168">
        <f t="shared" si="6"/>
        <v>0</v>
      </c>
      <c r="X4597" s="168">
        <f t="shared" si="7"/>
        <v>0</v>
      </c>
      <c r="Y4597" s="168">
        <f t="shared" si="8"/>
        <v>0</v>
      </c>
      <c r="Z4597" s="168">
        <f t="shared" si="9"/>
        <v>0</v>
      </c>
    </row>
    <row r="4598" ht="15.0" customHeight="1">
      <c r="A4598" s="157" t="s">
        <v>5843</v>
      </c>
      <c r="B4598" s="158" t="s">
        <v>27</v>
      </c>
      <c r="C4598" s="158" t="s">
        <v>5844</v>
      </c>
      <c r="D4598" s="159">
        <v>45310.0</v>
      </c>
      <c r="E4598" s="157" t="s">
        <v>731</v>
      </c>
      <c r="F4598" s="160">
        <v>160052.69</v>
      </c>
      <c r="G4598" s="160">
        <f>'FACP$'!$F4598*0.16</f>
        <v>25608.4304</v>
      </c>
      <c r="H4598" s="160">
        <f t="shared" si="124"/>
        <v>185661.1204</v>
      </c>
      <c r="I4598" s="160"/>
      <c r="J4598" s="161"/>
      <c r="K4598" s="160"/>
      <c r="L4598" s="160">
        <f>+'FACP$'!$H4598-'FACP$'!$I4598-'FACP$'!$K4598</f>
        <v>185661.1204</v>
      </c>
      <c r="M4598" s="162" t="s">
        <v>158</v>
      </c>
      <c r="N4598" s="162" t="s">
        <v>554</v>
      </c>
      <c r="O4598" s="164">
        <v>45344.0</v>
      </c>
      <c r="P4598" s="164">
        <f t="array" ref="P4598">XLOOKUP('FACP$'!$B4598,'perfil de pagos'!$A$4:$A$46,'perfil de pagos'!$B$4:$B$46+'FACP$'!$D4598)</f>
        <v>45340</v>
      </c>
      <c r="Q4598" s="165">
        <f t="shared" si="128"/>
        <v>0</v>
      </c>
      <c r="R4598" s="167"/>
      <c r="S4598" s="167">
        <v>2814.0</v>
      </c>
      <c r="T4598" s="168">
        <f t="shared" si="3"/>
        <v>185661.1204</v>
      </c>
      <c r="U4598" s="168">
        <f t="shared" si="4"/>
        <v>0</v>
      </c>
      <c r="V4598" s="168">
        <f t="shared" si="5"/>
        <v>0</v>
      </c>
      <c r="W4598" s="168">
        <f t="shared" si="6"/>
        <v>0</v>
      </c>
      <c r="X4598" s="168">
        <f t="shared" si="7"/>
        <v>0</v>
      </c>
      <c r="Y4598" s="168">
        <f t="shared" si="8"/>
        <v>0</v>
      </c>
      <c r="Z4598" s="168">
        <f t="shared" si="9"/>
        <v>0</v>
      </c>
    </row>
    <row r="4599" ht="15.0" customHeight="1">
      <c r="A4599" s="157" t="s">
        <v>5845</v>
      </c>
      <c r="B4599" s="158" t="s">
        <v>27</v>
      </c>
      <c r="C4599" s="158" t="s">
        <v>5846</v>
      </c>
      <c r="D4599" s="159">
        <v>45310.0</v>
      </c>
      <c r="E4599" s="157" t="s">
        <v>731</v>
      </c>
      <c r="F4599" s="160">
        <v>109547.33</v>
      </c>
      <c r="G4599" s="160">
        <f>'FACP$'!$F4599*0.16</f>
        <v>17527.5728</v>
      </c>
      <c r="H4599" s="160">
        <f t="shared" si="124"/>
        <v>127074.9028</v>
      </c>
      <c r="I4599" s="160"/>
      <c r="J4599" s="161"/>
      <c r="K4599" s="160"/>
      <c r="L4599" s="160">
        <f>+'FACP$'!$H4599-'FACP$'!$I4599-'FACP$'!$K4599</f>
        <v>127074.9028</v>
      </c>
      <c r="M4599" s="162" t="s">
        <v>158</v>
      </c>
      <c r="N4599" s="162" t="s">
        <v>554</v>
      </c>
      <c r="O4599" s="164">
        <v>45344.0</v>
      </c>
      <c r="P4599" s="164">
        <f t="array" ref="P4599">XLOOKUP('FACP$'!$B4599,'perfil de pagos'!$A$4:$A$46,'perfil de pagos'!$B$4:$B$46+'FACP$'!$D4599)</f>
        <v>45340</v>
      </c>
      <c r="Q4599" s="165">
        <f t="shared" si="128"/>
        <v>0</v>
      </c>
      <c r="R4599" s="167"/>
      <c r="S4599" s="167">
        <v>2814.0</v>
      </c>
      <c r="T4599" s="168">
        <f t="shared" si="3"/>
        <v>127074.9028</v>
      </c>
      <c r="U4599" s="168">
        <f t="shared" si="4"/>
        <v>0</v>
      </c>
      <c r="V4599" s="168">
        <f t="shared" si="5"/>
        <v>0</v>
      </c>
      <c r="W4599" s="168">
        <f t="shared" si="6"/>
        <v>0</v>
      </c>
      <c r="X4599" s="168">
        <f t="shared" si="7"/>
        <v>0</v>
      </c>
      <c r="Y4599" s="168">
        <f t="shared" si="8"/>
        <v>0</v>
      </c>
      <c r="Z4599" s="168">
        <f t="shared" si="9"/>
        <v>0</v>
      </c>
    </row>
    <row r="4600" ht="15.0" customHeight="1">
      <c r="A4600" s="157" t="s">
        <v>5847</v>
      </c>
      <c r="B4600" s="158" t="s">
        <v>27</v>
      </c>
      <c r="C4600" s="158" t="s">
        <v>5844</v>
      </c>
      <c r="D4600" s="159">
        <v>45310.0</v>
      </c>
      <c r="E4600" s="157" t="s">
        <v>731</v>
      </c>
      <c r="F4600" s="160">
        <v>350368.67</v>
      </c>
      <c r="G4600" s="160">
        <f>'FACP$'!$F4600*0.16</f>
        <v>56058.9872</v>
      </c>
      <c r="H4600" s="160">
        <f t="shared" si="124"/>
        <v>406427.6572</v>
      </c>
      <c r="I4600" s="160"/>
      <c r="J4600" s="161"/>
      <c r="K4600" s="160"/>
      <c r="L4600" s="160">
        <f>+'FACP$'!$H4600-'FACP$'!$I4600-'FACP$'!$K4600</f>
        <v>406427.6572</v>
      </c>
      <c r="M4600" s="162" t="s">
        <v>151</v>
      </c>
      <c r="N4600" s="162" t="s">
        <v>554</v>
      </c>
      <c r="O4600" s="164">
        <v>45344.0</v>
      </c>
      <c r="P4600" s="164">
        <f t="array" ref="P4600">XLOOKUP('FACP$'!$B4600,'perfil de pagos'!$A$4:$A$46,'perfil de pagos'!$B$4:$B$46+'FACP$'!$D4600)</f>
        <v>45340</v>
      </c>
      <c r="Q4600" s="165">
        <f t="shared" si="128"/>
        <v>0</v>
      </c>
      <c r="R4600" s="167"/>
      <c r="S4600" s="167">
        <v>2815.0</v>
      </c>
      <c r="T4600" s="168">
        <f t="shared" si="3"/>
        <v>406427.6572</v>
      </c>
      <c r="U4600" s="168">
        <f t="shared" si="4"/>
        <v>0</v>
      </c>
      <c r="V4600" s="168">
        <f t="shared" si="5"/>
        <v>0</v>
      </c>
      <c r="W4600" s="168">
        <f t="shared" si="6"/>
        <v>0</v>
      </c>
      <c r="X4600" s="168">
        <f t="shared" si="7"/>
        <v>0</v>
      </c>
      <c r="Y4600" s="168">
        <f t="shared" si="8"/>
        <v>0</v>
      </c>
      <c r="Z4600" s="168">
        <f t="shared" si="9"/>
        <v>0</v>
      </c>
    </row>
    <row r="4601" ht="15.0" customHeight="1">
      <c r="A4601" s="157" t="s">
        <v>5848</v>
      </c>
      <c r="B4601" s="158" t="s">
        <v>27</v>
      </c>
      <c r="C4601" s="158" t="s">
        <v>5846</v>
      </c>
      <c r="D4601" s="159">
        <v>45310.0</v>
      </c>
      <c r="E4601" s="157" t="s">
        <v>731</v>
      </c>
      <c r="F4601" s="160">
        <v>227561.38</v>
      </c>
      <c r="G4601" s="160">
        <f>'FACP$'!$F4601*0.16</f>
        <v>36409.8208</v>
      </c>
      <c r="H4601" s="160">
        <f t="shared" si="124"/>
        <v>263971.2008</v>
      </c>
      <c r="I4601" s="160"/>
      <c r="J4601" s="161"/>
      <c r="K4601" s="160"/>
      <c r="L4601" s="160">
        <f>+'FACP$'!$H4601-'FACP$'!$I4601-'FACP$'!$K4601</f>
        <v>263971.2008</v>
      </c>
      <c r="M4601" s="162" t="s">
        <v>151</v>
      </c>
      <c r="N4601" s="162" t="s">
        <v>554</v>
      </c>
      <c r="O4601" s="164">
        <v>45344.0</v>
      </c>
      <c r="P4601" s="164">
        <f t="array" ref="P4601">XLOOKUP('FACP$'!$B4601,'perfil de pagos'!$A$4:$A$46,'perfil de pagos'!$B$4:$B$46+'FACP$'!$D4601)</f>
        <v>45340</v>
      </c>
      <c r="Q4601" s="165">
        <f t="shared" si="128"/>
        <v>0</v>
      </c>
      <c r="R4601" s="167"/>
      <c r="S4601" s="167">
        <v>2815.0</v>
      </c>
      <c r="T4601" s="168">
        <f t="shared" si="3"/>
        <v>263971.2008</v>
      </c>
      <c r="U4601" s="168">
        <f t="shared" si="4"/>
        <v>0</v>
      </c>
      <c r="V4601" s="168">
        <f t="shared" si="5"/>
        <v>0</v>
      </c>
      <c r="W4601" s="168">
        <f t="shared" si="6"/>
        <v>0</v>
      </c>
      <c r="X4601" s="168">
        <f t="shared" si="7"/>
        <v>0</v>
      </c>
      <c r="Y4601" s="168">
        <f t="shared" si="8"/>
        <v>0</v>
      </c>
      <c r="Z4601" s="168">
        <f t="shared" si="9"/>
        <v>0</v>
      </c>
    </row>
    <row r="4602" ht="15.0" customHeight="1">
      <c r="A4602" s="157" t="s">
        <v>5849</v>
      </c>
      <c r="B4602" s="158" t="s">
        <v>27</v>
      </c>
      <c r="C4602" s="158" t="s">
        <v>5844</v>
      </c>
      <c r="D4602" s="159">
        <v>45310.0</v>
      </c>
      <c r="E4602" s="157" t="s">
        <v>731</v>
      </c>
      <c r="F4602" s="160">
        <v>14546.4</v>
      </c>
      <c r="G4602" s="160">
        <f>'FACP$'!$F4602*0.16</f>
        <v>2327.424</v>
      </c>
      <c r="H4602" s="160">
        <f t="shared" si="124"/>
        <v>16873.824</v>
      </c>
      <c r="I4602" s="160"/>
      <c r="J4602" s="161"/>
      <c r="K4602" s="160"/>
      <c r="L4602" s="160">
        <f>+'FACP$'!$H4602-'FACP$'!$I4602-'FACP$'!$K4602</f>
        <v>16873.824</v>
      </c>
      <c r="M4602" s="162" t="s">
        <v>151</v>
      </c>
      <c r="N4602" s="162" t="s">
        <v>554</v>
      </c>
      <c r="O4602" s="164">
        <v>45344.0</v>
      </c>
      <c r="P4602" s="164">
        <f t="array" ref="P4602">XLOOKUP('FACP$'!$B4602,'perfil de pagos'!$A$4:$A$46,'perfil de pagos'!$B$4:$B$46+'FACP$'!$D4602)</f>
        <v>45340</v>
      </c>
      <c r="Q4602" s="165">
        <f t="shared" si="128"/>
        <v>0</v>
      </c>
      <c r="R4602" s="167"/>
      <c r="S4602" s="167">
        <v>2815.0</v>
      </c>
      <c r="T4602" s="168">
        <f t="shared" si="3"/>
        <v>16873.824</v>
      </c>
      <c r="U4602" s="168">
        <f t="shared" si="4"/>
        <v>0</v>
      </c>
      <c r="V4602" s="168">
        <f t="shared" si="5"/>
        <v>0</v>
      </c>
      <c r="W4602" s="168">
        <f t="shared" si="6"/>
        <v>0</v>
      </c>
      <c r="X4602" s="168">
        <f t="shared" si="7"/>
        <v>0</v>
      </c>
      <c r="Y4602" s="168">
        <f t="shared" si="8"/>
        <v>0</v>
      </c>
      <c r="Z4602" s="168">
        <f t="shared" si="9"/>
        <v>0</v>
      </c>
    </row>
    <row r="4603" ht="15.0" customHeight="1">
      <c r="A4603" s="157" t="s">
        <v>5850</v>
      </c>
      <c r="B4603" s="158" t="s">
        <v>27</v>
      </c>
      <c r="C4603" s="158" t="s">
        <v>5846</v>
      </c>
      <c r="D4603" s="159">
        <v>45310.0</v>
      </c>
      <c r="E4603" s="157" t="s">
        <v>731</v>
      </c>
      <c r="F4603" s="160">
        <v>13535.13</v>
      </c>
      <c r="G4603" s="160">
        <f>'FACP$'!$F4603*0.16</f>
        <v>2165.6208</v>
      </c>
      <c r="H4603" s="160">
        <f t="shared" si="124"/>
        <v>15700.7508</v>
      </c>
      <c r="I4603" s="160"/>
      <c r="J4603" s="161"/>
      <c r="K4603" s="160"/>
      <c r="L4603" s="160">
        <f>+'FACP$'!$H4603-'FACP$'!$I4603-'FACP$'!$K4603</f>
        <v>15700.7508</v>
      </c>
      <c r="M4603" s="162" t="s">
        <v>151</v>
      </c>
      <c r="N4603" s="162" t="s">
        <v>554</v>
      </c>
      <c r="O4603" s="164">
        <v>45344.0</v>
      </c>
      <c r="P4603" s="164">
        <f t="array" ref="P4603">XLOOKUP('FACP$'!$B4603,'perfil de pagos'!$A$4:$A$46,'perfil de pagos'!$B$4:$B$46+'FACP$'!$D4603)</f>
        <v>45340</v>
      </c>
      <c r="Q4603" s="165">
        <f t="shared" si="128"/>
        <v>0</v>
      </c>
      <c r="R4603" s="167"/>
      <c r="S4603" s="167">
        <v>2815.0</v>
      </c>
      <c r="T4603" s="168">
        <f t="shared" si="3"/>
        <v>15700.7508</v>
      </c>
      <c r="U4603" s="168">
        <f t="shared" si="4"/>
        <v>0</v>
      </c>
      <c r="V4603" s="168">
        <f t="shared" si="5"/>
        <v>0</v>
      </c>
      <c r="W4603" s="168">
        <f t="shared" si="6"/>
        <v>0</v>
      </c>
      <c r="X4603" s="168">
        <f t="shared" si="7"/>
        <v>0</v>
      </c>
      <c r="Y4603" s="168">
        <f t="shared" si="8"/>
        <v>0</v>
      </c>
      <c r="Z4603" s="168">
        <f t="shared" si="9"/>
        <v>0</v>
      </c>
    </row>
    <row r="4604" ht="15.0" customHeight="1">
      <c r="A4604" s="157" t="s">
        <v>5851</v>
      </c>
      <c r="B4604" s="158" t="s">
        <v>47</v>
      </c>
      <c r="C4604" s="158" t="s">
        <v>5852</v>
      </c>
      <c r="D4604" s="159">
        <v>45316.0</v>
      </c>
      <c r="E4604" s="157" t="s">
        <v>731</v>
      </c>
      <c r="F4604" s="160"/>
      <c r="G4604" s="160">
        <f>'FACP$'!$F4604*0.16</f>
        <v>0</v>
      </c>
      <c r="H4604" s="160">
        <f t="shared" si="124"/>
        <v>0</v>
      </c>
      <c r="I4604" s="160"/>
      <c r="J4604" s="161"/>
      <c r="K4604" s="160"/>
      <c r="L4604" s="160">
        <f>+'FACP$'!$H4604-'FACP$'!$I4604-'FACP$'!$K4604</f>
        <v>0</v>
      </c>
      <c r="M4604" s="162"/>
      <c r="N4604" s="162" t="s">
        <v>127</v>
      </c>
      <c r="O4604" s="164"/>
      <c r="P4604" s="164">
        <f t="array" ref="P4604">XLOOKUP('FACP$'!$B4604,'perfil de pagos'!$A$4:$A$46,'perfil de pagos'!$B$4:$B$46+'FACP$'!$D4604)</f>
        <v>45316</v>
      </c>
      <c r="Q4604" s="165">
        <f t="shared" si="128"/>
        <v>0</v>
      </c>
      <c r="R4604" s="167"/>
      <c r="S4604" s="167"/>
      <c r="T4604" s="168">
        <f t="shared" si="3"/>
        <v>0</v>
      </c>
      <c r="U4604" s="168">
        <f t="shared" si="4"/>
        <v>0</v>
      </c>
      <c r="V4604" s="168">
        <f t="shared" si="5"/>
        <v>0</v>
      </c>
      <c r="W4604" s="168">
        <f t="shared" si="6"/>
        <v>0</v>
      </c>
      <c r="X4604" s="168">
        <f t="shared" si="7"/>
        <v>0</v>
      </c>
      <c r="Y4604" s="168">
        <f t="shared" si="8"/>
        <v>0</v>
      </c>
      <c r="Z4604" s="168">
        <f t="shared" si="9"/>
        <v>0</v>
      </c>
    </row>
    <row r="4605" ht="15.0" customHeight="1">
      <c r="A4605" s="157" t="s">
        <v>5853</v>
      </c>
      <c r="B4605" s="158" t="s">
        <v>47</v>
      </c>
      <c r="C4605" s="158" t="s">
        <v>5852</v>
      </c>
      <c r="D4605" s="159">
        <v>45316.0</v>
      </c>
      <c r="E4605" s="157" t="s">
        <v>731</v>
      </c>
      <c r="F4605" s="160">
        <v>6049.24</v>
      </c>
      <c r="G4605" s="160">
        <f>'FACP$'!$F4605*0.16</f>
        <v>967.8784</v>
      </c>
      <c r="H4605" s="160">
        <f t="shared" si="124"/>
        <v>7017.1184</v>
      </c>
      <c r="I4605" s="160"/>
      <c r="J4605" s="161"/>
      <c r="K4605" s="160"/>
      <c r="L4605" s="160">
        <f>+'FACP$'!$H4605-'FACP$'!$I4605-'FACP$'!$K4605</f>
        <v>7017.1184</v>
      </c>
      <c r="M4605" s="162" t="s">
        <v>5854</v>
      </c>
      <c r="N4605" s="162" t="s">
        <v>554</v>
      </c>
      <c r="O4605" s="164"/>
      <c r="P4605" s="164">
        <f t="array" ref="P4605">XLOOKUP('FACP$'!$B4605,'perfil de pagos'!$A$4:$A$46,'perfil de pagos'!$B$4:$B$46+'FACP$'!$D4605)</f>
        <v>45316</v>
      </c>
      <c r="Q4605" s="165">
        <f t="shared" si="128"/>
        <v>0</v>
      </c>
      <c r="R4605" s="167"/>
      <c r="S4605" s="167"/>
      <c r="T4605" s="168">
        <f t="shared" si="3"/>
        <v>7017.1184</v>
      </c>
      <c r="U4605" s="168">
        <f t="shared" si="4"/>
        <v>0</v>
      </c>
      <c r="V4605" s="168">
        <f t="shared" si="5"/>
        <v>0</v>
      </c>
      <c r="W4605" s="168">
        <f t="shared" si="6"/>
        <v>0</v>
      </c>
      <c r="X4605" s="168">
        <f t="shared" si="7"/>
        <v>0</v>
      </c>
      <c r="Y4605" s="168">
        <f t="shared" si="8"/>
        <v>0</v>
      </c>
      <c r="Z4605" s="168">
        <f t="shared" si="9"/>
        <v>0</v>
      </c>
    </row>
    <row r="4606" ht="15.0" customHeight="1">
      <c r="A4606" s="157" t="s">
        <v>5855</v>
      </c>
      <c r="B4606" s="158" t="s">
        <v>37</v>
      </c>
      <c r="C4606" s="158" t="s">
        <v>5830</v>
      </c>
      <c r="D4606" s="159">
        <v>45317.0</v>
      </c>
      <c r="E4606" s="157" t="s">
        <v>731</v>
      </c>
      <c r="F4606" s="160">
        <v>1623786.29</v>
      </c>
      <c r="G4606" s="160">
        <f>'FACP$'!$F4606*0.16</f>
        <v>259805.8064</v>
      </c>
      <c r="H4606" s="160">
        <f t="shared" si="124"/>
        <v>1883592.096</v>
      </c>
      <c r="I4606" s="160"/>
      <c r="J4606" s="161"/>
      <c r="K4606" s="160"/>
      <c r="L4606" s="160">
        <f>+'FACP$'!$H4606-'FACP$'!$I4606-'FACP$'!$K4606</f>
        <v>1883592.096</v>
      </c>
      <c r="M4606" s="162" t="s">
        <v>116</v>
      </c>
      <c r="N4606" s="162" t="s">
        <v>554</v>
      </c>
      <c r="O4606" s="164">
        <v>45328.0</v>
      </c>
      <c r="P4606" s="164">
        <f t="array" ref="P4606">XLOOKUP('FACP$'!$B4606,'perfil de pagos'!$A$4:$A$46,'perfil de pagos'!$B$4:$B$46+'FACP$'!$D4606)</f>
        <v>45327</v>
      </c>
      <c r="Q4606" s="165">
        <f t="shared" si="128"/>
        <v>0</v>
      </c>
      <c r="R4606" s="167"/>
      <c r="S4606" s="167">
        <v>2784.0</v>
      </c>
      <c r="T4606" s="168">
        <f t="shared" si="3"/>
        <v>1883592.096</v>
      </c>
      <c r="U4606" s="168">
        <f t="shared" si="4"/>
        <v>0</v>
      </c>
      <c r="V4606" s="168">
        <f t="shared" si="5"/>
        <v>0</v>
      </c>
      <c r="W4606" s="168">
        <f t="shared" si="6"/>
        <v>0</v>
      </c>
      <c r="X4606" s="168">
        <f t="shared" si="7"/>
        <v>0</v>
      </c>
      <c r="Y4606" s="168">
        <f t="shared" si="8"/>
        <v>0</v>
      </c>
      <c r="Z4606" s="168">
        <f t="shared" si="9"/>
        <v>0</v>
      </c>
    </row>
    <row r="4607" ht="15.0" customHeight="1">
      <c r="A4607" s="157" t="s">
        <v>5856</v>
      </c>
      <c r="B4607" s="158" t="s">
        <v>16</v>
      </c>
      <c r="C4607" s="158" t="s">
        <v>5830</v>
      </c>
      <c r="D4607" s="159">
        <v>45317.0</v>
      </c>
      <c r="E4607" s="157" t="s">
        <v>731</v>
      </c>
      <c r="F4607" s="160">
        <v>327263.04</v>
      </c>
      <c r="G4607" s="160">
        <f>'FACP$'!$F4607*0.16</f>
        <v>52362.0864</v>
      </c>
      <c r="H4607" s="160">
        <f t="shared" si="124"/>
        <v>379625.1264</v>
      </c>
      <c r="I4607" s="160"/>
      <c r="J4607" s="161"/>
      <c r="K4607" s="160"/>
      <c r="L4607" s="160">
        <f>+'FACP$'!$H4607-'FACP$'!$I4607-'FACP$'!$K4607</f>
        <v>379625.1264</v>
      </c>
      <c r="M4607" s="162" t="s">
        <v>985</v>
      </c>
      <c r="N4607" s="162" t="s">
        <v>554</v>
      </c>
      <c r="O4607" s="164">
        <v>45338.0</v>
      </c>
      <c r="P4607" s="164">
        <f t="array" ref="P4607">XLOOKUP('FACP$'!$B4607,'perfil de pagos'!$A$4:$A$46,'perfil de pagos'!$B$4:$B$46+'FACP$'!$D4607)</f>
        <v>45327</v>
      </c>
      <c r="Q4607" s="165">
        <f t="shared" si="128"/>
        <v>0</v>
      </c>
      <c r="R4607" s="167"/>
      <c r="S4607" s="167">
        <v>2809.0</v>
      </c>
      <c r="T4607" s="168">
        <f t="shared" si="3"/>
        <v>379625.1264</v>
      </c>
      <c r="U4607" s="168">
        <f t="shared" si="4"/>
        <v>0</v>
      </c>
      <c r="V4607" s="168">
        <f t="shared" si="5"/>
        <v>0</v>
      </c>
      <c r="W4607" s="168">
        <f t="shared" si="6"/>
        <v>0</v>
      </c>
      <c r="X4607" s="168">
        <f t="shared" si="7"/>
        <v>0</v>
      </c>
      <c r="Y4607" s="168">
        <f t="shared" si="8"/>
        <v>0</v>
      </c>
      <c r="Z4607" s="168">
        <f t="shared" si="9"/>
        <v>0</v>
      </c>
    </row>
    <row r="4608" ht="15.0" customHeight="1">
      <c r="A4608" s="157" t="s">
        <v>5857</v>
      </c>
      <c r="B4608" s="158" t="s">
        <v>16</v>
      </c>
      <c r="C4608" s="158" t="s">
        <v>5832</v>
      </c>
      <c r="D4608" s="159">
        <v>45317.0</v>
      </c>
      <c r="E4608" s="157" t="s">
        <v>731</v>
      </c>
      <c r="F4608" s="160">
        <v>427232.42</v>
      </c>
      <c r="G4608" s="160">
        <f>'FACP$'!$F4608*0.16</f>
        <v>68357.1872</v>
      </c>
      <c r="H4608" s="160">
        <f t="shared" si="124"/>
        <v>495589.6072</v>
      </c>
      <c r="I4608" s="160"/>
      <c r="J4608" s="161"/>
      <c r="K4608" s="160"/>
      <c r="L4608" s="160">
        <f>+'FACP$'!$H4608-'FACP$'!$I4608-'FACP$'!$K4608</f>
        <v>495589.6072</v>
      </c>
      <c r="M4608" s="162" t="s">
        <v>985</v>
      </c>
      <c r="N4608" s="162" t="s">
        <v>554</v>
      </c>
      <c r="O4608" s="164">
        <v>45338.0</v>
      </c>
      <c r="P4608" s="164">
        <f t="array" ref="P4608">XLOOKUP('FACP$'!$B4608,'perfil de pagos'!$A$4:$A$46,'perfil de pagos'!$B$4:$B$46+'FACP$'!$D4608)</f>
        <v>45327</v>
      </c>
      <c r="Q4608" s="165">
        <f t="shared" si="128"/>
        <v>0</v>
      </c>
      <c r="R4608" s="167"/>
      <c r="S4608" s="167">
        <v>2809.0</v>
      </c>
      <c r="T4608" s="168">
        <f t="shared" si="3"/>
        <v>495589.6072</v>
      </c>
      <c r="U4608" s="168">
        <f t="shared" si="4"/>
        <v>0</v>
      </c>
      <c r="V4608" s="168">
        <f t="shared" si="5"/>
        <v>0</v>
      </c>
      <c r="W4608" s="168">
        <f t="shared" si="6"/>
        <v>0</v>
      </c>
      <c r="X4608" s="168">
        <f t="shared" si="7"/>
        <v>0</v>
      </c>
      <c r="Y4608" s="168">
        <f t="shared" si="8"/>
        <v>0</v>
      </c>
      <c r="Z4608" s="168">
        <f t="shared" si="9"/>
        <v>0</v>
      </c>
    </row>
    <row r="4609" ht="15.0" customHeight="1">
      <c r="A4609" s="157" t="s">
        <v>5858</v>
      </c>
      <c r="B4609" s="158" t="s">
        <v>18</v>
      </c>
      <c r="C4609" s="158" t="s">
        <v>5830</v>
      </c>
      <c r="D4609" s="159">
        <v>45317.0</v>
      </c>
      <c r="E4609" s="157" t="s">
        <v>731</v>
      </c>
      <c r="F4609" s="160">
        <v>64713.78</v>
      </c>
      <c r="G4609" s="160">
        <f>'FACP$'!$F4609*0.16</f>
        <v>10354.2048</v>
      </c>
      <c r="H4609" s="160">
        <f t="shared" si="124"/>
        <v>75067.9848</v>
      </c>
      <c r="I4609" s="160"/>
      <c r="J4609" s="161"/>
      <c r="K4609" s="160"/>
      <c r="L4609" s="160">
        <f>+'FACP$'!$H4609-'FACP$'!$I4609-'FACP$'!$K4609</f>
        <v>75067.9848</v>
      </c>
      <c r="M4609" s="162" t="s">
        <v>586</v>
      </c>
      <c r="N4609" s="162" t="s">
        <v>554</v>
      </c>
      <c r="O4609" s="164">
        <v>45329.0</v>
      </c>
      <c r="P4609" s="164">
        <f t="array" ref="P4609">XLOOKUP('FACP$'!$B4609,'perfil de pagos'!$A$4:$A$46,'perfil de pagos'!$B$4:$B$46+'FACP$'!$D4609)</f>
        <v>45327</v>
      </c>
      <c r="Q4609" s="165">
        <f t="shared" si="128"/>
        <v>0</v>
      </c>
      <c r="R4609" s="167"/>
      <c r="S4609" s="167">
        <v>2787.0</v>
      </c>
      <c r="T4609" s="168">
        <f t="shared" si="3"/>
        <v>75067.9848</v>
      </c>
      <c r="U4609" s="168">
        <f t="shared" si="4"/>
        <v>0</v>
      </c>
      <c r="V4609" s="168">
        <f t="shared" si="5"/>
        <v>0</v>
      </c>
      <c r="W4609" s="168">
        <f t="shared" si="6"/>
        <v>0</v>
      </c>
      <c r="X4609" s="168">
        <f t="shared" si="7"/>
        <v>0</v>
      </c>
      <c r="Y4609" s="168">
        <f t="shared" si="8"/>
        <v>0</v>
      </c>
      <c r="Z4609" s="168">
        <f t="shared" si="9"/>
        <v>0</v>
      </c>
    </row>
    <row r="4610" ht="15.0" customHeight="1">
      <c r="A4610" s="157" t="s">
        <v>5859</v>
      </c>
      <c r="B4610" s="158" t="s">
        <v>19</v>
      </c>
      <c r="C4610" s="158" t="s">
        <v>5830</v>
      </c>
      <c r="D4610" s="159">
        <v>45317.0</v>
      </c>
      <c r="E4610" s="157" t="s">
        <v>731</v>
      </c>
      <c r="F4610" s="160">
        <v>151280.3</v>
      </c>
      <c r="G4610" s="160">
        <f>'FACP$'!$F4610*0.16</f>
        <v>24204.848</v>
      </c>
      <c r="H4610" s="160">
        <f t="shared" si="124"/>
        <v>175485.148</v>
      </c>
      <c r="I4610" s="160"/>
      <c r="J4610" s="161"/>
      <c r="K4610" s="160"/>
      <c r="L4610" s="160">
        <f>+'FACP$'!$H4610-'FACP$'!$I4610-'FACP$'!$K4610</f>
        <v>175485.148</v>
      </c>
      <c r="M4610" s="162" t="s">
        <v>732</v>
      </c>
      <c r="N4610" s="162" t="s">
        <v>554</v>
      </c>
      <c r="O4610" s="164">
        <v>45329.0</v>
      </c>
      <c r="P4610" s="164">
        <f t="array" ref="P4610">XLOOKUP('FACP$'!$B4610,'perfil de pagos'!$A$4:$A$46,'perfil de pagos'!$B$4:$B$46+'FACP$'!$D4610)</f>
        <v>45327</v>
      </c>
      <c r="Q4610" s="165">
        <f t="shared" si="128"/>
        <v>0</v>
      </c>
      <c r="R4610" s="167"/>
      <c r="S4610" s="167">
        <v>2787.0</v>
      </c>
      <c r="T4610" s="168">
        <f t="shared" si="3"/>
        <v>175485.148</v>
      </c>
      <c r="U4610" s="168">
        <f t="shared" si="4"/>
        <v>0</v>
      </c>
      <c r="V4610" s="168">
        <f t="shared" si="5"/>
        <v>0</v>
      </c>
      <c r="W4610" s="168">
        <f t="shared" si="6"/>
        <v>0</v>
      </c>
      <c r="X4610" s="168">
        <f t="shared" si="7"/>
        <v>0</v>
      </c>
      <c r="Y4610" s="168">
        <f t="shared" si="8"/>
        <v>0</v>
      </c>
      <c r="Z4610" s="168">
        <f t="shared" si="9"/>
        <v>0</v>
      </c>
    </row>
    <row r="4611" ht="15.0" customHeight="1">
      <c r="A4611" s="157" t="s">
        <v>5860</v>
      </c>
      <c r="B4611" s="158" t="s">
        <v>22</v>
      </c>
      <c r="C4611" s="158" t="s">
        <v>5830</v>
      </c>
      <c r="D4611" s="159">
        <v>45317.0</v>
      </c>
      <c r="E4611" s="157" t="s">
        <v>731</v>
      </c>
      <c r="F4611" s="160">
        <v>231355.1</v>
      </c>
      <c r="G4611" s="160">
        <f>'FACP$'!$F4611*0.16</f>
        <v>37016.816</v>
      </c>
      <c r="H4611" s="160">
        <f t="shared" si="124"/>
        <v>268371.916</v>
      </c>
      <c r="I4611" s="160"/>
      <c r="J4611" s="161"/>
      <c r="K4611" s="160"/>
      <c r="L4611" s="160">
        <f>+'FACP$'!$H4611-'FACP$'!$I4611-'FACP$'!$K4611</f>
        <v>268371.916</v>
      </c>
      <c r="M4611" s="162" t="s">
        <v>220</v>
      </c>
      <c r="N4611" s="162" t="s">
        <v>554</v>
      </c>
      <c r="O4611" s="164">
        <v>45344.0</v>
      </c>
      <c r="P4611" s="164">
        <f t="array" ref="P4611">XLOOKUP('FACP$'!$B4611,'perfil de pagos'!$A$4:$A$46,'perfil de pagos'!$B$4:$B$46+'FACP$'!$D4611)</f>
        <v>45327</v>
      </c>
      <c r="Q4611" s="165">
        <f t="shared" si="128"/>
        <v>0</v>
      </c>
      <c r="R4611" s="167"/>
      <c r="S4611" s="167">
        <v>2816.0</v>
      </c>
      <c r="T4611" s="168">
        <f t="shared" si="3"/>
        <v>268371.916</v>
      </c>
      <c r="U4611" s="168">
        <f t="shared" si="4"/>
        <v>0</v>
      </c>
      <c r="V4611" s="168">
        <f t="shared" si="5"/>
        <v>0</v>
      </c>
      <c r="W4611" s="168">
        <f t="shared" si="6"/>
        <v>0</v>
      </c>
      <c r="X4611" s="168">
        <f t="shared" si="7"/>
        <v>0</v>
      </c>
      <c r="Y4611" s="168">
        <f t="shared" si="8"/>
        <v>0</v>
      </c>
      <c r="Z4611" s="168">
        <f t="shared" si="9"/>
        <v>0</v>
      </c>
    </row>
    <row r="4612" ht="15.0" customHeight="1">
      <c r="A4612" s="157" t="s">
        <v>5861</v>
      </c>
      <c r="B4612" s="158" t="s">
        <v>25</v>
      </c>
      <c r="C4612" s="158" t="s">
        <v>5830</v>
      </c>
      <c r="D4612" s="159">
        <v>45317.0</v>
      </c>
      <c r="E4612" s="157" t="s">
        <v>731</v>
      </c>
      <c r="F4612" s="160">
        <v>47592.81</v>
      </c>
      <c r="G4612" s="160">
        <f>'FACP$'!$F4612*0.16</f>
        <v>7614.8496</v>
      </c>
      <c r="H4612" s="160">
        <f t="shared" si="124"/>
        <v>55207.6596</v>
      </c>
      <c r="I4612" s="160"/>
      <c r="J4612" s="161"/>
      <c r="K4612" s="160"/>
      <c r="L4612" s="160">
        <f>+'FACP$'!$H4612-'FACP$'!$I4612-'FACP$'!$K4612</f>
        <v>55207.6596</v>
      </c>
      <c r="M4612" s="162" t="s">
        <v>4388</v>
      </c>
      <c r="N4612" s="162" t="s">
        <v>554</v>
      </c>
      <c r="O4612" s="164">
        <v>45370.0</v>
      </c>
      <c r="P4612" s="164">
        <f t="array" ref="P4612">XLOOKUP('FACP$'!$B4612,'perfil de pagos'!$A$4:$A$46,'perfil de pagos'!$B$4:$B$46+'FACP$'!$D4612)</f>
        <v>45327</v>
      </c>
      <c r="Q4612" s="165">
        <f t="shared" si="128"/>
        <v>0</v>
      </c>
      <c r="R4612" s="167"/>
      <c r="S4612" s="167">
        <v>2865.0</v>
      </c>
      <c r="T4612" s="168">
        <f t="shared" si="3"/>
        <v>55207.6596</v>
      </c>
      <c r="U4612" s="168">
        <f t="shared" si="4"/>
        <v>0</v>
      </c>
      <c r="V4612" s="168">
        <f t="shared" si="5"/>
        <v>0</v>
      </c>
      <c r="W4612" s="168">
        <f t="shared" si="6"/>
        <v>0</v>
      </c>
      <c r="X4612" s="168">
        <f t="shared" si="7"/>
        <v>0</v>
      </c>
      <c r="Y4612" s="168">
        <f t="shared" si="8"/>
        <v>0</v>
      </c>
      <c r="Z4612" s="168">
        <f t="shared" si="9"/>
        <v>0</v>
      </c>
    </row>
    <row r="4613" ht="15.0" customHeight="1">
      <c r="A4613" s="157" t="s">
        <v>5862</v>
      </c>
      <c r="B4613" s="158" t="s">
        <v>29</v>
      </c>
      <c r="C4613" s="158" t="s">
        <v>5830</v>
      </c>
      <c r="D4613" s="159">
        <v>45317.0</v>
      </c>
      <c r="E4613" s="157" t="s">
        <v>731</v>
      </c>
      <c r="F4613" s="160">
        <v>272254.88</v>
      </c>
      <c r="G4613" s="160">
        <f>'FACP$'!$F4613*0.16</f>
        <v>43560.7808</v>
      </c>
      <c r="H4613" s="160">
        <f t="shared" si="124"/>
        <v>315815.6608</v>
      </c>
      <c r="I4613" s="160"/>
      <c r="J4613" s="161"/>
      <c r="K4613" s="160"/>
      <c r="L4613" s="160">
        <f>+'FACP$'!$H4613-'FACP$'!$I4613-'FACP$'!$K4613</f>
        <v>315815.6608</v>
      </c>
      <c r="M4613" s="162" t="s">
        <v>130</v>
      </c>
      <c r="N4613" s="162" t="s">
        <v>554</v>
      </c>
      <c r="O4613" s="164">
        <v>45335.0</v>
      </c>
      <c r="P4613" s="164">
        <f t="array" ref="P4613">XLOOKUP('FACP$'!$B4613,'perfil de pagos'!$A$4:$A$46,'perfil de pagos'!$B$4:$B$46+'FACP$'!$D4613)</f>
        <v>45327</v>
      </c>
      <c r="Q4613" s="165">
        <f t="shared" si="128"/>
        <v>0</v>
      </c>
      <c r="R4613" s="167"/>
      <c r="S4613" s="167">
        <v>2798.0</v>
      </c>
      <c r="T4613" s="168">
        <f t="shared" si="3"/>
        <v>315815.6608</v>
      </c>
      <c r="U4613" s="168">
        <f t="shared" si="4"/>
        <v>0</v>
      </c>
      <c r="V4613" s="168">
        <f t="shared" si="5"/>
        <v>0</v>
      </c>
      <c r="W4613" s="168">
        <f t="shared" si="6"/>
        <v>0</v>
      </c>
      <c r="X4613" s="168">
        <f t="shared" si="7"/>
        <v>0</v>
      </c>
      <c r="Y4613" s="168">
        <f t="shared" si="8"/>
        <v>0</v>
      </c>
      <c r="Z4613" s="168">
        <f t="shared" si="9"/>
        <v>0</v>
      </c>
    </row>
    <row r="4614" ht="15.0" customHeight="1">
      <c r="A4614" s="157" t="s">
        <v>5863</v>
      </c>
      <c r="B4614" s="158" t="s">
        <v>29</v>
      </c>
      <c r="C4614" s="158" t="s">
        <v>5832</v>
      </c>
      <c r="D4614" s="159">
        <v>45317.0</v>
      </c>
      <c r="E4614" s="157" t="s">
        <v>731</v>
      </c>
      <c r="F4614" s="160">
        <v>405049.74</v>
      </c>
      <c r="G4614" s="160">
        <f>'FACP$'!$F4614*0.16</f>
        <v>64807.9584</v>
      </c>
      <c r="H4614" s="160">
        <f t="shared" si="124"/>
        <v>469857.6984</v>
      </c>
      <c r="I4614" s="160"/>
      <c r="J4614" s="161"/>
      <c r="K4614" s="160"/>
      <c r="L4614" s="160">
        <f>+'FACP$'!$H4614-'FACP$'!$I4614-'FACP$'!$K4614</f>
        <v>469857.6984</v>
      </c>
      <c r="M4614" s="162" t="s">
        <v>130</v>
      </c>
      <c r="N4614" s="162" t="s">
        <v>554</v>
      </c>
      <c r="O4614" s="164">
        <v>45344.0</v>
      </c>
      <c r="P4614" s="164">
        <f t="array" ref="P4614">XLOOKUP('FACP$'!$B4614,'perfil de pagos'!$A$4:$A$46,'perfil de pagos'!$B$4:$B$46+'FACP$'!$D4614)</f>
        <v>45327</v>
      </c>
      <c r="Q4614" s="165">
        <f t="shared" si="128"/>
        <v>0</v>
      </c>
      <c r="R4614" s="167"/>
      <c r="S4614" s="167">
        <v>2869.0</v>
      </c>
      <c r="T4614" s="168">
        <f t="shared" si="3"/>
        <v>469857.6984</v>
      </c>
      <c r="U4614" s="168">
        <f t="shared" si="4"/>
        <v>0</v>
      </c>
      <c r="V4614" s="168">
        <f t="shared" si="5"/>
        <v>0</v>
      </c>
      <c r="W4614" s="168">
        <f t="shared" si="6"/>
        <v>0</v>
      </c>
      <c r="X4614" s="168">
        <f t="shared" si="7"/>
        <v>0</v>
      </c>
      <c r="Y4614" s="168">
        <f t="shared" si="8"/>
        <v>0</v>
      </c>
      <c r="Z4614" s="168">
        <f t="shared" si="9"/>
        <v>0</v>
      </c>
    </row>
    <row r="4615" ht="15.0" customHeight="1">
      <c r="A4615" s="157" t="s">
        <v>5864</v>
      </c>
      <c r="B4615" s="158" t="s">
        <v>40</v>
      </c>
      <c r="C4615" s="158" t="s">
        <v>5830</v>
      </c>
      <c r="D4615" s="159">
        <v>45317.0</v>
      </c>
      <c r="E4615" s="157" t="s">
        <v>731</v>
      </c>
      <c r="F4615" s="160">
        <v>98568.79</v>
      </c>
      <c r="G4615" s="160">
        <f>'FACP$'!$F4615*0.16</f>
        <v>15771.0064</v>
      </c>
      <c r="H4615" s="160">
        <f t="shared" si="124"/>
        <v>114339.7964</v>
      </c>
      <c r="I4615" s="160"/>
      <c r="J4615" s="161"/>
      <c r="K4615" s="160"/>
      <c r="L4615" s="160">
        <f>+'FACP$'!$H4615-'FACP$'!$I4615-'FACP$'!$K4615</f>
        <v>114339.7964</v>
      </c>
      <c r="M4615" s="162" t="s">
        <v>490</v>
      </c>
      <c r="N4615" s="162" t="s">
        <v>127</v>
      </c>
      <c r="O4615" s="164"/>
      <c r="P4615" s="164">
        <f t="array" ref="P4615">XLOOKUP('FACP$'!$B4615,'perfil de pagos'!$A$4:$A$46,'perfil de pagos'!$B$4:$B$46+'FACP$'!$D4615)</f>
        <v>45347</v>
      </c>
      <c r="Q4615" s="165">
        <f t="shared" si="128"/>
        <v>0</v>
      </c>
      <c r="R4615" s="167"/>
      <c r="S4615" s="167"/>
      <c r="T4615" s="168">
        <f t="shared" si="3"/>
        <v>114339.7964</v>
      </c>
      <c r="U4615" s="168">
        <f t="shared" si="4"/>
        <v>0</v>
      </c>
      <c r="V4615" s="168">
        <f t="shared" si="5"/>
        <v>0</v>
      </c>
      <c r="W4615" s="168">
        <f t="shared" si="6"/>
        <v>0</v>
      </c>
      <c r="X4615" s="168">
        <f t="shared" si="7"/>
        <v>0</v>
      </c>
      <c r="Y4615" s="168">
        <f t="shared" si="8"/>
        <v>0</v>
      </c>
      <c r="Z4615" s="168">
        <f t="shared" si="9"/>
        <v>0</v>
      </c>
    </row>
    <row r="4616" ht="15.0" customHeight="1">
      <c r="A4616" s="157" t="s">
        <v>5865</v>
      </c>
      <c r="B4616" s="158" t="s">
        <v>40</v>
      </c>
      <c r="C4616" s="158" t="s">
        <v>5832</v>
      </c>
      <c r="D4616" s="159">
        <v>45317.0</v>
      </c>
      <c r="E4616" s="157" t="s">
        <v>731</v>
      </c>
      <c r="F4616" s="160">
        <v>56469.79</v>
      </c>
      <c r="G4616" s="160">
        <f>'FACP$'!$F4616*0.16</f>
        <v>9035.1664</v>
      </c>
      <c r="H4616" s="160">
        <f t="shared" si="124"/>
        <v>65504.9564</v>
      </c>
      <c r="I4616" s="160"/>
      <c r="J4616" s="161"/>
      <c r="K4616" s="160"/>
      <c r="L4616" s="160">
        <f>+'FACP$'!$H4616-'FACP$'!$I4616-'FACP$'!$K4616</f>
        <v>65504.9564</v>
      </c>
      <c r="M4616" s="162" t="s">
        <v>490</v>
      </c>
      <c r="N4616" s="162" t="s">
        <v>554</v>
      </c>
      <c r="O4616" s="164">
        <v>45338.0</v>
      </c>
      <c r="P4616" s="164">
        <f t="array" ref="P4616">XLOOKUP('FACP$'!$B4616,'perfil de pagos'!$A$4:$A$46,'perfil de pagos'!$B$4:$B$46+'FACP$'!$D4616)</f>
        <v>45347</v>
      </c>
      <c r="Q4616" s="165">
        <f t="shared" si="128"/>
        <v>0</v>
      </c>
      <c r="R4616" s="167"/>
      <c r="S4616" s="167">
        <v>2805.0</v>
      </c>
      <c r="T4616" s="168">
        <f t="shared" si="3"/>
        <v>65504.9564</v>
      </c>
      <c r="U4616" s="168">
        <f t="shared" si="4"/>
        <v>0</v>
      </c>
      <c r="V4616" s="168">
        <f t="shared" si="5"/>
        <v>0</v>
      </c>
      <c r="W4616" s="168">
        <f t="shared" si="6"/>
        <v>0</v>
      </c>
      <c r="X4616" s="168">
        <f t="shared" si="7"/>
        <v>0</v>
      </c>
      <c r="Y4616" s="168">
        <f t="shared" si="8"/>
        <v>0</v>
      </c>
      <c r="Z4616" s="168">
        <f t="shared" si="9"/>
        <v>0</v>
      </c>
    </row>
    <row r="4617" ht="15.0" customHeight="1">
      <c r="A4617" s="157" t="s">
        <v>5866</v>
      </c>
      <c r="B4617" s="158" t="s">
        <v>38</v>
      </c>
      <c r="C4617" s="158" t="s">
        <v>5830</v>
      </c>
      <c r="D4617" s="159">
        <v>45320.0</v>
      </c>
      <c r="E4617" s="157" t="s">
        <v>731</v>
      </c>
      <c r="F4617" s="160">
        <v>188059.48</v>
      </c>
      <c r="G4617" s="160">
        <f>'FACP$'!$F4617*0.16</f>
        <v>30089.5168</v>
      </c>
      <c r="H4617" s="160">
        <f t="shared" si="124"/>
        <v>218148.9968</v>
      </c>
      <c r="I4617" s="160"/>
      <c r="J4617" s="161"/>
      <c r="K4617" s="160"/>
      <c r="L4617" s="160">
        <f>+'FACP$'!$H4617-'FACP$'!$I4617-'FACP$'!$K4617</f>
        <v>218148.9968</v>
      </c>
      <c r="M4617" s="162" t="s">
        <v>642</v>
      </c>
      <c r="N4617" s="162" t="s">
        <v>554</v>
      </c>
      <c r="O4617" s="164">
        <v>45359.0</v>
      </c>
      <c r="P4617" s="164">
        <f t="array" ref="P4617">XLOOKUP('FACP$'!$B4617,'perfil de pagos'!$A$4:$A$46,'perfil de pagos'!$B$4:$B$46+'FACP$'!$D4617)</f>
        <v>45350</v>
      </c>
      <c r="Q4617" s="165">
        <f t="shared" si="128"/>
        <v>0</v>
      </c>
      <c r="R4617" s="167"/>
      <c r="S4617" s="167">
        <v>2847.0</v>
      </c>
      <c r="T4617" s="168">
        <f t="shared" si="3"/>
        <v>218148.9968</v>
      </c>
      <c r="U4617" s="168">
        <f t="shared" si="4"/>
        <v>0</v>
      </c>
      <c r="V4617" s="168">
        <f t="shared" si="5"/>
        <v>0</v>
      </c>
      <c r="W4617" s="168">
        <f t="shared" si="6"/>
        <v>0</v>
      </c>
      <c r="X4617" s="168">
        <f t="shared" si="7"/>
        <v>0</v>
      </c>
      <c r="Y4617" s="168">
        <f t="shared" si="8"/>
        <v>0</v>
      </c>
      <c r="Z4617" s="168">
        <f t="shared" si="9"/>
        <v>0</v>
      </c>
    </row>
    <row r="4618" ht="15.0" customHeight="1">
      <c r="A4618" s="157" t="s">
        <v>5867</v>
      </c>
      <c r="B4618" s="158" t="s">
        <v>38</v>
      </c>
      <c r="C4618" s="158" t="s">
        <v>5832</v>
      </c>
      <c r="D4618" s="159">
        <v>45320.0</v>
      </c>
      <c r="E4618" s="157" t="s">
        <v>731</v>
      </c>
      <c r="F4618" s="160">
        <v>666637.34</v>
      </c>
      <c r="G4618" s="160">
        <f>'FACP$'!$F4618*0.16</f>
        <v>106661.9744</v>
      </c>
      <c r="H4618" s="160">
        <f t="shared" si="124"/>
        <v>773299.3144</v>
      </c>
      <c r="I4618" s="160"/>
      <c r="J4618" s="161"/>
      <c r="K4618" s="160"/>
      <c r="L4618" s="160">
        <f>+'FACP$'!$H4618-'FACP$'!$I4618-'FACP$'!$K4618</f>
        <v>773299.3144</v>
      </c>
      <c r="M4618" s="162" t="s">
        <v>145</v>
      </c>
      <c r="N4618" s="162" t="s">
        <v>554</v>
      </c>
      <c r="O4618" s="164">
        <v>45409.0</v>
      </c>
      <c r="P4618" s="164">
        <f t="array" ref="P4618">XLOOKUP('FACP$'!$B4618,'perfil de pagos'!$A$4:$A$46,'perfil de pagos'!$B$4:$B$46+'FACP$'!$D4618)</f>
        <v>45350</v>
      </c>
      <c r="Q4618" s="165">
        <f t="shared" si="128"/>
        <v>0</v>
      </c>
      <c r="R4618" s="167"/>
      <c r="S4618" s="167">
        <v>2896.0</v>
      </c>
      <c r="T4618" s="168">
        <f t="shared" si="3"/>
        <v>773299.3144</v>
      </c>
      <c r="U4618" s="168">
        <f t="shared" si="4"/>
        <v>0</v>
      </c>
      <c r="V4618" s="168">
        <f t="shared" si="5"/>
        <v>0</v>
      </c>
      <c r="W4618" s="168">
        <f t="shared" si="6"/>
        <v>0</v>
      </c>
      <c r="X4618" s="168">
        <f t="shared" si="7"/>
        <v>0</v>
      </c>
      <c r="Y4618" s="168">
        <f t="shared" si="8"/>
        <v>0</v>
      </c>
      <c r="Z4618" s="168">
        <f t="shared" si="9"/>
        <v>0</v>
      </c>
    </row>
    <row r="4619" ht="15.0" customHeight="1">
      <c r="A4619" s="157" t="s">
        <v>5868</v>
      </c>
      <c r="B4619" s="158" t="s">
        <v>40</v>
      </c>
      <c r="C4619" s="158" t="s">
        <v>5830</v>
      </c>
      <c r="D4619" s="159">
        <v>45321.0</v>
      </c>
      <c r="E4619" s="157" t="s">
        <v>731</v>
      </c>
      <c r="F4619" s="160">
        <v>98568.79</v>
      </c>
      <c r="G4619" s="160">
        <f>'FACP$'!$F4619*0.16</f>
        <v>15771.0064</v>
      </c>
      <c r="H4619" s="160">
        <f t="shared" si="124"/>
        <v>114339.7964</v>
      </c>
      <c r="I4619" s="160"/>
      <c r="J4619" s="161"/>
      <c r="K4619" s="160"/>
      <c r="L4619" s="160">
        <f>+'FACP$'!$H4619-'FACP$'!$I4619-'FACP$'!$K4619</f>
        <v>114339.7964</v>
      </c>
      <c r="M4619" s="162" t="s">
        <v>490</v>
      </c>
      <c r="N4619" s="162" t="s">
        <v>554</v>
      </c>
      <c r="O4619" s="164">
        <v>45351.0</v>
      </c>
      <c r="P4619" s="164">
        <f t="array" ref="P4619">XLOOKUP('FACP$'!$B4619,'perfil de pagos'!$A$4:$A$46,'perfil de pagos'!$B$4:$B$46+'FACP$'!$D4619)</f>
        <v>45351</v>
      </c>
      <c r="Q4619" s="165">
        <f t="shared" si="128"/>
        <v>0</v>
      </c>
      <c r="R4619" s="167"/>
      <c r="S4619" s="220">
        <v>2832.0</v>
      </c>
      <c r="T4619" s="168">
        <f t="shared" si="3"/>
        <v>114339.7964</v>
      </c>
      <c r="U4619" s="168">
        <f t="shared" si="4"/>
        <v>0</v>
      </c>
      <c r="V4619" s="168">
        <f t="shared" si="5"/>
        <v>0</v>
      </c>
      <c r="W4619" s="168">
        <f t="shared" si="6"/>
        <v>0</v>
      </c>
      <c r="X4619" s="168">
        <f t="shared" si="7"/>
        <v>0</v>
      </c>
      <c r="Y4619" s="168">
        <f t="shared" si="8"/>
        <v>0</v>
      </c>
      <c r="Z4619" s="168">
        <f t="shared" si="9"/>
        <v>0</v>
      </c>
    </row>
    <row r="4620" ht="15.0" customHeight="1">
      <c r="A4620" s="157" t="s">
        <v>5869</v>
      </c>
      <c r="B4620" s="158" t="s">
        <v>27</v>
      </c>
      <c r="C4620" s="158" t="s">
        <v>5870</v>
      </c>
      <c r="D4620" s="159">
        <v>45321.0</v>
      </c>
      <c r="E4620" s="157" t="s">
        <v>731</v>
      </c>
      <c r="F4620" s="160">
        <v>147186.13</v>
      </c>
      <c r="G4620" s="160">
        <f>'FACP$'!$F4620*0.16</f>
        <v>23549.7808</v>
      </c>
      <c r="H4620" s="160">
        <f t="shared" si="124"/>
        <v>170735.9108</v>
      </c>
      <c r="I4620" s="160"/>
      <c r="J4620" s="161"/>
      <c r="K4620" s="160"/>
      <c r="L4620" s="160">
        <f>+'FACP$'!$H4620-'FACP$'!$I4620-'FACP$'!$K4620</f>
        <v>170735.9108</v>
      </c>
      <c r="M4620" s="162" t="s">
        <v>158</v>
      </c>
      <c r="N4620" s="162" t="s">
        <v>554</v>
      </c>
      <c r="O4620" s="164">
        <v>45370.0</v>
      </c>
      <c r="P4620" s="164">
        <f t="array" ref="P4620">XLOOKUP('FACP$'!$B4620,'perfil de pagos'!$A$4:$A$46,'perfil de pagos'!$B$4:$B$46+'FACP$'!$D4620)</f>
        <v>45351</v>
      </c>
      <c r="Q4620" s="165">
        <f t="shared" si="128"/>
        <v>0</v>
      </c>
      <c r="R4620" s="167"/>
      <c r="S4620" s="167">
        <v>2866.0</v>
      </c>
      <c r="T4620" s="168">
        <f t="shared" si="3"/>
        <v>170735.9108</v>
      </c>
      <c r="U4620" s="168">
        <f t="shared" si="4"/>
        <v>0</v>
      </c>
      <c r="V4620" s="168">
        <f t="shared" si="5"/>
        <v>0</v>
      </c>
      <c r="W4620" s="168">
        <f t="shared" si="6"/>
        <v>0</v>
      </c>
      <c r="X4620" s="168">
        <f t="shared" si="7"/>
        <v>0</v>
      </c>
      <c r="Y4620" s="168">
        <f t="shared" si="8"/>
        <v>0</v>
      </c>
      <c r="Z4620" s="168">
        <f t="shared" si="9"/>
        <v>0</v>
      </c>
    </row>
    <row r="4621" ht="15.0" customHeight="1">
      <c r="A4621" s="157" t="s">
        <v>5871</v>
      </c>
      <c r="B4621" s="158" t="s">
        <v>27</v>
      </c>
      <c r="C4621" s="158" t="s">
        <v>5872</v>
      </c>
      <c r="D4621" s="159">
        <v>45321.0</v>
      </c>
      <c r="E4621" s="157" t="s">
        <v>731</v>
      </c>
      <c r="F4621" s="160">
        <v>128155.69</v>
      </c>
      <c r="G4621" s="160">
        <f>'FACP$'!$F4621*0.16</f>
        <v>20504.9104</v>
      </c>
      <c r="H4621" s="160">
        <f t="shared" si="124"/>
        <v>148660.6004</v>
      </c>
      <c r="I4621" s="160"/>
      <c r="J4621" s="161"/>
      <c r="K4621" s="160"/>
      <c r="L4621" s="160">
        <f>+'FACP$'!$H4621-'FACP$'!$I4621-'FACP$'!$K4621</f>
        <v>148660.6004</v>
      </c>
      <c r="M4621" s="162" t="s">
        <v>158</v>
      </c>
      <c r="N4621" s="162" t="s">
        <v>554</v>
      </c>
      <c r="O4621" s="164">
        <v>45370.0</v>
      </c>
      <c r="P4621" s="164">
        <f t="array" ref="P4621">XLOOKUP('FACP$'!$B4621,'perfil de pagos'!$A$4:$A$46,'perfil de pagos'!$B$4:$B$46+'FACP$'!$D4621)</f>
        <v>45351</v>
      </c>
      <c r="Q4621" s="165">
        <f t="shared" si="128"/>
        <v>0</v>
      </c>
      <c r="R4621" s="167"/>
      <c r="S4621" s="167">
        <v>2866.0</v>
      </c>
      <c r="T4621" s="168">
        <f t="shared" si="3"/>
        <v>148660.6004</v>
      </c>
      <c r="U4621" s="168">
        <f t="shared" si="4"/>
        <v>0</v>
      </c>
      <c r="V4621" s="168">
        <f t="shared" si="5"/>
        <v>0</v>
      </c>
      <c r="W4621" s="168">
        <f t="shared" si="6"/>
        <v>0</v>
      </c>
      <c r="X4621" s="168">
        <f t="shared" si="7"/>
        <v>0</v>
      </c>
      <c r="Y4621" s="168">
        <f t="shared" si="8"/>
        <v>0</v>
      </c>
      <c r="Z4621" s="168">
        <f t="shared" si="9"/>
        <v>0</v>
      </c>
    </row>
    <row r="4622" ht="15.0" customHeight="1">
      <c r="A4622" s="157" t="s">
        <v>5873</v>
      </c>
      <c r="B4622" s="158" t="s">
        <v>27</v>
      </c>
      <c r="C4622" s="158" t="s">
        <v>5870</v>
      </c>
      <c r="D4622" s="159">
        <v>45321.0</v>
      </c>
      <c r="E4622" s="157" t="s">
        <v>731</v>
      </c>
      <c r="F4622" s="160">
        <v>315704.83</v>
      </c>
      <c r="G4622" s="160">
        <f>'FACP$'!$F4622*0.16</f>
        <v>50512.7728</v>
      </c>
      <c r="H4622" s="160">
        <f t="shared" si="124"/>
        <v>366217.6028</v>
      </c>
      <c r="I4622" s="160"/>
      <c r="J4622" s="161"/>
      <c r="K4622" s="160"/>
      <c r="L4622" s="160">
        <f>+'FACP$'!$H4622-'FACP$'!$I4622-'FACP$'!$K4622</f>
        <v>366217.6028</v>
      </c>
      <c r="M4622" s="162" t="s">
        <v>151</v>
      </c>
      <c r="N4622" s="162" t="s">
        <v>554</v>
      </c>
      <c r="O4622" s="164">
        <v>45370.0</v>
      </c>
      <c r="P4622" s="164">
        <f t="array" ref="P4622">XLOOKUP('FACP$'!$B4622,'perfil de pagos'!$A$4:$A$46,'perfil de pagos'!$B$4:$B$46+'FACP$'!$D4622)</f>
        <v>45351</v>
      </c>
      <c r="Q4622" s="165">
        <f t="shared" si="128"/>
        <v>0</v>
      </c>
      <c r="R4622" s="167"/>
      <c r="S4622" s="167">
        <v>2867.0</v>
      </c>
      <c r="T4622" s="168">
        <f t="shared" si="3"/>
        <v>366217.6028</v>
      </c>
      <c r="U4622" s="168">
        <f t="shared" si="4"/>
        <v>0</v>
      </c>
      <c r="V4622" s="168">
        <f t="shared" si="5"/>
        <v>0</v>
      </c>
      <c r="W4622" s="168">
        <f t="shared" si="6"/>
        <v>0</v>
      </c>
      <c r="X4622" s="168">
        <f t="shared" si="7"/>
        <v>0</v>
      </c>
      <c r="Y4622" s="168">
        <f t="shared" si="8"/>
        <v>0</v>
      </c>
      <c r="Z4622" s="168">
        <f t="shared" si="9"/>
        <v>0</v>
      </c>
    </row>
    <row r="4623" ht="15.0" customHeight="1">
      <c r="A4623" s="157" t="s">
        <v>5874</v>
      </c>
      <c r="B4623" s="158" t="s">
        <v>27</v>
      </c>
      <c r="C4623" s="158" t="s">
        <v>5872</v>
      </c>
      <c r="D4623" s="159">
        <v>45321.0</v>
      </c>
      <c r="E4623" s="157" t="s">
        <v>731</v>
      </c>
      <c r="F4623" s="160">
        <v>214542.68</v>
      </c>
      <c r="G4623" s="160">
        <f>'FACP$'!$F4623*0.16</f>
        <v>34326.8288</v>
      </c>
      <c r="H4623" s="160">
        <f t="shared" si="124"/>
        <v>248869.5088</v>
      </c>
      <c r="I4623" s="160"/>
      <c r="J4623" s="161"/>
      <c r="K4623" s="160"/>
      <c r="L4623" s="160">
        <f>+'FACP$'!$H4623-'FACP$'!$I4623-'FACP$'!$K4623</f>
        <v>248869.5088</v>
      </c>
      <c r="M4623" s="162" t="s">
        <v>151</v>
      </c>
      <c r="N4623" s="162" t="s">
        <v>554</v>
      </c>
      <c r="O4623" s="164">
        <v>45370.0</v>
      </c>
      <c r="P4623" s="164">
        <f t="array" ref="P4623">XLOOKUP('FACP$'!$B4623,'perfil de pagos'!$A$4:$A$46,'perfil de pagos'!$B$4:$B$46+'FACP$'!$D4623)</f>
        <v>45351</v>
      </c>
      <c r="Q4623" s="165">
        <f t="shared" si="128"/>
        <v>0</v>
      </c>
      <c r="R4623" s="167"/>
      <c r="S4623" s="167">
        <v>2867.0</v>
      </c>
      <c r="T4623" s="168">
        <f t="shared" si="3"/>
        <v>248869.5088</v>
      </c>
      <c r="U4623" s="168">
        <f t="shared" si="4"/>
        <v>0</v>
      </c>
      <c r="V4623" s="168">
        <f t="shared" si="5"/>
        <v>0</v>
      </c>
      <c r="W4623" s="168">
        <f t="shared" si="6"/>
        <v>0</v>
      </c>
      <c r="X4623" s="168">
        <f t="shared" si="7"/>
        <v>0</v>
      </c>
      <c r="Y4623" s="168">
        <f t="shared" si="8"/>
        <v>0</v>
      </c>
      <c r="Z4623" s="168">
        <f t="shared" si="9"/>
        <v>0</v>
      </c>
    </row>
    <row r="4624" ht="15.0" customHeight="1">
      <c r="A4624" s="157" t="s">
        <v>5875</v>
      </c>
      <c r="B4624" s="158" t="s">
        <v>27</v>
      </c>
      <c r="C4624" s="158" t="s">
        <v>5870</v>
      </c>
      <c r="D4624" s="159">
        <v>45321.0</v>
      </c>
      <c r="E4624" s="157" t="s">
        <v>731</v>
      </c>
      <c r="F4624" s="160">
        <v>12524.81</v>
      </c>
      <c r="G4624" s="160">
        <f>'FACP$'!$F4624*0.16</f>
        <v>2003.9696</v>
      </c>
      <c r="H4624" s="160">
        <f t="shared" si="124"/>
        <v>14528.7796</v>
      </c>
      <c r="I4624" s="160"/>
      <c r="J4624" s="161"/>
      <c r="K4624" s="160"/>
      <c r="L4624" s="160">
        <f>+'FACP$'!$H4624-'FACP$'!$I4624-'FACP$'!$K4624</f>
        <v>14528.7796</v>
      </c>
      <c r="M4624" s="162" t="s">
        <v>151</v>
      </c>
      <c r="N4624" s="162" t="s">
        <v>554</v>
      </c>
      <c r="O4624" s="164">
        <v>45370.0</v>
      </c>
      <c r="P4624" s="164">
        <f t="array" ref="P4624">XLOOKUP('FACP$'!$B4624,'perfil de pagos'!$A$4:$A$46,'perfil de pagos'!$B$4:$B$46+'FACP$'!$D4624)</f>
        <v>45351</v>
      </c>
      <c r="Q4624" s="165">
        <f t="shared" si="128"/>
        <v>0</v>
      </c>
      <c r="R4624" s="167"/>
      <c r="S4624" s="167">
        <v>2867.0</v>
      </c>
      <c r="T4624" s="168">
        <f t="shared" si="3"/>
        <v>14528.7796</v>
      </c>
      <c r="U4624" s="168">
        <f t="shared" si="4"/>
        <v>0</v>
      </c>
      <c r="V4624" s="168">
        <f t="shared" si="5"/>
        <v>0</v>
      </c>
      <c r="W4624" s="168">
        <f t="shared" si="6"/>
        <v>0</v>
      </c>
      <c r="X4624" s="168">
        <f t="shared" si="7"/>
        <v>0</v>
      </c>
      <c r="Y4624" s="168">
        <f t="shared" si="8"/>
        <v>0</v>
      </c>
      <c r="Z4624" s="168">
        <f t="shared" si="9"/>
        <v>0</v>
      </c>
    </row>
    <row r="4625" ht="15.0" customHeight="1">
      <c r="A4625" s="157" t="s">
        <v>5876</v>
      </c>
      <c r="B4625" s="158" t="s">
        <v>27</v>
      </c>
      <c r="C4625" s="158" t="s">
        <v>5872</v>
      </c>
      <c r="D4625" s="159">
        <v>45321.0</v>
      </c>
      <c r="E4625" s="157" t="s">
        <v>731</v>
      </c>
      <c r="F4625" s="160">
        <v>13379.68</v>
      </c>
      <c r="G4625" s="160">
        <f>'FACP$'!$F4625*0.16</f>
        <v>2140.7488</v>
      </c>
      <c r="H4625" s="160">
        <f t="shared" si="124"/>
        <v>15520.4288</v>
      </c>
      <c r="I4625" s="160"/>
      <c r="J4625" s="161"/>
      <c r="K4625" s="160"/>
      <c r="L4625" s="160">
        <f>+'FACP$'!$H4625-'FACP$'!$I4625-'FACP$'!$K4625</f>
        <v>15520.4288</v>
      </c>
      <c r="M4625" s="162" t="s">
        <v>151</v>
      </c>
      <c r="N4625" s="162" t="s">
        <v>554</v>
      </c>
      <c r="O4625" s="164">
        <v>45370.0</v>
      </c>
      <c r="P4625" s="164">
        <f t="array" ref="P4625">XLOOKUP('FACP$'!$B4625,'perfil de pagos'!$A$4:$A$46,'perfil de pagos'!$B$4:$B$46+'FACP$'!$D4625)</f>
        <v>45351</v>
      </c>
      <c r="Q4625" s="165">
        <f t="shared" si="128"/>
        <v>0</v>
      </c>
      <c r="R4625" s="167"/>
      <c r="S4625" s="167">
        <v>2867.0</v>
      </c>
      <c r="T4625" s="168">
        <f t="shared" si="3"/>
        <v>15520.4288</v>
      </c>
      <c r="U4625" s="168">
        <f t="shared" si="4"/>
        <v>0</v>
      </c>
      <c r="V4625" s="168">
        <f t="shared" si="5"/>
        <v>0</v>
      </c>
      <c r="W4625" s="168">
        <f t="shared" si="6"/>
        <v>0</v>
      </c>
      <c r="X4625" s="168">
        <f t="shared" si="7"/>
        <v>0</v>
      </c>
      <c r="Y4625" s="168">
        <f t="shared" si="8"/>
        <v>0</v>
      </c>
      <c r="Z4625" s="168">
        <f t="shared" si="9"/>
        <v>0</v>
      </c>
    </row>
    <row r="4626" ht="15.0" customHeight="1">
      <c r="A4626" s="157" t="s">
        <v>5877</v>
      </c>
      <c r="B4626" s="158" t="s">
        <v>27</v>
      </c>
      <c r="C4626" s="158" t="s">
        <v>5878</v>
      </c>
      <c r="D4626" s="159">
        <v>45323.0</v>
      </c>
      <c r="E4626" s="157" t="s">
        <v>731</v>
      </c>
      <c r="F4626" s="160">
        <v>31000.0</v>
      </c>
      <c r="G4626" s="160">
        <f>'FACP$'!$F4626*0.16</f>
        <v>4960</v>
      </c>
      <c r="H4626" s="160">
        <f t="shared" si="124"/>
        <v>35960</v>
      </c>
      <c r="I4626" s="160"/>
      <c r="J4626" s="161"/>
      <c r="K4626" s="160"/>
      <c r="L4626" s="160">
        <f>+'FACP$'!$H4626-'FACP$'!$I4626-'FACP$'!$K4626</f>
        <v>35960</v>
      </c>
      <c r="M4626" s="162" t="s">
        <v>5804</v>
      </c>
      <c r="N4626" s="162" t="s">
        <v>554</v>
      </c>
      <c r="O4626" s="164">
        <v>45335.0</v>
      </c>
      <c r="P4626" s="164">
        <f t="array" ref="P4626">XLOOKUP('FACP$'!$B4626,'perfil de pagos'!$A$4:$A$46,'perfil de pagos'!$B$4:$B$46+'FACP$'!$D4626)</f>
        <v>45353</v>
      </c>
      <c r="Q4626" s="165">
        <f t="shared" si="128"/>
        <v>0</v>
      </c>
      <c r="R4626" s="167"/>
      <c r="S4626" s="167"/>
      <c r="T4626" s="168">
        <f t="shared" si="3"/>
        <v>35960</v>
      </c>
      <c r="U4626" s="168">
        <f t="shared" si="4"/>
        <v>0</v>
      </c>
      <c r="V4626" s="168">
        <f t="shared" si="5"/>
        <v>0</v>
      </c>
      <c r="W4626" s="168">
        <f t="shared" si="6"/>
        <v>0</v>
      </c>
      <c r="X4626" s="168">
        <f t="shared" si="7"/>
        <v>0</v>
      </c>
      <c r="Y4626" s="168">
        <f t="shared" si="8"/>
        <v>0</v>
      </c>
      <c r="Z4626" s="168">
        <f t="shared" si="9"/>
        <v>0</v>
      </c>
    </row>
    <row r="4627" ht="15.0" customHeight="1">
      <c r="A4627" s="157" t="s">
        <v>5879</v>
      </c>
      <c r="B4627" s="158" t="s">
        <v>41</v>
      </c>
      <c r="C4627" s="158" t="s">
        <v>5880</v>
      </c>
      <c r="D4627" s="159">
        <v>45324.0</v>
      </c>
      <c r="E4627" s="157" t="s">
        <v>731</v>
      </c>
      <c r="F4627" s="160">
        <v>1446893.28</v>
      </c>
      <c r="G4627" s="160">
        <f>'FACP$'!$F4627*0.16</f>
        <v>231502.9248</v>
      </c>
      <c r="H4627" s="160">
        <f t="shared" si="124"/>
        <v>1678396.205</v>
      </c>
      <c r="I4627" s="160"/>
      <c r="J4627" s="161"/>
      <c r="K4627" s="160"/>
      <c r="L4627" s="160">
        <f>+'FACP$'!$H4627-'FACP$'!$I4627-'FACP$'!$K4627</f>
        <v>1678396.205</v>
      </c>
      <c r="M4627" s="162" t="s">
        <v>121</v>
      </c>
      <c r="N4627" s="162" t="s">
        <v>554</v>
      </c>
      <c r="O4627" s="164">
        <v>45343.0</v>
      </c>
      <c r="P4627" s="164">
        <f t="array" ref="P4627">XLOOKUP('FACP$'!$B4627,'perfil de pagos'!$A$4:$A$46,'perfil de pagos'!$B$4:$B$46+'FACP$'!$D4627)</f>
        <v>45334</v>
      </c>
      <c r="Q4627" s="165">
        <f t="shared" si="128"/>
        <v>0</v>
      </c>
      <c r="R4627" s="167"/>
      <c r="S4627" s="167">
        <v>2812.0</v>
      </c>
      <c r="T4627" s="168">
        <f t="shared" si="3"/>
        <v>1678396.205</v>
      </c>
      <c r="U4627" s="168">
        <f t="shared" si="4"/>
        <v>0</v>
      </c>
      <c r="V4627" s="168">
        <f t="shared" si="5"/>
        <v>0</v>
      </c>
      <c r="W4627" s="168">
        <f t="shared" si="6"/>
        <v>0</v>
      </c>
      <c r="X4627" s="168">
        <f t="shared" si="7"/>
        <v>0</v>
      </c>
      <c r="Y4627" s="168">
        <f t="shared" si="8"/>
        <v>0</v>
      </c>
      <c r="Z4627" s="168">
        <f t="shared" si="9"/>
        <v>0</v>
      </c>
    </row>
    <row r="4628" ht="15.0" customHeight="1">
      <c r="A4628" s="157" t="s">
        <v>5881</v>
      </c>
      <c r="B4628" s="158" t="s">
        <v>35</v>
      </c>
      <c r="C4628" s="158" t="s">
        <v>5880</v>
      </c>
      <c r="D4628" s="159">
        <v>45324.0</v>
      </c>
      <c r="E4628" s="157" t="s">
        <v>731</v>
      </c>
      <c r="F4628" s="160">
        <v>563882.15</v>
      </c>
      <c r="G4628" s="160">
        <f>'FACP$'!$F4628*0.16</f>
        <v>90221.144</v>
      </c>
      <c r="H4628" s="160">
        <f t="shared" si="124"/>
        <v>654103.294</v>
      </c>
      <c r="I4628" s="160"/>
      <c r="J4628" s="161"/>
      <c r="K4628" s="160"/>
      <c r="L4628" s="160">
        <f>+'FACP$'!$H4628-'FACP$'!$I4628-'FACP$'!$K4628</f>
        <v>654103.294</v>
      </c>
      <c r="M4628" s="162" t="s">
        <v>276</v>
      </c>
      <c r="N4628" s="162" t="s">
        <v>554</v>
      </c>
      <c r="O4628" s="164">
        <v>45338.0</v>
      </c>
      <c r="P4628" s="164">
        <f t="array" ref="P4628">XLOOKUP('FACP$'!$B4628,'perfil de pagos'!$A$4:$A$46,'perfil de pagos'!$B$4:$B$46+'FACP$'!$D4628)</f>
        <v>45334</v>
      </c>
      <c r="Q4628" s="165">
        <f t="shared" si="128"/>
        <v>0</v>
      </c>
      <c r="R4628" s="167"/>
      <c r="S4628" s="167">
        <v>2804.0</v>
      </c>
      <c r="T4628" s="168">
        <f t="shared" si="3"/>
        <v>654103.294</v>
      </c>
      <c r="U4628" s="168">
        <f t="shared" si="4"/>
        <v>0</v>
      </c>
      <c r="V4628" s="168">
        <f t="shared" si="5"/>
        <v>0</v>
      </c>
      <c r="W4628" s="168">
        <f t="shared" si="6"/>
        <v>0</v>
      </c>
      <c r="X4628" s="168">
        <f t="shared" si="7"/>
        <v>0</v>
      </c>
      <c r="Y4628" s="168">
        <f t="shared" si="8"/>
        <v>0</v>
      </c>
      <c r="Z4628" s="168">
        <f t="shared" si="9"/>
        <v>0</v>
      </c>
    </row>
    <row r="4629" ht="15.0" customHeight="1">
      <c r="A4629" s="157" t="s">
        <v>5882</v>
      </c>
      <c r="B4629" s="158" t="s">
        <v>36</v>
      </c>
      <c r="C4629" s="158" t="s">
        <v>5880</v>
      </c>
      <c r="D4629" s="159">
        <v>45324.0</v>
      </c>
      <c r="E4629" s="157" t="s">
        <v>731</v>
      </c>
      <c r="F4629" s="160">
        <v>297930.31</v>
      </c>
      <c r="G4629" s="160">
        <f>'FACP$'!$F4629*0.16</f>
        <v>47668.8496</v>
      </c>
      <c r="H4629" s="160">
        <f t="shared" si="124"/>
        <v>345599.1596</v>
      </c>
      <c r="I4629" s="160">
        <v>276479.33</v>
      </c>
      <c r="J4629" s="161"/>
      <c r="K4629" s="160"/>
      <c r="L4629" s="160">
        <f>+'FACP$'!$H4629-'FACP$'!$I4629-'FACP$'!$K4629</f>
        <v>69119.8296</v>
      </c>
      <c r="M4629" s="162" t="s">
        <v>278</v>
      </c>
      <c r="N4629" s="162" t="s">
        <v>554</v>
      </c>
      <c r="O4629" s="164">
        <v>45383.0</v>
      </c>
      <c r="P4629" s="164">
        <f t="array" ref="P4629">XLOOKUP('FACP$'!$B4629,'perfil de pagos'!$A$4:$A$46,'perfil de pagos'!$B$4:$B$46+'FACP$'!$D4629)</f>
        <v>45334</v>
      </c>
      <c r="Q4629" s="165">
        <f t="shared" si="128"/>
        <v>0</v>
      </c>
      <c r="R4629" s="220" t="s">
        <v>5883</v>
      </c>
      <c r="S4629" s="167" t="s">
        <v>5884</v>
      </c>
      <c r="T4629" s="168">
        <f t="shared" si="3"/>
        <v>69119.8296</v>
      </c>
      <c r="U4629" s="168">
        <f t="shared" si="4"/>
        <v>0</v>
      </c>
      <c r="V4629" s="168">
        <f t="shared" si="5"/>
        <v>0</v>
      </c>
      <c r="W4629" s="168">
        <f t="shared" si="6"/>
        <v>0</v>
      </c>
      <c r="X4629" s="168">
        <f t="shared" si="7"/>
        <v>0</v>
      </c>
      <c r="Y4629" s="168">
        <f t="shared" si="8"/>
        <v>0</v>
      </c>
      <c r="Z4629" s="168">
        <f t="shared" si="9"/>
        <v>0</v>
      </c>
    </row>
    <row r="4630" ht="15.0" customHeight="1">
      <c r="A4630" s="157" t="s">
        <v>5885</v>
      </c>
      <c r="B4630" s="158" t="s">
        <v>36</v>
      </c>
      <c r="C4630" s="158" t="s">
        <v>5886</v>
      </c>
      <c r="D4630" s="159">
        <v>45324.0</v>
      </c>
      <c r="E4630" s="157" t="s">
        <v>731</v>
      </c>
      <c r="F4630" s="160">
        <v>215559.44</v>
      </c>
      <c r="G4630" s="160">
        <f>'FACP$'!$F4630*0.16</f>
        <v>34489.5104</v>
      </c>
      <c r="H4630" s="160">
        <f t="shared" si="124"/>
        <v>250048.9504</v>
      </c>
      <c r="I4630" s="160">
        <v>200039.16</v>
      </c>
      <c r="J4630" s="161"/>
      <c r="K4630" s="160"/>
      <c r="L4630" s="160">
        <f>+'FACP$'!$H4630-'FACP$'!$I4630-'FACP$'!$K4630</f>
        <v>50009.7904</v>
      </c>
      <c r="M4630" s="162" t="s">
        <v>278</v>
      </c>
      <c r="N4630" s="162" t="s">
        <v>554</v>
      </c>
      <c r="O4630" s="164">
        <v>45383.0</v>
      </c>
      <c r="P4630" s="164">
        <f t="array" ref="P4630">XLOOKUP('FACP$'!$B4630,'perfil de pagos'!$A$4:$A$46,'perfil de pagos'!$B$4:$B$46+'FACP$'!$D4630)</f>
        <v>45334</v>
      </c>
      <c r="Q4630" s="165">
        <f t="shared" si="128"/>
        <v>0</v>
      </c>
      <c r="R4630" s="220" t="s">
        <v>5887</v>
      </c>
      <c r="S4630" s="167" t="s">
        <v>5888</v>
      </c>
      <c r="T4630" s="168">
        <f t="shared" si="3"/>
        <v>50009.7904</v>
      </c>
      <c r="U4630" s="168">
        <f t="shared" si="4"/>
        <v>0</v>
      </c>
      <c r="V4630" s="168">
        <f t="shared" si="5"/>
        <v>0</v>
      </c>
      <c r="W4630" s="168">
        <f t="shared" si="6"/>
        <v>0</v>
      </c>
      <c r="X4630" s="168">
        <f t="shared" si="7"/>
        <v>0</v>
      </c>
      <c r="Y4630" s="168">
        <f t="shared" si="8"/>
        <v>0</v>
      </c>
      <c r="Z4630" s="168">
        <f t="shared" si="9"/>
        <v>0</v>
      </c>
    </row>
    <row r="4631" ht="15.0" customHeight="1">
      <c r="A4631" s="157" t="s">
        <v>5889</v>
      </c>
      <c r="B4631" s="158" t="s">
        <v>42</v>
      </c>
      <c r="C4631" s="158" t="s">
        <v>5880</v>
      </c>
      <c r="D4631" s="159">
        <v>45328.0</v>
      </c>
      <c r="E4631" s="157" t="s">
        <v>731</v>
      </c>
      <c r="F4631" s="160">
        <v>180176.01</v>
      </c>
      <c r="G4631" s="160">
        <f>'FACP$'!$F4631*0.16</f>
        <v>28828.1616</v>
      </c>
      <c r="H4631" s="160">
        <f t="shared" si="124"/>
        <v>209004.1716</v>
      </c>
      <c r="I4631" s="160"/>
      <c r="J4631" s="161"/>
      <c r="K4631" s="160"/>
      <c r="L4631" s="160">
        <f>+'FACP$'!$H4631-'FACP$'!$I4631-'FACP$'!$K4631</f>
        <v>209004.1716</v>
      </c>
      <c r="M4631" s="162" t="s">
        <v>42</v>
      </c>
      <c r="N4631" s="162" t="s">
        <v>554</v>
      </c>
      <c r="O4631" s="164">
        <v>45345.0</v>
      </c>
      <c r="P4631" s="164">
        <f t="array" ref="P4631">XLOOKUP('FACP$'!$B4631,'perfil de pagos'!$A$4:$A$46,'perfil de pagos'!$B$4:$B$46+'FACP$'!$D4631)</f>
        <v>45338</v>
      </c>
      <c r="Q4631" s="165">
        <f t="shared" si="128"/>
        <v>0</v>
      </c>
      <c r="R4631" s="167"/>
      <c r="S4631" s="167">
        <v>2822.0</v>
      </c>
      <c r="T4631" s="168">
        <f t="shared" si="3"/>
        <v>209004.1716</v>
      </c>
      <c r="U4631" s="168">
        <f t="shared" si="4"/>
        <v>0</v>
      </c>
      <c r="V4631" s="168">
        <f t="shared" si="5"/>
        <v>0</v>
      </c>
      <c r="W4631" s="168">
        <f t="shared" si="6"/>
        <v>0</v>
      </c>
      <c r="X4631" s="168">
        <f t="shared" si="7"/>
        <v>0</v>
      </c>
      <c r="Y4631" s="168">
        <f t="shared" si="8"/>
        <v>0</v>
      </c>
      <c r="Z4631" s="168">
        <f t="shared" si="9"/>
        <v>0</v>
      </c>
    </row>
    <row r="4632" ht="15.0" customHeight="1">
      <c r="A4632" s="157" t="s">
        <v>5890</v>
      </c>
      <c r="B4632" s="158" t="s">
        <v>44</v>
      </c>
      <c r="C4632" s="158" t="s">
        <v>5880</v>
      </c>
      <c r="D4632" s="159">
        <v>45328.0</v>
      </c>
      <c r="E4632" s="157" t="s">
        <v>731</v>
      </c>
      <c r="F4632" s="160">
        <v>344882.16</v>
      </c>
      <c r="G4632" s="160">
        <f>'FACP$'!$F4632*0.16</f>
        <v>55181.1456</v>
      </c>
      <c r="H4632" s="160">
        <f t="shared" si="124"/>
        <v>400063.3056</v>
      </c>
      <c r="I4632" s="160"/>
      <c r="J4632" s="161"/>
      <c r="K4632" s="160"/>
      <c r="L4632" s="160">
        <f>+'FACP$'!$H4632-'FACP$'!$I4632-'FACP$'!$K4632</f>
        <v>400063.3056</v>
      </c>
      <c r="M4632" s="162" t="s">
        <v>361</v>
      </c>
      <c r="N4632" s="162" t="s">
        <v>554</v>
      </c>
      <c r="O4632" s="164">
        <v>45345.0</v>
      </c>
      <c r="P4632" s="164">
        <f t="array" ref="P4632">XLOOKUP('FACP$'!$B4632,'perfil de pagos'!$A$4:$A$46,'perfil de pagos'!$B$4:$B$46+'FACP$'!$D4632)</f>
        <v>45338</v>
      </c>
      <c r="Q4632" s="165">
        <f t="shared" si="128"/>
        <v>0</v>
      </c>
      <c r="R4632" s="167"/>
      <c r="S4632" s="167">
        <v>2821.0</v>
      </c>
      <c r="T4632" s="168">
        <f t="shared" si="3"/>
        <v>400063.3056</v>
      </c>
      <c r="U4632" s="168">
        <f t="shared" si="4"/>
        <v>0</v>
      </c>
      <c r="V4632" s="168">
        <f t="shared" si="5"/>
        <v>0</v>
      </c>
      <c r="W4632" s="168">
        <f t="shared" si="6"/>
        <v>0</v>
      </c>
      <c r="X4632" s="168">
        <f t="shared" si="7"/>
        <v>0</v>
      </c>
      <c r="Y4632" s="168">
        <f t="shared" si="8"/>
        <v>0</v>
      </c>
      <c r="Z4632" s="168">
        <f t="shared" si="9"/>
        <v>0</v>
      </c>
    </row>
    <row r="4633" ht="15.0" customHeight="1">
      <c r="A4633" s="157" t="s">
        <v>5891</v>
      </c>
      <c r="B4633" s="158" t="s">
        <v>38</v>
      </c>
      <c r="C4633" s="158" t="s">
        <v>5880</v>
      </c>
      <c r="D4633" s="159">
        <v>45328.0</v>
      </c>
      <c r="E4633" s="157" t="s">
        <v>731</v>
      </c>
      <c r="F4633" s="160">
        <v>175537.2</v>
      </c>
      <c r="G4633" s="160">
        <f>'FACP$'!$F4633*0.16</f>
        <v>28085.952</v>
      </c>
      <c r="H4633" s="160">
        <f t="shared" si="124"/>
        <v>203623.152</v>
      </c>
      <c r="I4633" s="160"/>
      <c r="J4633" s="161"/>
      <c r="K4633" s="160"/>
      <c r="L4633" s="160">
        <f>+'FACP$'!$H4633-'FACP$'!$I4633-'FACP$'!$K4633</f>
        <v>203623.152</v>
      </c>
      <c r="M4633" s="162" t="s">
        <v>4654</v>
      </c>
      <c r="N4633" s="162" t="s">
        <v>554</v>
      </c>
      <c r="O4633" s="164">
        <v>45359.0</v>
      </c>
      <c r="P4633" s="164">
        <f t="array" ref="P4633">XLOOKUP('FACP$'!$B4633,'perfil de pagos'!$A$4:$A$46,'perfil de pagos'!$B$4:$B$46+'FACP$'!$D4633)</f>
        <v>45358</v>
      </c>
      <c r="Q4633" s="165">
        <f t="shared" si="128"/>
        <v>0</v>
      </c>
      <c r="R4633" s="167"/>
      <c r="S4633" s="167">
        <v>2847.0</v>
      </c>
      <c r="T4633" s="168">
        <f t="shared" si="3"/>
        <v>203623.152</v>
      </c>
      <c r="U4633" s="168">
        <f t="shared" si="4"/>
        <v>0</v>
      </c>
      <c r="V4633" s="168">
        <f t="shared" si="5"/>
        <v>0</v>
      </c>
      <c r="W4633" s="168">
        <f t="shared" si="6"/>
        <v>0</v>
      </c>
      <c r="X4633" s="168">
        <f t="shared" si="7"/>
        <v>0</v>
      </c>
      <c r="Y4633" s="168">
        <f t="shared" si="8"/>
        <v>0</v>
      </c>
      <c r="Z4633" s="168">
        <f t="shared" si="9"/>
        <v>0</v>
      </c>
    </row>
    <row r="4634" ht="15.0" customHeight="1">
      <c r="A4634" s="157" t="s">
        <v>5892</v>
      </c>
      <c r="B4634" s="158" t="s">
        <v>38</v>
      </c>
      <c r="C4634" s="158" t="s">
        <v>5880</v>
      </c>
      <c r="D4634" s="159">
        <v>45328.0</v>
      </c>
      <c r="E4634" s="157" t="s">
        <v>731</v>
      </c>
      <c r="F4634" s="160">
        <v>90091.17</v>
      </c>
      <c r="G4634" s="160">
        <f>'FACP$'!$F4634*0.16</f>
        <v>14414.5872</v>
      </c>
      <c r="H4634" s="160">
        <f t="shared" si="124"/>
        <v>104505.7572</v>
      </c>
      <c r="I4634" s="160"/>
      <c r="J4634" s="161"/>
      <c r="K4634" s="160"/>
      <c r="L4634" s="160">
        <f>+'FACP$'!$H4634-'FACP$'!$I4634-'FACP$'!$K4634</f>
        <v>104505.7572</v>
      </c>
      <c r="M4634" s="162" t="s">
        <v>4707</v>
      </c>
      <c r="N4634" s="162" t="s">
        <v>554</v>
      </c>
      <c r="O4634" s="164">
        <v>45409.0</v>
      </c>
      <c r="P4634" s="164">
        <f t="array" ref="P4634">XLOOKUP('FACP$'!$B4634,'perfil de pagos'!$A$4:$A$46,'perfil de pagos'!$B$4:$B$46+'FACP$'!$D4634)</f>
        <v>45358</v>
      </c>
      <c r="Q4634" s="165">
        <f t="shared" si="128"/>
        <v>0</v>
      </c>
      <c r="R4634" s="167"/>
      <c r="S4634" s="167">
        <v>2896.0</v>
      </c>
      <c r="T4634" s="168">
        <f t="shared" si="3"/>
        <v>104505.7572</v>
      </c>
      <c r="U4634" s="168">
        <f t="shared" si="4"/>
        <v>0</v>
      </c>
      <c r="V4634" s="168">
        <f t="shared" si="5"/>
        <v>0</v>
      </c>
      <c r="W4634" s="168">
        <f t="shared" si="6"/>
        <v>0</v>
      </c>
      <c r="X4634" s="168">
        <f t="shared" si="7"/>
        <v>0</v>
      </c>
      <c r="Y4634" s="168">
        <f t="shared" si="8"/>
        <v>0</v>
      </c>
      <c r="Z4634" s="168">
        <f t="shared" si="9"/>
        <v>0</v>
      </c>
    </row>
    <row r="4635" ht="15.0" customHeight="1">
      <c r="A4635" s="157" t="s">
        <v>5893</v>
      </c>
      <c r="B4635" s="158" t="s">
        <v>38</v>
      </c>
      <c r="C4635" s="158" t="s">
        <v>5886</v>
      </c>
      <c r="D4635" s="159">
        <v>45328.0</v>
      </c>
      <c r="E4635" s="157" t="s">
        <v>731</v>
      </c>
      <c r="F4635" s="160">
        <v>137397.08</v>
      </c>
      <c r="G4635" s="160">
        <f>'FACP$'!$F4635*0.16</f>
        <v>21983.5328</v>
      </c>
      <c r="H4635" s="160">
        <f t="shared" si="124"/>
        <v>159380.6128</v>
      </c>
      <c r="I4635" s="160"/>
      <c r="J4635" s="161"/>
      <c r="K4635" s="160"/>
      <c r="L4635" s="160">
        <f>+'FACP$'!$H4635-'FACP$'!$I4635-'FACP$'!$K4635</f>
        <v>159380.6128</v>
      </c>
      <c r="M4635" s="162" t="s">
        <v>4707</v>
      </c>
      <c r="N4635" s="162" t="s">
        <v>554</v>
      </c>
      <c r="O4635" s="164">
        <v>45409.0</v>
      </c>
      <c r="P4635" s="164">
        <f t="array" ref="P4635">XLOOKUP('FACP$'!$B4635,'perfil de pagos'!$A$4:$A$46,'perfil de pagos'!$B$4:$B$46+'FACP$'!$D4635)</f>
        <v>45358</v>
      </c>
      <c r="Q4635" s="165">
        <f t="shared" si="128"/>
        <v>0</v>
      </c>
      <c r="R4635" s="167"/>
      <c r="S4635" s="167">
        <v>2896.0</v>
      </c>
      <c r="T4635" s="168">
        <f t="shared" si="3"/>
        <v>159380.6128</v>
      </c>
      <c r="U4635" s="168">
        <f t="shared" si="4"/>
        <v>0</v>
      </c>
      <c r="V4635" s="168">
        <f t="shared" si="5"/>
        <v>0</v>
      </c>
      <c r="W4635" s="168">
        <f t="shared" si="6"/>
        <v>0</v>
      </c>
      <c r="X4635" s="168">
        <f t="shared" si="7"/>
        <v>0</v>
      </c>
      <c r="Y4635" s="168">
        <f t="shared" si="8"/>
        <v>0</v>
      </c>
      <c r="Z4635" s="168">
        <f t="shared" si="9"/>
        <v>0</v>
      </c>
    </row>
    <row r="4636" ht="15.0" customHeight="1">
      <c r="A4636" s="157" t="s">
        <v>5894</v>
      </c>
      <c r="B4636" s="158" t="s">
        <v>27</v>
      </c>
      <c r="C4636" s="158" t="s">
        <v>5880</v>
      </c>
      <c r="D4636" s="159">
        <v>45328.0</v>
      </c>
      <c r="E4636" s="157" t="s">
        <v>731</v>
      </c>
      <c r="F4636" s="160">
        <v>1783.34</v>
      </c>
      <c r="G4636" s="160">
        <f>'FACP$'!$F4636*0.16</f>
        <v>285.3344</v>
      </c>
      <c r="H4636" s="160">
        <f t="shared" si="124"/>
        <v>2068.6744</v>
      </c>
      <c r="I4636" s="160"/>
      <c r="J4636" s="161"/>
      <c r="K4636" s="160"/>
      <c r="L4636" s="160">
        <f>+'FACP$'!$H4636-'FACP$'!$I4636-'FACP$'!$K4636</f>
        <v>2068.6744</v>
      </c>
      <c r="M4636" s="162" t="s">
        <v>158</v>
      </c>
      <c r="N4636" s="162" t="s">
        <v>554</v>
      </c>
      <c r="O4636" s="164">
        <v>45370.0</v>
      </c>
      <c r="P4636" s="164">
        <f t="array" ref="P4636">XLOOKUP('FACP$'!$B4636,'perfil de pagos'!$A$4:$A$46,'perfil de pagos'!$B$4:$B$46+'FACP$'!$D4636)</f>
        <v>45358</v>
      </c>
      <c r="Q4636" s="165">
        <f t="shared" si="128"/>
        <v>0</v>
      </c>
      <c r="R4636" s="167"/>
      <c r="S4636" s="167">
        <v>2866.0</v>
      </c>
      <c r="T4636" s="168">
        <f t="shared" si="3"/>
        <v>2068.6744</v>
      </c>
      <c r="U4636" s="168">
        <f t="shared" si="4"/>
        <v>0</v>
      </c>
      <c r="V4636" s="168">
        <f t="shared" si="5"/>
        <v>0</v>
      </c>
      <c r="W4636" s="168">
        <f t="shared" si="6"/>
        <v>0</v>
      </c>
      <c r="X4636" s="168">
        <f t="shared" si="7"/>
        <v>0</v>
      </c>
      <c r="Y4636" s="168">
        <f t="shared" si="8"/>
        <v>0</v>
      </c>
      <c r="Z4636" s="168">
        <f t="shared" si="9"/>
        <v>0</v>
      </c>
    </row>
    <row r="4637" ht="15.0" customHeight="1">
      <c r="A4637" s="157" t="s">
        <v>5895</v>
      </c>
      <c r="B4637" s="158" t="s">
        <v>27</v>
      </c>
      <c r="C4637" s="158" t="s">
        <v>5886</v>
      </c>
      <c r="D4637" s="159">
        <v>45328.0</v>
      </c>
      <c r="E4637" s="157" t="s">
        <v>731</v>
      </c>
      <c r="F4637" s="160">
        <v>2690.18</v>
      </c>
      <c r="G4637" s="160">
        <f>'FACP$'!$F4637*0.16</f>
        <v>430.4288</v>
      </c>
      <c r="H4637" s="160">
        <f t="shared" si="124"/>
        <v>3120.6088</v>
      </c>
      <c r="I4637" s="160"/>
      <c r="J4637" s="161"/>
      <c r="K4637" s="160"/>
      <c r="L4637" s="160">
        <f>+'FACP$'!$H4637-'FACP$'!$I4637-'FACP$'!$K4637</f>
        <v>3120.6088</v>
      </c>
      <c r="M4637" s="162" t="s">
        <v>158</v>
      </c>
      <c r="N4637" s="162" t="s">
        <v>554</v>
      </c>
      <c r="O4637" s="164">
        <v>45370.0</v>
      </c>
      <c r="P4637" s="164">
        <f t="array" ref="P4637">XLOOKUP('FACP$'!$B4637,'perfil de pagos'!$A$4:$A$46,'perfil de pagos'!$B$4:$B$46+'FACP$'!$D4637)</f>
        <v>45358</v>
      </c>
      <c r="Q4637" s="165">
        <f t="shared" si="128"/>
        <v>0</v>
      </c>
      <c r="R4637" s="167"/>
      <c r="S4637" s="167">
        <v>2866.0</v>
      </c>
      <c r="T4637" s="168">
        <f t="shared" si="3"/>
        <v>3120.6088</v>
      </c>
      <c r="U4637" s="168">
        <f t="shared" si="4"/>
        <v>0</v>
      </c>
      <c r="V4637" s="168">
        <f t="shared" si="5"/>
        <v>0</v>
      </c>
      <c r="W4637" s="168">
        <f t="shared" si="6"/>
        <v>0</v>
      </c>
      <c r="X4637" s="168">
        <f t="shared" si="7"/>
        <v>0</v>
      </c>
      <c r="Y4637" s="168">
        <f t="shared" si="8"/>
        <v>0</v>
      </c>
      <c r="Z4637" s="168">
        <f t="shared" si="9"/>
        <v>0</v>
      </c>
    </row>
    <row r="4638" ht="15.0" customHeight="1">
      <c r="A4638" s="157" t="s">
        <v>5896</v>
      </c>
      <c r="B4638" s="158" t="s">
        <v>27</v>
      </c>
      <c r="C4638" s="158" t="s">
        <v>5880</v>
      </c>
      <c r="D4638" s="159">
        <v>45328.0</v>
      </c>
      <c r="E4638" s="157" t="s">
        <v>731</v>
      </c>
      <c r="F4638" s="160">
        <v>18757.84</v>
      </c>
      <c r="G4638" s="160">
        <f>'FACP$'!$F4638*0.16</f>
        <v>3001.2544</v>
      </c>
      <c r="H4638" s="160">
        <f t="shared" si="124"/>
        <v>21759.0944</v>
      </c>
      <c r="I4638" s="160"/>
      <c r="J4638" s="161"/>
      <c r="K4638" s="160"/>
      <c r="L4638" s="160">
        <f>+'FACP$'!$H4638-'FACP$'!$I4638-'FACP$'!$K4638</f>
        <v>21759.0944</v>
      </c>
      <c r="M4638" s="162" t="s">
        <v>151</v>
      </c>
      <c r="N4638" s="162" t="s">
        <v>554</v>
      </c>
      <c r="O4638" s="164">
        <v>45370.0</v>
      </c>
      <c r="P4638" s="164">
        <f t="array" ref="P4638">XLOOKUP('FACP$'!$B4638,'perfil de pagos'!$A$4:$A$46,'perfil de pagos'!$B$4:$B$46+'FACP$'!$D4638)</f>
        <v>45358</v>
      </c>
      <c r="Q4638" s="165">
        <f t="shared" si="128"/>
        <v>0</v>
      </c>
      <c r="R4638" s="167"/>
      <c r="S4638" s="167">
        <v>2867.0</v>
      </c>
      <c r="T4638" s="168">
        <f t="shared" si="3"/>
        <v>21759.0944</v>
      </c>
      <c r="U4638" s="168">
        <f t="shared" si="4"/>
        <v>0</v>
      </c>
      <c r="V4638" s="168">
        <f t="shared" si="5"/>
        <v>0</v>
      </c>
      <c r="W4638" s="168">
        <f t="shared" si="6"/>
        <v>0</v>
      </c>
      <c r="X4638" s="168">
        <f t="shared" si="7"/>
        <v>0</v>
      </c>
      <c r="Y4638" s="168">
        <f t="shared" si="8"/>
        <v>0</v>
      </c>
      <c r="Z4638" s="168">
        <f t="shared" si="9"/>
        <v>0</v>
      </c>
    </row>
    <row r="4639" ht="15.0" customHeight="1">
      <c r="A4639" s="157" t="s">
        <v>5897</v>
      </c>
      <c r="B4639" s="158" t="s">
        <v>27</v>
      </c>
      <c r="C4639" s="158" t="s">
        <v>5886</v>
      </c>
      <c r="D4639" s="159">
        <v>45328.0</v>
      </c>
      <c r="E4639" s="157" t="s">
        <v>731</v>
      </c>
      <c r="F4639" s="160">
        <v>30832.74</v>
      </c>
      <c r="G4639" s="160">
        <f>'FACP$'!$F4639*0.16</f>
        <v>4933.2384</v>
      </c>
      <c r="H4639" s="160">
        <f t="shared" si="124"/>
        <v>35765.9784</v>
      </c>
      <c r="I4639" s="160"/>
      <c r="J4639" s="161"/>
      <c r="K4639" s="160"/>
      <c r="L4639" s="160">
        <f>+'FACP$'!$H4639-'FACP$'!$I4639-'FACP$'!$K4639</f>
        <v>35765.9784</v>
      </c>
      <c r="M4639" s="162" t="s">
        <v>151</v>
      </c>
      <c r="N4639" s="162" t="s">
        <v>554</v>
      </c>
      <c r="O4639" s="164">
        <v>45370.0</v>
      </c>
      <c r="P4639" s="164">
        <f t="array" ref="P4639">XLOOKUP('FACP$'!$B4639,'perfil de pagos'!$A$4:$A$46,'perfil de pagos'!$B$4:$B$46+'FACP$'!$D4639)</f>
        <v>45358</v>
      </c>
      <c r="Q4639" s="165">
        <f t="shared" si="128"/>
        <v>0</v>
      </c>
      <c r="R4639" s="167"/>
      <c r="S4639" s="167">
        <v>2867.0</v>
      </c>
      <c r="T4639" s="168">
        <f t="shared" si="3"/>
        <v>35765.9784</v>
      </c>
      <c r="U4639" s="168">
        <f t="shared" si="4"/>
        <v>0</v>
      </c>
      <c r="V4639" s="168">
        <f t="shared" si="5"/>
        <v>0</v>
      </c>
      <c r="W4639" s="168">
        <f t="shared" si="6"/>
        <v>0</v>
      </c>
      <c r="X4639" s="168">
        <f t="shared" si="7"/>
        <v>0</v>
      </c>
      <c r="Y4639" s="168">
        <f t="shared" si="8"/>
        <v>0</v>
      </c>
      <c r="Z4639" s="168">
        <f t="shared" si="9"/>
        <v>0</v>
      </c>
    </row>
    <row r="4640" ht="15.0" customHeight="1">
      <c r="A4640" s="157" t="s">
        <v>5898</v>
      </c>
      <c r="B4640" s="158" t="s">
        <v>27</v>
      </c>
      <c r="C4640" s="158" t="s">
        <v>5880</v>
      </c>
      <c r="D4640" s="159">
        <v>45328.0</v>
      </c>
      <c r="E4640" s="157" t="s">
        <v>731</v>
      </c>
      <c r="F4640" s="160">
        <v>1186.78</v>
      </c>
      <c r="G4640" s="160">
        <f>'FACP$'!$F4640*0.16</f>
        <v>189.8848</v>
      </c>
      <c r="H4640" s="160">
        <f t="shared" si="124"/>
        <v>1376.6648</v>
      </c>
      <c r="I4640" s="160"/>
      <c r="J4640" s="161"/>
      <c r="K4640" s="160"/>
      <c r="L4640" s="160">
        <f>+'FACP$'!$H4640-'FACP$'!$I4640-'FACP$'!$K4640</f>
        <v>1376.6648</v>
      </c>
      <c r="M4640" s="162" t="s">
        <v>151</v>
      </c>
      <c r="N4640" s="162" t="s">
        <v>554</v>
      </c>
      <c r="O4640" s="164">
        <v>45370.0</v>
      </c>
      <c r="P4640" s="164">
        <f t="array" ref="P4640">XLOOKUP('FACP$'!$B4640,'perfil de pagos'!$A$4:$A$46,'perfil de pagos'!$B$4:$B$46+'FACP$'!$D4640)</f>
        <v>45358</v>
      </c>
      <c r="Q4640" s="165">
        <f t="shared" si="128"/>
        <v>0</v>
      </c>
      <c r="R4640" s="167"/>
      <c r="S4640" s="167">
        <v>2867.0</v>
      </c>
      <c r="T4640" s="168">
        <f t="shared" si="3"/>
        <v>1376.6648</v>
      </c>
      <c r="U4640" s="168">
        <f t="shared" si="4"/>
        <v>0</v>
      </c>
      <c r="V4640" s="168">
        <f t="shared" si="5"/>
        <v>0</v>
      </c>
      <c r="W4640" s="168">
        <f t="shared" si="6"/>
        <v>0</v>
      </c>
      <c r="X4640" s="168">
        <f t="shared" si="7"/>
        <v>0</v>
      </c>
      <c r="Y4640" s="168">
        <f t="shared" si="8"/>
        <v>0</v>
      </c>
      <c r="Z4640" s="168">
        <f t="shared" si="9"/>
        <v>0</v>
      </c>
    </row>
    <row r="4641" ht="15.0" customHeight="1">
      <c r="A4641" s="157" t="s">
        <v>5899</v>
      </c>
      <c r="B4641" s="158" t="s">
        <v>27</v>
      </c>
      <c r="C4641" s="158" t="s">
        <v>5886</v>
      </c>
      <c r="D4641" s="159">
        <v>45328.0</v>
      </c>
      <c r="E4641" s="157" t="s">
        <v>731</v>
      </c>
      <c r="F4641" s="160">
        <v>1676.3</v>
      </c>
      <c r="G4641" s="160">
        <f>'FACP$'!$F4641*0.16</f>
        <v>268.208</v>
      </c>
      <c r="H4641" s="160">
        <f t="shared" si="124"/>
        <v>1944.508</v>
      </c>
      <c r="I4641" s="160"/>
      <c r="J4641" s="161"/>
      <c r="K4641" s="160"/>
      <c r="L4641" s="160">
        <f>+'FACP$'!$H4641-'FACP$'!$I4641-'FACP$'!$K4641</f>
        <v>1944.508</v>
      </c>
      <c r="M4641" s="162" t="s">
        <v>151</v>
      </c>
      <c r="N4641" s="162" t="s">
        <v>554</v>
      </c>
      <c r="O4641" s="164">
        <v>45370.0</v>
      </c>
      <c r="P4641" s="164">
        <f t="array" ref="P4641">XLOOKUP('FACP$'!$B4641,'perfil de pagos'!$A$4:$A$46,'perfil de pagos'!$B$4:$B$46+'FACP$'!$D4641)</f>
        <v>45358</v>
      </c>
      <c r="Q4641" s="165">
        <f t="shared" si="128"/>
        <v>0</v>
      </c>
      <c r="R4641" s="167"/>
      <c r="S4641" s="167">
        <v>2867.0</v>
      </c>
      <c r="T4641" s="168">
        <f t="shared" si="3"/>
        <v>1944.508</v>
      </c>
      <c r="U4641" s="168">
        <f t="shared" si="4"/>
        <v>0</v>
      </c>
      <c r="V4641" s="168">
        <f t="shared" si="5"/>
        <v>0</v>
      </c>
      <c r="W4641" s="168">
        <f t="shared" si="6"/>
        <v>0</v>
      </c>
      <c r="X4641" s="168">
        <f t="shared" si="7"/>
        <v>0</v>
      </c>
      <c r="Y4641" s="168">
        <f t="shared" si="8"/>
        <v>0</v>
      </c>
      <c r="Z4641" s="168">
        <f t="shared" si="9"/>
        <v>0</v>
      </c>
    </row>
    <row r="4642" ht="15.0" customHeight="1">
      <c r="A4642" s="157" t="s">
        <v>5900</v>
      </c>
      <c r="B4642" s="158" t="s">
        <v>43</v>
      </c>
      <c r="C4642" s="158" t="s">
        <v>5880</v>
      </c>
      <c r="D4642" s="159">
        <v>45330.0</v>
      </c>
      <c r="E4642" s="157" t="s">
        <v>731</v>
      </c>
      <c r="F4642" s="160">
        <v>1817918.64</v>
      </c>
      <c r="G4642" s="160">
        <f>'FACP$'!$F4642*0.16</f>
        <v>290866.9824</v>
      </c>
      <c r="H4642" s="160">
        <f t="shared" si="124"/>
        <v>2108785.622</v>
      </c>
      <c r="I4642" s="160"/>
      <c r="J4642" s="161" t="s">
        <v>5901</v>
      </c>
      <c r="K4642" s="160">
        <f>'NCP$'!H274+'NCP$'!H277</f>
        <v>68771.122</v>
      </c>
      <c r="L4642" s="160">
        <f>+'FACP$'!$H4642-'FACP$'!$I4642-'FACP$'!$K4642</f>
        <v>2040014.5</v>
      </c>
      <c r="M4642" s="162" t="s">
        <v>43</v>
      </c>
      <c r="N4642" s="162" t="s">
        <v>554</v>
      </c>
      <c r="O4642" s="164"/>
      <c r="P4642" s="164">
        <f t="array" ref="P4642">XLOOKUP('FACP$'!$B4642,'perfil de pagos'!$A$4:$A$46,'perfil de pagos'!$B$4:$B$46+'FACP$'!$D4642)</f>
        <v>45355</v>
      </c>
      <c r="Q4642" s="165">
        <f t="shared" si="128"/>
        <v>0</v>
      </c>
      <c r="R4642" s="167"/>
      <c r="S4642" s="167">
        <v>2836.0</v>
      </c>
      <c r="T4642" s="168">
        <f t="shared" si="3"/>
        <v>2040014.5</v>
      </c>
      <c r="U4642" s="168">
        <f t="shared" si="4"/>
        <v>0</v>
      </c>
      <c r="V4642" s="168">
        <f t="shared" si="5"/>
        <v>0</v>
      </c>
      <c r="W4642" s="168">
        <f t="shared" si="6"/>
        <v>0</v>
      </c>
      <c r="X4642" s="168">
        <f t="shared" si="7"/>
        <v>0</v>
      </c>
      <c r="Y4642" s="168">
        <f t="shared" si="8"/>
        <v>0</v>
      </c>
      <c r="Z4642" s="168">
        <f t="shared" si="9"/>
        <v>0</v>
      </c>
    </row>
    <row r="4643" ht="15.0" customHeight="1">
      <c r="A4643" s="157" t="s">
        <v>5902</v>
      </c>
      <c r="B4643" s="158" t="s">
        <v>43</v>
      </c>
      <c r="C4643" s="158" t="s">
        <v>5886</v>
      </c>
      <c r="D4643" s="159">
        <v>45330.0</v>
      </c>
      <c r="E4643" s="157" t="s">
        <v>731</v>
      </c>
      <c r="F4643" s="160">
        <v>1705653.52</v>
      </c>
      <c r="G4643" s="160">
        <f>'FACP$'!$F4643*0.16</f>
        <v>272904.5632</v>
      </c>
      <c r="H4643" s="160">
        <f t="shared" si="124"/>
        <v>1978558.083</v>
      </c>
      <c r="I4643" s="160"/>
      <c r="J4643" s="161" t="s">
        <v>5903</v>
      </c>
      <c r="K4643" s="160">
        <f>'NCP$'!H275+'NCP$'!H278</f>
        <v>75130.3928</v>
      </c>
      <c r="L4643" s="160">
        <f>+'FACP$'!$H4643-'FACP$'!$I4643-'FACP$'!$K4643</f>
        <v>1903427.69</v>
      </c>
      <c r="M4643" s="162" t="s">
        <v>43</v>
      </c>
      <c r="N4643" s="162" t="s">
        <v>554</v>
      </c>
      <c r="O4643" s="164">
        <v>45351.0</v>
      </c>
      <c r="P4643" s="164">
        <f t="array" ref="P4643">XLOOKUP('FACP$'!$B4643,'perfil de pagos'!$A$4:$A$46,'perfil de pagos'!$B$4:$B$46+'FACP$'!$D4643)</f>
        <v>45355</v>
      </c>
      <c r="Q4643" s="165">
        <f t="shared" si="128"/>
        <v>0</v>
      </c>
      <c r="R4643" s="167"/>
      <c r="S4643" s="167">
        <v>2831.0</v>
      </c>
      <c r="T4643" s="168">
        <f t="shared" si="3"/>
        <v>1903427.69</v>
      </c>
      <c r="U4643" s="168">
        <f t="shared" si="4"/>
        <v>0</v>
      </c>
      <c r="V4643" s="168">
        <f t="shared" si="5"/>
        <v>0</v>
      </c>
      <c r="W4643" s="168">
        <f t="shared" si="6"/>
        <v>0</v>
      </c>
      <c r="X4643" s="168">
        <f t="shared" si="7"/>
        <v>0</v>
      </c>
      <c r="Y4643" s="168">
        <f t="shared" si="8"/>
        <v>0</v>
      </c>
      <c r="Z4643" s="168">
        <f t="shared" si="9"/>
        <v>0</v>
      </c>
    </row>
    <row r="4644" ht="15.0" customHeight="1">
      <c r="A4644" s="157" t="s">
        <v>5904</v>
      </c>
      <c r="B4644" s="158" t="s">
        <v>16</v>
      </c>
      <c r="C4644" s="158" t="s">
        <v>5880</v>
      </c>
      <c r="D4644" s="159">
        <v>45331.0</v>
      </c>
      <c r="E4644" s="157" t="s">
        <v>731</v>
      </c>
      <c r="F4644" s="160">
        <v>405125.5</v>
      </c>
      <c r="G4644" s="160">
        <f>'FACP$'!$F4644*0.16</f>
        <v>64820.08</v>
      </c>
      <c r="H4644" s="160">
        <f t="shared" si="124"/>
        <v>469945.58</v>
      </c>
      <c r="I4644" s="160"/>
      <c r="J4644" s="161"/>
      <c r="K4644" s="160"/>
      <c r="L4644" s="160">
        <f>+'FACP$'!$H4644-'FACP$'!$I4644-'FACP$'!$K4644</f>
        <v>469945.58</v>
      </c>
      <c r="M4644" s="162" t="s">
        <v>985</v>
      </c>
      <c r="N4644" s="162" t="s">
        <v>554</v>
      </c>
      <c r="O4644" s="164">
        <v>45344.0</v>
      </c>
      <c r="P4644" s="164">
        <f t="array" ref="P4644">XLOOKUP('FACP$'!$B4644,'perfil de pagos'!$A$4:$A$46,'perfil de pagos'!$B$4:$B$46+'FACP$'!$D4644)</f>
        <v>45341</v>
      </c>
      <c r="Q4644" s="165">
        <f t="shared" si="128"/>
        <v>0</v>
      </c>
      <c r="R4644" s="167"/>
      <c r="S4644" s="167">
        <v>2817.0</v>
      </c>
      <c r="T4644" s="168">
        <f t="shared" si="3"/>
        <v>469945.58</v>
      </c>
      <c r="U4644" s="168">
        <f t="shared" si="4"/>
        <v>0</v>
      </c>
      <c r="V4644" s="168">
        <f t="shared" si="5"/>
        <v>0</v>
      </c>
      <c r="W4644" s="168">
        <f t="shared" si="6"/>
        <v>0</v>
      </c>
      <c r="X4644" s="168">
        <f t="shared" si="7"/>
        <v>0</v>
      </c>
      <c r="Y4644" s="168">
        <f t="shared" si="8"/>
        <v>0</v>
      </c>
      <c r="Z4644" s="168">
        <f t="shared" si="9"/>
        <v>0</v>
      </c>
    </row>
    <row r="4645" ht="15.0" customHeight="1">
      <c r="A4645" s="157" t="s">
        <v>5905</v>
      </c>
      <c r="B4645" s="158" t="s">
        <v>16</v>
      </c>
      <c r="C4645" s="158" t="s">
        <v>5886</v>
      </c>
      <c r="D4645" s="159">
        <v>45331.0</v>
      </c>
      <c r="E4645" s="157" t="s">
        <v>731</v>
      </c>
      <c r="F4645" s="160">
        <v>554154.78</v>
      </c>
      <c r="G4645" s="160">
        <f>'FACP$'!$F4645*0.16</f>
        <v>88664.7648</v>
      </c>
      <c r="H4645" s="160">
        <f t="shared" si="124"/>
        <v>642819.5448</v>
      </c>
      <c r="I4645" s="160"/>
      <c r="J4645" s="161"/>
      <c r="K4645" s="160"/>
      <c r="L4645" s="160">
        <f>+'FACP$'!$H4645-'FACP$'!$I4645-'FACP$'!$K4645</f>
        <v>642819.5448</v>
      </c>
      <c r="M4645" s="162" t="s">
        <v>985</v>
      </c>
      <c r="N4645" s="162" t="s">
        <v>554</v>
      </c>
      <c r="O4645" s="164">
        <v>45344.0</v>
      </c>
      <c r="P4645" s="164">
        <f t="array" ref="P4645">XLOOKUP('FACP$'!$B4645,'perfil de pagos'!$A$4:$A$46,'perfil de pagos'!$B$4:$B$46+'FACP$'!$D4645)</f>
        <v>45341</v>
      </c>
      <c r="Q4645" s="165">
        <f t="shared" si="128"/>
        <v>0</v>
      </c>
      <c r="R4645" s="167"/>
      <c r="S4645" s="167">
        <v>2817.0</v>
      </c>
      <c r="T4645" s="168">
        <f t="shared" si="3"/>
        <v>642819.5448</v>
      </c>
      <c r="U4645" s="168">
        <f t="shared" si="4"/>
        <v>0</v>
      </c>
      <c r="V4645" s="168">
        <f t="shared" si="5"/>
        <v>0</v>
      </c>
      <c r="W4645" s="168">
        <f t="shared" si="6"/>
        <v>0</v>
      </c>
      <c r="X4645" s="168">
        <f t="shared" si="7"/>
        <v>0</v>
      </c>
      <c r="Y4645" s="168">
        <f t="shared" si="8"/>
        <v>0</v>
      </c>
      <c r="Z4645" s="168">
        <f t="shared" si="9"/>
        <v>0</v>
      </c>
    </row>
    <row r="4646" ht="15.0" customHeight="1">
      <c r="A4646" s="157" t="s">
        <v>5906</v>
      </c>
      <c r="B4646" s="158" t="s">
        <v>18</v>
      </c>
      <c r="C4646" s="158" t="s">
        <v>5880</v>
      </c>
      <c r="D4646" s="159">
        <v>45331.0</v>
      </c>
      <c r="E4646" s="157" t="s">
        <v>731</v>
      </c>
      <c r="F4646" s="160">
        <v>79119.33</v>
      </c>
      <c r="G4646" s="160">
        <f>'FACP$'!$F4646*0.16</f>
        <v>12659.0928</v>
      </c>
      <c r="H4646" s="160">
        <f t="shared" si="124"/>
        <v>91778.4228</v>
      </c>
      <c r="I4646" s="160"/>
      <c r="J4646" s="161"/>
      <c r="K4646" s="160"/>
      <c r="L4646" s="160">
        <f>+'FACP$'!$H4646-'FACP$'!$I4646-'FACP$'!$K4646</f>
        <v>91778.4228</v>
      </c>
      <c r="M4646" s="162" t="s">
        <v>586</v>
      </c>
      <c r="N4646" s="162" t="s">
        <v>554</v>
      </c>
      <c r="O4646" s="164">
        <v>45370.0</v>
      </c>
      <c r="P4646" s="164">
        <f t="array" ref="P4646">XLOOKUP('FACP$'!$B4646,'perfil de pagos'!$A$4:$A$46,'perfil de pagos'!$B$4:$B$46+'FACP$'!$D4646)</f>
        <v>45341</v>
      </c>
      <c r="Q4646" s="165">
        <f t="shared" si="128"/>
        <v>0</v>
      </c>
      <c r="R4646" s="167"/>
      <c r="S4646" s="167">
        <v>2864.0</v>
      </c>
      <c r="T4646" s="168">
        <f t="shared" si="3"/>
        <v>91778.4228</v>
      </c>
      <c r="U4646" s="168">
        <f t="shared" si="4"/>
        <v>0</v>
      </c>
      <c r="V4646" s="168">
        <f t="shared" si="5"/>
        <v>0</v>
      </c>
      <c r="W4646" s="168">
        <f t="shared" si="6"/>
        <v>0</v>
      </c>
      <c r="X4646" s="168">
        <f t="shared" si="7"/>
        <v>0</v>
      </c>
      <c r="Y4646" s="168">
        <f t="shared" si="8"/>
        <v>0</v>
      </c>
      <c r="Z4646" s="168">
        <f t="shared" si="9"/>
        <v>0</v>
      </c>
    </row>
    <row r="4647" ht="15.0" customHeight="1">
      <c r="A4647" s="157" t="s">
        <v>5907</v>
      </c>
      <c r="B4647" s="158" t="s">
        <v>19</v>
      </c>
      <c r="C4647" s="158" t="s">
        <v>5880</v>
      </c>
      <c r="D4647" s="159">
        <v>45331.0</v>
      </c>
      <c r="E4647" s="157" t="s">
        <v>731</v>
      </c>
      <c r="F4647" s="160">
        <v>160672.9</v>
      </c>
      <c r="G4647" s="160">
        <f>'FACP$'!$F4647*0.16</f>
        <v>25707.664</v>
      </c>
      <c r="H4647" s="160">
        <f t="shared" si="124"/>
        <v>186380.564</v>
      </c>
      <c r="I4647" s="160"/>
      <c r="J4647" s="161"/>
      <c r="K4647" s="160"/>
      <c r="L4647" s="160">
        <f>+'FACP$'!$H4647-'FACP$'!$I4647-'FACP$'!$K4647</f>
        <v>186380.564</v>
      </c>
      <c r="M4647" s="162" t="s">
        <v>732</v>
      </c>
      <c r="N4647" s="162" t="s">
        <v>554</v>
      </c>
      <c r="O4647" s="164">
        <v>45370.0</v>
      </c>
      <c r="P4647" s="164">
        <f t="array" ref="P4647">XLOOKUP('FACP$'!$B4647,'perfil de pagos'!$A$4:$A$46,'perfil de pagos'!$B$4:$B$46+'FACP$'!$D4647)</f>
        <v>45341</v>
      </c>
      <c r="Q4647" s="165">
        <f t="shared" si="128"/>
        <v>0</v>
      </c>
      <c r="R4647" s="167"/>
      <c r="S4647" s="167">
        <v>2864.0</v>
      </c>
      <c r="T4647" s="168">
        <f t="shared" si="3"/>
        <v>186380.564</v>
      </c>
      <c r="U4647" s="168">
        <f t="shared" si="4"/>
        <v>0</v>
      </c>
      <c r="V4647" s="168">
        <f t="shared" si="5"/>
        <v>0</v>
      </c>
      <c r="W4647" s="168">
        <f t="shared" si="6"/>
        <v>0</v>
      </c>
      <c r="X4647" s="168">
        <f t="shared" si="7"/>
        <v>0</v>
      </c>
      <c r="Y4647" s="168">
        <f t="shared" si="8"/>
        <v>0</v>
      </c>
      <c r="Z4647" s="168">
        <f t="shared" si="9"/>
        <v>0</v>
      </c>
    </row>
    <row r="4648" ht="15.0" customHeight="1">
      <c r="A4648" s="157" t="s">
        <v>5908</v>
      </c>
      <c r="B4648" s="158" t="s">
        <v>22</v>
      </c>
      <c r="C4648" s="158" t="s">
        <v>5880</v>
      </c>
      <c r="D4648" s="159">
        <v>45331.0</v>
      </c>
      <c r="E4648" s="157" t="s">
        <v>731</v>
      </c>
      <c r="F4648" s="160">
        <v>353493.77</v>
      </c>
      <c r="G4648" s="160">
        <f>'FACP$'!$F4648*0.16</f>
        <v>56559.0032</v>
      </c>
      <c r="H4648" s="160">
        <f t="shared" si="124"/>
        <v>410052.7732</v>
      </c>
      <c r="I4648" s="160">
        <f>17668+350000</f>
        <v>367668</v>
      </c>
      <c r="J4648" s="161"/>
      <c r="K4648" s="160"/>
      <c r="L4648" s="160">
        <f>+'FACP$'!$H4648-'FACP$'!$I4648-'FACP$'!$K4648</f>
        <v>42384.7732</v>
      </c>
      <c r="M4648" s="162" t="s">
        <v>220</v>
      </c>
      <c r="N4648" s="162" t="s">
        <v>554</v>
      </c>
      <c r="O4648" s="164">
        <v>45378.0</v>
      </c>
      <c r="P4648" s="164">
        <f t="array" ref="P4648">XLOOKUP('FACP$'!$B4648,'perfil de pagos'!$A$4:$A$46,'perfil de pagos'!$B$4:$B$46+'FACP$'!$D4648)</f>
        <v>45341</v>
      </c>
      <c r="Q4648" s="165">
        <f t="shared" si="128"/>
        <v>0</v>
      </c>
      <c r="R4648" s="220" t="s">
        <v>5909</v>
      </c>
      <c r="S4648" s="220" t="s">
        <v>5910</v>
      </c>
      <c r="T4648" s="168">
        <f t="shared" si="3"/>
        <v>42384.7732</v>
      </c>
      <c r="U4648" s="168">
        <f t="shared" si="4"/>
        <v>0</v>
      </c>
      <c r="V4648" s="168">
        <f t="shared" si="5"/>
        <v>0</v>
      </c>
      <c r="W4648" s="168">
        <f t="shared" si="6"/>
        <v>0</v>
      </c>
      <c r="X4648" s="168">
        <f t="shared" si="7"/>
        <v>0</v>
      </c>
      <c r="Y4648" s="168">
        <f t="shared" si="8"/>
        <v>0</v>
      </c>
      <c r="Z4648" s="168">
        <f t="shared" si="9"/>
        <v>0</v>
      </c>
    </row>
    <row r="4649" ht="15.0" customHeight="1">
      <c r="A4649" s="157" t="s">
        <v>5911</v>
      </c>
      <c r="B4649" s="158" t="s">
        <v>25</v>
      </c>
      <c r="C4649" s="158" t="s">
        <v>5880</v>
      </c>
      <c r="D4649" s="159">
        <v>45331.0</v>
      </c>
      <c r="E4649" s="157" t="s">
        <v>731</v>
      </c>
      <c r="F4649" s="160">
        <v>62072.18</v>
      </c>
      <c r="G4649" s="160">
        <f>'FACP$'!$F4649*0.16</f>
        <v>9931.5488</v>
      </c>
      <c r="H4649" s="160">
        <f t="shared" si="124"/>
        <v>72003.7288</v>
      </c>
      <c r="I4649" s="160"/>
      <c r="J4649" s="161"/>
      <c r="K4649" s="160"/>
      <c r="L4649" s="160">
        <f>+'FACP$'!$H4649-'FACP$'!$I4649-'FACP$'!$K4649</f>
        <v>72003.7288</v>
      </c>
      <c r="M4649" s="162" t="s">
        <v>4388</v>
      </c>
      <c r="N4649" s="162" t="s">
        <v>554</v>
      </c>
      <c r="O4649" s="164">
        <v>45370.0</v>
      </c>
      <c r="P4649" s="164">
        <f t="array" ref="P4649">XLOOKUP('FACP$'!$B4649,'perfil de pagos'!$A$4:$A$46,'perfil de pagos'!$B$4:$B$46+'FACP$'!$D4649)</f>
        <v>45341</v>
      </c>
      <c r="Q4649" s="165">
        <f t="shared" si="128"/>
        <v>0</v>
      </c>
      <c r="R4649" s="167"/>
      <c r="S4649" s="167">
        <v>2865.0</v>
      </c>
      <c r="T4649" s="168">
        <f t="shared" si="3"/>
        <v>72003.7288</v>
      </c>
      <c r="U4649" s="168">
        <f t="shared" si="4"/>
        <v>0</v>
      </c>
      <c r="V4649" s="168">
        <f t="shared" si="5"/>
        <v>0</v>
      </c>
      <c r="W4649" s="168">
        <f t="shared" si="6"/>
        <v>0</v>
      </c>
      <c r="X4649" s="168">
        <f t="shared" si="7"/>
        <v>0</v>
      </c>
      <c r="Y4649" s="168">
        <f t="shared" si="8"/>
        <v>0</v>
      </c>
      <c r="Z4649" s="168">
        <f t="shared" si="9"/>
        <v>0</v>
      </c>
    </row>
    <row r="4650" ht="15.0" customHeight="1">
      <c r="A4650" s="157" t="s">
        <v>5912</v>
      </c>
      <c r="B4650" s="158" t="s">
        <v>37</v>
      </c>
      <c r="C4650" s="158" t="s">
        <v>5880</v>
      </c>
      <c r="D4650" s="159">
        <v>45331.0</v>
      </c>
      <c r="E4650" s="157" t="s">
        <v>731</v>
      </c>
      <c r="F4650" s="160">
        <v>2163250.18</v>
      </c>
      <c r="G4650" s="160">
        <f>'FACP$'!$F4650*0.16</f>
        <v>346120.0288</v>
      </c>
      <c r="H4650" s="160">
        <f t="shared" si="124"/>
        <v>2509370.209</v>
      </c>
      <c r="I4650" s="160"/>
      <c r="J4650" s="161"/>
      <c r="K4650" s="160"/>
      <c r="L4650" s="160">
        <f>+'FACP$'!$H4650-'FACP$'!$I4650-'FACP$'!$K4650</f>
        <v>2509370.209</v>
      </c>
      <c r="M4650" s="162" t="s">
        <v>116</v>
      </c>
      <c r="N4650" s="162" t="s">
        <v>554</v>
      </c>
      <c r="O4650" s="164">
        <v>45348.0</v>
      </c>
      <c r="P4650" s="164">
        <f t="array" ref="P4650">XLOOKUP('FACP$'!$B4650,'perfil de pagos'!$A$4:$A$46,'perfil de pagos'!$B$4:$B$46+'FACP$'!$D4650)</f>
        <v>45341</v>
      </c>
      <c r="Q4650" s="165">
        <f t="shared" si="128"/>
        <v>0</v>
      </c>
      <c r="R4650" s="167"/>
      <c r="S4650" s="167">
        <v>2825.0</v>
      </c>
      <c r="T4650" s="168">
        <f t="shared" si="3"/>
        <v>2509370.209</v>
      </c>
      <c r="U4650" s="168">
        <f t="shared" si="4"/>
        <v>0</v>
      </c>
      <c r="V4650" s="168">
        <f t="shared" si="5"/>
        <v>0</v>
      </c>
      <c r="W4650" s="168">
        <f t="shared" si="6"/>
        <v>0</v>
      </c>
      <c r="X4650" s="168">
        <f t="shared" si="7"/>
        <v>0</v>
      </c>
      <c r="Y4650" s="168">
        <f t="shared" si="8"/>
        <v>0</v>
      </c>
      <c r="Z4650" s="168">
        <f t="shared" si="9"/>
        <v>0</v>
      </c>
    </row>
    <row r="4651" ht="15.0" customHeight="1">
      <c r="A4651" s="157" t="s">
        <v>5913</v>
      </c>
      <c r="B4651" s="158" t="s">
        <v>29</v>
      </c>
      <c r="C4651" s="158" t="s">
        <v>5880</v>
      </c>
      <c r="D4651" s="159">
        <v>45331.0</v>
      </c>
      <c r="E4651" s="157" t="s">
        <v>731</v>
      </c>
      <c r="F4651" s="160">
        <v>408032.3</v>
      </c>
      <c r="G4651" s="160">
        <f>'FACP$'!$F4651*0.16</f>
        <v>65285.168</v>
      </c>
      <c r="H4651" s="160">
        <f t="shared" si="124"/>
        <v>473317.468</v>
      </c>
      <c r="I4651" s="160"/>
      <c r="J4651" s="161"/>
      <c r="K4651" s="160"/>
      <c r="L4651" s="160">
        <f>+'FACP$'!$H4651-'FACP$'!$I4651-'FACP$'!$K4651</f>
        <v>473317.468</v>
      </c>
      <c r="M4651" s="162" t="s">
        <v>130</v>
      </c>
      <c r="N4651" s="162" t="s">
        <v>554</v>
      </c>
      <c r="O4651" s="164">
        <v>45341.0</v>
      </c>
      <c r="P4651" s="164">
        <f t="array" ref="P4651">XLOOKUP('FACP$'!$B4651,'perfil de pagos'!$A$4:$A$46,'perfil de pagos'!$B$4:$B$46+'FACP$'!$D4651)</f>
        <v>45341</v>
      </c>
      <c r="Q4651" s="165">
        <f t="shared" si="128"/>
        <v>0</v>
      </c>
      <c r="R4651" s="167"/>
      <c r="S4651" s="167">
        <v>2810.0</v>
      </c>
      <c r="T4651" s="168">
        <f t="shared" si="3"/>
        <v>473317.468</v>
      </c>
      <c r="U4651" s="168">
        <f t="shared" si="4"/>
        <v>0</v>
      </c>
      <c r="V4651" s="168">
        <f t="shared" si="5"/>
        <v>0</v>
      </c>
      <c r="W4651" s="168">
        <f t="shared" si="6"/>
        <v>0</v>
      </c>
      <c r="X4651" s="168">
        <f t="shared" si="7"/>
        <v>0</v>
      </c>
      <c r="Y4651" s="168">
        <f t="shared" si="8"/>
        <v>0</v>
      </c>
      <c r="Z4651" s="168">
        <f t="shared" si="9"/>
        <v>0</v>
      </c>
    </row>
    <row r="4652" ht="15.0" customHeight="1">
      <c r="A4652" s="157" t="s">
        <v>5914</v>
      </c>
      <c r="B4652" s="158" t="s">
        <v>29</v>
      </c>
      <c r="C4652" s="158" t="s">
        <v>5886</v>
      </c>
      <c r="D4652" s="159">
        <v>45331.0</v>
      </c>
      <c r="E4652" s="157" t="s">
        <v>731</v>
      </c>
      <c r="F4652" s="160">
        <v>554023.79</v>
      </c>
      <c r="G4652" s="160">
        <f>'FACP$'!$F4652*0.16</f>
        <v>88643.8064</v>
      </c>
      <c r="H4652" s="160">
        <f t="shared" si="124"/>
        <v>642667.5964</v>
      </c>
      <c r="I4652" s="160"/>
      <c r="J4652" s="161">
        <f>'NCP$'!A280</f>
        <v>384</v>
      </c>
      <c r="K4652" s="160">
        <f>'NCP$'!H280</f>
        <v>29132.7736</v>
      </c>
      <c r="L4652" s="160">
        <f>+'FACP$'!$H4652-'FACP$'!$I4652-'FACP$'!$K4652</f>
        <v>613534.8228</v>
      </c>
      <c r="M4652" s="162" t="s">
        <v>130</v>
      </c>
      <c r="N4652" s="162" t="s">
        <v>554</v>
      </c>
      <c r="O4652" s="164">
        <v>45344.0</v>
      </c>
      <c r="P4652" s="164">
        <f t="array" ref="P4652">XLOOKUP('FACP$'!$B4652,'perfil de pagos'!$A$4:$A$46,'perfil de pagos'!$B$4:$B$46+'FACP$'!$D4652)</f>
        <v>45341</v>
      </c>
      <c r="Q4652" s="165">
        <f t="shared" si="128"/>
        <v>0</v>
      </c>
      <c r="R4652" s="167"/>
      <c r="S4652" s="167">
        <v>2869.0</v>
      </c>
      <c r="T4652" s="168">
        <f t="shared" si="3"/>
        <v>613534.8228</v>
      </c>
      <c r="U4652" s="168">
        <f t="shared" si="4"/>
        <v>0</v>
      </c>
      <c r="V4652" s="168">
        <f t="shared" si="5"/>
        <v>0</v>
      </c>
      <c r="W4652" s="168">
        <f t="shared" si="6"/>
        <v>0</v>
      </c>
      <c r="X4652" s="168">
        <f t="shared" si="7"/>
        <v>0</v>
      </c>
      <c r="Y4652" s="168">
        <f t="shared" si="8"/>
        <v>0</v>
      </c>
      <c r="Z4652" s="168">
        <f t="shared" si="9"/>
        <v>0</v>
      </c>
    </row>
    <row r="4653" ht="15.0" customHeight="1">
      <c r="A4653" s="157" t="s">
        <v>5915</v>
      </c>
      <c r="B4653" s="158" t="s">
        <v>40</v>
      </c>
      <c r="C4653" s="158" t="s">
        <v>5880</v>
      </c>
      <c r="D4653" s="159">
        <v>45331.0</v>
      </c>
      <c r="E4653" s="157" t="s">
        <v>731</v>
      </c>
      <c r="F4653" s="160">
        <v>369665.02</v>
      </c>
      <c r="G4653" s="160">
        <f>'FACP$'!$F4653*0.16</f>
        <v>59146.4032</v>
      </c>
      <c r="H4653" s="160">
        <f t="shared" si="124"/>
        <v>428811.4232</v>
      </c>
      <c r="I4653" s="160"/>
      <c r="J4653" s="161"/>
      <c r="K4653" s="160"/>
      <c r="L4653" s="160">
        <f>+'FACP$'!$H4653-'FACP$'!$I4653-'FACP$'!$K4653</f>
        <v>428811.4232</v>
      </c>
      <c r="M4653" s="162" t="s">
        <v>490</v>
      </c>
      <c r="N4653" s="162" t="s">
        <v>554</v>
      </c>
      <c r="O4653" s="164">
        <v>45366.0</v>
      </c>
      <c r="P4653" s="164">
        <f t="array" ref="P4653">XLOOKUP('FACP$'!$B4653,'perfil de pagos'!$A$4:$A$46,'perfil de pagos'!$B$4:$B$46+'FACP$'!$D4653)</f>
        <v>45361</v>
      </c>
      <c r="Q4653" s="165">
        <f t="shared" si="128"/>
        <v>0</v>
      </c>
      <c r="R4653" s="167"/>
      <c r="S4653" s="167"/>
      <c r="T4653" s="168">
        <f t="shared" si="3"/>
        <v>428811.4232</v>
      </c>
      <c r="U4653" s="168">
        <f t="shared" si="4"/>
        <v>0</v>
      </c>
      <c r="V4653" s="168">
        <f t="shared" si="5"/>
        <v>0</v>
      </c>
      <c r="W4653" s="168">
        <f t="shared" si="6"/>
        <v>0</v>
      </c>
      <c r="X4653" s="168">
        <f t="shared" si="7"/>
        <v>0</v>
      </c>
      <c r="Y4653" s="168">
        <f t="shared" si="8"/>
        <v>0</v>
      </c>
      <c r="Z4653" s="168">
        <f t="shared" si="9"/>
        <v>0</v>
      </c>
    </row>
    <row r="4654" ht="15.0" customHeight="1">
      <c r="A4654" s="157" t="s">
        <v>5916</v>
      </c>
      <c r="B4654" s="158" t="s">
        <v>40</v>
      </c>
      <c r="C4654" s="158" t="s">
        <v>5886</v>
      </c>
      <c r="D4654" s="159">
        <v>45331.0</v>
      </c>
      <c r="E4654" s="157" t="s">
        <v>731</v>
      </c>
      <c r="F4654" s="160">
        <v>271545.98</v>
      </c>
      <c r="G4654" s="160">
        <f>'FACP$'!$F4654*0.16</f>
        <v>43447.3568</v>
      </c>
      <c r="H4654" s="160">
        <f t="shared" si="124"/>
        <v>314993.3368</v>
      </c>
      <c r="I4654" s="160"/>
      <c r="J4654" s="161"/>
      <c r="K4654" s="160"/>
      <c r="L4654" s="160">
        <f>+'FACP$'!$H4654-'FACP$'!$I4654-'FACP$'!$K4654</f>
        <v>314993.3368</v>
      </c>
      <c r="M4654" s="162" t="s">
        <v>490</v>
      </c>
      <c r="N4654" s="162" t="s">
        <v>554</v>
      </c>
      <c r="O4654" s="164">
        <v>45345.0</v>
      </c>
      <c r="P4654" s="164">
        <f t="array" ref="P4654">XLOOKUP('FACP$'!$B4654,'perfil de pagos'!$A$4:$A$46,'perfil de pagos'!$B$4:$B$46+'FACP$'!$D4654)</f>
        <v>45361</v>
      </c>
      <c r="Q4654" s="165">
        <f t="shared" si="128"/>
        <v>0</v>
      </c>
      <c r="R4654" s="167"/>
      <c r="S4654" s="167">
        <v>2820.0</v>
      </c>
      <c r="T4654" s="168">
        <f t="shared" si="3"/>
        <v>314993.3368</v>
      </c>
      <c r="U4654" s="168">
        <f t="shared" si="4"/>
        <v>0</v>
      </c>
      <c r="V4654" s="168">
        <f t="shared" si="5"/>
        <v>0</v>
      </c>
      <c r="W4654" s="168">
        <f t="shared" si="6"/>
        <v>0</v>
      </c>
      <c r="X4654" s="168">
        <f t="shared" si="7"/>
        <v>0</v>
      </c>
      <c r="Y4654" s="168">
        <f t="shared" si="8"/>
        <v>0</v>
      </c>
      <c r="Z4654" s="168">
        <f t="shared" si="9"/>
        <v>0</v>
      </c>
    </row>
    <row r="4655" ht="15.0" customHeight="1">
      <c r="A4655" s="157" t="s">
        <v>5917</v>
      </c>
      <c r="B4655" s="158" t="s">
        <v>38</v>
      </c>
      <c r="C4655" s="158" t="s">
        <v>5880</v>
      </c>
      <c r="D4655" s="159">
        <v>45334.0</v>
      </c>
      <c r="E4655" s="157" t="s">
        <v>731</v>
      </c>
      <c r="F4655" s="160">
        <v>798151.81</v>
      </c>
      <c r="G4655" s="160">
        <f>'FACP$'!$F4655*0.16</f>
        <v>127704.2896</v>
      </c>
      <c r="H4655" s="160">
        <f t="shared" si="124"/>
        <v>925856.0996</v>
      </c>
      <c r="I4655" s="160"/>
      <c r="J4655" s="161"/>
      <c r="K4655" s="160"/>
      <c r="L4655" s="160">
        <f>+'FACP$'!$H4655-'FACP$'!$I4655-'FACP$'!$K4655</f>
        <v>925856.0996</v>
      </c>
      <c r="M4655" s="162" t="s">
        <v>145</v>
      </c>
      <c r="N4655" s="162" t="s">
        <v>554</v>
      </c>
      <c r="O4655" s="164">
        <v>45409.0</v>
      </c>
      <c r="P4655" s="164">
        <f t="array" ref="P4655">XLOOKUP('FACP$'!$B4655,'perfil de pagos'!$A$4:$A$46,'perfil de pagos'!$B$4:$B$46+'FACP$'!$D4655)</f>
        <v>45364</v>
      </c>
      <c r="Q4655" s="165">
        <f t="shared" si="128"/>
        <v>0</v>
      </c>
      <c r="R4655" s="167"/>
      <c r="S4655" s="167">
        <v>2896.0</v>
      </c>
      <c r="T4655" s="168">
        <f t="shared" si="3"/>
        <v>925856.0996</v>
      </c>
      <c r="U4655" s="168">
        <f t="shared" si="4"/>
        <v>0</v>
      </c>
      <c r="V4655" s="168">
        <f t="shared" si="5"/>
        <v>0</v>
      </c>
      <c r="W4655" s="168">
        <f t="shared" si="6"/>
        <v>0</v>
      </c>
      <c r="X4655" s="168">
        <f t="shared" si="7"/>
        <v>0</v>
      </c>
      <c r="Y4655" s="168">
        <f t="shared" si="8"/>
        <v>0</v>
      </c>
      <c r="Z4655" s="168">
        <f t="shared" si="9"/>
        <v>0</v>
      </c>
    </row>
    <row r="4656" ht="15.0" customHeight="1">
      <c r="A4656" s="157" t="s">
        <v>5918</v>
      </c>
      <c r="B4656" s="158" t="s">
        <v>38</v>
      </c>
      <c r="C4656" s="158" t="s">
        <v>5880</v>
      </c>
      <c r="D4656" s="159">
        <v>45334.0</v>
      </c>
      <c r="E4656" s="157" t="s">
        <v>731</v>
      </c>
      <c r="F4656" s="160">
        <v>251419.24</v>
      </c>
      <c r="G4656" s="160">
        <f>'FACP$'!$F4656*0.16</f>
        <v>40227.0784</v>
      </c>
      <c r="H4656" s="160">
        <f t="shared" si="124"/>
        <v>291646.3184</v>
      </c>
      <c r="I4656" s="160"/>
      <c r="J4656" s="161"/>
      <c r="K4656" s="160"/>
      <c r="L4656" s="160">
        <f>+'FACP$'!$H4656-'FACP$'!$I4656-'FACP$'!$K4656</f>
        <v>291646.3184</v>
      </c>
      <c r="M4656" s="162" t="s">
        <v>434</v>
      </c>
      <c r="N4656" s="162" t="s">
        <v>554</v>
      </c>
      <c r="O4656" s="164">
        <v>45409.0</v>
      </c>
      <c r="P4656" s="164">
        <f t="array" ref="P4656">XLOOKUP('FACP$'!$B4656,'perfil de pagos'!$A$4:$A$46,'perfil de pagos'!$B$4:$B$46+'FACP$'!$D4656)</f>
        <v>45364</v>
      </c>
      <c r="Q4656" s="165">
        <f t="shared" si="128"/>
        <v>0</v>
      </c>
      <c r="R4656" s="167"/>
      <c r="S4656" s="167">
        <v>2896.0</v>
      </c>
      <c r="T4656" s="168">
        <f t="shared" si="3"/>
        <v>291646.3184</v>
      </c>
      <c r="U4656" s="168">
        <f t="shared" si="4"/>
        <v>0</v>
      </c>
      <c r="V4656" s="168">
        <f t="shared" si="5"/>
        <v>0</v>
      </c>
      <c r="W4656" s="168">
        <f t="shared" si="6"/>
        <v>0</v>
      </c>
      <c r="X4656" s="168">
        <f t="shared" si="7"/>
        <v>0</v>
      </c>
      <c r="Y4656" s="168">
        <f t="shared" si="8"/>
        <v>0</v>
      </c>
      <c r="Z4656" s="168">
        <f t="shared" si="9"/>
        <v>0</v>
      </c>
    </row>
    <row r="4657" ht="15.0" customHeight="1">
      <c r="A4657" s="157" t="s">
        <v>5919</v>
      </c>
      <c r="B4657" s="158" t="s">
        <v>40</v>
      </c>
      <c r="C4657" s="158" t="s">
        <v>5920</v>
      </c>
      <c r="D4657" s="159">
        <v>45334.0</v>
      </c>
      <c r="E4657" s="157" t="s">
        <v>731</v>
      </c>
      <c r="F4657" s="160">
        <v>209955.82</v>
      </c>
      <c r="G4657" s="160">
        <f>'FACP$'!$F4657*0.16</f>
        <v>33592.9312</v>
      </c>
      <c r="H4657" s="160">
        <f t="shared" si="124"/>
        <v>243548.7512</v>
      </c>
      <c r="I4657" s="160"/>
      <c r="J4657" s="161"/>
      <c r="K4657" s="160"/>
      <c r="L4657" s="160">
        <f>+'FACP$'!$H4657-'FACP$'!$I4657-'FACP$'!$K4657</f>
        <v>243548.7512</v>
      </c>
      <c r="M4657" s="162" t="s">
        <v>490</v>
      </c>
      <c r="N4657" s="162" t="s">
        <v>554</v>
      </c>
      <c r="O4657" s="164">
        <v>45366.0</v>
      </c>
      <c r="P4657" s="164">
        <f t="array" ref="P4657">XLOOKUP('FACP$'!$B4657,'perfil de pagos'!$A$4:$A$46,'perfil de pagos'!$B$4:$B$46+'FACP$'!$D4657)</f>
        <v>45364</v>
      </c>
      <c r="Q4657" s="165">
        <f t="shared" si="128"/>
        <v>0</v>
      </c>
      <c r="R4657" s="167"/>
      <c r="S4657" s="167"/>
      <c r="T4657" s="168">
        <f t="shared" si="3"/>
        <v>243548.7512</v>
      </c>
      <c r="U4657" s="168">
        <f t="shared" si="4"/>
        <v>0</v>
      </c>
      <c r="V4657" s="168">
        <f t="shared" si="5"/>
        <v>0</v>
      </c>
      <c r="W4657" s="168">
        <f t="shared" si="6"/>
        <v>0</v>
      </c>
      <c r="X4657" s="168">
        <f t="shared" si="7"/>
        <v>0</v>
      </c>
      <c r="Y4657" s="168">
        <f t="shared" si="8"/>
        <v>0</v>
      </c>
      <c r="Z4657" s="168">
        <f t="shared" si="9"/>
        <v>0</v>
      </c>
    </row>
    <row r="4658" ht="15.0" customHeight="1">
      <c r="A4658" s="157" t="s">
        <v>5921</v>
      </c>
      <c r="B4658" s="158" t="s">
        <v>41</v>
      </c>
      <c r="C4658" s="158" t="s">
        <v>5922</v>
      </c>
      <c r="D4658" s="159">
        <v>45341.0</v>
      </c>
      <c r="E4658" s="157" t="s">
        <v>731</v>
      </c>
      <c r="F4658" s="160">
        <v>780685.52</v>
      </c>
      <c r="G4658" s="160">
        <f>'FACP$'!$F4658*0.16</f>
        <v>124909.6832</v>
      </c>
      <c r="H4658" s="160">
        <f t="shared" si="124"/>
        <v>905595.2032</v>
      </c>
      <c r="I4658" s="160"/>
      <c r="J4658" s="161"/>
      <c r="K4658" s="160"/>
      <c r="L4658" s="160">
        <f>+'FACP$'!$H4658-'FACP$'!$I4658-'FACP$'!$K4658</f>
        <v>905595.2032</v>
      </c>
      <c r="M4658" s="162" t="s">
        <v>121</v>
      </c>
      <c r="N4658" s="162" t="s">
        <v>554</v>
      </c>
      <c r="O4658" s="164">
        <v>45404.0</v>
      </c>
      <c r="P4658" s="164">
        <f t="array" ref="P4658">XLOOKUP('FACP$'!$B4658,'perfil de pagos'!$A$4:$A$46,'perfil de pagos'!$B$4:$B$46+'FACP$'!$D4658)</f>
        <v>45351</v>
      </c>
      <c r="Q4658" s="165">
        <f t="shared" si="128"/>
        <v>0</v>
      </c>
      <c r="R4658" s="167"/>
      <c r="S4658" s="167">
        <v>2942.0</v>
      </c>
      <c r="T4658" s="168">
        <f t="shared" si="3"/>
        <v>905595.2032</v>
      </c>
      <c r="U4658" s="168">
        <f t="shared" si="4"/>
        <v>0</v>
      </c>
      <c r="V4658" s="168">
        <f t="shared" si="5"/>
        <v>0</v>
      </c>
      <c r="W4658" s="168">
        <f t="shared" si="6"/>
        <v>0</v>
      </c>
      <c r="X4658" s="168">
        <f t="shared" si="7"/>
        <v>0</v>
      </c>
      <c r="Y4658" s="168">
        <f t="shared" si="8"/>
        <v>0</v>
      </c>
      <c r="Z4658" s="168">
        <f t="shared" si="9"/>
        <v>0</v>
      </c>
    </row>
    <row r="4659" ht="15.0" customHeight="1">
      <c r="A4659" s="157" t="s">
        <v>5923</v>
      </c>
      <c r="B4659" s="158" t="s">
        <v>35</v>
      </c>
      <c r="C4659" s="158" t="s">
        <v>5922</v>
      </c>
      <c r="D4659" s="159">
        <v>45341.0</v>
      </c>
      <c r="E4659" s="157" t="s">
        <v>731</v>
      </c>
      <c r="F4659" s="160">
        <v>410361.22</v>
      </c>
      <c r="G4659" s="160">
        <f>'FACP$'!$F4659*0.16</f>
        <v>65657.7952</v>
      </c>
      <c r="H4659" s="160">
        <f t="shared" si="124"/>
        <v>476019.0152</v>
      </c>
      <c r="I4659" s="160"/>
      <c r="J4659" s="161"/>
      <c r="K4659" s="160"/>
      <c r="L4659" s="160">
        <f>+'FACP$'!$H4659-'FACP$'!$I4659-'FACP$'!$K4659</f>
        <v>476019.0152</v>
      </c>
      <c r="M4659" s="162" t="s">
        <v>276</v>
      </c>
      <c r="N4659" s="162" t="s">
        <v>554</v>
      </c>
      <c r="O4659" s="164">
        <v>45352.0</v>
      </c>
      <c r="P4659" s="164">
        <f t="array" ref="P4659">XLOOKUP('FACP$'!$B4659,'perfil de pagos'!$A$4:$A$46,'perfil de pagos'!$B$4:$B$46+'FACP$'!$D4659)</f>
        <v>45351</v>
      </c>
      <c r="Q4659" s="165">
        <f t="shared" si="128"/>
        <v>0</v>
      </c>
      <c r="R4659" s="167"/>
      <c r="S4659" s="167">
        <v>2836.0</v>
      </c>
      <c r="T4659" s="168">
        <f t="shared" si="3"/>
        <v>476019.0152</v>
      </c>
      <c r="U4659" s="168">
        <f t="shared" si="4"/>
        <v>0</v>
      </c>
      <c r="V4659" s="168">
        <f t="shared" si="5"/>
        <v>0</v>
      </c>
      <c r="W4659" s="168">
        <f t="shared" si="6"/>
        <v>0</v>
      </c>
      <c r="X4659" s="168">
        <f t="shared" si="7"/>
        <v>0</v>
      </c>
      <c r="Y4659" s="168">
        <f t="shared" si="8"/>
        <v>0</v>
      </c>
      <c r="Z4659" s="168">
        <f t="shared" si="9"/>
        <v>0</v>
      </c>
    </row>
    <row r="4660" ht="15.0" customHeight="1">
      <c r="A4660" s="157" t="s">
        <v>5924</v>
      </c>
      <c r="B4660" s="158" t="s">
        <v>36</v>
      </c>
      <c r="C4660" s="158" t="s">
        <v>5922</v>
      </c>
      <c r="D4660" s="159">
        <v>45341.0</v>
      </c>
      <c r="E4660" s="157" t="s">
        <v>731</v>
      </c>
      <c r="F4660" s="160">
        <v>170988.33</v>
      </c>
      <c r="G4660" s="160">
        <f>'FACP$'!$F4660*0.16</f>
        <v>27358.1328</v>
      </c>
      <c r="H4660" s="160">
        <f t="shared" si="124"/>
        <v>198346.4628</v>
      </c>
      <c r="I4660" s="160"/>
      <c r="J4660" s="161"/>
      <c r="K4660" s="160"/>
      <c r="L4660" s="160">
        <f>+'FACP$'!$H4660-'FACP$'!$I4660-'FACP$'!$K4660</f>
        <v>198346.4628</v>
      </c>
      <c r="M4660" s="162" t="s">
        <v>574</v>
      </c>
      <c r="N4660" s="162" t="s">
        <v>554</v>
      </c>
      <c r="O4660" s="164">
        <v>45362.0</v>
      </c>
      <c r="P4660" s="164">
        <f t="array" ref="P4660">XLOOKUP('FACP$'!$B4660,'perfil de pagos'!$A$4:$A$46,'perfil de pagos'!$B$4:$B$46+'FACP$'!$D4660)</f>
        <v>45351</v>
      </c>
      <c r="Q4660" s="165">
        <f t="shared" si="128"/>
        <v>0</v>
      </c>
      <c r="R4660" s="167"/>
      <c r="S4660" s="167">
        <v>2853.0</v>
      </c>
      <c r="T4660" s="168">
        <f t="shared" si="3"/>
        <v>198346.4628</v>
      </c>
      <c r="U4660" s="168">
        <f t="shared" si="4"/>
        <v>0</v>
      </c>
      <c r="V4660" s="168">
        <f t="shared" si="5"/>
        <v>0</v>
      </c>
      <c r="W4660" s="168">
        <f t="shared" si="6"/>
        <v>0</v>
      </c>
      <c r="X4660" s="168">
        <f t="shared" si="7"/>
        <v>0</v>
      </c>
      <c r="Y4660" s="168">
        <f t="shared" si="8"/>
        <v>0</v>
      </c>
      <c r="Z4660" s="168">
        <f t="shared" si="9"/>
        <v>0</v>
      </c>
    </row>
    <row r="4661" ht="15.0" customHeight="1">
      <c r="A4661" s="157" t="s">
        <v>5925</v>
      </c>
      <c r="B4661" s="158" t="s">
        <v>36</v>
      </c>
      <c r="C4661" s="158" t="s">
        <v>5926</v>
      </c>
      <c r="D4661" s="159">
        <v>45341.0</v>
      </c>
      <c r="E4661" s="157" t="s">
        <v>731</v>
      </c>
      <c r="F4661" s="160">
        <v>145618.98</v>
      </c>
      <c r="G4661" s="160">
        <f>'FACP$'!$F4661*0.16</f>
        <v>23299.0368</v>
      </c>
      <c r="H4661" s="160">
        <f t="shared" si="124"/>
        <v>168918.0168</v>
      </c>
      <c r="I4661" s="160"/>
      <c r="J4661" s="161"/>
      <c r="K4661" s="160"/>
      <c r="L4661" s="160">
        <f>+'FACP$'!$H4661-'FACP$'!$I4661-'FACP$'!$K4661</f>
        <v>168918.0168</v>
      </c>
      <c r="M4661" s="162" t="s">
        <v>574</v>
      </c>
      <c r="N4661" s="162" t="s">
        <v>554</v>
      </c>
      <c r="O4661" s="164">
        <v>45351.0</v>
      </c>
      <c r="P4661" s="164">
        <f t="array" ref="P4661">XLOOKUP('FACP$'!$B4661,'perfil de pagos'!$A$4:$A$46,'perfil de pagos'!$B$4:$B$46+'FACP$'!$D4661)</f>
        <v>45351</v>
      </c>
      <c r="Q4661" s="165">
        <f t="shared" si="128"/>
        <v>0</v>
      </c>
      <c r="R4661" s="167"/>
      <c r="S4661" s="167">
        <v>2833.0</v>
      </c>
      <c r="T4661" s="168">
        <f t="shared" si="3"/>
        <v>168918.0168</v>
      </c>
      <c r="U4661" s="168">
        <f t="shared" si="4"/>
        <v>0</v>
      </c>
      <c r="V4661" s="168">
        <f t="shared" si="5"/>
        <v>0</v>
      </c>
      <c r="W4661" s="168">
        <f t="shared" si="6"/>
        <v>0</v>
      </c>
      <c r="X4661" s="168">
        <f t="shared" si="7"/>
        <v>0</v>
      </c>
      <c r="Y4661" s="168">
        <f t="shared" si="8"/>
        <v>0</v>
      </c>
      <c r="Z4661" s="168">
        <f t="shared" si="9"/>
        <v>0</v>
      </c>
    </row>
    <row r="4662" ht="15.0" customHeight="1">
      <c r="A4662" s="157" t="s">
        <v>5927</v>
      </c>
      <c r="B4662" s="158" t="s">
        <v>42</v>
      </c>
      <c r="C4662" s="158" t="s">
        <v>5922</v>
      </c>
      <c r="D4662" s="159">
        <v>45341.0</v>
      </c>
      <c r="E4662" s="157" t="s">
        <v>731</v>
      </c>
      <c r="F4662" s="160">
        <v>84818.84</v>
      </c>
      <c r="G4662" s="160">
        <f>'FACP$'!$F4662*0.16</f>
        <v>13571.0144</v>
      </c>
      <c r="H4662" s="160">
        <f t="shared" si="124"/>
        <v>98389.8544</v>
      </c>
      <c r="I4662" s="160"/>
      <c r="J4662" s="161"/>
      <c r="K4662" s="160"/>
      <c r="L4662" s="160">
        <f>+'FACP$'!$H4662-'FACP$'!$I4662-'FACP$'!$K4662</f>
        <v>98389.8544</v>
      </c>
      <c r="M4662" s="162" t="s">
        <v>42</v>
      </c>
      <c r="N4662" s="162" t="s">
        <v>554</v>
      </c>
      <c r="O4662" s="164">
        <v>45358.0</v>
      </c>
      <c r="P4662" s="164">
        <f t="array" ref="P4662">XLOOKUP('FACP$'!$B4662,'perfil de pagos'!$A$4:$A$46,'perfil de pagos'!$B$4:$B$46+'FACP$'!$D4662)</f>
        <v>45351</v>
      </c>
      <c r="Q4662" s="165">
        <f t="shared" si="128"/>
        <v>0</v>
      </c>
      <c r="R4662" s="167"/>
      <c r="S4662" s="167">
        <v>2843.0</v>
      </c>
      <c r="T4662" s="168">
        <f t="shared" si="3"/>
        <v>98389.8544</v>
      </c>
      <c r="U4662" s="168">
        <f t="shared" si="4"/>
        <v>0</v>
      </c>
      <c r="V4662" s="168">
        <f t="shared" si="5"/>
        <v>0</v>
      </c>
      <c r="W4662" s="168">
        <f t="shared" si="6"/>
        <v>0</v>
      </c>
      <c r="X4662" s="168">
        <f t="shared" si="7"/>
        <v>0</v>
      </c>
      <c r="Y4662" s="168">
        <f t="shared" si="8"/>
        <v>0</v>
      </c>
      <c r="Z4662" s="168">
        <f t="shared" si="9"/>
        <v>0</v>
      </c>
    </row>
    <row r="4663" ht="15.0" customHeight="1">
      <c r="A4663" s="157" t="s">
        <v>5928</v>
      </c>
      <c r="B4663" s="158" t="s">
        <v>43</v>
      </c>
      <c r="C4663" s="158" t="s">
        <v>5922</v>
      </c>
      <c r="D4663" s="159">
        <v>45341.0</v>
      </c>
      <c r="E4663" s="157" t="s">
        <v>731</v>
      </c>
      <c r="F4663" s="160">
        <v>1174340.06</v>
      </c>
      <c r="G4663" s="160">
        <f>'FACP$'!$F4663*0.16</f>
        <v>187894.4096</v>
      </c>
      <c r="H4663" s="160">
        <f t="shared" si="124"/>
        <v>1362234.47</v>
      </c>
      <c r="I4663" s="160"/>
      <c r="J4663" s="161"/>
      <c r="K4663" s="160"/>
      <c r="L4663" s="160">
        <f>+'FACP$'!$H4663-'FACP$'!$I4663-'FACP$'!$K4663</f>
        <v>1362234.47</v>
      </c>
      <c r="M4663" s="162" t="s">
        <v>43</v>
      </c>
      <c r="N4663" s="162" t="s">
        <v>554</v>
      </c>
      <c r="O4663" s="164">
        <v>45364.0</v>
      </c>
      <c r="P4663" s="164">
        <f t="array" ref="P4663">XLOOKUP('FACP$'!$B4663,'perfil de pagos'!$A$4:$A$46,'perfil de pagos'!$B$4:$B$46+'FACP$'!$D4663)</f>
        <v>45366</v>
      </c>
      <c r="Q4663" s="165">
        <f t="shared" si="128"/>
        <v>0</v>
      </c>
      <c r="R4663" s="167"/>
      <c r="S4663" s="167">
        <v>2857.0</v>
      </c>
      <c r="T4663" s="168">
        <f t="shared" si="3"/>
        <v>1362234.47</v>
      </c>
      <c r="U4663" s="168">
        <f t="shared" si="4"/>
        <v>0</v>
      </c>
      <c r="V4663" s="168">
        <f t="shared" si="5"/>
        <v>0</v>
      </c>
      <c r="W4663" s="168">
        <f t="shared" si="6"/>
        <v>0</v>
      </c>
      <c r="X4663" s="168">
        <f t="shared" si="7"/>
        <v>0</v>
      </c>
      <c r="Y4663" s="168">
        <f t="shared" si="8"/>
        <v>0</v>
      </c>
      <c r="Z4663" s="168">
        <f t="shared" si="9"/>
        <v>0</v>
      </c>
    </row>
    <row r="4664" ht="15.0" customHeight="1">
      <c r="A4664" s="157" t="s">
        <v>5929</v>
      </c>
      <c r="B4664" s="158" t="s">
        <v>43</v>
      </c>
      <c r="C4664" s="158" t="s">
        <v>5926</v>
      </c>
      <c r="D4664" s="159">
        <v>45341.0</v>
      </c>
      <c r="E4664" s="157" t="s">
        <v>731</v>
      </c>
      <c r="F4664" s="160">
        <v>1272805.72</v>
      </c>
      <c r="G4664" s="160">
        <f>'FACP$'!$F4664*0.16</f>
        <v>203648.9152</v>
      </c>
      <c r="H4664" s="160">
        <f t="shared" si="124"/>
        <v>1476454.635</v>
      </c>
      <c r="I4664" s="160"/>
      <c r="J4664" s="161"/>
      <c r="K4664" s="160"/>
      <c r="L4664" s="160">
        <f>+'FACP$'!$H4664-'FACP$'!$I4664-'FACP$'!$K4664</f>
        <v>1476454.635</v>
      </c>
      <c r="M4664" s="162" t="s">
        <v>43</v>
      </c>
      <c r="N4664" s="162" t="s">
        <v>554</v>
      </c>
      <c r="O4664" s="164">
        <v>45370.0</v>
      </c>
      <c r="P4664" s="164">
        <f t="array" ref="P4664">XLOOKUP('FACP$'!$B4664,'perfil de pagos'!$A$4:$A$46,'perfil de pagos'!$B$4:$B$46+'FACP$'!$D4664)</f>
        <v>45366</v>
      </c>
      <c r="Q4664" s="165">
        <f t="shared" si="128"/>
        <v>0</v>
      </c>
      <c r="R4664" s="167"/>
      <c r="S4664" s="167">
        <v>2870.0</v>
      </c>
      <c r="T4664" s="168">
        <f t="shared" si="3"/>
        <v>1476454.635</v>
      </c>
      <c r="U4664" s="168">
        <f t="shared" si="4"/>
        <v>0</v>
      </c>
      <c r="V4664" s="168">
        <f t="shared" si="5"/>
        <v>0</v>
      </c>
      <c r="W4664" s="168">
        <f t="shared" si="6"/>
        <v>0</v>
      </c>
      <c r="X4664" s="168">
        <f t="shared" si="7"/>
        <v>0</v>
      </c>
      <c r="Y4664" s="168">
        <f t="shared" si="8"/>
        <v>0</v>
      </c>
      <c r="Z4664" s="168">
        <f t="shared" si="9"/>
        <v>0</v>
      </c>
    </row>
    <row r="4665" ht="15.0" customHeight="1">
      <c r="A4665" s="157" t="s">
        <v>5930</v>
      </c>
      <c r="B4665" s="158" t="s">
        <v>28</v>
      </c>
      <c r="C4665" s="158" t="s">
        <v>5931</v>
      </c>
      <c r="D4665" s="159">
        <v>45341.0</v>
      </c>
      <c r="E4665" s="157" t="s">
        <v>731</v>
      </c>
      <c r="F4665" s="160">
        <v>629250.92</v>
      </c>
      <c r="G4665" s="160">
        <f>'FACP$'!$F4665*0.16</f>
        <v>100680.1472</v>
      </c>
      <c r="H4665" s="160">
        <f t="shared" si="124"/>
        <v>729931.0672</v>
      </c>
      <c r="I4665" s="160"/>
      <c r="J4665" s="161">
        <f>'NCP$'!A284</f>
        <v>388</v>
      </c>
      <c r="K4665" s="160">
        <f>'NCP$'!H284</f>
        <v>402976.808</v>
      </c>
      <c r="L4665" s="160">
        <f>+'FACP$'!$H4665-'FACP$'!$I4665-'FACP$'!$K4665</f>
        <v>326954.2592</v>
      </c>
      <c r="M4665" s="162" t="s">
        <v>504</v>
      </c>
      <c r="N4665" s="162" t="s">
        <v>554</v>
      </c>
      <c r="O4665" s="164">
        <v>45406.0</v>
      </c>
      <c r="P4665" s="164">
        <f t="array" ref="P4665">XLOOKUP('FACP$'!$B4665,'perfil de pagos'!$A$4:$A$46,'perfil de pagos'!$B$4:$B$46+'FACP$'!$D4665)</f>
        <v>45351</v>
      </c>
      <c r="Q4665" s="165">
        <f t="shared" si="128"/>
        <v>0</v>
      </c>
      <c r="R4665" s="167"/>
      <c r="S4665" s="167">
        <v>2951.0</v>
      </c>
      <c r="T4665" s="168">
        <f t="shared" si="3"/>
        <v>326954.2592</v>
      </c>
      <c r="U4665" s="168">
        <f t="shared" si="4"/>
        <v>0</v>
      </c>
      <c r="V4665" s="168">
        <f t="shared" si="5"/>
        <v>0</v>
      </c>
      <c r="W4665" s="168">
        <f t="shared" si="6"/>
        <v>0</v>
      </c>
      <c r="X4665" s="168">
        <f t="shared" si="7"/>
        <v>0</v>
      </c>
      <c r="Y4665" s="168">
        <f t="shared" si="8"/>
        <v>0</v>
      </c>
      <c r="Z4665" s="168">
        <f t="shared" si="9"/>
        <v>0</v>
      </c>
    </row>
    <row r="4666" ht="15.0" customHeight="1">
      <c r="A4666" s="157" t="s">
        <v>5932</v>
      </c>
      <c r="B4666" s="158" t="s">
        <v>27</v>
      </c>
      <c r="C4666" s="158" t="s">
        <v>5933</v>
      </c>
      <c r="D4666" s="159">
        <v>45342.0</v>
      </c>
      <c r="E4666" s="157" t="s">
        <v>731</v>
      </c>
      <c r="F4666" s="160">
        <v>152721.14</v>
      </c>
      <c r="G4666" s="160">
        <f>'FACP$'!$F4666*0.16</f>
        <v>24435.3824</v>
      </c>
      <c r="H4666" s="160">
        <f t="shared" si="124"/>
        <v>177156.5224</v>
      </c>
      <c r="I4666" s="160"/>
      <c r="J4666" s="161"/>
      <c r="K4666" s="160"/>
      <c r="L4666" s="160">
        <f>+'FACP$'!$H4666-'FACP$'!$I4666-'FACP$'!$K4666</f>
        <v>177156.5224</v>
      </c>
      <c r="M4666" s="162" t="s">
        <v>158</v>
      </c>
      <c r="N4666" s="162" t="s">
        <v>554</v>
      </c>
      <c r="O4666" s="164">
        <v>45376.0</v>
      </c>
      <c r="P4666" s="164">
        <f t="array" ref="P4666">XLOOKUP('FACP$'!$B4666,'perfil de pagos'!$A$4:$A$46,'perfil de pagos'!$B$4:$B$46+'FACP$'!$D4666)</f>
        <v>45372</v>
      </c>
      <c r="Q4666" s="165">
        <f t="shared" si="128"/>
        <v>0</v>
      </c>
      <c r="R4666" s="167"/>
      <c r="S4666" s="167">
        <v>2885.0</v>
      </c>
      <c r="T4666" s="168">
        <f t="shared" si="3"/>
        <v>177156.5224</v>
      </c>
      <c r="U4666" s="168">
        <f t="shared" si="4"/>
        <v>0</v>
      </c>
      <c r="V4666" s="168">
        <f t="shared" si="5"/>
        <v>0</v>
      </c>
      <c r="W4666" s="168">
        <f t="shared" si="6"/>
        <v>0</v>
      </c>
      <c r="X4666" s="168">
        <f t="shared" si="7"/>
        <v>0</v>
      </c>
      <c r="Y4666" s="168">
        <f t="shared" si="8"/>
        <v>0</v>
      </c>
      <c r="Z4666" s="168">
        <f t="shared" si="9"/>
        <v>0</v>
      </c>
    </row>
    <row r="4667" ht="15.0" customHeight="1">
      <c r="A4667" s="157" t="s">
        <v>5934</v>
      </c>
      <c r="B4667" s="158" t="s">
        <v>27</v>
      </c>
      <c r="C4667" s="158" t="s">
        <v>5935</v>
      </c>
      <c r="D4667" s="159">
        <v>45342.0</v>
      </c>
      <c r="E4667" s="157" t="s">
        <v>731</v>
      </c>
      <c r="F4667" s="160">
        <v>124602.01</v>
      </c>
      <c r="G4667" s="160">
        <f>'FACP$'!$F4667*0.16</f>
        <v>19936.3216</v>
      </c>
      <c r="H4667" s="160">
        <f t="shared" si="124"/>
        <v>144538.3316</v>
      </c>
      <c r="I4667" s="160"/>
      <c r="J4667" s="161"/>
      <c r="K4667" s="160"/>
      <c r="L4667" s="160">
        <f>+'FACP$'!$H4667-'FACP$'!$I4667-'FACP$'!$K4667</f>
        <v>144538.3316</v>
      </c>
      <c r="M4667" s="162" t="s">
        <v>158</v>
      </c>
      <c r="N4667" s="162" t="s">
        <v>554</v>
      </c>
      <c r="O4667" s="164">
        <v>45376.0</v>
      </c>
      <c r="P4667" s="164">
        <f t="array" ref="P4667">XLOOKUP('FACP$'!$B4667,'perfil de pagos'!$A$4:$A$46,'perfil de pagos'!$B$4:$B$46+'FACP$'!$D4667)</f>
        <v>45372</v>
      </c>
      <c r="Q4667" s="165">
        <f t="shared" si="128"/>
        <v>0</v>
      </c>
      <c r="R4667" s="167"/>
      <c r="S4667" s="167">
        <v>2885.0</v>
      </c>
      <c r="T4667" s="168">
        <f t="shared" si="3"/>
        <v>144538.3316</v>
      </c>
      <c r="U4667" s="168">
        <f t="shared" si="4"/>
        <v>0</v>
      </c>
      <c r="V4667" s="168">
        <f t="shared" si="5"/>
        <v>0</v>
      </c>
      <c r="W4667" s="168">
        <f t="shared" si="6"/>
        <v>0</v>
      </c>
      <c r="X4667" s="168">
        <f t="shared" si="7"/>
        <v>0</v>
      </c>
      <c r="Y4667" s="168">
        <f t="shared" si="8"/>
        <v>0</v>
      </c>
      <c r="Z4667" s="168">
        <f t="shared" si="9"/>
        <v>0</v>
      </c>
    </row>
    <row r="4668" ht="15.0" customHeight="1">
      <c r="A4668" s="157" t="s">
        <v>5936</v>
      </c>
      <c r="B4668" s="158" t="s">
        <v>27</v>
      </c>
      <c r="C4668" s="158" t="s">
        <v>5933</v>
      </c>
      <c r="D4668" s="159">
        <v>45342.0</v>
      </c>
      <c r="E4668" s="157" t="s">
        <v>731</v>
      </c>
      <c r="F4668" s="160">
        <v>285073.28</v>
      </c>
      <c r="G4668" s="160">
        <f>'FACP$'!$F4668*0.16</f>
        <v>45611.7248</v>
      </c>
      <c r="H4668" s="160">
        <f t="shared" si="124"/>
        <v>330685.0048</v>
      </c>
      <c r="I4668" s="160"/>
      <c r="J4668" s="161"/>
      <c r="K4668" s="160"/>
      <c r="L4668" s="160">
        <f>+'FACP$'!$H4668-'FACP$'!$I4668-'FACP$'!$K4668</f>
        <v>330685.0048</v>
      </c>
      <c r="M4668" s="162" t="s">
        <v>151</v>
      </c>
      <c r="N4668" s="162" t="s">
        <v>554</v>
      </c>
      <c r="O4668" s="164">
        <v>45376.0</v>
      </c>
      <c r="P4668" s="164">
        <f t="array" ref="P4668">XLOOKUP('FACP$'!$B4668,'perfil de pagos'!$A$4:$A$46,'perfil de pagos'!$B$4:$B$46+'FACP$'!$D4668)</f>
        <v>45372</v>
      </c>
      <c r="Q4668" s="165">
        <f t="shared" si="128"/>
        <v>0</v>
      </c>
      <c r="R4668" s="167"/>
      <c r="S4668" s="167">
        <v>2886.0</v>
      </c>
      <c r="T4668" s="168">
        <f t="shared" si="3"/>
        <v>330685.0048</v>
      </c>
      <c r="U4668" s="168">
        <f t="shared" si="4"/>
        <v>0</v>
      </c>
      <c r="V4668" s="168">
        <f t="shared" si="5"/>
        <v>0</v>
      </c>
      <c r="W4668" s="168">
        <f t="shared" si="6"/>
        <v>0</v>
      </c>
      <c r="X4668" s="168">
        <f t="shared" si="7"/>
        <v>0</v>
      </c>
      <c r="Y4668" s="168">
        <f t="shared" si="8"/>
        <v>0</v>
      </c>
      <c r="Z4668" s="168">
        <f t="shared" si="9"/>
        <v>0</v>
      </c>
    </row>
    <row r="4669" ht="15.0" customHeight="1">
      <c r="A4669" s="157" t="s">
        <v>5937</v>
      </c>
      <c r="B4669" s="158" t="s">
        <v>27</v>
      </c>
      <c r="C4669" s="158" t="s">
        <v>5935</v>
      </c>
      <c r="D4669" s="159">
        <v>45342.0</v>
      </c>
      <c r="E4669" s="157" t="s">
        <v>731</v>
      </c>
      <c r="F4669" s="160">
        <v>205737.31</v>
      </c>
      <c r="G4669" s="160">
        <f>'FACP$'!$F4669*0.16</f>
        <v>32917.9696</v>
      </c>
      <c r="H4669" s="160">
        <f t="shared" si="124"/>
        <v>238655.2796</v>
      </c>
      <c r="I4669" s="160"/>
      <c r="J4669" s="161"/>
      <c r="K4669" s="160"/>
      <c r="L4669" s="160">
        <f>+'FACP$'!$H4669-'FACP$'!$I4669-'FACP$'!$K4669</f>
        <v>238655.2796</v>
      </c>
      <c r="M4669" s="162" t="s">
        <v>151</v>
      </c>
      <c r="N4669" s="162" t="s">
        <v>554</v>
      </c>
      <c r="O4669" s="164">
        <v>45376.0</v>
      </c>
      <c r="P4669" s="164">
        <f t="array" ref="P4669">XLOOKUP('FACP$'!$B4669,'perfil de pagos'!$A$4:$A$46,'perfil de pagos'!$B$4:$B$46+'FACP$'!$D4669)</f>
        <v>45372</v>
      </c>
      <c r="Q4669" s="165">
        <f t="shared" si="128"/>
        <v>0</v>
      </c>
      <c r="R4669" s="167"/>
      <c r="S4669" s="167">
        <v>2886.0</v>
      </c>
      <c r="T4669" s="168">
        <f t="shared" si="3"/>
        <v>238655.2796</v>
      </c>
      <c r="U4669" s="168">
        <f t="shared" si="4"/>
        <v>0</v>
      </c>
      <c r="V4669" s="168">
        <f t="shared" si="5"/>
        <v>0</v>
      </c>
      <c r="W4669" s="168">
        <f t="shared" si="6"/>
        <v>0</v>
      </c>
      <c r="X4669" s="168">
        <f t="shared" si="7"/>
        <v>0</v>
      </c>
      <c r="Y4669" s="168">
        <f t="shared" si="8"/>
        <v>0</v>
      </c>
      <c r="Z4669" s="168">
        <f t="shared" si="9"/>
        <v>0</v>
      </c>
    </row>
    <row r="4670" ht="15.0" customHeight="1">
      <c r="A4670" s="157" t="s">
        <v>5938</v>
      </c>
      <c r="B4670" s="158" t="s">
        <v>27</v>
      </c>
      <c r="C4670" s="158" t="s">
        <v>5933</v>
      </c>
      <c r="D4670" s="159">
        <v>45342.0</v>
      </c>
      <c r="E4670" s="157" t="s">
        <v>731</v>
      </c>
      <c r="F4670" s="160">
        <v>12924.75</v>
      </c>
      <c r="G4670" s="160">
        <f>'FACP$'!$F4670*0.16</f>
        <v>2067.96</v>
      </c>
      <c r="H4670" s="160">
        <f t="shared" si="124"/>
        <v>14992.71</v>
      </c>
      <c r="I4670" s="160"/>
      <c r="J4670" s="161"/>
      <c r="K4670" s="160"/>
      <c r="L4670" s="160">
        <f>+'FACP$'!$H4670-'FACP$'!$I4670-'FACP$'!$K4670</f>
        <v>14992.71</v>
      </c>
      <c r="M4670" s="162" t="s">
        <v>151</v>
      </c>
      <c r="N4670" s="162" t="s">
        <v>554</v>
      </c>
      <c r="O4670" s="164">
        <v>45376.0</v>
      </c>
      <c r="P4670" s="164">
        <f t="array" ref="P4670">XLOOKUP('FACP$'!$B4670,'perfil de pagos'!$A$4:$A$46,'perfil de pagos'!$B$4:$B$46+'FACP$'!$D4670)</f>
        <v>45372</v>
      </c>
      <c r="Q4670" s="165">
        <f t="shared" si="128"/>
        <v>0</v>
      </c>
      <c r="R4670" s="167"/>
      <c r="S4670" s="167">
        <v>2886.0</v>
      </c>
      <c r="T4670" s="168">
        <f t="shared" si="3"/>
        <v>14992.71</v>
      </c>
      <c r="U4670" s="168">
        <f t="shared" si="4"/>
        <v>0</v>
      </c>
      <c r="V4670" s="168">
        <f t="shared" si="5"/>
        <v>0</v>
      </c>
      <c r="W4670" s="168">
        <f t="shared" si="6"/>
        <v>0</v>
      </c>
      <c r="X4670" s="168">
        <f t="shared" si="7"/>
        <v>0</v>
      </c>
      <c r="Y4670" s="168">
        <f t="shared" si="8"/>
        <v>0</v>
      </c>
      <c r="Z4670" s="168">
        <f t="shared" si="9"/>
        <v>0</v>
      </c>
    </row>
    <row r="4671" ht="15.0" customHeight="1">
      <c r="A4671" s="157" t="s">
        <v>5939</v>
      </c>
      <c r="B4671" s="158" t="s">
        <v>27</v>
      </c>
      <c r="C4671" s="158" t="s">
        <v>5935</v>
      </c>
      <c r="D4671" s="159">
        <v>45342.0</v>
      </c>
      <c r="E4671" s="157" t="s">
        <v>731</v>
      </c>
      <c r="F4671" s="160">
        <v>14707.84</v>
      </c>
      <c r="G4671" s="160">
        <f>'FACP$'!$F4671*0.16</f>
        <v>2353.2544</v>
      </c>
      <c r="H4671" s="160">
        <f t="shared" si="124"/>
        <v>17061.0944</v>
      </c>
      <c r="I4671" s="160"/>
      <c r="J4671" s="161"/>
      <c r="K4671" s="160"/>
      <c r="L4671" s="160">
        <f>+'FACP$'!$H4671-'FACP$'!$I4671-'FACP$'!$K4671</f>
        <v>17061.0944</v>
      </c>
      <c r="M4671" s="162" t="s">
        <v>151</v>
      </c>
      <c r="N4671" s="162" t="s">
        <v>554</v>
      </c>
      <c r="O4671" s="164">
        <v>45376.0</v>
      </c>
      <c r="P4671" s="164">
        <f t="array" ref="P4671">XLOOKUP('FACP$'!$B4671,'perfil de pagos'!$A$4:$A$46,'perfil de pagos'!$B$4:$B$46+'FACP$'!$D4671)</f>
        <v>45372</v>
      </c>
      <c r="Q4671" s="165">
        <f t="shared" si="128"/>
        <v>0</v>
      </c>
      <c r="R4671" s="167"/>
      <c r="S4671" s="167">
        <v>2886.0</v>
      </c>
      <c r="T4671" s="168">
        <f t="shared" si="3"/>
        <v>17061.0944</v>
      </c>
      <c r="U4671" s="168">
        <f t="shared" si="4"/>
        <v>0</v>
      </c>
      <c r="V4671" s="168">
        <f t="shared" si="5"/>
        <v>0</v>
      </c>
      <c r="W4671" s="168">
        <f t="shared" si="6"/>
        <v>0</v>
      </c>
      <c r="X4671" s="168">
        <f t="shared" si="7"/>
        <v>0</v>
      </c>
      <c r="Y4671" s="168">
        <f t="shared" si="8"/>
        <v>0</v>
      </c>
      <c r="Z4671" s="168">
        <f t="shared" si="9"/>
        <v>0</v>
      </c>
    </row>
    <row r="4672" ht="15.0" customHeight="1">
      <c r="A4672" s="157" t="s">
        <v>5940</v>
      </c>
      <c r="B4672" s="158" t="s">
        <v>38</v>
      </c>
      <c r="C4672" s="158" t="s">
        <v>5922</v>
      </c>
      <c r="D4672" s="159">
        <v>45342.0</v>
      </c>
      <c r="E4672" s="157" t="s">
        <v>731</v>
      </c>
      <c r="F4672" s="160">
        <v>111219.54</v>
      </c>
      <c r="G4672" s="160">
        <f>'FACP$'!$F4672*0.16</f>
        <v>17795.1264</v>
      </c>
      <c r="H4672" s="160">
        <f t="shared" si="124"/>
        <v>129014.6664</v>
      </c>
      <c r="I4672" s="160"/>
      <c r="J4672" s="161"/>
      <c r="K4672" s="160"/>
      <c r="L4672" s="160">
        <f>+'FACP$'!$H4672-'FACP$'!$I4672-'FACP$'!$K4672</f>
        <v>129014.6664</v>
      </c>
      <c r="M4672" s="162" t="s">
        <v>4654</v>
      </c>
      <c r="N4672" s="162" t="s">
        <v>554</v>
      </c>
      <c r="O4672" s="164">
        <v>45385.0</v>
      </c>
      <c r="P4672" s="164">
        <f t="array" ref="P4672">XLOOKUP('FACP$'!$B4672,'perfil de pagos'!$A$4:$A$46,'perfil de pagos'!$B$4:$B$46+'FACP$'!$D4672)</f>
        <v>45372</v>
      </c>
      <c r="Q4672" s="165">
        <f t="shared" si="128"/>
        <v>0</v>
      </c>
      <c r="R4672" s="167"/>
      <c r="S4672" s="167">
        <v>2907.0</v>
      </c>
      <c r="T4672" s="168">
        <f t="shared" si="3"/>
        <v>129014.6664</v>
      </c>
      <c r="U4672" s="168">
        <f t="shared" si="4"/>
        <v>0</v>
      </c>
      <c r="V4672" s="168">
        <f t="shared" si="5"/>
        <v>0</v>
      </c>
      <c r="W4672" s="168">
        <f t="shared" si="6"/>
        <v>0</v>
      </c>
      <c r="X4672" s="168">
        <f t="shared" si="7"/>
        <v>0</v>
      </c>
      <c r="Y4672" s="168">
        <f t="shared" si="8"/>
        <v>0</v>
      </c>
      <c r="Z4672" s="168">
        <f t="shared" si="9"/>
        <v>0</v>
      </c>
    </row>
    <row r="4673" ht="15.0" customHeight="1">
      <c r="A4673" s="157" t="s">
        <v>5941</v>
      </c>
      <c r="B4673" s="158" t="s">
        <v>38</v>
      </c>
      <c r="C4673" s="158" t="s">
        <v>5922</v>
      </c>
      <c r="D4673" s="159">
        <v>45342.0</v>
      </c>
      <c r="E4673" s="157" t="s">
        <v>731</v>
      </c>
      <c r="F4673" s="160">
        <v>63041.92</v>
      </c>
      <c r="G4673" s="160">
        <f>'FACP$'!$F4673*0.16</f>
        <v>10086.7072</v>
      </c>
      <c r="H4673" s="160">
        <f t="shared" si="124"/>
        <v>73128.6272</v>
      </c>
      <c r="I4673" s="160"/>
      <c r="J4673" s="161"/>
      <c r="K4673" s="160"/>
      <c r="L4673" s="160">
        <f>+'FACP$'!$H4673-'FACP$'!$I4673-'FACP$'!$K4673</f>
        <v>73128.6272</v>
      </c>
      <c r="M4673" s="162" t="s">
        <v>4707</v>
      </c>
      <c r="N4673" s="162" t="s">
        <v>554</v>
      </c>
      <c r="O4673" s="164">
        <v>45385.0</v>
      </c>
      <c r="P4673" s="164">
        <f t="array" ref="P4673">XLOOKUP('FACP$'!$B4673,'perfil de pagos'!$A$4:$A$46,'perfil de pagos'!$B$4:$B$46+'FACP$'!$D4673)</f>
        <v>45372</v>
      </c>
      <c r="Q4673" s="165">
        <f t="shared" si="128"/>
        <v>0</v>
      </c>
      <c r="R4673" s="167"/>
      <c r="S4673" s="167">
        <v>2907.0</v>
      </c>
      <c r="T4673" s="168">
        <f t="shared" si="3"/>
        <v>73128.6272</v>
      </c>
      <c r="U4673" s="168">
        <f t="shared" si="4"/>
        <v>0</v>
      </c>
      <c r="V4673" s="168">
        <f t="shared" si="5"/>
        <v>0</v>
      </c>
      <c r="W4673" s="168">
        <f t="shared" si="6"/>
        <v>0</v>
      </c>
      <c r="X4673" s="168">
        <f t="shared" si="7"/>
        <v>0</v>
      </c>
      <c r="Y4673" s="168">
        <f t="shared" si="8"/>
        <v>0</v>
      </c>
      <c r="Z4673" s="168">
        <f t="shared" si="9"/>
        <v>0</v>
      </c>
    </row>
    <row r="4674" ht="15.0" customHeight="1">
      <c r="A4674" s="157" t="s">
        <v>5942</v>
      </c>
      <c r="B4674" s="158" t="s">
        <v>38</v>
      </c>
      <c r="C4674" s="158" t="s">
        <v>5926</v>
      </c>
      <c r="D4674" s="159">
        <v>45342.0</v>
      </c>
      <c r="E4674" s="157" t="s">
        <v>731</v>
      </c>
      <c r="F4674" s="160">
        <v>106621.06</v>
      </c>
      <c r="G4674" s="160">
        <f>'FACP$'!$F4674*0.16</f>
        <v>17059.3696</v>
      </c>
      <c r="H4674" s="160">
        <f t="shared" si="124"/>
        <v>123680.4296</v>
      </c>
      <c r="I4674" s="160"/>
      <c r="J4674" s="161"/>
      <c r="K4674" s="160"/>
      <c r="L4674" s="160">
        <f>+'FACP$'!$H4674-'FACP$'!$I4674-'FACP$'!$K4674</f>
        <v>123680.4296</v>
      </c>
      <c r="M4674" s="162" t="s">
        <v>4707</v>
      </c>
      <c r="N4674" s="162" t="s">
        <v>554</v>
      </c>
      <c r="O4674" s="164">
        <v>45385.0</v>
      </c>
      <c r="P4674" s="164">
        <f t="array" ref="P4674">XLOOKUP('FACP$'!$B4674,'perfil de pagos'!$A$4:$A$46,'perfil de pagos'!$B$4:$B$46+'FACP$'!$D4674)</f>
        <v>45372</v>
      </c>
      <c r="Q4674" s="165">
        <f t="shared" si="128"/>
        <v>0</v>
      </c>
      <c r="R4674" s="167"/>
      <c r="S4674" s="167">
        <v>2907.0</v>
      </c>
      <c r="T4674" s="168">
        <f t="shared" si="3"/>
        <v>123680.4296</v>
      </c>
      <c r="U4674" s="168">
        <f t="shared" si="4"/>
        <v>0</v>
      </c>
      <c r="V4674" s="168">
        <f t="shared" si="5"/>
        <v>0</v>
      </c>
      <c r="W4674" s="168">
        <f t="shared" si="6"/>
        <v>0</v>
      </c>
      <c r="X4674" s="168">
        <f t="shared" si="7"/>
        <v>0</v>
      </c>
      <c r="Y4674" s="168">
        <f t="shared" si="8"/>
        <v>0</v>
      </c>
      <c r="Z4674" s="168">
        <f t="shared" si="9"/>
        <v>0</v>
      </c>
    </row>
    <row r="4675" ht="15.0" customHeight="1">
      <c r="A4675" s="157" t="s">
        <v>5943</v>
      </c>
      <c r="B4675" s="158" t="s">
        <v>16</v>
      </c>
      <c r="C4675" s="158" t="s">
        <v>5922</v>
      </c>
      <c r="D4675" s="159">
        <v>45344.0</v>
      </c>
      <c r="E4675" s="157" t="s">
        <v>731</v>
      </c>
      <c r="F4675" s="160">
        <v>291681.59</v>
      </c>
      <c r="G4675" s="160">
        <f>'FACP$'!$F4675*0.16</f>
        <v>46669.0544</v>
      </c>
      <c r="H4675" s="160">
        <f t="shared" si="124"/>
        <v>338350.6444</v>
      </c>
      <c r="I4675" s="160"/>
      <c r="J4675" s="161"/>
      <c r="K4675" s="160"/>
      <c r="L4675" s="160">
        <f>+'FACP$'!$H4675-'FACP$'!$I4675-'FACP$'!$K4675</f>
        <v>338350.6444</v>
      </c>
      <c r="M4675" s="162" t="s">
        <v>985</v>
      </c>
      <c r="N4675" s="162" t="s">
        <v>554</v>
      </c>
      <c r="O4675" s="164">
        <v>45358.0</v>
      </c>
      <c r="P4675" s="164">
        <f t="array" ref="P4675">XLOOKUP('FACP$'!$B4675,'perfil de pagos'!$A$4:$A$46,'perfil de pagos'!$B$4:$B$46+'FACP$'!$D4675)</f>
        <v>45354</v>
      </c>
      <c r="Q4675" s="165">
        <f t="shared" si="128"/>
        <v>0</v>
      </c>
      <c r="R4675" s="167"/>
      <c r="S4675" s="167">
        <v>2842.0</v>
      </c>
      <c r="T4675" s="168">
        <f t="shared" si="3"/>
        <v>338350.6444</v>
      </c>
      <c r="U4675" s="168">
        <f t="shared" si="4"/>
        <v>0</v>
      </c>
      <c r="V4675" s="168">
        <f t="shared" si="5"/>
        <v>0</v>
      </c>
      <c r="W4675" s="168">
        <f t="shared" si="6"/>
        <v>0</v>
      </c>
      <c r="X4675" s="168">
        <f t="shared" si="7"/>
        <v>0</v>
      </c>
      <c r="Y4675" s="168">
        <f t="shared" si="8"/>
        <v>0</v>
      </c>
      <c r="Z4675" s="168">
        <f t="shared" si="9"/>
        <v>0</v>
      </c>
    </row>
    <row r="4676" ht="15.0" customHeight="1">
      <c r="A4676" s="157" t="s">
        <v>5944</v>
      </c>
      <c r="B4676" s="158" t="s">
        <v>16</v>
      </c>
      <c r="C4676" s="158" t="s">
        <v>5926</v>
      </c>
      <c r="D4676" s="159">
        <v>45344.0</v>
      </c>
      <c r="E4676" s="157" t="s">
        <v>731</v>
      </c>
      <c r="F4676" s="160">
        <v>448388.1</v>
      </c>
      <c r="G4676" s="160">
        <f>'FACP$'!$F4676*0.16</f>
        <v>71742.096</v>
      </c>
      <c r="H4676" s="160">
        <f t="shared" si="124"/>
        <v>520130.196</v>
      </c>
      <c r="I4676" s="160"/>
      <c r="J4676" s="161"/>
      <c r="K4676" s="160"/>
      <c r="L4676" s="160">
        <f>+'FACP$'!$H4676-'FACP$'!$I4676-'FACP$'!$K4676</f>
        <v>520130.196</v>
      </c>
      <c r="M4676" s="162" t="s">
        <v>985</v>
      </c>
      <c r="N4676" s="162" t="s">
        <v>554</v>
      </c>
      <c r="O4676" s="164">
        <v>45358.0</v>
      </c>
      <c r="P4676" s="164">
        <f t="array" ref="P4676">XLOOKUP('FACP$'!$B4676,'perfil de pagos'!$A$4:$A$46,'perfil de pagos'!$B$4:$B$46+'FACP$'!$D4676)</f>
        <v>45354</v>
      </c>
      <c r="Q4676" s="165">
        <f t="shared" si="128"/>
        <v>0</v>
      </c>
      <c r="R4676" s="167"/>
      <c r="S4676" s="167">
        <v>2842.0</v>
      </c>
      <c r="T4676" s="168">
        <f t="shared" si="3"/>
        <v>520130.196</v>
      </c>
      <c r="U4676" s="168">
        <f t="shared" si="4"/>
        <v>0</v>
      </c>
      <c r="V4676" s="168">
        <f t="shared" si="5"/>
        <v>0</v>
      </c>
      <c r="W4676" s="168">
        <f t="shared" si="6"/>
        <v>0</v>
      </c>
      <c r="X4676" s="168">
        <f t="shared" si="7"/>
        <v>0</v>
      </c>
      <c r="Y4676" s="168">
        <f t="shared" si="8"/>
        <v>0</v>
      </c>
      <c r="Z4676" s="168">
        <f t="shared" si="9"/>
        <v>0</v>
      </c>
    </row>
    <row r="4677" ht="15.0" customHeight="1">
      <c r="A4677" s="157" t="s">
        <v>5945</v>
      </c>
      <c r="B4677" s="158" t="s">
        <v>18</v>
      </c>
      <c r="C4677" s="158" t="s">
        <v>5922</v>
      </c>
      <c r="D4677" s="159">
        <v>45344.0</v>
      </c>
      <c r="E4677" s="157" t="s">
        <v>731</v>
      </c>
      <c r="F4677" s="160">
        <v>70921.96</v>
      </c>
      <c r="G4677" s="160">
        <f>'FACP$'!$F4677*0.16</f>
        <v>11347.5136</v>
      </c>
      <c r="H4677" s="160">
        <f t="shared" si="124"/>
        <v>82269.4736</v>
      </c>
      <c r="I4677" s="160"/>
      <c r="J4677" s="161"/>
      <c r="K4677" s="160"/>
      <c r="L4677" s="160">
        <f>+'FACP$'!$H4677-'FACP$'!$I4677-'FACP$'!$K4677</f>
        <v>82269.4736</v>
      </c>
      <c r="M4677" s="162" t="s">
        <v>586</v>
      </c>
      <c r="N4677" s="162" t="s">
        <v>554</v>
      </c>
      <c r="O4677" s="164">
        <v>45390.0</v>
      </c>
      <c r="P4677" s="164">
        <f t="array" ref="P4677">XLOOKUP('FACP$'!$B4677,'perfil de pagos'!$A$4:$A$46,'perfil de pagos'!$B$4:$B$46+'FACP$'!$D4677)</f>
        <v>45354</v>
      </c>
      <c r="Q4677" s="165">
        <f t="shared" si="128"/>
        <v>0</v>
      </c>
      <c r="R4677" s="167"/>
      <c r="S4677" s="167">
        <v>2915.0</v>
      </c>
      <c r="T4677" s="168">
        <f t="shared" si="3"/>
        <v>82269.4736</v>
      </c>
      <c r="U4677" s="168">
        <f t="shared" si="4"/>
        <v>0</v>
      </c>
      <c r="V4677" s="168">
        <f t="shared" si="5"/>
        <v>0</v>
      </c>
      <c r="W4677" s="168">
        <f t="shared" si="6"/>
        <v>0</v>
      </c>
      <c r="X4677" s="168">
        <f t="shared" si="7"/>
        <v>0</v>
      </c>
      <c r="Y4677" s="168">
        <f t="shared" si="8"/>
        <v>0</v>
      </c>
      <c r="Z4677" s="168">
        <f t="shared" si="9"/>
        <v>0</v>
      </c>
    </row>
    <row r="4678" ht="15.0" customHeight="1">
      <c r="A4678" s="157" t="s">
        <v>5946</v>
      </c>
      <c r="B4678" s="158" t="s">
        <v>19</v>
      </c>
      <c r="C4678" s="158" t="s">
        <v>5922</v>
      </c>
      <c r="D4678" s="159">
        <v>45344.0</v>
      </c>
      <c r="E4678" s="157" t="s">
        <v>731</v>
      </c>
      <c r="F4678" s="160">
        <v>157343.25</v>
      </c>
      <c r="G4678" s="160">
        <f>'FACP$'!$F4678*0.16</f>
        <v>25174.92</v>
      </c>
      <c r="H4678" s="160">
        <f t="shared" si="124"/>
        <v>182518.17</v>
      </c>
      <c r="I4678" s="160"/>
      <c r="J4678" s="161"/>
      <c r="K4678" s="160"/>
      <c r="L4678" s="160">
        <f>+'FACP$'!$H4678-'FACP$'!$I4678-'FACP$'!$K4678</f>
        <v>182518.17</v>
      </c>
      <c r="M4678" s="162" t="s">
        <v>732</v>
      </c>
      <c r="N4678" s="162" t="s">
        <v>554</v>
      </c>
      <c r="O4678" s="164">
        <v>45370.0</v>
      </c>
      <c r="P4678" s="164">
        <f t="array" ref="P4678">XLOOKUP('FACP$'!$B4678,'perfil de pagos'!$A$4:$A$46,'perfil de pagos'!$B$4:$B$46+'FACP$'!$D4678)</f>
        <v>45354</v>
      </c>
      <c r="Q4678" s="165">
        <f t="shared" si="128"/>
        <v>0</v>
      </c>
      <c r="R4678" s="167"/>
      <c r="S4678" s="167">
        <v>2864.0</v>
      </c>
      <c r="T4678" s="168">
        <f t="shared" si="3"/>
        <v>182518.17</v>
      </c>
      <c r="U4678" s="168">
        <f t="shared" si="4"/>
        <v>0</v>
      </c>
      <c r="V4678" s="168">
        <f t="shared" si="5"/>
        <v>0</v>
      </c>
      <c r="W4678" s="168">
        <f t="shared" si="6"/>
        <v>0</v>
      </c>
      <c r="X4678" s="168">
        <f t="shared" si="7"/>
        <v>0</v>
      </c>
      <c r="Y4678" s="168">
        <f t="shared" si="8"/>
        <v>0</v>
      </c>
      <c r="Z4678" s="168">
        <f t="shared" si="9"/>
        <v>0</v>
      </c>
    </row>
    <row r="4679" ht="15.0" customHeight="1">
      <c r="A4679" s="157" t="s">
        <v>5947</v>
      </c>
      <c r="B4679" s="158" t="s">
        <v>22</v>
      </c>
      <c r="C4679" s="158" t="s">
        <v>5922</v>
      </c>
      <c r="D4679" s="159">
        <v>45344.0</v>
      </c>
      <c r="E4679" s="157" t="s">
        <v>731</v>
      </c>
      <c r="F4679" s="160">
        <v>262804.78</v>
      </c>
      <c r="G4679" s="160">
        <f>'FACP$'!$F4679*0.16</f>
        <v>42048.7648</v>
      </c>
      <c r="H4679" s="160">
        <f t="shared" si="124"/>
        <v>304853.5448</v>
      </c>
      <c r="I4679" s="160"/>
      <c r="J4679" s="161"/>
      <c r="K4679" s="160"/>
      <c r="L4679" s="160">
        <f>+'FACP$'!$H4679-'FACP$'!$I4679-'FACP$'!$K4679</f>
        <v>304853.5448</v>
      </c>
      <c r="M4679" s="162" t="s">
        <v>220</v>
      </c>
      <c r="N4679" s="162" t="s">
        <v>554</v>
      </c>
      <c r="O4679" s="164">
        <v>45378.0</v>
      </c>
      <c r="P4679" s="164">
        <f t="array" ref="P4679">XLOOKUP('FACP$'!$B4679,'perfil de pagos'!$A$4:$A$46,'perfil de pagos'!$B$4:$B$46+'FACP$'!$D4679)</f>
        <v>45354</v>
      </c>
      <c r="Q4679" s="165">
        <f t="shared" si="128"/>
        <v>0</v>
      </c>
      <c r="R4679" s="167"/>
      <c r="S4679" s="167">
        <v>2894.0</v>
      </c>
      <c r="T4679" s="168">
        <f t="shared" si="3"/>
        <v>304853.5448</v>
      </c>
      <c r="U4679" s="168">
        <f t="shared" si="4"/>
        <v>0</v>
      </c>
      <c r="V4679" s="168">
        <f t="shared" si="5"/>
        <v>0</v>
      </c>
      <c r="W4679" s="168">
        <f t="shared" si="6"/>
        <v>0</v>
      </c>
      <c r="X4679" s="168">
        <f t="shared" si="7"/>
        <v>0</v>
      </c>
      <c r="Y4679" s="168">
        <f t="shared" si="8"/>
        <v>0</v>
      </c>
      <c r="Z4679" s="168">
        <f t="shared" si="9"/>
        <v>0</v>
      </c>
    </row>
    <row r="4680" ht="15.0" customHeight="1">
      <c r="A4680" s="157" t="s">
        <v>5948</v>
      </c>
      <c r="B4680" s="158" t="s">
        <v>25</v>
      </c>
      <c r="C4680" s="158" t="s">
        <v>5922</v>
      </c>
      <c r="D4680" s="159">
        <v>45344.0</v>
      </c>
      <c r="E4680" s="157" t="s">
        <v>731</v>
      </c>
      <c r="F4680" s="160">
        <v>48874.21</v>
      </c>
      <c r="G4680" s="160">
        <f>'FACP$'!$F4680*0.16</f>
        <v>7819.8736</v>
      </c>
      <c r="H4680" s="160">
        <f t="shared" si="124"/>
        <v>56694.0836</v>
      </c>
      <c r="I4680" s="160"/>
      <c r="J4680" s="161"/>
      <c r="K4680" s="160"/>
      <c r="L4680" s="160">
        <f>+'FACP$'!$H4680-'FACP$'!$I4680-'FACP$'!$K4680</f>
        <v>56694.0836</v>
      </c>
      <c r="M4680" s="162" t="s">
        <v>4388</v>
      </c>
      <c r="N4680" s="162" t="s">
        <v>554</v>
      </c>
      <c r="O4680" s="164">
        <v>45370.0</v>
      </c>
      <c r="P4680" s="164">
        <f t="array" ref="P4680">XLOOKUP('FACP$'!$B4680,'perfil de pagos'!$A$4:$A$46,'perfil de pagos'!$B$4:$B$46+'FACP$'!$D4680)</f>
        <v>45354</v>
      </c>
      <c r="Q4680" s="165">
        <f t="shared" si="128"/>
        <v>0</v>
      </c>
      <c r="R4680" s="167"/>
      <c r="S4680" s="167">
        <v>2865.0</v>
      </c>
      <c r="T4680" s="168">
        <f t="shared" si="3"/>
        <v>56694.0836</v>
      </c>
      <c r="U4680" s="168">
        <f t="shared" si="4"/>
        <v>0</v>
      </c>
      <c r="V4680" s="168">
        <f t="shared" si="5"/>
        <v>0</v>
      </c>
      <c r="W4680" s="168">
        <f t="shared" si="6"/>
        <v>0</v>
      </c>
      <c r="X4680" s="168">
        <f t="shared" si="7"/>
        <v>0</v>
      </c>
      <c r="Y4680" s="168">
        <f t="shared" si="8"/>
        <v>0</v>
      </c>
      <c r="Z4680" s="168">
        <f t="shared" si="9"/>
        <v>0</v>
      </c>
    </row>
    <row r="4681" ht="15.0" customHeight="1">
      <c r="A4681" s="157" t="s">
        <v>5949</v>
      </c>
      <c r="B4681" s="158" t="s">
        <v>37</v>
      </c>
      <c r="C4681" s="158" t="s">
        <v>5922</v>
      </c>
      <c r="D4681" s="159">
        <v>45344.0</v>
      </c>
      <c r="E4681" s="157" t="s">
        <v>731</v>
      </c>
      <c r="F4681" s="160">
        <v>1445078.15</v>
      </c>
      <c r="G4681" s="160">
        <f>'FACP$'!$F4681*0.16</f>
        <v>231212.504</v>
      </c>
      <c r="H4681" s="160">
        <f t="shared" si="124"/>
        <v>1676290.654</v>
      </c>
      <c r="I4681" s="160"/>
      <c r="J4681" s="161"/>
      <c r="K4681" s="160"/>
      <c r="L4681" s="160">
        <f>+'FACP$'!$H4681-'FACP$'!$I4681-'FACP$'!$K4681</f>
        <v>1676290.654</v>
      </c>
      <c r="M4681" s="162" t="s">
        <v>116</v>
      </c>
      <c r="N4681" s="162" t="s">
        <v>554</v>
      </c>
      <c r="O4681" s="164">
        <v>45355.0</v>
      </c>
      <c r="P4681" s="164">
        <f t="array" ref="P4681">XLOOKUP('FACP$'!$B4681,'perfil de pagos'!$A$4:$A$46,'perfil de pagos'!$B$4:$B$46+'FACP$'!$D4681)</f>
        <v>45354</v>
      </c>
      <c r="Q4681" s="165">
        <f t="shared" si="128"/>
        <v>0</v>
      </c>
      <c r="R4681" s="167"/>
      <c r="S4681" s="167">
        <v>2837.0</v>
      </c>
      <c r="T4681" s="168">
        <f t="shared" si="3"/>
        <v>1676290.654</v>
      </c>
      <c r="U4681" s="168">
        <f t="shared" si="4"/>
        <v>0</v>
      </c>
      <c r="V4681" s="168">
        <f t="shared" si="5"/>
        <v>0</v>
      </c>
      <c r="W4681" s="168">
        <f t="shared" si="6"/>
        <v>0</v>
      </c>
      <c r="X4681" s="168">
        <f t="shared" si="7"/>
        <v>0</v>
      </c>
      <c r="Y4681" s="168">
        <f t="shared" si="8"/>
        <v>0</v>
      </c>
      <c r="Z4681" s="168">
        <f t="shared" si="9"/>
        <v>0</v>
      </c>
    </row>
    <row r="4682" ht="15.0" customHeight="1">
      <c r="A4682" s="157" t="s">
        <v>5950</v>
      </c>
      <c r="B4682" s="158" t="s">
        <v>29</v>
      </c>
      <c r="C4682" s="158" t="s">
        <v>5922</v>
      </c>
      <c r="D4682" s="159">
        <v>45344.0</v>
      </c>
      <c r="E4682" s="157" t="s">
        <v>731</v>
      </c>
      <c r="F4682" s="160">
        <v>278408.12</v>
      </c>
      <c r="G4682" s="160">
        <f>'FACP$'!$F4682*0.16</f>
        <v>44545.2992</v>
      </c>
      <c r="H4682" s="160">
        <f t="shared" si="124"/>
        <v>322953.4192</v>
      </c>
      <c r="I4682" s="160"/>
      <c r="J4682" s="161"/>
      <c r="K4682" s="160"/>
      <c r="L4682" s="160">
        <f>+'FACP$'!$H4682-'FACP$'!$I4682-'FACP$'!$K4682</f>
        <v>322953.4192</v>
      </c>
      <c r="M4682" s="162" t="s">
        <v>130</v>
      </c>
      <c r="N4682" s="162" t="s">
        <v>554</v>
      </c>
      <c r="O4682" s="164">
        <v>45358.0</v>
      </c>
      <c r="P4682" s="164">
        <f t="array" ref="P4682">XLOOKUP('FACP$'!$B4682,'perfil de pagos'!$A$4:$A$46,'perfil de pagos'!$B$4:$B$46+'FACP$'!$D4682)</f>
        <v>45354</v>
      </c>
      <c r="Q4682" s="165">
        <f t="shared" si="128"/>
        <v>0</v>
      </c>
      <c r="R4682" s="167"/>
      <c r="S4682" s="167">
        <v>2841.0</v>
      </c>
      <c r="T4682" s="168">
        <f t="shared" si="3"/>
        <v>322953.4192</v>
      </c>
      <c r="U4682" s="168">
        <f t="shared" si="4"/>
        <v>0</v>
      </c>
      <c r="V4682" s="168">
        <f t="shared" si="5"/>
        <v>0</v>
      </c>
      <c r="W4682" s="168">
        <f t="shared" si="6"/>
        <v>0</v>
      </c>
      <c r="X4682" s="168">
        <f t="shared" si="7"/>
        <v>0</v>
      </c>
      <c r="Y4682" s="168">
        <f t="shared" si="8"/>
        <v>0</v>
      </c>
      <c r="Z4682" s="168">
        <f t="shared" si="9"/>
        <v>0</v>
      </c>
    </row>
    <row r="4683" ht="15.0" customHeight="1">
      <c r="A4683" s="157" t="s">
        <v>5951</v>
      </c>
      <c r="B4683" s="158" t="s">
        <v>29</v>
      </c>
      <c r="C4683" s="158" t="s">
        <v>5926</v>
      </c>
      <c r="D4683" s="159">
        <v>45344.0</v>
      </c>
      <c r="E4683" s="157" t="s">
        <v>731</v>
      </c>
      <c r="F4683" s="160">
        <v>438954.93</v>
      </c>
      <c r="G4683" s="160">
        <f>'FACP$'!$F4683*0.16</f>
        <v>70232.7888</v>
      </c>
      <c r="H4683" s="160">
        <f t="shared" si="124"/>
        <v>509187.7188</v>
      </c>
      <c r="I4683" s="160"/>
      <c r="J4683" s="161"/>
      <c r="K4683" s="160"/>
      <c r="L4683" s="160">
        <f>+'FACP$'!$H4683-'FACP$'!$I4683-'FACP$'!$K4683</f>
        <v>509187.7188</v>
      </c>
      <c r="M4683" s="162" t="s">
        <v>130</v>
      </c>
      <c r="N4683" s="162" t="s">
        <v>554</v>
      </c>
      <c r="O4683" s="164">
        <v>45383.0</v>
      </c>
      <c r="P4683" s="164">
        <f t="array" ref="P4683">XLOOKUP('FACP$'!$B4683,'perfil de pagos'!$A$4:$A$46,'perfil de pagos'!$B$4:$B$46+'FACP$'!$D4683)</f>
        <v>45354</v>
      </c>
      <c r="Q4683" s="165">
        <f t="shared" si="128"/>
        <v>0</v>
      </c>
      <c r="R4683" s="167"/>
      <c r="S4683" s="167">
        <v>2902.0</v>
      </c>
      <c r="T4683" s="168">
        <f t="shared" si="3"/>
        <v>509187.7188</v>
      </c>
      <c r="U4683" s="168">
        <f t="shared" si="4"/>
        <v>0</v>
      </c>
      <c r="V4683" s="168">
        <f t="shared" si="5"/>
        <v>0</v>
      </c>
      <c r="W4683" s="168">
        <f t="shared" si="6"/>
        <v>0</v>
      </c>
      <c r="X4683" s="168">
        <f t="shared" si="7"/>
        <v>0</v>
      </c>
      <c r="Y4683" s="168">
        <f t="shared" si="8"/>
        <v>0</v>
      </c>
      <c r="Z4683" s="168">
        <f t="shared" si="9"/>
        <v>0</v>
      </c>
    </row>
    <row r="4684" ht="15.0" customHeight="1">
      <c r="A4684" s="157" t="s">
        <v>5952</v>
      </c>
      <c r="B4684" s="158" t="s">
        <v>40</v>
      </c>
      <c r="C4684" s="158" t="s">
        <v>5922</v>
      </c>
      <c r="D4684" s="159">
        <v>45344.0</v>
      </c>
      <c r="E4684" s="157" t="s">
        <v>731</v>
      </c>
      <c r="F4684" s="160">
        <v>146510.8</v>
      </c>
      <c r="G4684" s="160">
        <f>'FACP$'!$F4684*0.16</f>
        <v>23441.728</v>
      </c>
      <c r="H4684" s="160">
        <f t="shared" si="124"/>
        <v>169952.528</v>
      </c>
      <c r="I4684" s="160"/>
      <c r="J4684" s="161"/>
      <c r="K4684" s="160"/>
      <c r="L4684" s="160">
        <f>+'FACP$'!$H4684-'FACP$'!$I4684-'FACP$'!$K4684</f>
        <v>169952.528</v>
      </c>
      <c r="M4684" s="162" t="s">
        <v>490</v>
      </c>
      <c r="N4684" s="162" t="s">
        <v>554</v>
      </c>
      <c r="O4684" s="164">
        <v>45373.0</v>
      </c>
      <c r="P4684" s="164">
        <f t="array" ref="P4684">XLOOKUP('FACP$'!$B4684,'perfil de pagos'!$A$4:$A$46,'perfil de pagos'!$B$4:$B$46+'FACP$'!$D4684)</f>
        <v>45374</v>
      </c>
      <c r="Q4684" s="165">
        <f t="shared" si="128"/>
        <v>0</v>
      </c>
      <c r="R4684" s="167"/>
      <c r="S4684" s="167">
        <v>2875.0</v>
      </c>
      <c r="T4684" s="168">
        <f t="shared" si="3"/>
        <v>169952.528</v>
      </c>
      <c r="U4684" s="168">
        <f t="shared" si="4"/>
        <v>0</v>
      </c>
      <c r="V4684" s="168">
        <f t="shared" si="5"/>
        <v>0</v>
      </c>
      <c r="W4684" s="168">
        <f t="shared" si="6"/>
        <v>0</v>
      </c>
      <c r="X4684" s="168">
        <f t="shared" si="7"/>
        <v>0</v>
      </c>
      <c r="Y4684" s="168">
        <f t="shared" si="8"/>
        <v>0</v>
      </c>
      <c r="Z4684" s="168">
        <f t="shared" si="9"/>
        <v>0</v>
      </c>
    </row>
    <row r="4685" ht="15.0" customHeight="1">
      <c r="A4685" s="157" t="s">
        <v>5953</v>
      </c>
      <c r="B4685" s="158" t="s">
        <v>40</v>
      </c>
      <c r="C4685" s="158" t="s">
        <v>5926</v>
      </c>
      <c r="D4685" s="159">
        <v>45344.0</v>
      </c>
      <c r="E4685" s="157" t="s">
        <v>731</v>
      </c>
      <c r="F4685" s="160">
        <v>129827.07</v>
      </c>
      <c r="G4685" s="160">
        <f>'FACP$'!$F4685*0.16</f>
        <v>20772.3312</v>
      </c>
      <c r="H4685" s="160">
        <f t="shared" si="124"/>
        <v>150599.4012</v>
      </c>
      <c r="I4685" s="160"/>
      <c r="J4685" s="161"/>
      <c r="K4685" s="160"/>
      <c r="L4685" s="160">
        <f>+'FACP$'!$H4685-'FACP$'!$I4685-'FACP$'!$K4685</f>
        <v>150599.4012</v>
      </c>
      <c r="M4685" s="162" t="s">
        <v>490</v>
      </c>
      <c r="N4685" s="162" t="s">
        <v>554</v>
      </c>
      <c r="O4685" s="164">
        <v>45359.0</v>
      </c>
      <c r="P4685" s="164">
        <f t="array" ref="P4685">XLOOKUP('FACP$'!$B4685,'perfil de pagos'!$A$4:$A$46,'perfil de pagos'!$B$4:$B$46+'FACP$'!$D4685)</f>
        <v>45374</v>
      </c>
      <c r="Q4685" s="165">
        <f t="shared" si="128"/>
        <v>0</v>
      </c>
      <c r="R4685" s="167"/>
      <c r="S4685" s="167">
        <v>2844.0</v>
      </c>
      <c r="T4685" s="168">
        <f t="shared" si="3"/>
        <v>150599.4012</v>
      </c>
      <c r="U4685" s="168">
        <f t="shared" si="4"/>
        <v>0</v>
      </c>
      <c r="V4685" s="168">
        <f t="shared" si="5"/>
        <v>0</v>
      </c>
      <c r="W4685" s="168">
        <f t="shared" si="6"/>
        <v>0</v>
      </c>
      <c r="X4685" s="168">
        <f t="shared" si="7"/>
        <v>0</v>
      </c>
      <c r="Y4685" s="168">
        <f t="shared" si="8"/>
        <v>0</v>
      </c>
      <c r="Z4685" s="168">
        <f t="shared" si="9"/>
        <v>0</v>
      </c>
    </row>
    <row r="4686" ht="15.0" customHeight="1">
      <c r="A4686" s="157" t="s">
        <v>5954</v>
      </c>
      <c r="B4686" s="158" t="s">
        <v>38</v>
      </c>
      <c r="C4686" s="158" t="s">
        <v>5922</v>
      </c>
      <c r="D4686" s="159">
        <v>45348.0</v>
      </c>
      <c r="E4686" s="157" t="s">
        <v>731</v>
      </c>
      <c r="F4686" s="160">
        <v>600838.95</v>
      </c>
      <c r="G4686" s="160">
        <f>'FACP$'!$F4686*0.16</f>
        <v>96134.232</v>
      </c>
      <c r="H4686" s="160">
        <f t="shared" si="124"/>
        <v>696973.182</v>
      </c>
      <c r="I4686" s="160"/>
      <c r="J4686" s="161"/>
      <c r="K4686" s="160"/>
      <c r="L4686" s="160">
        <f>+'FACP$'!$H4686-'FACP$'!$I4686-'FACP$'!$K4686</f>
        <v>696973.182</v>
      </c>
      <c r="M4686" s="162" t="s">
        <v>145</v>
      </c>
      <c r="N4686" s="162" t="s">
        <v>554</v>
      </c>
      <c r="O4686" s="164">
        <v>45385.0</v>
      </c>
      <c r="P4686" s="164">
        <f t="array" ref="P4686">XLOOKUP('FACP$'!$B4686,'perfil de pagos'!$A$4:$A$46,'perfil de pagos'!$B$4:$B$46+'FACP$'!$D4686)</f>
        <v>45378</v>
      </c>
      <c r="Q4686" s="165">
        <f t="shared" si="128"/>
        <v>0</v>
      </c>
      <c r="R4686" s="167"/>
      <c r="S4686" s="167">
        <v>2907.0</v>
      </c>
      <c r="T4686" s="168">
        <f t="shared" si="3"/>
        <v>696973.182</v>
      </c>
      <c r="U4686" s="168">
        <f t="shared" si="4"/>
        <v>0</v>
      </c>
      <c r="V4686" s="168">
        <f t="shared" si="5"/>
        <v>0</v>
      </c>
      <c r="W4686" s="168">
        <f t="shared" si="6"/>
        <v>0</v>
      </c>
      <c r="X4686" s="168">
        <f t="shared" si="7"/>
        <v>0</v>
      </c>
      <c r="Y4686" s="168">
        <f t="shared" si="8"/>
        <v>0</v>
      </c>
      <c r="Z4686" s="168">
        <f t="shared" si="9"/>
        <v>0</v>
      </c>
    </row>
    <row r="4687" ht="15.0" customHeight="1">
      <c r="A4687" s="157" t="s">
        <v>5955</v>
      </c>
      <c r="B4687" s="158" t="s">
        <v>38</v>
      </c>
      <c r="C4687" s="158" t="s">
        <v>5922</v>
      </c>
      <c r="D4687" s="159">
        <v>45348.0</v>
      </c>
      <c r="E4687" s="157" t="s">
        <v>731</v>
      </c>
      <c r="F4687" s="160">
        <v>247208.3</v>
      </c>
      <c r="G4687" s="160">
        <f>'FACP$'!$F4687*0.16</f>
        <v>39553.328</v>
      </c>
      <c r="H4687" s="160">
        <f t="shared" si="124"/>
        <v>286761.628</v>
      </c>
      <c r="I4687" s="160"/>
      <c r="J4687" s="161"/>
      <c r="K4687" s="160"/>
      <c r="L4687" s="160">
        <f>+'FACP$'!$H4687-'FACP$'!$I4687-'FACP$'!$K4687</f>
        <v>286761.628</v>
      </c>
      <c r="M4687" s="162" t="s">
        <v>642</v>
      </c>
      <c r="N4687" s="162" t="s">
        <v>554</v>
      </c>
      <c r="O4687" s="164">
        <v>45406.0</v>
      </c>
      <c r="P4687" s="164">
        <f t="array" ref="P4687">XLOOKUP('FACP$'!$B4687,'perfil de pagos'!$A$4:$A$46,'perfil de pagos'!$B$4:$B$46+'FACP$'!$D4687)</f>
        <v>45378</v>
      </c>
      <c r="Q4687" s="165">
        <f t="shared" si="128"/>
        <v>0</v>
      </c>
      <c r="R4687" s="167"/>
      <c r="S4687" s="167">
        <v>2955.0</v>
      </c>
      <c r="T4687" s="168">
        <f t="shared" si="3"/>
        <v>286761.628</v>
      </c>
      <c r="U4687" s="168">
        <f t="shared" si="4"/>
        <v>0</v>
      </c>
      <c r="V4687" s="168">
        <f t="shared" si="5"/>
        <v>0</v>
      </c>
      <c r="W4687" s="168">
        <f t="shared" si="6"/>
        <v>0</v>
      </c>
      <c r="X4687" s="168">
        <f t="shared" si="7"/>
        <v>0</v>
      </c>
      <c r="Y4687" s="168">
        <f t="shared" si="8"/>
        <v>0</v>
      </c>
      <c r="Z4687" s="168">
        <f t="shared" si="9"/>
        <v>0</v>
      </c>
    </row>
    <row r="4688" ht="15.0" customHeight="1">
      <c r="A4688" s="157" t="s">
        <v>5956</v>
      </c>
      <c r="B4688" s="158" t="s">
        <v>27</v>
      </c>
      <c r="C4688" s="158" t="s">
        <v>5957</v>
      </c>
      <c r="D4688" s="159">
        <v>45351.0</v>
      </c>
      <c r="E4688" s="157" t="s">
        <v>731</v>
      </c>
      <c r="F4688" s="160">
        <v>128461.5</v>
      </c>
      <c r="G4688" s="160">
        <f>'FACP$'!$F4688*0.16</f>
        <v>20553.84</v>
      </c>
      <c r="H4688" s="160">
        <f t="shared" si="124"/>
        <v>149015.34</v>
      </c>
      <c r="I4688" s="160"/>
      <c r="J4688" s="161"/>
      <c r="K4688" s="160"/>
      <c r="L4688" s="160">
        <f>+'FACP$'!$H4688-'FACP$'!$I4688-'FACP$'!$K4688</f>
        <v>149015.34</v>
      </c>
      <c r="M4688" s="162" t="s">
        <v>158</v>
      </c>
      <c r="N4688" s="162" t="s">
        <v>554</v>
      </c>
      <c r="O4688" s="164">
        <v>45405.0</v>
      </c>
      <c r="P4688" s="164">
        <f t="array" ref="P4688">XLOOKUP('FACP$'!$B4688,'perfil de pagos'!$A$4:$A$46,'perfil de pagos'!$B$4:$B$46+'FACP$'!$D4688)</f>
        <v>45381</v>
      </c>
      <c r="Q4688" s="165">
        <f t="shared" si="128"/>
        <v>0</v>
      </c>
      <c r="R4688" s="167"/>
      <c r="S4688" s="167">
        <v>2945.0</v>
      </c>
      <c r="T4688" s="168">
        <f t="shared" si="3"/>
        <v>149015.34</v>
      </c>
      <c r="U4688" s="168">
        <f t="shared" si="4"/>
        <v>0</v>
      </c>
      <c r="V4688" s="168">
        <f t="shared" si="5"/>
        <v>0</v>
      </c>
      <c r="W4688" s="168">
        <f t="shared" si="6"/>
        <v>0</v>
      </c>
      <c r="X4688" s="168">
        <f t="shared" si="7"/>
        <v>0</v>
      </c>
      <c r="Y4688" s="168">
        <f t="shared" si="8"/>
        <v>0</v>
      </c>
      <c r="Z4688" s="168">
        <f t="shared" si="9"/>
        <v>0</v>
      </c>
    </row>
    <row r="4689" ht="15.0" customHeight="1">
      <c r="A4689" s="157" t="s">
        <v>5958</v>
      </c>
      <c r="B4689" s="158" t="s">
        <v>27</v>
      </c>
      <c r="C4689" s="158" t="s">
        <v>5959</v>
      </c>
      <c r="D4689" s="159">
        <v>45351.0</v>
      </c>
      <c r="E4689" s="157" t="s">
        <v>731</v>
      </c>
      <c r="F4689" s="160">
        <v>92758.63</v>
      </c>
      <c r="G4689" s="160">
        <f>'FACP$'!$F4689*0.16</f>
        <v>14841.3808</v>
      </c>
      <c r="H4689" s="160">
        <f t="shared" si="124"/>
        <v>107600.0108</v>
      </c>
      <c r="I4689" s="160"/>
      <c r="J4689" s="161"/>
      <c r="K4689" s="160"/>
      <c r="L4689" s="160">
        <f>+'FACP$'!$H4689-'FACP$'!$I4689-'FACP$'!$K4689</f>
        <v>107600.0108</v>
      </c>
      <c r="M4689" s="162" t="s">
        <v>158</v>
      </c>
      <c r="N4689" s="162" t="s">
        <v>554</v>
      </c>
      <c r="O4689" s="164">
        <v>45405.0</v>
      </c>
      <c r="P4689" s="164">
        <f t="array" ref="P4689">XLOOKUP('FACP$'!$B4689,'perfil de pagos'!$A$4:$A$46,'perfil de pagos'!$B$4:$B$46+'FACP$'!$D4689)</f>
        <v>45381</v>
      </c>
      <c r="Q4689" s="165">
        <f t="shared" si="128"/>
        <v>0</v>
      </c>
      <c r="R4689" s="167"/>
      <c r="S4689" s="167">
        <v>2945.0</v>
      </c>
      <c r="T4689" s="168">
        <f t="shared" si="3"/>
        <v>107600.0108</v>
      </c>
      <c r="U4689" s="168">
        <f t="shared" si="4"/>
        <v>0</v>
      </c>
      <c r="V4689" s="168">
        <f t="shared" si="5"/>
        <v>0</v>
      </c>
      <c r="W4689" s="168">
        <f t="shared" si="6"/>
        <v>0</v>
      </c>
      <c r="X4689" s="168">
        <f t="shared" si="7"/>
        <v>0</v>
      </c>
      <c r="Y4689" s="168">
        <f t="shared" si="8"/>
        <v>0</v>
      </c>
      <c r="Z4689" s="168">
        <f t="shared" si="9"/>
        <v>0</v>
      </c>
    </row>
    <row r="4690" ht="15.0" customHeight="1">
      <c r="A4690" s="157" t="s">
        <v>5960</v>
      </c>
      <c r="B4690" s="158" t="s">
        <v>27</v>
      </c>
      <c r="C4690" s="158" t="s">
        <v>5957</v>
      </c>
      <c r="D4690" s="159">
        <v>45351.0</v>
      </c>
      <c r="E4690" s="157" t="s">
        <v>731</v>
      </c>
      <c r="F4690" s="160">
        <v>263468.18</v>
      </c>
      <c r="G4690" s="160">
        <f>'FACP$'!$F4690*0.16</f>
        <v>42154.9088</v>
      </c>
      <c r="H4690" s="160">
        <f t="shared" si="124"/>
        <v>305623.0888</v>
      </c>
      <c r="I4690" s="160"/>
      <c r="J4690" s="161"/>
      <c r="K4690" s="160"/>
      <c r="L4690" s="160">
        <f>+'FACP$'!$H4690-'FACP$'!$I4690-'FACP$'!$K4690</f>
        <v>305623.0888</v>
      </c>
      <c r="M4690" s="162" t="s">
        <v>151</v>
      </c>
      <c r="N4690" s="162" t="s">
        <v>554</v>
      </c>
      <c r="O4690" s="164">
        <v>45405.0</v>
      </c>
      <c r="P4690" s="164">
        <f t="array" ref="P4690">XLOOKUP('FACP$'!$B4690,'perfil de pagos'!$A$4:$A$46,'perfil de pagos'!$B$4:$B$46+'FACP$'!$D4690)</f>
        <v>45381</v>
      </c>
      <c r="Q4690" s="165">
        <f t="shared" si="128"/>
        <v>0</v>
      </c>
      <c r="R4690" s="167"/>
      <c r="S4690" s="167">
        <v>2946.0</v>
      </c>
      <c r="T4690" s="168">
        <f t="shared" si="3"/>
        <v>305623.0888</v>
      </c>
      <c r="U4690" s="168">
        <f t="shared" si="4"/>
        <v>0</v>
      </c>
      <c r="V4690" s="168">
        <f t="shared" si="5"/>
        <v>0</v>
      </c>
      <c r="W4690" s="168">
        <f t="shared" si="6"/>
        <v>0</v>
      </c>
      <c r="X4690" s="168">
        <f t="shared" si="7"/>
        <v>0</v>
      </c>
      <c r="Y4690" s="168">
        <f t="shared" si="8"/>
        <v>0</v>
      </c>
      <c r="Z4690" s="168">
        <f t="shared" si="9"/>
        <v>0</v>
      </c>
    </row>
    <row r="4691" ht="15.0" customHeight="1">
      <c r="A4691" s="157" t="s">
        <v>5961</v>
      </c>
      <c r="B4691" s="158" t="s">
        <v>27</v>
      </c>
      <c r="C4691" s="158" t="s">
        <v>5959</v>
      </c>
      <c r="D4691" s="159">
        <v>45351.0</v>
      </c>
      <c r="E4691" s="157" t="s">
        <v>731</v>
      </c>
      <c r="F4691" s="160">
        <v>184879.69</v>
      </c>
      <c r="G4691" s="160">
        <f>'FACP$'!$F4691*0.16</f>
        <v>29580.7504</v>
      </c>
      <c r="H4691" s="160">
        <f t="shared" si="124"/>
        <v>214460.4404</v>
      </c>
      <c r="I4691" s="160"/>
      <c r="J4691" s="161"/>
      <c r="K4691" s="160"/>
      <c r="L4691" s="160">
        <f>+'FACP$'!$H4691-'FACP$'!$I4691-'FACP$'!$K4691</f>
        <v>214460.4404</v>
      </c>
      <c r="M4691" s="162" t="s">
        <v>151</v>
      </c>
      <c r="N4691" s="162" t="s">
        <v>554</v>
      </c>
      <c r="O4691" s="164">
        <v>45405.0</v>
      </c>
      <c r="P4691" s="164">
        <f t="array" ref="P4691">XLOOKUP('FACP$'!$B4691,'perfil de pagos'!$A$4:$A$46,'perfil de pagos'!$B$4:$B$46+'FACP$'!$D4691)</f>
        <v>45381</v>
      </c>
      <c r="Q4691" s="165">
        <f t="shared" si="128"/>
        <v>0</v>
      </c>
      <c r="R4691" s="167"/>
      <c r="S4691" s="167">
        <v>2946.0</v>
      </c>
      <c r="T4691" s="168">
        <f t="shared" si="3"/>
        <v>214460.4404</v>
      </c>
      <c r="U4691" s="168">
        <f t="shared" si="4"/>
        <v>0</v>
      </c>
      <c r="V4691" s="168">
        <f t="shared" si="5"/>
        <v>0</v>
      </c>
      <c r="W4691" s="168">
        <f t="shared" si="6"/>
        <v>0</v>
      </c>
      <c r="X4691" s="168">
        <f t="shared" si="7"/>
        <v>0</v>
      </c>
      <c r="Y4691" s="168">
        <f t="shared" si="8"/>
        <v>0</v>
      </c>
      <c r="Z4691" s="168">
        <f t="shared" si="9"/>
        <v>0</v>
      </c>
    </row>
    <row r="4692" ht="15.0" customHeight="1">
      <c r="A4692" s="157" t="s">
        <v>5962</v>
      </c>
      <c r="B4692" s="158" t="s">
        <v>27</v>
      </c>
      <c r="C4692" s="158" t="s">
        <v>5957</v>
      </c>
      <c r="D4692" s="159">
        <v>45351.0</v>
      </c>
      <c r="E4692" s="157" t="s">
        <v>731</v>
      </c>
      <c r="F4692" s="160">
        <v>10685.22</v>
      </c>
      <c r="G4692" s="160">
        <f>'FACP$'!$F4692*0.16</f>
        <v>1709.6352</v>
      </c>
      <c r="H4692" s="160">
        <f t="shared" si="124"/>
        <v>12394.8552</v>
      </c>
      <c r="I4692" s="160"/>
      <c r="J4692" s="161"/>
      <c r="K4692" s="160"/>
      <c r="L4692" s="160">
        <f>+'FACP$'!$H4692-'FACP$'!$I4692-'FACP$'!$K4692</f>
        <v>12394.8552</v>
      </c>
      <c r="M4692" s="162" t="s">
        <v>151</v>
      </c>
      <c r="N4692" s="162" t="s">
        <v>554</v>
      </c>
      <c r="O4692" s="164">
        <v>45405.0</v>
      </c>
      <c r="P4692" s="164">
        <f t="array" ref="P4692">XLOOKUP('FACP$'!$B4692,'perfil de pagos'!$A$4:$A$46,'perfil de pagos'!$B$4:$B$46+'FACP$'!$D4692)</f>
        <v>45381</v>
      </c>
      <c r="Q4692" s="165">
        <f t="shared" si="128"/>
        <v>0</v>
      </c>
      <c r="R4692" s="167"/>
      <c r="S4692" s="167">
        <v>2946.0</v>
      </c>
      <c r="T4692" s="168">
        <f t="shared" si="3"/>
        <v>12394.8552</v>
      </c>
      <c r="U4692" s="168">
        <f t="shared" si="4"/>
        <v>0</v>
      </c>
      <c r="V4692" s="168">
        <f t="shared" si="5"/>
        <v>0</v>
      </c>
      <c r="W4692" s="168">
        <f t="shared" si="6"/>
        <v>0</v>
      </c>
      <c r="X4692" s="168">
        <f t="shared" si="7"/>
        <v>0</v>
      </c>
      <c r="Y4692" s="168">
        <f t="shared" si="8"/>
        <v>0</v>
      </c>
      <c r="Z4692" s="168">
        <f t="shared" si="9"/>
        <v>0</v>
      </c>
    </row>
    <row r="4693" ht="15.0" customHeight="1">
      <c r="A4693" s="157" t="s">
        <v>5963</v>
      </c>
      <c r="B4693" s="158" t="s">
        <v>27</v>
      </c>
      <c r="C4693" s="158" t="s">
        <v>5959</v>
      </c>
      <c r="D4693" s="159">
        <v>45351.0</v>
      </c>
      <c r="E4693" s="157" t="s">
        <v>731</v>
      </c>
      <c r="F4693" s="160">
        <v>12162.28</v>
      </c>
      <c r="G4693" s="160">
        <f>'FACP$'!$F4693*0.16</f>
        <v>1945.9648</v>
      </c>
      <c r="H4693" s="160">
        <f t="shared" si="124"/>
        <v>14108.2448</v>
      </c>
      <c r="I4693" s="160"/>
      <c r="J4693" s="161"/>
      <c r="K4693" s="160"/>
      <c r="L4693" s="160">
        <f>+'FACP$'!$H4693-'FACP$'!$I4693-'FACP$'!$K4693</f>
        <v>14108.2448</v>
      </c>
      <c r="M4693" s="162" t="s">
        <v>151</v>
      </c>
      <c r="N4693" s="162" t="s">
        <v>554</v>
      </c>
      <c r="O4693" s="164">
        <v>45405.0</v>
      </c>
      <c r="P4693" s="164">
        <f t="array" ref="P4693">XLOOKUP('FACP$'!$B4693,'perfil de pagos'!$A$4:$A$46,'perfil de pagos'!$B$4:$B$46+'FACP$'!$D4693)</f>
        <v>45381</v>
      </c>
      <c r="Q4693" s="165">
        <f t="shared" si="128"/>
        <v>0</v>
      </c>
      <c r="R4693" s="167"/>
      <c r="S4693" s="167">
        <v>2946.0</v>
      </c>
      <c r="T4693" s="168">
        <f t="shared" si="3"/>
        <v>14108.2448</v>
      </c>
      <c r="U4693" s="168">
        <f t="shared" si="4"/>
        <v>0</v>
      </c>
      <c r="V4693" s="168">
        <f t="shared" si="5"/>
        <v>0</v>
      </c>
      <c r="W4693" s="168">
        <f t="shared" si="6"/>
        <v>0</v>
      </c>
      <c r="X4693" s="168">
        <f t="shared" si="7"/>
        <v>0</v>
      </c>
      <c r="Y4693" s="168">
        <f t="shared" si="8"/>
        <v>0</v>
      </c>
      <c r="Z4693" s="168">
        <f t="shared" si="9"/>
        <v>0</v>
      </c>
    </row>
    <row r="4694" ht="15.0" customHeight="1">
      <c r="A4694" s="157" t="s">
        <v>5964</v>
      </c>
      <c r="B4694" s="158" t="s">
        <v>44</v>
      </c>
      <c r="C4694" s="158" t="s">
        <v>5922</v>
      </c>
      <c r="D4694" s="159">
        <v>45351.0</v>
      </c>
      <c r="E4694" s="157" t="s">
        <v>731</v>
      </c>
      <c r="F4694" s="160">
        <v>158420.48</v>
      </c>
      <c r="G4694" s="160">
        <f>'FACP$'!$F4694*0.16</f>
        <v>25347.2768</v>
      </c>
      <c r="H4694" s="160">
        <f t="shared" si="124"/>
        <v>183767.7568</v>
      </c>
      <c r="I4694" s="160"/>
      <c r="J4694" s="161"/>
      <c r="K4694" s="160"/>
      <c r="L4694" s="160">
        <f>+'FACP$'!$H4694-'FACP$'!$I4694-'FACP$'!$K4694</f>
        <v>183767.7568</v>
      </c>
      <c r="M4694" s="162" t="s">
        <v>361</v>
      </c>
      <c r="N4694" s="162" t="s">
        <v>554</v>
      </c>
      <c r="O4694" s="164">
        <v>45362.0</v>
      </c>
      <c r="P4694" s="164">
        <f t="array" ref="P4694">XLOOKUP('FACP$'!$B4694,'perfil de pagos'!$A$4:$A$46,'perfil de pagos'!$B$4:$B$46+'FACP$'!$D4694)</f>
        <v>45361</v>
      </c>
      <c r="Q4694" s="165">
        <f t="shared" si="128"/>
        <v>0</v>
      </c>
      <c r="R4694" s="167"/>
      <c r="S4694" s="167">
        <v>2845.0</v>
      </c>
      <c r="T4694" s="168">
        <f t="shared" si="3"/>
        <v>183767.7568</v>
      </c>
      <c r="U4694" s="168">
        <f t="shared" si="4"/>
        <v>0</v>
      </c>
      <c r="V4694" s="168">
        <f t="shared" si="5"/>
        <v>0</v>
      </c>
      <c r="W4694" s="168">
        <f t="shared" si="6"/>
        <v>0</v>
      </c>
      <c r="X4694" s="168">
        <f t="shared" si="7"/>
        <v>0</v>
      </c>
      <c r="Y4694" s="168">
        <f t="shared" si="8"/>
        <v>0</v>
      </c>
      <c r="Z4694" s="168">
        <f t="shared" si="9"/>
        <v>0</v>
      </c>
    </row>
    <row r="4695" ht="15.0" customHeight="1">
      <c r="A4695" s="299" t="s">
        <v>5965</v>
      </c>
      <c r="B4695" s="300" t="s">
        <v>41</v>
      </c>
      <c r="C4695" s="300" t="s">
        <v>5966</v>
      </c>
      <c r="D4695" s="301">
        <v>45355.0</v>
      </c>
      <c r="E4695" s="299" t="s">
        <v>731</v>
      </c>
      <c r="F4695" s="302">
        <v>816230.96</v>
      </c>
      <c r="G4695" s="302">
        <f>'FACP$'!$F4695*0.16</f>
        <v>130596.9536</v>
      </c>
      <c r="H4695" s="303">
        <f t="shared" si="124"/>
        <v>946827.9136</v>
      </c>
      <c r="I4695" s="302"/>
      <c r="J4695" s="304"/>
      <c r="K4695" s="302"/>
      <c r="L4695" s="302">
        <f>+'FACP$'!$H4695-'FACP$'!$I4695-'FACP$'!$K4695</f>
        <v>946827.9136</v>
      </c>
      <c r="M4695" s="305" t="s">
        <v>121</v>
      </c>
      <c r="N4695" s="305" t="s">
        <v>127</v>
      </c>
      <c r="O4695" s="306"/>
      <c r="P4695" s="164">
        <f t="array" ref="P4695">XLOOKUP('FACP$'!$B4695,'perfil de pagos'!$A$4:$A$46,'perfil de pagos'!$B$4:$B$46+'FACP$'!$D4695)</f>
        <v>45365</v>
      </c>
      <c r="Q4695" s="307">
        <f t="shared" si="128"/>
        <v>0</v>
      </c>
      <c r="R4695" s="308"/>
      <c r="S4695" s="308"/>
      <c r="T4695" s="309">
        <f t="shared" si="3"/>
        <v>946827.9136</v>
      </c>
      <c r="U4695" s="309">
        <f t="shared" si="4"/>
        <v>0</v>
      </c>
      <c r="V4695" s="309">
        <f t="shared" si="5"/>
        <v>0</v>
      </c>
      <c r="W4695" s="309">
        <f t="shared" si="6"/>
        <v>0</v>
      </c>
      <c r="X4695" s="309">
        <f t="shared" si="7"/>
        <v>0</v>
      </c>
      <c r="Y4695" s="309">
        <f t="shared" si="8"/>
        <v>0</v>
      </c>
      <c r="Z4695" s="309">
        <f t="shared" si="9"/>
        <v>0</v>
      </c>
    </row>
    <row r="4696" ht="15.0" customHeight="1">
      <c r="A4696" s="299" t="s">
        <v>5967</v>
      </c>
      <c r="B4696" s="300" t="s">
        <v>36</v>
      </c>
      <c r="C4696" s="300" t="s">
        <v>5966</v>
      </c>
      <c r="D4696" s="301">
        <v>45355.0</v>
      </c>
      <c r="E4696" s="299" t="s">
        <v>731</v>
      </c>
      <c r="F4696" s="302">
        <v>186402.46</v>
      </c>
      <c r="G4696" s="302">
        <f>'FACP$'!$F4696*0.16</f>
        <v>29824.3936</v>
      </c>
      <c r="H4696" s="303">
        <f t="shared" si="124"/>
        <v>216226.8536</v>
      </c>
      <c r="I4696" s="302"/>
      <c r="J4696" s="304"/>
      <c r="K4696" s="302"/>
      <c r="L4696" s="302">
        <f>+'FACP$'!$H4696-'FACP$'!$I4696-'FACP$'!$K4696</f>
        <v>216226.8536</v>
      </c>
      <c r="M4696" s="305" t="s">
        <v>574</v>
      </c>
      <c r="N4696" s="305" t="s">
        <v>127</v>
      </c>
      <c r="O4696" s="306"/>
      <c r="P4696" s="164">
        <f t="array" ref="P4696">XLOOKUP('FACP$'!$B4696,'perfil de pagos'!$A$4:$A$46,'perfil de pagos'!$B$4:$B$46+'FACP$'!$D4696)</f>
        <v>45365</v>
      </c>
      <c r="Q4696" s="307">
        <f t="shared" si="128"/>
        <v>0</v>
      </c>
      <c r="R4696" s="308"/>
      <c r="S4696" s="308"/>
      <c r="T4696" s="309">
        <f t="shared" si="3"/>
        <v>216226.8536</v>
      </c>
      <c r="U4696" s="309">
        <f t="shared" si="4"/>
        <v>0</v>
      </c>
      <c r="V4696" s="309">
        <f t="shared" si="5"/>
        <v>0</v>
      </c>
      <c r="W4696" s="309">
        <f t="shared" si="6"/>
        <v>0</v>
      </c>
      <c r="X4696" s="309">
        <f t="shared" si="7"/>
        <v>0</v>
      </c>
      <c r="Y4696" s="309">
        <f t="shared" si="8"/>
        <v>0</v>
      </c>
      <c r="Z4696" s="309">
        <f t="shared" si="9"/>
        <v>0</v>
      </c>
    </row>
    <row r="4697" ht="15.0" customHeight="1">
      <c r="A4697" s="157" t="s">
        <v>5968</v>
      </c>
      <c r="B4697" s="158" t="s">
        <v>36</v>
      </c>
      <c r="C4697" s="158" t="s">
        <v>5969</v>
      </c>
      <c r="D4697" s="159">
        <v>45355.0</v>
      </c>
      <c r="E4697" s="157" t="s">
        <v>731</v>
      </c>
      <c r="F4697" s="160">
        <v>149611.75</v>
      </c>
      <c r="G4697" s="160">
        <f>'FACP$'!$F4697*0.16</f>
        <v>23937.88</v>
      </c>
      <c r="H4697" s="160">
        <f t="shared" si="124"/>
        <v>173549.63</v>
      </c>
      <c r="I4697" s="160"/>
      <c r="J4697" s="161"/>
      <c r="K4697" s="160"/>
      <c r="L4697" s="160">
        <f>+'FACP$'!$H4697-'FACP$'!$I4697-'FACP$'!$K4697</f>
        <v>173549.63</v>
      </c>
      <c r="M4697" s="162" t="s">
        <v>574</v>
      </c>
      <c r="N4697" s="162" t="s">
        <v>554</v>
      </c>
      <c r="O4697" s="164">
        <v>45371.0</v>
      </c>
      <c r="P4697" s="164">
        <f t="array" ref="P4697">XLOOKUP('FACP$'!$B4697,'perfil de pagos'!$A$4:$A$46,'perfil de pagos'!$B$4:$B$46+'FACP$'!$D4697)</f>
        <v>45365</v>
      </c>
      <c r="Q4697" s="165">
        <f t="shared" si="128"/>
        <v>0</v>
      </c>
      <c r="R4697" s="167"/>
      <c r="S4697" s="167">
        <v>2873.0</v>
      </c>
      <c r="T4697" s="168">
        <f t="shared" si="3"/>
        <v>173549.63</v>
      </c>
      <c r="U4697" s="168">
        <f t="shared" si="4"/>
        <v>0</v>
      </c>
      <c r="V4697" s="168">
        <f t="shared" si="5"/>
        <v>0</v>
      </c>
      <c r="W4697" s="168">
        <f t="shared" si="6"/>
        <v>0</v>
      </c>
      <c r="X4697" s="168">
        <f t="shared" si="7"/>
        <v>0</v>
      </c>
      <c r="Y4697" s="168">
        <f t="shared" si="8"/>
        <v>0</v>
      </c>
      <c r="Z4697" s="168">
        <f t="shared" si="9"/>
        <v>0</v>
      </c>
    </row>
    <row r="4698" ht="15.0" customHeight="1">
      <c r="A4698" s="299" t="s">
        <v>5970</v>
      </c>
      <c r="B4698" s="300" t="s">
        <v>42</v>
      </c>
      <c r="C4698" s="300" t="s">
        <v>5966</v>
      </c>
      <c r="D4698" s="301">
        <v>45355.0</v>
      </c>
      <c r="E4698" s="299" t="s">
        <v>731</v>
      </c>
      <c r="F4698" s="302">
        <v>96345.93</v>
      </c>
      <c r="G4698" s="302">
        <f>'FACP$'!$F4698*0.16</f>
        <v>15415.3488</v>
      </c>
      <c r="H4698" s="303">
        <f t="shared" si="124"/>
        <v>111761.2788</v>
      </c>
      <c r="I4698" s="302"/>
      <c r="J4698" s="304"/>
      <c r="K4698" s="302"/>
      <c r="L4698" s="302">
        <f>+'FACP$'!$H4698-'FACP$'!$I4698-'FACP$'!$K4698</f>
        <v>111761.2788</v>
      </c>
      <c r="M4698" s="305" t="s">
        <v>42</v>
      </c>
      <c r="N4698" s="305" t="s">
        <v>127</v>
      </c>
      <c r="O4698" s="306"/>
      <c r="P4698" s="164">
        <f t="array" ref="P4698">XLOOKUP('FACP$'!$B4698,'perfil de pagos'!$A$4:$A$46,'perfil de pagos'!$B$4:$B$46+'FACP$'!$D4698)</f>
        <v>45365</v>
      </c>
      <c r="Q4698" s="307">
        <f t="shared" si="128"/>
        <v>0</v>
      </c>
      <c r="R4698" s="308"/>
      <c r="S4698" s="308"/>
      <c r="T4698" s="309">
        <f t="shared" si="3"/>
        <v>111761.2788</v>
      </c>
      <c r="U4698" s="309">
        <f t="shared" si="4"/>
        <v>0</v>
      </c>
      <c r="V4698" s="309">
        <f t="shared" si="5"/>
        <v>0</v>
      </c>
      <c r="W4698" s="309">
        <f t="shared" si="6"/>
        <v>0</v>
      </c>
      <c r="X4698" s="309">
        <f t="shared" si="7"/>
        <v>0</v>
      </c>
      <c r="Y4698" s="309">
        <f t="shared" si="8"/>
        <v>0</v>
      </c>
      <c r="Z4698" s="309">
        <f t="shared" si="9"/>
        <v>0</v>
      </c>
    </row>
    <row r="4699" ht="15.0" customHeight="1">
      <c r="A4699" s="310" t="s">
        <v>5971</v>
      </c>
      <c r="B4699" s="158" t="s">
        <v>43</v>
      </c>
      <c r="C4699" s="158" t="s">
        <v>5966</v>
      </c>
      <c r="D4699" s="311">
        <v>45355.0</v>
      </c>
      <c r="E4699" s="310" t="s">
        <v>731</v>
      </c>
      <c r="F4699" s="312">
        <v>1255917.66</v>
      </c>
      <c r="G4699" s="312">
        <f>'FACP$'!$F4699*0.16</f>
        <v>200946.8256</v>
      </c>
      <c r="H4699" s="312">
        <f t="shared" si="124"/>
        <v>1456864.486</v>
      </c>
      <c r="I4699" s="312"/>
      <c r="J4699" s="313"/>
      <c r="K4699" s="312"/>
      <c r="L4699" s="312">
        <f>+'FACP$'!$H4699-'FACP$'!$I4699-'FACP$'!$K4699</f>
        <v>1456864.486</v>
      </c>
      <c r="M4699" s="202" t="s">
        <v>43</v>
      </c>
      <c r="N4699" s="202" t="s">
        <v>554</v>
      </c>
      <c r="O4699" s="163">
        <v>45373.0</v>
      </c>
      <c r="P4699" s="163">
        <f t="array" ref="P4699">XLOOKUP('FACP$'!$B4699,'perfil de pagos'!$A$4:$A$46,'perfil de pagos'!$B$4:$B$46+'FACP$'!$D4699)</f>
        <v>45380</v>
      </c>
      <c r="Q4699" s="314">
        <f t="shared" si="128"/>
        <v>0</v>
      </c>
      <c r="R4699" s="166"/>
      <c r="S4699" s="166">
        <v>2883.0</v>
      </c>
      <c r="T4699" s="187">
        <f t="shared" si="3"/>
        <v>1456864.486</v>
      </c>
      <c r="U4699" s="187">
        <f t="shared" si="4"/>
        <v>0</v>
      </c>
      <c r="V4699" s="187">
        <f t="shared" si="5"/>
        <v>0</v>
      </c>
      <c r="W4699" s="187">
        <f t="shared" si="6"/>
        <v>0</v>
      </c>
      <c r="X4699" s="187">
        <f t="shared" si="7"/>
        <v>0</v>
      </c>
      <c r="Y4699" s="187">
        <f t="shared" si="8"/>
        <v>0</v>
      </c>
      <c r="Z4699" s="187">
        <f t="shared" si="9"/>
        <v>0</v>
      </c>
    </row>
    <row r="4700" ht="15.0" customHeight="1">
      <c r="A4700" s="157" t="s">
        <v>5972</v>
      </c>
      <c r="B4700" s="158" t="s">
        <v>43</v>
      </c>
      <c r="C4700" s="158" t="s">
        <v>5969</v>
      </c>
      <c r="D4700" s="159">
        <v>45355.0</v>
      </c>
      <c r="E4700" s="157" t="s">
        <v>731</v>
      </c>
      <c r="F4700" s="160">
        <v>1351600.78</v>
      </c>
      <c r="G4700" s="160">
        <f>'FACP$'!$F4700*0.16</f>
        <v>216256.1248</v>
      </c>
      <c r="H4700" s="160">
        <f t="shared" si="124"/>
        <v>1567856.905</v>
      </c>
      <c r="I4700" s="160"/>
      <c r="J4700" s="161"/>
      <c r="K4700" s="160"/>
      <c r="L4700" s="160">
        <f>+'FACP$'!$H4700-'FACP$'!$I4700-'FACP$'!$K4700</f>
        <v>1567856.905</v>
      </c>
      <c r="M4700" s="162" t="s">
        <v>43</v>
      </c>
      <c r="N4700" s="162" t="s">
        <v>554</v>
      </c>
      <c r="O4700" s="164">
        <v>45409.0</v>
      </c>
      <c r="P4700" s="164">
        <f t="array" ref="P4700">XLOOKUP('FACP$'!$B4700,'perfil de pagos'!$A$4:$A$46,'perfil de pagos'!$B$4:$B$46+'FACP$'!$D4700)</f>
        <v>45380</v>
      </c>
      <c r="Q4700" s="165">
        <f t="shared" si="128"/>
        <v>0</v>
      </c>
      <c r="R4700" s="167"/>
      <c r="S4700" s="167">
        <v>2897.0</v>
      </c>
      <c r="T4700" s="168">
        <f t="shared" si="3"/>
        <v>1567856.905</v>
      </c>
      <c r="U4700" s="168">
        <f t="shared" si="4"/>
        <v>0</v>
      </c>
      <c r="V4700" s="168">
        <f t="shared" si="5"/>
        <v>0</v>
      </c>
      <c r="W4700" s="168">
        <f t="shared" si="6"/>
        <v>0</v>
      </c>
      <c r="X4700" s="168">
        <f t="shared" si="7"/>
        <v>0</v>
      </c>
      <c r="Y4700" s="168">
        <f t="shared" si="8"/>
        <v>0</v>
      </c>
      <c r="Z4700" s="168">
        <f t="shared" si="9"/>
        <v>0</v>
      </c>
    </row>
    <row r="4701" ht="15.0" customHeight="1">
      <c r="A4701" s="299" t="s">
        <v>5973</v>
      </c>
      <c r="B4701" s="300" t="s">
        <v>38</v>
      </c>
      <c r="C4701" s="300" t="s">
        <v>5966</v>
      </c>
      <c r="D4701" s="301">
        <v>45355.0</v>
      </c>
      <c r="E4701" s="299" t="s">
        <v>731</v>
      </c>
      <c r="F4701" s="302">
        <v>119365.2</v>
      </c>
      <c r="G4701" s="302">
        <f>'FACP$'!$F4701*0.16</f>
        <v>19098.432</v>
      </c>
      <c r="H4701" s="303">
        <f t="shared" si="124"/>
        <v>138463.632</v>
      </c>
      <c r="I4701" s="302"/>
      <c r="J4701" s="304"/>
      <c r="K4701" s="302"/>
      <c r="L4701" s="302">
        <f>+'FACP$'!$H4701-'FACP$'!$I4701-'FACP$'!$K4701</f>
        <v>138463.632</v>
      </c>
      <c r="M4701" s="305" t="s">
        <v>4654</v>
      </c>
      <c r="N4701" s="305" t="s">
        <v>127</v>
      </c>
      <c r="O4701" s="306"/>
      <c r="P4701" s="164">
        <f t="array" ref="P4701">XLOOKUP('FACP$'!$B4701,'perfil de pagos'!$A$4:$A$46,'perfil de pagos'!$B$4:$B$46+'FACP$'!$D4701)</f>
        <v>45385</v>
      </c>
      <c r="Q4701" s="307">
        <f t="shared" si="128"/>
        <v>0</v>
      </c>
      <c r="R4701" s="308"/>
      <c r="S4701" s="308"/>
      <c r="T4701" s="309">
        <f t="shared" si="3"/>
        <v>138463.632</v>
      </c>
      <c r="U4701" s="309">
        <f t="shared" si="4"/>
        <v>0</v>
      </c>
      <c r="V4701" s="309">
        <f t="shared" si="5"/>
        <v>0</v>
      </c>
      <c r="W4701" s="309">
        <f t="shared" si="6"/>
        <v>0</v>
      </c>
      <c r="X4701" s="309">
        <f t="shared" si="7"/>
        <v>0</v>
      </c>
      <c r="Y4701" s="309">
        <f t="shared" si="8"/>
        <v>0</v>
      </c>
      <c r="Z4701" s="309">
        <f t="shared" si="9"/>
        <v>0</v>
      </c>
    </row>
    <row r="4702" ht="15.0" customHeight="1">
      <c r="A4702" s="299" t="s">
        <v>5974</v>
      </c>
      <c r="B4702" s="300" t="s">
        <v>38</v>
      </c>
      <c r="C4702" s="300" t="s">
        <v>5966</v>
      </c>
      <c r="D4702" s="301">
        <v>45355.0</v>
      </c>
      <c r="E4702" s="299" t="s">
        <v>731</v>
      </c>
      <c r="F4702" s="302">
        <v>67540.56</v>
      </c>
      <c r="G4702" s="302">
        <f>'FACP$'!$F4702*0.16</f>
        <v>10806.4896</v>
      </c>
      <c r="H4702" s="303">
        <f t="shared" si="124"/>
        <v>78347.0496</v>
      </c>
      <c r="I4702" s="302"/>
      <c r="J4702" s="304"/>
      <c r="K4702" s="302"/>
      <c r="L4702" s="302">
        <f>+'FACP$'!$H4702-'FACP$'!$I4702-'FACP$'!$K4702</f>
        <v>78347.0496</v>
      </c>
      <c r="M4702" s="305" t="s">
        <v>4707</v>
      </c>
      <c r="N4702" s="305" t="s">
        <v>127</v>
      </c>
      <c r="O4702" s="306"/>
      <c r="P4702" s="164">
        <f t="array" ref="P4702">XLOOKUP('FACP$'!$B4702,'perfil de pagos'!$A$4:$A$46,'perfil de pagos'!$B$4:$B$46+'FACP$'!$D4702)</f>
        <v>45385</v>
      </c>
      <c r="Q4702" s="307">
        <f t="shared" si="128"/>
        <v>0</v>
      </c>
      <c r="R4702" s="308"/>
      <c r="S4702" s="308"/>
      <c r="T4702" s="309">
        <f t="shared" si="3"/>
        <v>78347.0496</v>
      </c>
      <c r="U4702" s="309">
        <f t="shared" si="4"/>
        <v>0</v>
      </c>
      <c r="V4702" s="309">
        <f t="shared" si="5"/>
        <v>0</v>
      </c>
      <c r="W4702" s="309">
        <f t="shared" si="6"/>
        <v>0</v>
      </c>
      <c r="X4702" s="309">
        <f t="shared" si="7"/>
        <v>0</v>
      </c>
      <c r="Y4702" s="309">
        <f t="shared" si="8"/>
        <v>0</v>
      </c>
      <c r="Z4702" s="309">
        <f t="shared" si="9"/>
        <v>0</v>
      </c>
    </row>
    <row r="4703" ht="15.0" customHeight="1">
      <c r="A4703" s="157" t="s">
        <v>5975</v>
      </c>
      <c r="B4703" s="158" t="s">
        <v>38</v>
      </c>
      <c r="C4703" s="158" t="s">
        <v>5969</v>
      </c>
      <c r="D4703" s="159">
        <v>45355.0</v>
      </c>
      <c r="E4703" s="157" t="s">
        <v>731</v>
      </c>
      <c r="F4703" s="160">
        <v>114396.28</v>
      </c>
      <c r="G4703" s="160">
        <f>'FACP$'!$F4703*0.16</f>
        <v>18303.4048</v>
      </c>
      <c r="H4703" s="160">
        <f t="shared" si="124"/>
        <v>132699.6848</v>
      </c>
      <c r="I4703" s="160"/>
      <c r="J4703" s="161"/>
      <c r="K4703" s="160"/>
      <c r="L4703" s="160">
        <f>+'FACP$'!$H4703-'FACP$'!$I4703-'FACP$'!$K4703</f>
        <v>132699.6848</v>
      </c>
      <c r="M4703" s="162" t="s">
        <v>4707</v>
      </c>
      <c r="N4703" s="162" t="s">
        <v>554</v>
      </c>
      <c r="O4703" s="164">
        <v>45406.0</v>
      </c>
      <c r="P4703" s="164">
        <f t="array" ref="P4703">XLOOKUP('FACP$'!$B4703,'perfil de pagos'!$A$4:$A$46,'perfil de pagos'!$B$4:$B$46+'FACP$'!$D4703)</f>
        <v>45385</v>
      </c>
      <c r="Q4703" s="165">
        <f t="shared" si="128"/>
        <v>0</v>
      </c>
      <c r="R4703" s="167"/>
      <c r="S4703" s="167">
        <v>2955.0</v>
      </c>
      <c r="T4703" s="168">
        <f t="shared" si="3"/>
        <v>132699.6848</v>
      </c>
      <c r="U4703" s="168">
        <f t="shared" si="4"/>
        <v>0</v>
      </c>
      <c r="V4703" s="168">
        <f t="shared" si="5"/>
        <v>0</v>
      </c>
      <c r="W4703" s="168">
        <f t="shared" si="6"/>
        <v>0</v>
      </c>
      <c r="X4703" s="168">
        <f t="shared" si="7"/>
        <v>0</v>
      </c>
      <c r="Y4703" s="168">
        <f t="shared" si="8"/>
        <v>0</v>
      </c>
      <c r="Z4703" s="168">
        <f t="shared" si="9"/>
        <v>0</v>
      </c>
    </row>
    <row r="4704" ht="15.0" customHeight="1">
      <c r="A4704" s="157" t="s">
        <v>5976</v>
      </c>
      <c r="B4704" s="158" t="s">
        <v>44</v>
      </c>
      <c r="C4704" s="158" t="s">
        <v>5966</v>
      </c>
      <c r="D4704" s="159">
        <v>45355.0</v>
      </c>
      <c r="E4704" s="157" t="s">
        <v>731</v>
      </c>
      <c r="F4704" s="160">
        <v>130552.44</v>
      </c>
      <c r="G4704" s="160">
        <f>'FACP$'!$F4704*0.16</f>
        <v>20888.3904</v>
      </c>
      <c r="H4704" s="160">
        <f t="shared" si="124"/>
        <v>151440.8304</v>
      </c>
      <c r="I4704" s="160"/>
      <c r="J4704" s="161"/>
      <c r="K4704" s="160"/>
      <c r="L4704" s="160">
        <f>+'FACP$'!$H4704-'FACP$'!$I4704-'FACP$'!$K4704</f>
        <v>151440.8304</v>
      </c>
      <c r="M4704" s="162" t="s">
        <v>361</v>
      </c>
      <c r="N4704" s="162" t="s">
        <v>554</v>
      </c>
      <c r="O4704" s="164">
        <v>45366.0</v>
      </c>
      <c r="P4704" s="164">
        <f t="array" ref="P4704">XLOOKUP('FACP$'!$B4704,'perfil de pagos'!$A$4:$A$46,'perfil de pagos'!$B$4:$B$46+'FACP$'!$D4704)</f>
        <v>45365</v>
      </c>
      <c r="Q4704" s="165">
        <f t="shared" si="128"/>
        <v>0</v>
      </c>
      <c r="R4704" s="167"/>
      <c r="S4704" s="171">
        <v>2859.0</v>
      </c>
      <c r="T4704" s="168">
        <f t="shared" si="3"/>
        <v>151440.8304</v>
      </c>
      <c r="U4704" s="168">
        <f t="shared" si="4"/>
        <v>0</v>
      </c>
      <c r="V4704" s="168">
        <f t="shared" si="5"/>
        <v>0</v>
      </c>
      <c r="W4704" s="168">
        <f t="shared" si="6"/>
        <v>0</v>
      </c>
      <c r="X4704" s="168">
        <f t="shared" si="7"/>
        <v>0</v>
      </c>
      <c r="Y4704" s="168">
        <f t="shared" si="8"/>
        <v>0</v>
      </c>
      <c r="Z4704" s="168">
        <f t="shared" si="9"/>
        <v>0</v>
      </c>
    </row>
    <row r="4705" ht="15.0" customHeight="1">
      <c r="A4705" s="310" t="s">
        <v>5977</v>
      </c>
      <c r="B4705" s="158"/>
      <c r="C4705" s="158"/>
      <c r="D4705" s="311"/>
      <c r="E4705" s="310"/>
      <c r="F4705" s="312"/>
      <c r="G4705" s="312"/>
      <c r="H4705" s="312">
        <f t="shared" si="124"/>
        <v>0</v>
      </c>
      <c r="I4705" s="312"/>
      <c r="J4705" s="313"/>
      <c r="K4705" s="312"/>
      <c r="L4705" s="312">
        <f>+'FACP$'!$H4705-'FACP$'!$I4705-'FACP$'!$K4705</f>
        <v>0</v>
      </c>
      <c r="M4705" s="202"/>
      <c r="N4705" s="202" t="s">
        <v>127</v>
      </c>
      <c r="O4705" s="163"/>
      <c r="P4705" s="164" t="str">
        <f t="array" ref="P4705">XLOOKUP('FACP$'!$B4705,'perfil de pagos'!$A$4:$A$46,'perfil de pagos'!$B$4:$B$46+'FACP$'!$D4705)</f>
        <v>#N/A</v>
      </c>
      <c r="Q4705" s="314">
        <f t="shared" si="128"/>
        <v>0</v>
      </c>
      <c r="R4705" s="166"/>
      <c r="S4705" s="166"/>
      <c r="T4705" s="187">
        <f t="shared" si="3"/>
        <v>0</v>
      </c>
      <c r="U4705" s="187">
        <f t="shared" si="4"/>
        <v>0</v>
      </c>
      <c r="V4705" s="187">
        <f t="shared" si="5"/>
        <v>0</v>
      </c>
      <c r="W4705" s="187">
        <f t="shared" si="6"/>
        <v>0</v>
      </c>
      <c r="X4705" s="187">
        <f t="shared" si="7"/>
        <v>0</v>
      </c>
      <c r="Y4705" s="187">
        <f t="shared" si="8"/>
        <v>0</v>
      </c>
      <c r="Z4705" s="187">
        <f t="shared" si="9"/>
        <v>0</v>
      </c>
    </row>
    <row r="4706" ht="15.0" customHeight="1">
      <c r="A4706" s="157" t="s">
        <v>5978</v>
      </c>
      <c r="B4706" s="158" t="s">
        <v>47</v>
      </c>
      <c r="C4706" s="158" t="s">
        <v>5979</v>
      </c>
      <c r="D4706" s="159">
        <v>45356.0</v>
      </c>
      <c r="E4706" s="157" t="s">
        <v>731</v>
      </c>
      <c r="F4706" s="160">
        <v>6049.24</v>
      </c>
      <c r="G4706" s="160">
        <f>'FACP$'!$F4706*0.16</f>
        <v>967.8784</v>
      </c>
      <c r="H4706" s="160">
        <f t="shared" si="124"/>
        <v>7017.1184</v>
      </c>
      <c r="I4706" s="160"/>
      <c r="J4706" s="161"/>
      <c r="K4706" s="160"/>
      <c r="L4706" s="160">
        <f>+'FACP$'!$H4706-'FACP$'!$I4706-'FACP$'!$K4706</f>
        <v>7017.1184</v>
      </c>
      <c r="M4706" s="162" t="s">
        <v>5854</v>
      </c>
      <c r="N4706" s="162" t="s">
        <v>554</v>
      </c>
      <c r="O4706" s="164">
        <v>45356.0</v>
      </c>
      <c r="P4706" s="164">
        <f t="array" ref="P4706">XLOOKUP('FACP$'!$B4706,'perfil de pagos'!$A$4:$A$46,'perfil de pagos'!$B$4:$B$46+'FACP$'!$D4706)</f>
        <v>45356</v>
      </c>
      <c r="Q4706" s="165">
        <f t="shared" si="128"/>
        <v>0</v>
      </c>
      <c r="R4706" s="167"/>
      <c r="S4706" s="167"/>
      <c r="T4706" s="168">
        <f t="shared" si="3"/>
        <v>7017.1184</v>
      </c>
      <c r="U4706" s="168">
        <f t="shared" si="4"/>
        <v>0</v>
      </c>
      <c r="V4706" s="168">
        <f t="shared" si="5"/>
        <v>0</v>
      </c>
      <c r="W4706" s="168">
        <f t="shared" si="6"/>
        <v>0</v>
      </c>
      <c r="X4706" s="168">
        <f t="shared" si="7"/>
        <v>0</v>
      </c>
      <c r="Y4706" s="168">
        <f t="shared" si="8"/>
        <v>0</v>
      </c>
      <c r="Z4706" s="168">
        <f t="shared" si="9"/>
        <v>0</v>
      </c>
    </row>
    <row r="4707" ht="15.0" customHeight="1">
      <c r="A4707" s="157" t="s">
        <v>5980</v>
      </c>
      <c r="B4707" s="158" t="s">
        <v>27</v>
      </c>
      <c r="C4707" s="158" t="s">
        <v>5957</v>
      </c>
      <c r="D4707" s="159">
        <v>45358.0</v>
      </c>
      <c r="E4707" s="157" t="s">
        <v>731</v>
      </c>
      <c r="F4707" s="160">
        <v>23406.39</v>
      </c>
      <c r="G4707" s="160">
        <f>'FACP$'!$F4707*0.16</f>
        <v>3745.0224</v>
      </c>
      <c r="H4707" s="160">
        <f t="shared" si="124"/>
        <v>27151.4124</v>
      </c>
      <c r="I4707" s="160"/>
      <c r="J4707" s="161"/>
      <c r="K4707" s="160"/>
      <c r="L4707" s="160">
        <f>+'FACP$'!$H4707-'FACP$'!$I4707-'FACP$'!$K4707</f>
        <v>27151.4124</v>
      </c>
      <c r="M4707" s="162" t="s">
        <v>158</v>
      </c>
      <c r="N4707" s="162" t="s">
        <v>554</v>
      </c>
      <c r="O4707" s="164">
        <v>45405.0</v>
      </c>
      <c r="P4707" s="164">
        <f t="array" ref="P4707">XLOOKUP('FACP$'!$B4707,'perfil de pagos'!$A$4:$A$46,'perfil de pagos'!$B$4:$B$46+'FACP$'!$D4707)</f>
        <v>45388</v>
      </c>
      <c r="Q4707" s="165">
        <f t="shared" si="128"/>
        <v>0</v>
      </c>
      <c r="R4707" s="167"/>
      <c r="S4707" s="167">
        <v>2945.0</v>
      </c>
      <c r="T4707" s="168">
        <f t="shared" si="3"/>
        <v>27151.4124</v>
      </c>
      <c r="U4707" s="168">
        <f t="shared" si="4"/>
        <v>0</v>
      </c>
      <c r="V4707" s="168">
        <f t="shared" si="5"/>
        <v>0</v>
      </c>
      <c r="W4707" s="168">
        <f t="shared" si="6"/>
        <v>0</v>
      </c>
      <c r="X4707" s="168">
        <f t="shared" si="7"/>
        <v>0</v>
      </c>
      <c r="Y4707" s="168">
        <f t="shared" si="8"/>
        <v>0</v>
      </c>
      <c r="Z4707" s="168">
        <f t="shared" si="9"/>
        <v>0</v>
      </c>
      <c r="AB4707" s="104">
        <v>528.0</v>
      </c>
      <c r="AC4707" s="100">
        <f>'FACP$'!$T4707/AB4707</f>
        <v>51.42312955</v>
      </c>
    </row>
    <row r="4708" ht="15.0" customHeight="1">
      <c r="A4708" s="157" t="s">
        <v>5981</v>
      </c>
      <c r="B4708" s="158" t="s">
        <v>27</v>
      </c>
      <c r="C4708" s="158" t="s">
        <v>5959</v>
      </c>
      <c r="D4708" s="159">
        <v>45358.0</v>
      </c>
      <c r="E4708" s="157" t="s">
        <v>731</v>
      </c>
      <c r="F4708" s="160">
        <v>24137.7</v>
      </c>
      <c r="G4708" s="160">
        <f>'FACP$'!$F4708*0.16</f>
        <v>3862.032</v>
      </c>
      <c r="H4708" s="160">
        <f t="shared" si="124"/>
        <v>27999.732</v>
      </c>
      <c r="I4708" s="160"/>
      <c r="J4708" s="161"/>
      <c r="K4708" s="160"/>
      <c r="L4708" s="160">
        <f>+'FACP$'!$H4708-'FACP$'!$I4708-'FACP$'!$K4708</f>
        <v>27999.732</v>
      </c>
      <c r="M4708" s="162" t="s">
        <v>158</v>
      </c>
      <c r="N4708" s="162" t="s">
        <v>554</v>
      </c>
      <c r="O4708" s="164">
        <v>45405.0</v>
      </c>
      <c r="P4708" s="164">
        <f t="array" ref="P4708">XLOOKUP('FACP$'!$B4708,'perfil de pagos'!$A$4:$A$46,'perfil de pagos'!$B$4:$B$46+'FACP$'!$D4708)</f>
        <v>45388</v>
      </c>
      <c r="Q4708" s="165">
        <f t="shared" si="128"/>
        <v>0</v>
      </c>
      <c r="R4708" s="167"/>
      <c r="S4708" s="167">
        <v>2945.0</v>
      </c>
      <c r="T4708" s="168">
        <f t="shared" si="3"/>
        <v>27999.732</v>
      </c>
      <c r="U4708" s="168">
        <f t="shared" si="4"/>
        <v>0</v>
      </c>
      <c r="V4708" s="168">
        <f t="shared" si="5"/>
        <v>0</v>
      </c>
      <c r="W4708" s="168">
        <f t="shared" si="6"/>
        <v>0</v>
      </c>
      <c r="X4708" s="168">
        <f t="shared" si="7"/>
        <v>0</v>
      </c>
      <c r="Y4708" s="168">
        <f t="shared" si="8"/>
        <v>0</v>
      </c>
      <c r="Z4708" s="168">
        <f t="shared" si="9"/>
        <v>0</v>
      </c>
    </row>
    <row r="4709" ht="15.0" customHeight="1">
      <c r="A4709" s="157" t="s">
        <v>5982</v>
      </c>
      <c r="B4709" s="158" t="s">
        <v>27</v>
      </c>
      <c r="C4709" s="158" t="s">
        <v>5957</v>
      </c>
      <c r="D4709" s="159">
        <v>45358.0</v>
      </c>
      <c r="E4709" s="157" t="s">
        <v>731</v>
      </c>
      <c r="F4709" s="160">
        <v>17526.4</v>
      </c>
      <c r="G4709" s="160">
        <f>'FACP$'!$F4709*0.16</f>
        <v>2804.224</v>
      </c>
      <c r="H4709" s="160">
        <f t="shared" si="124"/>
        <v>20330.624</v>
      </c>
      <c r="I4709" s="160"/>
      <c r="J4709" s="161"/>
      <c r="K4709" s="160"/>
      <c r="L4709" s="160">
        <f>+'FACP$'!$H4709-'FACP$'!$I4709-'FACP$'!$K4709</f>
        <v>20330.624</v>
      </c>
      <c r="M4709" s="162" t="s">
        <v>151</v>
      </c>
      <c r="N4709" s="162" t="s">
        <v>554</v>
      </c>
      <c r="O4709" s="164">
        <v>45405.0</v>
      </c>
      <c r="P4709" s="164">
        <f t="array" ref="P4709">XLOOKUP('FACP$'!$B4709,'perfil de pagos'!$A$4:$A$46,'perfil de pagos'!$B$4:$B$46+'FACP$'!$D4709)</f>
        <v>45388</v>
      </c>
      <c r="Q4709" s="165">
        <f t="shared" si="128"/>
        <v>0</v>
      </c>
      <c r="R4709" s="167"/>
      <c r="S4709" s="167">
        <v>2946.0</v>
      </c>
      <c r="T4709" s="168">
        <f t="shared" si="3"/>
        <v>20330.624</v>
      </c>
      <c r="U4709" s="168">
        <f t="shared" si="4"/>
        <v>0</v>
      </c>
      <c r="V4709" s="168">
        <f t="shared" si="5"/>
        <v>0</v>
      </c>
      <c r="W4709" s="168">
        <f t="shared" si="6"/>
        <v>0</v>
      </c>
      <c r="X4709" s="168">
        <f t="shared" si="7"/>
        <v>0</v>
      </c>
      <c r="Y4709" s="168">
        <f t="shared" si="8"/>
        <v>0</v>
      </c>
      <c r="Z4709" s="168">
        <f t="shared" si="9"/>
        <v>0</v>
      </c>
    </row>
    <row r="4710" ht="15.0" customHeight="1">
      <c r="A4710" s="157" t="s">
        <v>5983</v>
      </c>
      <c r="B4710" s="158" t="s">
        <v>27</v>
      </c>
      <c r="C4710" s="158" t="s">
        <v>5959</v>
      </c>
      <c r="D4710" s="159">
        <v>45358.0</v>
      </c>
      <c r="E4710" s="157" t="s">
        <v>731</v>
      </c>
      <c r="F4710" s="160">
        <v>6991.48</v>
      </c>
      <c r="G4710" s="160">
        <f>'FACP$'!$F4710*0.16</f>
        <v>1118.6368</v>
      </c>
      <c r="H4710" s="160">
        <f t="shared" si="124"/>
        <v>8110.1168</v>
      </c>
      <c r="I4710" s="160"/>
      <c r="J4710" s="161"/>
      <c r="K4710" s="160"/>
      <c r="L4710" s="160">
        <f>+'FACP$'!$H4710-'FACP$'!$I4710-'FACP$'!$K4710</f>
        <v>8110.1168</v>
      </c>
      <c r="M4710" s="162" t="s">
        <v>151</v>
      </c>
      <c r="N4710" s="162" t="s">
        <v>554</v>
      </c>
      <c r="O4710" s="164">
        <v>45405.0</v>
      </c>
      <c r="P4710" s="164">
        <f t="array" ref="P4710">XLOOKUP('FACP$'!$B4710,'perfil de pagos'!$A$4:$A$46,'perfil de pagos'!$B$4:$B$46+'FACP$'!$D4710)</f>
        <v>45388</v>
      </c>
      <c r="Q4710" s="165">
        <f t="shared" si="128"/>
        <v>0</v>
      </c>
      <c r="R4710" s="167"/>
      <c r="S4710" s="167">
        <v>2946.0</v>
      </c>
      <c r="T4710" s="168">
        <f t="shared" si="3"/>
        <v>8110.1168</v>
      </c>
      <c r="U4710" s="168">
        <f t="shared" si="4"/>
        <v>0</v>
      </c>
      <c r="V4710" s="168">
        <f t="shared" si="5"/>
        <v>0</v>
      </c>
      <c r="W4710" s="168">
        <f t="shared" si="6"/>
        <v>0</v>
      </c>
      <c r="X4710" s="168">
        <f t="shared" si="7"/>
        <v>0</v>
      </c>
      <c r="Y4710" s="168">
        <f t="shared" si="8"/>
        <v>0</v>
      </c>
      <c r="Z4710" s="168">
        <f t="shared" si="9"/>
        <v>0</v>
      </c>
    </row>
    <row r="4711" ht="15.0" customHeight="1">
      <c r="A4711" s="157" t="s">
        <v>5984</v>
      </c>
      <c r="B4711" s="158" t="s">
        <v>35</v>
      </c>
      <c r="C4711" s="158" t="s">
        <v>5966</v>
      </c>
      <c r="D4711" s="159">
        <v>45358.0</v>
      </c>
      <c r="E4711" s="157" t="s">
        <v>731</v>
      </c>
      <c r="F4711" s="160">
        <v>406262.69</v>
      </c>
      <c r="G4711" s="160">
        <f>'FACP$'!$F4711*0.16</f>
        <v>65002.0304</v>
      </c>
      <c r="H4711" s="160">
        <f t="shared" si="124"/>
        <v>471264.7204</v>
      </c>
      <c r="I4711" s="160"/>
      <c r="J4711" s="161"/>
      <c r="K4711" s="160"/>
      <c r="L4711" s="160">
        <f>+'FACP$'!$H4711-'FACP$'!$I4711-'FACP$'!$K4711</f>
        <v>471264.7204</v>
      </c>
      <c r="M4711" s="162" t="s">
        <v>276</v>
      </c>
      <c r="N4711" s="162" t="s">
        <v>554</v>
      </c>
      <c r="O4711" s="164">
        <v>45371.0</v>
      </c>
      <c r="P4711" s="164">
        <f t="array" ref="P4711">XLOOKUP('FACP$'!$B4711,'perfil de pagos'!$A$4:$A$46,'perfil de pagos'!$B$4:$B$46+'FACP$'!$D4711)</f>
        <v>45368</v>
      </c>
      <c r="Q4711" s="165">
        <f t="shared" si="128"/>
        <v>0</v>
      </c>
      <c r="R4711" s="167"/>
      <c r="S4711" s="167">
        <v>2871.0</v>
      </c>
      <c r="T4711" s="168">
        <f t="shared" si="3"/>
        <v>471264.7204</v>
      </c>
      <c r="U4711" s="168">
        <f t="shared" si="4"/>
        <v>0</v>
      </c>
      <c r="V4711" s="168">
        <f t="shared" si="5"/>
        <v>0</v>
      </c>
      <c r="W4711" s="168">
        <f t="shared" si="6"/>
        <v>0</v>
      </c>
      <c r="X4711" s="168">
        <f t="shared" si="7"/>
        <v>0</v>
      </c>
      <c r="Y4711" s="168">
        <f t="shared" si="8"/>
        <v>0</v>
      </c>
      <c r="Z4711" s="168">
        <f t="shared" si="9"/>
        <v>0</v>
      </c>
    </row>
    <row r="4712" ht="15.0" customHeight="1">
      <c r="A4712" s="157" t="s">
        <v>5985</v>
      </c>
      <c r="B4712" s="158" t="s">
        <v>27</v>
      </c>
      <c r="C4712" s="158" t="s">
        <v>5957</v>
      </c>
      <c r="D4712" s="159">
        <v>45358.0</v>
      </c>
      <c r="E4712" s="157" t="s">
        <v>731</v>
      </c>
      <c r="F4712" s="160">
        <v>1062.11</v>
      </c>
      <c r="G4712" s="160">
        <f>'FACP$'!$F4712*0.16</f>
        <v>169.9376</v>
      </c>
      <c r="H4712" s="160">
        <f t="shared" si="124"/>
        <v>1232.0476</v>
      </c>
      <c r="I4712" s="160"/>
      <c r="J4712" s="161"/>
      <c r="K4712" s="160"/>
      <c r="L4712" s="160">
        <f>+'FACP$'!$H4712-'FACP$'!$I4712-'FACP$'!$K4712</f>
        <v>1232.0476</v>
      </c>
      <c r="M4712" s="162" t="s">
        <v>151</v>
      </c>
      <c r="N4712" s="162" t="s">
        <v>554</v>
      </c>
      <c r="O4712" s="164">
        <v>45405.0</v>
      </c>
      <c r="P4712" s="164">
        <f t="array" ref="P4712">XLOOKUP('FACP$'!$B4712,'perfil de pagos'!$A$4:$A$46,'perfil de pagos'!$B$4:$B$46+'FACP$'!$D4712)</f>
        <v>45388</v>
      </c>
      <c r="Q4712" s="165">
        <f t="shared" si="128"/>
        <v>0</v>
      </c>
      <c r="R4712" s="167"/>
      <c r="S4712" s="167">
        <v>2946.0</v>
      </c>
      <c r="T4712" s="168">
        <f t="shared" si="3"/>
        <v>1232.0476</v>
      </c>
      <c r="U4712" s="168">
        <f t="shared" si="4"/>
        <v>0</v>
      </c>
      <c r="V4712" s="168">
        <f t="shared" si="5"/>
        <v>0</v>
      </c>
      <c r="W4712" s="168">
        <f t="shared" si="6"/>
        <v>0</v>
      </c>
      <c r="X4712" s="168">
        <f t="shared" si="7"/>
        <v>0</v>
      </c>
      <c r="Y4712" s="168">
        <f t="shared" si="8"/>
        <v>0</v>
      </c>
      <c r="Z4712" s="168">
        <f t="shared" si="9"/>
        <v>0</v>
      </c>
    </row>
    <row r="4713" ht="15.0" customHeight="1">
      <c r="A4713" s="157" t="s">
        <v>5986</v>
      </c>
      <c r="B4713" s="158" t="s">
        <v>27</v>
      </c>
      <c r="C4713" s="158" t="s">
        <v>5959</v>
      </c>
      <c r="D4713" s="159">
        <v>45358.0</v>
      </c>
      <c r="E4713" s="157" t="s">
        <v>731</v>
      </c>
      <c r="F4713" s="160">
        <v>210.26</v>
      </c>
      <c r="G4713" s="160">
        <f>'FACP$'!$F4713*0.16</f>
        <v>33.6416</v>
      </c>
      <c r="H4713" s="160">
        <f t="shared" si="124"/>
        <v>243.9016</v>
      </c>
      <c r="I4713" s="160"/>
      <c r="J4713" s="161"/>
      <c r="K4713" s="160"/>
      <c r="L4713" s="160">
        <f>+'FACP$'!$H4713-'FACP$'!$I4713-'FACP$'!$K4713</f>
        <v>243.9016</v>
      </c>
      <c r="M4713" s="162" t="s">
        <v>151</v>
      </c>
      <c r="N4713" s="162" t="s">
        <v>554</v>
      </c>
      <c r="O4713" s="164">
        <v>45405.0</v>
      </c>
      <c r="P4713" s="164">
        <f t="array" ref="P4713">XLOOKUP('FACP$'!$B4713,'perfil de pagos'!$A$4:$A$46,'perfil de pagos'!$B$4:$B$46+'FACP$'!$D4713)</f>
        <v>45388</v>
      </c>
      <c r="Q4713" s="165">
        <f t="shared" si="128"/>
        <v>0</v>
      </c>
      <c r="R4713" s="167"/>
      <c r="S4713" s="167">
        <v>2946.0</v>
      </c>
      <c r="T4713" s="168">
        <f t="shared" si="3"/>
        <v>243.9016</v>
      </c>
      <c r="U4713" s="168">
        <f t="shared" si="4"/>
        <v>0</v>
      </c>
      <c r="V4713" s="168">
        <f t="shared" si="5"/>
        <v>0</v>
      </c>
      <c r="W4713" s="168">
        <f t="shared" si="6"/>
        <v>0</v>
      </c>
      <c r="X4713" s="168">
        <f t="shared" si="7"/>
        <v>0</v>
      </c>
      <c r="Y4713" s="168">
        <f t="shared" si="8"/>
        <v>0</v>
      </c>
      <c r="Z4713" s="168">
        <f t="shared" si="9"/>
        <v>0</v>
      </c>
    </row>
    <row r="4714" ht="15.0" customHeight="1">
      <c r="A4714" s="157" t="s">
        <v>5987</v>
      </c>
      <c r="B4714" s="158" t="s">
        <v>46</v>
      </c>
      <c r="C4714" s="158" t="s">
        <v>5966</v>
      </c>
      <c r="D4714" s="159">
        <v>45358.0</v>
      </c>
      <c r="E4714" s="157" t="s">
        <v>731</v>
      </c>
      <c r="F4714" s="160">
        <v>304227.16</v>
      </c>
      <c r="G4714" s="160">
        <f>'FACP$'!$F4714*0.16</f>
        <v>48676.3456</v>
      </c>
      <c r="H4714" s="160">
        <f t="shared" si="124"/>
        <v>352903.5056</v>
      </c>
      <c r="I4714" s="160"/>
      <c r="J4714" s="161"/>
      <c r="K4714" s="160"/>
      <c r="L4714" s="160">
        <f>+'FACP$'!$H4714-'FACP$'!$I4714-'FACP$'!$K4714</f>
        <v>352903.5056</v>
      </c>
      <c r="M4714" s="162" t="s">
        <v>46</v>
      </c>
      <c r="N4714" s="162" t="s">
        <v>554</v>
      </c>
      <c r="O4714" s="164">
        <v>45408.0</v>
      </c>
      <c r="P4714" s="164">
        <f t="array" ref="P4714">XLOOKUP('FACP$'!$B4714,'perfil de pagos'!$A$4:$A$46,'perfil de pagos'!$B$4:$B$46+'FACP$'!$D4714)</f>
        <v>45373</v>
      </c>
      <c r="Q4714" s="165">
        <f t="shared" si="128"/>
        <v>0</v>
      </c>
      <c r="R4714" s="167"/>
      <c r="S4714" s="167">
        <v>2898.0</v>
      </c>
      <c r="T4714" s="168">
        <f t="shared" si="3"/>
        <v>352903.5056</v>
      </c>
      <c r="U4714" s="168">
        <f t="shared" si="4"/>
        <v>0</v>
      </c>
      <c r="V4714" s="168">
        <f t="shared" si="5"/>
        <v>0</v>
      </c>
      <c r="W4714" s="168">
        <f t="shared" si="6"/>
        <v>0</v>
      </c>
      <c r="X4714" s="168">
        <f t="shared" si="7"/>
        <v>0</v>
      </c>
      <c r="Y4714" s="168">
        <f t="shared" si="8"/>
        <v>0</v>
      </c>
      <c r="Z4714" s="168">
        <f t="shared" si="9"/>
        <v>0</v>
      </c>
    </row>
    <row r="4715" ht="15.0" customHeight="1">
      <c r="A4715" s="157" t="s">
        <v>5988</v>
      </c>
      <c r="B4715" s="158" t="s">
        <v>46</v>
      </c>
      <c r="C4715" s="158" t="s">
        <v>5969</v>
      </c>
      <c r="D4715" s="159">
        <v>45358.0</v>
      </c>
      <c r="E4715" s="157" t="s">
        <v>731</v>
      </c>
      <c r="F4715" s="160">
        <v>121857.6</v>
      </c>
      <c r="G4715" s="160">
        <f>'FACP$'!$F4715*0.16</f>
        <v>19497.216</v>
      </c>
      <c r="H4715" s="160">
        <f t="shared" si="124"/>
        <v>141354.816</v>
      </c>
      <c r="I4715" s="160"/>
      <c r="J4715" s="161"/>
      <c r="K4715" s="160"/>
      <c r="L4715" s="160">
        <f>+'FACP$'!$H4715-'FACP$'!$I4715-'FACP$'!$K4715</f>
        <v>141354.816</v>
      </c>
      <c r="M4715" s="162" t="s">
        <v>46</v>
      </c>
      <c r="N4715" s="162" t="s">
        <v>554</v>
      </c>
      <c r="O4715" s="164">
        <v>45408.0</v>
      </c>
      <c r="P4715" s="164">
        <f t="array" ref="P4715">XLOOKUP('FACP$'!$B4715,'perfil de pagos'!$A$4:$A$46,'perfil de pagos'!$B$4:$B$46+'FACP$'!$D4715)</f>
        <v>45373</v>
      </c>
      <c r="Q4715" s="165">
        <f t="shared" si="128"/>
        <v>0</v>
      </c>
      <c r="R4715" s="167"/>
      <c r="S4715" s="167">
        <v>2898.0</v>
      </c>
      <c r="T4715" s="168">
        <f t="shared" si="3"/>
        <v>141354.816</v>
      </c>
      <c r="U4715" s="168">
        <f t="shared" si="4"/>
        <v>0</v>
      </c>
      <c r="V4715" s="168">
        <f t="shared" si="5"/>
        <v>0</v>
      </c>
      <c r="W4715" s="168">
        <f t="shared" si="6"/>
        <v>0</v>
      </c>
      <c r="X4715" s="168">
        <f t="shared" si="7"/>
        <v>0</v>
      </c>
      <c r="Y4715" s="168">
        <f t="shared" si="8"/>
        <v>0</v>
      </c>
      <c r="Z4715" s="168">
        <f t="shared" si="9"/>
        <v>0</v>
      </c>
    </row>
    <row r="4716" ht="15.0" customHeight="1">
      <c r="A4716" s="315" t="s">
        <v>5989</v>
      </c>
      <c r="B4716" s="158" t="s">
        <v>38</v>
      </c>
      <c r="C4716" s="158" t="s">
        <v>5966</v>
      </c>
      <c r="D4716" s="159">
        <v>45358.0</v>
      </c>
      <c r="E4716" s="157" t="s">
        <v>731</v>
      </c>
      <c r="F4716" s="160">
        <v>70386.6</v>
      </c>
      <c r="G4716" s="160">
        <f>'FACP$'!$F4716*0.16</f>
        <v>11261.856</v>
      </c>
      <c r="H4716" s="160">
        <f t="shared" si="124"/>
        <v>81648.456</v>
      </c>
      <c r="I4716" s="160"/>
      <c r="J4716" s="161"/>
      <c r="K4716" s="160"/>
      <c r="L4716" s="160">
        <f>+'FACP$'!$H4716-'FACP$'!$I4716-'FACP$'!$K4716</f>
        <v>81648.456</v>
      </c>
      <c r="M4716" s="162" t="s">
        <v>4707</v>
      </c>
      <c r="N4716" s="162" t="s">
        <v>554</v>
      </c>
      <c r="O4716" s="164">
        <v>45406.0</v>
      </c>
      <c r="P4716" s="164">
        <f t="array" ref="P4716">XLOOKUP('FACP$'!$B4716,'perfil de pagos'!$A$4:$A$46,'perfil de pagos'!$B$4:$B$46+'FACP$'!$D4716)</f>
        <v>45388</v>
      </c>
      <c r="Q4716" s="165">
        <f t="shared" si="128"/>
        <v>0</v>
      </c>
      <c r="R4716" s="167"/>
      <c r="S4716" s="167">
        <v>2955.0</v>
      </c>
      <c r="T4716" s="168">
        <f t="shared" si="3"/>
        <v>81648.456</v>
      </c>
      <c r="U4716" s="168">
        <f t="shared" si="4"/>
        <v>0</v>
      </c>
      <c r="V4716" s="168">
        <f t="shared" si="5"/>
        <v>0</v>
      </c>
      <c r="W4716" s="168">
        <f t="shared" si="6"/>
        <v>0</v>
      </c>
      <c r="X4716" s="168">
        <f t="shared" si="7"/>
        <v>0</v>
      </c>
      <c r="Y4716" s="168">
        <f t="shared" si="8"/>
        <v>0</v>
      </c>
      <c r="Z4716" s="168">
        <f t="shared" si="9"/>
        <v>0</v>
      </c>
    </row>
    <row r="4717" ht="15.0" customHeight="1">
      <c r="A4717" s="315" t="s">
        <v>5990</v>
      </c>
      <c r="B4717" s="158" t="s">
        <v>41</v>
      </c>
      <c r="C4717" s="158" t="s">
        <v>5966</v>
      </c>
      <c r="D4717" s="159">
        <v>45358.0</v>
      </c>
      <c r="E4717" s="157" t="s">
        <v>731</v>
      </c>
      <c r="F4717" s="160">
        <v>863322.55</v>
      </c>
      <c r="G4717" s="160">
        <f>'FACP$'!$F4717*0.16</f>
        <v>138131.608</v>
      </c>
      <c r="H4717" s="160">
        <f t="shared" si="124"/>
        <v>1001454.158</v>
      </c>
      <c r="I4717" s="160"/>
      <c r="J4717" s="161"/>
      <c r="K4717" s="160"/>
      <c r="L4717" s="160">
        <f>+'FACP$'!$H4717-'FACP$'!$I4717-'FACP$'!$K4717</f>
        <v>1001454.158</v>
      </c>
      <c r="M4717" s="162" t="s">
        <v>121</v>
      </c>
      <c r="N4717" s="162" t="s">
        <v>554</v>
      </c>
      <c r="O4717" s="164">
        <v>45432.0</v>
      </c>
      <c r="P4717" s="164">
        <f t="array" ref="P4717">XLOOKUP('FACP$'!$B4717,'perfil de pagos'!$A$4:$A$46,'perfil de pagos'!$B$4:$B$46+'FACP$'!$D4717)</f>
        <v>45368</v>
      </c>
      <c r="Q4717" s="165">
        <f t="shared" si="128"/>
        <v>0</v>
      </c>
      <c r="R4717" s="167"/>
      <c r="S4717" s="167">
        <v>2993.0</v>
      </c>
      <c r="T4717" s="168">
        <f t="shared" si="3"/>
        <v>1001454.158</v>
      </c>
      <c r="U4717" s="168">
        <f t="shared" si="4"/>
        <v>0</v>
      </c>
      <c r="V4717" s="168">
        <f t="shared" si="5"/>
        <v>0</v>
      </c>
      <c r="W4717" s="168">
        <f t="shared" si="6"/>
        <v>0</v>
      </c>
      <c r="X4717" s="168">
        <f t="shared" si="7"/>
        <v>0</v>
      </c>
      <c r="Y4717" s="168">
        <f t="shared" si="8"/>
        <v>0</v>
      </c>
      <c r="Z4717" s="168">
        <f t="shared" si="9"/>
        <v>0</v>
      </c>
    </row>
    <row r="4718" ht="15.0" customHeight="1">
      <c r="A4718" s="315" t="s">
        <v>5991</v>
      </c>
      <c r="B4718" s="158" t="s">
        <v>36</v>
      </c>
      <c r="C4718" s="158" t="s">
        <v>5966</v>
      </c>
      <c r="D4718" s="159">
        <v>45358.0</v>
      </c>
      <c r="E4718" s="157" t="s">
        <v>731</v>
      </c>
      <c r="F4718" s="160">
        <v>195994.49</v>
      </c>
      <c r="G4718" s="160">
        <f>'FACP$'!$F4718*0.16</f>
        <v>31359.1184</v>
      </c>
      <c r="H4718" s="160">
        <f t="shared" si="124"/>
        <v>227353.6084</v>
      </c>
      <c r="I4718" s="160"/>
      <c r="J4718" s="161"/>
      <c r="K4718" s="160"/>
      <c r="L4718" s="160">
        <f>+'FACP$'!$H4718-'FACP$'!$I4718-'FACP$'!$K4718</f>
        <v>227353.6084</v>
      </c>
      <c r="M4718" s="162" t="s">
        <v>574</v>
      </c>
      <c r="N4718" s="162" t="s">
        <v>554</v>
      </c>
      <c r="O4718" s="164">
        <v>45371.0</v>
      </c>
      <c r="P4718" s="164">
        <f t="array" ref="P4718">XLOOKUP('FACP$'!$B4718,'perfil de pagos'!$A$4:$A$46,'perfil de pagos'!$B$4:$B$46+'FACP$'!$D4718)</f>
        <v>45368</v>
      </c>
      <c r="Q4718" s="165">
        <f t="shared" si="128"/>
        <v>0</v>
      </c>
      <c r="R4718" s="167"/>
      <c r="S4718" s="167">
        <v>2872.0</v>
      </c>
      <c r="T4718" s="168">
        <f t="shared" si="3"/>
        <v>227353.6084</v>
      </c>
      <c r="U4718" s="168">
        <f t="shared" si="4"/>
        <v>0</v>
      </c>
      <c r="V4718" s="168">
        <f t="shared" si="5"/>
        <v>0</v>
      </c>
      <c r="W4718" s="168">
        <f t="shared" si="6"/>
        <v>0</v>
      </c>
      <c r="X4718" s="168">
        <f t="shared" si="7"/>
        <v>0</v>
      </c>
      <c r="Y4718" s="168">
        <f t="shared" si="8"/>
        <v>0</v>
      </c>
      <c r="Z4718" s="168">
        <f t="shared" si="9"/>
        <v>0</v>
      </c>
    </row>
    <row r="4719" ht="15.0" customHeight="1">
      <c r="A4719" s="315" t="s">
        <v>5992</v>
      </c>
      <c r="B4719" s="158" t="s">
        <v>38</v>
      </c>
      <c r="C4719" s="158" t="s">
        <v>5966</v>
      </c>
      <c r="D4719" s="159">
        <v>45358.0</v>
      </c>
      <c r="E4719" s="157" t="s">
        <v>731</v>
      </c>
      <c r="F4719" s="160">
        <v>124827.14</v>
      </c>
      <c r="G4719" s="160">
        <f>'FACP$'!$F4719*0.16</f>
        <v>19972.3424</v>
      </c>
      <c r="H4719" s="160">
        <f t="shared" si="124"/>
        <v>144799.4824</v>
      </c>
      <c r="I4719" s="160"/>
      <c r="J4719" s="161"/>
      <c r="K4719" s="160"/>
      <c r="L4719" s="160">
        <f>+'FACP$'!$H4719-'FACP$'!$I4719-'FACP$'!$K4719</f>
        <v>144799.4824</v>
      </c>
      <c r="M4719" s="162" t="s">
        <v>4654</v>
      </c>
      <c r="N4719" s="162" t="s">
        <v>554</v>
      </c>
      <c r="O4719" s="164">
        <v>45406.0</v>
      </c>
      <c r="P4719" s="164">
        <f t="array" ref="P4719">XLOOKUP('FACP$'!$B4719,'perfil de pagos'!$A$4:$A$46,'perfil de pagos'!$B$4:$B$46+'FACP$'!$D4719)</f>
        <v>45388</v>
      </c>
      <c r="Q4719" s="165">
        <f t="shared" si="128"/>
        <v>0</v>
      </c>
      <c r="R4719" s="167"/>
      <c r="S4719" s="167">
        <v>2955.0</v>
      </c>
      <c r="T4719" s="168">
        <f t="shared" si="3"/>
        <v>144799.4824</v>
      </c>
      <c r="U4719" s="168">
        <f t="shared" si="4"/>
        <v>0</v>
      </c>
      <c r="V4719" s="168">
        <f t="shared" si="5"/>
        <v>0</v>
      </c>
      <c r="W4719" s="168">
        <f t="shared" si="6"/>
        <v>0</v>
      </c>
      <c r="X4719" s="168">
        <f t="shared" si="7"/>
        <v>0</v>
      </c>
      <c r="Y4719" s="168">
        <f t="shared" si="8"/>
        <v>0</v>
      </c>
      <c r="Z4719" s="168">
        <f t="shared" si="9"/>
        <v>0</v>
      </c>
    </row>
    <row r="4720" ht="15.0" customHeight="1">
      <c r="A4720" s="315" t="s">
        <v>5993</v>
      </c>
      <c r="B4720" s="158" t="s">
        <v>42</v>
      </c>
      <c r="C4720" s="158" t="s">
        <v>5966</v>
      </c>
      <c r="D4720" s="159">
        <v>45358.0</v>
      </c>
      <c r="E4720" s="157" t="s">
        <v>731</v>
      </c>
      <c r="F4720" s="160">
        <v>101714.38</v>
      </c>
      <c r="G4720" s="160">
        <f>'FACP$'!$F4720*0.16</f>
        <v>16274.3008</v>
      </c>
      <c r="H4720" s="160">
        <f t="shared" si="124"/>
        <v>117988.6808</v>
      </c>
      <c r="I4720" s="160"/>
      <c r="J4720" s="161"/>
      <c r="K4720" s="160"/>
      <c r="L4720" s="160">
        <f>+'FACP$'!$H4720-'FACP$'!$I4720-'FACP$'!$K4720</f>
        <v>117988.6808</v>
      </c>
      <c r="M4720" s="162" t="s">
        <v>42</v>
      </c>
      <c r="N4720" s="162" t="s">
        <v>554</v>
      </c>
      <c r="O4720" s="164">
        <v>45387.0</v>
      </c>
      <c r="P4720" s="164">
        <f t="array" ref="P4720">XLOOKUP('FACP$'!$B4720,'perfil de pagos'!$A$4:$A$46,'perfil de pagos'!$B$4:$B$46+'FACP$'!$D4720)</f>
        <v>45368</v>
      </c>
      <c r="Q4720" s="165">
        <f t="shared" si="128"/>
        <v>0</v>
      </c>
      <c r="R4720" s="167"/>
      <c r="S4720" s="167">
        <v>2909.0</v>
      </c>
      <c r="T4720" s="168">
        <f t="shared" si="3"/>
        <v>117988.6808</v>
      </c>
      <c r="U4720" s="168">
        <f t="shared" si="4"/>
        <v>0</v>
      </c>
      <c r="V4720" s="168">
        <f t="shared" si="5"/>
        <v>0</v>
      </c>
      <c r="W4720" s="168">
        <f t="shared" si="6"/>
        <v>0</v>
      </c>
      <c r="X4720" s="168">
        <f t="shared" si="7"/>
        <v>0</v>
      </c>
      <c r="Y4720" s="168">
        <f t="shared" si="8"/>
        <v>0</v>
      </c>
      <c r="Z4720" s="168">
        <f t="shared" si="9"/>
        <v>0</v>
      </c>
    </row>
    <row r="4721" ht="15.0" customHeight="1">
      <c r="A4721" s="316" t="s">
        <v>5994</v>
      </c>
      <c r="B4721" s="158" t="s">
        <v>38</v>
      </c>
      <c r="C4721" s="158" t="s">
        <v>5995</v>
      </c>
      <c r="D4721" s="159">
        <v>45358.0</v>
      </c>
      <c r="E4721" s="157" t="s">
        <v>731</v>
      </c>
      <c r="F4721" s="160">
        <v>3482.85</v>
      </c>
      <c r="G4721" s="160">
        <f>'FACP$'!$F4721*0.16</f>
        <v>557.256</v>
      </c>
      <c r="H4721" s="160">
        <f t="shared" si="124"/>
        <v>4040.106</v>
      </c>
      <c r="I4721" s="160"/>
      <c r="J4721" s="161"/>
      <c r="K4721" s="160"/>
      <c r="L4721" s="160">
        <f>+'FACP$'!$H4721-'FACP$'!$I4721-'FACP$'!$K4721</f>
        <v>4040.106</v>
      </c>
      <c r="M4721" s="162" t="s">
        <v>4707</v>
      </c>
      <c r="N4721" s="162" t="s">
        <v>554</v>
      </c>
      <c r="O4721" s="164">
        <v>45406.0</v>
      </c>
      <c r="P4721" s="164">
        <f t="array" ref="P4721">XLOOKUP('FACP$'!$B4721,'perfil de pagos'!$A$4:$A$46,'perfil de pagos'!$B$4:$B$46+'FACP$'!$D4721)</f>
        <v>45388</v>
      </c>
      <c r="Q4721" s="165">
        <f t="shared" si="128"/>
        <v>0</v>
      </c>
      <c r="R4721" s="167"/>
      <c r="S4721" s="167">
        <v>2955.0</v>
      </c>
      <c r="T4721" s="168">
        <f t="shared" si="3"/>
        <v>4040.106</v>
      </c>
      <c r="U4721" s="168">
        <f t="shared" si="4"/>
        <v>0</v>
      </c>
      <c r="V4721" s="168">
        <f t="shared" si="5"/>
        <v>0</v>
      </c>
      <c r="W4721" s="168">
        <f t="shared" si="6"/>
        <v>0</v>
      </c>
      <c r="X4721" s="168">
        <f t="shared" si="7"/>
        <v>0</v>
      </c>
      <c r="Y4721" s="168">
        <f t="shared" si="8"/>
        <v>0</v>
      </c>
      <c r="Z4721" s="168">
        <f t="shared" si="9"/>
        <v>0</v>
      </c>
    </row>
    <row r="4722" ht="15.0" customHeight="1">
      <c r="A4722" s="316" t="s">
        <v>5996</v>
      </c>
      <c r="B4722" s="158" t="s">
        <v>27</v>
      </c>
      <c r="C4722" s="158" t="s">
        <v>5997</v>
      </c>
      <c r="D4722" s="159">
        <v>45358.0</v>
      </c>
      <c r="E4722" s="157" t="s">
        <v>731</v>
      </c>
      <c r="F4722" s="160">
        <v>8529.72</v>
      </c>
      <c r="G4722" s="160">
        <f>'FACP$'!$F4722*0.16</f>
        <v>1364.7552</v>
      </c>
      <c r="H4722" s="160">
        <f t="shared" si="124"/>
        <v>9894.4752</v>
      </c>
      <c r="I4722" s="160"/>
      <c r="J4722" s="161"/>
      <c r="K4722" s="160"/>
      <c r="L4722" s="160">
        <f>+'FACP$'!$H4722-'FACP$'!$I4722-'FACP$'!$K4722</f>
        <v>9894.4752</v>
      </c>
      <c r="M4722" s="162" t="s">
        <v>158</v>
      </c>
      <c r="N4722" s="162" t="s">
        <v>554</v>
      </c>
      <c r="O4722" s="164">
        <v>45376.0</v>
      </c>
      <c r="P4722" s="164">
        <f t="array" ref="P4722">XLOOKUP('FACP$'!$B4722,'perfil de pagos'!$A$4:$A$46,'perfil de pagos'!$B$4:$B$46+'FACP$'!$D4722)</f>
        <v>45388</v>
      </c>
      <c r="Q4722" s="165">
        <f t="shared" si="128"/>
        <v>0</v>
      </c>
      <c r="R4722" s="167"/>
      <c r="S4722" s="167">
        <v>2885.0</v>
      </c>
      <c r="T4722" s="168">
        <f t="shared" si="3"/>
        <v>9894.4752</v>
      </c>
      <c r="U4722" s="168">
        <f t="shared" si="4"/>
        <v>0</v>
      </c>
      <c r="V4722" s="168">
        <f t="shared" si="5"/>
        <v>0</v>
      </c>
      <c r="W4722" s="168">
        <f t="shared" si="6"/>
        <v>0</v>
      </c>
      <c r="X4722" s="168">
        <f t="shared" si="7"/>
        <v>0</v>
      </c>
      <c r="Y4722" s="168">
        <f t="shared" si="8"/>
        <v>0</v>
      </c>
      <c r="Z4722" s="168">
        <f t="shared" si="9"/>
        <v>0</v>
      </c>
    </row>
    <row r="4723" ht="15.0" customHeight="1">
      <c r="A4723" s="299" t="s">
        <v>5998</v>
      </c>
      <c r="B4723" s="300" t="s">
        <v>27</v>
      </c>
      <c r="C4723" s="300" t="s">
        <v>5933</v>
      </c>
      <c r="D4723" s="301">
        <v>45358.0</v>
      </c>
      <c r="E4723" s="299" t="s">
        <v>731</v>
      </c>
      <c r="F4723" s="302">
        <v>14273.28</v>
      </c>
      <c r="G4723" s="302">
        <f>'FACP$'!$F4723*0.16</f>
        <v>2283.7248</v>
      </c>
      <c r="H4723" s="303">
        <f t="shared" si="124"/>
        <v>16557.0048</v>
      </c>
      <c r="I4723" s="302"/>
      <c r="J4723" s="304"/>
      <c r="K4723" s="302"/>
      <c r="L4723" s="302">
        <f>+'FACP$'!$H4723-'FACP$'!$I4723-'FACP$'!$K4723</f>
        <v>16557.0048</v>
      </c>
      <c r="M4723" s="305" t="s">
        <v>151</v>
      </c>
      <c r="N4723" s="305" t="s">
        <v>127</v>
      </c>
      <c r="O4723" s="306"/>
      <c r="P4723" s="164">
        <f t="array" ref="P4723">XLOOKUP('FACP$'!$B4723,'perfil de pagos'!$A$4:$A$46,'perfil de pagos'!$B$4:$B$46+'FACP$'!$D4723)</f>
        <v>45388</v>
      </c>
      <c r="Q4723" s="307">
        <f t="shared" si="128"/>
        <v>0</v>
      </c>
      <c r="R4723" s="308"/>
      <c r="S4723" s="308"/>
      <c r="T4723" s="309">
        <f t="shared" si="3"/>
        <v>16557.0048</v>
      </c>
      <c r="U4723" s="309">
        <f t="shared" si="4"/>
        <v>0</v>
      </c>
      <c r="V4723" s="309">
        <f t="shared" si="5"/>
        <v>0</v>
      </c>
      <c r="W4723" s="309">
        <f t="shared" si="6"/>
        <v>0</v>
      </c>
      <c r="X4723" s="309">
        <f t="shared" si="7"/>
        <v>0</v>
      </c>
      <c r="Y4723" s="309">
        <f t="shared" si="8"/>
        <v>0</v>
      </c>
      <c r="Z4723" s="309">
        <f t="shared" si="9"/>
        <v>0</v>
      </c>
    </row>
    <row r="4724" ht="15.0" customHeight="1">
      <c r="A4724" s="316" t="s">
        <v>5999</v>
      </c>
      <c r="B4724" s="158" t="s">
        <v>41</v>
      </c>
      <c r="C4724" s="158" t="s">
        <v>5995</v>
      </c>
      <c r="D4724" s="159">
        <v>45358.0</v>
      </c>
      <c r="E4724" s="157" t="s">
        <v>731</v>
      </c>
      <c r="F4724" s="160">
        <v>46294.37</v>
      </c>
      <c r="G4724" s="160">
        <f>'FACP$'!$F4724*0.16</f>
        <v>7407.0992</v>
      </c>
      <c r="H4724" s="160">
        <f t="shared" si="124"/>
        <v>53701.4692</v>
      </c>
      <c r="I4724" s="160"/>
      <c r="J4724" s="161"/>
      <c r="K4724" s="160"/>
      <c r="L4724" s="160">
        <f>+'FACP$'!$H4724-'FACP$'!$I4724-'FACP$'!$K4724</f>
        <v>53701.4692</v>
      </c>
      <c r="M4724" s="162" t="s">
        <v>121</v>
      </c>
      <c r="N4724" s="162" t="s">
        <v>554</v>
      </c>
      <c r="O4724" s="164">
        <v>45432.0</v>
      </c>
      <c r="P4724" s="164">
        <f t="array" ref="P4724">XLOOKUP('FACP$'!$B4724,'perfil de pagos'!$A$4:$A$46,'perfil de pagos'!$B$4:$B$46+'FACP$'!$D4724)</f>
        <v>45368</v>
      </c>
      <c r="Q4724" s="165">
        <f t="shared" si="128"/>
        <v>0</v>
      </c>
      <c r="R4724" s="167"/>
      <c r="S4724" s="167">
        <v>2993.0</v>
      </c>
      <c r="T4724" s="168">
        <f t="shared" si="3"/>
        <v>53701.4692</v>
      </c>
      <c r="U4724" s="168">
        <f t="shared" si="4"/>
        <v>0</v>
      </c>
      <c r="V4724" s="168">
        <f t="shared" si="5"/>
        <v>0</v>
      </c>
      <c r="W4724" s="168">
        <f t="shared" si="6"/>
        <v>0</v>
      </c>
      <c r="X4724" s="168">
        <f t="shared" si="7"/>
        <v>0</v>
      </c>
      <c r="Y4724" s="168">
        <f t="shared" si="8"/>
        <v>0</v>
      </c>
      <c r="Z4724" s="168">
        <f t="shared" si="9"/>
        <v>0</v>
      </c>
    </row>
    <row r="4725" ht="15.0" customHeight="1">
      <c r="A4725" s="316" t="s">
        <v>6000</v>
      </c>
      <c r="B4725" s="158" t="s">
        <v>35</v>
      </c>
      <c r="C4725" s="158" t="s">
        <v>5995</v>
      </c>
      <c r="D4725" s="159">
        <v>45358.0</v>
      </c>
      <c r="E4725" s="157" t="s">
        <v>731</v>
      </c>
      <c r="F4725" s="160">
        <v>22632.6</v>
      </c>
      <c r="G4725" s="160">
        <f>'FACP$'!$F4725*0.16</f>
        <v>3621.216</v>
      </c>
      <c r="H4725" s="160">
        <f t="shared" si="124"/>
        <v>26253.816</v>
      </c>
      <c r="I4725" s="160"/>
      <c r="J4725" s="161"/>
      <c r="K4725" s="160"/>
      <c r="L4725" s="160">
        <f>+'FACP$'!$H4725-'FACP$'!$I4725-'FACP$'!$K4725</f>
        <v>26253.816</v>
      </c>
      <c r="M4725" s="162" t="s">
        <v>276</v>
      </c>
      <c r="N4725" s="162" t="s">
        <v>554</v>
      </c>
      <c r="O4725" s="164">
        <v>45371.0</v>
      </c>
      <c r="P4725" s="164">
        <f t="array" ref="P4725">XLOOKUP('FACP$'!$B4725,'perfil de pagos'!$A$4:$A$46,'perfil de pagos'!$B$4:$B$46+'FACP$'!$D4725)</f>
        <v>45368</v>
      </c>
      <c r="Q4725" s="165">
        <f t="shared" si="128"/>
        <v>0</v>
      </c>
      <c r="R4725" s="167"/>
      <c r="S4725" s="167">
        <v>2871.0</v>
      </c>
      <c r="T4725" s="168">
        <f t="shared" si="3"/>
        <v>26253.816</v>
      </c>
      <c r="U4725" s="168">
        <f t="shared" si="4"/>
        <v>0</v>
      </c>
      <c r="V4725" s="168">
        <f t="shared" si="5"/>
        <v>0</v>
      </c>
      <c r="W4725" s="168">
        <f t="shared" si="6"/>
        <v>0</v>
      </c>
      <c r="X4725" s="168">
        <f t="shared" si="7"/>
        <v>0</v>
      </c>
      <c r="Y4725" s="168">
        <f t="shared" si="8"/>
        <v>0</v>
      </c>
      <c r="Z4725" s="168">
        <f t="shared" si="9"/>
        <v>0</v>
      </c>
    </row>
    <row r="4726" ht="15.0" customHeight="1">
      <c r="A4726" s="316" t="s">
        <v>6001</v>
      </c>
      <c r="B4726" s="158" t="s">
        <v>36</v>
      </c>
      <c r="C4726" s="158" t="s">
        <v>5995</v>
      </c>
      <c r="D4726" s="159">
        <v>45358.0</v>
      </c>
      <c r="E4726" s="157" t="s">
        <v>731</v>
      </c>
      <c r="F4726" s="160">
        <v>9316.82</v>
      </c>
      <c r="G4726" s="160">
        <f>'FACP$'!$F4726*0.16</f>
        <v>1490.6912</v>
      </c>
      <c r="H4726" s="160">
        <f t="shared" si="124"/>
        <v>10807.5112</v>
      </c>
      <c r="I4726" s="160"/>
      <c r="J4726" s="161"/>
      <c r="K4726" s="160"/>
      <c r="L4726" s="160">
        <f>+'FACP$'!$H4726-'FACP$'!$I4726-'FACP$'!$K4726</f>
        <v>10807.5112</v>
      </c>
      <c r="M4726" s="162" t="s">
        <v>574</v>
      </c>
      <c r="N4726" s="162" t="s">
        <v>554</v>
      </c>
      <c r="O4726" s="164">
        <v>45362.0</v>
      </c>
      <c r="P4726" s="164">
        <f t="array" ref="P4726">XLOOKUP('FACP$'!$B4726,'perfil de pagos'!$A$4:$A$46,'perfil de pagos'!$B$4:$B$46+'FACP$'!$D4726)</f>
        <v>45368</v>
      </c>
      <c r="Q4726" s="165">
        <f t="shared" si="128"/>
        <v>0</v>
      </c>
      <c r="R4726" s="167"/>
      <c r="S4726" s="167">
        <v>2852.0</v>
      </c>
      <c r="T4726" s="168">
        <f t="shared" si="3"/>
        <v>10807.5112</v>
      </c>
      <c r="U4726" s="168">
        <f t="shared" si="4"/>
        <v>0</v>
      </c>
      <c r="V4726" s="168">
        <f t="shared" si="5"/>
        <v>0</v>
      </c>
      <c r="W4726" s="168">
        <f t="shared" si="6"/>
        <v>0</v>
      </c>
      <c r="X4726" s="168">
        <f t="shared" si="7"/>
        <v>0</v>
      </c>
      <c r="Y4726" s="168">
        <f t="shared" si="8"/>
        <v>0</v>
      </c>
      <c r="Z4726" s="168">
        <f t="shared" si="9"/>
        <v>0</v>
      </c>
    </row>
    <row r="4727" ht="15.0" customHeight="1">
      <c r="A4727" s="316" t="s">
        <v>6002</v>
      </c>
      <c r="B4727" s="158" t="s">
        <v>38</v>
      </c>
      <c r="C4727" s="158" t="s">
        <v>5995</v>
      </c>
      <c r="D4727" s="159">
        <v>45358.0</v>
      </c>
      <c r="E4727" s="157" t="s">
        <v>731</v>
      </c>
      <c r="F4727" s="160">
        <v>5506.62</v>
      </c>
      <c r="G4727" s="160">
        <f>'FACP$'!$F4727*0.16</f>
        <v>881.0592</v>
      </c>
      <c r="H4727" s="160">
        <f t="shared" si="124"/>
        <v>6387.6792</v>
      </c>
      <c r="I4727" s="160"/>
      <c r="J4727" s="161"/>
      <c r="K4727" s="160"/>
      <c r="L4727" s="160">
        <f>+'FACP$'!$H4727-'FACP$'!$I4727-'FACP$'!$K4727</f>
        <v>6387.6792</v>
      </c>
      <c r="M4727" s="162" t="s">
        <v>4654</v>
      </c>
      <c r="N4727" s="162" t="s">
        <v>554</v>
      </c>
      <c r="O4727" s="164">
        <v>45406.0</v>
      </c>
      <c r="P4727" s="164">
        <f t="array" ref="P4727">XLOOKUP('FACP$'!$B4727,'perfil de pagos'!$A$4:$A$46,'perfil de pagos'!$B$4:$B$46+'FACP$'!$D4727)</f>
        <v>45388</v>
      </c>
      <c r="Q4727" s="165">
        <f t="shared" si="128"/>
        <v>0</v>
      </c>
      <c r="R4727" s="167"/>
      <c r="S4727" s="167">
        <v>2955.0</v>
      </c>
      <c r="T4727" s="168">
        <f t="shared" si="3"/>
        <v>6387.6792</v>
      </c>
      <c r="U4727" s="168">
        <f t="shared" si="4"/>
        <v>0</v>
      </c>
      <c r="V4727" s="168">
        <f t="shared" si="5"/>
        <v>0</v>
      </c>
      <c r="W4727" s="168">
        <f t="shared" si="6"/>
        <v>0</v>
      </c>
      <c r="X4727" s="168">
        <f t="shared" si="7"/>
        <v>0</v>
      </c>
      <c r="Y4727" s="168">
        <f t="shared" si="8"/>
        <v>0</v>
      </c>
      <c r="Z4727" s="168">
        <f t="shared" si="9"/>
        <v>0</v>
      </c>
    </row>
    <row r="4728" ht="15.0" customHeight="1">
      <c r="A4728" s="316" t="s">
        <v>6003</v>
      </c>
      <c r="B4728" s="158" t="s">
        <v>42</v>
      </c>
      <c r="C4728" s="158" t="s">
        <v>5995</v>
      </c>
      <c r="D4728" s="159">
        <v>45358.0</v>
      </c>
      <c r="E4728" s="157" t="s">
        <v>731</v>
      </c>
      <c r="F4728" s="160">
        <v>4562.96</v>
      </c>
      <c r="G4728" s="160">
        <f>'FACP$'!$F4728*0.16</f>
        <v>730.0736</v>
      </c>
      <c r="H4728" s="160">
        <f t="shared" si="124"/>
        <v>5293.0336</v>
      </c>
      <c r="I4728" s="160"/>
      <c r="J4728" s="161"/>
      <c r="K4728" s="160"/>
      <c r="L4728" s="160">
        <f>+'FACP$'!$H4728-'FACP$'!$I4728-'FACP$'!$K4728</f>
        <v>5293.0336</v>
      </c>
      <c r="M4728" s="162" t="s">
        <v>42</v>
      </c>
      <c r="N4728" s="162" t="s">
        <v>554</v>
      </c>
      <c r="O4728" s="164">
        <v>45428.0</v>
      </c>
      <c r="P4728" s="164">
        <f t="array" ref="P4728">XLOOKUP('FACP$'!$B4728,'perfil de pagos'!$A$4:$A$46,'perfil de pagos'!$B$4:$B$46+'FACP$'!$D4728)</f>
        <v>45368</v>
      </c>
      <c r="Q4728" s="165">
        <f t="shared" si="128"/>
        <v>0</v>
      </c>
      <c r="R4728" s="167"/>
      <c r="S4728" s="167">
        <v>2981.0</v>
      </c>
      <c r="T4728" s="168">
        <f t="shared" si="3"/>
        <v>5293.0336</v>
      </c>
      <c r="U4728" s="168">
        <f t="shared" si="4"/>
        <v>0</v>
      </c>
      <c r="V4728" s="168">
        <f t="shared" si="5"/>
        <v>0</v>
      </c>
      <c r="W4728" s="168">
        <f t="shared" si="6"/>
        <v>0</v>
      </c>
      <c r="X4728" s="168">
        <f t="shared" si="7"/>
        <v>0</v>
      </c>
      <c r="Y4728" s="168">
        <f t="shared" si="8"/>
        <v>0</v>
      </c>
      <c r="Z4728" s="168">
        <f t="shared" si="9"/>
        <v>0</v>
      </c>
    </row>
    <row r="4729" ht="15.0" customHeight="1">
      <c r="A4729" s="316" t="s">
        <v>6004</v>
      </c>
      <c r="B4729" s="158" t="s">
        <v>43</v>
      </c>
      <c r="C4729" s="158" t="s">
        <v>5995</v>
      </c>
      <c r="D4729" s="159">
        <v>45358.0</v>
      </c>
      <c r="E4729" s="157" t="s">
        <v>731</v>
      </c>
      <c r="F4729" s="160">
        <v>68267.66</v>
      </c>
      <c r="G4729" s="160">
        <f>'FACP$'!$F4729*0.16</f>
        <v>10922.8256</v>
      </c>
      <c r="H4729" s="160">
        <f t="shared" si="124"/>
        <v>79190.4856</v>
      </c>
      <c r="I4729" s="160"/>
      <c r="J4729" s="161">
        <f>'NCP$'!A299</f>
        <v>406</v>
      </c>
      <c r="K4729" s="160">
        <f>'NCP$'!H299</f>
        <v>22965.2392</v>
      </c>
      <c r="L4729" s="160">
        <f>+'FACP$'!$H4729-'FACP$'!$I4729-'FACP$'!$K4729</f>
        <v>56225.2464</v>
      </c>
      <c r="M4729" s="162" t="s">
        <v>43</v>
      </c>
      <c r="N4729" s="162" t="s">
        <v>554</v>
      </c>
      <c r="O4729" s="164">
        <v>45590.0</v>
      </c>
      <c r="P4729" s="164">
        <f t="array" ref="P4729">XLOOKUP('FACP$'!$B4729,'perfil de pagos'!$A$4:$A$46,'perfil de pagos'!$B$4:$B$46+'FACP$'!$D4729)</f>
        <v>45383</v>
      </c>
      <c r="Q4729" s="165">
        <f t="shared" si="128"/>
        <v>0</v>
      </c>
      <c r="R4729" s="167"/>
      <c r="S4729" s="167">
        <v>3350.0</v>
      </c>
      <c r="T4729" s="168">
        <f t="shared" si="3"/>
        <v>56225.2464</v>
      </c>
      <c r="U4729" s="168">
        <f t="shared" si="4"/>
        <v>0</v>
      </c>
      <c r="V4729" s="168">
        <f t="shared" si="5"/>
        <v>0</v>
      </c>
      <c r="W4729" s="168">
        <f t="shared" si="6"/>
        <v>0</v>
      </c>
      <c r="X4729" s="168">
        <f t="shared" si="7"/>
        <v>0</v>
      </c>
      <c r="Y4729" s="168">
        <f t="shared" si="8"/>
        <v>0</v>
      </c>
      <c r="Z4729" s="168">
        <f t="shared" si="9"/>
        <v>0</v>
      </c>
    </row>
    <row r="4730" ht="15.0" customHeight="1">
      <c r="A4730" s="316" t="s">
        <v>6005</v>
      </c>
      <c r="B4730" s="158" t="s">
        <v>16</v>
      </c>
      <c r="C4730" s="158" t="s">
        <v>5995</v>
      </c>
      <c r="D4730" s="159">
        <v>45359.0</v>
      </c>
      <c r="E4730" s="157" t="s">
        <v>731</v>
      </c>
      <c r="F4730" s="160">
        <v>15381.85</v>
      </c>
      <c r="G4730" s="160">
        <f>'FACP$'!$F4730*0.16</f>
        <v>2461.096</v>
      </c>
      <c r="H4730" s="160">
        <f t="shared" si="124"/>
        <v>17842.946</v>
      </c>
      <c r="I4730" s="160"/>
      <c r="J4730" s="161"/>
      <c r="K4730" s="160"/>
      <c r="L4730" s="160">
        <f>+'FACP$'!$H4730-'FACP$'!$I4730-'FACP$'!$K4730</f>
        <v>17842.946</v>
      </c>
      <c r="M4730" s="162" t="s">
        <v>985</v>
      </c>
      <c r="N4730" s="162" t="s">
        <v>554</v>
      </c>
      <c r="O4730" s="164">
        <v>45384.0</v>
      </c>
      <c r="P4730" s="164">
        <f t="array" ref="P4730">XLOOKUP('FACP$'!$B4730,'perfil de pagos'!$A$4:$A$46,'perfil de pagos'!$B$4:$B$46+'FACP$'!$D4730)</f>
        <v>45369</v>
      </c>
      <c r="Q4730" s="165">
        <f t="shared" si="128"/>
        <v>0</v>
      </c>
      <c r="R4730" s="167"/>
      <c r="S4730" s="167">
        <v>2905.0</v>
      </c>
      <c r="T4730" s="168">
        <f t="shared" si="3"/>
        <v>17842.946</v>
      </c>
      <c r="U4730" s="168">
        <f t="shared" si="4"/>
        <v>0</v>
      </c>
      <c r="V4730" s="168">
        <f t="shared" si="5"/>
        <v>0</v>
      </c>
      <c r="W4730" s="168">
        <f t="shared" si="6"/>
        <v>0</v>
      </c>
      <c r="X4730" s="168">
        <f t="shared" si="7"/>
        <v>0</v>
      </c>
      <c r="Y4730" s="168">
        <f t="shared" si="8"/>
        <v>0</v>
      </c>
      <c r="Z4730" s="168">
        <f t="shared" si="9"/>
        <v>0</v>
      </c>
    </row>
    <row r="4731" ht="15.0" customHeight="1">
      <c r="A4731" s="316" t="s">
        <v>6006</v>
      </c>
      <c r="B4731" s="158" t="s">
        <v>18</v>
      </c>
      <c r="C4731" s="158" t="s">
        <v>5995</v>
      </c>
      <c r="D4731" s="159">
        <v>45359.0</v>
      </c>
      <c r="E4731" s="157" t="s">
        <v>731</v>
      </c>
      <c r="F4731" s="160">
        <v>3529.28</v>
      </c>
      <c r="G4731" s="160">
        <f>'FACP$'!$F4731*0.16</f>
        <v>564.6848</v>
      </c>
      <c r="H4731" s="160">
        <f t="shared" si="124"/>
        <v>4093.9648</v>
      </c>
      <c r="I4731" s="160"/>
      <c r="J4731" s="161"/>
      <c r="K4731" s="160"/>
      <c r="L4731" s="160">
        <f>+'FACP$'!$H4731-'FACP$'!$I4731-'FACP$'!$K4731</f>
        <v>4093.9648</v>
      </c>
      <c r="M4731" s="162" t="s">
        <v>586</v>
      </c>
      <c r="N4731" s="162" t="s">
        <v>554</v>
      </c>
      <c r="O4731" s="164">
        <v>45390.0</v>
      </c>
      <c r="P4731" s="164">
        <f t="array" ref="P4731">XLOOKUP('FACP$'!$B4731,'perfil de pagos'!$A$4:$A$46,'perfil de pagos'!$B$4:$B$46+'FACP$'!$D4731)</f>
        <v>45369</v>
      </c>
      <c r="Q4731" s="165">
        <f t="shared" si="128"/>
        <v>0</v>
      </c>
      <c r="R4731" s="167"/>
      <c r="S4731" s="167">
        <v>2917.0</v>
      </c>
      <c r="T4731" s="168">
        <f t="shared" si="3"/>
        <v>4093.9648</v>
      </c>
      <c r="U4731" s="168">
        <f t="shared" si="4"/>
        <v>0</v>
      </c>
      <c r="V4731" s="168">
        <f t="shared" si="5"/>
        <v>0</v>
      </c>
      <c r="W4731" s="168">
        <f t="shared" si="6"/>
        <v>0</v>
      </c>
      <c r="X4731" s="168">
        <f t="shared" si="7"/>
        <v>0</v>
      </c>
      <c r="Y4731" s="168">
        <f t="shared" si="8"/>
        <v>0</v>
      </c>
      <c r="Z4731" s="168">
        <f t="shared" si="9"/>
        <v>0</v>
      </c>
    </row>
    <row r="4732" ht="15.0" customHeight="1">
      <c r="A4732" s="316" t="s">
        <v>6007</v>
      </c>
      <c r="B4732" s="158" t="s">
        <v>19</v>
      </c>
      <c r="C4732" s="158" t="s">
        <v>5995</v>
      </c>
      <c r="D4732" s="159">
        <v>45359.0</v>
      </c>
      <c r="E4732" s="157" t="s">
        <v>731</v>
      </c>
      <c r="F4732" s="160">
        <v>7350.74</v>
      </c>
      <c r="G4732" s="160">
        <f>'FACP$'!$F4732*0.16</f>
        <v>1176.1184</v>
      </c>
      <c r="H4732" s="160">
        <f t="shared" si="124"/>
        <v>8526.8584</v>
      </c>
      <c r="I4732" s="160"/>
      <c r="J4732" s="161"/>
      <c r="K4732" s="160"/>
      <c r="L4732" s="160">
        <f>+'FACP$'!$H4732-'FACP$'!$I4732-'FACP$'!$K4732</f>
        <v>8526.8584</v>
      </c>
      <c r="M4732" s="162" t="s">
        <v>732</v>
      </c>
      <c r="N4732" s="162" t="s">
        <v>554</v>
      </c>
      <c r="O4732" s="164">
        <v>45390.0</v>
      </c>
      <c r="P4732" s="164">
        <f t="array" ref="P4732">XLOOKUP('FACP$'!$B4732,'perfil de pagos'!$A$4:$A$46,'perfil de pagos'!$B$4:$B$46+'FACP$'!$D4732)</f>
        <v>45369</v>
      </c>
      <c r="Q4732" s="165">
        <f t="shared" si="128"/>
        <v>0</v>
      </c>
      <c r="R4732" s="167"/>
      <c r="S4732" s="167">
        <v>2917.0</v>
      </c>
      <c r="T4732" s="168">
        <f t="shared" si="3"/>
        <v>8526.8584</v>
      </c>
      <c r="U4732" s="168">
        <f t="shared" si="4"/>
        <v>0</v>
      </c>
      <c r="V4732" s="168">
        <f t="shared" si="5"/>
        <v>0</v>
      </c>
      <c r="W4732" s="168">
        <f t="shared" si="6"/>
        <v>0</v>
      </c>
      <c r="X4732" s="168">
        <f t="shared" si="7"/>
        <v>0</v>
      </c>
      <c r="Y4732" s="168">
        <f t="shared" si="8"/>
        <v>0</v>
      </c>
      <c r="Z4732" s="168">
        <f t="shared" si="9"/>
        <v>0</v>
      </c>
    </row>
    <row r="4733" ht="15.0" customHeight="1">
      <c r="A4733" s="316" t="s">
        <v>6008</v>
      </c>
      <c r="B4733" s="158" t="s">
        <v>22</v>
      </c>
      <c r="C4733" s="158" t="s">
        <v>5995</v>
      </c>
      <c r="D4733" s="159">
        <v>45359.0</v>
      </c>
      <c r="E4733" s="157" t="s">
        <v>731</v>
      </c>
      <c r="F4733" s="160">
        <v>11385.44</v>
      </c>
      <c r="G4733" s="160">
        <f>'FACP$'!$F4733*0.16</f>
        <v>1821.6704</v>
      </c>
      <c r="H4733" s="160">
        <f t="shared" si="124"/>
        <v>13207.1104</v>
      </c>
      <c r="I4733" s="160">
        <v>2761.68</v>
      </c>
      <c r="J4733" s="161"/>
      <c r="K4733" s="160"/>
      <c r="L4733" s="160">
        <f>+'FACP$'!$H4733-'FACP$'!$I4733-'FACP$'!$K4733</f>
        <v>10445.4304</v>
      </c>
      <c r="M4733" s="162" t="s">
        <v>220</v>
      </c>
      <c r="N4733" s="162" t="s">
        <v>554</v>
      </c>
      <c r="O4733" s="164">
        <v>45399.0</v>
      </c>
      <c r="P4733" s="164">
        <f t="array" ref="P4733">XLOOKUP('FACP$'!$B4733,'perfil de pagos'!$A$4:$A$46,'perfil de pagos'!$B$4:$B$46+'FACP$'!$D4733)</f>
        <v>45369</v>
      </c>
      <c r="Q4733" s="165">
        <f t="shared" si="128"/>
        <v>0</v>
      </c>
      <c r="R4733" s="220" t="s">
        <v>6009</v>
      </c>
      <c r="S4733" s="167">
        <v>2894.0</v>
      </c>
      <c r="T4733" s="168">
        <f t="shared" si="3"/>
        <v>10445.4304</v>
      </c>
      <c r="U4733" s="168">
        <f t="shared" si="4"/>
        <v>0</v>
      </c>
      <c r="V4733" s="168">
        <f t="shared" si="5"/>
        <v>0</v>
      </c>
      <c r="W4733" s="168">
        <f t="shared" si="6"/>
        <v>0</v>
      </c>
      <c r="X4733" s="168">
        <f t="shared" si="7"/>
        <v>0</v>
      </c>
      <c r="Y4733" s="168">
        <f t="shared" si="8"/>
        <v>0</v>
      </c>
      <c r="Z4733" s="168">
        <f t="shared" si="9"/>
        <v>0</v>
      </c>
    </row>
    <row r="4734" ht="15.0" customHeight="1">
      <c r="A4734" s="316" t="s">
        <v>6010</v>
      </c>
      <c r="B4734" s="158" t="s">
        <v>25</v>
      </c>
      <c r="C4734" s="158" t="s">
        <v>5995</v>
      </c>
      <c r="D4734" s="159">
        <v>45359.0</v>
      </c>
      <c r="E4734" s="157" t="s">
        <v>731</v>
      </c>
      <c r="F4734" s="160">
        <v>2413.76</v>
      </c>
      <c r="G4734" s="160">
        <f>'FACP$'!$F4734*0.16</f>
        <v>386.2016</v>
      </c>
      <c r="H4734" s="160">
        <f t="shared" si="124"/>
        <v>2799.9616</v>
      </c>
      <c r="I4734" s="160"/>
      <c r="J4734" s="161"/>
      <c r="K4734" s="160"/>
      <c r="L4734" s="160">
        <f>+'FACP$'!$H4734-'FACP$'!$I4734-'FACP$'!$K4734</f>
        <v>2799.9616</v>
      </c>
      <c r="M4734" s="162" t="s">
        <v>4388</v>
      </c>
      <c r="N4734" s="162" t="s">
        <v>554</v>
      </c>
      <c r="O4734" s="164">
        <v>45390.0</v>
      </c>
      <c r="P4734" s="164">
        <f t="array" ref="P4734">XLOOKUP('FACP$'!$B4734,'perfil de pagos'!$A$4:$A$46,'perfil de pagos'!$B$4:$B$46+'FACP$'!$D4734)</f>
        <v>45369</v>
      </c>
      <c r="Q4734" s="165">
        <f t="shared" si="128"/>
        <v>0</v>
      </c>
      <c r="R4734" s="167"/>
      <c r="S4734" s="167">
        <v>2918.0</v>
      </c>
      <c r="T4734" s="168">
        <f t="shared" si="3"/>
        <v>2799.9616</v>
      </c>
      <c r="U4734" s="168">
        <f t="shared" si="4"/>
        <v>0</v>
      </c>
      <c r="V4734" s="168">
        <f t="shared" si="5"/>
        <v>0</v>
      </c>
      <c r="W4734" s="168">
        <f t="shared" si="6"/>
        <v>0</v>
      </c>
      <c r="X4734" s="168">
        <f t="shared" si="7"/>
        <v>0</v>
      </c>
      <c r="Y4734" s="168">
        <f t="shared" si="8"/>
        <v>0</v>
      </c>
      <c r="Z4734" s="168">
        <f t="shared" si="9"/>
        <v>0</v>
      </c>
    </row>
    <row r="4735" ht="15.0" customHeight="1">
      <c r="A4735" s="316" t="s">
        <v>6011</v>
      </c>
      <c r="B4735" s="158" t="s">
        <v>37</v>
      </c>
      <c r="C4735" s="158" t="s">
        <v>5995</v>
      </c>
      <c r="D4735" s="159">
        <v>45359.0</v>
      </c>
      <c r="E4735" s="157" t="s">
        <v>731</v>
      </c>
      <c r="F4735" s="160">
        <v>69076.02</v>
      </c>
      <c r="G4735" s="160">
        <f>'FACP$'!$F4735*0.16</f>
        <v>11052.1632</v>
      </c>
      <c r="H4735" s="160">
        <f t="shared" si="124"/>
        <v>80128.1832</v>
      </c>
      <c r="I4735" s="160"/>
      <c r="J4735" s="161"/>
      <c r="K4735" s="160"/>
      <c r="L4735" s="160">
        <f>+'FACP$'!$H4735-'FACP$'!$I4735-'FACP$'!$K4735</f>
        <v>80128.1832</v>
      </c>
      <c r="M4735" s="162" t="s">
        <v>116</v>
      </c>
      <c r="N4735" s="162" t="s">
        <v>554</v>
      </c>
      <c r="O4735" s="164">
        <v>45390.0</v>
      </c>
      <c r="P4735" s="164">
        <f t="array" ref="P4735">XLOOKUP('FACP$'!$B4735,'perfil de pagos'!$A$4:$A$46,'perfil de pagos'!$B$4:$B$46+'FACP$'!$D4735)</f>
        <v>45369</v>
      </c>
      <c r="Q4735" s="165">
        <f t="shared" si="128"/>
        <v>0</v>
      </c>
      <c r="R4735" s="167"/>
      <c r="S4735" s="167">
        <v>2916.0</v>
      </c>
      <c r="T4735" s="168">
        <f t="shared" si="3"/>
        <v>80128.1832</v>
      </c>
      <c r="U4735" s="168">
        <f t="shared" si="4"/>
        <v>0</v>
      </c>
      <c r="V4735" s="168">
        <f t="shared" si="5"/>
        <v>0</v>
      </c>
      <c r="W4735" s="168">
        <f t="shared" si="6"/>
        <v>0</v>
      </c>
      <c r="X4735" s="168">
        <f t="shared" si="7"/>
        <v>0</v>
      </c>
      <c r="Y4735" s="168">
        <f t="shared" si="8"/>
        <v>0</v>
      </c>
      <c r="Z4735" s="168">
        <f t="shared" si="9"/>
        <v>0</v>
      </c>
    </row>
    <row r="4736" ht="15.0" customHeight="1">
      <c r="A4736" s="316" t="s">
        <v>6012</v>
      </c>
      <c r="B4736" s="158" t="s">
        <v>38</v>
      </c>
      <c r="C4736" s="158" t="s">
        <v>5995</v>
      </c>
      <c r="D4736" s="159">
        <v>45359.0</v>
      </c>
      <c r="E4736" s="157" t="s">
        <v>731</v>
      </c>
      <c r="F4736" s="160">
        <v>11026.08</v>
      </c>
      <c r="G4736" s="160">
        <f>'FACP$'!$F4736*0.16</f>
        <v>1764.1728</v>
      </c>
      <c r="H4736" s="160">
        <f t="shared" si="124"/>
        <v>12790.2528</v>
      </c>
      <c r="I4736" s="160"/>
      <c r="J4736" s="161"/>
      <c r="K4736" s="160"/>
      <c r="L4736" s="160">
        <f>+'FACP$'!$H4736-'FACP$'!$I4736-'FACP$'!$K4736</f>
        <v>12790.2528</v>
      </c>
      <c r="M4736" s="162" t="s">
        <v>642</v>
      </c>
      <c r="N4736" s="162" t="s">
        <v>554</v>
      </c>
      <c r="O4736" s="164">
        <v>45406.0</v>
      </c>
      <c r="P4736" s="164">
        <f t="array" ref="P4736">XLOOKUP('FACP$'!$B4736,'perfil de pagos'!$A$4:$A$46,'perfil de pagos'!$B$4:$B$46+'FACP$'!$D4736)</f>
        <v>45389</v>
      </c>
      <c r="Q4736" s="165">
        <f t="shared" si="128"/>
        <v>0</v>
      </c>
      <c r="R4736" s="167"/>
      <c r="S4736" s="167">
        <v>2955.0</v>
      </c>
      <c r="T4736" s="168">
        <f t="shared" si="3"/>
        <v>12790.2528</v>
      </c>
      <c r="U4736" s="168">
        <f t="shared" si="4"/>
        <v>0</v>
      </c>
      <c r="V4736" s="168">
        <f t="shared" si="5"/>
        <v>0</v>
      </c>
      <c r="W4736" s="168">
        <f t="shared" si="6"/>
        <v>0</v>
      </c>
      <c r="X4736" s="168">
        <f t="shared" si="7"/>
        <v>0</v>
      </c>
      <c r="Y4736" s="168">
        <f t="shared" si="8"/>
        <v>0</v>
      </c>
      <c r="Z4736" s="168">
        <f t="shared" si="9"/>
        <v>0</v>
      </c>
    </row>
    <row r="4737" ht="15.0" customHeight="1">
      <c r="A4737" s="316" t="s">
        <v>6013</v>
      </c>
      <c r="B4737" s="158" t="s">
        <v>38</v>
      </c>
      <c r="C4737" s="158" t="s">
        <v>5995</v>
      </c>
      <c r="D4737" s="159">
        <v>45359.0</v>
      </c>
      <c r="E4737" s="157" t="s">
        <v>731</v>
      </c>
      <c r="F4737" s="160">
        <v>27113.6</v>
      </c>
      <c r="G4737" s="160">
        <f>'FACP$'!$F4737*0.16</f>
        <v>4338.176</v>
      </c>
      <c r="H4737" s="160">
        <f t="shared" si="124"/>
        <v>31451.776</v>
      </c>
      <c r="I4737" s="160"/>
      <c r="J4737" s="161"/>
      <c r="K4737" s="160"/>
      <c r="L4737" s="160">
        <f>+'FACP$'!$H4737-'FACP$'!$I4737-'FACP$'!$K4737</f>
        <v>31451.776</v>
      </c>
      <c r="M4737" s="162" t="s">
        <v>145</v>
      </c>
      <c r="N4737" s="162" t="s">
        <v>554</v>
      </c>
      <c r="O4737" s="164">
        <v>45406.0</v>
      </c>
      <c r="P4737" s="164">
        <f t="array" ref="P4737">XLOOKUP('FACP$'!$B4737,'perfil de pagos'!$A$4:$A$46,'perfil de pagos'!$B$4:$B$46+'FACP$'!$D4737)</f>
        <v>45389</v>
      </c>
      <c r="Q4737" s="165">
        <f t="shared" si="128"/>
        <v>0</v>
      </c>
      <c r="R4737" s="167"/>
      <c r="S4737" s="167">
        <v>2955.0</v>
      </c>
      <c r="T4737" s="168">
        <f t="shared" si="3"/>
        <v>31451.776</v>
      </c>
      <c r="U4737" s="168">
        <f t="shared" si="4"/>
        <v>0</v>
      </c>
      <c r="V4737" s="168">
        <f t="shared" si="5"/>
        <v>0</v>
      </c>
      <c r="W4737" s="168">
        <f t="shared" si="6"/>
        <v>0</v>
      </c>
      <c r="X4737" s="168">
        <f t="shared" si="7"/>
        <v>0</v>
      </c>
      <c r="Y4737" s="168">
        <f t="shared" si="8"/>
        <v>0</v>
      </c>
      <c r="Z4737" s="168">
        <f t="shared" si="9"/>
        <v>0</v>
      </c>
    </row>
    <row r="4738" ht="15.0" customHeight="1">
      <c r="A4738" s="316" t="s">
        <v>6014</v>
      </c>
      <c r="B4738" s="158" t="s">
        <v>29</v>
      </c>
      <c r="C4738" s="158" t="s">
        <v>5995</v>
      </c>
      <c r="D4738" s="159">
        <v>45359.0</v>
      </c>
      <c r="E4738" s="157" t="s">
        <v>731</v>
      </c>
      <c r="F4738" s="160">
        <v>12607.04</v>
      </c>
      <c r="G4738" s="160">
        <f>'FACP$'!$F4738*0.16</f>
        <v>2017.1264</v>
      </c>
      <c r="H4738" s="160">
        <f t="shared" si="124"/>
        <v>14624.1664</v>
      </c>
      <c r="I4738" s="160"/>
      <c r="J4738" s="161"/>
      <c r="K4738" s="160"/>
      <c r="L4738" s="160">
        <f>+'FACP$'!$H4738-'FACP$'!$I4738-'FACP$'!$K4738</f>
        <v>14624.1664</v>
      </c>
      <c r="M4738" s="162" t="s">
        <v>130</v>
      </c>
      <c r="N4738" s="162" t="s">
        <v>554</v>
      </c>
      <c r="O4738" s="164">
        <v>45376.0</v>
      </c>
      <c r="P4738" s="164">
        <f t="array" ref="P4738">XLOOKUP('FACP$'!$B4738,'perfil de pagos'!$A$4:$A$46,'perfil de pagos'!$B$4:$B$46+'FACP$'!$D4738)</f>
        <v>45369</v>
      </c>
      <c r="Q4738" s="165">
        <f t="shared" si="128"/>
        <v>0</v>
      </c>
      <c r="R4738" s="167"/>
      <c r="S4738" s="167">
        <v>2884.0</v>
      </c>
      <c r="T4738" s="168">
        <f t="shared" si="3"/>
        <v>14624.1664</v>
      </c>
      <c r="U4738" s="168">
        <f t="shared" si="4"/>
        <v>0</v>
      </c>
      <c r="V4738" s="168">
        <f t="shared" si="5"/>
        <v>0</v>
      </c>
      <c r="W4738" s="168">
        <f t="shared" si="6"/>
        <v>0</v>
      </c>
      <c r="X4738" s="168">
        <f t="shared" si="7"/>
        <v>0</v>
      </c>
      <c r="Y4738" s="168">
        <f t="shared" si="8"/>
        <v>0</v>
      </c>
      <c r="Z4738" s="168">
        <f t="shared" si="9"/>
        <v>0</v>
      </c>
    </row>
    <row r="4739" ht="15.0" customHeight="1">
      <c r="A4739" s="316" t="s">
        <v>6015</v>
      </c>
      <c r="B4739" s="158" t="s">
        <v>43</v>
      </c>
      <c r="C4739" s="158" t="s">
        <v>6016</v>
      </c>
      <c r="D4739" s="159">
        <v>45359.0</v>
      </c>
      <c r="E4739" s="157" t="s">
        <v>731</v>
      </c>
      <c r="F4739" s="160">
        <v>73298.54</v>
      </c>
      <c r="G4739" s="160">
        <f>'FACP$'!$F4739*0.16</f>
        <v>11727.7664</v>
      </c>
      <c r="H4739" s="160">
        <f t="shared" si="124"/>
        <v>85026.3064</v>
      </c>
      <c r="I4739" s="160"/>
      <c r="J4739" s="161">
        <f>'NCP$'!A300</f>
        <v>407</v>
      </c>
      <c r="K4739" s="160">
        <f>'NCP$'!H300</f>
        <v>21256.5824</v>
      </c>
      <c r="L4739" s="160">
        <f>+'FACP$'!$H4739-'FACP$'!$I4739-'FACP$'!$K4739</f>
        <v>63769.724</v>
      </c>
      <c r="M4739" s="162" t="s">
        <v>43</v>
      </c>
      <c r="N4739" s="162" t="s">
        <v>554</v>
      </c>
      <c r="O4739" s="164">
        <v>45590.0</v>
      </c>
      <c r="P4739" s="164">
        <f t="array" ref="P4739">XLOOKUP('FACP$'!$B4739,'perfil de pagos'!$A$4:$A$46,'perfil de pagos'!$B$4:$B$46+'FACP$'!$D4739)</f>
        <v>45384</v>
      </c>
      <c r="Q4739" s="165">
        <f t="shared" si="128"/>
        <v>0</v>
      </c>
      <c r="R4739" s="167"/>
      <c r="S4739" s="167">
        <v>3349.0</v>
      </c>
      <c r="T4739" s="168">
        <f t="shared" si="3"/>
        <v>63769.724</v>
      </c>
      <c r="U4739" s="168">
        <f t="shared" si="4"/>
        <v>0</v>
      </c>
      <c r="V4739" s="168">
        <f t="shared" si="5"/>
        <v>0</v>
      </c>
      <c r="W4739" s="168">
        <f t="shared" si="6"/>
        <v>0</v>
      </c>
      <c r="X4739" s="168">
        <f t="shared" si="7"/>
        <v>0</v>
      </c>
      <c r="Y4739" s="168">
        <f t="shared" si="8"/>
        <v>0</v>
      </c>
      <c r="Z4739" s="168">
        <f t="shared" si="9"/>
        <v>0</v>
      </c>
    </row>
    <row r="4740" ht="15.0" customHeight="1">
      <c r="A4740" s="316" t="s">
        <v>6017</v>
      </c>
      <c r="B4740" s="158" t="s">
        <v>27</v>
      </c>
      <c r="C4740" s="158" t="s">
        <v>5997</v>
      </c>
      <c r="D4740" s="159">
        <v>45359.0</v>
      </c>
      <c r="E4740" s="157" t="s">
        <v>731</v>
      </c>
      <c r="F4740" s="160">
        <v>14273.28</v>
      </c>
      <c r="G4740" s="160">
        <f>'FACP$'!$F4740*0.16</f>
        <v>2283.7248</v>
      </c>
      <c r="H4740" s="160">
        <f t="shared" si="124"/>
        <v>16557.0048</v>
      </c>
      <c r="I4740" s="160"/>
      <c r="J4740" s="161"/>
      <c r="K4740" s="160"/>
      <c r="L4740" s="312">
        <f>+'FACP$'!$H4740-'FACP$'!$I4740-'FACP$'!$K4740</f>
        <v>16557.0048</v>
      </c>
      <c r="M4740" s="162" t="s">
        <v>151</v>
      </c>
      <c r="N4740" s="162" t="s">
        <v>554</v>
      </c>
      <c r="O4740" s="164">
        <v>45376.0</v>
      </c>
      <c r="P4740" s="164">
        <f t="array" ref="P4740">XLOOKUP('FACP$'!$B4740,'perfil de pagos'!$A$4:$A$46,'perfil de pagos'!$B$4:$B$46+'FACP$'!$D4740)</f>
        <v>45389</v>
      </c>
      <c r="Q4740" s="165">
        <f t="shared" si="128"/>
        <v>0</v>
      </c>
      <c r="R4740" s="167"/>
      <c r="S4740" s="167">
        <v>2886.0</v>
      </c>
      <c r="T4740" s="168">
        <f t="shared" si="3"/>
        <v>16557.0048</v>
      </c>
      <c r="U4740" s="168">
        <f t="shared" si="4"/>
        <v>0</v>
      </c>
      <c r="V4740" s="168">
        <f t="shared" si="5"/>
        <v>0</v>
      </c>
      <c r="W4740" s="168">
        <f t="shared" si="6"/>
        <v>0</v>
      </c>
      <c r="X4740" s="168">
        <f t="shared" si="7"/>
        <v>0</v>
      </c>
      <c r="Y4740" s="168">
        <f t="shared" si="8"/>
        <v>0</v>
      </c>
      <c r="Z4740" s="168">
        <f t="shared" si="9"/>
        <v>0</v>
      </c>
    </row>
    <row r="4741" ht="15.0" customHeight="1">
      <c r="A4741" s="157" t="s">
        <v>6018</v>
      </c>
      <c r="B4741" s="158" t="s">
        <v>27</v>
      </c>
      <c r="C4741" s="158" t="s">
        <v>5997</v>
      </c>
      <c r="D4741" s="159">
        <v>45359.0</v>
      </c>
      <c r="E4741" s="157" t="s">
        <v>731</v>
      </c>
      <c r="F4741" s="160">
        <v>1020.38</v>
      </c>
      <c r="G4741" s="160">
        <f>'FACP$'!$F4741*0.16</f>
        <v>163.2608</v>
      </c>
      <c r="H4741" s="160">
        <f t="shared" si="124"/>
        <v>1183.6408</v>
      </c>
      <c r="I4741" s="160"/>
      <c r="J4741" s="161"/>
      <c r="K4741" s="160"/>
      <c r="L4741" s="160">
        <f>+'FACP$'!$H4741-'FACP$'!$I4741-'FACP$'!$K4741</f>
        <v>1183.6408</v>
      </c>
      <c r="M4741" s="162" t="s">
        <v>151</v>
      </c>
      <c r="N4741" s="162" t="s">
        <v>554</v>
      </c>
      <c r="O4741" s="164">
        <v>45481.0</v>
      </c>
      <c r="P4741" s="164">
        <f t="array" ref="P4741">XLOOKUP('FACP$'!$B4741,'perfil de pagos'!$A$4:$A$46,'perfil de pagos'!$B$4:$B$46+'FACP$'!$D4741)</f>
        <v>45389</v>
      </c>
      <c r="Q4741" s="165">
        <f t="shared" si="128"/>
        <v>0</v>
      </c>
      <c r="R4741" s="167"/>
      <c r="S4741" s="167">
        <v>3136.0</v>
      </c>
      <c r="T4741" s="168">
        <f t="shared" si="3"/>
        <v>1183.6408</v>
      </c>
      <c r="U4741" s="168">
        <f t="shared" si="4"/>
        <v>0</v>
      </c>
      <c r="V4741" s="168">
        <f t="shared" si="5"/>
        <v>0</v>
      </c>
      <c r="W4741" s="168">
        <f t="shared" si="6"/>
        <v>0</v>
      </c>
      <c r="X4741" s="168">
        <f t="shared" si="7"/>
        <v>0</v>
      </c>
      <c r="Y4741" s="168">
        <f t="shared" si="8"/>
        <v>0</v>
      </c>
      <c r="Z4741" s="168">
        <f t="shared" si="9"/>
        <v>0</v>
      </c>
    </row>
    <row r="4742" ht="15.0" customHeight="1">
      <c r="A4742" s="157" t="s">
        <v>6019</v>
      </c>
      <c r="B4742" s="158" t="s">
        <v>16</v>
      </c>
      <c r="C4742" s="158" t="s">
        <v>5966</v>
      </c>
      <c r="D4742" s="159">
        <v>45359.0</v>
      </c>
      <c r="E4742" s="157" t="s">
        <v>731</v>
      </c>
      <c r="F4742" s="160">
        <v>287579.05</v>
      </c>
      <c r="G4742" s="160">
        <f>'FACP$'!$F4742*0.16</f>
        <v>46012.648</v>
      </c>
      <c r="H4742" s="160">
        <f t="shared" si="124"/>
        <v>333591.698</v>
      </c>
      <c r="I4742" s="160"/>
      <c r="J4742" s="161"/>
      <c r="K4742" s="160"/>
      <c r="L4742" s="160">
        <f>+'FACP$'!$H4742-'FACP$'!$I4742-'FACP$'!$K4742</f>
        <v>333591.698</v>
      </c>
      <c r="M4742" s="162" t="s">
        <v>985</v>
      </c>
      <c r="N4742" s="162" t="s">
        <v>554</v>
      </c>
      <c r="O4742" s="164">
        <v>45372.0</v>
      </c>
      <c r="P4742" s="164">
        <f t="array" ref="P4742">XLOOKUP('FACP$'!$B4742,'perfil de pagos'!$A$4:$A$46,'perfil de pagos'!$B$4:$B$46+'FACP$'!$D4742)</f>
        <v>45369</v>
      </c>
      <c r="Q4742" s="165">
        <f t="shared" si="128"/>
        <v>0</v>
      </c>
      <c r="R4742" s="167"/>
      <c r="S4742" s="167">
        <v>2874.0</v>
      </c>
      <c r="T4742" s="168">
        <f t="shared" si="3"/>
        <v>333591.698</v>
      </c>
      <c r="U4742" s="168">
        <f t="shared" si="4"/>
        <v>0</v>
      </c>
      <c r="V4742" s="168">
        <f t="shared" si="5"/>
        <v>0</v>
      </c>
      <c r="W4742" s="168">
        <f t="shared" si="6"/>
        <v>0</v>
      </c>
      <c r="X4742" s="168">
        <f t="shared" si="7"/>
        <v>0</v>
      </c>
      <c r="Y4742" s="168">
        <f t="shared" si="8"/>
        <v>0</v>
      </c>
      <c r="Z4742" s="168">
        <f t="shared" si="9"/>
        <v>0</v>
      </c>
    </row>
    <row r="4743" ht="15.0" customHeight="1">
      <c r="A4743" s="157" t="s">
        <v>6020</v>
      </c>
      <c r="B4743" s="158" t="s">
        <v>16</v>
      </c>
      <c r="C4743" s="158" t="s">
        <v>5969</v>
      </c>
      <c r="D4743" s="159">
        <v>45359.0</v>
      </c>
      <c r="E4743" s="157" t="s">
        <v>731</v>
      </c>
      <c r="F4743" s="160">
        <v>347669.54</v>
      </c>
      <c r="G4743" s="160">
        <f>'FACP$'!$F4743*0.16</f>
        <v>55627.1264</v>
      </c>
      <c r="H4743" s="160">
        <f t="shared" si="124"/>
        <v>403296.6664</v>
      </c>
      <c r="I4743" s="160"/>
      <c r="J4743" s="161"/>
      <c r="K4743" s="160"/>
      <c r="L4743" s="160">
        <f>+'FACP$'!$H4743-'FACP$'!$I4743-'FACP$'!$K4743</f>
        <v>403296.6664</v>
      </c>
      <c r="M4743" s="162" t="s">
        <v>985</v>
      </c>
      <c r="N4743" s="162" t="s">
        <v>554</v>
      </c>
      <c r="O4743" s="164">
        <v>45372.0</v>
      </c>
      <c r="P4743" s="164">
        <f t="array" ref="P4743">XLOOKUP('FACP$'!$B4743,'perfil de pagos'!$A$4:$A$46,'perfil de pagos'!$B$4:$B$46+'FACP$'!$D4743)</f>
        <v>45369</v>
      </c>
      <c r="Q4743" s="165">
        <f t="shared" si="128"/>
        <v>0</v>
      </c>
      <c r="R4743" s="167"/>
      <c r="S4743" s="167">
        <v>2874.0</v>
      </c>
      <c r="T4743" s="168">
        <f t="shared" si="3"/>
        <v>403296.6664</v>
      </c>
      <c r="U4743" s="168">
        <f t="shared" si="4"/>
        <v>0</v>
      </c>
      <c r="V4743" s="168">
        <f t="shared" si="5"/>
        <v>0</v>
      </c>
      <c r="W4743" s="168">
        <f t="shared" si="6"/>
        <v>0</v>
      </c>
      <c r="X4743" s="168">
        <f t="shared" si="7"/>
        <v>0</v>
      </c>
      <c r="Y4743" s="168">
        <f t="shared" si="8"/>
        <v>0</v>
      </c>
      <c r="Z4743" s="168">
        <f t="shared" si="9"/>
        <v>0</v>
      </c>
    </row>
    <row r="4744" ht="15.0" customHeight="1">
      <c r="A4744" s="157" t="s">
        <v>6021</v>
      </c>
      <c r="B4744" s="158" t="s">
        <v>18</v>
      </c>
      <c r="C4744" s="158" t="s">
        <v>5966</v>
      </c>
      <c r="D4744" s="159">
        <v>45359.0</v>
      </c>
      <c r="E4744" s="157" t="s">
        <v>731</v>
      </c>
      <c r="F4744" s="160">
        <v>81797.24</v>
      </c>
      <c r="G4744" s="160">
        <f>'FACP$'!$F4744*0.16</f>
        <v>13087.5584</v>
      </c>
      <c r="H4744" s="160">
        <f t="shared" si="124"/>
        <v>94884.7984</v>
      </c>
      <c r="I4744" s="160"/>
      <c r="J4744" s="161"/>
      <c r="K4744" s="160"/>
      <c r="L4744" s="160">
        <f>+'FACP$'!$H4744-'FACP$'!$I4744-'FACP$'!$K4744</f>
        <v>94884.7984</v>
      </c>
      <c r="M4744" s="162" t="s">
        <v>586</v>
      </c>
      <c r="N4744" s="162" t="s">
        <v>554</v>
      </c>
      <c r="O4744" s="164">
        <v>45390.0</v>
      </c>
      <c r="P4744" s="164">
        <f t="array" ref="P4744">XLOOKUP('FACP$'!$B4744,'perfil de pagos'!$A$4:$A$46,'perfil de pagos'!$B$4:$B$46+'FACP$'!$D4744)</f>
        <v>45369</v>
      </c>
      <c r="Q4744" s="165">
        <f t="shared" si="128"/>
        <v>0</v>
      </c>
      <c r="R4744" s="167"/>
      <c r="S4744" s="167">
        <v>2917.0</v>
      </c>
      <c r="T4744" s="168">
        <f t="shared" si="3"/>
        <v>94884.7984</v>
      </c>
      <c r="U4744" s="168">
        <f t="shared" si="4"/>
        <v>0</v>
      </c>
      <c r="V4744" s="168">
        <f t="shared" si="5"/>
        <v>0</v>
      </c>
      <c r="W4744" s="168">
        <f t="shared" si="6"/>
        <v>0</v>
      </c>
      <c r="X4744" s="168">
        <f t="shared" si="7"/>
        <v>0</v>
      </c>
      <c r="Y4744" s="168">
        <f t="shared" si="8"/>
        <v>0</v>
      </c>
      <c r="Z4744" s="168">
        <f t="shared" si="9"/>
        <v>0</v>
      </c>
    </row>
    <row r="4745" ht="15.0" customHeight="1">
      <c r="A4745" s="157" t="s">
        <v>6022</v>
      </c>
      <c r="B4745" s="158" t="s">
        <v>22</v>
      </c>
      <c r="C4745" s="158" t="s">
        <v>5966</v>
      </c>
      <c r="D4745" s="159">
        <v>45359.0</v>
      </c>
      <c r="E4745" s="157" t="s">
        <v>731</v>
      </c>
      <c r="F4745" s="160">
        <v>281885.5</v>
      </c>
      <c r="G4745" s="160">
        <f>'FACP$'!$F4745*0.16</f>
        <v>45101.68</v>
      </c>
      <c r="H4745" s="160">
        <f t="shared" si="124"/>
        <v>326987.18</v>
      </c>
      <c r="I4745" s="160"/>
      <c r="J4745" s="161"/>
      <c r="K4745" s="160"/>
      <c r="L4745" s="160">
        <f>+'FACP$'!$H4745-'FACP$'!$I4745-'FACP$'!$K4745</f>
        <v>326987.18</v>
      </c>
      <c r="M4745" s="162" t="s">
        <v>220</v>
      </c>
      <c r="N4745" s="162" t="s">
        <v>554</v>
      </c>
      <c r="O4745" s="164">
        <v>45399.0</v>
      </c>
      <c r="P4745" s="164">
        <f t="array" ref="P4745">XLOOKUP('FACP$'!$B4745,'perfil de pagos'!$A$4:$A$46,'perfil de pagos'!$B$4:$B$46+'FACP$'!$D4745)</f>
        <v>45369</v>
      </c>
      <c r="Q4745" s="165">
        <f t="shared" si="128"/>
        <v>0</v>
      </c>
      <c r="R4745" s="167"/>
      <c r="S4745" s="167"/>
      <c r="T4745" s="168">
        <f t="shared" si="3"/>
        <v>326987.18</v>
      </c>
      <c r="U4745" s="168">
        <f t="shared" si="4"/>
        <v>0</v>
      </c>
      <c r="V4745" s="168">
        <f t="shared" si="5"/>
        <v>0</v>
      </c>
      <c r="W4745" s="168">
        <f t="shared" si="6"/>
        <v>0</v>
      </c>
      <c r="X4745" s="168">
        <f t="shared" si="7"/>
        <v>0</v>
      </c>
      <c r="Y4745" s="168">
        <f t="shared" si="8"/>
        <v>0</v>
      </c>
      <c r="Z4745" s="168">
        <f t="shared" si="9"/>
        <v>0</v>
      </c>
    </row>
    <row r="4746" ht="15.0" customHeight="1">
      <c r="A4746" s="157" t="s">
        <v>6023</v>
      </c>
      <c r="B4746" s="158" t="s">
        <v>19</v>
      </c>
      <c r="C4746" s="158" t="s">
        <v>5966</v>
      </c>
      <c r="D4746" s="159">
        <v>45359.0</v>
      </c>
      <c r="E4746" s="157" t="s">
        <v>731</v>
      </c>
      <c r="F4746" s="160">
        <v>181685.86</v>
      </c>
      <c r="G4746" s="160">
        <f>'FACP$'!$F4746*0.16</f>
        <v>29069.7376</v>
      </c>
      <c r="H4746" s="160">
        <f t="shared" si="124"/>
        <v>210755.5976</v>
      </c>
      <c r="I4746" s="160"/>
      <c r="J4746" s="161"/>
      <c r="K4746" s="160"/>
      <c r="L4746" s="160">
        <f>+'FACP$'!$H4746-'FACP$'!$I4746-'FACP$'!$K4746</f>
        <v>210755.5976</v>
      </c>
      <c r="M4746" s="162" t="s">
        <v>732</v>
      </c>
      <c r="N4746" s="162" t="s">
        <v>554</v>
      </c>
      <c r="O4746" s="164">
        <v>45390.0</v>
      </c>
      <c r="P4746" s="164">
        <f t="array" ref="P4746">XLOOKUP('FACP$'!$B4746,'perfil de pagos'!$A$4:$A$46,'perfil de pagos'!$B$4:$B$46+'FACP$'!$D4746)</f>
        <v>45369</v>
      </c>
      <c r="Q4746" s="165">
        <f t="shared" si="128"/>
        <v>0</v>
      </c>
      <c r="R4746" s="167"/>
      <c r="S4746" s="167">
        <v>2917.0</v>
      </c>
      <c r="T4746" s="168">
        <f t="shared" si="3"/>
        <v>210755.5976</v>
      </c>
      <c r="U4746" s="168">
        <f t="shared" si="4"/>
        <v>0</v>
      </c>
      <c r="V4746" s="168">
        <f t="shared" si="5"/>
        <v>0</v>
      </c>
      <c r="W4746" s="168">
        <f t="shared" si="6"/>
        <v>0</v>
      </c>
      <c r="X4746" s="168">
        <f t="shared" si="7"/>
        <v>0</v>
      </c>
      <c r="Y4746" s="168">
        <f t="shared" si="8"/>
        <v>0</v>
      </c>
      <c r="Z4746" s="168">
        <f t="shared" si="9"/>
        <v>0</v>
      </c>
    </row>
    <row r="4747" ht="15.0" customHeight="1">
      <c r="A4747" s="157" t="s">
        <v>6024</v>
      </c>
      <c r="B4747" s="158" t="s">
        <v>25</v>
      </c>
      <c r="C4747" s="158" t="s">
        <v>5966</v>
      </c>
      <c r="D4747" s="159">
        <v>45359.0</v>
      </c>
      <c r="E4747" s="157" t="s">
        <v>731</v>
      </c>
      <c r="F4747" s="160">
        <v>68428.38</v>
      </c>
      <c r="G4747" s="160">
        <f>'FACP$'!$F4747*0.16</f>
        <v>10948.5408</v>
      </c>
      <c r="H4747" s="160">
        <f t="shared" si="124"/>
        <v>79376.9208</v>
      </c>
      <c r="I4747" s="160"/>
      <c r="J4747" s="161"/>
      <c r="K4747" s="160"/>
      <c r="L4747" s="160">
        <f>+'FACP$'!$H4747-'FACP$'!$I4747-'FACP$'!$K4747</f>
        <v>79376.9208</v>
      </c>
      <c r="M4747" s="162" t="s">
        <v>4388</v>
      </c>
      <c r="N4747" s="162" t="s">
        <v>554</v>
      </c>
      <c r="O4747" s="164">
        <v>45390.0</v>
      </c>
      <c r="P4747" s="164">
        <f t="array" ref="P4747">XLOOKUP('FACP$'!$B4747,'perfil de pagos'!$A$4:$A$46,'perfil de pagos'!$B$4:$B$46+'FACP$'!$D4747)</f>
        <v>45369</v>
      </c>
      <c r="Q4747" s="165">
        <f t="shared" si="128"/>
        <v>0</v>
      </c>
      <c r="R4747" s="167"/>
      <c r="S4747" s="167">
        <v>2918.0</v>
      </c>
      <c r="T4747" s="168">
        <f t="shared" si="3"/>
        <v>79376.9208</v>
      </c>
      <c r="U4747" s="168">
        <f t="shared" si="4"/>
        <v>0</v>
      </c>
      <c r="V4747" s="168">
        <f t="shared" si="5"/>
        <v>0</v>
      </c>
      <c r="W4747" s="168">
        <f t="shared" si="6"/>
        <v>0</v>
      </c>
      <c r="X4747" s="168">
        <f t="shared" si="7"/>
        <v>0</v>
      </c>
      <c r="Y4747" s="168">
        <f t="shared" si="8"/>
        <v>0</v>
      </c>
      <c r="Z4747" s="168">
        <f t="shared" si="9"/>
        <v>0</v>
      </c>
    </row>
    <row r="4748" ht="15.0" customHeight="1">
      <c r="A4748" s="157" t="s">
        <v>6025</v>
      </c>
      <c r="B4748" s="158" t="s">
        <v>37</v>
      </c>
      <c r="C4748" s="158" t="s">
        <v>5966</v>
      </c>
      <c r="D4748" s="159">
        <v>45359.0</v>
      </c>
      <c r="E4748" s="157" t="s">
        <v>731</v>
      </c>
      <c r="F4748" s="160">
        <v>1668891.39</v>
      </c>
      <c r="G4748" s="160">
        <f>'FACP$'!$F4748*0.16</f>
        <v>267022.6224</v>
      </c>
      <c r="H4748" s="160">
        <f t="shared" si="124"/>
        <v>1935914.012</v>
      </c>
      <c r="I4748" s="160"/>
      <c r="J4748" s="161"/>
      <c r="K4748" s="160"/>
      <c r="L4748" s="160">
        <f>+'FACP$'!$H4748-'FACP$'!$I4748-'FACP$'!$K4748</f>
        <v>1935914.012</v>
      </c>
      <c r="M4748" s="162" t="s">
        <v>116</v>
      </c>
      <c r="N4748" s="162" t="s">
        <v>554</v>
      </c>
      <c r="O4748" s="164">
        <v>45376.0</v>
      </c>
      <c r="P4748" s="164">
        <f t="array" ref="P4748">XLOOKUP('FACP$'!$B4748,'perfil de pagos'!$A$4:$A$46,'perfil de pagos'!$B$4:$B$46+'FACP$'!$D4748)</f>
        <v>45369</v>
      </c>
      <c r="Q4748" s="165">
        <f t="shared" si="128"/>
        <v>0</v>
      </c>
      <c r="R4748" s="167"/>
      <c r="S4748" s="167">
        <v>2887.0</v>
      </c>
      <c r="T4748" s="168">
        <f t="shared" si="3"/>
        <v>1935914.012</v>
      </c>
      <c r="U4748" s="168">
        <f t="shared" si="4"/>
        <v>0</v>
      </c>
      <c r="V4748" s="168">
        <f t="shared" si="5"/>
        <v>0</v>
      </c>
      <c r="W4748" s="168">
        <f t="shared" si="6"/>
        <v>0</v>
      </c>
      <c r="X4748" s="168">
        <f t="shared" si="7"/>
        <v>0</v>
      </c>
      <c r="Y4748" s="168">
        <f t="shared" si="8"/>
        <v>0</v>
      </c>
      <c r="Z4748" s="168">
        <f t="shared" si="9"/>
        <v>0</v>
      </c>
    </row>
    <row r="4749" ht="15.0" customHeight="1">
      <c r="A4749" s="157" t="s">
        <v>6026</v>
      </c>
      <c r="B4749" s="158" t="s">
        <v>29</v>
      </c>
      <c r="C4749" s="158" t="s">
        <v>5966</v>
      </c>
      <c r="D4749" s="159">
        <v>45359.0</v>
      </c>
      <c r="E4749" s="157" t="s">
        <v>731</v>
      </c>
      <c r="F4749" s="160">
        <v>322132.78</v>
      </c>
      <c r="G4749" s="160">
        <f>'FACP$'!$F4749*0.16</f>
        <v>51541.2448</v>
      </c>
      <c r="H4749" s="160">
        <f t="shared" si="124"/>
        <v>373674.0248</v>
      </c>
      <c r="I4749" s="160"/>
      <c r="J4749" s="161"/>
      <c r="K4749" s="160"/>
      <c r="L4749" s="160">
        <f>+'FACP$'!$H4749-'FACP$'!$I4749-'FACP$'!$K4749</f>
        <v>373674.0248</v>
      </c>
      <c r="M4749" s="162" t="s">
        <v>130</v>
      </c>
      <c r="N4749" s="162" t="s">
        <v>554</v>
      </c>
      <c r="O4749" s="164">
        <v>45376.0</v>
      </c>
      <c r="P4749" s="164">
        <f t="array" ref="P4749">XLOOKUP('FACP$'!$B4749,'perfil de pagos'!$A$4:$A$46,'perfil de pagos'!$B$4:$B$46+'FACP$'!$D4749)</f>
        <v>45369</v>
      </c>
      <c r="Q4749" s="165">
        <f t="shared" si="128"/>
        <v>0</v>
      </c>
      <c r="R4749" s="167"/>
      <c r="S4749" s="167">
        <v>2884.0</v>
      </c>
      <c r="T4749" s="168">
        <f t="shared" si="3"/>
        <v>373674.0248</v>
      </c>
      <c r="U4749" s="168">
        <f t="shared" si="4"/>
        <v>0</v>
      </c>
      <c r="V4749" s="168">
        <f t="shared" si="5"/>
        <v>0</v>
      </c>
      <c r="W4749" s="168">
        <f t="shared" si="6"/>
        <v>0</v>
      </c>
      <c r="X4749" s="168">
        <f t="shared" si="7"/>
        <v>0</v>
      </c>
      <c r="Y4749" s="168">
        <f t="shared" si="8"/>
        <v>0</v>
      </c>
      <c r="Z4749" s="168">
        <f t="shared" si="9"/>
        <v>0</v>
      </c>
    </row>
    <row r="4750" ht="15.0" customHeight="1">
      <c r="A4750" s="157" t="s">
        <v>6027</v>
      </c>
      <c r="B4750" s="158" t="s">
        <v>29</v>
      </c>
      <c r="C4750" s="158" t="s">
        <v>5969</v>
      </c>
      <c r="D4750" s="159">
        <v>45359.0</v>
      </c>
      <c r="E4750" s="157" t="s">
        <v>731</v>
      </c>
      <c r="F4750" s="160">
        <v>477895.52</v>
      </c>
      <c r="G4750" s="160">
        <f>'FACP$'!$F4750*0.16</f>
        <v>76463.2832</v>
      </c>
      <c r="H4750" s="160">
        <f t="shared" si="124"/>
        <v>554358.8032</v>
      </c>
      <c r="I4750" s="160"/>
      <c r="J4750" s="161"/>
      <c r="K4750" s="160"/>
      <c r="L4750" s="160">
        <f>+'FACP$'!$H4750-'FACP$'!$I4750-'FACP$'!$K4750</f>
        <v>554358.8032</v>
      </c>
      <c r="M4750" s="162" t="s">
        <v>130</v>
      </c>
      <c r="N4750" s="162" t="s">
        <v>554</v>
      </c>
      <c r="O4750" s="164">
        <v>45383.0</v>
      </c>
      <c r="P4750" s="164">
        <f t="array" ref="P4750">XLOOKUP('FACP$'!$B4750,'perfil de pagos'!$A$4:$A$46,'perfil de pagos'!$B$4:$B$46+'FACP$'!$D4750)</f>
        <v>45369</v>
      </c>
      <c r="Q4750" s="165">
        <f t="shared" si="128"/>
        <v>0</v>
      </c>
      <c r="R4750" s="167"/>
      <c r="S4750" s="167">
        <v>2902.0</v>
      </c>
      <c r="T4750" s="168">
        <f t="shared" si="3"/>
        <v>554358.8032</v>
      </c>
      <c r="U4750" s="168">
        <f t="shared" si="4"/>
        <v>0</v>
      </c>
      <c r="V4750" s="168">
        <f t="shared" si="5"/>
        <v>0</v>
      </c>
      <c r="W4750" s="168">
        <f t="shared" si="6"/>
        <v>0</v>
      </c>
      <c r="X4750" s="168">
        <f t="shared" si="7"/>
        <v>0</v>
      </c>
      <c r="Y4750" s="168">
        <f t="shared" si="8"/>
        <v>0</v>
      </c>
      <c r="Z4750" s="168">
        <f t="shared" si="9"/>
        <v>0</v>
      </c>
    </row>
    <row r="4751" ht="15.0" customHeight="1">
      <c r="A4751" s="157" t="s">
        <v>6028</v>
      </c>
      <c r="B4751" s="158" t="s">
        <v>40</v>
      </c>
      <c r="C4751" s="158" t="s">
        <v>5966</v>
      </c>
      <c r="D4751" s="159">
        <v>45359.0</v>
      </c>
      <c r="E4751" s="157" t="s">
        <v>731</v>
      </c>
      <c r="F4751" s="160">
        <v>37263.08</v>
      </c>
      <c r="G4751" s="160">
        <f>'FACP$'!$F4751*0.16</f>
        <v>5962.0928</v>
      </c>
      <c r="H4751" s="160">
        <f t="shared" si="124"/>
        <v>43225.1728</v>
      </c>
      <c r="I4751" s="160"/>
      <c r="J4751" s="161">
        <f>'NCP$'!A282</f>
        <v>386</v>
      </c>
      <c r="K4751" s="160">
        <f>'NCP$'!H282</f>
        <v>39907.5032</v>
      </c>
      <c r="L4751" s="160">
        <f>+'FACP$'!$H4751-'FACP$'!$I4751-'FACP$'!$K4751</f>
        <v>3317.6696</v>
      </c>
      <c r="M4751" s="162" t="s">
        <v>490</v>
      </c>
      <c r="N4751" s="162" t="s">
        <v>554</v>
      </c>
      <c r="O4751" s="164">
        <v>45394.0</v>
      </c>
      <c r="P4751" s="164">
        <f t="array" ref="P4751">XLOOKUP('FACP$'!$B4751,'perfil de pagos'!$A$4:$A$46,'perfil de pagos'!$B$4:$B$46+'FACP$'!$D4751)</f>
        <v>45389</v>
      </c>
      <c r="Q4751" s="165">
        <f t="shared" si="128"/>
        <v>0</v>
      </c>
      <c r="R4751" s="167"/>
      <c r="S4751" s="167">
        <v>2949.0</v>
      </c>
      <c r="T4751" s="168">
        <f t="shared" si="3"/>
        <v>3317.6696</v>
      </c>
      <c r="U4751" s="168">
        <f t="shared" si="4"/>
        <v>0</v>
      </c>
      <c r="V4751" s="168">
        <f t="shared" si="5"/>
        <v>0</v>
      </c>
      <c r="W4751" s="168">
        <f t="shared" si="6"/>
        <v>0</v>
      </c>
      <c r="X4751" s="168">
        <f t="shared" si="7"/>
        <v>0</v>
      </c>
      <c r="Y4751" s="168">
        <f t="shared" si="8"/>
        <v>0</v>
      </c>
      <c r="Z4751" s="168">
        <f t="shared" si="9"/>
        <v>0</v>
      </c>
    </row>
    <row r="4752" ht="15.0" customHeight="1">
      <c r="A4752" s="157" t="s">
        <v>6029</v>
      </c>
      <c r="B4752" s="158" t="s">
        <v>40</v>
      </c>
      <c r="C4752" s="158" t="s">
        <v>5969</v>
      </c>
      <c r="D4752" s="159">
        <v>45359.0</v>
      </c>
      <c r="E4752" s="157" t="s">
        <v>731</v>
      </c>
      <c r="F4752" s="160">
        <v>2911.8</v>
      </c>
      <c r="G4752" s="160">
        <f>'FACP$'!$F4752*0.16</f>
        <v>465.888</v>
      </c>
      <c r="H4752" s="160">
        <f t="shared" si="124"/>
        <v>3377.688</v>
      </c>
      <c r="I4752" s="160"/>
      <c r="J4752" s="161"/>
      <c r="K4752" s="160"/>
      <c r="L4752" s="160">
        <f>+'FACP$'!$H4752-'FACP$'!$I4752-'FACP$'!$K4752</f>
        <v>3377.688</v>
      </c>
      <c r="M4752" s="162" t="s">
        <v>490</v>
      </c>
      <c r="N4752" s="162" t="s">
        <v>554</v>
      </c>
      <c r="O4752" s="164">
        <v>45387.0</v>
      </c>
      <c r="P4752" s="164">
        <f t="array" ref="P4752">XLOOKUP('FACP$'!$B4752,'perfil de pagos'!$A$4:$A$46,'perfil de pagos'!$B$4:$B$46+'FACP$'!$D4752)</f>
        <v>45389</v>
      </c>
      <c r="Q4752" s="165">
        <f t="shared" si="128"/>
        <v>0</v>
      </c>
      <c r="R4752" s="167"/>
      <c r="S4752" s="167">
        <v>2908.0</v>
      </c>
      <c r="T4752" s="168">
        <f t="shared" si="3"/>
        <v>3377.688</v>
      </c>
      <c r="U4752" s="168">
        <f t="shared" si="4"/>
        <v>0</v>
      </c>
      <c r="V4752" s="168">
        <f t="shared" si="5"/>
        <v>0</v>
      </c>
      <c r="W4752" s="168">
        <f t="shared" si="6"/>
        <v>0</v>
      </c>
      <c r="X4752" s="168">
        <f t="shared" si="7"/>
        <v>0</v>
      </c>
      <c r="Y4752" s="168">
        <f t="shared" si="8"/>
        <v>0</v>
      </c>
      <c r="Z4752" s="168">
        <f t="shared" si="9"/>
        <v>0</v>
      </c>
    </row>
    <row r="4753" ht="15.0" customHeight="1">
      <c r="A4753" s="157" t="s">
        <v>6030</v>
      </c>
      <c r="B4753" s="158" t="s">
        <v>38</v>
      </c>
      <c r="C4753" s="158" t="s">
        <v>5966</v>
      </c>
      <c r="D4753" s="159">
        <v>45362.0</v>
      </c>
      <c r="E4753" s="157" t="s">
        <v>731</v>
      </c>
      <c r="F4753" s="160">
        <v>293320.58</v>
      </c>
      <c r="G4753" s="160">
        <f>'FACP$'!$F4753*0.16</f>
        <v>46931.2928</v>
      </c>
      <c r="H4753" s="160">
        <f t="shared" si="124"/>
        <v>340251.8728</v>
      </c>
      <c r="I4753" s="160"/>
      <c r="J4753" s="161"/>
      <c r="K4753" s="160"/>
      <c r="L4753" s="160">
        <f>+'FACP$'!$H4753-'FACP$'!$I4753-'FACP$'!$K4753</f>
        <v>340251.8728</v>
      </c>
      <c r="M4753" s="162" t="s">
        <v>642</v>
      </c>
      <c r="N4753" s="162" t="s">
        <v>554</v>
      </c>
      <c r="O4753" s="164">
        <v>45406.0</v>
      </c>
      <c r="P4753" s="164">
        <f t="array" ref="P4753">XLOOKUP('FACP$'!$B4753,'perfil de pagos'!$A$4:$A$46,'perfil de pagos'!$B$4:$B$46+'FACP$'!$D4753)</f>
        <v>45392</v>
      </c>
      <c r="Q4753" s="165">
        <f t="shared" si="128"/>
        <v>0</v>
      </c>
      <c r="R4753" s="167"/>
      <c r="S4753" s="167">
        <v>2955.0</v>
      </c>
      <c r="T4753" s="168">
        <f t="shared" si="3"/>
        <v>340251.8728</v>
      </c>
      <c r="U4753" s="168">
        <f t="shared" si="4"/>
        <v>0</v>
      </c>
      <c r="V4753" s="168">
        <f t="shared" si="5"/>
        <v>0</v>
      </c>
      <c r="W4753" s="168">
        <f t="shared" si="6"/>
        <v>0</v>
      </c>
      <c r="X4753" s="168">
        <f t="shared" si="7"/>
        <v>0</v>
      </c>
      <c r="Y4753" s="168">
        <f t="shared" si="8"/>
        <v>0</v>
      </c>
      <c r="Z4753" s="168">
        <f t="shared" si="9"/>
        <v>0</v>
      </c>
    </row>
    <row r="4754" ht="15.0" customHeight="1">
      <c r="A4754" s="157" t="s">
        <v>6031</v>
      </c>
      <c r="B4754" s="158" t="s">
        <v>38</v>
      </c>
      <c r="C4754" s="158" t="s">
        <v>5966</v>
      </c>
      <c r="D4754" s="159">
        <v>45362.0</v>
      </c>
      <c r="E4754" s="157" t="s">
        <v>731</v>
      </c>
      <c r="F4754" s="160">
        <v>597418.59</v>
      </c>
      <c r="G4754" s="160">
        <f>'FACP$'!$F4754*0.16</f>
        <v>95586.9744</v>
      </c>
      <c r="H4754" s="160">
        <f t="shared" si="124"/>
        <v>693005.5644</v>
      </c>
      <c r="I4754" s="160"/>
      <c r="J4754" s="161"/>
      <c r="K4754" s="160"/>
      <c r="L4754" s="160">
        <f>+'FACP$'!$H4754-'FACP$'!$I4754-'FACP$'!$K4754</f>
        <v>693005.5644</v>
      </c>
      <c r="M4754" s="162" t="s">
        <v>145</v>
      </c>
      <c r="N4754" s="162" t="s">
        <v>554</v>
      </c>
      <c r="O4754" s="164">
        <v>45406.0</v>
      </c>
      <c r="P4754" s="164">
        <f t="array" ref="P4754">XLOOKUP('FACP$'!$B4754,'perfil de pagos'!$A$4:$A$46,'perfil de pagos'!$B$4:$B$46+'FACP$'!$D4754)</f>
        <v>45392</v>
      </c>
      <c r="Q4754" s="165">
        <f t="shared" si="128"/>
        <v>0</v>
      </c>
      <c r="R4754" s="167"/>
      <c r="S4754" s="167">
        <v>2955.0</v>
      </c>
      <c r="T4754" s="168">
        <f t="shared" si="3"/>
        <v>693005.5644</v>
      </c>
      <c r="U4754" s="168">
        <f t="shared" si="4"/>
        <v>0</v>
      </c>
      <c r="V4754" s="168">
        <f t="shared" si="5"/>
        <v>0</v>
      </c>
      <c r="W4754" s="168">
        <f t="shared" si="6"/>
        <v>0</v>
      </c>
      <c r="X4754" s="168">
        <f t="shared" si="7"/>
        <v>0</v>
      </c>
      <c r="Y4754" s="168">
        <f t="shared" si="8"/>
        <v>0</v>
      </c>
      <c r="Z4754" s="168">
        <f t="shared" si="9"/>
        <v>0</v>
      </c>
    </row>
    <row r="4755" ht="15.0" customHeight="1">
      <c r="A4755" s="157" t="s">
        <v>6032</v>
      </c>
      <c r="B4755" s="158" t="s">
        <v>36</v>
      </c>
      <c r="C4755" s="158"/>
      <c r="D4755" s="159"/>
      <c r="E4755" s="157" t="s">
        <v>731</v>
      </c>
      <c r="F4755" s="160"/>
      <c r="G4755" s="160">
        <f>'FACP$'!$F4755*0.16</f>
        <v>0</v>
      </c>
      <c r="H4755" s="160">
        <f t="shared" si="124"/>
        <v>0</v>
      </c>
      <c r="I4755" s="160"/>
      <c r="J4755" s="161"/>
      <c r="K4755" s="160"/>
      <c r="L4755" s="160">
        <f>+'FACP$'!$H4755-'FACP$'!$I4755-'FACP$'!$K4755</f>
        <v>0</v>
      </c>
      <c r="M4755" s="162"/>
      <c r="N4755" s="162" t="s">
        <v>127</v>
      </c>
      <c r="O4755" s="164"/>
      <c r="P4755" s="164">
        <f t="array" ref="P4755">XLOOKUP('FACP$'!$B4755,'perfil de pagos'!$A$4:$A$46,'perfil de pagos'!$B$4:$B$46+'FACP$'!$D4755)</f>
        <v>10</v>
      </c>
      <c r="Q4755" s="165">
        <f t="shared" si="128"/>
        <v>0</v>
      </c>
      <c r="R4755" s="167"/>
      <c r="S4755" s="167"/>
      <c r="T4755" s="168">
        <f t="shared" si="3"/>
        <v>0</v>
      </c>
      <c r="U4755" s="168">
        <f t="shared" si="4"/>
        <v>0</v>
      </c>
      <c r="V4755" s="168">
        <f t="shared" si="5"/>
        <v>0</v>
      </c>
      <c r="W4755" s="168">
        <f t="shared" si="6"/>
        <v>0</v>
      </c>
      <c r="X4755" s="168">
        <f t="shared" si="7"/>
        <v>0</v>
      </c>
      <c r="Y4755" s="168">
        <f t="shared" si="8"/>
        <v>0</v>
      </c>
      <c r="Z4755" s="168">
        <f t="shared" si="9"/>
        <v>0</v>
      </c>
    </row>
    <row r="4756" ht="15.0" customHeight="1">
      <c r="A4756" s="157" t="s">
        <v>6033</v>
      </c>
      <c r="B4756" s="158" t="s">
        <v>27</v>
      </c>
      <c r="C4756" s="158" t="s">
        <v>6034</v>
      </c>
      <c r="D4756" s="159">
        <v>45366.0</v>
      </c>
      <c r="E4756" s="157" t="s">
        <v>731</v>
      </c>
      <c r="F4756" s="160">
        <v>31000.0</v>
      </c>
      <c r="G4756" s="160">
        <f>'FACP$'!$F4756*0.16</f>
        <v>4960</v>
      </c>
      <c r="H4756" s="160">
        <f t="shared" si="124"/>
        <v>35960</v>
      </c>
      <c r="I4756" s="160"/>
      <c r="J4756" s="161"/>
      <c r="K4756" s="160"/>
      <c r="L4756" s="160">
        <f>+'FACP$'!$H4756-'FACP$'!$I4756-'FACP$'!$K4756</f>
        <v>35960</v>
      </c>
      <c r="M4756" s="162" t="s">
        <v>5804</v>
      </c>
      <c r="N4756" s="162" t="s">
        <v>554</v>
      </c>
      <c r="O4756" s="164">
        <v>45376.0</v>
      </c>
      <c r="P4756" s="164">
        <f t="array" ref="P4756">XLOOKUP('FACP$'!$B4756,'perfil de pagos'!$A$4:$A$46,'perfil de pagos'!$B$4:$B$46+'FACP$'!$D4756)</f>
        <v>45396</v>
      </c>
      <c r="Q4756" s="165">
        <f t="shared" si="128"/>
        <v>0</v>
      </c>
      <c r="R4756" s="167"/>
      <c r="S4756" s="167"/>
      <c r="T4756" s="168">
        <f t="shared" si="3"/>
        <v>35960</v>
      </c>
      <c r="U4756" s="168">
        <f t="shared" si="4"/>
        <v>0</v>
      </c>
      <c r="V4756" s="168">
        <f t="shared" si="5"/>
        <v>0</v>
      </c>
      <c r="W4756" s="168">
        <f t="shared" si="6"/>
        <v>0</v>
      </c>
      <c r="X4756" s="168">
        <f t="shared" si="7"/>
        <v>0</v>
      </c>
      <c r="Y4756" s="168">
        <f t="shared" si="8"/>
        <v>0</v>
      </c>
      <c r="Z4756" s="168">
        <f t="shared" si="9"/>
        <v>0</v>
      </c>
    </row>
    <row r="4757" ht="15.0" customHeight="1">
      <c r="A4757" s="157" t="s">
        <v>6035</v>
      </c>
      <c r="B4757" s="158" t="s">
        <v>41</v>
      </c>
      <c r="C4757" s="158" t="s">
        <v>6036</v>
      </c>
      <c r="D4757" s="159">
        <v>45371.0</v>
      </c>
      <c r="E4757" s="157" t="s">
        <v>731</v>
      </c>
      <c r="F4757" s="160">
        <v>561788.51</v>
      </c>
      <c r="G4757" s="160">
        <f>'FACP$'!$F4757*0.16</f>
        <v>89886.1616</v>
      </c>
      <c r="H4757" s="160">
        <f t="shared" si="124"/>
        <v>651674.6716</v>
      </c>
      <c r="I4757" s="160"/>
      <c r="J4757" s="161"/>
      <c r="K4757" s="160"/>
      <c r="L4757" s="160">
        <f>+'FACP$'!$H4757-'FACP$'!$I4757-'FACP$'!$K4757</f>
        <v>651674.6716</v>
      </c>
      <c r="M4757" s="162" t="s">
        <v>121</v>
      </c>
      <c r="N4757" s="162" t="s">
        <v>554</v>
      </c>
      <c r="O4757" s="164">
        <v>45432.0</v>
      </c>
      <c r="P4757" s="164">
        <f t="array" ref="P4757">XLOOKUP('FACP$'!$B4757,'perfil de pagos'!$A$4:$A$46,'perfil de pagos'!$B$4:$B$46+'FACP$'!$D4757)</f>
        <v>45381</v>
      </c>
      <c r="Q4757" s="165">
        <f t="shared" si="128"/>
        <v>0</v>
      </c>
      <c r="R4757" s="167"/>
      <c r="S4757" s="167">
        <v>2993.0</v>
      </c>
      <c r="T4757" s="168">
        <f t="shared" si="3"/>
        <v>651674.6716</v>
      </c>
      <c r="U4757" s="168">
        <f t="shared" si="4"/>
        <v>0</v>
      </c>
      <c r="V4757" s="168">
        <f t="shared" si="5"/>
        <v>0</v>
      </c>
      <c r="W4757" s="168">
        <f t="shared" si="6"/>
        <v>0</v>
      </c>
      <c r="X4757" s="168">
        <f t="shared" si="7"/>
        <v>0</v>
      </c>
      <c r="Y4757" s="168">
        <f t="shared" si="8"/>
        <v>0</v>
      </c>
      <c r="Z4757" s="168">
        <f t="shared" si="9"/>
        <v>0</v>
      </c>
    </row>
    <row r="4758" ht="15.0" customHeight="1">
      <c r="A4758" s="157" t="s">
        <v>6037</v>
      </c>
      <c r="B4758" s="158" t="s">
        <v>35</v>
      </c>
      <c r="C4758" s="158" t="s">
        <v>6036</v>
      </c>
      <c r="D4758" s="159">
        <v>45371.0</v>
      </c>
      <c r="E4758" s="157" t="s">
        <v>731</v>
      </c>
      <c r="F4758" s="160">
        <v>241617.34</v>
      </c>
      <c r="G4758" s="160">
        <f>'FACP$'!$F4758*0.16</f>
        <v>38658.7744</v>
      </c>
      <c r="H4758" s="160">
        <f t="shared" si="124"/>
        <v>280276.1144</v>
      </c>
      <c r="I4758" s="160"/>
      <c r="J4758" s="161"/>
      <c r="K4758" s="160"/>
      <c r="L4758" s="160">
        <f>+'FACP$'!$H4758-'FACP$'!$I4758-'FACP$'!$K4758</f>
        <v>280276.1144</v>
      </c>
      <c r="M4758" s="162" t="s">
        <v>276</v>
      </c>
      <c r="N4758" s="162" t="s">
        <v>554</v>
      </c>
      <c r="O4758" s="164">
        <v>45377.0</v>
      </c>
      <c r="P4758" s="164">
        <f t="array" ref="P4758">XLOOKUP('FACP$'!$B4758,'perfil de pagos'!$A$4:$A$46,'perfil de pagos'!$B$4:$B$46+'FACP$'!$D4758)</f>
        <v>45381</v>
      </c>
      <c r="Q4758" s="165">
        <f t="shared" si="128"/>
        <v>0</v>
      </c>
      <c r="R4758" s="167"/>
      <c r="S4758" s="167">
        <v>2889.0</v>
      </c>
      <c r="T4758" s="168">
        <f t="shared" si="3"/>
        <v>280276.1144</v>
      </c>
      <c r="U4758" s="168">
        <f t="shared" si="4"/>
        <v>0</v>
      </c>
      <c r="V4758" s="168">
        <f t="shared" si="5"/>
        <v>0</v>
      </c>
      <c r="W4758" s="168">
        <f t="shared" si="6"/>
        <v>0</v>
      </c>
      <c r="X4758" s="168">
        <f t="shared" si="7"/>
        <v>0</v>
      </c>
      <c r="Y4758" s="168">
        <f t="shared" si="8"/>
        <v>0</v>
      </c>
      <c r="Z4758" s="168">
        <f t="shared" si="9"/>
        <v>0</v>
      </c>
    </row>
    <row r="4759" ht="15.0" customHeight="1">
      <c r="A4759" s="157" t="s">
        <v>6038</v>
      </c>
      <c r="B4759" s="158" t="s">
        <v>36</v>
      </c>
      <c r="C4759" s="158" t="s">
        <v>6036</v>
      </c>
      <c r="D4759" s="159">
        <v>45371.0</v>
      </c>
      <c r="E4759" s="157" t="s">
        <v>731</v>
      </c>
      <c r="F4759" s="160">
        <v>116880.58</v>
      </c>
      <c r="G4759" s="160">
        <f>'FACP$'!$F4759*0.16</f>
        <v>18700.8928</v>
      </c>
      <c r="H4759" s="160">
        <f t="shared" si="124"/>
        <v>135581.4728</v>
      </c>
      <c r="I4759" s="160"/>
      <c r="J4759" s="161"/>
      <c r="K4759" s="160"/>
      <c r="L4759" s="160">
        <f>+'FACP$'!$H4759-'FACP$'!$I4759-'FACP$'!$K4759</f>
        <v>135581.4728</v>
      </c>
      <c r="M4759" s="162" t="s">
        <v>574</v>
      </c>
      <c r="N4759" s="162" t="s">
        <v>554</v>
      </c>
      <c r="O4759" s="164">
        <v>45377.0</v>
      </c>
      <c r="P4759" s="164">
        <f t="array" ref="P4759">XLOOKUP('FACP$'!$B4759,'perfil de pagos'!$A$4:$A$46,'perfil de pagos'!$B$4:$B$46+'FACP$'!$D4759)</f>
        <v>45381</v>
      </c>
      <c r="Q4759" s="165">
        <f t="shared" si="128"/>
        <v>0</v>
      </c>
      <c r="R4759" s="167"/>
      <c r="S4759" s="167">
        <v>2891.0</v>
      </c>
      <c r="T4759" s="168">
        <f t="shared" si="3"/>
        <v>135581.4728</v>
      </c>
      <c r="U4759" s="168">
        <f t="shared" si="4"/>
        <v>0</v>
      </c>
      <c r="V4759" s="168">
        <f t="shared" si="5"/>
        <v>0</v>
      </c>
      <c r="W4759" s="168">
        <f t="shared" si="6"/>
        <v>0</v>
      </c>
      <c r="X4759" s="168">
        <f t="shared" si="7"/>
        <v>0</v>
      </c>
      <c r="Y4759" s="168">
        <f t="shared" si="8"/>
        <v>0</v>
      </c>
      <c r="Z4759" s="168">
        <f t="shared" si="9"/>
        <v>0</v>
      </c>
    </row>
    <row r="4760" ht="15.0" customHeight="1">
      <c r="A4760" s="157" t="s">
        <v>6039</v>
      </c>
      <c r="B4760" s="158" t="s">
        <v>36</v>
      </c>
      <c r="C4760" s="158" t="s">
        <v>6040</v>
      </c>
      <c r="D4760" s="159">
        <v>45371.0</v>
      </c>
      <c r="E4760" s="157" t="s">
        <v>731</v>
      </c>
      <c r="F4760" s="160">
        <v>94671.17</v>
      </c>
      <c r="G4760" s="160">
        <f>'FACP$'!$F4760*0.16</f>
        <v>15147.3872</v>
      </c>
      <c r="H4760" s="160">
        <f t="shared" si="124"/>
        <v>109818.5572</v>
      </c>
      <c r="I4760" s="160"/>
      <c r="J4760" s="161"/>
      <c r="K4760" s="160"/>
      <c r="L4760" s="160">
        <f>+'FACP$'!$H4760-'FACP$'!$I4760-'FACP$'!$K4760</f>
        <v>109818.5572</v>
      </c>
      <c r="M4760" s="162" t="s">
        <v>574</v>
      </c>
      <c r="N4760" s="162" t="s">
        <v>554</v>
      </c>
      <c r="O4760" s="164">
        <v>45377.0</v>
      </c>
      <c r="P4760" s="164">
        <f t="array" ref="P4760">XLOOKUP('FACP$'!$B4760,'perfil de pagos'!$A$4:$A$46,'perfil de pagos'!$B$4:$B$46+'FACP$'!$D4760)</f>
        <v>45381</v>
      </c>
      <c r="Q4760" s="165">
        <f t="shared" si="128"/>
        <v>0</v>
      </c>
      <c r="R4760" s="167"/>
      <c r="S4760" s="167">
        <v>2890.0</v>
      </c>
      <c r="T4760" s="168">
        <f t="shared" si="3"/>
        <v>109818.5572</v>
      </c>
      <c r="U4760" s="168">
        <f t="shared" si="4"/>
        <v>0</v>
      </c>
      <c r="V4760" s="168">
        <f t="shared" si="5"/>
        <v>0</v>
      </c>
      <c r="W4760" s="168">
        <f t="shared" si="6"/>
        <v>0</v>
      </c>
      <c r="X4760" s="168">
        <f t="shared" si="7"/>
        <v>0</v>
      </c>
      <c r="Y4760" s="168">
        <f t="shared" si="8"/>
        <v>0</v>
      </c>
      <c r="Z4760" s="168">
        <f t="shared" si="9"/>
        <v>0</v>
      </c>
    </row>
    <row r="4761" ht="15.0" customHeight="1">
      <c r="A4761" s="157" t="s">
        <v>6041</v>
      </c>
      <c r="B4761" s="158" t="s">
        <v>42</v>
      </c>
      <c r="C4761" s="158" t="s">
        <v>6036</v>
      </c>
      <c r="D4761" s="159">
        <v>45371.0</v>
      </c>
      <c r="E4761" s="157" t="s">
        <v>731</v>
      </c>
      <c r="F4761" s="160">
        <v>52177.88</v>
      </c>
      <c r="G4761" s="160">
        <f>'FACP$'!$F4761*0.16</f>
        <v>8348.4608</v>
      </c>
      <c r="H4761" s="160">
        <f t="shared" si="124"/>
        <v>60526.3408</v>
      </c>
      <c r="I4761" s="160"/>
      <c r="J4761" s="161"/>
      <c r="K4761" s="160"/>
      <c r="L4761" s="160">
        <f>+'FACP$'!$H4761-'FACP$'!$I4761-'FACP$'!$K4761</f>
        <v>60526.3408</v>
      </c>
      <c r="M4761" s="162" t="s">
        <v>42</v>
      </c>
      <c r="N4761" s="162" t="s">
        <v>554</v>
      </c>
      <c r="O4761" s="164">
        <v>45387.0</v>
      </c>
      <c r="P4761" s="164">
        <f t="array" ref="P4761">XLOOKUP('FACP$'!$B4761,'perfil de pagos'!$A$4:$A$46,'perfil de pagos'!$B$4:$B$46+'FACP$'!$D4761)</f>
        <v>45381</v>
      </c>
      <c r="Q4761" s="165">
        <f t="shared" si="128"/>
        <v>0</v>
      </c>
      <c r="R4761" s="167"/>
      <c r="S4761" s="167">
        <v>2909.0</v>
      </c>
      <c r="T4761" s="168">
        <f t="shared" si="3"/>
        <v>60526.3408</v>
      </c>
      <c r="U4761" s="168">
        <f t="shared" si="4"/>
        <v>0</v>
      </c>
      <c r="V4761" s="168">
        <f t="shared" si="5"/>
        <v>0</v>
      </c>
      <c r="W4761" s="168">
        <f t="shared" si="6"/>
        <v>0</v>
      </c>
      <c r="X4761" s="168">
        <f t="shared" si="7"/>
        <v>0</v>
      </c>
      <c r="Y4761" s="168">
        <f t="shared" si="8"/>
        <v>0</v>
      </c>
      <c r="Z4761" s="168">
        <f t="shared" si="9"/>
        <v>0</v>
      </c>
    </row>
    <row r="4762" ht="15.0" customHeight="1">
      <c r="A4762" s="157" t="s">
        <v>6042</v>
      </c>
      <c r="B4762" s="158" t="s">
        <v>43</v>
      </c>
      <c r="C4762" s="158" t="s">
        <v>6036</v>
      </c>
      <c r="D4762" s="159">
        <v>45371.0</v>
      </c>
      <c r="E4762" s="157" t="s">
        <v>731</v>
      </c>
      <c r="F4762" s="160">
        <v>483676.6</v>
      </c>
      <c r="G4762" s="160">
        <f>'FACP$'!$F4762*0.16</f>
        <v>77388.256</v>
      </c>
      <c r="H4762" s="160">
        <f t="shared" si="124"/>
        <v>561064.856</v>
      </c>
      <c r="I4762" s="160"/>
      <c r="J4762" s="161"/>
      <c r="K4762" s="160"/>
      <c r="L4762" s="160">
        <f>+'FACP$'!$H4762-'FACP$'!$I4762-'FACP$'!$K4762</f>
        <v>561064.856</v>
      </c>
      <c r="M4762" s="162" t="s">
        <v>43</v>
      </c>
      <c r="N4762" s="162" t="s">
        <v>554</v>
      </c>
      <c r="O4762" s="164">
        <v>45394.0</v>
      </c>
      <c r="P4762" s="164">
        <f t="array" ref="P4762">XLOOKUP('FACP$'!$B4762,'perfil de pagos'!$A$4:$A$46,'perfil de pagos'!$B$4:$B$46+'FACP$'!$D4762)</f>
        <v>45396</v>
      </c>
      <c r="Q4762" s="165">
        <f t="shared" si="128"/>
        <v>0</v>
      </c>
      <c r="R4762" s="167"/>
      <c r="S4762" s="167">
        <v>2931.0</v>
      </c>
      <c r="T4762" s="168">
        <f t="shared" si="3"/>
        <v>561064.856</v>
      </c>
      <c r="U4762" s="168">
        <f t="shared" si="4"/>
        <v>0</v>
      </c>
      <c r="V4762" s="168">
        <f t="shared" si="5"/>
        <v>0</v>
      </c>
      <c r="W4762" s="168">
        <f t="shared" si="6"/>
        <v>0</v>
      </c>
      <c r="X4762" s="168">
        <f t="shared" si="7"/>
        <v>0</v>
      </c>
      <c r="Y4762" s="168">
        <f t="shared" si="8"/>
        <v>0</v>
      </c>
      <c r="Z4762" s="168">
        <f t="shared" si="9"/>
        <v>0</v>
      </c>
    </row>
    <row r="4763" ht="15.0" customHeight="1">
      <c r="A4763" s="157" t="s">
        <v>6043</v>
      </c>
      <c r="B4763" s="158" t="s">
        <v>43</v>
      </c>
      <c r="C4763" s="158" t="s">
        <v>6040</v>
      </c>
      <c r="D4763" s="159">
        <v>45371.0</v>
      </c>
      <c r="E4763" s="157" t="s">
        <v>731</v>
      </c>
      <c r="F4763" s="160">
        <v>704041.52</v>
      </c>
      <c r="G4763" s="160">
        <f>'FACP$'!$F4763*0.16</f>
        <v>112646.6432</v>
      </c>
      <c r="H4763" s="160">
        <f t="shared" si="124"/>
        <v>816688.1632</v>
      </c>
      <c r="I4763" s="160"/>
      <c r="J4763" s="161"/>
      <c r="K4763" s="160"/>
      <c r="L4763" s="160">
        <f>+'FACP$'!$H4763-'FACP$'!$I4763-'FACP$'!$K4763</f>
        <v>816688.1632</v>
      </c>
      <c r="M4763" s="162" t="s">
        <v>43</v>
      </c>
      <c r="N4763" s="162" t="s">
        <v>554</v>
      </c>
      <c r="O4763" s="164">
        <v>45391.0</v>
      </c>
      <c r="P4763" s="164">
        <f t="array" ref="P4763">XLOOKUP('FACP$'!$B4763,'perfil de pagos'!$A$4:$A$46,'perfil de pagos'!$B$4:$B$46+'FACP$'!$D4763)</f>
        <v>45396</v>
      </c>
      <c r="Q4763" s="165">
        <f t="shared" si="128"/>
        <v>0</v>
      </c>
      <c r="R4763" s="167"/>
      <c r="S4763" s="167">
        <v>2920.0</v>
      </c>
      <c r="T4763" s="168">
        <f t="shared" si="3"/>
        <v>816688.1632</v>
      </c>
      <c r="U4763" s="168">
        <f t="shared" si="4"/>
        <v>0</v>
      </c>
      <c r="V4763" s="168">
        <f t="shared" si="5"/>
        <v>0</v>
      </c>
      <c r="W4763" s="168">
        <f t="shared" si="6"/>
        <v>0</v>
      </c>
      <c r="X4763" s="168">
        <f t="shared" si="7"/>
        <v>0</v>
      </c>
      <c r="Y4763" s="168">
        <f t="shared" si="8"/>
        <v>0</v>
      </c>
      <c r="Z4763" s="168">
        <f t="shared" si="9"/>
        <v>0</v>
      </c>
    </row>
    <row r="4764" ht="15.0" customHeight="1">
      <c r="A4764" s="157" t="s">
        <v>6044</v>
      </c>
      <c r="B4764" s="158" t="s">
        <v>44</v>
      </c>
      <c r="C4764" s="158" t="s">
        <v>6036</v>
      </c>
      <c r="D4764" s="159">
        <v>45371.0</v>
      </c>
      <c r="E4764" s="157" t="s">
        <v>731</v>
      </c>
      <c r="F4764" s="160">
        <v>130369.02</v>
      </c>
      <c r="G4764" s="160">
        <f>'FACP$'!$F4764*0.16</f>
        <v>20859.0432</v>
      </c>
      <c r="H4764" s="160">
        <f t="shared" si="124"/>
        <v>151228.0632</v>
      </c>
      <c r="I4764" s="160"/>
      <c r="J4764" s="161"/>
      <c r="K4764" s="160"/>
      <c r="L4764" s="160">
        <f>+'FACP$'!$H4764-'FACP$'!$I4764-'FACP$'!$K4764</f>
        <v>151228.0632</v>
      </c>
      <c r="M4764" s="162" t="s">
        <v>361</v>
      </c>
      <c r="N4764" s="162" t="s">
        <v>554</v>
      </c>
      <c r="O4764" s="164">
        <v>45383.0</v>
      </c>
      <c r="P4764" s="164">
        <f t="array" ref="P4764">XLOOKUP('FACP$'!$B4764,'perfil de pagos'!$A$4:$A$46,'perfil de pagos'!$B$4:$B$46+'FACP$'!$D4764)</f>
        <v>45381</v>
      </c>
      <c r="Q4764" s="165">
        <f t="shared" si="128"/>
        <v>0</v>
      </c>
      <c r="R4764" s="167"/>
      <c r="S4764" s="167">
        <v>2904.0</v>
      </c>
      <c r="T4764" s="168">
        <f t="shared" si="3"/>
        <v>151228.0632</v>
      </c>
      <c r="U4764" s="168">
        <f t="shared" si="4"/>
        <v>0</v>
      </c>
      <c r="V4764" s="168">
        <f t="shared" si="5"/>
        <v>0</v>
      </c>
      <c r="W4764" s="168">
        <f t="shared" si="6"/>
        <v>0</v>
      </c>
      <c r="X4764" s="168">
        <f t="shared" si="7"/>
        <v>0</v>
      </c>
      <c r="Y4764" s="168">
        <f t="shared" si="8"/>
        <v>0</v>
      </c>
      <c r="Z4764" s="168">
        <f t="shared" si="9"/>
        <v>0</v>
      </c>
    </row>
    <row r="4765" ht="15.0" customHeight="1">
      <c r="A4765" s="157" t="s">
        <v>6045</v>
      </c>
      <c r="B4765" s="158" t="s">
        <v>38</v>
      </c>
      <c r="C4765" s="158" t="s">
        <v>6036</v>
      </c>
      <c r="D4765" s="159">
        <v>45372.0</v>
      </c>
      <c r="E4765" s="157" t="s">
        <v>731</v>
      </c>
      <c r="F4765" s="160">
        <v>83853.97</v>
      </c>
      <c r="G4765" s="160">
        <f>'FACP$'!$F4765*0.16</f>
        <v>13416.6352</v>
      </c>
      <c r="H4765" s="160">
        <f t="shared" si="124"/>
        <v>97270.6052</v>
      </c>
      <c r="I4765" s="160"/>
      <c r="J4765" s="161"/>
      <c r="K4765" s="160"/>
      <c r="L4765" s="160">
        <f>+'FACP$'!$H4765-'FACP$'!$I4765-'FACP$'!$K4765</f>
        <v>97270.6052</v>
      </c>
      <c r="M4765" s="162" t="s">
        <v>4654</v>
      </c>
      <c r="N4765" s="162" t="s">
        <v>554</v>
      </c>
      <c r="O4765" s="164">
        <v>45427.0</v>
      </c>
      <c r="P4765" s="164">
        <f t="array" ref="P4765">XLOOKUP('FACP$'!$B4765,'perfil de pagos'!$A$4:$A$46,'perfil de pagos'!$B$4:$B$46+'FACP$'!$D4765)</f>
        <v>45402</v>
      </c>
      <c r="Q4765" s="165">
        <f t="shared" si="128"/>
        <v>0</v>
      </c>
      <c r="R4765" s="167"/>
      <c r="S4765" s="167">
        <v>2986.0</v>
      </c>
      <c r="T4765" s="168">
        <f t="shared" si="3"/>
        <v>97270.6052</v>
      </c>
      <c r="U4765" s="168">
        <f t="shared" si="4"/>
        <v>0</v>
      </c>
      <c r="V4765" s="168">
        <f t="shared" si="5"/>
        <v>0</v>
      </c>
      <c r="W4765" s="168">
        <f t="shared" si="6"/>
        <v>0</v>
      </c>
      <c r="X4765" s="168">
        <f t="shared" si="7"/>
        <v>0</v>
      </c>
      <c r="Y4765" s="168">
        <f t="shared" si="8"/>
        <v>0</v>
      </c>
      <c r="Z4765" s="168">
        <f t="shared" si="9"/>
        <v>0</v>
      </c>
    </row>
    <row r="4766" ht="15.0" customHeight="1">
      <c r="A4766" s="157" t="s">
        <v>6046</v>
      </c>
      <c r="B4766" s="158" t="s">
        <v>38</v>
      </c>
      <c r="C4766" s="158" t="s">
        <v>6036</v>
      </c>
      <c r="D4766" s="159">
        <v>45372.0</v>
      </c>
      <c r="E4766" s="157" t="s">
        <v>731</v>
      </c>
      <c r="F4766" s="160">
        <v>45923.31</v>
      </c>
      <c r="G4766" s="160">
        <f>'FACP$'!$F4766*0.16</f>
        <v>7347.7296</v>
      </c>
      <c r="H4766" s="160">
        <f t="shared" si="124"/>
        <v>53271.0396</v>
      </c>
      <c r="I4766" s="160"/>
      <c r="J4766" s="161"/>
      <c r="K4766" s="160"/>
      <c r="L4766" s="160">
        <f>+'FACP$'!$H4766-'FACP$'!$I4766-'FACP$'!$K4766</f>
        <v>53271.0396</v>
      </c>
      <c r="M4766" s="162" t="s">
        <v>4707</v>
      </c>
      <c r="N4766" s="162" t="s">
        <v>554</v>
      </c>
      <c r="O4766" s="164">
        <v>45427.0</v>
      </c>
      <c r="P4766" s="164">
        <f t="array" ref="P4766">XLOOKUP('FACP$'!$B4766,'perfil de pagos'!$A$4:$A$46,'perfil de pagos'!$B$4:$B$46+'FACP$'!$D4766)</f>
        <v>45402</v>
      </c>
      <c r="Q4766" s="165">
        <f t="shared" si="128"/>
        <v>0</v>
      </c>
      <c r="R4766" s="167"/>
      <c r="S4766" s="167">
        <v>2986.0</v>
      </c>
      <c r="T4766" s="168">
        <f t="shared" si="3"/>
        <v>53271.0396</v>
      </c>
      <c r="U4766" s="168">
        <f t="shared" si="4"/>
        <v>0</v>
      </c>
      <c r="V4766" s="168">
        <f t="shared" si="5"/>
        <v>0</v>
      </c>
      <c r="W4766" s="168">
        <f t="shared" si="6"/>
        <v>0</v>
      </c>
      <c r="X4766" s="168">
        <f t="shared" si="7"/>
        <v>0</v>
      </c>
      <c r="Y4766" s="168">
        <f t="shared" si="8"/>
        <v>0</v>
      </c>
      <c r="Z4766" s="168">
        <f t="shared" si="9"/>
        <v>0</v>
      </c>
    </row>
    <row r="4767" ht="15.0" customHeight="1">
      <c r="A4767" s="157" t="s">
        <v>6047</v>
      </c>
      <c r="B4767" s="158" t="s">
        <v>38</v>
      </c>
      <c r="C4767" s="158" t="s">
        <v>6040</v>
      </c>
      <c r="D4767" s="159">
        <v>45372.0</v>
      </c>
      <c r="E4767" s="157" t="s">
        <v>731</v>
      </c>
      <c r="F4767" s="160">
        <v>95119.39</v>
      </c>
      <c r="G4767" s="160">
        <f>'FACP$'!$F4767*0.16</f>
        <v>15219.1024</v>
      </c>
      <c r="H4767" s="160">
        <f t="shared" si="124"/>
        <v>110338.4924</v>
      </c>
      <c r="I4767" s="160"/>
      <c r="J4767" s="161"/>
      <c r="K4767" s="160"/>
      <c r="L4767" s="160">
        <f>+'FACP$'!$H4767-'FACP$'!$I4767-'FACP$'!$K4767</f>
        <v>110338.4924</v>
      </c>
      <c r="M4767" s="162" t="s">
        <v>4707</v>
      </c>
      <c r="N4767" s="162" t="s">
        <v>554</v>
      </c>
      <c r="O4767" s="164">
        <v>45427.0</v>
      </c>
      <c r="P4767" s="164">
        <f t="array" ref="P4767">XLOOKUP('FACP$'!$B4767,'perfil de pagos'!$A$4:$A$46,'perfil de pagos'!$B$4:$B$46+'FACP$'!$D4767)</f>
        <v>45402</v>
      </c>
      <c r="Q4767" s="165">
        <f t="shared" si="128"/>
        <v>0</v>
      </c>
      <c r="R4767" s="167"/>
      <c r="S4767" s="167">
        <v>2986.0</v>
      </c>
      <c r="T4767" s="168">
        <f t="shared" si="3"/>
        <v>110338.4924</v>
      </c>
      <c r="U4767" s="168">
        <f t="shared" si="4"/>
        <v>0</v>
      </c>
      <c r="V4767" s="168">
        <f t="shared" si="5"/>
        <v>0</v>
      </c>
      <c r="W4767" s="168">
        <f t="shared" si="6"/>
        <v>0</v>
      </c>
      <c r="X4767" s="168">
        <f t="shared" si="7"/>
        <v>0</v>
      </c>
      <c r="Y4767" s="168">
        <f t="shared" si="8"/>
        <v>0</v>
      </c>
      <c r="Z4767" s="168">
        <f t="shared" si="9"/>
        <v>0</v>
      </c>
    </row>
    <row r="4768" ht="15.0" customHeight="1">
      <c r="A4768" s="157" t="s">
        <v>6048</v>
      </c>
      <c r="B4768" s="158" t="s">
        <v>27</v>
      </c>
      <c r="C4768" s="158" t="s">
        <v>6049</v>
      </c>
      <c r="D4768" s="159">
        <v>45373.0</v>
      </c>
      <c r="E4768" s="157" t="s">
        <v>731</v>
      </c>
      <c r="F4768" s="160">
        <v>110504.91</v>
      </c>
      <c r="G4768" s="160">
        <f>'FACP$'!$F4768*0.16</f>
        <v>17680.7856</v>
      </c>
      <c r="H4768" s="160">
        <f t="shared" si="124"/>
        <v>128185.6956</v>
      </c>
      <c r="I4768" s="160"/>
      <c r="J4768" s="161"/>
      <c r="K4768" s="160"/>
      <c r="L4768" s="160">
        <f>+'FACP$'!$H4768-'FACP$'!$I4768-'FACP$'!$K4768</f>
        <v>128185.6956</v>
      </c>
      <c r="M4768" s="162" t="s">
        <v>158</v>
      </c>
      <c r="N4768" s="162" t="s">
        <v>554</v>
      </c>
      <c r="O4768" s="164">
        <v>45428.0</v>
      </c>
      <c r="P4768" s="164">
        <f t="array" ref="P4768">XLOOKUP('FACP$'!$B4768,'perfil de pagos'!$A$4:$A$46,'perfil de pagos'!$B$4:$B$46+'FACP$'!$D4768)</f>
        <v>45403</v>
      </c>
      <c r="Q4768" s="165">
        <f t="shared" si="128"/>
        <v>0</v>
      </c>
      <c r="R4768" s="167"/>
      <c r="S4768" s="167">
        <v>2983.0</v>
      </c>
      <c r="T4768" s="168">
        <f t="shared" si="3"/>
        <v>128185.6956</v>
      </c>
      <c r="U4768" s="168">
        <f t="shared" si="4"/>
        <v>0</v>
      </c>
      <c r="V4768" s="168">
        <f t="shared" si="5"/>
        <v>0</v>
      </c>
      <c r="W4768" s="168">
        <f t="shared" si="6"/>
        <v>0</v>
      </c>
      <c r="X4768" s="168">
        <f t="shared" si="7"/>
        <v>0</v>
      </c>
      <c r="Y4768" s="168">
        <f t="shared" si="8"/>
        <v>0</v>
      </c>
      <c r="Z4768" s="168">
        <f t="shared" si="9"/>
        <v>0</v>
      </c>
    </row>
    <row r="4769" ht="15.0" customHeight="1">
      <c r="A4769" s="157" t="s">
        <v>6050</v>
      </c>
      <c r="B4769" s="158" t="s">
        <v>27</v>
      </c>
      <c r="C4769" s="158" t="s">
        <v>6051</v>
      </c>
      <c r="D4769" s="159">
        <v>45373.0</v>
      </c>
      <c r="E4769" s="157" t="s">
        <v>731</v>
      </c>
      <c r="F4769" s="160">
        <v>117662.35</v>
      </c>
      <c r="G4769" s="160">
        <f>'FACP$'!$F4769*0.16</f>
        <v>18825.976</v>
      </c>
      <c r="H4769" s="160">
        <f t="shared" si="124"/>
        <v>136488.326</v>
      </c>
      <c r="I4769" s="160"/>
      <c r="J4769" s="161"/>
      <c r="K4769" s="160"/>
      <c r="L4769" s="160">
        <f>+'FACP$'!$H4769-'FACP$'!$I4769-'FACP$'!$K4769</f>
        <v>136488.326</v>
      </c>
      <c r="M4769" s="162" t="s">
        <v>158</v>
      </c>
      <c r="N4769" s="162" t="s">
        <v>554</v>
      </c>
      <c r="O4769" s="164">
        <v>45428.0</v>
      </c>
      <c r="P4769" s="164">
        <f t="array" ref="P4769">XLOOKUP('FACP$'!$B4769,'perfil de pagos'!$A$4:$A$46,'perfil de pagos'!$B$4:$B$46+'FACP$'!$D4769)</f>
        <v>45403</v>
      </c>
      <c r="Q4769" s="165">
        <f t="shared" si="128"/>
        <v>0</v>
      </c>
      <c r="R4769" s="167"/>
      <c r="S4769" s="167">
        <v>2983.0</v>
      </c>
      <c r="T4769" s="168">
        <f t="shared" si="3"/>
        <v>136488.326</v>
      </c>
      <c r="U4769" s="168">
        <f t="shared" si="4"/>
        <v>0</v>
      </c>
      <c r="V4769" s="168">
        <f t="shared" si="5"/>
        <v>0</v>
      </c>
      <c r="W4769" s="168">
        <f t="shared" si="6"/>
        <v>0</v>
      </c>
      <c r="X4769" s="168">
        <f t="shared" si="7"/>
        <v>0</v>
      </c>
      <c r="Y4769" s="168">
        <f t="shared" si="8"/>
        <v>0</v>
      </c>
      <c r="Z4769" s="168">
        <f t="shared" si="9"/>
        <v>0</v>
      </c>
    </row>
    <row r="4770" ht="15.0" customHeight="1">
      <c r="A4770" s="157" t="s">
        <v>6052</v>
      </c>
      <c r="B4770" s="158" t="s">
        <v>27</v>
      </c>
      <c r="C4770" s="158" t="s">
        <v>6049</v>
      </c>
      <c r="D4770" s="159">
        <v>45373.0</v>
      </c>
      <c r="E4770" s="157" t="s">
        <v>731</v>
      </c>
      <c r="F4770" s="160">
        <v>201416.93</v>
      </c>
      <c r="G4770" s="160">
        <f>'FACP$'!$F4770*0.16</f>
        <v>32226.7088</v>
      </c>
      <c r="H4770" s="250">
        <f t="shared" si="124"/>
        <v>233643.6388</v>
      </c>
      <c r="I4770" s="160"/>
      <c r="J4770" s="161"/>
      <c r="K4770" s="160"/>
      <c r="L4770" s="160">
        <f>+'FACP$'!$H4770-'FACP$'!$I4770-'FACP$'!$K4770</f>
        <v>233643.6388</v>
      </c>
      <c r="M4770" s="162" t="s">
        <v>151</v>
      </c>
      <c r="N4770" s="162" t="s">
        <v>554</v>
      </c>
      <c r="O4770" s="164">
        <v>45428.0</v>
      </c>
      <c r="P4770" s="164">
        <f t="array" ref="P4770">XLOOKUP('FACP$'!$B4770,'perfil de pagos'!$A$4:$A$46,'perfil de pagos'!$B$4:$B$46+'FACP$'!$D4770)</f>
        <v>45403</v>
      </c>
      <c r="Q4770" s="165">
        <f t="shared" si="128"/>
        <v>0</v>
      </c>
      <c r="R4770" s="167"/>
      <c r="S4770" s="167">
        <v>2984.0</v>
      </c>
      <c r="T4770" s="168">
        <f t="shared" si="3"/>
        <v>233643.6388</v>
      </c>
      <c r="U4770" s="168">
        <f t="shared" si="4"/>
        <v>0</v>
      </c>
      <c r="V4770" s="168">
        <f t="shared" si="5"/>
        <v>0</v>
      </c>
      <c r="W4770" s="168">
        <f t="shared" si="6"/>
        <v>0</v>
      </c>
      <c r="X4770" s="168">
        <f t="shared" si="7"/>
        <v>0</v>
      </c>
      <c r="Y4770" s="168">
        <f t="shared" si="8"/>
        <v>0</v>
      </c>
      <c r="Z4770" s="168">
        <f t="shared" si="9"/>
        <v>0</v>
      </c>
    </row>
    <row r="4771" ht="15.0" customHeight="1">
      <c r="A4771" s="157" t="s">
        <v>6053</v>
      </c>
      <c r="B4771" s="158" t="s">
        <v>27</v>
      </c>
      <c r="C4771" s="158" t="s">
        <v>6051</v>
      </c>
      <c r="D4771" s="159">
        <v>45373.0</v>
      </c>
      <c r="E4771" s="157" t="s">
        <v>731</v>
      </c>
      <c r="F4771" s="160">
        <v>197698.84</v>
      </c>
      <c r="G4771" s="160">
        <f>'FACP$'!$F4771*0.16</f>
        <v>31631.8144</v>
      </c>
      <c r="H4771" s="250">
        <f t="shared" si="124"/>
        <v>229330.6544</v>
      </c>
      <c r="I4771" s="160"/>
      <c r="J4771" s="161"/>
      <c r="K4771" s="160"/>
      <c r="L4771" s="160">
        <f>+'FACP$'!$H4771-'FACP$'!$I4771-'FACP$'!$K4771</f>
        <v>229330.6544</v>
      </c>
      <c r="M4771" s="162" t="s">
        <v>151</v>
      </c>
      <c r="N4771" s="162" t="s">
        <v>554</v>
      </c>
      <c r="O4771" s="164">
        <v>45428.0</v>
      </c>
      <c r="P4771" s="164">
        <f t="array" ref="P4771">XLOOKUP('FACP$'!$B4771,'perfil de pagos'!$A$4:$A$46,'perfil de pagos'!$B$4:$B$46+'FACP$'!$D4771)</f>
        <v>45403</v>
      </c>
      <c r="Q4771" s="165">
        <f t="shared" si="128"/>
        <v>0</v>
      </c>
      <c r="R4771" s="167"/>
      <c r="S4771" s="167">
        <v>2984.0</v>
      </c>
      <c r="T4771" s="168">
        <f t="shared" si="3"/>
        <v>229330.6544</v>
      </c>
      <c r="U4771" s="168">
        <f t="shared" si="4"/>
        <v>0</v>
      </c>
      <c r="V4771" s="168">
        <f t="shared" si="5"/>
        <v>0</v>
      </c>
      <c r="W4771" s="168">
        <f t="shared" si="6"/>
        <v>0</v>
      </c>
      <c r="X4771" s="168">
        <f t="shared" si="7"/>
        <v>0</v>
      </c>
      <c r="Y4771" s="168">
        <f t="shared" si="8"/>
        <v>0</v>
      </c>
      <c r="Z4771" s="168">
        <f t="shared" si="9"/>
        <v>0</v>
      </c>
    </row>
    <row r="4772" ht="15.0" customHeight="1">
      <c r="A4772" s="157" t="s">
        <v>6054</v>
      </c>
      <c r="B4772" s="158" t="s">
        <v>27</v>
      </c>
      <c r="C4772" s="158" t="s">
        <v>6049</v>
      </c>
      <c r="D4772" s="159">
        <v>45373.0</v>
      </c>
      <c r="E4772" s="157" t="s">
        <v>731</v>
      </c>
      <c r="F4772" s="160">
        <v>7775.46</v>
      </c>
      <c r="G4772" s="160">
        <f>'FACP$'!$F4772*0.16</f>
        <v>1244.0736</v>
      </c>
      <c r="H4772" s="250">
        <f t="shared" si="124"/>
        <v>9019.5336</v>
      </c>
      <c r="I4772" s="160"/>
      <c r="J4772" s="161"/>
      <c r="K4772" s="160"/>
      <c r="L4772" s="160">
        <f>+'FACP$'!$H4772-'FACP$'!$I4772-'FACP$'!$K4772</f>
        <v>9019.5336</v>
      </c>
      <c r="M4772" s="162" t="s">
        <v>151</v>
      </c>
      <c r="N4772" s="162" t="s">
        <v>554</v>
      </c>
      <c r="O4772" s="164">
        <v>45428.0</v>
      </c>
      <c r="P4772" s="164">
        <f t="array" ref="P4772">XLOOKUP('FACP$'!$B4772,'perfil de pagos'!$A$4:$A$46,'perfil de pagos'!$B$4:$B$46+'FACP$'!$D4772)</f>
        <v>45403</v>
      </c>
      <c r="Q4772" s="165">
        <f t="shared" si="128"/>
        <v>0</v>
      </c>
      <c r="R4772" s="167"/>
      <c r="S4772" s="167">
        <v>2984.0</v>
      </c>
      <c r="T4772" s="168">
        <f t="shared" si="3"/>
        <v>9019.5336</v>
      </c>
      <c r="U4772" s="168">
        <f t="shared" si="4"/>
        <v>0</v>
      </c>
      <c r="V4772" s="168">
        <f t="shared" si="5"/>
        <v>0</v>
      </c>
      <c r="W4772" s="168">
        <f t="shared" si="6"/>
        <v>0</v>
      </c>
      <c r="X4772" s="168">
        <f t="shared" si="7"/>
        <v>0</v>
      </c>
      <c r="Y4772" s="168">
        <f t="shared" si="8"/>
        <v>0</v>
      </c>
      <c r="Z4772" s="168">
        <f t="shared" si="9"/>
        <v>0</v>
      </c>
    </row>
    <row r="4773" ht="15.0" customHeight="1">
      <c r="A4773" s="157" t="s">
        <v>6055</v>
      </c>
      <c r="B4773" s="158" t="s">
        <v>27</v>
      </c>
      <c r="C4773" s="158" t="s">
        <v>6051</v>
      </c>
      <c r="D4773" s="159">
        <v>45373.0</v>
      </c>
      <c r="E4773" s="157" t="s">
        <v>731</v>
      </c>
      <c r="F4773" s="160">
        <v>13842.06</v>
      </c>
      <c r="G4773" s="160">
        <f>'FACP$'!$F4773*0.16</f>
        <v>2214.7296</v>
      </c>
      <c r="H4773" s="250">
        <f t="shared" si="124"/>
        <v>16056.7896</v>
      </c>
      <c r="I4773" s="160"/>
      <c r="J4773" s="161"/>
      <c r="K4773" s="160"/>
      <c r="L4773" s="160">
        <f>+'FACP$'!$H4773-'FACP$'!$I4773-'FACP$'!$K4773</f>
        <v>16056.7896</v>
      </c>
      <c r="M4773" s="162" t="s">
        <v>151</v>
      </c>
      <c r="N4773" s="162" t="s">
        <v>554</v>
      </c>
      <c r="O4773" s="164">
        <v>45428.0</v>
      </c>
      <c r="P4773" s="164">
        <f t="array" ref="P4773">XLOOKUP('FACP$'!$B4773,'perfil de pagos'!$A$4:$A$46,'perfil de pagos'!$B$4:$B$46+'FACP$'!$D4773)</f>
        <v>45403</v>
      </c>
      <c r="Q4773" s="165">
        <f t="shared" si="128"/>
        <v>0</v>
      </c>
      <c r="R4773" s="167"/>
      <c r="S4773" s="167">
        <v>2984.0</v>
      </c>
      <c r="T4773" s="168">
        <f t="shared" si="3"/>
        <v>16056.7896</v>
      </c>
      <c r="U4773" s="168">
        <f t="shared" si="4"/>
        <v>0</v>
      </c>
      <c r="V4773" s="168">
        <f t="shared" si="5"/>
        <v>0</v>
      </c>
      <c r="W4773" s="168">
        <f t="shared" si="6"/>
        <v>0</v>
      </c>
      <c r="X4773" s="168">
        <f t="shared" si="7"/>
        <v>0</v>
      </c>
      <c r="Y4773" s="168">
        <f t="shared" si="8"/>
        <v>0</v>
      </c>
      <c r="Z4773" s="168">
        <f t="shared" si="9"/>
        <v>0</v>
      </c>
    </row>
    <row r="4774" ht="15.0" customHeight="1">
      <c r="A4774" s="157" t="s">
        <v>6056</v>
      </c>
      <c r="B4774" s="158" t="s">
        <v>16</v>
      </c>
      <c r="C4774" s="158" t="s">
        <v>6036</v>
      </c>
      <c r="D4774" s="159">
        <v>45373.0</v>
      </c>
      <c r="E4774" s="157" t="s">
        <v>731</v>
      </c>
      <c r="F4774" s="160">
        <v>218457.53</v>
      </c>
      <c r="G4774" s="160">
        <f>'FACP$'!$F4774*0.16</f>
        <v>34953.2048</v>
      </c>
      <c r="H4774" s="160">
        <f t="shared" si="124"/>
        <v>253410.7348</v>
      </c>
      <c r="I4774" s="160"/>
      <c r="J4774" s="161"/>
      <c r="K4774" s="160"/>
      <c r="L4774" s="160">
        <f>+'FACP$'!$H4774-'FACP$'!$I4774-'FACP$'!$K4774</f>
        <v>253410.7348</v>
      </c>
      <c r="M4774" s="162" t="s">
        <v>985</v>
      </c>
      <c r="N4774" s="162" t="s">
        <v>554</v>
      </c>
      <c r="O4774" s="164">
        <v>45391.0</v>
      </c>
      <c r="P4774" s="164">
        <f t="array" ref="P4774">XLOOKUP('FACP$'!$B4774,'perfil de pagos'!$A$4:$A$46,'perfil de pagos'!$B$4:$B$46+'FACP$'!$D4774)</f>
        <v>45383</v>
      </c>
      <c r="Q4774" s="165">
        <f t="shared" si="128"/>
        <v>0</v>
      </c>
      <c r="R4774" s="167"/>
      <c r="S4774" s="167">
        <v>2921.0</v>
      </c>
      <c r="T4774" s="168">
        <f t="shared" si="3"/>
        <v>253410.7348</v>
      </c>
      <c r="U4774" s="168">
        <f t="shared" si="4"/>
        <v>0</v>
      </c>
      <c r="V4774" s="168">
        <f t="shared" si="5"/>
        <v>0</v>
      </c>
      <c r="W4774" s="168">
        <f t="shared" si="6"/>
        <v>0</v>
      </c>
      <c r="X4774" s="168">
        <f t="shared" si="7"/>
        <v>0</v>
      </c>
      <c r="Y4774" s="168">
        <f t="shared" si="8"/>
        <v>0</v>
      </c>
      <c r="Z4774" s="168">
        <f t="shared" si="9"/>
        <v>0</v>
      </c>
    </row>
    <row r="4775" ht="15.0" customHeight="1">
      <c r="A4775" s="157" t="s">
        <v>6057</v>
      </c>
      <c r="B4775" s="158" t="s">
        <v>16</v>
      </c>
      <c r="C4775" s="158" t="s">
        <v>6040</v>
      </c>
      <c r="D4775" s="159">
        <v>45373.0</v>
      </c>
      <c r="E4775" s="157" t="s">
        <v>731</v>
      </c>
      <c r="F4775" s="160">
        <v>396939.05</v>
      </c>
      <c r="G4775" s="160">
        <f>'FACP$'!$F4775*0.16</f>
        <v>63510.248</v>
      </c>
      <c r="H4775" s="160">
        <f t="shared" si="124"/>
        <v>460449.298</v>
      </c>
      <c r="I4775" s="160"/>
      <c r="J4775" s="161"/>
      <c r="K4775" s="160"/>
      <c r="L4775" s="160">
        <f>+'FACP$'!$H4775-'FACP$'!$I4775-'FACP$'!$K4775</f>
        <v>460449.298</v>
      </c>
      <c r="M4775" s="162" t="s">
        <v>985</v>
      </c>
      <c r="N4775" s="162" t="s">
        <v>554</v>
      </c>
      <c r="O4775" s="164">
        <v>45391.0</v>
      </c>
      <c r="P4775" s="164">
        <f t="array" ref="P4775">XLOOKUP('FACP$'!$B4775,'perfil de pagos'!$A$4:$A$46,'perfil de pagos'!$B$4:$B$46+'FACP$'!$D4775)</f>
        <v>45383</v>
      </c>
      <c r="Q4775" s="165">
        <f t="shared" si="128"/>
        <v>0</v>
      </c>
      <c r="R4775" s="167"/>
      <c r="S4775" s="167">
        <v>2921.0</v>
      </c>
      <c r="T4775" s="168">
        <f t="shared" si="3"/>
        <v>460449.298</v>
      </c>
      <c r="U4775" s="168">
        <f t="shared" si="4"/>
        <v>0</v>
      </c>
      <c r="V4775" s="168">
        <f t="shared" si="5"/>
        <v>0</v>
      </c>
      <c r="W4775" s="168">
        <f t="shared" si="6"/>
        <v>0</v>
      </c>
      <c r="X4775" s="168">
        <f t="shared" si="7"/>
        <v>0</v>
      </c>
      <c r="Y4775" s="168">
        <f t="shared" si="8"/>
        <v>0</v>
      </c>
      <c r="Z4775" s="168">
        <f t="shared" si="9"/>
        <v>0</v>
      </c>
    </row>
    <row r="4776" ht="15.0" customHeight="1">
      <c r="A4776" s="157" t="s">
        <v>6058</v>
      </c>
      <c r="B4776" s="158" t="s">
        <v>18</v>
      </c>
      <c r="C4776" s="158" t="s">
        <v>6036</v>
      </c>
      <c r="D4776" s="159">
        <v>45373.0</v>
      </c>
      <c r="E4776" s="157" t="s">
        <v>731</v>
      </c>
      <c r="F4776" s="160">
        <v>57905.08</v>
      </c>
      <c r="G4776" s="160">
        <f>'FACP$'!$F4776*0.16</f>
        <v>9264.8128</v>
      </c>
      <c r="H4776" s="160">
        <f t="shared" si="124"/>
        <v>67169.8928</v>
      </c>
      <c r="I4776" s="160"/>
      <c r="J4776" s="161"/>
      <c r="K4776" s="160"/>
      <c r="L4776" s="160">
        <f>+'FACP$'!$H4776-'FACP$'!$I4776-'FACP$'!$K4776</f>
        <v>67169.8928</v>
      </c>
      <c r="M4776" s="162" t="s">
        <v>586</v>
      </c>
      <c r="N4776" s="162" t="s">
        <v>554</v>
      </c>
      <c r="O4776" s="164">
        <v>45390.0</v>
      </c>
      <c r="P4776" s="164">
        <f t="array" ref="P4776">XLOOKUP('FACP$'!$B4776,'perfil de pagos'!$A$4:$A$46,'perfil de pagos'!$B$4:$B$46+'FACP$'!$D4776)</f>
        <v>45383</v>
      </c>
      <c r="Q4776" s="165">
        <f t="shared" si="128"/>
        <v>0</v>
      </c>
      <c r="R4776" s="167"/>
      <c r="S4776" s="167">
        <v>2917.0</v>
      </c>
      <c r="T4776" s="168">
        <f t="shared" si="3"/>
        <v>67169.8928</v>
      </c>
      <c r="U4776" s="168">
        <f t="shared" si="4"/>
        <v>0</v>
      </c>
      <c r="V4776" s="168">
        <f t="shared" si="5"/>
        <v>0</v>
      </c>
      <c r="W4776" s="168">
        <f t="shared" si="6"/>
        <v>0</v>
      </c>
      <c r="X4776" s="168">
        <f t="shared" si="7"/>
        <v>0</v>
      </c>
      <c r="Y4776" s="168">
        <f t="shared" si="8"/>
        <v>0</v>
      </c>
      <c r="Z4776" s="168">
        <f t="shared" si="9"/>
        <v>0</v>
      </c>
    </row>
    <row r="4777" ht="15.0" customHeight="1">
      <c r="A4777" s="157" t="s">
        <v>6059</v>
      </c>
      <c r="B4777" s="158" t="s">
        <v>19</v>
      </c>
      <c r="C4777" s="158" t="s">
        <v>6036</v>
      </c>
      <c r="D4777" s="159">
        <v>45373.0</v>
      </c>
      <c r="E4777" s="157" t="s">
        <v>731</v>
      </c>
      <c r="F4777" s="160">
        <v>133493.64</v>
      </c>
      <c r="G4777" s="160">
        <f>'FACP$'!$F4777*0.16</f>
        <v>21358.9824</v>
      </c>
      <c r="H4777" s="160">
        <f t="shared" si="124"/>
        <v>154852.6224</v>
      </c>
      <c r="I4777" s="160"/>
      <c r="J4777" s="161"/>
      <c r="K4777" s="160"/>
      <c r="L4777" s="160">
        <f>+'FACP$'!$H4777-'FACP$'!$I4777-'FACP$'!$K4777</f>
        <v>154852.6224</v>
      </c>
      <c r="M4777" s="162" t="s">
        <v>732</v>
      </c>
      <c r="N4777" s="162" t="s">
        <v>554</v>
      </c>
      <c r="O4777" s="164">
        <v>45390.0</v>
      </c>
      <c r="P4777" s="164">
        <f t="array" ref="P4777">XLOOKUP('FACP$'!$B4777,'perfil de pagos'!$A$4:$A$46,'perfil de pagos'!$B$4:$B$46+'FACP$'!$D4777)</f>
        <v>45383</v>
      </c>
      <c r="Q4777" s="165">
        <f t="shared" si="128"/>
        <v>0</v>
      </c>
      <c r="R4777" s="167"/>
      <c r="S4777" s="167">
        <v>2917.0</v>
      </c>
      <c r="T4777" s="168">
        <f t="shared" si="3"/>
        <v>154852.6224</v>
      </c>
      <c r="U4777" s="168">
        <f t="shared" si="4"/>
        <v>0</v>
      </c>
      <c r="V4777" s="168">
        <f t="shared" si="5"/>
        <v>0</v>
      </c>
      <c r="W4777" s="168">
        <f t="shared" si="6"/>
        <v>0</v>
      </c>
      <c r="X4777" s="168">
        <f t="shared" si="7"/>
        <v>0</v>
      </c>
      <c r="Y4777" s="168">
        <f t="shared" si="8"/>
        <v>0</v>
      </c>
      <c r="Z4777" s="168">
        <f t="shared" si="9"/>
        <v>0</v>
      </c>
    </row>
    <row r="4778" ht="15.0" customHeight="1">
      <c r="A4778" s="157" t="s">
        <v>6060</v>
      </c>
      <c r="B4778" s="158" t="s">
        <v>22</v>
      </c>
      <c r="C4778" s="158" t="s">
        <v>6036</v>
      </c>
      <c r="D4778" s="159">
        <v>45373.0</v>
      </c>
      <c r="E4778" s="157" t="s">
        <v>731</v>
      </c>
      <c r="F4778" s="160">
        <v>194904.04</v>
      </c>
      <c r="G4778" s="160">
        <f>'FACP$'!$F4778*0.16</f>
        <v>31184.6464</v>
      </c>
      <c r="H4778" s="160">
        <f t="shared" si="124"/>
        <v>226088.6864</v>
      </c>
      <c r="I4778" s="160">
        <v>12567.39</v>
      </c>
      <c r="J4778" s="161"/>
      <c r="K4778" s="160"/>
      <c r="L4778" s="160">
        <f>+'FACP$'!$H4778-'FACP$'!$I4778-'FACP$'!$K4778</f>
        <v>213521.2964</v>
      </c>
      <c r="M4778" s="162" t="s">
        <v>220</v>
      </c>
      <c r="N4778" s="162" t="s">
        <v>554</v>
      </c>
      <c r="O4778" s="164">
        <v>45428.0</v>
      </c>
      <c r="P4778" s="164">
        <f t="array" ref="P4778">XLOOKUP('FACP$'!$B4778,'perfil de pagos'!$A$4:$A$46,'perfil de pagos'!$B$4:$B$46+'FACP$'!$D4778)</f>
        <v>45383</v>
      </c>
      <c r="Q4778" s="165">
        <f t="shared" si="128"/>
        <v>0</v>
      </c>
      <c r="R4778" s="167"/>
      <c r="S4778" s="167">
        <v>2985.0</v>
      </c>
      <c r="T4778" s="168">
        <f t="shared" si="3"/>
        <v>213521.2964</v>
      </c>
      <c r="U4778" s="168">
        <f t="shared" si="4"/>
        <v>0</v>
      </c>
      <c r="V4778" s="168">
        <f t="shared" si="5"/>
        <v>0</v>
      </c>
      <c r="W4778" s="168">
        <f t="shared" si="6"/>
        <v>0</v>
      </c>
      <c r="X4778" s="168">
        <f t="shared" si="7"/>
        <v>0</v>
      </c>
      <c r="Y4778" s="168">
        <f t="shared" si="8"/>
        <v>0</v>
      </c>
      <c r="Z4778" s="168">
        <f t="shared" si="9"/>
        <v>0</v>
      </c>
    </row>
    <row r="4779" ht="15.0" customHeight="1">
      <c r="A4779" s="157" t="s">
        <v>6061</v>
      </c>
      <c r="B4779" s="158" t="s">
        <v>25</v>
      </c>
      <c r="C4779" s="158" t="s">
        <v>6036</v>
      </c>
      <c r="D4779" s="159">
        <v>45373.0</v>
      </c>
      <c r="E4779" s="157" t="s">
        <v>731</v>
      </c>
      <c r="F4779" s="160">
        <v>40084.38</v>
      </c>
      <c r="G4779" s="160">
        <f>'FACP$'!$F4779*0.16</f>
        <v>6413.5008</v>
      </c>
      <c r="H4779" s="160">
        <f t="shared" si="124"/>
        <v>46497.8808</v>
      </c>
      <c r="I4779" s="160"/>
      <c r="J4779" s="161"/>
      <c r="K4779" s="160"/>
      <c r="L4779" s="160">
        <f>+'FACP$'!$H4779-'FACP$'!$I4779-'FACP$'!$K4779</f>
        <v>46497.8808</v>
      </c>
      <c r="M4779" s="162" t="s">
        <v>4388</v>
      </c>
      <c r="N4779" s="162" t="s">
        <v>554</v>
      </c>
      <c r="O4779" s="164">
        <v>45390.0</v>
      </c>
      <c r="P4779" s="164">
        <f t="array" ref="P4779">XLOOKUP('FACP$'!$B4779,'perfil de pagos'!$A$4:$A$46,'perfil de pagos'!$B$4:$B$46+'FACP$'!$D4779)</f>
        <v>45383</v>
      </c>
      <c r="Q4779" s="165">
        <f t="shared" si="128"/>
        <v>0</v>
      </c>
      <c r="R4779" s="167"/>
      <c r="S4779" s="167">
        <v>2918.0</v>
      </c>
      <c r="T4779" s="168">
        <f t="shared" si="3"/>
        <v>46497.8808</v>
      </c>
      <c r="U4779" s="168">
        <f t="shared" si="4"/>
        <v>0</v>
      </c>
      <c r="V4779" s="168">
        <f t="shared" si="5"/>
        <v>0</v>
      </c>
      <c r="W4779" s="168">
        <f t="shared" si="6"/>
        <v>0</v>
      </c>
      <c r="X4779" s="168">
        <f t="shared" si="7"/>
        <v>0</v>
      </c>
      <c r="Y4779" s="168">
        <f t="shared" si="8"/>
        <v>0</v>
      </c>
      <c r="Z4779" s="168">
        <f t="shared" si="9"/>
        <v>0</v>
      </c>
    </row>
    <row r="4780" ht="15.0" customHeight="1">
      <c r="A4780" s="157" t="s">
        <v>6062</v>
      </c>
      <c r="B4780" s="158" t="s">
        <v>37</v>
      </c>
      <c r="C4780" s="158" t="s">
        <v>6036</v>
      </c>
      <c r="D4780" s="159">
        <v>45373.0</v>
      </c>
      <c r="E4780" s="157" t="s">
        <v>731</v>
      </c>
      <c r="F4780" s="160">
        <v>1153935.08</v>
      </c>
      <c r="G4780" s="160">
        <f>'FACP$'!$F4780*0.16</f>
        <v>184629.6128</v>
      </c>
      <c r="H4780" s="160">
        <f t="shared" si="124"/>
        <v>1338564.693</v>
      </c>
      <c r="I4780" s="160"/>
      <c r="J4780" s="161"/>
      <c r="K4780" s="160"/>
      <c r="L4780" s="160">
        <f>+'FACP$'!$H4780-'FACP$'!$I4780-'FACP$'!$K4780</f>
        <v>1338564.693</v>
      </c>
      <c r="M4780" s="162" t="s">
        <v>116</v>
      </c>
      <c r="N4780" s="162" t="s">
        <v>554</v>
      </c>
      <c r="O4780" s="164">
        <v>45390.0</v>
      </c>
      <c r="P4780" s="164">
        <f t="array" ref="P4780">XLOOKUP('FACP$'!$B4780,'perfil de pagos'!$A$4:$A$46,'perfil de pagos'!$B$4:$B$46+'FACP$'!$D4780)</f>
        <v>45383</v>
      </c>
      <c r="Q4780" s="165">
        <f t="shared" si="128"/>
        <v>0</v>
      </c>
      <c r="R4780" s="167"/>
      <c r="S4780" s="167">
        <v>2916.0</v>
      </c>
      <c r="T4780" s="168">
        <f t="shared" si="3"/>
        <v>1338564.693</v>
      </c>
      <c r="U4780" s="168">
        <f t="shared" si="4"/>
        <v>0</v>
      </c>
      <c r="V4780" s="168">
        <f t="shared" si="5"/>
        <v>0</v>
      </c>
      <c r="W4780" s="168">
        <f t="shared" si="6"/>
        <v>0</v>
      </c>
      <c r="X4780" s="168">
        <f t="shared" si="7"/>
        <v>0</v>
      </c>
      <c r="Y4780" s="168">
        <f t="shared" si="8"/>
        <v>0</v>
      </c>
      <c r="Z4780" s="168">
        <f t="shared" si="9"/>
        <v>0</v>
      </c>
    </row>
    <row r="4781" ht="15.0" customHeight="1">
      <c r="A4781" s="157" t="s">
        <v>6063</v>
      </c>
      <c r="B4781" s="158" t="s">
        <v>29</v>
      </c>
      <c r="C4781" s="158" t="s">
        <v>6036</v>
      </c>
      <c r="D4781" s="159">
        <v>45373.0</v>
      </c>
      <c r="E4781" s="157" t="s">
        <v>731</v>
      </c>
      <c r="F4781" s="160">
        <v>202075.82</v>
      </c>
      <c r="G4781" s="160">
        <f>'FACP$'!$F4781*0.16</f>
        <v>32332.1312</v>
      </c>
      <c r="H4781" s="160">
        <f t="shared" si="124"/>
        <v>234407.9512</v>
      </c>
      <c r="I4781" s="160"/>
      <c r="J4781" s="161"/>
      <c r="K4781" s="160"/>
      <c r="L4781" s="160">
        <f>+'FACP$'!$H4781-'FACP$'!$I4781-'FACP$'!$K4781</f>
        <v>234407.9512</v>
      </c>
      <c r="M4781" s="162" t="s">
        <v>130</v>
      </c>
      <c r="N4781" s="162" t="s">
        <v>554</v>
      </c>
      <c r="O4781" s="164">
        <v>45391.0</v>
      </c>
      <c r="P4781" s="164">
        <f t="array" ref="P4781">XLOOKUP('FACP$'!$B4781,'perfil de pagos'!$A$4:$A$46,'perfil de pagos'!$B$4:$B$46+'FACP$'!$D4781)</f>
        <v>45383</v>
      </c>
      <c r="Q4781" s="165">
        <f t="shared" si="128"/>
        <v>0</v>
      </c>
      <c r="R4781" s="167"/>
      <c r="S4781" s="167">
        <v>2919.0</v>
      </c>
      <c r="T4781" s="168">
        <f t="shared" si="3"/>
        <v>234407.9512</v>
      </c>
      <c r="U4781" s="168">
        <f t="shared" si="4"/>
        <v>0</v>
      </c>
      <c r="V4781" s="168">
        <f t="shared" si="5"/>
        <v>0</v>
      </c>
      <c r="W4781" s="168">
        <f t="shared" si="6"/>
        <v>0</v>
      </c>
      <c r="X4781" s="168">
        <f t="shared" si="7"/>
        <v>0</v>
      </c>
      <c r="Y4781" s="168">
        <f t="shared" si="8"/>
        <v>0</v>
      </c>
      <c r="Z4781" s="168">
        <f t="shared" si="9"/>
        <v>0</v>
      </c>
    </row>
    <row r="4782" ht="15.0" customHeight="1">
      <c r="A4782" s="157" t="s">
        <v>6064</v>
      </c>
      <c r="B4782" s="158" t="s">
        <v>29</v>
      </c>
      <c r="C4782" s="158" t="s">
        <v>6040</v>
      </c>
      <c r="D4782" s="159">
        <v>45373.0</v>
      </c>
      <c r="E4782" s="157" t="s">
        <v>731</v>
      </c>
      <c r="F4782" s="160">
        <v>353222.03</v>
      </c>
      <c r="G4782" s="160">
        <f>'FACP$'!$F4782*0.16</f>
        <v>56515.5248</v>
      </c>
      <c r="H4782" s="160">
        <f t="shared" si="124"/>
        <v>409737.5548</v>
      </c>
      <c r="I4782" s="160"/>
      <c r="J4782" s="161"/>
      <c r="K4782" s="160"/>
      <c r="L4782" s="160">
        <f>+'FACP$'!$H4782-'FACP$'!$I4782-'FACP$'!$K4782</f>
        <v>409737.5548</v>
      </c>
      <c r="M4782" s="162" t="s">
        <v>130</v>
      </c>
      <c r="N4782" s="162" t="s">
        <v>554</v>
      </c>
      <c r="O4782" s="164">
        <v>45391.0</v>
      </c>
      <c r="P4782" s="164">
        <f t="array" ref="P4782">XLOOKUP('FACP$'!$B4782,'perfil de pagos'!$A$4:$A$46,'perfil de pagos'!$B$4:$B$46+'FACP$'!$D4782)</f>
        <v>45383</v>
      </c>
      <c r="Q4782" s="165">
        <f t="shared" si="128"/>
        <v>0</v>
      </c>
      <c r="R4782" s="167"/>
      <c r="S4782" s="167">
        <v>2919.0</v>
      </c>
      <c r="T4782" s="168">
        <f t="shared" si="3"/>
        <v>409737.5548</v>
      </c>
      <c r="U4782" s="168">
        <f t="shared" si="4"/>
        <v>0</v>
      </c>
      <c r="V4782" s="168">
        <f t="shared" si="5"/>
        <v>0</v>
      </c>
      <c r="W4782" s="168">
        <f t="shared" si="6"/>
        <v>0</v>
      </c>
      <c r="X4782" s="168">
        <f t="shared" si="7"/>
        <v>0</v>
      </c>
      <c r="Y4782" s="168">
        <f t="shared" si="8"/>
        <v>0</v>
      </c>
      <c r="Z4782" s="168">
        <f t="shared" si="9"/>
        <v>0</v>
      </c>
    </row>
    <row r="4783" ht="15.0" customHeight="1">
      <c r="A4783" s="157" t="s">
        <v>6065</v>
      </c>
      <c r="B4783" s="158" t="s">
        <v>40</v>
      </c>
      <c r="C4783" s="158" t="s">
        <v>6036</v>
      </c>
      <c r="D4783" s="159">
        <v>45373.0</v>
      </c>
      <c r="E4783" s="157" t="s">
        <v>731</v>
      </c>
      <c r="F4783" s="160">
        <v>160091.9</v>
      </c>
      <c r="G4783" s="160">
        <f>'FACP$'!$F4783*0.16</f>
        <v>25614.704</v>
      </c>
      <c r="H4783" s="160">
        <f t="shared" si="124"/>
        <v>185706.604</v>
      </c>
      <c r="I4783" s="160"/>
      <c r="J4783" s="161"/>
      <c r="K4783" s="160"/>
      <c r="L4783" s="160">
        <f>+'FACP$'!$H4783-'FACP$'!$I4783-'FACP$'!$K4783</f>
        <v>185706.604</v>
      </c>
      <c r="M4783" s="162" t="s">
        <v>490</v>
      </c>
      <c r="N4783" s="162" t="s">
        <v>554</v>
      </c>
      <c r="O4783" s="164">
        <v>45407.0</v>
      </c>
      <c r="P4783" s="164">
        <f t="array" ref="P4783">XLOOKUP('FACP$'!$B4783,'perfil de pagos'!$A$4:$A$46,'perfil de pagos'!$B$4:$B$46+'FACP$'!$D4783)</f>
        <v>45403</v>
      </c>
      <c r="Q4783" s="165">
        <f t="shared" si="128"/>
        <v>0</v>
      </c>
      <c r="R4783" s="167"/>
      <c r="S4783" s="167"/>
      <c r="T4783" s="168">
        <f t="shared" si="3"/>
        <v>185706.604</v>
      </c>
      <c r="U4783" s="168">
        <f t="shared" si="4"/>
        <v>0</v>
      </c>
      <c r="V4783" s="168">
        <f t="shared" si="5"/>
        <v>0</v>
      </c>
      <c r="W4783" s="168">
        <f t="shared" si="6"/>
        <v>0</v>
      </c>
      <c r="X4783" s="168">
        <f t="shared" si="7"/>
        <v>0</v>
      </c>
      <c r="Y4783" s="168">
        <f t="shared" si="8"/>
        <v>0</v>
      </c>
      <c r="Z4783" s="168">
        <f t="shared" si="9"/>
        <v>0</v>
      </c>
    </row>
    <row r="4784" ht="15.0" customHeight="1">
      <c r="A4784" s="157" t="s">
        <v>6066</v>
      </c>
      <c r="B4784" s="158" t="s">
        <v>40</v>
      </c>
      <c r="C4784" s="158" t="s">
        <v>6040</v>
      </c>
      <c r="D4784" s="159">
        <v>45373.0</v>
      </c>
      <c r="E4784" s="157" t="s">
        <v>731</v>
      </c>
      <c r="F4784" s="160">
        <v>162346.15</v>
      </c>
      <c r="G4784" s="160">
        <f>'FACP$'!$F4784*0.16</f>
        <v>25975.384</v>
      </c>
      <c r="H4784" s="160">
        <f t="shared" si="124"/>
        <v>188321.534</v>
      </c>
      <c r="I4784" s="160">
        <v>148414.03</v>
      </c>
      <c r="J4784" s="161"/>
      <c r="K4784" s="160"/>
      <c r="L4784" s="160">
        <f>+'FACP$'!$H4784-'FACP$'!$I4784-'FACP$'!$K4784</f>
        <v>39907.504</v>
      </c>
      <c r="M4784" s="162" t="s">
        <v>490</v>
      </c>
      <c r="N4784" s="162" t="s">
        <v>554</v>
      </c>
      <c r="O4784" s="164">
        <v>45394.0</v>
      </c>
      <c r="P4784" s="164">
        <f t="array" ref="P4784">XLOOKUP('FACP$'!$B4784,'perfil de pagos'!$A$4:$A$46,'perfil de pagos'!$B$4:$B$46+'FACP$'!$D4784)</f>
        <v>45403</v>
      </c>
      <c r="Q4784" s="165">
        <f t="shared" si="128"/>
        <v>0</v>
      </c>
      <c r="R4784" s="167" t="s">
        <v>6067</v>
      </c>
      <c r="S4784" s="167" t="s">
        <v>6068</v>
      </c>
      <c r="T4784" s="168">
        <f t="shared" si="3"/>
        <v>39907.504</v>
      </c>
      <c r="U4784" s="168">
        <f t="shared" si="4"/>
        <v>0</v>
      </c>
      <c r="V4784" s="168">
        <f t="shared" si="5"/>
        <v>0</v>
      </c>
      <c r="W4784" s="168">
        <f t="shared" si="6"/>
        <v>0</v>
      </c>
      <c r="X4784" s="168">
        <f t="shared" si="7"/>
        <v>0</v>
      </c>
      <c r="Y4784" s="168">
        <f t="shared" si="8"/>
        <v>0</v>
      </c>
      <c r="Z4784" s="168">
        <f t="shared" si="9"/>
        <v>0</v>
      </c>
    </row>
    <row r="4785" ht="15.0" customHeight="1">
      <c r="A4785" s="157" t="s">
        <v>6069</v>
      </c>
      <c r="B4785" s="158" t="s">
        <v>38</v>
      </c>
      <c r="C4785" s="158" t="s">
        <v>6036</v>
      </c>
      <c r="D4785" s="159">
        <v>45376.0</v>
      </c>
      <c r="E4785" s="157" t="s">
        <v>731</v>
      </c>
      <c r="F4785" s="160">
        <v>441392.37</v>
      </c>
      <c r="G4785" s="160">
        <f>'FACP$'!$F4785*0.16</f>
        <v>70622.7792</v>
      </c>
      <c r="H4785" s="160">
        <f t="shared" si="124"/>
        <v>512015.1492</v>
      </c>
      <c r="I4785" s="160"/>
      <c r="J4785" s="161"/>
      <c r="K4785" s="160"/>
      <c r="L4785" s="160">
        <f>+'FACP$'!$H4785-'FACP$'!$I4785-'FACP$'!$K4785</f>
        <v>512015.1492</v>
      </c>
      <c r="M4785" s="162" t="s">
        <v>145</v>
      </c>
      <c r="N4785" s="162" t="s">
        <v>554</v>
      </c>
      <c r="O4785" s="164">
        <v>45427.0</v>
      </c>
      <c r="P4785" s="164">
        <f t="array" ref="P4785">XLOOKUP('FACP$'!$B4785,'perfil de pagos'!$A$4:$A$46,'perfil de pagos'!$B$4:$B$46+'FACP$'!$D4785)</f>
        <v>45406</v>
      </c>
      <c r="Q4785" s="165">
        <f t="shared" si="128"/>
        <v>0</v>
      </c>
      <c r="R4785" s="167"/>
      <c r="S4785" s="167">
        <v>2986.0</v>
      </c>
      <c r="T4785" s="168">
        <f t="shared" si="3"/>
        <v>512015.1492</v>
      </c>
      <c r="U4785" s="168">
        <f t="shared" si="4"/>
        <v>0</v>
      </c>
      <c r="V4785" s="168">
        <f t="shared" si="5"/>
        <v>0</v>
      </c>
      <c r="W4785" s="168">
        <f t="shared" si="6"/>
        <v>0</v>
      </c>
      <c r="X4785" s="168">
        <f t="shared" si="7"/>
        <v>0</v>
      </c>
      <c r="Y4785" s="168">
        <f t="shared" si="8"/>
        <v>0</v>
      </c>
      <c r="Z4785" s="168">
        <f t="shared" si="9"/>
        <v>0</v>
      </c>
    </row>
    <row r="4786" ht="15.0" customHeight="1">
      <c r="A4786" s="157" t="s">
        <v>6070</v>
      </c>
      <c r="B4786" s="158" t="s">
        <v>38</v>
      </c>
      <c r="C4786" s="158" t="s">
        <v>6036</v>
      </c>
      <c r="D4786" s="159">
        <v>45376.0</v>
      </c>
      <c r="E4786" s="157" t="s">
        <v>731</v>
      </c>
      <c r="F4786" s="160">
        <v>202892.3</v>
      </c>
      <c r="G4786" s="160">
        <f>'FACP$'!$F4786*0.16</f>
        <v>32462.768</v>
      </c>
      <c r="H4786" s="160">
        <f t="shared" si="124"/>
        <v>235355.068</v>
      </c>
      <c r="I4786" s="160"/>
      <c r="J4786" s="161"/>
      <c r="K4786" s="160"/>
      <c r="L4786" s="160">
        <f>+'FACP$'!$H4786-'FACP$'!$I4786-'FACP$'!$K4786</f>
        <v>235355.068</v>
      </c>
      <c r="M4786" s="162" t="s">
        <v>642</v>
      </c>
      <c r="N4786" s="162" t="s">
        <v>554</v>
      </c>
      <c r="O4786" s="164">
        <v>45427.0</v>
      </c>
      <c r="P4786" s="164">
        <f t="array" ref="P4786">XLOOKUP('FACP$'!$B4786,'perfil de pagos'!$A$4:$A$46,'perfil de pagos'!$B$4:$B$46+'FACP$'!$D4786)</f>
        <v>45406</v>
      </c>
      <c r="Q4786" s="165">
        <f t="shared" si="128"/>
        <v>0</v>
      </c>
      <c r="R4786" s="167"/>
      <c r="S4786" s="167">
        <v>2986.0</v>
      </c>
      <c r="T4786" s="168">
        <f t="shared" si="3"/>
        <v>235355.068</v>
      </c>
      <c r="U4786" s="168">
        <f t="shared" si="4"/>
        <v>0</v>
      </c>
      <c r="V4786" s="168">
        <f t="shared" si="5"/>
        <v>0</v>
      </c>
      <c r="W4786" s="168">
        <f t="shared" si="6"/>
        <v>0</v>
      </c>
      <c r="X4786" s="168">
        <f t="shared" si="7"/>
        <v>0</v>
      </c>
      <c r="Y4786" s="168">
        <f t="shared" si="8"/>
        <v>0</v>
      </c>
      <c r="Z4786" s="168">
        <f t="shared" si="9"/>
        <v>0</v>
      </c>
    </row>
    <row r="4787" ht="15.0" customHeight="1">
      <c r="A4787" s="157" t="s">
        <v>6071</v>
      </c>
      <c r="B4787" s="158" t="s">
        <v>40</v>
      </c>
      <c r="C4787" s="158" t="s">
        <v>6072</v>
      </c>
      <c r="D4787" s="159">
        <v>45376.0</v>
      </c>
      <c r="E4787" s="157" t="s">
        <v>731</v>
      </c>
      <c r="F4787" s="160">
        <v>331029.66</v>
      </c>
      <c r="G4787" s="160">
        <f>'FACP$'!$F4787*0.16</f>
        <v>52964.7456</v>
      </c>
      <c r="H4787" s="160">
        <f t="shared" si="124"/>
        <v>383994.4056</v>
      </c>
      <c r="I4787" s="160"/>
      <c r="J4787" s="161"/>
      <c r="K4787" s="160"/>
      <c r="L4787" s="160">
        <f>+'FACP$'!$H4787-'FACP$'!$I4787-'FACP$'!$K4787</f>
        <v>383994.4056</v>
      </c>
      <c r="M4787" s="162" t="s">
        <v>490</v>
      </c>
      <c r="N4787" s="162" t="s">
        <v>554</v>
      </c>
      <c r="O4787" s="164">
        <v>45407.0</v>
      </c>
      <c r="P4787" s="164">
        <f t="array" ref="P4787">XLOOKUP('FACP$'!$B4787,'perfil de pagos'!$A$4:$A$46,'perfil de pagos'!$B$4:$B$46+'FACP$'!$D4787)</f>
        <v>45406</v>
      </c>
      <c r="Q4787" s="165">
        <f t="shared" si="128"/>
        <v>0</v>
      </c>
      <c r="R4787" s="167"/>
      <c r="S4787" s="167"/>
      <c r="T4787" s="168">
        <f t="shared" si="3"/>
        <v>383994.4056</v>
      </c>
      <c r="U4787" s="168">
        <f t="shared" si="4"/>
        <v>0</v>
      </c>
      <c r="V4787" s="168">
        <f t="shared" si="5"/>
        <v>0</v>
      </c>
      <c r="W4787" s="168">
        <f t="shared" si="6"/>
        <v>0</v>
      </c>
      <c r="X4787" s="168">
        <f t="shared" si="7"/>
        <v>0</v>
      </c>
      <c r="Y4787" s="168">
        <f t="shared" si="8"/>
        <v>0</v>
      </c>
      <c r="Z4787" s="168">
        <f t="shared" si="9"/>
        <v>0</v>
      </c>
    </row>
    <row r="4788" ht="15.0" customHeight="1">
      <c r="A4788" s="299" t="s">
        <v>6073</v>
      </c>
      <c r="B4788" s="300" t="s">
        <v>27</v>
      </c>
      <c r="C4788" s="300" t="s">
        <v>6074</v>
      </c>
      <c r="D4788" s="301">
        <v>45378.0</v>
      </c>
      <c r="E4788" s="299" t="s">
        <v>731</v>
      </c>
      <c r="F4788" s="302">
        <v>0.0</v>
      </c>
      <c r="G4788" s="302">
        <f>'FACP$'!$F4788*0.16</f>
        <v>0</v>
      </c>
      <c r="H4788" s="302">
        <f t="shared" si="124"/>
        <v>0</v>
      </c>
      <c r="I4788" s="302"/>
      <c r="J4788" s="304"/>
      <c r="K4788" s="302"/>
      <c r="L4788" s="302">
        <f>+'FACP$'!$H4788-'FACP$'!$I4788-'FACP$'!$K4788</f>
        <v>0</v>
      </c>
      <c r="M4788" s="305" t="s">
        <v>158</v>
      </c>
      <c r="N4788" s="305" t="s">
        <v>127</v>
      </c>
      <c r="O4788" s="306"/>
      <c r="P4788" s="306">
        <f t="array" ref="P4788">XLOOKUP('FACP$'!$B4788,'perfil de pagos'!$A$4:$A$46,'perfil de pagos'!$B$4:$B$46+'FACP$'!$D4788)</f>
        <v>45408</v>
      </c>
      <c r="Q4788" s="307">
        <f t="shared" si="128"/>
        <v>0</v>
      </c>
      <c r="R4788" s="308"/>
      <c r="S4788" s="308"/>
      <c r="T4788" s="309">
        <f t="shared" si="3"/>
        <v>0</v>
      </c>
      <c r="U4788" s="309">
        <f t="shared" si="4"/>
        <v>0</v>
      </c>
      <c r="V4788" s="309">
        <f t="shared" si="5"/>
        <v>0</v>
      </c>
      <c r="W4788" s="309">
        <f t="shared" si="6"/>
        <v>0</v>
      </c>
      <c r="X4788" s="309">
        <f t="shared" si="7"/>
        <v>0</v>
      </c>
      <c r="Y4788" s="309">
        <f t="shared" si="8"/>
        <v>0</v>
      </c>
      <c r="Z4788" s="309">
        <f t="shared" si="9"/>
        <v>0</v>
      </c>
    </row>
    <row r="4789" ht="15.0" customHeight="1">
      <c r="A4789" s="157" t="s">
        <v>6075</v>
      </c>
      <c r="B4789" s="158" t="s">
        <v>27</v>
      </c>
      <c r="C4789" s="158" t="s">
        <v>6076</v>
      </c>
      <c r="D4789" s="159">
        <v>45378.0</v>
      </c>
      <c r="E4789" s="157" t="s">
        <v>731</v>
      </c>
      <c r="F4789" s="160">
        <v>82727.17</v>
      </c>
      <c r="G4789" s="160">
        <f>'FACP$'!$F4789*0.16</f>
        <v>13236.3472</v>
      </c>
      <c r="H4789" s="160">
        <f t="shared" si="124"/>
        <v>95963.5172</v>
      </c>
      <c r="I4789" s="160"/>
      <c r="J4789" s="161"/>
      <c r="K4789" s="160"/>
      <c r="L4789" s="160">
        <f>+'FACP$'!$H4789-'FACP$'!$I4789-'FACP$'!$K4789</f>
        <v>95963.5172</v>
      </c>
      <c r="M4789" s="162" t="s">
        <v>158</v>
      </c>
      <c r="N4789" s="162" t="s">
        <v>554</v>
      </c>
      <c r="O4789" s="164">
        <v>45448.0</v>
      </c>
      <c r="P4789" s="164">
        <f t="array" ref="P4789">XLOOKUP('FACP$'!$B4789,'perfil de pagos'!$A$4:$A$46,'perfil de pagos'!$B$4:$B$46+'FACP$'!$D4789)</f>
        <v>45408</v>
      </c>
      <c r="Q4789" s="165">
        <f t="shared" si="128"/>
        <v>0</v>
      </c>
      <c r="R4789" s="167"/>
      <c r="S4789" s="167">
        <v>3027.0</v>
      </c>
      <c r="T4789" s="168">
        <f t="shared" si="3"/>
        <v>95963.5172</v>
      </c>
      <c r="U4789" s="168">
        <f t="shared" si="4"/>
        <v>0</v>
      </c>
      <c r="V4789" s="168">
        <f t="shared" si="5"/>
        <v>0</v>
      </c>
      <c r="W4789" s="168">
        <f t="shared" si="6"/>
        <v>0</v>
      </c>
      <c r="X4789" s="168">
        <f t="shared" si="7"/>
        <v>0</v>
      </c>
      <c r="Y4789" s="168">
        <f t="shared" si="8"/>
        <v>0</v>
      </c>
      <c r="Z4789" s="168">
        <f t="shared" si="9"/>
        <v>0</v>
      </c>
    </row>
    <row r="4790" ht="15.0" customHeight="1">
      <c r="A4790" s="157" t="s">
        <v>6077</v>
      </c>
      <c r="B4790" s="158" t="s">
        <v>27</v>
      </c>
      <c r="C4790" s="158" t="s">
        <v>6074</v>
      </c>
      <c r="D4790" s="159">
        <v>45378.0</v>
      </c>
      <c r="E4790" s="157" t="s">
        <v>731</v>
      </c>
      <c r="F4790" s="160">
        <v>143359.91</v>
      </c>
      <c r="G4790" s="160">
        <f>'FACP$'!$F4790*0.16</f>
        <v>22937.5856</v>
      </c>
      <c r="H4790" s="160">
        <f t="shared" si="124"/>
        <v>166297.4956</v>
      </c>
      <c r="I4790" s="160"/>
      <c r="J4790" s="161"/>
      <c r="K4790" s="160"/>
      <c r="L4790" s="160">
        <f>+'FACP$'!$H4790-'FACP$'!$I4790-'FACP$'!$K4790</f>
        <v>166297.4956</v>
      </c>
      <c r="M4790" s="162" t="s">
        <v>151</v>
      </c>
      <c r="N4790" s="162" t="s">
        <v>554</v>
      </c>
      <c r="O4790" s="164">
        <v>45448.0</v>
      </c>
      <c r="P4790" s="164">
        <f t="array" ref="P4790">XLOOKUP('FACP$'!$B4790,'perfil de pagos'!$A$4:$A$46,'perfil de pagos'!$B$4:$B$46+'FACP$'!$D4790)</f>
        <v>45408</v>
      </c>
      <c r="Q4790" s="165">
        <f t="shared" si="128"/>
        <v>0</v>
      </c>
      <c r="R4790" s="167"/>
      <c r="S4790" s="167">
        <v>3028.0</v>
      </c>
      <c r="T4790" s="168">
        <f t="shared" si="3"/>
        <v>166297.4956</v>
      </c>
      <c r="U4790" s="168">
        <f t="shared" si="4"/>
        <v>0</v>
      </c>
      <c r="V4790" s="168">
        <f t="shared" si="5"/>
        <v>0</v>
      </c>
      <c r="W4790" s="168">
        <f t="shared" si="6"/>
        <v>0</v>
      </c>
      <c r="X4790" s="168">
        <f t="shared" si="7"/>
        <v>0</v>
      </c>
      <c r="Y4790" s="168">
        <f t="shared" si="8"/>
        <v>0</v>
      </c>
      <c r="Z4790" s="168">
        <f t="shared" si="9"/>
        <v>0</v>
      </c>
    </row>
    <row r="4791" ht="15.0" customHeight="1">
      <c r="A4791" s="157" t="s">
        <v>6078</v>
      </c>
      <c r="B4791" s="158" t="s">
        <v>27</v>
      </c>
      <c r="C4791" s="158" t="s">
        <v>6076</v>
      </c>
      <c r="D4791" s="159">
        <v>45378.0</v>
      </c>
      <c r="E4791" s="157" t="s">
        <v>731</v>
      </c>
      <c r="F4791" s="160">
        <v>143429.91</v>
      </c>
      <c r="G4791" s="160">
        <f>'FACP$'!$F4791*0.16</f>
        <v>22948.7856</v>
      </c>
      <c r="H4791" s="160">
        <f t="shared" si="124"/>
        <v>166378.6956</v>
      </c>
      <c r="I4791" s="160"/>
      <c r="J4791" s="161"/>
      <c r="K4791" s="160"/>
      <c r="L4791" s="160">
        <f>+'FACP$'!$H4791-'FACP$'!$I4791-'FACP$'!$K4791</f>
        <v>166378.6956</v>
      </c>
      <c r="M4791" s="162" t="s">
        <v>151</v>
      </c>
      <c r="N4791" s="162" t="s">
        <v>554</v>
      </c>
      <c r="O4791" s="164">
        <v>45448.0</v>
      </c>
      <c r="P4791" s="164">
        <f t="array" ref="P4791">XLOOKUP('FACP$'!$B4791,'perfil de pagos'!$A$4:$A$46,'perfil de pagos'!$B$4:$B$46+'FACP$'!$D4791)</f>
        <v>45408</v>
      </c>
      <c r="Q4791" s="165">
        <f t="shared" si="128"/>
        <v>0</v>
      </c>
      <c r="R4791" s="167"/>
      <c r="S4791" s="167">
        <v>3028.0</v>
      </c>
      <c r="T4791" s="168">
        <f t="shared" si="3"/>
        <v>166378.6956</v>
      </c>
      <c r="U4791" s="168">
        <f t="shared" si="4"/>
        <v>0</v>
      </c>
      <c r="V4791" s="168">
        <f t="shared" si="5"/>
        <v>0</v>
      </c>
      <c r="W4791" s="168">
        <f t="shared" si="6"/>
        <v>0</v>
      </c>
      <c r="X4791" s="168">
        <f t="shared" si="7"/>
        <v>0</v>
      </c>
      <c r="Y4791" s="168">
        <f t="shared" si="8"/>
        <v>0</v>
      </c>
      <c r="Z4791" s="168">
        <f t="shared" si="9"/>
        <v>0</v>
      </c>
    </row>
    <row r="4792" ht="15.0" customHeight="1">
      <c r="A4792" s="157" t="s">
        <v>6079</v>
      </c>
      <c r="B4792" s="158" t="s">
        <v>27</v>
      </c>
      <c r="C4792" s="158" t="s">
        <v>6074</v>
      </c>
      <c r="D4792" s="159">
        <v>45378.0</v>
      </c>
      <c r="E4792" s="157" t="s">
        <v>731</v>
      </c>
      <c r="F4792" s="160">
        <v>5117.67</v>
      </c>
      <c r="G4792" s="160">
        <f>'FACP$'!$F4792*0.16</f>
        <v>818.8272</v>
      </c>
      <c r="H4792" s="160">
        <f t="shared" si="124"/>
        <v>5936.4972</v>
      </c>
      <c r="I4792" s="160"/>
      <c r="J4792" s="161"/>
      <c r="K4792" s="160"/>
      <c r="L4792" s="160">
        <f>+'FACP$'!$H4792-'FACP$'!$I4792-'FACP$'!$K4792</f>
        <v>5936.4972</v>
      </c>
      <c r="M4792" s="162" t="s">
        <v>151</v>
      </c>
      <c r="N4792" s="162" t="s">
        <v>554</v>
      </c>
      <c r="O4792" s="164">
        <v>45448.0</v>
      </c>
      <c r="P4792" s="164">
        <f t="array" ref="P4792">XLOOKUP('FACP$'!$B4792,'perfil de pagos'!$A$4:$A$46,'perfil de pagos'!$B$4:$B$46+'FACP$'!$D4792)</f>
        <v>45408</v>
      </c>
      <c r="Q4792" s="165">
        <f t="shared" si="128"/>
        <v>0</v>
      </c>
      <c r="R4792" s="167"/>
      <c r="S4792" s="167">
        <v>3028.0</v>
      </c>
      <c r="T4792" s="168">
        <f t="shared" si="3"/>
        <v>5936.4972</v>
      </c>
      <c r="U4792" s="168">
        <f t="shared" si="4"/>
        <v>0</v>
      </c>
      <c r="V4792" s="168">
        <f t="shared" si="5"/>
        <v>0</v>
      </c>
      <c r="W4792" s="168">
        <f t="shared" si="6"/>
        <v>0</v>
      </c>
      <c r="X4792" s="168">
        <f t="shared" si="7"/>
        <v>0</v>
      </c>
      <c r="Y4792" s="168">
        <f t="shared" si="8"/>
        <v>0</v>
      </c>
      <c r="Z4792" s="168">
        <f t="shared" si="9"/>
        <v>0</v>
      </c>
    </row>
    <row r="4793" ht="15.0" customHeight="1">
      <c r="A4793" s="157" t="s">
        <v>6080</v>
      </c>
      <c r="B4793" s="158" t="s">
        <v>27</v>
      </c>
      <c r="C4793" s="158" t="s">
        <v>6076</v>
      </c>
      <c r="D4793" s="159">
        <v>45378.0</v>
      </c>
      <c r="E4793" s="157" t="s">
        <v>731</v>
      </c>
      <c r="F4793" s="160">
        <v>9586.74</v>
      </c>
      <c r="G4793" s="160">
        <f>'FACP$'!$F4793*0.16</f>
        <v>1533.8784</v>
      </c>
      <c r="H4793" s="160">
        <f t="shared" si="124"/>
        <v>11120.6184</v>
      </c>
      <c r="I4793" s="160"/>
      <c r="J4793" s="161"/>
      <c r="K4793" s="160"/>
      <c r="L4793" s="160">
        <f>+'FACP$'!$H4793-'FACP$'!$I4793-'FACP$'!$K4793</f>
        <v>11120.6184</v>
      </c>
      <c r="M4793" s="162" t="s">
        <v>151</v>
      </c>
      <c r="N4793" s="162" t="s">
        <v>554</v>
      </c>
      <c r="O4793" s="164">
        <v>45448.0</v>
      </c>
      <c r="P4793" s="164">
        <f t="array" ref="P4793">XLOOKUP('FACP$'!$B4793,'perfil de pagos'!$A$4:$A$46,'perfil de pagos'!$B$4:$B$46+'FACP$'!$D4793)</f>
        <v>45408</v>
      </c>
      <c r="Q4793" s="165">
        <f t="shared" si="128"/>
        <v>0</v>
      </c>
      <c r="R4793" s="167"/>
      <c r="S4793" s="167">
        <v>3028.0</v>
      </c>
      <c r="T4793" s="168">
        <f t="shared" si="3"/>
        <v>11120.6184</v>
      </c>
      <c r="U4793" s="168">
        <f t="shared" si="4"/>
        <v>0</v>
      </c>
      <c r="V4793" s="168">
        <f t="shared" si="5"/>
        <v>0</v>
      </c>
      <c r="W4793" s="168">
        <f t="shared" si="6"/>
        <v>0</v>
      </c>
      <c r="X4793" s="168">
        <f t="shared" si="7"/>
        <v>0</v>
      </c>
      <c r="Y4793" s="168">
        <f t="shared" si="8"/>
        <v>0</v>
      </c>
      <c r="Z4793" s="168">
        <f t="shared" si="9"/>
        <v>0</v>
      </c>
    </row>
    <row r="4794" ht="15.0" customHeight="1">
      <c r="A4794" s="157" t="s">
        <v>6081</v>
      </c>
      <c r="B4794" s="158" t="s">
        <v>41</v>
      </c>
      <c r="C4794" s="158" t="s">
        <v>6082</v>
      </c>
      <c r="D4794" s="159">
        <v>45384.0</v>
      </c>
      <c r="E4794" s="157" t="s">
        <v>731</v>
      </c>
      <c r="F4794" s="160">
        <v>706890.98</v>
      </c>
      <c r="G4794" s="160">
        <f>'FACP$'!$F4794*0.16</f>
        <v>113102.5568</v>
      </c>
      <c r="H4794" s="160">
        <f t="shared" si="124"/>
        <v>819993.5368</v>
      </c>
      <c r="I4794" s="160"/>
      <c r="J4794" s="161"/>
      <c r="K4794" s="160"/>
      <c r="L4794" s="160">
        <f>+'FACP$'!$H4794-'FACP$'!$I4794-'FACP$'!$K4794</f>
        <v>819993.5368</v>
      </c>
      <c r="M4794" s="162" t="s">
        <v>121</v>
      </c>
      <c r="N4794" s="162" t="s">
        <v>554</v>
      </c>
      <c r="O4794" s="164">
        <v>45436.0</v>
      </c>
      <c r="P4794" s="164">
        <f t="array" ref="P4794">XLOOKUP('FACP$'!$B4794,'perfil de pagos'!$A$4:$A$46,'perfil de pagos'!$B$4:$B$46+'FACP$'!$D4794)</f>
        <v>45394</v>
      </c>
      <c r="Q4794" s="165">
        <f t="shared" si="128"/>
        <v>0</v>
      </c>
      <c r="R4794" s="167"/>
      <c r="S4794" s="167">
        <v>3004.0</v>
      </c>
      <c r="T4794" s="168">
        <f t="shared" si="3"/>
        <v>819993.5368</v>
      </c>
      <c r="U4794" s="168">
        <f t="shared" si="4"/>
        <v>0</v>
      </c>
      <c r="V4794" s="168">
        <f t="shared" si="5"/>
        <v>0</v>
      </c>
      <c r="W4794" s="168">
        <f t="shared" si="6"/>
        <v>0</v>
      </c>
      <c r="X4794" s="168">
        <f t="shared" si="7"/>
        <v>0</v>
      </c>
      <c r="Y4794" s="168">
        <f t="shared" si="8"/>
        <v>0</v>
      </c>
      <c r="Z4794" s="168">
        <f t="shared" si="9"/>
        <v>0</v>
      </c>
    </row>
    <row r="4795" ht="15.0" customHeight="1">
      <c r="A4795" s="157" t="s">
        <v>6083</v>
      </c>
      <c r="B4795" s="158" t="s">
        <v>35</v>
      </c>
      <c r="C4795" s="158" t="s">
        <v>6082</v>
      </c>
      <c r="D4795" s="159">
        <v>45384.0</v>
      </c>
      <c r="E4795" s="157" t="s">
        <v>731</v>
      </c>
      <c r="F4795" s="160">
        <v>236899.3</v>
      </c>
      <c r="G4795" s="160">
        <f>'FACP$'!$F4795*0.16</f>
        <v>37903.888</v>
      </c>
      <c r="H4795" s="160">
        <f t="shared" si="124"/>
        <v>274803.188</v>
      </c>
      <c r="I4795" s="160"/>
      <c r="J4795" s="161"/>
      <c r="K4795" s="160"/>
      <c r="L4795" s="160">
        <f>+'FACP$'!$H4795-'FACP$'!$I4795-'FACP$'!$K4795</f>
        <v>274803.188</v>
      </c>
      <c r="M4795" s="162" t="s">
        <v>276</v>
      </c>
      <c r="N4795" s="162" t="s">
        <v>554</v>
      </c>
      <c r="O4795" s="164">
        <v>45397.0</v>
      </c>
      <c r="P4795" s="164">
        <f t="array" ref="P4795">XLOOKUP('FACP$'!$B4795,'perfil de pagos'!$A$4:$A$46,'perfil de pagos'!$B$4:$B$46+'FACP$'!$D4795)</f>
        <v>45394</v>
      </c>
      <c r="Q4795" s="165">
        <f t="shared" si="128"/>
        <v>0</v>
      </c>
      <c r="R4795" s="167"/>
      <c r="S4795" s="167">
        <v>2934.0</v>
      </c>
      <c r="T4795" s="168">
        <f t="shared" si="3"/>
        <v>274803.188</v>
      </c>
      <c r="U4795" s="168">
        <f t="shared" si="4"/>
        <v>0</v>
      </c>
      <c r="V4795" s="168">
        <f t="shared" si="5"/>
        <v>0</v>
      </c>
      <c r="W4795" s="168">
        <f t="shared" si="6"/>
        <v>0</v>
      </c>
      <c r="X4795" s="168">
        <f t="shared" si="7"/>
        <v>0</v>
      </c>
      <c r="Y4795" s="168">
        <f t="shared" si="8"/>
        <v>0</v>
      </c>
      <c r="Z4795" s="168">
        <f t="shared" si="9"/>
        <v>0</v>
      </c>
    </row>
    <row r="4796" ht="15.0" customHeight="1">
      <c r="A4796" s="157" t="s">
        <v>6084</v>
      </c>
      <c r="B4796" s="158" t="s">
        <v>36</v>
      </c>
      <c r="C4796" s="158" t="s">
        <v>6082</v>
      </c>
      <c r="D4796" s="159">
        <v>45384.0</v>
      </c>
      <c r="E4796" s="157" t="s">
        <v>731</v>
      </c>
      <c r="F4796" s="160">
        <v>160859.28</v>
      </c>
      <c r="G4796" s="160">
        <f>'FACP$'!$F4796*0.16</f>
        <v>25737.4848</v>
      </c>
      <c r="H4796" s="160">
        <f t="shared" si="124"/>
        <v>186596.7648</v>
      </c>
      <c r="I4796" s="160"/>
      <c r="J4796" s="161"/>
      <c r="K4796" s="160"/>
      <c r="L4796" s="160">
        <f>+'FACP$'!$H4796-'FACP$'!$I4796-'FACP$'!$K4796</f>
        <v>186596.7648</v>
      </c>
      <c r="M4796" s="162" t="s">
        <v>574</v>
      </c>
      <c r="N4796" s="162" t="s">
        <v>554</v>
      </c>
      <c r="O4796" s="164">
        <v>45394.0</v>
      </c>
      <c r="P4796" s="164">
        <f t="array" ref="P4796">XLOOKUP('FACP$'!$B4796,'perfil de pagos'!$A$4:$A$46,'perfil de pagos'!$B$4:$B$46+'FACP$'!$D4796)</f>
        <v>45394</v>
      </c>
      <c r="Q4796" s="165">
        <f t="shared" si="128"/>
        <v>0</v>
      </c>
      <c r="R4796" s="167"/>
      <c r="S4796" s="167">
        <v>2933.0</v>
      </c>
      <c r="T4796" s="168">
        <f t="shared" si="3"/>
        <v>186596.7648</v>
      </c>
      <c r="U4796" s="168">
        <f t="shared" si="4"/>
        <v>0</v>
      </c>
      <c r="V4796" s="168">
        <f t="shared" si="5"/>
        <v>0</v>
      </c>
      <c r="W4796" s="168">
        <f t="shared" si="6"/>
        <v>0</v>
      </c>
      <c r="X4796" s="168">
        <f t="shared" si="7"/>
        <v>0</v>
      </c>
      <c r="Y4796" s="168">
        <f t="shared" si="8"/>
        <v>0</v>
      </c>
      <c r="Z4796" s="168">
        <f t="shared" si="9"/>
        <v>0</v>
      </c>
    </row>
    <row r="4797" ht="15.0" customHeight="1">
      <c r="A4797" s="157" t="s">
        <v>6085</v>
      </c>
      <c r="B4797" s="158" t="s">
        <v>36</v>
      </c>
      <c r="C4797" s="158" t="s">
        <v>6086</v>
      </c>
      <c r="D4797" s="159">
        <v>45384.0</v>
      </c>
      <c r="E4797" s="157" t="s">
        <v>731</v>
      </c>
      <c r="F4797" s="160">
        <v>131016.55</v>
      </c>
      <c r="G4797" s="160">
        <f>'FACP$'!$F4797*0.16</f>
        <v>20962.648</v>
      </c>
      <c r="H4797" s="160">
        <f t="shared" si="124"/>
        <v>151979.198</v>
      </c>
      <c r="I4797" s="160"/>
      <c r="J4797" s="161"/>
      <c r="K4797" s="160"/>
      <c r="L4797" s="160">
        <f>+'FACP$'!$H4797-'FACP$'!$I4797-'FACP$'!$K4797</f>
        <v>151979.198</v>
      </c>
      <c r="M4797" s="162" t="s">
        <v>574</v>
      </c>
      <c r="N4797" s="162" t="s">
        <v>554</v>
      </c>
      <c r="O4797" s="164">
        <v>45394.0</v>
      </c>
      <c r="P4797" s="164">
        <f t="array" ref="P4797">XLOOKUP('FACP$'!$B4797,'perfil de pagos'!$A$4:$A$46,'perfil de pagos'!$B$4:$B$46+'FACP$'!$D4797)</f>
        <v>45394</v>
      </c>
      <c r="Q4797" s="165">
        <f t="shared" si="128"/>
        <v>0</v>
      </c>
      <c r="R4797" s="167"/>
      <c r="S4797" s="167">
        <v>2932.0</v>
      </c>
      <c r="T4797" s="168">
        <f t="shared" si="3"/>
        <v>151979.198</v>
      </c>
      <c r="U4797" s="168">
        <f t="shared" si="4"/>
        <v>0</v>
      </c>
      <c r="V4797" s="168">
        <f t="shared" si="5"/>
        <v>0</v>
      </c>
      <c r="W4797" s="168">
        <f t="shared" si="6"/>
        <v>0</v>
      </c>
      <c r="X4797" s="168">
        <f t="shared" si="7"/>
        <v>0</v>
      </c>
      <c r="Y4797" s="168">
        <f t="shared" si="8"/>
        <v>0</v>
      </c>
      <c r="Z4797" s="168">
        <f t="shared" si="9"/>
        <v>0</v>
      </c>
    </row>
    <row r="4798" ht="15.0" customHeight="1">
      <c r="A4798" s="157" t="s">
        <v>6087</v>
      </c>
      <c r="B4798" s="158" t="s">
        <v>42</v>
      </c>
      <c r="C4798" s="158" t="s">
        <v>6082</v>
      </c>
      <c r="D4798" s="159">
        <v>45384.0</v>
      </c>
      <c r="E4798" s="157" t="s">
        <v>731</v>
      </c>
      <c r="F4798" s="160">
        <v>64505.76</v>
      </c>
      <c r="G4798" s="160">
        <f>'FACP$'!$F4798*0.16</f>
        <v>10320.9216</v>
      </c>
      <c r="H4798" s="160">
        <f t="shared" si="124"/>
        <v>74826.6816</v>
      </c>
      <c r="I4798" s="160"/>
      <c r="J4798" s="161"/>
      <c r="K4798" s="160"/>
      <c r="L4798" s="160">
        <f>+'FACP$'!$H4798-'FACP$'!$I4798-'FACP$'!$K4798</f>
        <v>74826.6816</v>
      </c>
      <c r="M4798" s="162" t="s">
        <v>42</v>
      </c>
      <c r="N4798" s="162" t="s">
        <v>554</v>
      </c>
      <c r="O4798" s="164">
        <v>45393.0</v>
      </c>
      <c r="P4798" s="164">
        <f t="array" ref="P4798">XLOOKUP('FACP$'!$B4798,'perfil de pagos'!$A$4:$A$46,'perfil de pagos'!$B$4:$B$46+'FACP$'!$D4798)</f>
        <v>45394</v>
      </c>
      <c r="Q4798" s="165">
        <f t="shared" si="128"/>
        <v>0</v>
      </c>
      <c r="R4798" s="167"/>
      <c r="S4798" s="167">
        <v>2927.0</v>
      </c>
      <c r="T4798" s="168">
        <f t="shared" si="3"/>
        <v>74826.6816</v>
      </c>
      <c r="U4798" s="168">
        <f t="shared" si="4"/>
        <v>0</v>
      </c>
      <c r="V4798" s="168">
        <f t="shared" si="5"/>
        <v>0</v>
      </c>
      <c r="W4798" s="168">
        <f t="shared" si="6"/>
        <v>0</v>
      </c>
      <c r="X4798" s="168">
        <f t="shared" si="7"/>
        <v>0</v>
      </c>
      <c r="Y4798" s="168">
        <f t="shared" si="8"/>
        <v>0</v>
      </c>
      <c r="Z4798" s="168">
        <f t="shared" si="9"/>
        <v>0</v>
      </c>
    </row>
    <row r="4799" ht="15.0" customHeight="1">
      <c r="A4799" s="157" t="s">
        <v>6088</v>
      </c>
      <c r="B4799" s="158" t="s">
        <v>43</v>
      </c>
      <c r="C4799" s="158" t="s">
        <v>6082</v>
      </c>
      <c r="D4799" s="159">
        <v>45384.0</v>
      </c>
      <c r="E4799" s="157" t="s">
        <v>731</v>
      </c>
      <c r="F4799" s="160">
        <v>460586.33</v>
      </c>
      <c r="G4799" s="160">
        <f>'FACP$'!$F4799*0.16</f>
        <v>73693.8128</v>
      </c>
      <c r="H4799" s="160">
        <f t="shared" si="124"/>
        <v>534280.1428</v>
      </c>
      <c r="I4799" s="160"/>
      <c r="J4799" s="161"/>
      <c r="K4799" s="160"/>
      <c r="L4799" s="160">
        <f>+'FACP$'!$H4799-'FACP$'!$I4799-'FACP$'!$K4799</f>
        <v>534280.1428</v>
      </c>
      <c r="M4799" s="162" t="s">
        <v>43</v>
      </c>
      <c r="N4799" s="162" t="s">
        <v>554</v>
      </c>
      <c r="O4799" s="164">
        <v>45401.0</v>
      </c>
      <c r="P4799" s="164">
        <f t="array" ref="P4799">XLOOKUP('FACP$'!$B4799,'perfil de pagos'!$A$4:$A$46,'perfil de pagos'!$B$4:$B$46+'FACP$'!$D4799)</f>
        <v>45409</v>
      </c>
      <c r="Q4799" s="165">
        <f t="shared" si="128"/>
        <v>0</v>
      </c>
      <c r="R4799" s="167"/>
      <c r="S4799" s="167">
        <v>2941.0</v>
      </c>
      <c r="T4799" s="168">
        <f t="shared" si="3"/>
        <v>534280.1428</v>
      </c>
      <c r="U4799" s="168">
        <f t="shared" si="4"/>
        <v>0</v>
      </c>
      <c r="V4799" s="168">
        <f t="shared" si="5"/>
        <v>0</v>
      </c>
      <c r="W4799" s="168">
        <f t="shared" si="6"/>
        <v>0</v>
      </c>
      <c r="X4799" s="168">
        <f t="shared" si="7"/>
        <v>0</v>
      </c>
      <c r="Y4799" s="168">
        <f t="shared" si="8"/>
        <v>0</v>
      </c>
      <c r="Z4799" s="168">
        <f t="shared" si="9"/>
        <v>0</v>
      </c>
    </row>
    <row r="4800" ht="15.0" customHeight="1">
      <c r="A4800" s="157" t="s">
        <v>6089</v>
      </c>
      <c r="B4800" s="158" t="s">
        <v>43</v>
      </c>
      <c r="C4800" s="158" t="s">
        <v>6086</v>
      </c>
      <c r="D4800" s="159">
        <v>45384.0</v>
      </c>
      <c r="E4800" s="157" t="s">
        <v>731</v>
      </c>
      <c r="F4800" s="160">
        <v>699504.63</v>
      </c>
      <c r="G4800" s="160">
        <f>'FACP$'!$F4800*0.16</f>
        <v>111920.7408</v>
      </c>
      <c r="H4800" s="160">
        <f t="shared" si="124"/>
        <v>811425.3708</v>
      </c>
      <c r="I4800" s="160"/>
      <c r="J4800" s="161"/>
      <c r="K4800" s="160"/>
      <c r="L4800" s="160">
        <f>+'FACP$'!$H4800-'FACP$'!$I4800-'FACP$'!$K4800</f>
        <v>811425.3708</v>
      </c>
      <c r="M4800" s="162" t="s">
        <v>43</v>
      </c>
      <c r="N4800" s="162" t="s">
        <v>554</v>
      </c>
      <c r="O4800" s="164">
        <v>45408.0</v>
      </c>
      <c r="P4800" s="164">
        <f t="array" ref="P4800">XLOOKUP('FACP$'!$B4800,'perfil de pagos'!$A$4:$A$46,'perfil de pagos'!$B$4:$B$46+'FACP$'!$D4800)</f>
        <v>45409</v>
      </c>
      <c r="Q4800" s="165">
        <f t="shared" si="128"/>
        <v>0</v>
      </c>
      <c r="R4800" s="167"/>
      <c r="S4800" s="167">
        <v>2958.0</v>
      </c>
      <c r="T4800" s="168">
        <f t="shared" si="3"/>
        <v>811425.3708</v>
      </c>
      <c r="U4800" s="168">
        <f t="shared" si="4"/>
        <v>0</v>
      </c>
      <c r="V4800" s="168">
        <f t="shared" si="5"/>
        <v>0</v>
      </c>
      <c r="W4800" s="168">
        <f t="shared" si="6"/>
        <v>0</v>
      </c>
      <c r="X4800" s="168">
        <f t="shared" si="7"/>
        <v>0</v>
      </c>
      <c r="Y4800" s="168">
        <f t="shared" si="8"/>
        <v>0</v>
      </c>
      <c r="Z4800" s="168">
        <f t="shared" si="9"/>
        <v>0</v>
      </c>
    </row>
    <row r="4801" ht="15.0" customHeight="1">
      <c r="A4801" s="157" t="s">
        <v>6090</v>
      </c>
      <c r="B4801" s="158" t="s">
        <v>44</v>
      </c>
      <c r="C4801" s="158" t="s">
        <v>6082</v>
      </c>
      <c r="D4801" s="159">
        <v>45384.0</v>
      </c>
      <c r="E4801" s="157" t="s">
        <v>731</v>
      </c>
      <c r="F4801" s="160">
        <v>122495.41</v>
      </c>
      <c r="G4801" s="160">
        <f>'FACP$'!$F4801*0.16</f>
        <v>19599.2656</v>
      </c>
      <c r="H4801" s="160">
        <f t="shared" si="124"/>
        <v>142094.6756</v>
      </c>
      <c r="I4801" s="160"/>
      <c r="J4801" s="161"/>
      <c r="K4801" s="160"/>
      <c r="L4801" s="160">
        <f>+'FACP$'!$H4801-'FACP$'!$I4801-'FACP$'!$K4801</f>
        <v>142094.6756</v>
      </c>
      <c r="M4801" s="162" t="s">
        <v>361</v>
      </c>
      <c r="N4801" s="162" t="s">
        <v>554</v>
      </c>
      <c r="O4801" s="164">
        <v>45394.0</v>
      </c>
      <c r="P4801" s="164">
        <f t="array" ref="P4801">XLOOKUP('FACP$'!$B4801,'perfil de pagos'!$A$4:$A$46,'perfil de pagos'!$B$4:$B$46+'FACP$'!$D4801)</f>
        <v>45394</v>
      </c>
      <c r="Q4801" s="165">
        <f t="shared" si="128"/>
        <v>0</v>
      </c>
      <c r="R4801" s="167"/>
      <c r="S4801" s="171">
        <v>2928.0</v>
      </c>
      <c r="T4801" s="168">
        <f t="shared" si="3"/>
        <v>142094.6756</v>
      </c>
      <c r="U4801" s="168">
        <f t="shared" si="4"/>
        <v>0</v>
      </c>
      <c r="V4801" s="168">
        <f t="shared" si="5"/>
        <v>0</v>
      </c>
      <c r="W4801" s="168">
        <f t="shared" si="6"/>
        <v>0</v>
      </c>
      <c r="X4801" s="168">
        <f t="shared" si="7"/>
        <v>0</v>
      </c>
      <c r="Y4801" s="168">
        <f t="shared" si="8"/>
        <v>0</v>
      </c>
      <c r="Z4801" s="168">
        <f t="shared" si="9"/>
        <v>0</v>
      </c>
    </row>
    <row r="4802" ht="15.0" customHeight="1">
      <c r="A4802" s="157" t="s">
        <v>6091</v>
      </c>
      <c r="B4802" s="158" t="s">
        <v>27</v>
      </c>
      <c r="C4802" s="158" t="s">
        <v>6074</v>
      </c>
      <c r="D4802" s="159">
        <v>45385.0</v>
      </c>
      <c r="E4802" s="157" t="s">
        <v>731</v>
      </c>
      <c r="F4802" s="160">
        <v>5841.48</v>
      </c>
      <c r="G4802" s="160">
        <f>'FACP$'!$F4802*0.16</f>
        <v>934.6368</v>
      </c>
      <c r="H4802" s="160">
        <f t="shared" si="124"/>
        <v>6776.1168</v>
      </c>
      <c r="I4802" s="160"/>
      <c r="J4802" s="161"/>
      <c r="K4802" s="160"/>
      <c r="L4802" s="160">
        <f>+'FACP$'!$H4802-'FACP$'!$I4802-'FACP$'!$K4802</f>
        <v>6776.1168</v>
      </c>
      <c r="M4802" s="162" t="s">
        <v>158</v>
      </c>
      <c r="N4802" s="162" t="s">
        <v>554</v>
      </c>
      <c r="O4802" s="164">
        <v>45448.0</v>
      </c>
      <c r="P4802" s="164">
        <f t="array" ref="P4802">XLOOKUP('FACP$'!$B4802,'perfil de pagos'!$A$4:$A$46,'perfil de pagos'!$B$4:$B$46+'FACP$'!$D4802)</f>
        <v>45415</v>
      </c>
      <c r="Q4802" s="165">
        <f t="shared" si="128"/>
        <v>0</v>
      </c>
      <c r="R4802" s="167"/>
      <c r="S4802" s="167">
        <v>3027.0</v>
      </c>
      <c r="T4802" s="168">
        <f t="shared" si="3"/>
        <v>6776.1168</v>
      </c>
      <c r="U4802" s="168">
        <f t="shared" si="4"/>
        <v>0</v>
      </c>
      <c r="V4802" s="168">
        <f t="shared" si="5"/>
        <v>0</v>
      </c>
      <c r="W4802" s="168">
        <f t="shared" si="6"/>
        <v>0</v>
      </c>
      <c r="X4802" s="168">
        <f t="shared" si="7"/>
        <v>0</v>
      </c>
      <c r="Y4802" s="168">
        <f t="shared" si="8"/>
        <v>0</v>
      </c>
      <c r="Z4802" s="168">
        <f t="shared" si="9"/>
        <v>0</v>
      </c>
    </row>
    <row r="4803" ht="15.0" customHeight="1">
      <c r="A4803" s="157" t="s">
        <v>6092</v>
      </c>
      <c r="B4803" s="158" t="s">
        <v>27</v>
      </c>
      <c r="C4803" s="158" t="s">
        <v>6076</v>
      </c>
      <c r="D4803" s="159">
        <v>45385.0</v>
      </c>
      <c r="E4803" s="157" t="s">
        <v>731</v>
      </c>
      <c r="F4803" s="160">
        <v>30914.52</v>
      </c>
      <c r="G4803" s="160">
        <f>'FACP$'!$F4803*0.16</f>
        <v>4946.3232</v>
      </c>
      <c r="H4803" s="160">
        <f t="shared" si="124"/>
        <v>35860.8432</v>
      </c>
      <c r="I4803" s="160"/>
      <c r="J4803" s="161"/>
      <c r="K4803" s="160"/>
      <c r="L4803" s="160">
        <f>+'FACP$'!$H4803-'FACP$'!$I4803-'FACP$'!$K4803</f>
        <v>35860.8432</v>
      </c>
      <c r="M4803" s="162" t="s">
        <v>158</v>
      </c>
      <c r="N4803" s="162" t="s">
        <v>554</v>
      </c>
      <c r="O4803" s="164">
        <v>45448.0</v>
      </c>
      <c r="P4803" s="164">
        <f t="array" ref="P4803">XLOOKUP('FACP$'!$B4803,'perfil de pagos'!$A$4:$A$46,'perfil de pagos'!$B$4:$B$46+'FACP$'!$D4803)</f>
        <v>45415</v>
      </c>
      <c r="Q4803" s="165">
        <f t="shared" si="128"/>
        <v>0</v>
      </c>
      <c r="R4803" s="167"/>
      <c r="S4803" s="167">
        <v>3027.0</v>
      </c>
      <c r="T4803" s="168">
        <f t="shared" si="3"/>
        <v>35860.8432</v>
      </c>
      <c r="U4803" s="168">
        <f t="shared" si="4"/>
        <v>0</v>
      </c>
      <c r="V4803" s="168">
        <f t="shared" si="5"/>
        <v>0</v>
      </c>
      <c r="W4803" s="168">
        <f t="shared" si="6"/>
        <v>0</v>
      </c>
      <c r="X4803" s="168">
        <f t="shared" si="7"/>
        <v>0</v>
      </c>
      <c r="Y4803" s="168">
        <f t="shared" si="8"/>
        <v>0</v>
      </c>
      <c r="Z4803" s="168">
        <f t="shared" si="9"/>
        <v>0</v>
      </c>
    </row>
    <row r="4804" ht="15.0" customHeight="1">
      <c r="A4804" s="157" t="s">
        <v>6093</v>
      </c>
      <c r="B4804" s="158" t="s">
        <v>27</v>
      </c>
      <c r="C4804" s="158" t="s">
        <v>6074</v>
      </c>
      <c r="D4804" s="159">
        <v>45385.0</v>
      </c>
      <c r="E4804" s="157" t="s">
        <v>731</v>
      </c>
      <c r="F4804" s="160">
        <v>58914.19</v>
      </c>
      <c r="G4804" s="160">
        <f>'FACP$'!$F4804*0.16</f>
        <v>9426.2704</v>
      </c>
      <c r="H4804" s="160">
        <f t="shared" si="124"/>
        <v>68340.4604</v>
      </c>
      <c r="I4804" s="160"/>
      <c r="J4804" s="161"/>
      <c r="K4804" s="160"/>
      <c r="L4804" s="160">
        <f>+'FACP$'!$H4804-'FACP$'!$I4804-'FACP$'!$K4804</f>
        <v>68340.4604</v>
      </c>
      <c r="M4804" s="162" t="s">
        <v>151</v>
      </c>
      <c r="N4804" s="162" t="s">
        <v>554</v>
      </c>
      <c r="O4804" s="164">
        <v>45448.0</v>
      </c>
      <c r="P4804" s="164">
        <f t="array" ref="P4804">XLOOKUP('FACP$'!$B4804,'perfil de pagos'!$A$4:$A$46,'perfil de pagos'!$B$4:$B$46+'FACP$'!$D4804)</f>
        <v>45415</v>
      </c>
      <c r="Q4804" s="165">
        <f t="shared" si="128"/>
        <v>0</v>
      </c>
      <c r="R4804" s="167"/>
      <c r="S4804" s="167">
        <v>3028.0</v>
      </c>
      <c r="T4804" s="168">
        <f t="shared" si="3"/>
        <v>68340.4604</v>
      </c>
      <c r="U4804" s="168">
        <f t="shared" si="4"/>
        <v>0</v>
      </c>
      <c r="V4804" s="168">
        <f t="shared" si="5"/>
        <v>0</v>
      </c>
      <c r="W4804" s="168">
        <f t="shared" si="6"/>
        <v>0</v>
      </c>
      <c r="X4804" s="168">
        <f t="shared" si="7"/>
        <v>0</v>
      </c>
      <c r="Y4804" s="168">
        <f t="shared" si="8"/>
        <v>0</v>
      </c>
      <c r="Z4804" s="168">
        <f t="shared" si="9"/>
        <v>0</v>
      </c>
    </row>
    <row r="4805" ht="15.0" customHeight="1">
      <c r="A4805" s="157" t="s">
        <v>6094</v>
      </c>
      <c r="B4805" s="158" t="s">
        <v>27</v>
      </c>
      <c r="C4805" s="158" t="s">
        <v>6076</v>
      </c>
      <c r="D4805" s="159">
        <v>45385.0</v>
      </c>
      <c r="E4805" s="157" t="s">
        <v>731</v>
      </c>
      <c r="F4805" s="160">
        <v>53216.87</v>
      </c>
      <c r="G4805" s="160">
        <f>'FACP$'!$F4805*0.16</f>
        <v>8514.6992</v>
      </c>
      <c r="H4805" s="160">
        <f t="shared" si="124"/>
        <v>61731.5692</v>
      </c>
      <c r="I4805" s="160"/>
      <c r="J4805" s="161"/>
      <c r="K4805" s="160"/>
      <c r="L4805" s="160">
        <f>+'FACP$'!$H4805-'FACP$'!$I4805-'FACP$'!$K4805</f>
        <v>61731.5692</v>
      </c>
      <c r="M4805" s="162" t="s">
        <v>151</v>
      </c>
      <c r="N4805" s="162" t="s">
        <v>554</v>
      </c>
      <c r="O4805" s="164">
        <v>45448.0</v>
      </c>
      <c r="P4805" s="164">
        <f t="array" ref="P4805">XLOOKUP('FACP$'!$B4805,'perfil de pagos'!$A$4:$A$46,'perfil de pagos'!$B$4:$B$46+'FACP$'!$D4805)</f>
        <v>45415</v>
      </c>
      <c r="Q4805" s="165">
        <f t="shared" si="128"/>
        <v>0</v>
      </c>
      <c r="R4805" s="167"/>
      <c r="S4805" s="167">
        <v>3028.0</v>
      </c>
      <c r="T4805" s="168">
        <f t="shared" si="3"/>
        <v>61731.5692</v>
      </c>
      <c r="U4805" s="168">
        <f t="shared" si="4"/>
        <v>0</v>
      </c>
      <c r="V4805" s="168">
        <f t="shared" si="5"/>
        <v>0</v>
      </c>
      <c r="W4805" s="168">
        <f t="shared" si="6"/>
        <v>0</v>
      </c>
      <c r="X4805" s="168">
        <f t="shared" si="7"/>
        <v>0</v>
      </c>
      <c r="Y4805" s="168">
        <f t="shared" si="8"/>
        <v>0</v>
      </c>
      <c r="Z4805" s="168">
        <f t="shared" si="9"/>
        <v>0</v>
      </c>
    </row>
    <row r="4806" ht="15.0" customHeight="1">
      <c r="A4806" s="157" t="s">
        <v>6095</v>
      </c>
      <c r="B4806" s="158" t="s">
        <v>27</v>
      </c>
      <c r="C4806" s="158" t="s">
        <v>6074</v>
      </c>
      <c r="D4806" s="159">
        <v>45385.0</v>
      </c>
      <c r="E4806" s="157" t="s">
        <v>731</v>
      </c>
      <c r="F4806" s="160">
        <v>1977.04</v>
      </c>
      <c r="G4806" s="160">
        <f>'FACP$'!$F4806*0.16</f>
        <v>316.3264</v>
      </c>
      <c r="H4806" s="160">
        <f t="shared" si="124"/>
        <v>2293.3664</v>
      </c>
      <c r="I4806" s="160"/>
      <c r="J4806" s="161"/>
      <c r="K4806" s="160"/>
      <c r="L4806" s="160">
        <f>+'FACP$'!$H4806-'FACP$'!$I4806-'FACP$'!$K4806</f>
        <v>2293.3664</v>
      </c>
      <c r="M4806" s="162" t="s">
        <v>151</v>
      </c>
      <c r="N4806" s="162" t="s">
        <v>554</v>
      </c>
      <c r="O4806" s="164">
        <v>45448.0</v>
      </c>
      <c r="P4806" s="164">
        <f t="array" ref="P4806">XLOOKUP('FACP$'!$B4806,'perfil de pagos'!$A$4:$A$46,'perfil de pagos'!$B$4:$B$46+'FACP$'!$D4806)</f>
        <v>45415</v>
      </c>
      <c r="Q4806" s="165">
        <f t="shared" si="128"/>
        <v>0</v>
      </c>
      <c r="R4806" s="167"/>
      <c r="S4806" s="167">
        <v>3028.0</v>
      </c>
      <c r="T4806" s="168">
        <f t="shared" si="3"/>
        <v>2293.3664</v>
      </c>
      <c r="U4806" s="168">
        <f t="shared" si="4"/>
        <v>0</v>
      </c>
      <c r="V4806" s="168">
        <f t="shared" si="5"/>
        <v>0</v>
      </c>
      <c r="W4806" s="168">
        <f t="shared" si="6"/>
        <v>0</v>
      </c>
      <c r="X4806" s="168">
        <f t="shared" si="7"/>
        <v>0</v>
      </c>
      <c r="Y4806" s="168">
        <f t="shared" si="8"/>
        <v>0</v>
      </c>
      <c r="Z4806" s="168">
        <f t="shared" si="9"/>
        <v>0</v>
      </c>
    </row>
    <row r="4807" ht="15.0" customHeight="1">
      <c r="A4807" s="157" t="s">
        <v>6096</v>
      </c>
      <c r="B4807" s="158" t="s">
        <v>27</v>
      </c>
      <c r="C4807" s="158" t="s">
        <v>6076</v>
      </c>
      <c r="D4807" s="159">
        <v>45385.0</v>
      </c>
      <c r="E4807" s="157" t="s">
        <v>731</v>
      </c>
      <c r="F4807" s="160">
        <v>3884.42</v>
      </c>
      <c r="G4807" s="160">
        <f>'FACP$'!$F4807*0.16</f>
        <v>621.5072</v>
      </c>
      <c r="H4807" s="160">
        <f t="shared" si="124"/>
        <v>4505.9272</v>
      </c>
      <c r="I4807" s="160"/>
      <c r="J4807" s="161"/>
      <c r="K4807" s="160"/>
      <c r="L4807" s="160">
        <f>+'FACP$'!$H4807-'FACP$'!$I4807-'FACP$'!$K4807</f>
        <v>4505.9272</v>
      </c>
      <c r="M4807" s="162" t="s">
        <v>151</v>
      </c>
      <c r="N4807" s="162" t="s">
        <v>554</v>
      </c>
      <c r="O4807" s="164">
        <v>45448.0</v>
      </c>
      <c r="P4807" s="164">
        <f t="array" ref="P4807">XLOOKUP('FACP$'!$B4807,'perfil de pagos'!$A$4:$A$46,'perfil de pagos'!$B$4:$B$46+'FACP$'!$D4807)</f>
        <v>45415</v>
      </c>
      <c r="Q4807" s="165">
        <f t="shared" si="128"/>
        <v>0</v>
      </c>
      <c r="R4807" s="167"/>
      <c r="S4807" s="167">
        <v>3028.0</v>
      </c>
      <c r="T4807" s="168">
        <f t="shared" si="3"/>
        <v>4505.9272</v>
      </c>
      <c r="U4807" s="168">
        <f t="shared" si="4"/>
        <v>0</v>
      </c>
      <c r="V4807" s="168">
        <f t="shared" si="5"/>
        <v>0</v>
      </c>
      <c r="W4807" s="168">
        <f t="shared" si="6"/>
        <v>0</v>
      </c>
      <c r="X4807" s="168">
        <f t="shared" si="7"/>
        <v>0</v>
      </c>
      <c r="Y4807" s="168">
        <f t="shared" si="8"/>
        <v>0</v>
      </c>
      <c r="Z4807" s="168">
        <f t="shared" si="9"/>
        <v>0</v>
      </c>
    </row>
    <row r="4808" ht="15.0" customHeight="1">
      <c r="A4808" s="157" t="s">
        <v>6097</v>
      </c>
      <c r="B4808" s="158" t="s">
        <v>38</v>
      </c>
      <c r="C4808" s="158" t="s">
        <v>6082</v>
      </c>
      <c r="D4808" s="159">
        <v>45385.0</v>
      </c>
      <c r="E4808" s="157" t="s">
        <v>731</v>
      </c>
      <c r="F4808" s="160">
        <v>56533.56</v>
      </c>
      <c r="G4808" s="160">
        <f>'FACP$'!$F4808*0.16</f>
        <v>9045.3696</v>
      </c>
      <c r="H4808" s="160">
        <f t="shared" si="124"/>
        <v>65578.9296</v>
      </c>
      <c r="I4808" s="160"/>
      <c r="J4808" s="161"/>
      <c r="K4808" s="160"/>
      <c r="L4808" s="160">
        <f>+'FACP$'!$H4808-'FACP$'!$I4808-'FACP$'!$K4808</f>
        <v>65578.9296</v>
      </c>
      <c r="M4808" s="162" t="s">
        <v>4707</v>
      </c>
      <c r="N4808" s="162" t="s">
        <v>554</v>
      </c>
      <c r="O4808" s="164">
        <v>45448.0</v>
      </c>
      <c r="P4808" s="164">
        <f t="array" ref="P4808">XLOOKUP('FACP$'!$B4808,'perfil de pagos'!$A$4:$A$46,'perfil de pagos'!$B$4:$B$46+'FACP$'!$D4808)</f>
        <v>45415</v>
      </c>
      <c r="Q4808" s="165">
        <f t="shared" si="128"/>
        <v>0</v>
      </c>
      <c r="R4808" s="167"/>
      <c r="S4808" s="167">
        <v>3025.0</v>
      </c>
      <c r="T4808" s="168">
        <f t="shared" si="3"/>
        <v>65578.9296</v>
      </c>
      <c r="U4808" s="168">
        <f t="shared" si="4"/>
        <v>0</v>
      </c>
      <c r="V4808" s="168">
        <f t="shared" si="5"/>
        <v>0</v>
      </c>
      <c r="W4808" s="168">
        <f t="shared" si="6"/>
        <v>0</v>
      </c>
      <c r="X4808" s="168">
        <f t="shared" si="7"/>
        <v>0</v>
      </c>
      <c r="Y4808" s="168">
        <f t="shared" si="8"/>
        <v>0</v>
      </c>
      <c r="Z4808" s="168">
        <f t="shared" si="9"/>
        <v>0</v>
      </c>
    </row>
    <row r="4809" ht="15.0" customHeight="1">
      <c r="A4809" s="157" t="s">
        <v>6098</v>
      </c>
      <c r="B4809" s="158" t="s">
        <v>38</v>
      </c>
      <c r="C4809" s="158" t="s">
        <v>6086</v>
      </c>
      <c r="D4809" s="159">
        <v>45385.0</v>
      </c>
      <c r="E4809" s="157" t="s">
        <v>731</v>
      </c>
      <c r="F4809" s="160">
        <v>142347.84</v>
      </c>
      <c r="G4809" s="160">
        <f>'FACP$'!$F4809*0.16</f>
        <v>22775.6544</v>
      </c>
      <c r="H4809" s="160">
        <f t="shared" si="124"/>
        <v>165123.4944</v>
      </c>
      <c r="I4809" s="160"/>
      <c r="J4809" s="161"/>
      <c r="K4809" s="160"/>
      <c r="L4809" s="160">
        <f>+'FACP$'!$H4809-'FACP$'!$I4809-'FACP$'!$K4809</f>
        <v>165123.4944</v>
      </c>
      <c r="M4809" s="162" t="s">
        <v>4707</v>
      </c>
      <c r="N4809" s="162" t="s">
        <v>554</v>
      </c>
      <c r="O4809" s="164">
        <v>45448.0</v>
      </c>
      <c r="P4809" s="164">
        <f t="array" ref="P4809">XLOOKUP('FACP$'!$B4809,'perfil de pagos'!$A$4:$A$46,'perfil de pagos'!$B$4:$B$46+'FACP$'!$D4809)</f>
        <v>45415</v>
      </c>
      <c r="Q4809" s="165">
        <f t="shared" si="128"/>
        <v>0</v>
      </c>
      <c r="R4809" s="167"/>
      <c r="S4809" s="167">
        <v>3025.0</v>
      </c>
      <c r="T4809" s="168">
        <f t="shared" si="3"/>
        <v>165123.4944</v>
      </c>
      <c r="U4809" s="168">
        <f t="shared" si="4"/>
        <v>0</v>
      </c>
      <c r="V4809" s="168">
        <f t="shared" si="5"/>
        <v>0</v>
      </c>
      <c r="W4809" s="168">
        <f t="shared" si="6"/>
        <v>0</v>
      </c>
      <c r="X4809" s="168">
        <f t="shared" si="7"/>
        <v>0</v>
      </c>
      <c r="Y4809" s="168">
        <f t="shared" si="8"/>
        <v>0</v>
      </c>
      <c r="Z4809" s="168">
        <f t="shared" si="9"/>
        <v>0</v>
      </c>
    </row>
    <row r="4810" ht="15.0" customHeight="1">
      <c r="A4810" s="157" t="s">
        <v>6099</v>
      </c>
      <c r="B4810" s="158" t="s">
        <v>38</v>
      </c>
      <c r="C4810" s="158" t="s">
        <v>6082</v>
      </c>
      <c r="D4810" s="159">
        <v>45385.0</v>
      </c>
      <c r="E4810" s="157" t="s">
        <v>731</v>
      </c>
      <c r="F4810" s="160">
        <v>101533.71</v>
      </c>
      <c r="G4810" s="160">
        <f>'FACP$'!$F4810*0.16</f>
        <v>16245.3936</v>
      </c>
      <c r="H4810" s="160">
        <f t="shared" si="124"/>
        <v>117779.1036</v>
      </c>
      <c r="I4810" s="160"/>
      <c r="J4810" s="161"/>
      <c r="K4810" s="160"/>
      <c r="L4810" s="160">
        <f>+'FACP$'!$H4810-'FACP$'!$I4810-'FACP$'!$K4810</f>
        <v>117779.1036</v>
      </c>
      <c r="M4810" s="162" t="s">
        <v>4654</v>
      </c>
      <c r="N4810" s="162" t="s">
        <v>554</v>
      </c>
      <c r="O4810" s="164">
        <v>45448.0</v>
      </c>
      <c r="P4810" s="164">
        <f t="array" ref="P4810">XLOOKUP('FACP$'!$B4810,'perfil de pagos'!$A$4:$A$46,'perfil de pagos'!$B$4:$B$46+'FACP$'!$D4810)</f>
        <v>45415</v>
      </c>
      <c r="Q4810" s="165">
        <f t="shared" si="128"/>
        <v>0</v>
      </c>
      <c r="R4810" s="167"/>
      <c r="S4810" s="167">
        <v>3025.0</v>
      </c>
      <c r="T4810" s="168">
        <f t="shared" si="3"/>
        <v>117779.1036</v>
      </c>
      <c r="U4810" s="168">
        <f t="shared" si="4"/>
        <v>0</v>
      </c>
      <c r="V4810" s="168">
        <f t="shared" si="5"/>
        <v>0</v>
      </c>
      <c r="W4810" s="168">
        <f t="shared" si="6"/>
        <v>0</v>
      </c>
      <c r="X4810" s="168">
        <f t="shared" si="7"/>
        <v>0</v>
      </c>
      <c r="Y4810" s="168">
        <f t="shared" si="8"/>
        <v>0</v>
      </c>
      <c r="Z4810" s="168">
        <f t="shared" si="9"/>
        <v>0</v>
      </c>
    </row>
    <row r="4811" ht="15.0" customHeight="1">
      <c r="A4811" s="157" t="s">
        <v>6100</v>
      </c>
      <c r="B4811" s="158" t="s">
        <v>47</v>
      </c>
      <c r="C4811" s="158" t="s">
        <v>6101</v>
      </c>
      <c r="D4811" s="159">
        <v>45390.0</v>
      </c>
      <c r="E4811" s="157" t="s">
        <v>731</v>
      </c>
      <c r="F4811" s="160">
        <v>6049.24</v>
      </c>
      <c r="G4811" s="160">
        <f>'FACP$'!$F4811*0.16</f>
        <v>967.8784</v>
      </c>
      <c r="H4811" s="160">
        <f t="shared" si="124"/>
        <v>7017.1184</v>
      </c>
      <c r="I4811" s="160"/>
      <c r="J4811" s="161"/>
      <c r="K4811" s="160"/>
      <c r="L4811" s="160">
        <f>+'FACP$'!$H4811-'FACP$'!$I4811-'FACP$'!$K4811</f>
        <v>7017.1184</v>
      </c>
      <c r="M4811" s="162" t="s">
        <v>5854</v>
      </c>
      <c r="N4811" s="162" t="s">
        <v>554</v>
      </c>
      <c r="O4811" s="164">
        <v>45387.0</v>
      </c>
      <c r="P4811" s="164">
        <f t="array" ref="P4811">XLOOKUP('FACP$'!$B4811,'perfil de pagos'!$A$4:$A$46,'perfil de pagos'!$B$4:$B$46+'FACP$'!$D4811)</f>
        <v>45390</v>
      </c>
      <c r="Q4811" s="165">
        <f t="shared" si="128"/>
        <v>0</v>
      </c>
      <c r="R4811" s="167"/>
      <c r="S4811" s="167"/>
      <c r="T4811" s="168">
        <f t="shared" si="3"/>
        <v>7017.1184</v>
      </c>
      <c r="U4811" s="168">
        <f t="shared" si="4"/>
        <v>0</v>
      </c>
      <c r="V4811" s="168">
        <f t="shared" si="5"/>
        <v>0</v>
      </c>
      <c r="W4811" s="168">
        <f t="shared" si="6"/>
        <v>0</v>
      </c>
      <c r="X4811" s="168">
        <f t="shared" si="7"/>
        <v>0</v>
      </c>
      <c r="Y4811" s="168">
        <f t="shared" si="8"/>
        <v>0</v>
      </c>
      <c r="Z4811" s="168">
        <f t="shared" si="9"/>
        <v>0</v>
      </c>
    </row>
    <row r="4812" ht="15.0" customHeight="1">
      <c r="A4812" s="157" t="s">
        <v>6102</v>
      </c>
      <c r="B4812" s="158" t="s">
        <v>27</v>
      </c>
      <c r="C4812" s="158" t="s">
        <v>6103</v>
      </c>
      <c r="D4812" s="159">
        <v>45390.0</v>
      </c>
      <c r="E4812" s="157" t="s">
        <v>731</v>
      </c>
      <c r="F4812" s="160">
        <v>46000.0</v>
      </c>
      <c r="G4812" s="160">
        <f>'FACP$'!$F4812*0.16</f>
        <v>7360</v>
      </c>
      <c r="H4812" s="160">
        <f t="shared" si="124"/>
        <v>53360</v>
      </c>
      <c r="I4812" s="160"/>
      <c r="J4812" s="161"/>
      <c r="K4812" s="160"/>
      <c r="L4812" s="160">
        <f>+'FACP$'!$H4812-'FACP$'!$I4812-'FACP$'!$K4812</f>
        <v>53360</v>
      </c>
      <c r="M4812" s="162" t="s">
        <v>5804</v>
      </c>
      <c r="N4812" s="162" t="s">
        <v>554</v>
      </c>
      <c r="O4812" s="164">
        <v>45405.0</v>
      </c>
      <c r="P4812" s="164">
        <f t="array" ref="P4812">XLOOKUP('FACP$'!$B4812,'perfil de pagos'!$A$4:$A$46,'perfil de pagos'!$B$4:$B$46+'FACP$'!$D4812)</f>
        <v>45420</v>
      </c>
      <c r="Q4812" s="165">
        <f t="shared" si="128"/>
        <v>0</v>
      </c>
      <c r="R4812" s="167"/>
      <c r="S4812" s="167"/>
      <c r="T4812" s="168">
        <f t="shared" si="3"/>
        <v>53360</v>
      </c>
      <c r="U4812" s="168">
        <f t="shared" si="4"/>
        <v>0</v>
      </c>
      <c r="V4812" s="168">
        <f t="shared" si="5"/>
        <v>0</v>
      </c>
      <c r="W4812" s="168">
        <f t="shared" si="6"/>
        <v>0</v>
      </c>
      <c r="X4812" s="168">
        <f t="shared" si="7"/>
        <v>0</v>
      </c>
      <c r="Y4812" s="168">
        <f t="shared" si="8"/>
        <v>0</v>
      </c>
      <c r="Z4812" s="168">
        <f t="shared" si="9"/>
        <v>0</v>
      </c>
    </row>
    <row r="4813" ht="15.0" customHeight="1">
      <c r="A4813" s="157" t="s">
        <v>6104</v>
      </c>
      <c r="B4813" s="158" t="s">
        <v>16</v>
      </c>
      <c r="C4813" s="158" t="s">
        <v>6082</v>
      </c>
      <c r="D4813" s="159">
        <v>45393.0</v>
      </c>
      <c r="E4813" s="157" t="s">
        <v>731</v>
      </c>
      <c r="F4813" s="160">
        <v>257006.06</v>
      </c>
      <c r="G4813" s="160">
        <f>'FACP$'!$F4813*0.16</f>
        <v>41120.9696</v>
      </c>
      <c r="H4813" s="160">
        <f t="shared" si="124"/>
        <v>298127.0296</v>
      </c>
      <c r="I4813" s="160"/>
      <c r="J4813" s="161"/>
      <c r="K4813" s="160"/>
      <c r="L4813" s="160">
        <f>+'FACP$'!$H4813-'FACP$'!$I4813-'FACP$'!$K4813</f>
        <v>298127.0296</v>
      </c>
      <c r="M4813" s="162" t="s">
        <v>985</v>
      </c>
      <c r="N4813" s="162" t="s">
        <v>554</v>
      </c>
      <c r="O4813" s="164">
        <v>45404.0</v>
      </c>
      <c r="P4813" s="164">
        <f t="array" ref="P4813">XLOOKUP('FACP$'!$B4813,'perfil de pagos'!$A$4:$A$46,'perfil de pagos'!$B$4:$B$46+'FACP$'!$D4813)</f>
        <v>45403</v>
      </c>
      <c r="Q4813" s="165">
        <f t="shared" si="128"/>
        <v>0</v>
      </c>
      <c r="R4813" s="167"/>
      <c r="S4813" s="167">
        <v>2943.0</v>
      </c>
      <c r="T4813" s="168">
        <f t="shared" si="3"/>
        <v>298127.0296</v>
      </c>
      <c r="U4813" s="168">
        <f t="shared" si="4"/>
        <v>0</v>
      </c>
      <c r="V4813" s="168">
        <f t="shared" si="5"/>
        <v>0</v>
      </c>
      <c r="W4813" s="168">
        <f t="shared" si="6"/>
        <v>0</v>
      </c>
      <c r="X4813" s="168">
        <f t="shared" si="7"/>
        <v>0</v>
      </c>
      <c r="Y4813" s="168">
        <f t="shared" si="8"/>
        <v>0</v>
      </c>
      <c r="Z4813" s="168">
        <f t="shared" si="9"/>
        <v>0</v>
      </c>
    </row>
    <row r="4814" ht="15.0" customHeight="1">
      <c r="A4814" s="157" t="s">
        <v>6105</v>
      </c>
      <c r="B4814" s="158" t="s">
        <v>16</v>
      </c>
      <c r="C4814" s="158" t="s">
        <v>6076</v>
      </c>
      <c r="D4814" s="159">
        <v>45393.0</v>
      </c>
      <c r="E4814" s="157" t="s">
        <v>731</v>
      </c>
      <c r="F4814" s="160">
        <v>486527.84</v>
      </c>
      <c r="G4814" s="160">
        <f>'FACP$'!$F4814*0.16</f>
        <v>77844.4544</v>
      </c>
      <c r="H4814" s="160">
        <f t="shared" si="124"/>
        <v>564372.2944</v>
      </c>
      <c r="I4814" s="160"/>
      <c r="J4814" s="161"/>
      <c r="K4814" s="160"/>
      <c r="L4814" s="160">
        <f>+'FACP$'!$H4814-'FACP$'!$I4814-'FACP$'!$K4814</f>
        <v>564372.2944</v>
      </c>
      <c r="M4814" s="162" t="s">
        <v>985</v>
      </c>
      <c r="N4814" s="162" t="s">
        <v>554</v>
      </c>
      <c r="O4814" s="164">
        <v>45404.0</v>
      </c>
      <c r="P4814" s="164">
        <f t="array" ref="P4814">XLOOKUP('FACP$'!$B4814,'perfil de pagos'!$A$4:$A$46,'perfil de pagos'!$B$4:$B$46+'FACP$'!$D4814)</f>
        <v>45403</v>
      </c>
      <c r="Q4814" s="165">
        <f t="shared" si="128"/>
        <v>0</v>
      </c>
      <c r="R4814" s="167"/>
      <c r="S4814" s="167">
        <v>2943.0</v>
      </c>
      <c r="T4814" s="168">
        <f t="shared" si="3"/>
        <v>564372.2944</v>
      </c>
      <c r="U4814" s="168">
        <f t="shared" si="4"/>
        <v>0</v>
      </c>
      <c r="V4814" s="168">
        <f t="shared" si="5"/>
        <v>0</v>
      </c>
      <c r="W4814" s="168">
        <f t="shared" si="6"/>
        <v>0</v>
      </c>
      <c r="X4814" s="168">
        <f t="shared" si="7"/>
        <v>0</v>
      </c>
      <c r="Y4814" s="168">
        <f t="shared" si="8"/>
        <v>0</v>
      </c>
      <c r="Z4814" s="168">
        <f t="shared" si="9"/>
        <v>0</v>
      </c>
    </row>
    <row r="4815" ht="15.0" customHeight="1">
      <c r="A4815" s="157" t="s">
        <v>6106</v>
      </c>
      <c r="B4815" s="158" t="s">
        <v>18</v>
      </c>
      <c r="C4815" s="158" t="s">
        <v>6082</v>
      </c>
      <c r="D4815" s="159">
        <v>45393.0</v>
      </c>
      <c r="E4815" s="157" t="s">
        <v>731</v>
      </c>
      <c r="F4815" s="160">
        <v>61446.96</v>
      </c>
      <c r="G4815" s="160">
        <f>'FACP$'!$F4815*0.16</f>
        <v>9831.5136</v>
      </c>
      <c r="H4815" s="160">
        <f t="shared" si="124"/>
        <v>71278.4736</v>
      </c>
      <c r="I4815" s="160"/>
      <c r="J4815" s="161"/>
      <c r="K4815" s="160"/>
      <c r="L4815" s="160">
        <f>+'FACP$'!$H4815-'FACP$'!$I4815-'FACP$'!$K4815</f>
        <v>71278.4736</v>
      </c>
      <c r="M4815" s="162" t="s">
        <v>586</v>
      </c>
      <c r="N4815" s="162" t="s">
        <v>554</v>
      </c>
      <c r="O4815" s="164">
        <v>45429.0</v>
      </c>
      <c r="P4815" s="164">
        <f t="array" ref="P4815">XLOOKUP('FACP$'!$B4815,'perfil de pagos'!$A$4:$A$46,'perfil de pagos'!$B$4:$B$46+'FACP$'!$D4815)</f>
        <v>45403</v>
      </c>
      <c r="Q4815" s="165">
        <f t="shared" si="128"/>
        <v>0</v>
      </c>
      <c r="R4815" s="167"/>
      <c r="S4815" s="167">
        <v>2992.0</v>
      </c>
      <c r="T4815" s="168">
        <f t="shared" si="3"/>
        <v>71278.4736</v>
      </c>
      <c r="U4815" s="168">
        <f t="shared" si="4"/>
        <v>0</v>
      </c>
      <c r="V4815" s="168">
        <f t="shared" si="5"/>
        <v>0</v>
      </c>
      <c r="W4815" s="168">
        <f t="shared" si="6"/>
        <v>0</v>
      </c>
      <c r="X4815" s="168">
        <f t="shared" si="7"/>
        <v>0</v>
      </c>
      <c r="Y4815" s="168">
        <f t="shared" si="8"/>
        <v>0</v>
      </c>
      <c r="Z4815" s="168">
        <f t="shared" si="9"/>
        <v>0</v>
      </c>
    </row>
    <row r="4816" ht="15.0" customHeight="1">
      <c r="A4816" s="157" t="s">
        <v>6107</v>
      </c>
      <c r="B4816" s="158" t="s">
        <v>19</v>
      </c>
      <c r="C4816" s="158" t="s">
        <v>6082</v>
      </c>
      <c r="D4816" s="159">
        <v>45393.0</v>
      </c>
      <c r="E4816" s="157" t="s">
        <v>731</v>
      </c>
      <c r="F4816" s="160">
        <v>131242.28</v>
      </c>
      <c r="G4816" s="160">
        <f>'FACP$'!$F4816*0.16</f>
        <v>20998.7648</v>
      </c>
      <c r="H4816" s="160">
        <f t="shared" si="124"/>
        <v>152241.0448</v>
      </c>
      <c r="I4816" s="160"/>
      <c r="J4816" s="161"/>
      <c r="K4816" s="160"/>
      <c r="L4816" s="160">
        <f>+'FACP$'!$H4816-'FACP$'!$I4816-'FACP$'!$K4816</f>
        <v>152241.0448</v>
      </c>
      <c r="M4816" s="162" t="s">
        <v>732</v>
      </c>
      <c r="N4816" s="162" t="s">
        <v>554</v>
      </c>
      <c r="O4816" s="164">
        <v>45429.0</v>
      </c>
      <c r="P4816" s="164">
        <f t="array" ref="P4816">XLOOKUP('FACP$'!$B4816,'perfil de pagos'!$A$4:$A$46,'perfil de pagos'!$B$4:$B$46+'FACP$'!$D4816)</f>
        <v>45403</v>
      </c>
      <c r="Q4816" s="165">
        <f t="shared" si="128"/>
        <v>0</v>
      </c>
      <c r="R4816" s="167"/>
      <c r="S4816" s="167">
        <v>2992.0</v>
      </c>
      <c r="T4816" s="168">
        <f t="shared" si="3"/>
        <v>152241.0448</v>
      </c>
      <c r="U4816" s="168">
        <f t="shared" si="4"/>
        <v>0</v>
      </c>
      <c r="V4816" s="168">
        <f t="shared" si="5"/>
        <v>0</v>
      </c>
      <c r="W4816" s="168">
        <f t="shared" si="6"/>
        <v>0</v>
      </c>
      <c r="X4816" s="168">
        <f t="shared" si="7"/>
        <v>0</v>
      </c>
      <c r="Y4816" s="168">
        <f t="shared" si="8"/>
        <v>0</v>
      </c>
      <c r="Z4816" s="168">
        <f t="shared" si="9"/>
        <v>0</v>
      </c>
    </row>
    <row r="4817" ht="15.0" customHeight="1">
      <c r="A4817" s="157" t="s">
        <v>6108</v>
      </c>
      <c r="B4817" s="158" t="s">
        <v>22</v>
      </c>
      <c r="C4817" s="158" t="s">
        <v>6082</v>
      </c>
      <c r="D4817" s="159">
        <v>45393.0</v>
      </c>
      <c r="E4817" s="157" t="s">
        <v>731</v>
      </c>
      <c r="F4817" s="160">
        <v>209063.33</v>
      </c>
      <c r="G4817" s="160">
        <f>'FACP$'!$F4817*0.16</f>
        <v>33450.1328</v>
      </c>
      <c r="H4817" s="160">
        <f t="shared" si="124"/>
        <v>242513.4628</v>
      </c>
      <c r="I4817" s="160">
        <v>136478.78</v>
      </c>
      <c r="J4817" s="161"/>
      <c r="K4817" s="160"/>
      <c r="L4817" s="160">
        <f>+'FACP$'!$H4817-'FACP$'!$I4817-'FACP$'!$K4817</f>
        <v>106034.6828</v>
      </c>
      <c r="M4817" s="162" t="s">
        <v>220</v>
      </c>
      <c r="N4817" s="162" t="s">
        <v>554</v>
      </c>
      <c r="O4817" s="164">
        <v>45436.0</v>
      </c>
      <c r="P4817" s="164">
        <f t="array" ref="P4817">XLOOKUP('FACP$'!$B4817,'perfil de pagos'!$A$4:$A$46,'perfil de pagos'!$B$4:$B$46+'FACP$'!$D4817)</f>
        <v>45403</v>
      </c>
      <c r="Q4817" s="165">
        <f t="shared" si="128"/>
        <v>0</v>
      </c>
      <c r="R4817" s="220" t="s">
        <v>6109</v>
      </c>
      <c r="S4817" s="220" t="s">
        <v>6110</v>
      </c>
      <c r="T4817" s="168">
        <f t="shared" si="3"/>
        <v>106034.6828</v>
      </c>
      <c r="U4817" s="168">
        <f t="shared" si="4"/>
        <v>0</v>
      </c>
      <c r="V4817" s="168">
        <f t="shared" si="5"/>
        <v>0</v>
      </c>
      <c r="W4817" s="168">
        <f t="shared" si="6"/>
        <v>0</v>
      </c>
      <c r="X4817" s="168">
        <f t="shared" si="7"/>
        <v>0</v>
      </c>
      <c r="Y4817" s="168">
        <f t="shared" si="8"/>
        <v>0</v>
      </c>
      <c r="Z4817" s="168">
        <f t="shared" si="9"/>
        <v>0</v>
      </c>
    </row>
    <row r="4818" ht="15.0" customHeight="1">
      <c r="A4818" s="157" t="s">
        <v>6111</v>
      </c>
      <c r="B4818" s="158" t="s">
        <v>25</v>
      </c>
      <c r="C4818" s="158" t="s">
        <v>6082</v>
      </c>
      <c r="D4818" s="159">
        <v>45393.0</v>
      </c>
      <c r="E4818" s="157" t="s">
        <v>731</v>
      </c>
      <c r="F4818" s="160">
        <v>50871.44</v>
      </c>
      <c r="G4818" s="160">
        <f>'FACP$'!$F4818*0.16</f>
        <v>8139.4304</v>
      </c>
      <c r="H4818" s="160">
        <f t="shared" si="124"/>
        <v>59010.8704</v>
      </c>
      <c r="I4818" s="160"/>
      <c r="J4818" s="161"/>
      <c r="K4818" s="160"/>
      <c r="L4818" s="160">
        <f>+'FACP$'!$H4818-'FACP$'!$I4818-'FACP$'!$K4818</f>
        <v>59010.8704</v>
      </c>
      <c r="M4818" s="162" t="s">
        <v>4388</v>
      </c>
      <c r="N4818" s="162" t="s">
        <v>554</v>
      </c>
      <c r="O4818" s="164">
        <v>45457.0</v>
      </c>
      <c r="P4818" s="164">
        <f t="array" ref="P4818">XLOOKUP('FACP$'!$B4818,'perfil de pagos'!$A$4:$A$46,'perfil de pagos'!$B$4:$B$46+'FACP$'!$D4818)</f>
        <v>45403</v>
      </c>
      <c r="Q4818" s="165">
        <f t="shared" si="128"/>
        <v>0</v>
      </c>
      <c r="R4818" s="167"/>
      <c r="S4818" s="167">
        <v>3056.0</v>
      </c>
      <c r="T4818" s="168">
        <f t="shared" si="3"/>
        <v>59010.8704</v>
      </c>
      <c r="U4818" s="168">
        <f t="shared" si="4"/>
        <v>0</v>
      </c>
      <c r="V4818" s="168">
        <f t="shared" si="5"/>
        <v>0</v>
      </c>
      <c r="W4818" s="168">
        <f t="shared" si="6"/>
        <v>0</v>
      </c>
      <c r="X4818" s="168">
        <f t="shared" si="7"/>
        <v>0</v>
      </c>
      <c r="Y4818" s="168">
        <f t="shared" si="8"/>
        <v>0</v>
      </c>
      <c r="Z4818" s="168">
        <f t="shared" si="9"/>
        <v>0</v>
      </c>
    </row>
    <row r="4819" ht="15.0" customHeight="1">
      <c r="A4819" s="157" t="s">
        <v>6112</v>
      </c>
      <c r="B4819" s="158" t="s">
        <v>37</v>
      </c>
      <c r="C4819" s="158" t="s">
        <v>6082</v>
      </c>
      <c r="D4819" s="159">
        <v>45393.0</v>
      </c>
      <c r="E4819" s="157" t="s">
        <v>731</v>
      </c>
      <c r="F4819" s="160">
        <v>1393824.78</v>
      </c>
      <c r="G4819" s="160">
        <f>'FACP$'!$F4819*0.16</f>
        <v>223011.9648</v>
      </c>
      <c r="H4819" s="160">
        <f t="shared" si="124"/>
        <v>1616836.745</v>
      </c>
      <c r="I4819" s="160"/>
      <c r="J4819" s="161"/>
      <c r="K4819" s="160"/>
      <c r="L4819" s="160">
        <f>+'FACP$'!$H4819-'FACP$'!$I4819-'FACP$'!$K4819</f>
        <v>1616836.745</v>
      </c>
      <c r="M4819" s="162" t="s">
        <v>116</v>
      </c>
      <c r="N4819" s="162" t="s">
        <v>554</v>
      </c>
      <c r="O4819" s="164">
        <v>45418.0</v>
      </c>
      <c r="P4819" s="164">
        <f t="array" ref="P4819">XLOOKUP('FACP$'!$B4819,'perfil de pagos'!$A$4:$A$46,'perfil de pagos'!$B$4:$B$46+'FACP$'!$D4819)</f>
        <v>45403</v>
      </c>
      <c r="Q4819" s="165">
        <f t="shared" si="128"/>
        <v>0</v>
      </c>
      <c r="R4819" s="167"/>
      <c r="S4819" s="167">
        <v>2967.0</v>
      </c>
      <c r="T4819" s="168">
        <f t="shared" si="3"/>
        <v>1616836.745</v>
      </c>
      <c r="U4819" s="168">
        <f t="shared" si="4"/>
        <v>0</v>
      </c>
      <c r="V4819" s="168">
        <f t="shared" si="5"/>
        <v>0</v>
      </c>
      <c r="W4819" s="168">
        <f t="shared" si="6"/>
        <v>0</v>
      </c>
      <c r="X4819" s="168">
        <f t="shared" si="7"/>
        <v>0</v>
      </c>
      <c r="Y4819" s="168">
        <f t="shared" si="8"/>
        <v>0</v>
      </c>
      <c r="Z4819" s="168">
        <f t="shared" si="9"/>
        <v>0</v>
      </c>
    </row>
    <row r="4820" ht="15.0" customHeight="1">
      <c r="A4820" s="157" t="s">
        <v>6113</v>
      </c>
      <c r="B4820" s="158" t="s">
        <v>29</v>
      </c>
      <c r="C4820" s="158" t="s">
        <v>6082</v>
      </c>
      <c r="D4820" s="159">
        <v>45393.0</v>
      </c>
      <c r="E4820" s="157" t="s">
        <v>731</v>
      </c>
      <c r="F4820" s="160">
        <v>249707.03</v>
      </c>
      <c r="G4820" s="160">
        <f>'FACP$'!$F4820*0.16</f>
        <v>39953.1248</v>
      </c>
      <c r="H4820" s="160">
        <f t="shared" si="124"/>
        <v>289660.1548</v>
      </c>
      <c r="I4820" s="160"/>
      <c r="J4820" s="161"/>
      <c r="K4820" s="160"/>
      <c r="L4820" s="160">
        <f>+'FACP$'!$H4820-'FACP$'!$I4820-'FACP$'!$K4820</f>
        <v>289660.1548</v>
      </c>
      <c r="M4820" s="162" t="s">
        <v>130</v>
      </c>
      <c r="N4820" s="162" t="s">
        <v>554</v>
      </c>
      <c r="O4820" s="164">
        <v>45400.0</v>
      </c>
      <c r="P4820" s="164">
        <f t="array" ref="P4820">XLOOKUP('FACP$'!$B4820,'perfil de pagos'!$A$4:$A$46,'perfil de pagos'!$B$4:$B$46+'FACP$'!$D4820)</f>
        <v>45403</v>
      </c>
      <c r="Q4820" s="165">
        <f t="shared" si="128"/>
        <v>0</v>
      </c>
      <c r="R4820" s="167"/>
      <c r="S4820" s="167">
        <v>2965.0</v>
      </c>
      <c r="T4820" s="168">
        <f t="shared" si="3"/>
        <v>289660.1548</v>
      </c>
      <c r="U4820" s="168">
        <f t="shared" si="4"/>
        <v>0</v>
      </c>
      <c r="V4820" s="168">
        <f t="shared" si="5"/>
        <v>0</v>
      </c>
      <c r="W4820" s="168">
        <f t="shared" si="6"/>
        <v>0</v>
      </c>
      <c r="X4820" s="168">
        <f t="shared" si="7"/>
        <v>0</v>
      </c>
      <c r="Y4820" s="168">
        <f t="shared" si="8"/>
        <v>0</v>
      </c>
      <c r="Z4820" s="168">
        <f t="shared" si="9"/>
        <v>0</v>
      </c>
    </row>
    <row r="4821" ht="15.0" customHeight="1">
      <c r="A4821" s="157" t="s">
        <v>6114</v>
      </c>
      <c r="B4821" s="158" t="s">
        <v>29</v>
      </c>
      <c r="C4821" s="158" t="s">
        <v>6076</v>
      </c>
      <c r="D4821" s="159">
        <v>45393.0</v>
      </c>
      <c r="E4821" s="157" t="s">
        <v>731</v>
      </c>
      <c r="F4821" s="160">
        <v>482526.41</v>
      </c>
      <c r="G4821" s="160">
        <f>'FACP$'!$F4821*0.16</f>
        <v>77204.2256</v>
      </c>
      <c r="H4821" s="160">
        <f t="shared" si="124"/>
        <v>559730.6356</v>
      </c>
      <c r="I4821" s="160"/>
      <c r="J4821" s="161"/>
      <c r="K4821" s="160"/>
      <c r="L4821" s="160">
        <f>+'FACP$'!$H4821-'FACP$'!$I4821-'FACP$'!$K4821</f>
        <v>559730.6356</v>
      </c>
      <c r="M4821" s="162" t="s">
        <v>130</v>
      </c>
      <c r="N4821" s="162" t="s">
        <v>554</v>
      </c>
      <c r="O4821" s="164">
        <v>45418.0</v>
      </c>
      <c r="P4821" s="164">
        <f t="array" ref="P4821">XLOOKUP('FACP$'!$B4821,'perfil de pagos'!$A$4:$A$46,'perfil de pagos'!$B$4:$B$46+'FACP$'!$D4821)</f>
        <v>45403</v>
      </c>
      <c r="Q4821" s="165">
        <f t="shared" si="128"/>
        <v>0</v>
      </c>
      <c r="R4821" s="167"/>
      <c r="S4821" s="167">
        <v>2967.0</v>
      </c>
      <c r="T4821" s="168">
        <f t="shared" si="3"/>
        <v>559730.6356</v>
      </c>
      <c r="U4821" s="168">
        <f t="shared" si="4"/>
        <v>0</v>
      </c>
      <c r="V4821" s="168">
        <f t="shared" si="5"/>
        <v>0</v>
      </c>
      <c r="W4821" s="168">
        <f t="shared" si="6"/>
        <v>0</v>
      </c>
      <c r="X4821" s="168">
        <f t="shared" si="7"/>
        <v>0</v>
      </c>
      <c r="Y4821" s="168">
        <f t="shared" si="8"/>
        <v>0</v>
      </c>
      <c r="Z4821" s="168">
        <f t="shared" si="9"/>
        <v>0</v>
      </c>
    </row>
    <row r="4822" ht="15.0" customHeight="1">
      <c r="A4822" s="299" t="s">
        <v>6115</v>
      </c>
      <c r="B4822" s="300" t="s">
        <v>40</v>
      </c>
      <c r="C4822" s="300" t="s">
        <v>6082</v>
      </c>
      <c r="D4822" s="301">
        <v>45393.0</v>
      </c>
      <c r="E4822" s="299" t="s">
        <v>731</v>
      </c>
      <c r="F4822" s="302">
        <v>203543.16</v>
      </c>
      <c r="G4822" s="302">
        <f>'FACP$'!$F4822*0.16</f>
        <v>32566.9056</v>
      </c>
      <c r="H4822" s="303">
        <f t="shared" si="124"/>
        <v>236110.0656</v>
      </c>
      <c r="I4822" s="302"/>
      <c r="J4822" s="304"/>
      <c r="K4822" s="302"/>
      <c r="L4822" s="302">
        <f>+'FACP$'!$H4822-'FACP$'!$I4822-'FACP$'!$K4822</f>
        <v>236110.0656</v>
      </c>
      <c r="M4822" s="305" t="s">
        <v>490</v>
      </c>
      <c r="N4822" s="305" t="s">
        <v>127</v>
      </c>
      <c r="O4822" s="306"/>
      <c r="P4822" s="306">
        <f t="array" ref="P4822">XLOOKUP('FACP$'!$B4822,'perfil de pagos'!$A$4:$A$46,'perfil de pagos'!$B$4:$B$46+'FACP$'!$D4822)</f>
        <v>45423</v>
      </c>
      <c r="Q4822" s="307">
        <f t="shared" si="128"/>
        <v>0</v>
      </c>
      <c r="R4822" s="308" t="s">
        <v>6116</v>
      </c>
      <c r="S4822" s="308"/>
      <c r="T4822" s="309">
        <f t="shared" si="3"/>
        <v>236110.0656</v>
      </c>
      <c r="U4822" s="309">
        <f t="shared" si="4"/>
        <v>0</v>
      </c>
      <c r="V4822" s="309">
        <f t="shared" si="5"/>
        <v>0</v>
      </c>
      <c r="W4822" s="309">
        <f t="shared" si="6"/>
        <v>0</v>
      </c>
      <c r="X4822" s="309">
        <f t="shared" si="7"/>
        <v>0</v>
      </c>
      <c r="Y4822" s="309">
        <f t="shared" si="8"/>
        <v>0</v>
      </c>
      <c r="Z4822" s="309">
        <f t="shared" si="9"/>
        <v>0</v>
      </c>
    </row>
    <row r="4823" ht="15.0" customHeight="1">
      <c r="A4823" s="157" t="s">
        <v>6117</v>
      </c>
      <c r="B4823" s="158" t="s">
        <v>40</v>
      </c>
      <c r="C4823" s="158" t="s">
        <v>6076</v>
      </c>
      <c r="D4823" s="159">
        <v>45393.0</v>
      </c>
      <c r="E4823" s="157" t="s">
        <v>731</v>
      </c>
      <c r="F4823" s="160">
        <v>260671.92</v>
      </c>
      <c r="G4823" s="160">
        <f>'FACP$'!$F4823*0.16</f>
        <v>41707.5072</v>
      </c>
      <c r="H4823" s="160">
        <f t="shared" si="124"/>
        <v>302379.4272</v>
      </c>
      <c r="I4823" s="160"/>
      <c r="J4823" s="260">
        <f>'NCP$'!A290</f>
        <v>394</v>
      </c>
      <c r="K4823" s="259">
        <f>'NCP$'!H290</f>
        <v>53249.684</v>
      </c>
      <c r="L4823" s="160">
        <f>+'FACP$'!$H4823-'FACP$'!$I4823-'FACP$'!$K4823</f>
        <v>249129.7432</v>
      </c>
      <c r="M4823" s="162" t="s">
        <v>490</v>
      </c>
      <c r="N4823" s="162" t="s">
        <v>554</v>
      </c>
      <c r="O4823" s="164">
        <v>45470.0</v>
      </c>
      <c r="P4823" s="164">
        <f t="array" ref="P4823">XLOOKUP('FACP$'!$B4823,'perfil de pagos'!$A$4:$A$46,'perfil de pagos'!$B$4:$B$46+'FACP$'!$D4823)</f>
        <v>45423</v>
      </c>
      <c r="Q4823" s="165">
        <f t="shared" si="128"/>
        <v>0</v>
      </c>
      <c r="R4823" s="167" t="s">
        <v>6118</v>
      </c>
      <c r="S4823" s="167"/>
      <c r="T4823" s="168">
        <f t="shared" si="3"/>
        <v>249129.7432</v>
      </c>
      <c r="U4823" s="168">
        <f t="shared" si="4"/>
        <v>0</v>
      </c>
      <c r="V4823" s="168">
        <f t="shared" si="5"/>
        <v>0</v>
      </c>
      <c r="W4823" s="168">
        <f t="shared" si="6"/>
        <v>0</v>
      </c>
      <c r="X4823" s="168">
        <f t="shared" si="7"/>
        <v>0</v>
      </c>
      <c r="Y4823" s="168">
        <f t="shared" si="8"/>
        <v>0</v>
      </c>
      <c r="Z4823" s="168">
        <f t="shared" si="9"/>
        <v>0</v>
      </c>
    </row>
    <row r="4824" ht="15.0" customHeight="1">
      <c r="A4824" s="157" t="s">
        <v>6119</v>
      </c>
      <c r="B4824" s="158" t="s">
        <v>38</v>
      </c>
      <c r="C4824" s="158" t="s">
        <v>6082</v>
      </c>
      <c r="D4824" s="159">
        <v>45393.0</v>
      </c>
      <c r="E4824" s="157" t="s">
        <v>731</v>
      </c>
      <c r="F4824" s="160">
        <v>515248.72</v>
      </c>
      <c r="G4824" s="160">
        <f>'FACP$'!$F4824*0.16</f>
        <v>82439.7952</v>
      </c>
      <c r="H4824" s="160">
        <f t="shared" si="124"/>
        <v>597688.5152</v>
      </c>
      <c r="I4824" s="160"/>
      <c r="J4824" s="161"/>
      <c r="K4824" s="160"/>
      <c r="L4824" s="160">
        <f>+'FACP$'!$H4824-'FACP$'!$I4824-'FACP$'!$K4824</f>
        <v>597688.5152</v>
      </c>
      <c r="M4824" s="162" t="s">
        <v>145</v>
      </c>
      <c r="N4824" s="162" t="s">
        <v>554</v>
      </c>
      <c r="O4824" s="164">
        <v>45448.0</v>
      </c>
      <c r="P4824" s="164">
        <f t="array" ref="P4824">XLOOKUP('FACP$'!$B4824,'perfil de pagos'!$A$4:$A$46,'perfil de pagos'!$B$4:$B$46+'FACP$'!$D4824)</f>
        <v>45423</v>
      </c>
      <c r="Q4824" s="165">
        <f t="shared" si="128"/>
        <v>0</v>
      </c>
      <c r="R4824" s="167"/>
      <c r="S4824" s="167">
        <v>3025.0</v>
      </c>
      <c r="T4824" s="168">
        <f t="shared" si="3"/>
        <v>597688.5152</v>
      </c>
      <c r="U4824" s="168">
        <f t="shared" si="4"/>
        <v>0</v>
      </c>
      <c r="V4824" s="168">
        <f t="shared" si="5"/>
        <v>0</v>
      </c>
      <c r="W4824" s="168">
        <f t="shared" si="6"/>
        <v>0</v>
      </c>
      <c r="X4824" s="168">
        <f t="shared" si="7"/>
        <v>0</v>
      </c>
      <c r="Y4824" s="168">
        <f t="shared" si="8"/>
        <v>0</v>
      </c>
      <c r="Z4824" s="168">
        <f t="shared" si="9"/>
        <v>0</v>
      </c>
    </row>
    <row r="4825" ht="15.0" customHeight="1">
      <c r="A4825" s="157" t="s">
        <v>6120</v>
      </c>
      <c r="B4825" s="158" t="s">
        <v>38</v>
      </c>
      <c r="C4825" s="158" t="s">
        <v>6076</v>
      </c>
      <c r="D4825" s="159">
        <v>45393.0</v>
      </c>
      <c r="E4825" s="157" t="s">
        <v>731</v>
      </c>
      <c r="F4825" s="160">
        <v>186354.59</v>
      </c>
      <c r="G4825" s="160">
        <f>'FACP$'!$F4825*0.16</f>
        <v>29816.7344</v>
      </c>
      <c r="H4825" s="160">
        <f t="shared" si="124"/>
        <v>216171.3244</v>
      </c>
      <c r="I4825" s="160"/>
      <c r="J4825" s="161"/>
      <c r="K4825" s="160"/>
      <c r="L4825" s="160">
        <f>+'FACP$'!$H4825-'FACP$'!$I4825-'FACP$'!$K4825</f>
        <v>216171.3244</v>
      </c>
      <c r="M4825" s="162" t="s">
        <v>642</v>
      </c>
      <c r="N4825" s="162" t="s">
        <v>554</v>
      </c>
      <c r="O4825" s="164">
        <v>45448.0</v>
      </c>
      <c r="P4825" s="164">
        <f t="array" ref="P4825">XLOOKUP('FACP$'!$B4825,'perfil de pagos'!$A$4:$A$46,'perfil de pagos'!$B$4:$B$46+'FACP$'!$D4825)</f>
        <v>45423</v>
      </c>
      <c r="Q4825" s="165">
        <f t="shared" si="128"/>
        <v>0</v>
      </c>
      <c r="R4825" s="167"/>
      <c r="S4825" s="167">
        <v>3025.0</v>
      </c>
      <c r="T4825" s="168">
        <f t="shared" si="3"/>
        <v>216171.3244</v>
      </c>
      <c r="U4825" s="168">
        <f t="shared" si="4"/>
        <v>0</v>
      </c>
      <c r="V4825" s="168">
        <f t="shared" si="5"/>
        <v>0</v>
      </c>
      <c r="W4825" s="168">
        <f t="shared" si="6"/>
        <v>0</v>
      </c>
      <c r="X4825" s="168">
        <f t="shared" si="7"/>
        <v>0</v>
      </c>
      <c r="Y4825" s="168">
        <f t="shared" si="8"/>
        <v>0</v>
      </c>
      <c r="Z4825" s="168">
        <f t="shared" si="9"/>
        <v>0</v>
      </c>
    </row>
    <row r="4826" ht="15.0" customHeight="1">
      <c r="A4826" s="299" t="s">
        <v>6121</v>
      </c>
      <c r="B4826" s="300" t="s">
        <v>40</v>
      </c>
      <c r="C4826" s="300" t="s">
        <v>6122</v>
      </c>
      <c r="D4826" s="301">
        <v>45394.0</v>
      </c>
      <c r="E4826" s="299" t="s">
        <v>731</v>
      </c>
      <c r="F4826" s="302">
        <v>97599.5</v>
      </c>
      <c r="G4826" s="302">
        <f>'FACP$'!$F4826*0.16</f>
        <v>15615.92</v>
      </c>
      <c r="H4826" s="303">
        <f t="shared" si="124"/>
        <v>113215.42</v>
      </c>
      <c r="I4826" s="302"/>
      <c r="J4826" s="304"/>
      <c r="K4826" s="302"/>
      <c r="L4826" s="302">
        <f>+'FACP$'!$H4826-'FACP$'!$I4826-'FACP$'!$K4826</f>
        <v>113215.42</v>
      </c>
      <c r="M4826" s="305" t="s">
        <v>490</v>
      </c>
      <c r="N4826" s="305" t="s">
        <v>127</v>
      </c>
      <c r="O4826" s="306"/>
      <c r="P4826" s="306">
        <f t="array" ref="P4826">XLOOKUP('FACP$'!$B4826,'perfil de pagos'!$A$4:$A$46,'perfil de pagos'!$B$4:$B$46+'FACP$'!$D4826)</f>
        <v>45424</v>
      </c>
      <c r="Q4826" s="307">
        <f t="shared" si="128"/>
        <v>0</v>
      </c>
      <c r="R4826" s="308" t="s">
        <v>6123</v>
      </c>
      <c r="S4826" s="308"/>
      <c r="T4826" s="309">
        <f t="shared" si="3"/>
        <v>113215.42</v>
      </c>
      <c r="U4826" s="309">
        <f t="shared" si="4"/>
        <v>0</v>
      </c>
      <c r="V4826" s="309">
        <f t="shared" si="5"/>
        <v>0</v>
      </c>
      <c r="W4826" s="309">
        <f t="shared" si="6"/>
        <v>0</v>
      </c>
      <c r="X4826" s="309">
        <f t="shared" si="7"/>
        <v>0</v>
      </c>
      <c r="Y4826" s="309">
        <f t="shared" si="8"/>
        <v>0</v>
      </c>
      <c r="Z4826" s="309">
        <f t="shared" si="9"/>
        <v>0</v>
      </c>
    </row>
    <row r="4827" ht="15.0" customHeight="1">
      <c r="A4827" s="157" t="s">
        <v>6124</v>
      </c>
      <c r="B4827" s="158" t="s">
        <v>41</v>
      </c>
      <c r="C4827" s="158" t="s">
        <v>6125</v>
      </c>
      <c r="D4827" s="159">
        <v>45401.0</v>
      </c>
      <c r="E4827" s="157" t="s">
        <v>731</v>
      </c>
      <c r="F4827" s="160">
        <v>529100.11</v>
      </c>
      <c r="G4827" s="160">
        <f>'FACP$'!$F4827*0.16</f>
        <v>84656.0176</v>
      </c>
      <c r="H4827" s="160">
        <f t="shared" si="124"/>
        <v>613756.1276</v>
      </c>
      <c r="I4827" s="160"/>
      <c r="J4827" s="161"/>
      <c r="K4827" s="160"/>
      <c r="L4827" s="160">
        <f>+'FACP$'!$H4827-'FACP$'!$I4827-'FACP$'!$K4827</f>
        <v>613756.1276</v>
      </c>
      <c r="M4827" s="162" t="s">
        <v>121</v>
      </c>
      <c r="N4827" s="162" t="s">
        <v>554</v>
      </c>
      <c r="O4827" s="164">
        <v>45446.0</v>
      </c>
      <c r="P4827" s="164">
        <f t="array" ref="P4827">XLOOKUP('FACP$'!$B4827,'perfil de pagos'!$A$4:$A$46,'perfil de pagos'!$B$4:$B$46+'FACP$'!$D4827)</f>
        <v>45411</v>
      </c>
      <c r="Q4827" s="165">
        <f t="shared" si="128"/>
        <v>0</v>
      </c>
      <c r="R4827" s="167"/>
      <c r="S4827" s="167">
        <v>3021.0</v>
      </c>
      <c r="T4827" s="168">
        <f t="shared" si="3"/>
        <v>613756.1276</v>
      </c>
      <c r="U4827" s="168">
        <f t="shared" si="4"/>
        <v>0</v>
      </c>
      <c r="V4827" s="168">
        <f t="shared" si="5"/>
        <v>0</v>
      </c>
      <c r="W4827" s="168">
        <f t="shared" si="6"/>
        <v>0</v>
      </c>
      <c r="X4827" s="168">
        <f t="shared" si="7"/>
        <v>0</v>
      </c>
      <c r="Y4827" s="168">
        <f t="shared" si="8"/>
        <v>0</v>
      </c>
      <c r="Z4827" s="168">
        <f t="shared" si="9"/>
        <v>0</v>
      </c>
    </row>
    <row r="4828" ht="15.0" customHeight="1">
      <c r="A4828" s="157" t="s">
        <v>6126</v>
      </c>
      <c r="B4828" s="158" t="s">
        <v>35</v>
      </c>
      <c r="C4828" s="158" t="s">
        <v>6125</v>
      </c>
      <c r="D4828" s="159">
        <v>45401.0</v>
      </c>
      <c r="E4828" s="157" t="s">
        <v>731</v>
      </c>
      <c r="F4828" s="160">
        <v>167991.53</v>
      </c>
      <c r="G4828" s="160">
        <f>'FACP$'!$F4828*0.16</f>
        <v>26878.6448</v>
      </c>
      <c r="H4828" s="160">
        <f t="shared" si="124"/>
        <v>194870.1748</v>
      </c>
      <c r="I4828" s="160"/>
      <c r="J4828" s="161"/>
      <c r="K4828" s="160"/>
      <c r="L4828" s="160">
        <f>+'FACP$'!$H4828-'FACP$'!$I4828-'FACP$'!$K4828</f>
        <v>194870.1748</v>
      </c>
      <c r="M4828" s="162" t="s">
        <v>276</v>
      </c>
      <c r="N4828" s="162" t="s">
        <v>554</v>
      </c>
      <c r="O4828" s="164">
        <v>45412.0</v>
      </c>
      <c r="P4828" s="164">
        <f t="array" ref="P4828">XLOOKUP('FACP$'!$B4828,'perfil de pagos'!$A$4:$A$46,'perfil de pagos'!$B$4:$B$46+'FACP$'!$D4828)</f>
        <v>45411</v>
      </c>
      <c r="Q4828" s="165">
        <f t="shared" si="128"/>
        <v>0</v>
      </c>
      <c r="R4828" s="167"/>
      <c r="S4828" s="167">
        <v>2957.0</v>
      </c>
      <c r="T4828" s="168">
        <f t="shared" si="3"/>
        <v>194870.1748</v>
      </c>
      <c r="U4828" s="168">
        <f t="shared" si="4"/>
        <v>0</v>
      </c>
      <c r="V4828" s="168">
        <f t="shared" si="5"/>
        <v>0</v>
      </c>
      <c r="W4828" s="168">
        <f t="shared" si="6"/>
        <v>0</v>
      </c>
      <c r="X4828" s="168">
        <f t="shared" si="7"/>
        <v>0</v>
      </c>
      <c r="Y4828" s="168">
        <f t="shared" si="8"/>
        <v>0</v>
      </c>
      <c r="Z4828" s="168">
        <f t="shared" si="9"/>
        <v>0</v>
      </c>
    </row>
    <row r="4829" ht="15.0" customHeight="1">
      <c r="A4829" s="157" t="s">
        <v>6127</v>
      </c>
      <c r="B4829" s="158" t="s">
        <v>36</v>
      </c>
      <c r="C4829" s="158" t="s">
        <v>6125</v>
      </c>
      <c r="D4829" s="159">
        <v>45401.0</v>
      </c>
      <c r="E4829" s="157" t="s">
        <v>731</v>
      </c>
      <c r="F4829" s="160">
        <v>103030.33</v>
      </c>
      <c r="G4829" s="160">
        <f>'FACP$'!$F4829*0.16</f>
        <v>16484.8528</v>
      </c>
      <c r="H4829" s="160">
        <f t="shared" si="124"/>
        <v>119515.1828</v>
      </c>
      <c r="I4829" s="160"/>
      <c r="J4829" s="161"/>
      <c r="K4829" s="160"/>
      <c r="L4829" s="160">
        <f>+'FACP$'!$H4829-'FACP$'!$I4829-'FACP$'!$K4829</f>
        <v>119515.1828</v>
      </c>
      <c r="M4829" s="162" t="s">
        <v>574</v>
      </c>
      <c r="N4829" s="162" t="s">
        <v>554</v>
      </c>
      <c r="O4829" s="164">
        <v>45411.0</v>
      </c>
      <c r="P4829" s="164">
        <f t="array" ref="P4829">XLOOKUP('FACP$'!$B4829,'perfil de pagos'!$A$4:$A$46,'perfil de pagos'!$B$4:$B$46+'FACP$'!$D4829)</f>
        <v>45411</v>
      </c>
      <c r="Q4829" s="165">
        <f t="shared" si="128"/>
        <v>0</v>
      </c>
      <c r="R4829" s="167"/>
      <c r="S4829" s="167">
        <v>2961.0</v>
      </c>
      <c r="T4829" s="168">
        <f t="shared" si="3"/>
        <v>119515.1828</v>
      </c>
      <c r="U4829" s="168">
        <f t="shared" si="4"/>
        <v>0</v>
      </c>
      <c r="V4829" s="168">
        <f t="shared" si="5"/>
        <v>0</v>
      </c>
      <c r="W4829" s="168">
        <f t="shared" si="6"/>
        <v>0</v>
      </c>
      <c r="X4829" s="168">
        <f t="shared" si="7"/>
        <v>0</v>
      </c>
      <c r="Y4829" s="168">
        <f t="shared" si="8"/>
        <v>0</v>
      </c>
      <c r="Z4829" s="168">
        <f t="shared" si="9"/>
        <v>0</v>
      </c>
    </row>
    <row r="4830" ht="15.0" customHeight="1">
      <c r="A4830" s="157" t="s">
        <v>6128</v>
      </c>
      <c r="B4830" s="158" t="s">
        <v>36</v>
      </c>
      <c r="C4830" s="158" t="s">
        <v>6129</v>
      </c>
      <c r="D4830" s="159">
        <v>45401.0</v>
      </c>
      <c r="E4830" s="157" t="s">
        <v>731</v>
      </c>
      <c r="F4830" s="160">
        <v>93823.57</v>
      </c>
      <c r="G4830" s="160">
        <f>'FACP$'!$F4830*0.16</f>
        <v>15011.7712</v>
      </c>
      <c r="H4830" s="160">
        <f t="shared" si="124"/>
        <v>108835.3412</v>
      </c>
      <c r="I4830" s="160"/>
      <c r="J4830" s="161"/>
      <c r="K4830" s="160"/>
      <c r="L4830" s="160">
        <f>+'FACP$'!$H4830-'FACP$'!$I4830-'FACP$'!$K4830</f>
        <v>108835.3412</v>
      </c>
      <c r="M4830" s="162" t="s">
        <v>574</v>
      </c>
      <c r="N4830" s="162" t="s">
        <v>554</v>
      </c>
      <c r="O4830" s="164">
        <v>45411.0</v>
      </c>
      <c r="P4830" s="164">
        <f t="array" ref="P4830">XLOOKUP('FACP$'!$B4830,'perfil de pagos'!$A$4:$A$46,'perfil de pagos'!$B$4:$B$46+'FACP$'!$D4830)</f>
        <v>45411</v>
      </c>
      <c r="Q4830" s="165">
        <f t="shared" si="128"/>
        <v>0</v>
      </c>
      <c r="R4830" s="167"/>
      <c r="S4830" s="167">
        <v>2960.0</v>
      </c>
      <c r="T4830" s="168">
        <f t="shared" si="3"/>
        <v>108835.3412</v>
      </c>
      <c r="U4830" s="168">
        <f t="shared" si="4"/>
        <v>0</v>
      </c>
      <c r="V4830" s="168">
        <f t="shared" si="5"/>
        <v>0</v>
      </c>
      <c r="W4830" s="168">
        <f t="shared" si="6"/>
        <v>0</v>
      </c>
      <c r="X4830" s="168">
        <f t="shared" si="7"/>
        <v>0</v>
      </c>
      <c r="Y4830" s="168">
        <f t="shared" si="8"/>
        <v>0</v>
      </c>
      <c r="Z4830" s="168">
        <f t="shared" si="9"/>
        <v>0</v>
      </c>
    </row>
    <row r="4831" ht="15.0" customHeight="1">
      <c r="A4831" s="157" t="s">
        <v>6130</v>
      </c>
      <c r="B4831" s="158" t="s">
        <v>42</v>
      </c>
      <c r="C4831" s="158" t="s">
        <v>6125</v>
      </c>
      <c r="D4831" s="159">
        <v>45401.0</v>
      </c>
      <c r="E4831" s="157" t="s">
        <v>731</v>
      </c>
      <c r="F4831" s="160">
        <v>40214.55</v>
      </c>
      <c r="G4831" s="160">
        <f>'FACP$'!$F4831*0.16</f>
        <v>6434.328</v>
      </c>
      <c r="H4831" s="160">
        <f t="shared" si="124"/>
        <v>46648.878</v>
      </c>
      <c r="I4831" s="160"/>
      <c r="J4831" s="161"/>
      <c r="K4831" s="160"/>
      <c r="L4831" s="160">
        <f>+'FACP$'!$H4831-'FACP$'!$I4831-'FACP$'!$K4831</f>
        <v>46648.878</v>
      </c>
      <c r="M4831" s="162" t="s">
        <v>42</v>
      </c>
      <c r="N4831" s="162" t="s">
        <v>554</v>
      </c>
      <c r="O4831" s="164">
        <v>45421.0</v>
      </c>
      <c r="P4831" s="164">
        <f t="array" ref="P4831">XLOOKUP('FACP$'!$B4831,'perfil de pagos'!$A$4:$A$46,'perfil de pagos'!$B$4:$B$46+'FACP$'!$D4831)</f>
        <v>45411</v>
      </c>
      <c r="Q4831" s="165">
        <f t="shared" si="128"/>
        <v>0</v>
      </c>
      <c r="R4831" s="167"/>
      <c r="S4831" s="167">
        <v>2972.0</v>
      </c>
      <c r="T4831" s="168">
        <f t="shared" si="3"/>
        <v>46648.878</v>
      </c>
      <c r="U4831" s="168">
        <f t="shared" si="4"/>
        <v>0</v>
      </c>
      <c r="V4831" s="168">
        <f t="shared" si="5"/>
        <v>0</v>
      </c>
      <c r="W4831" s="168">
        <f t="shared" si="6"/>
        <v>0</v>
      </c>
      <c r="X4831" s="168">
        <f t="shared" si="7"/>
        <v>0</v>
      </c>
      <c r="Y4831" s="168">
        <f t="shared" si="8"/>
        <v>0</v>
      </c>
      <c r="Z4831" s="168">
        <f t="shared" si="9"/>
        <v>0</v>
      </c>
    </row>
    <row r="4832" ht="15.0" customHeight="1">
      <c r="A4832" s="157" t="s">
        <v>6131</v>
      </c>
      <c r="B4832" s="158" t="s">
        <v>43</v>
      </c>
      <c r="C4832" s="158" t="s">
        <v>6125</v>
      </c>
      <c r="D4832" s="159">
        <v>45401.0</v>
      </c>
      <c r="E4832" s="157" t="s">
        <v>731</v>
      </c>
      <c r="F4832" s="160">
        <v>183509.36</v>
      </c>
      <c r="G4832" s="160">
        <f>'FACP$'!$F4832*0.16</f>
        <v>29361.4976</v>
      </c>
      <c r="H4832" s="160">
        <f t="shared" si="124"/>
        <v>212870.8576</v>
      </c>
      <c r="I4832" s="160"/>
      <c r="J4832" s="161"/>
      <c r="K4832" s="160"/>
      <c r="L4832" s="160">
        <f>+'FACP$'!$H4832-'FACP$'!$I4832-'FACP$'!$K4832</f>
        <v>212870.8576</v>
      </c>
      <c r="M4832" s="162" t="s">
        <v>43</v>
      </c>
      <c r="N4832" s="162" t="s">
        <v>554</v>
      </c>
      <c r="O4832" s="164">
        <v>45422.0</v>
      </c>
      <c r="P4832" s="164">
        <f t="array" ref="P4832">XLOOKUP('FACP$'!$B4832,'perfil de pagos'!$A$4:$A$46,'perfil de pagos'!$B$4:$B$46+'FACP$'!$D4832)</f>
        <v>45426</v>
      </c>
      <c r="Q4832" s="165">
        <f t="shared" si="128"/>
        <v>0</v>
      </c>
      <c r="R4832" s="167"/>
      <c r="S4832" s="167"/>
      <c r="T4832" s="168">
        <f t="shared" si="3"/>
        <v>212870.8576</v>
      </c>
      <c r="U4832" s="168">
        <f t="shared" si="4"/>
        <v>0</v>
      </c>
      <c r="V4832" s="168">
        <f t="shared" si="5"/>
        <v>0</v>
      </c>
      <c r="W4832" s="168">
        <f t="shared" si="6"/>
        <v>0</v>
      </c>
      <c r="X4832" s="168">
        <f t="shared" si="7"/>
        <v>0</v>
      </c>
      <c r="Y4832" s="168">
        <f t="shared" si="8"/>
        <v>0</v>
      </c>
      <c r="Z4832" s="168">
        <f t="shared" si="9"/>
        <v>0</v>
      </c>
    </row>
    <row r="4833" ht="15.0" customHeight="1">
      <c r="A4833" s="157" t="s">
        <v>6132</v>
      </c>
      <c r="B4833" s="158" t="s">
        <v>43</v>
      </c>
      <c r="C4833" s="158" t="s">
        <v>6129</v>
      </c>
      <c r="D4833" s="159">
        <v>45401.0</v>
      </c>
      <c r="E4833" s="157" t="s">
        <v>731</v>
      </c>
      <c r="F4833" s="160">
        <v>305819.36</v>
      </c>
      <c r="G4833" s="160">
        <f>'FACP$'!$F4833*0.16</f>
        <v>48931.0976</v>
      </c>
      <c r="H4833" s="160">
        <f t="shared" si="124"/>
        <v>354750.4576</v>
      </c>
      <c r="I4833" s="160"/>
      <c r="J4833" s="161"/>
      <c r="K4833" s="160"/>
      <c r="L4833" s="160">
        <f>+'FACP$'!$H4833-'FACP$'!$I4833-'FACP$'!$K4833</f>
        <v>354750.4576</v>
      </c>
      <c r="M4833" s="162" t="s">
        <v>43</v>
      </c>
      <c r="N4833" s="162" t="s">
        <v>554</v>
      </c>
      <c r="O4833" s="164">
        <v>45408.0</v>
      </c>
      <c r="P4833" s="164">
        <f t="array" ref="P4833">XLOOKUP('FACP$'!$B4833,'perfil de pagos'!$A$4:$A$46,'perfil de pagos'!$B$4:$B$46+'FACP$'!$D4833)</f>
        <v>45426</v>
      </c>
      <c r="Q4833" s="165">
        <f t="shared" si="128"/>
        <v>0</v>
      </c>
      <c r="R4833" s="167"/>
      <c r="S4833" s="167">
        <v>2959.0</v>
      </c>
      <c r="T4833" s="168">
        <f t="shared" si="3"/>
        <v>354750.4576</v>
      </c>
      <c r="U4833" s="168">
        <f t="shared" si="4"/>
        <v>0</v>
      </c>
      <c r="V4833" s="168">
        <f t="shared" si="5"/>
        <v>0</v>
      </c>
      <c r="W4833" s="168">
        <f t="shared" si="6"/>
        <v>0</v>
      </c>
      <c r="X4833" s="168">
        <f t="shared" si="7"/>
        <v>0</v>
      </c>
      <c r="Y4833" s="168">
        <f t="shared" si="8"/>
        <v>0</v>
      </c>
      <c r="Z4833" s="168">
        <f t="shared" si="9"/>
        <v>0</v>
      </c>
    </row>
    <row r="4834" ht="15.0" customHeight="1">
      <c r="A4834" s="157" t="s">
        <v>6133</v>
      </c>
      <c r="B4834" s="158" t="s">
        <v>44</v>
      </c>
      <c r="C4834" s="158" t="s">
        <v>6125</v>
      </c>
      <c r="D4834" s="159">
        <v>45401.0</v>
      </c>
      <c r="E4834" s="157" t="s">
        <v>731</v>
      </c>
      <c r="F4834" s="160">
        <v>42915.97</v>
      </c>
      <c r="G4834" s="160">
        <f>'FACP$'!$F4834*0.16</f>
        <v>6866.5552</v>
      </c>
      <c r="H4834" s="160">
        <f t="shared" si="124"/>
        <v>49782.5252</v>
      </c>
      <c r="I4834" s="160"/>
      <c r="J4834" s="161"/>
      <c r="K4834" s="160"/>
      <c r="L4834" s="160">
        <f>+'FACP$'!$H4834-'FACP$'!$I4834-'FACP$'!$K4834</f>
        <v>49782.5252</v>
      </c>
      <c r="M4834" s="162" t="s">
        <v>361</v>
      </c>
      <c r="N4834" s="162" t="s">
        <v>554</v>
      </c>
      <c r="O4834" s="164">
        <v>45408.0</v>
      </c>
      <c r="P4834" s="164">
        <f t="array" ref="P4834">XLOOKUP('FACP$'!$B4834,'perfil de pagos'!$A$4:$A$46,'perfil de pagos'!$B$4:$B$46+'FACP$'!$D4834)</f>
        <v>45411</v>
      </c>
      <c r="Q4834" s="165">
        <f t="shared" si="128"/>
        <v>0</v>
      </c>
      <c r="R4834" s="167"/>
      <c r="S4834" s="167">
        <v>2952.0</v>
      </c>
      <c r="T4834" s="168">
        <f t="shared" si="3"/>
        <v>49782.5252</v>
      </c>
      <c r="U4834" s="168">
        <f t="shared" si="4"/>
        <v>0</v>
      </c>
      <c r="V4834" s="168">
        <f t="shared" si="5"/>
        <v>0</v>
      </c>
      <c r="W4834" s="168">
        <f t="shared" si="6"/>
        <v>0</v>
      </c>
      <c r="X4834" s="168">
        <f t="shared" si="7"/>
        <v>0</v>
      </c>
      <c r="Y4834" s="168">
        <f t="shared" si="8"/>
        <v>0</v>
      </c>
      <c r="Z4834" s="168">
        <f t="shared" si="9"/>
        <v>0</v>
      </c>
    </row>
    <row r="4835" ht="15.0" customHeight="1">
      <c r="A4835" s="157" t="s">
        <v>6134</v>
      </c>
      <c r="B4835" s="158" t="s">
        <v>18</v>
      </c>
      <c r="C4835" s="158" t="s">
        <v>6125</v>
      </c>
      <c r="D4835" s="159">
        <v>45404.0</v>
      </c>
      <c r="E4835" s="157" t="s">
        <v>731</v>
      </c>
      <c r="F4835" s="160">
        <v>48886.24</v>
      </c>
      <c r="G4835" s="160">
        <f>'FACP$'!$F4835*0.16</f>
        <v>7821.7984</v>
      </c>
      <c r="H4835" s="160">
        <f t="shared" si="124"/>
        <v>56708.0384</v>
      </c>
      <c r="I4835" s="160"/>
      <c r="J4835" s="161"/>
      <c r="K4835" s="160"/>
      <c r="L4835" s="160">
        <f>+'FACP$'!$H4835-'FACP$'!$I4835-'FACP$'!$K4835</f>
        <v>56708.0384</v>
      </c>
      <c r="M4835" s="162" t="s">
        <v>586</v>
      </c>
      <c r="N4835" s="162" t="s">
        <v>554</v>
      </c>
      <c r="O4835" s="164">
        <v>45429.0</v>
      </c>
      <c r="P4835" s="164">
        <f t="array" ref="P4835">XLOOKUP('FACP$'!$B4835,'perfil de pagos'!$A$4:$A$46,'perfil de pagos'!$B$4:$B$46+'FACP$'!$D4835)</f>
        <v>45414</v>
      </c>
      <c r="Q4835" s="165">
        <f t="shared" si="128"/>
        <v>0</v>
      </c>
      <c r="R4835" s="167"/>
      <c r="S4835" s="167">
        <v>2992.0</v>
      </c>
      <c r="T4835" s="168">
        <f t="shared" si="3"/>
        <v>56708.0384</v>
      </c>
      <c r="U4835" s="168">
        <f t="shared" si="4"/>
        <v>0</v>
      </c>
      <c r="V4835" s="168">
        <f t="shared" si="5"/>
        <v>0</v>
      </c>
      <c r="W4835" s="168">
        <f t="shared" si="6"/>
        <v>0</v>
      </c>
      <c r="X4835" s="168">
        <f t="shared" si="7"/>
        <v>0</v>
      </c>
      <c r="Y4835" s="168">
        <f t="shared" si="8"/>
        <v>0</v>
      </c>
      <c r="Z4835" s="168">
        <f t="shared" si="9"/>
        <v>0</v>
      </c>
      <c r="AA4835" s="12"/>
      <c r="AB4835" s="12"/>
      <c r="AC4835" s="12"/>
    </row>
    <row r="4836" ht="15.0" customHeight="1">
      <c r="A4836" s="157" t="s">
        <v>6135</v>
      </c>
      <c r="B4836" s="158" t="s">
        <v>19</v>
      </c>
      <c r="C4836" s="158" t="s">
        <v>6125</v>
      </c>
      <c r="D4836" s="159">
        <v>45404.0</v>
      </c>
      <c r="E4836" s="157" t="s">
        <v>731</v>
      </c>
      <c r="F4836" s="160">
        <v>136951.57</v>
      </c>
      <c r="G4836" s="160">
        <f>'FACP$'!$F4836*0.16</f>
        <v>21912.2512</v>
      </c>
      <c r="H4836" s="160">
        <f t="shared" si="124"/>
        <v>158863.8212</v>
      </c>
      <c r="I4836" s="160"/>
      <c r="J4836" s="161"/>
      <c r="K4836" s="160"/>
      <c r="L4836" s="160">
        <f>+'FACP$'!$H4836-'FACP$'!$I4836-'FACP$'!$K4836</f>
        <v>158863.8212</v>
      </c>
      <c r="M4836" s="162" t="s">
        <v>732</v>
      </c>
      <c r="N4836" s="162" t="s">
        <v>554</v>
      </c>
      <c r="O4836" s="164">
        <v>45429.0</v>
      </c>
      <c r="P4836" s="164">
        <f t="array" ref="P4836">XLOOKUP('FACP$'!$B4836,'perfil de pagos'!$A$4:$A$46,'perfil de pagos'!$B$4:$B$46+'FACP$'!$D4836)</f>
        <v>45414</v>
      </c>
      <c r="Q4836" s="165">
        <f t="shared" si="128"/>
        <v>0</v>
      </c>
      <c r="R4836" s="167"/>
      <c r="S4836" s="167">
        <v>2992.0</v>
      </c>
      <c r="T4836" s="168">
        <f t="shared" si="3"/>
        <v>158863.8212</v>
      </c>
      <c r="U4836" s="168">
        <f t="shared" si="4"/>
        <v>0</v>
      </c>
      <c r="V4836" s="168">
        <f t="shared" si="5"/>
        <v>0</v>
      </c>
      <c r="W4836" s="168">
        <f t="shared" si="6"/>
        <v>0</v>
      </c>
      <c r="X4836" s="168">
        <f t="shared" si="7"/>
        <v>0</v>
      </c>
      <c r="Y4836" s="168">
        <f t="shared" si="8"/>
        <v>0</v>
      </c>
      <c r="Z4836" s="168">
        <f t="shared" si="9"/>
        <v>0</v>
      </c>
    </row>
    <row r="4837" ht="15.0" customHeight="1">
      <c r="A4837" s="157" t="s">
        <v>6136</v>
      </c>
      <c r="B4837" s="158" t="s">
        <v>22</v>
      </c>
      <c r="C4837" s="158" t="s">
        <v>6125</v>
      </c>
      <c r="D4837" s="159">
        <v>45404.0</v>
      </c>
      <c r="E4837" s="157" t="s">
        <v>731</v>
      </c>
      <c r="F4837" s="160">
        <v>159588.65</v>
      </c>
      <c r="G4837" s="160">
        <f>'FACP$'!$F4837*0.16</f>
        <v>25534.184</v>
      </c>
      <c r="H4837" s="160">
        <f t="shared" si="124"/>
        <v>185122.834</v>
      </c>
      <c r="I4837" s="160"/>
      <c r="J4837" s="161"/>
      <c r="K4837" s="160"/>
      <c r="L4837" s="160">
        <f>+'FACP$'!$H4837-'FACP$'!$I4837-'FACP$'!$K4837</f>
        <v>185122.834</v>
      </c>
      <c r="M4837" s="162" t="s">
        <v>220</v>
      </c>
      <c r="N4837" s="162" t="s">
        <v>554</v>
      </c>
      <c r="O4837" s="164">
        <v>45436.0</v>
      </c>
      <c r="P4837" s="164">
        <f t="array" ref="P4837">XLOOKUP('FACP$'!$B4837,'perfil de pagos'!$A$4:$A$46,'perfil de pagos'!$B$4:$B$46+'FACP$'!$D4837)</f>
        <v>45414</v>
      </c>
      <c r="Q4837" s="165">
        <f t="shared" si="128"/>
        <v>0</v>
      </c>
      <c r="R4837" s="167"/>
      <c r="S4837" s="167">
        <v>2998.0</v>
      </c>
      <c r="T4837" s="168">
        <f t="shared" si="3"/>
        <v>185122.834</v>
      </c>
      <c r="U4837" s="168">
        <f t="shared" si="4"/>
        <v>0</v>
      </c>
      <c r="V4837" s="168">
        <f t="shared" si="5"/>
        <v>0</v>
      </c>
      <c r="W4837" s="168">
        <f t="shared" si="6"/>
        <v>0</v>
      </c>
      <c r="X4837" s="168">
        <f t="shared" si="7"/>
        <v>0</v>
      </c>
      <c r="Y4837" s="168">
        <f t="shared" si="8"/>
        <v>0</v>
      </c>
      <c r="Z4837" s="168">
        <f t="shared" si="9"/>
        <v>0</v>
      </c>
    </row>
    <row r="4838" ht="15.0" customHeight="1">
      <c r="A4838" s="157" t="s">
        <v>6137</v>
      </c>
      <c r="B4838" s="169" t="s">
        <v>25</v>
      </c>
      <c r="C4838" s="158" t="s">
        <v>6125</v>
      </c>
      <c r="D4838" s="317">
        <v>45404.0</v>
      </c>
      <c r="E4838" s="157" t="s">
        <v>731</v>
      </c>
      <c r="F4838" s="160">
        <v>40935.61</v>
      </c>
      <c r="G4838" s="160">
        <f>'FACP$'!$F4838*0.16</f>
        <v>6549.6976</v>
      </c>
      <c r="H4838" s="160">
        <f t="shared" si="124"/>
        <v>47485.3076</v>
      </c>
      <c r="I4838" s="160"/>
      <c r="J4838" s="161"/>
      <c r="K4838" s="160"/>
      <c r="L4838" s="160">
        <f>+'FACP$'!$H4838-'FACP$'!$I4838-'FACP$'!$K4838</f>
        <v>47485.3076</v>
      </c>
      <c r="M4838" s="162" t="s">
        <v>4388</v>
      </c>
      <c r="N4838" s="162" t="s">
        <v>554</v>
      </c>
      <c r="O4838" s="164">
        <v>45469.0</v>
      </c>
      <c r="P4838" s="164">
        <f t="array" ref="P4838">XLOOKUP('FACP$'!$B4838,'perfil de pagos'!$A$4:$A$46,'perfil de pagos'!$B$4:$B$46+'FACP$'!$D4838)</f>
        <v>45414</v>
      </c>
      <c r="Q4838" s="165">
        <f t="shared" si="128"/>
        <v>0</v>
      </c>
      <c r="R4838" s="167"/>
      <c r="S4838" s="167">
        <v>3107.0</v>
      </c>
      <c r="T4838" s="168">
        <f t="shared" si="3"/>
        <v>47485.3076</v>
      </c>
      <c r="U4838" s="168">
        <f t="shared" si="4"/>
        <v>0</v>
      </c>
      <c r="V4838" s="168">
        <f t="shared" si="5"/>
        <v>0</v>
      </c>
      <c r="W4838" s="168">
        <f t="shared" si="6"/>
        <v>0</v>
      </c>
      <c r="X4838" s="168">
        <f t="shared" si="7"/>
        <v>0</v>
      </c>
      <c r="Y4838" s="168">
        <f t="shared" si="8"/>
        <v>0</v>
      </c>
      <c r="Z4838" s="168">
        <f t="shared" si="9"/>
        <v>0</v>
      </c>
    </row>
    <row r="4839" ht="15.0" customHeight="1">
      <c r="A4839" s="157" t="s">
        <v>6138</v>
      </c>
      <c r="B4839" s="158" t="s">
        <v>37</v>
      </c>
      <c r="C4839" s="158" t="s">
        <v>6125</v>
      </c>
      <c r="D4839" s="159">
        <v>45404.0</v>
      </c>
      <c r="E4839" s="157" t="s">
        <v>731</v>
      </c>
      <c r="F4839" s="160">
        <v>990825.89</v>
      </c>
      <c r="G4839" s="160">
        <f>'FACP$'!$F4839*0.16</f>
        <v>158532.1424</v>
      </c>
      <c r="H4839" s="160">
        <f t="shared" si="124"/>
        <v>1149358.032</v>
      </c>
      <c r="I4839" s="160"/>
      <c r="J4839" s="161"/>
      <c r="K4839" s="160"/>
      <c r="L4839" s="160">
        <f>+'FACP$'!$H4839-'FACP$'!$I4839-'FACP$'!$K4839</f>
        <v>1149358.032</v>
      </c>
      <c r="M4839" s="162" t="s">
        <v>116</v>
      </c>
      <c r="N4839" s="162" t="s">
        <v>554</v>
      </c>
      <c r="O4839" s="164">
        <v>45418.0</v>
      </c>
      <c r="P4839" s="164">
        <f t="array" ref="P4839">XLOOKUP('FACP$'!$B4839,'perfil de pagos'!$A$4:$A$46,'perfil de pagos'!$B$4:$B$46+'FACP$'!$D4839)</f>
        <v>45414</v>
      </c>
      <c r="Q4839" s="165">
        <f t="shared" si="128"/>
        <v>0</v>
      </c>
      <c r="R4839" s="167"/>
      <c r="S4839" s="167">
        <v>2967.0</v>
      </c>
      <c r="T4839" s="168">
        <f t="shared" si="3"/>
        <v>1149358.032</v>
      </c>
      <c r="U4839" s="168">
        <f t="shared" si="4"/>
        <v>0</v>
      </c>
      <c r="V4839" s="168">
        <f t="shared" si="5"/>
        <v>0</v>
      </c>
      <c r="W4839" s="168">
        <f t="shared" si="6"/>
        <v>0</v>
      </c>
      <c r="X4839" s="168">
        <f t="shared" si="7"/>
        <v>0</v>
      </c>
      <c r="Y4839" s="168">
        <f t="shared" si="8"/>
        <v>0</v>
      </c>
      <c r="Z4839" s="168">
        <f t="shared" si="9"/>
        <v>0</v>
      </c>
    </row>
    <row r="4840" ht="15.0" customHeight="1">
      <c r="A4840" s="157" t="s">
        <v>6139</v>
      </c>
      <c r="B4840" s="158" t="s">
        <v>29</v>
      </c>
      <c r="C4840" s="158" t="s">
        <v>6125</v>
      </c>
      <c r="D4840" s="159">
        <v>45404.0</v>
      </c>
      <c r="E4840" s="157" t="s">
        <v>731</v>
      </c>
      <c r="F4840" s="160">
        <v>193110.21</v>
      </c>
      <c r="G4840" s="160">
        <f>'FACP$'!$F4840*0.16</f>
        <v>30897.6336</v>
      </c>
      <c r="H4840" s="160">
        <f t="shared" si="124"/>
        <v>224007.8436</v>
      </c>
      <c r="I4840" s="160"/>
      <c r="J4840" s="161"/>
      <c r="K4840" s="160"/>
      <c r="L4840" s="160">
        <f>+'FACP$'!$H4840-'FACP$'!$I4840-'FACP$'!$K4840</f>
        <v>224007.8436</v>
      </c>
      <c r="M4840" s="162" t="s">
        <v>130</v>
      </c>
      <c r="N4840" s="162" t="s">
        <v>554</v>
      </c>
      <c r="O4840" s="164">
        <v>45421.0</v>
      </c>
      <c r="P4840" s="164">
        <f t="array" ref="P4840">XLOOKUP('FACP$'!$B4840,'perfil de pagos'!$A$4:$A$46,'perfil de pagos'!$B$4:$B$46+'FACP$'!$D4840)</f>
        <v>45414</v>
      </c>
      <c r="Q4840" s="165">
        <f t="shared" si="128"/>
        <v>0</v>
      </c>
      <c r="R4840" s="167"/>
      <c r="S4840" s="167">
        <v>2971.0</v>
      </c>
      <c r="T4840" s="168">
        <f t="shared" si="3"/>
        <v>224007.8436</v>
      </c>
      <c r="U4840" s="168">
        <f t="shared" si="4"/>
        <v>0</v>
      </c>
      <c r="V4840" s="168">
        <f t="shared" si="5"/>
        <v>0</v>
      </c>
      <c r="W4840" s="168">
        <f t="shared" si="6"/>
        <v>0</v>
      </c>
      <c r="X4840" s="168">
        <f t="shared" si="7"/>
        <v>0</v>
      </c>
      <c r="Y4840" s="168">
        <f t="shared" si="8"/>
        <v>0</v>
      </c>
      <c r="Z4840" s="168">
        <f t="shared" si="9"/>
        <v>0</v>
      </c>
    </row>
    <row r="4841" ht="15.0" customHeight="1">
      <c r="A4841" s="157" t="s">
        <v>6140</v>
      </c>
      <c r="B4841" s="158" t="s">
        <v>29</v>
      </c>
      <c r="C4841" s="158" t="s">
        <v>6129</v>
      </c>
      <c r="D4841" s="159">
        <v>45404.0</v>
      </c>
      <c r="E4841" s="157" t="s">
        <v>731</v>
      </c>
      <c r="F4841" s="160">
        <v>431110.01</v>
      </c>
      <c r="G4841" s="160">
        <f>'FACP$'!$F4841*0.16</f>
        <v>68977.6016</v>
      </c>
      <c r="H4841" s="160">
        <f t="shared" si="124"/>
        <v>500087.6116</v>
      </c>
      <c r="I4841" s="160"/>
      <c r="J4841" s="161"/>
      <c r="K4841" s="160"/>
      <c r="L4841" s="160">
        <f>+'FACP$'!$H4841-'FACP$'!$I4841-'FACP$'!$K4841</f>
        <v>500087.6116</v>
      </c>
      <c r="M4841" s="162" t="s">
        <v>130</v>
      </c>
      <c r="N4841" s="162" t="s">
        <v>554</v>
      </c>
      <c r="O4841" s="164">
        <v>45418.0</v>
      </c>
      <c r="P4841" s="164">
        <f t="array" ref="P4841">XLOOKUP('FACP$'!$B4841,'perfil de pagos'!$A$4:$A$46,'perfil de pagos'!$B$4:$B$46+'FACP$'!$D4841)</f>
        <v>45414</v>
      </c>
      <c r="Q4841" s="165">
        <f t="shared" si="128"/>
        <v>0</v>
      </c>
      <c r="R4841" s="167"/>
      <c r="S4841" s="167">
        <v>2965.0</v>
      </c>
      <c r="T4841" s="168">
        <f t="shared" si="3"/>
        <v>500087.6116</v>
      </c>
      <c r="U4841" s="168">
        <f t="shared" si="4"/>
        <v>0</v>
      </c>
      <c r="V4841" s="168">
        <f t="shared" si="5"/>
        <v>0</v>
      </c>
      <c r="W4841" s="168">
        <f t="shared" si="6"/>
        <v>0</v>
      </c>
      <c r="X4841" s="168">
        <f t="shared" si="7"/>
        <v>0</v>
      </c>
      <c r="Y4841" s="168">
        <f t="shared" si="8"/>
        <v>0</v>
      </c>
      <c r="Z4841" s="168">
        <f t="shared" si="9"/>
        <v>0</v>
      </c>
    </row>
    <row r="4842" ht="15.0" customHeight="1">
      <c r="A4842" s="157" t="s">
        <v>6141</v>
      </c>
      <c r="B4842" s="158" t="s">
        <v>16</v>
      </c>
      <c r="C4842" s="158" t="s">
        <v>6125</v>
      </c>
      <c r="D4842" s="159">
        <v>45404.0</v>
      </c>
      <c r="E4842" s="157" t="s">
        <v>731</v>
      </c>
      <c r="F4842" s="160">
        <v>194848.71</v>
      </c>
      <c r="G4842" s="160">
        <f>'FACP$'!$F4842*0.16</f>
        <v>31175.7936</v>
      </c>
      <c r="H4842" s="160">
        <f t="shared" si="124"/>
        <v>226024.5036</v>
      </c>
      <c r="I4842" s="160"/>
      <c r="J4842" s="161"/>
      <c r="K4842" s="160"/>
      <c r="L4842" s="160">
        <f>+'FACP$'!$H4842-'FACP$'!$I4842-'FACP$'!$K4842</f>
        <v>226024.5036</v>
      </c>
      <c r="M4842" s="162" t="s">
        <v>985</v>
      </c>
      <c r="N4842" s="162" t="s">
        <v>554</v>
      </c>
      <c r="O4842" s="164">
        <v>45419.0</v>
      </c>
      <c r="P4842" s="164">
        <f t="array" ref="P4842">XLOOKUP('FACP$'!$B4842,'perfil de pagos'!$A$4:$A$46,'perfil de pagos'!$B$4:$B$46+'FACP$'!$D4842)</f>
        <v>45414</v>
      </c>
      <c r="Q4842" s="165">
        <f t="shared" si="128"/>
        <v>0</v>
      </c>
      <c r="R4842" s="167"/>
      <c r="S4842" s="167">
        <v>2969.0</v>
      </c>
      <c r="T4842" s="168">
        <f t="shared" si="3"/>
        <v>226024.5036</v>
      </c>
      <c r="U4842" s="168">
        <f t="shared" si="4"/>
        <v>0</v>
      </c>
      <c r="V4842" s="168">
        <f t="shared" si="5"/>
        <v>0</v>
      </c>
      <c r="W4842" s="168">
        <f t="shared" si="6"/>
        <v>0</v>
      </c>
      <c r="X4842" s="168">
        <f t="shared" si="7"/>
        <v>0</v>
      </c>
      <c r="Y4842" s="168">
        <f t="shared" si="8"/>
        <v>0</v>
      </c>
      <c r="Z4842" s="168">
        <f t="shared" si="9"/>
        <v>0</v>
      </c>
    </row>
    <row r="4843" ht="15.0" customHeight="1">
      <c r="A4843" s="157" t="s">
        <v>6142</v>
      </c>
      <c r="B4843" s="158" t="s">
        <v>16</v>
      </c>
      <c r="C4843" s="158" t="s">
        <v>6129</v>
      </c>
      <c r="D4843" s="159">
        <v>45404.0</v>
      </c>
      <c r="E4843" s="157" t="s">
        <v>731</v>
      </c>
      <c r="F4843" s="160">
        <v>375420.11</v>
      </c>
      <c r="G4843" s="160">
        <f>'FACP$'!$F4843*0.16</f>
        <v>60067.2176</v>
      </c>
      <c r="H4843" s="160">
        <f t="shared" si="124"/>
        <v>435487.3276</v>
      </c>
      <c r="I4843" s="160"/>
      <c r="J4843" s="161"/>
      <c r="K4843" s="160"/>
      <c r="L4843" s="160">
        <f>+'FACP$'!$H4843-'FACP$'!$I4843-'FACP$'!$K4843</f>
        <v>435487.3276</v>
      </c>
      <c r="M4843" s="162" t="s">
        <v>985</v>
      </c>
      <c r="N4843" s="162" t="s">
        <v>554</v>
      </c>
      <c r="O4843" s="164">
        <v>45419.0</v>
      </c>
      <c r="P4843" s="164">
        <f t="array" ref="P4843">XLOOKUP('FACP$'!$B4843,'perfil de pagos'!$A$4:$A$46,'perfil de pagos'!$B$4:$B$46+'FACP$'!$D4843)</f>
        <v>45414</v>
      </c>
      <c r="Q4843" s="165">
        <f t="shared" si="128"/>
        <v>0</v>
      </c>
      <c r="R4843" s="167"/>
      <c r="S4843" s="167">
        <v>2969.0</v>
      </c>
      <c r="T4843" s="168">
        <f t="shared" si="3"/>
        <v>435487.3276</v>
      </c>
      <c r="U4843" s="168">
        <f t="shared" si="4"/>
        <v>0</v>
      </c>
      <c r="V4843" s="168">
        <f t="shared" si="5"/>
        <v>0</v>
      </c>
      <c r="W4843" s="168">
        <f t="shared" si="6"/>
        <v>0</v>
      </c>
      <c r="X4843" s="168">
        <f t="shared" si="7"/>
        <v>0</v>
      </c>
      <c r="Y4843" s="168">
        <f t="shared" si="8"/>
        <v>0</v>
      </c>
      <c r="Z4843" s="168">
        <f t="shared" si="9"/>
        <v>0</v>
      </c>
    </row>
    <row r="4844" ht="15.0" customHeight="1">
      <c r="A4844" s="157" t="s">
        <v>6143</v>
      </c>
      <c r="B4844" s="158" t="s">
        <v>27</v>
      </c>
      <c r="C4844" s="158" t="s">
        <v>6144</v>
      </c>
      <c r="D4844" s="159">
        <v>45404.0</v>
      </c>
      <c r="E4844" s="157" t="s">
        <v>731</v>
      </c>
      <c r="F4844" s="160">
        <v>93991.24</v>
      </c>
      <c r="G4844" s="160">
        <f>'FACP$'!$F4844*0.16</f>
        <v>15038.5984</v>
      </c>
      <c r="H4844" s="160">
        <f t="shared" si="124"/>
        <v>109029.8384</v>
      </c>
      <c r="I4844" s="160"/>
      <c r="J4844" s="161"/>
      <c r="K4844" s="160"/>
      <c r="L4844" s="160">
        <f>+'FACP$'!$H4844-'FACP$'!$I4844-'FACP$'!$K4844</f>
        <v>109029.8384</v>
      </c>
      <c r="M4844" s="162" t="s">
        <v>158</v>
      </c>
      <c r="N4844" s="162" t="s">
        <v>554</v>
      </c>
      <c r="O4844" s="164">
        <v>45481.0</v>
      </c>
      <c r="P4844" s="164">
        <f t="array" ref="P4844">XLOOKUP('FACP$'!$B4844,'perfil de pagos'!$A$4:$A$46,'perfil de pagos'!$B$4:$B$46+'FACP$'!$D4844)</f>
        <v>45434</v>
      </c>
      <c r="Q4844" s="165">
        <f t="shared" si="128"/>
        <v>0</v>
      </c>
      <c r="R4844" s="167"/>
      <c r="S4844" s="167">
        <v>3137.0</v>
      </c>
      <c r="T4844" s="168">
        <f t="shared" si="3"/>
        <v>109029.8384</v>
      </c>
      <c r="U4844" s="168">
        <f t="shared" si="4"/>
        <v>0</v>
      </c>
      <c r="V4844" s="168">
        <f t="shared" si="5"/>
        <v>0</v>
      </c>
      <c r="W4844" s="168">
        <f t="shared" si="6"/>
        <v>0</v>
      </c>
      <c r="X4844" s="168">
        <f t="shared" si="7"/>
        <v>0</v>
      </c>
      <c r="Y4844" s="168">
        <f t="shared" si="8"/>
        <v>0</v>
      </c>
      <c r="Z4844" s="168">
        <f t="shared" si="9"/>
        <v>0</v>
      </c>
    </row>
    <row r="4845" ht="15.0" customHeight="1">
      <c r="A4845" s="157" t="s">
        <v>6145</v>
      </c>
      <c r="B4845" s="158" t="s">
        <v>27</v>
      </c>
      <c r="C4845" s="158" t="s">
        <v>6146</v>
      </c>
      <c r="D4845" s="159">
        <v>45404.0</v>
      </c>
      <c r="E4845" s="157" t="s">
        <v>731</v>
      </c>
      <c r="F4845" s="160">
        <v>115109.18</v>
      </c>
      <c r="G4845" s="160">
        <f>'FACP$'!$F4845*0.16</f>
        <v>18417.4688</v>
      </c>
      <c r="H4845" s="160">
        <f t="shared" si="124"/>
        <v>133526.6488</v>
      </c>
      <c r="I4845" s="160"/>
      <c r="J4845" s="161"/>
      <c r="K4845" s="160"/>
      <c r="L4845" s="160">
        <f>+'FACP$'!$H4845-'FACP$'!$I4845-'FACP$'!$K4845</f>
        <v>133526.6488</v>
      </c>
      <c r="M4845" s="162" t="s">
        <v>158</v>
      </c>
      <c r="N4845" s="162" t="s">
        <v>554</v>
      </c>
      <c r="O4845" s="164">
        <v>45481.0</v>
      </c>
      <c r="P4845" s="164">
        <f t="array" ref="P4845">XLOOKUP('FACP$'!$B4845,'perfil de pagos'!$A$4:$A$46,'perfil de pagos'!$B$4:$B$46+'FACP$'!$D4845)</f>
        <v>45434</v>
      </c>
      <c r="Q4845" s="165">
        <f t="shared" si="128"/>
        <v>0</v>
      </c>
      <c r="R4845" s="167"/>
      <c r="S4845" s="167">
        <v>3137.0</v>
      </c>
      <c r="T4845" s="168">
        <f t="shared" si="3"/>
        <v>133526.6488</v>
      </c>
      <c r="U4845" s="168">
        <f t="shared" si="4"/>
        <v>0</v>
      </c>
      <c r="V4845" s="168">
        <f t="shared" si="5"/>
        <v>0</v>
      </c>
      <c r="W4845" s="168">
        <f t="shared" si="6"/>
        <v>0</v>
      </c>
      <c r="X4845" s="168">
        <f t="shared" si="7"/>
        <v>0</v>
      </c>
      <c r="Y4845" s="168">
        <f t="shared" si="8"/>
        <v>0</v>
      </c>
      <c r="Z4845" s="168">
        <f t="shared" si="9"/>
        <v>0</v>
      </c>
    </row>
    <row r="4846" ht="15.0" customHeight="1">
      <c r="A4846" s="299" t="s">
        <v>6147</v>
      </c>
      <c r="B4846" s="300" t="s">
        <v>27</v>
      </c>
      <c r="C4846" s="300"/>
      <c r="D4846" s="301"/>
      <c r="E4846" s="299" t="s">
        <v>731</v>
      </c>
      <c r="F4846" s="302"/>
      <c r="G4846" s="302">
        <f>'FACP$'!$F4846*0.16</f>
        <v>0</v>
      </c>
      <c r="H4846" s="303">
        <f t="shared" si="124"/>
        <v>0</v>
      </c>
      <c r="I4846" s="302"/>
      <c r="J4846" s="304"/>
      <c r="K4846" s="302"/>
      <c r="L4846" s="302">
        <f>+'FACP$'!$H4846-'FACP$'!$I4846-'FACP$'!$K4846</f>
        <v>0</v>
      </c>
      <c r="M4846" s="305"/>
      <c r="N4846" s="305" t="s">
        <v>127</v>
      </c>
      <c r="O4846" s="306"/>
      <c r="P4846" s="306">
        <f t="array" ref="P4846">XLOOKUP('FACP$'!$B4846,'perfil de pagos'!$A$4:$A$46,'perfil de pagos'!$B$4:$B$46+'FACP$'!$D4846)</f>
        <v>30</v>
      </c>
      <c r="Q4846" s="307">
        <f t="shared" si="128"/>
        <v>0</v>
      </c>
      <c r="R4846" s="308"/>
      <c r="S4846" s="308"/>
      <c r="T4846" s="309">
        <f t="shared" si="3"/>
        <v>0</v>
      </c>
      <c r="U4846" s="309">
        <f t="shared" si="4"/>
        <v>0</v>
      </c>
      <c r="V4846" s="309">
        <f t="shared" si="5"/>
        <v>0</v>
      </c>
      <c r="W4846" s="309">
        <f t="shared" si="6"/>
        <v>0</v>
      </c>
      <c r="X4846" s="309">
        <f t="shared" si="7"/>
        <v>0</v>
      </c>
      <c r="Y4846" s="309">
        <f t="shared" si="8"/>
        <v>0</v>
      </c>
      <c r="Z4846" s="309">
        <f t="shared" si="9"/>
        <v>0</v>
      </c>
    </row>
    <row r="4847" ht="15.0" customHeight="1">
      <c r="A4847" s="157" t="s">
        <v>6148</v>
      </c>
      <c r="B4847" s="158" t="s">
        <v>27</v>
      </c>
      <c r="C4847" s="158" t="s">
        <v>6144</v>
      </c>
      <c r="D4847" s="159">
        <v>45405.0</v>
      </c>
      <c r="E4847" s="157" t="s">
        <v>731</v>
      </c>
      <c r="F4847" s="160">
        <v>181493.07</v>
      </c>
      <c r="G4847" s="160">
        <f>'FACP$'!$F4847*0.16</f>
        <v>29038.8912</v>
      </c>
      <c r="H4847" s="160">
        <f t="shared" si="124"/>
        <v>210531.9612</v>
      </c>
      <c r="I4847" s="160"/>
      <c r="J4847" s="161"/>
      <c r="K4847" s="160"/>
      <c r="L4847" s="160">
        <f>+'FACP$'!$H4847-'FACP$'!$I4847-'FACP$'!$K4847</f>
        <v>210531.9612</v>
      </c>
      <c r="M4847" s="162" t="s">
        <v>151</v>
      </c>
      <c r="N4847" s="162" t="s">
        <v>554</v>
      </c>
      <c r="O4847" s="164">
        <v>45481.0</v>
      </c>
      <c r="P4847" s="164">
        <f t="array" ref="P4847">XLOOKUP('FACP$'!$B4847,'perfil de pagos'!$A$4:$A$46,'perfil de pagos'!$B$4:$B$46+'FACP$'!$D4847)</f>
        <v>45435</v>
      </c>
      <c r="Q4847" s="165">
        <f t="shared" si="128"/>
        <v>0</v>
      </c>
      <c r="R4847" s="167"/>
      <c r="S4847" s="167">
        <v>3136.0</v>
      </c>
      <c r="T4847" s="168">
        <f t="shared" si="3"/>
        <v>210531.9612</v>
      </c>
      <c r="U4847" s="168">
        <f t="shared" si="4"/>
        <v>0</v>
      </c>
      <c r="V4847" s="168">
        <f t="shared" si="5"/>
        <v>0</v>
      </c>
      <c r="W4847" s="168">
        <f t="shared" si="6"/>
        <v>0</v>
      </c>
      <c r="X4847" s="168">
        <f t="shared" si="7"/>
        <v>0</v>
      </c>
      <c r="Y4847" s="168">
        <f t="shared" si="8"/>
        <v>0</v>
      </c>
      <c r="Z4847" s="168">
        <f t="shared" si="9"/>
        <v>0</v>
      </c>
    </row>
    <row r="4848" ht="15.0" customHeight="1">
      <c r="A4848" s="157" t="s">
        <v>6149</v>
      </c>
      <c r="B4848" s="158" t="s">
        <v>27</v>
      </c>
      <c r="C4848" s="158" t="s">
        <v>6146</v>
      </c>
      <c r="D4848" s="159">
        <v>45405.0</v>
      </c>
      <c r="E4848" s="157" t="s">
        <v>731</v>
      </c>
      <c r="F4848" s="160">
        <v>188632.49</v>
      </c>
      <c r="G4848" s="160">
        <f>'FACP$'!$F4848*0.16</f>
        <v>30181.1984</v>
      </c>
      <c r="H4848" s="160">
        <f t="shared" si="124"/>
        <v>218813.6884</v>
      </c>
      <c r="I4848" s="160"/>
      <c r="J4848" s="161"/>
      <c r="K4848" s="160"/>
      <c r="L4848" s="160">
        <f>+'FACP$'!$H4848-'FACP$'!$I4848-'FACP$'!$K4848</f>
        <v>218813.6884</v>
      </c>
      <c r="M4848" s="162" t="s">
        <v>151</v>
      </c>
      <c r="N4848" s="162" t="s">
        <v>554</v>
      </c>
      <c r="O4848" s="164">
        <v>45481.0</v>
      </c>
      <c r="P4848" s="164">
        <f t="array" ref="P4848">XLOOKUP('FACP$'!$B4848,'perfil de pagos'!$A$4:$A$46,'perfil de pagos'!$B$4:$B$46+'FACP$'!$D4848)</f>
        <v>45435</v>
      </c>
      <c r="Q4848" s="165">
        <f t="shared" si="128"/>
        <v>0</v>
      </c>
      <c r="R4848" s="167"/>
      <c r="S4848" s="167">
        <v>3136.0</v>
      </c>
      <c r="T4848" s="168">
        <f t="shared" si="3"/>
        <v>218813.6884</v>
      </c>
      <c r="U4848" s="168">
        <f t="shared" si="4"/>
        <v>0</v>
      </c>
      <c r="V4848" s="168">
        <f t="shared" si="5"/>
        <v>0</v>
      </c>
      <c r="W4848" s="168">
        <f t="shared" si="6"/>
        <v>0</v>
      </c>
      <c r="X4848" s="168">
        <f t="shared" si="7"/>
        <v>0</v>
      </c>
      <c r="Y4848" s="168">
        <f t="shared" si="8"/>
        <v>0</v>
      </c>
      <c r="Z4848" s="168">
        <f t="shared" si="9"/>
        <v>0</v>
      </c>
    </row>
    <row r="4849" ht="15.0" customHeight="1">
      <c r="A4849" s="157" t="s">
        <v>6150</v>
      </c>
      <c r="B4849" s="158" t="s">
        <v>27</v>
      </c>
      <c r="C4849" s="158" t="s">
        <v>6144</v>
      </c>
      <c r="D4849" s="159">
        <v>45405.0</v>
      </c>
      <c r="E4849" s="157" t="s">
        <v>731</v>
      </c>
      <c r="F4849" s="160">
        <v>2062.32</v>
      </c>
      <c r="G4849" s="160">
        <f>'FACP$'!$F4849*0.16</f>
        <v>329.9712</v>
      </c>
      <c r="H4849" s="160">
        <f t="shared" si="124"/>
        <v>2392.2912</v>
      </c>
      <c r="I4849" s="160"/>
      <c r="J4849" s="161"/>
      <c r="K4849" s="160"/>
      <c r="L4849" s="160">
        <f>+'FACP$'!$H4849-'FACP$'!$I4849-'FACP$'!$K4849</f>
        <v>2392.2912</v>
      </c>
      <c r="M4849" s="162" t="s">
        <v>151</v>
      </c>
      <c r="N4849" s="162" t="s">
        <v>554</v>
      </c>
      <c r="O4849" s="164">
        <v>45481.0</v>
      </c>
      <c r="P4849" s="164">
        <f t="array" ref="P4849">XLOOKUP('FACP$'!$B4849,'perfil de pagos'!$A$4:$A$46,'perfil de pagos'!$B$4:$B$46+'FACP$'!$D4849)</f>
        <v>45435</v>
      </c>
      <c r="Q4849" s="165">
        <f t="shared" si="128"/>
        <v>0</v>
      </c>
      <c r="R4849" s="167"/>
      <c r="S4849" s="167">
        <v>3136.0</v>
      </c>
      <c r="T4849" s="168">
        <f t="shared" si="3"/>
        <v>2392.2912</v>
      </c>
      <c r="U4849" s="168">
        <f t="shared" si="4"/>
        <v>0</v>
      </c>
      <c r="V4849" s="168">
        <f t="shared" si="5"/>
        <v>0</v>
      </c>
      <c r="W4849" s="168">
        <f t="shared" si="6"/>
        <v>0</v>
      </c>
      <c r="X4849" s="168">
        <f t="shared" si="7"/>
        <v>0</v>
      </c>
      <c r="Y4849" s="168">
        <f t="shared" si="8"/>
        <v>0</v>
      </c>
      <c r="Z4849" s="168">
        <f t="shared" si="9"/>
        <v>0</v>
      </c>
    </row>
    <row r="4850" ht="15.0" customHeight="1">
      <c r="A4850" s="157" t="s">
        <v>6151</v>
      </c>
      <c r="B4850" s="158" t="s">
        <v>27</v>
      </c>
      <c r="C4850" s="158" t="s">
        <v>6146</v>
      </c>
      <c r="D4850" s="159">
        <v>45405.0</v>
      </c>
      <c r="E4850" s="157" t="s">
        <v>731</v>
      </c>
      <c r="F4850" s="160">
        <v>4570.84</v>
      </c>
      <c r="G4850" s="160">
        <f>'FACP$'!$F4850*0.16</f>
        <v>731.3344</v>
      </c>
      <c r="H4850" s="160">
        <f t="shared" si="124"/>
        <v>5302.1744</v>
      </c>
      <c r="I4850" s="160"/>
      <c r="J4850" s="161"/>
      <c r="K4850" s="160"/>
      <c r="L4850" s="160">
        <f>+'FACP$'!$H4850-'FACP$'!$I4850-'FACP$'!$K4850</f>
        <v>5302.1744</v>
      </c>
      <c r="M4850" s="162" t="s">
        <v>151</v>
      </c>
      <c r="N4850" s="162" t="s">
        <v>554</v>
      </c>
      <c r="O4850" s="164">
        <v>45481.0</v>
      </c>
      <c r="P4850" s="164">
        <f t="array" ref="P4850">XLOOKUP('FACP$'!$B4850,'perfil de pagos'!$A$4:$A$46,'perfil de pagos'!$B$4:$B$46+'FACP$'!$D4850)</f>
        <v>45435</v>
      </c>
      <c r="Q4850" s="165">
        <f t="shared" si="128"/>
        <v>0</v>
      </c>
      <c r="R4850" s="167"/>
      <c r="S4850" s="167">
        <v>3136.0</v>
      </c>
      <c r="T4850" s="168">
        <f t="shared" si="3"/>
        <v>5302.1744</v>
      </c>
      <c r="U4850" s="168">
        <f t="shared" si="4"/>
        <v>0</v>
      </c>
      <c r="V4850" s="168">
        <f t="shared" si="5"/>
        <v>0</v>
      </c>
      <c r="W4850" s="168">
        <f t="shared" si="6"/>
        <v>0</v>
      </c>
      <c r="X4850" s="168">
        <f t="shared" si="7"/>
        <v>0</v>
      </c>
      <c r="Y4850" s="168">
        <f t="shared" si="8"/>
        <v>0</v>
      </c>
      <c r="Z4850" s="168">
        <f t="shared" si="9"/>
        <v>0</v>
      </c>
    </row>
    <row r="4851" ht="15.0" customHeight="1">
      <c r="A4851" s="157" t="s">
        <v>6152</v>
      </c>
      <c r="B4851" s="158" t="s">
        <v>38</v>
      </c>
      <c r="C4851" s="158" t="s">
        <v>6125</v>
      </c>
      <c r="D4851" s="159">
        <v>45405.0</v>
      </c>
      <c r="E4851" s="157" t="s">
        <v>731</v>
      </c>
      <c r="F4851" s="160">
        <v>72691.13</v>
      </c>
      <c r="G4851" s="160">
        <f>'FACP$'!$F4851*0.16</f>
        <v>11630.5808</v>
      </c>
      <c r="H4851" s="160">
        <f t="shared" si="124"/>
        <v>84321.7108</v>
      </c>
      <c r="I4851" s="160"/>
      <c r="J4851" s="161"/>
      <c r="K4851" s="160"/>
      <c r="L4851" s="160">
        <f>+'FACP$'!$H4851-'FACP$'!$I4851-'FACP$'!$K4851</f>
        <v>84321.7108</v>
      </c>
      <c r="M4851" s="162" t="s">
        <v>4654</v>
      </c>
      <c r="N4851" s="162" t="s">
        <v>554</v>
      </c>
      <c r="O4851" s="164">
        <v>45448.0</v>
      </c>
      <c r="P4851" s="164">
        <f t="array" ref="P4851">XLOOKUP('FACP$'!$B4851,'perfil de pagos'!$A$4:$A$46,'perfil de pagos'!$B$4:$B$46+'FACP$'!$D4851)</f>
        <v>45435</v>
      </c>
      <c r="Q4851" s="165">
        <f t="shared" si="128"/>
        <v>0</v>
      </c>
      <c r="R4851" s="167"/>
      <c r="S4851" s="167">
        <v>3025.0</v>
      </c>
      <c r="T4851" s="168">
        <f t="shared" si="3"/>
        <v>84321.7108</v>
      </c>
      <c r="U4851" s="168">
        <f t="shared" si="4"/>
        <v>0</v>
      </c>
      <c r="V4851" s="168">
        <f t="shared" si="5"/>
        <v>0</v>
      </c>
      <c r="W4851" s="168">
        <f t="shared" si="6"/>
        <v>0</v>
      </c>
      <c r="X4851" s="168">
        <f t="shared" si="7"/>
        <v>0</v>
      </c>
      <c r="Y4851" s="168">
        <f t="shared" si="8"/>
        <v>0</v>
      </c>
      <c r="Z4851" s="168">
        <f t="shared" si="9"/>
        <v>0</v>
      </c>
    </row>
    <row r="4852" ht="15.0" customHeight="1">
      <c r="A4852" s="157" t="s">
        <v>6153</v>
      </c>
      <c r="B4852" s="158" t="s">
        <v>38</v>
      </c>
      <c r="C4852" s="158" t="s">
        <v>6125</v>
      </c>
      <c r="D4852" s="159">
        <v>45405.0</v>
      </c>
      <c r="E4852" s="157" t="s">
        <v>731</v>
      </c>
      <c r="F4852" s="160">
        <v>47473.98</v>
      </c>
      <c r="G4852" s="160">
        <f>'FACP$'!$F4852*0.16</f>
        <v>7595.8368</v>
      </c>
      <c r="H4852" s="160">
        <f t="shared" si="124"/>
        <v>55069.8168</v>
      </c>
      <c r="I4852" s="160"/>
      <c r="J4852" s="161"/>
      <c r="K4852" s="160"/>
      <c r="L4852" s="160">
        <f>+'FACP$'!$H4852-'FACP$'!$I4852-'FACP$'!$K4852</f>
        <v>55069.8168</v>
      </c>
      <c r="M4852" s="162" t="s">
        <v>4707</v>
      </c>
      <c r="N4852" s="162" t="s">
        <v>554</v>
      </c>
      <c r="O4852" s="164">
        <v>45448.0</v>
      </c>
      <c r="P4852" s="164">
        <f t="array" ref="P4852">XLOOKUP('FACP$'!$B4852,'perfil de pagos'!$A$4:$A$46,'perfil de pagos'!$B$4:$B$46+'FACP$'!$D4852)</f>
        <v>45435</v>
      </c>
      <c r="Q4852" s="165">
        <f t="shared" si="128"/>
        <v>0</v>
      </c>
      <c r="R4852" s="167"/>
      <c r="S4852" s="167">
        <v>3025.0</v>
      </c>
      <c r="T4852" s="168">
        <f t="shared" si="3"/>
        <v>55069.8168</v>
      </c>
      <c r="U4852" s="168">
        <f t="shared" si="4"/>
        <v>0</v>
      </c>
      <c r="V4852" s="168">
        <f t="shared" si="5"/>
        <v>0</v>
      </c>
      <c r="W4852" s="168">
        <f t="shared" si="6"/>
        <v>0</v>
      </c>
      <c r="X4852" s="168">
        <f t="shared" si="7"/>
        <v>0</v>
      </c>
      <c r="Y4852" s="168">
        <f t="shared" si="8"/>
        <v>0</v>
      </c>
      <c r="Z4852" s="168">
        <f t="shared" si="9"/>
        <v>0</v>
      </c>
    </row>
    <row r="4853" ht="15.0" customHeight="1">
      <c r="A4853" s="157" t="s">
        <v>6154</v>
      </c>
      <c r="B4853" s="158" t="s">
        <v>38</v>
      </c>
      <c r="C4853" s="158" t="s">
        <v>6129</v>
      </c>
      <c r="D4853" s="159">
        <v>45405.0</v>
      </c>
      <c r="E4853" s="157" t="s">
        <v>731</v>
      </c>
      <c r="F4853" s="160">
        <v>127825.52</v>
      </c>
      <c r="G4853" s="160">
        <f>'FACP$'!$F4853*0.16</f>
        <v>20452.0832</v>
      </c>
      <c r="H4853" s="160">
        <f t="shared" si="124"/>
        <v>148277.6032</v>
      </c>
      <c r="I4853" s="160"/>
      <c r="J4853" s="161"/>
      <c r="K4853" s="160"/>
      <c r="L4853" s="160">
        <f>+'FACP$'!$H4853-'FACP$'!$I4853-'FACP$'!$K4853</f>
        <v>148277.6032</v>
      </c>
      <c r="M4853" s="162" t="s">
        <v>4707</v>
      </c>
      <c r="N4853" s="162" t="s">
        <v>554</v>
      </c>
      <c r="O4853" s="164">
        <v>45455.0</v>
      </c>
      <c r="P4853" s="164">
        <f t="array" ref="P4853">XLOOKUP('FACP$'!$B4853,'perfil de pagos'!$A$4:$A$46,'perfil de pagos'!$B$4:$B$46+'FACP$'!$D4853)</f>
        <v>45435</v>
      </c>
      <c r="Q4853" s="165">
        <f t="shared" si="128"/>
        <v>0</v>
      </c>
      <c r="R4853" s="167"/>
      <c r="S4853" s="167">
        <v>3052.0</v>
      </c>
      <c r="T4853" s="168">
        <f t="shared" si="3"/>
        <v>148277.6032</v>
      </c>
      <c r="U4853" s="168">
        <f t="shared" si="4"/>
        <v>0</v>
      </c>
      <c r="V4853" s="168">
        <f t="shared" si="5"/>
        <v>0</v>
      </c>
      <c r="W4853" s="168">
        <f t="shared" si="6"/>
        <v>0</v>
      </c>
      <c r="X4853" s="168">
        <f t="shared" si="7"/>
        <v>0</v>
      </c>
      <c r="Y4853" s="168">
        <f t="shared" si="8"/>
        <v>0</v>
      </c>
      <c r="Z4853" s="168">
        <f t="shared" si="9"/>
        <v>0</v>
      </c>
    </row>
    <row r="4854" ht="15.0" customHeight="1">
      <c r="A4854" s="157" t="s">
        <v>6155</v>
      </c>
      <c r="B4854" s="158" t="s">
        <v>38</v>
      </c>
      <c r="C4854" s="158" t="s">
        <v>6125</v>
      </c>
      <c r="D4854" s="159">
        <v>45405.0</v>
      </c>
      <c r="E4854" s="157" t="s">
        <v>731</v>
      </c>
      <c r="F4854" s="160">
        <v>405696.44</v>
      </c>
      <c r="G4854" s="160">
        <f>'FACP$'!$F4854*0.16</f>
        <v>64911.4304</v>
      </c>
      <c r="H4854" s="160">
        <f t="shared" si="124"/>
        <v>470607.8704</v>
      </c>
      <c r="I4854" s="160"/>
      <c r="J4854" s="161"/>
      <c r="K4854" s="160"/>
      <c r="L4854" s="160">
        <f>+'FACP$'!$H4854-'FACP$'!$I4854-'FACP$'!$K4854</f>
        <v>470607.8704</v>
      </c>
      <c r="M4854" s="162" t="s">
        <v>145</v>
      </c>
      <c r="N4854" s="162" t="s">
        <v>554</v>
      </c>
      <c r="O4854" s="164">
        <v>45455.0</v>
      </c>
      <c r="P4854" s="164">
        <f t="array" ref="P4854">XLOOKUP('FACP$'!$B4854,'perfil de pagos'!$A$4:$A$46,'perfil de pagos'!$B$4:$B$46+'FACP$'!$D4854)</f>
        <v>45435</v>
      </c>
      <c r="Q4854" s="165">
        <f t="shared" si="128"/>
        <v>0</v>
      </c>
      <c r="R4854" s="167"/>
      <c r="S4854" s="167">
        <v>3052.0</v>
      </c>
      <c r="T4854" s="168">
        <f t="shared" si="3"/>
        <v>470607.8704</v>
      </c>
      <c r="U4854" s="168">
        <f t="shared" si="4"/>
        <v>0</v>
      </c>
      <c r="V4854" s="168">
        <f t="shared" si="5"/>
        <v>0</v>
      </c>
      <c r="W4854" s="168">
        <f t="shared" si="6"/>
        <v>0</v>
      </c>
      <c r="X4854" s="168">
        <f t="shared" si="7"/>
        <v>0</v>
      </c>
      <c r="Y4854" s="168">
        <f t="shared" si="8"/>
        <v>0</v>
      </c>
      <c r="Z4854" s="168">
        <f t="shared" si="9"/>
        <v>0</v>
      </c>
    </row>
    <row r="4855" ht="15.0" customHeight="1">
      <c r="A4855" s="157" t="s">
        <v>6156</v>
      </c>
      <c r="B4855" s="158" t="s">
        <v>38</v>
      </c>
      <c r="C4855" s="158" t="s">
        <v>6125</v>
      </c>
      <c r="D4855" s="159">
        <v>45405.0</v>
      </c>
      <c r="E4855" s="157" t="s">
        <v>731</v>
      </c>
      <c r="F4855" s="160">
        <v>183893.26</v>
      </c>
      <c r="G4855" s="160">
        <f>'FACP$'!$F4855*0.16</f>
        <v>29422.9216</v>
      </c>
      <c r="H4855" s="160">
        <f t="shared" si="124"/>
        <v>213316.1816</v>
      </c>
      <c r="I4855" s="160"/>
      <c r="J4855" s="161"/>
      <c r="K4855" s="160"/>
      <c r="L4855" s="160">
        <f>+'FACP$'!$H4855-'FACP$'!$I4855-'FACP$'!$K4855</f>
        <v>213316.1816</v>
      </c>
      <c r="M4855" s="162" t="s">
        <v>642</v>
      </c>
      <c r="N4855" s="162" t="s">
        <v>554</v>
      </c>
      <c r="O4855" s="164">
        <v>45455.0</v>
      </c>
      <c r="P4855" s="164">
        <f t="array" ref="P4855">XLOOKUP('FACP$'!$B4855,'perfil de pagos'!$A$4:$A$46,'perfil de pagos'!$B$4:$B$46+'FACP$'!$D4855)</f>
        <v>45435</v>
      </c>
      <c r="Q4855" s="165">
        <f t="shared" si="128"/>
        <v>0</v>
      </c>
      <c r="R4855" s="167"/>
      <c r="S4855" s="167">
        <v>3052.0</v>
      </c>
      <c r="T4855" s="168">
        <f t="shared" si="3"/>
        <v>213316.1816</v>
      </c>
      <c r="U4855" s="168">
        <f t="shared" si="4"/>
        <v>0</v>
      </c>
      <c r="V4855" s="168">
        <f t="shared" si="5"/>
        <v>0</v>
      </c>
      <c r="W4855" s="168">
        <f t="shared" si="6"/>
        <v>0</v>
      </c>
      <c r="X4855" s="168">
        <f t="shared" si="7"/>
        <v>0</v>
      </c>
      <c r="Y4855" s="168">
        <f t="shared" si="8"/>
        <v>0</v>
      </c>
      <c r="Z4855" s="168">
        <f t="shared" si="9"/>
        <v>0</v>
      </c>
    </row>
    <row r="4856" ht="15.0" customHeight="1">
      <c r="A4856" s="157" t="s">
        <v>6157</v>
      </c>
      <c r="B4856" s="158" t="s">
        <v>40</v>
      </c>
      <c r="C4856" s="158" t="s">
        <v>6125</v>
      </c>
      <c r="D4856" s="159">
        <v>45405.0</v>
      </c>
      <c r="E4856" s="157" t="s">
        <v>731</v>
      </c>
      <c r="F4856" s="160">
        <v>230737.66</v>
      </c>
      <c r="G4856" s="160">
        <f>'FACP$'!$F4856*0.16</f>
        <v>36918.0256</v>
      </c>
      <c r="H4856" s="160">
        <f t="shared" si="124"/>
        <v>267655.6856</v>
      </c>
      <c r="I4856" s="160"/>
      <c r="J4856" s="161"/>
      <c r="K4856" s="160"/>
      <c r="L4856" s="160">
        <f>+'FACP$'!$H4856-'FACP$'!$I4856-'FACP$'!$K4856</f>
        <v>267655.6856</v>
      </c>
      <c r="M4856" s="162" t="s">
        <v>490</v>
      </c>
      <c r="N4856" s="162" t="s">
        <v>554</v>
      </c>
      <c r="O4856" s="164">
        <v>45435.0</v>
      </c>
      <c r="P4856" s="164">
        <f t="array" ref="P4856">XLOOKUP('FACP$'!$B4856,'perfil de pagos'!$A$4:$A$46,'perfil de pagos'!$B$4:$B$46+'FACP$'!$D4856)</f>
        <v>45435</v>
      </c>
      <c r="Q4856" s="165">
        <f t="shared" si="128"/>
        <v>0</v>
      </c>
      <c r="R4856" s="167"/>
      <c r="S4856" s="167">
        <v>2999.0</v>
      </c>
      <c r="T4856" s="168">
        <f t="shared" si="3"/>
        <v>267655.6856</v>
      </c>
      <c r="U4856" s="168">
        <f t="shared" si="4"/>
        <v>0</v>
      </c>
      <c r="V4856" s="168">
        <f t="shared" si="5"/>
        <v>0</v>
      </c>
      <c r="W4856" s="168">
        <f t="shared" si="6"/>
        <v>0</v>
      </c>
      <c r="X4856" s="168">
        <f t="shared" si="7"/>
        <v>0</v>
      </c>
      <c r="Y4856" s="168">
        <f t="shared" si="8"/>
        <v>0</v>
      </c>
      <c r="Z4856" s="168">
        <f t="shared" si="9"/>
        <v>0</v>
      </c>
    </row>
    <row r="4857" ht="15.0" customHeight="1">
      <c r="A4857" s="157" t="s">
        <v>6158</v>
      </c>
      <c r="B4857" s="158" t="s">
        <v>40</v>
      </c>
      <c r="C4857" s="158" t="s">
        <v>6129</v>
      </c>
      <c r="D4857" s="159">
        <v>45405.0</v>
      </c>
      <c r="E4857" s="157" t="s">
        <v>731</v>
      </c>
      <c r="F4857" s="160">
        <v>298543.79</v>
      </c>
      <c r="G4857" s="160">
        <f>'FACP$'!$F4857*0.16</f>
        <v>47767.0064</v>
      </c>
      <c r="H4857" s="211">
        <f t="shared" si="124"/>
        <v>346310.7964</v>
      </c>
      <c r="I4857" s="160">
        <v>334216.27</v>
      </c>
      <c r="J4857" s="161"/>
      <c r="K4857" s="160"/>
      <c r="L4857" s="211">
        <f>+'FACP$'!$H4857-'FACP$'!$I4857-'FACP$'!$K4857</f>
        <v>12094.5264</v>
      </c>
      <c r="M4857" s="162" t="s">
        <v>490</v>
      </c>
      <c r="N4857" s="162" t="s">
        <v>554</v>
      </c>
      <c r="O4857" s="164">
        <v>45464.0</v>
      </c>
      <c r="P4857" s="164">
        <f t="array" ref="P4857">XLOOKUP('FACP$'!$B4857,'perfil de pagos'!$A$4:$A$46,'perfil de pagos'!$B$4:$B$46+'FACP$'!$D4857)</f>
        <v>45435</v>
      </c>
      <c r="Q4857" s="165">
        <f t="shared" si="128"/>
        <v>0</v>
      </c>
      <c r="R4857" s="167"/>
      <c r="S4857" s="167">
        <v>3079.0</v>
      </c>
      <c r="T4857" s="168">
        <f t="shared" si="3"/>
        <v>12094.5264</v>
      </c>
      <c r="U4857" s="168">
        <f t="shared" si="4"/>
        <v>0</v>
      </c>
      <c r="V4857" s="168">
        <f t="shared" si="5"/>
        <v>0</v>
      </c>
      <c r="W4857" s="168">
        <f t="shared" si="6"/>
        <v>0</v>
      </c>
      <c r="X4857" s="168">
        <f t="shared" si="7"/>
        <v>0</v>
      </c>
      <c r="Y4857" s="168">
        <f t="shared" si="8"/>
        <v>0</v>
      </c>
      <c r="Z4857" s="168">
        <f t="shared" si="9"/>
        <v>0</v>
      </c>
    </row>
    <row r="4858" ht="15.0" customHeight="1">
      <c r="A4858" s="157" t="s">
        <v>6159</v>
      </c>
      <c r="B4858" s="158" t="s">
        <v>40</v>
      </c>
      <c r="C4858" s="158" t="s">
        <v>6160</v>
      </c>
      <c r="D4858" s="159">
        <v>45405.0</v>
      </c>
      <c r="E4858" s="157" t="s">
        <v>731</v>
      </c>
      <c r="F4858" s="160">
        <v>45904.9</v>
      </c>
      <c r="G4858" s="160">
        <f>'FACP$'!$F4858*0.16</f>
        <v>7344.784</v>
      </c>
      <c r="H4858" s="160">
        <f t="shared" si="124"/>
        <v>53249.684</v>
      </c>
      <c r="I4858" s="160"/>
      <c r="J4858" s="260">
        <f>'NCP$'!A291</f>
        <v>395</v>
      </c>
      <c r="K4858" s="259">
        <f>'NCP$'!H291</f>
        <v>12094.5312</v>
      </c>
      <c r="L4858" s="160">
        <f>+'FACP$'!$H4858-'FACP$'!$I4858-'FACP$'!$K4858</f>
        <v>41155.1528</v>
      </c>
      <c r="M4858" s="162" t="s">
        <v>490</v>
      </c>
      <c r="N4858" s="162" t="s">
        <v>554</v>
      </c>
      <c r="O4858" s="164">
        <v>45464.0</v>
      </c>
      <c r="P4858" s="164">
        <f t="array" ref="P4858">XLOOKUP('FACP$'!$B4858,'perfil de pagos'!$A$4:$A$46,'perfil de pagos'!$B$4:$B$46+'FACP$'!$D4858)</f>
        <v>45435</v>
      </c>
      <c r="Q4858" s="165">
        <f t="shared" si="128"/>
        <v>0</v>
      </c>
      <c r="R4858" s="167"/>
      <c r="S4858" s="167">
        <v>3075.0</v>
      </c>
      <c r="T4858" s="168">
        <f t="shared" si="3"/>
        <v>41155.1528</v>
      </c>
      <c r="U4858" s="168">
        <f t="shared" si="4"/>
        <v>0</v>
      </c>
      <c r="V4858" s="168">
        <f t="shared" si="5"/>
        <v>0</v>
      </c>
      <c r="W4858" s="168">
        <f t="shared" si="6"/>
        <v>0</v>
      </c>
      <c r="X4858" s="168">
        <f t="shared" si="7"/>
        <v>0</v>
      </c>
      <c r="Y4858" s="168">
        <f t="shared" si="8"/>
        <v>0</v>
      </c>
      <c r="Z4858" s="168">
        <f t="shared" si="9"/>
        <v>0</v>
      </c>
    </row>
    <row r="4859" ht="15.0" customHeight="1">
      <c r="A4859" s="157" t="s">
        <v>6161</v>
      </c>
      <c r="B4859" s="158" t="s">
        <v>40</v>
      </c>
      <c r="C4859" s="158" t="s">
        <v>6082</v>
      </c>
      <c r="D4859" s="159">
        <v>45408.0</v>
      </c>
      <c r="E4859" s="157" t="s">
        <v>731</v>
      </c>
      <c r="F4859" s="160">
        <v>203543.16</v>
      </c>
      <c r="G4859" s="160">
        <f>'FACP$'!$F4859*0.16</f>
        <v>32566.9056</v>
      </c>
      <c r="H4859" s="160">
        <f t="shared" si="124"/>
        <v>236110.0656</v>
      </c>
      <c r="I4859" s="160"/>
      <c r="J4859" s="260">
        <f>'NCP$'!A292</f>
        <v>396</v>
      </c>
      <c r="K4859" s="259">
        <f>'NCP$'!H292</f>
        <v>25747.0352</v>
      </c>
      <c r="L4859" s="160">
        <f>+'FACP$'!$H4859-'FACP$'!$I4859-'FACP$'!$K4859</f>
        <v>210363.0304</v>
      </c>
      <c r="M4859" s="162" t="s">
        <v>490</v>
      </c>
      <c r="N4859" s="162" t="s">
        <v>554</v>
      </c>
      <c r="O4859" s="164">
        <v>45464.0</v>
      </c>
      <c r="P4859" s="164">
        <f t="array" ref="P4859">XLOOKUP('FACP$'!$B4859,'perfil de pagos'!$A$4:$A$46,'perfil de pagos'!$B$4:$B$46+'FACP$'!$D4859)</f>
        <v>45438</v>
      </c>
      <c r="Q4859" s="165">
        <f t="shared" si="128"/>
        <v>0</v>
      </c>
      <c r="R4859" s="167"/>
      <c r="S4859" s="167">
        <v>3074.0</v>
      </c>
      <c r="T4859" s="168">
        <f t="shared" si="3"/>
        <v>210363.0304</v>
      </c>
      <c r="U4859" s="168">
        <f t="shared" si="4"/>
        <v>0</v>
      </c>
      <c r="V4859" s="168">
        <f t="shared" si="5"/>
        <v>0</v>
      </c>
      <c r="W4859" s="168">
        <f t="shared" si="6"/>
        <v>0</v>
      </c>
      <c r="X4859" s="168">
        <f t="shared" si="7"/>
        <v>0</v>
      </c>
      <c r="Y4859" s="168">
        <f t="shared" si="8"/>
        <v>0</v>
      </c>
      <c r="Z4859" s="168">
        <f t="shared" si="9"/>
        <v>0</v>
      </c>
    </row>
    <row r="4860" ht="15.0" customHeight="1">
      <c r="A4860" s="157" t="s">
        <v>6162</v>
      </c>
      <c r="B4860" s="158" t="s">
        <v>40</v>
      </c>
      <c r="C4860" s="158" t="s">
        <v>6122</v>
      </c>
      <c r="D4860" s="159">
        <v>45411.0</v>
      </c>
      <c r="E4860" s="157" t="s">
        <v>731</v>
      </c>
      <c r="F4860" s="160">
        <v>97599.5</v>
      </c>
      <c r="G4860" s="160">
        <f>'FACP$'!$F4860*0.16</f>
        <v>15615.92</v>
      </c>
      <c r="H4860" s="160">
        <f t="shared" si="124"/>
        <v>113215.42</v>
      </c>
      <c r="I4860" s="160"/>
      <c r="J4860" s="161"/>
      <c r="K4860" s="160"/>
      <c r="L4860" s="160">
        <f>+'FACP$'!$H4860-'FACP$'!$I4860-'FACP$'!$K4860</f>
        <v>113215.42</v>
      </c>
      <c r="M4860" s="162" t="s">
        <v>490</v>
      </c>
      <c r="N4860" s="162" t="s">
        <v>554</v>
      </c>
      <c r="O4860" s="164">
        <v>45435.0</v>
      </c>
      <c r="P4860" s="164">
        <f t="array" ref="P4860">XLOOKUP('FACP$'!$B4860,'perfil de pagos'!$A$4:$A$46,'perfil de pagos'!$B$4:$B$46+'FACP$'!$D4860)</f>
        <v>45441</v>
      </c>
      <c r="Q4860" s="165">
        <f t="shared" si="128"/>
        <v>0</v>
      </c>
      <c r="R4860" s="167"/>
      <c r="S4860" s="167">
        <v>2999.0</v>
      </c>
      <c r="T4860" s="168">
        <f t="shared" si="3"/>
        <v>113215.42</v>
      </c>
      <c r="U4860" s="168">
        <f t="shared" si="4"/>
        <v>0</v>
      </c>
      <c r="V4860" s="168">
        <f t="shared" si="5"/>
        <v>0</v>
      </c>
      <c r="W4860" s="168">
        <f t="shared" si="6"/>
        <v>0</v>
      </c>
      <c r="X4860" s="168">
        <f t="shared" si="7"/>
        <v>0</v>
      </c>
      <c r="Y4860" s="168">
        <f t="shared" si="8"/>
        <v>0</v>
      </c>
      <c r="Z4860" s="168">
        <f t="shared" si="9"/>
        <v>0</v>
      </c>
    </row>
    <row r="4861" ht="15.0" customHeight="1">
      <c r="A4861" s="157" t="s">
        <v>6163</v>
      </c>
      <c r="B4861" s="158" t="s">
        <v>27</v>
      </c>
      <c r="C4861" s="158" t="s">
        <v>6164</v>
      </c>
      <c r="D4861" s="159">
        <v>45412.0</v>
      </c>
      <c r="E4861" s="157" t="s">
        <v>731</v>
      </c>
      <c r="F4861" s="160">
        <v>102493.26</v>
      </c>
      <c r="G4861" s="160">
        <f>'FACP$'!$F4861*0.16</f>
        <v>16398.9216</v>
      </c>
      <c r="H4861" s="160">
        <f t="shared" si="124"/>
        <v>118892.1816</v>
      </c>
      <c r="I4861" s="160"/>
      <c r="J4861" s="161"/>
      <c r="K4861" s="160"/>
      <c r="L4861" s="160">
        <f>+'FACP$'!$H4861-'FACP$'!$I4861-'FACP$'!$K4861</f>
        <v>118892.1816</v>
      </c>
      <c r="M4861" s="162" t="s">
        <v>158</v>
      </c>
      <c r="N4861" s="162" t="s">
        <v>554</v>
      </c>
      <c r="O4861" s="164">
        <v>45481.0</v>
      </c>
      <c r="P4861" s="164">
        <f t="array" ref="P4861">XLOOKUP('FACP$'!$B4861,'perfil de pagos'!$A$4:$A$46,'perfil de pagos'!$B$4:$B$46+'FACP$'!$D4861)</f>
        <v>45442</v>
      </c>
      <c r="Q4861" s="165">
        <f t="shared" si="128"/>
        <v>0</v>
      </c>
      <c r="R4861" s="167"/>
      <c r="S4861" s="167">
        <v>3137.0</v>
      </c>
      <c r="T4861" s="168">
        <f t="shared" si="3"/>
        <v>118892.1816</v>
      </c>
      <c r="U4861" s="168">
        <f t="shared" si="4"/>
        <v>0</v>
      </c>
      <c r="V4861" s="168">
        <f t="shared" si="5"/>
        <v>0</v>
      </c>
      <c r="W4861" s="168">
        <f t="shared" si="6"/>
        <v>0</v>
      </c>
      <c r="X4861" s="168">
        <f t="shared" si="7"/>
        <v>0</v>
      </c>
      <c r="Y4861" s="168">
        <f t="shared" si="8"/>
        <v>0</v>
      </c>
      <c r="Z4861" s="168">
        <f t="shared" si="9"/>
        <v>0</v>
      </c>
    </row>
    <row r="4862" ht="15.0" customHeight="1">
      <c r="A4862" s="157" t="s">
        <v>6165</v>
      </c>
      <c r="B4862" s="158" t="s">
        <v>27</v>
      </c>
      <c r="C4862" s="158" t="s">
        <v>6166</v>
      </c>
      <c r="D4862" s="159">
        <v>45412.0</v>
      </c>
      <c r="E4862" s="157" t="s">
        <v>731</v>
      </c>
      <c r="F4862" s="160">
        <v>114972.24</v>
      </c>
      <c r="G4862" s="160">
        <f>'FACP$'!$F4862*0.16</f>
        <v>18395.5584</v>
      </c>
      <c r="H4862" s="160">
        <f t="shared" si="124"/>
        <v>133367.7984</v>
      </c>
      <c r="I4862" s="160"/>
      <c r="J4862" s="161"/>
      <c r="K4862" s="160"/>
      <c r="L4862" s="160">
        <f>+'FACP$'!$H4862-'FACP$'!$I4862-'FACP$'!$K4862</f>
        <v>133367.7984</v>
      </c>
      <c r="M4862" s="162" t="s">
        <v>158</v>
      </c>
      <c r="N4862" s="162" t="s">
        <v>554</v>
      </c>
      <c r="O4862" s="164">
        <v>45481.0</v>
      </c>
      <c r="P4862" s="164">
        <f t="array" ref="P4862">XLOOKUP('FACP$'!$B4862,'perfil de pagos'!$A$4:$A$46,'perfil de pagos'!$B$4:$B$46+'FACP$'!$D4862)</f>
        <v>45442</v>
      </c>
      <c r="Q4862" s="165">
        <f t="shared" si="128"/>
        <v>0</v>
      </c>
      <c r="R4862" s="167"/>
      <c r="S4862" s="167">
        <v>3137.0</v>
      </c>
      <c r="T4862" s="168">
        <f t="shared" si="3"/>
        <v>133367.7984</v>
      </c>
      <c r="U4862" s="168">
        <f t="shared" si="4"/>
        <v>0</v>
      </c>
      <c r="V4862" s="168">
        <f t="shared" si="5"/>
        <v>0</v>
      </c>
      <c r="W4862" s="168">
        <f t="shared" si="6"/>
        <v>0</v>
      </c>
      <c r="X4862" s="168">
        <f t="shared" si="7"/>
        <v>0</v>
      </c>
      <c r="Y4862" s="168">
        <f t="shared" si="8"/>
        <v>0</v>
      </c>
      <c r="Z4862" s="168">
        <f t="shared" si="9"/>
        <v>0</v>
      </c>
    </row>
    <row r="4863" ht="15.0" customHeight="1">
      <c r="A4863" s="157" t="s">
        <v>6167</v>
      </c>
      <c r="B4863" s="158" t="s">
        <v>27</v>
      </c>
      <c r="C4863" s="158" t="s">
        <v>6164</v>
      </c>
      <c r="D4863" s="159">
        <v>45412.0</v>
      </c>
      <c r="E4863" s="157" t="s">
        <v>731</v>
      </c>
      <c r="F4863" s="160">
        <v>195205.83</v>
      </c>
      <c r="G4863" s="160">
        <f>'FACP$'!$F4863*0.16</f>
        <v>31232.9328</v>
      </c>
      <c r="H4863" s="160">
        <f t="shared" si="124"/>
        <v>226438.7628</v>
      </c>
      <c r="I4863" s="160"/>
      <c r="J4863" s="161"/>
      <c r="K4863" s="160"/>
      <c r="L4863" s="160">
        <f>+'FACP$'!$H4863-'FACP$'!$I4863-'FACP$'!$K4863</f>
        <v>226438.7628</v>
      </c>
      <c r="M4863" s="162" t="s">
        <v>151</v>
      </c>
      <c r="N4863" s="162" t="s">
        <v>554</v>
      </c>
      <c r="O4863" s="164">
        <v>45481.0</v>
      </c>
      <c r="P4863" s="164">
        <f t="array" ref="P4863">XLOOKUP('FACP$'!$B4863,'perfil de pagos'!$A$4:$A$46,'perfil de pagos'!$B$4:$B$46+'FACP$'!$D4863)</f>
        <v>45442</v>
      </c>
      <c r="Q4863" s="165">
        <f t="shared" si="128"/>
        <v>0</v>
      </c>
      <c r="R4863" s="167"/>
      <c r="S4863" s="167">
        <v>3136.0</v>
      </c>
      <c r="T4863" s="168">
        <f t="shared" si="3"/>
        <v>226438.7628</v>
      </c>
      <c r="U4863" s="168">
        <f t="shared" si="4"/>
        <v>0</v>
      </c>
      <c r="V4863" s="168">
        <f t="shared" si="5"/>
        <v>0</v>
      </c>
      <c r="W4863" s="168">
        <f t="shared" si="6"/>
        <v>0</v>
      </c>
      <c r="X4863" s="168">
        <f t="shared" si="7"/>
        <v>0</v>
      </c>
      <c r="Y4863" s="168">
        <f t="shared" si="8"/>
        <v>0</v>
      </c>
      <c r="Z4863" s="168">
        <f t="shared" si="9"/>
        <v>0</v>
      </c>
    </row>
    <row r="4864" ht="15.0" customHeight="1">
      <c r="A4864" s="157" t="s">
        <v>6168</v>
      </c>
      <c r="B4864" s="158" t="s">
        <v>27</v>
      </c>
      <c r="C4864" s="158" t="s">
        <v>6166</v>
      </c>
      <c r="D4864" s="159">
        <v>45412.0</v>
      </c>
      <c r="E4864" s="157" t="s">
        <v>731</v>
      </c>
      <c r="F4864" s="160">
        <v>210781.68</v>
      </c>
      <c r="G4864" s="160">
        <f>'FACP$'!$F4864*0.16</f>
        <v>33725.0688</v>
      </c>
      <c r="H4864" s="160">
        <f t="shared" si="124"/>
        <v>244506.7488</v>
      </c>
      <c r="I4864" s="160"/>
      <c r="J4864" s="161"/>
      <c r="K4864" s="160"/>
      <c r="L4864" s="160">
        <f>+'FACP$'!$H4864-'FACP$'!$I4864-'FACP$'!$K4864</f>
        <v>244506.7488</v>
      </c>
      <c r="M4864" s="162" t="s">
        <v>151</v>
      </c>
      <c r="N4864" s="162" t="s">
        <v>554</v>
      </c>
      <c r="O4864" s="164">
        <v>45481.0</v>
      </c>
      <c r="P4864" s="164">
        <f t="array" ref="P4864">XLOOKUP('FACP$'!$B4864,'perfil de pagos'!$A$4:$A$46,'perfil de pagos'!$B$4:$B$46+'FACP$'!$D4864)</f>
        <v>45442</v>
      </c>
      <c r="Q4864" s="165">
        <f t="shared" si="128"/>
        <v>0</v>
      </c>
      <c r="R4864" s="167"/>
      <c r="S4864" s="167">
        <v>3136.0</v>
      </c>
      <c r="T4864" s="168">
        <f t="shared" si="3"/>
        <v>244506.7488</v>
      </c>
      <c r="U4864" s="168">
        <f t="shared" si="4"/>
        <v>0</v>
      </c>
      <c r="V4864" s="168">
        <f t="shared" si="5"/>
        <v>0</v>
      </c>
      <c r="W4864" s="168">
        <f t="shared" si="6"/>
        <v>0</v>
      </c>
      <c r="X4864" s="168">
        <f t="shared" si="7"/>
        <v>0</v>
      </c>
      <c r="Y4864" s="168">
        <f t="shared" si="8"/>
        <v>0</v>
      </c>
      <c r="Z4864" s="168">
        <f t="shared" si="9"/>
        <v>0</v>
      </c>
    </row>
    <row r="4865" ht="15.0" customHeight="1">
      <c r="A4865" s="157" t="s">
        <v>6169</v>
      </c>
      <c r="B4865" s="158" t="s">
        <v>48</v>
      </c>
      <c r="C4865" s="158" t="s">
        <v>6170</v>
      </c>
      <c r="D4865" s="159">
        <v>45414.0</v>
      </c>
      <c r="E4865" s="157" t="s">
        <v>731</v>
      </c>
      <c r="F4865" s="160">
        <v>330000.0</v>
      </c>
      <c r="G4865" s="160">
        <f>'FACP$'!$F4865*0.16</f>
        <v>52800</v>
      </c>
      <c r="H4865" s="160">
        <f t="shared" si="124"/>
        <v>382800</v>
      </c>
      <c r="I4865" s="160"/>
      <c r="J4865" s="161"/>
      <c r="K4865" s="160"/>
      <c r="L4865" s="160">
        <f>+'FACP$'!$H4865-'FACP$'!$I4865-'FACP$'!$K4865</f>
        <v>382800</v>
      </c>
      <c r="M4865" s="162" t="s">
        <v>6171</v>
      </c>
      <c r="N4865" s="162" t="s">
        <v>554</v>
      </c>
      <c r="O4865" s="164">
        <v>45420.0</v>
      </c>
      <c r="P4865" s="164">
        <f t="array" ref="P4865">XLOOKUP('FACP$'!$B4865,'perfil de pagos'!$A$4:$A$46,'perfil de pagos'!$B$4:$B$46+'FACP$'!$D4865)</f>
        <v>45419</v>
      </c>
      <c r="Q4865" s="165">
        <f t="shared" si="128"/>
        <v>0</v>
      </c>
      <c r="R4865" s="167"/>
      <c r="S4865" s="167">
        <v>2973.0</v>
      </c>
      <c r="T4865" s="168">
        <f t="shared" si="3"/>
        <v>382800</v>
      </c>
      <c r="U4865" s="168">
        <f t="shared" si="4"/>
        <v>0</v>
      </c>
      <c r="V4865" s="168">
        <f t="shared" si="5"/>
        <v>0</v>
      </c>
      <c r="W4865" s="168">
        <f t="shared" si="6"/>
        <v>0</v>
      </c>
      <c r="X4865" s="168">
        <f t="shared" si="7"/>
        <v>0</v>
      </c>
      <c r="Y4865" s="168">
        <f t="shared" si="8"/>
        <v>0</v>
      </c>
      <c r="Z4865" s="168">
        <f t="shared" si="9"/>
        <v>0</v>
      </c>
    </row>
    <row r="4866" ht="15.0" customHeight="1">
      <c r="A4866" s="157" t="s">
        <v>6172</v>
      </c>
      <c r="B4866" s="158" t="s">
        <v>41</v>
      </c>
      <c r="C4866" s="158" t="s">
        <v>6173</v>
      </c>
      <c r="D4866" s="159">
        <v>45415.0</v>
      </c>
      <c r="E4866" s="157" t="s">
        <v>731</v>
      </c>
      <c r="F4866" s="160">
        <v>611661.66</v>
      </c>
      <c r="G4866" s="160">
        <f>'FACP$'!$F4866*0.16</f>
        <v>97865.8656</v>
      </c>
      <c r="H4866" s="160">
        <f t="shared" si="124"/>
        <v>709527.5256</v>
      </c>
      <c r="I4866" s="160"/>
      <c r="J4866" s="161"/>
      <c r="K4866" s="160"/>
      <c r="L4866" s="160">
        <f>+'FACP$'!$H4866-'FACP$'!$I4866-'FACP$'!$K4866</f>
        <v>709527.5256</v>
      </c>
      <c r="M4866" s="162" t="s">
        <v>121</v>
      </c>
      <c r="N4866" s="162" t="s">
        <v>554</v>
      </c>
      <c r="O4866" s="164">
        <v>45463.0</v>
      </c>
      <c r="P4866" s="164">
        <f t="array" ref="P4866">XLOOKUP('FACP$'!$B4866,'perfil de pagos'!$A$4:$A$46,'perfil de pagos'!$B$4:$B$46+'FACP$'!$D4866)</f>
        <v>45425</v>
      </c>
      <c r="Q4866" s="165">
        <f t="shared" si="128"/>
        <v>0</v>
      </c>
      <c r="R4866" s="167"/>
      <c r="S4866" s="167">
        <v>3069.0</v>
      </c>
      <c r="T4866" s="168">
        <f t="shared" si="3"/>
        <v>709527.5256</v>
      </c>
      <c r="U4866" s="168">
        <f t="shared" si="4"/>
        <v>0</v>
      </c>
      <c r="V4866" s="168">
        <f t="shared" si="5"/>
        <v>0</v>
      </c>
      <c r="W4866" s="168">
        <f t="shared" si="6"/>
        <v>0</v>
      </c>
      <c r="X4866" s="168">
        <f t="shared" si="7"/>
        <v>0</v>
      </c>
      <c r="Y4866" s="168">
        <f t="shared" si="8"/>
        <v>0</v>
      </c>
      <c r="Z4866" s="168">
        <f t="shared" si="9"/>
        <v>0</v>
      </c>
    </row>
    <row r="4867" ht="15.0" customHeight="1">
      <c r="A4867" s="157" t="s">
        <v>6174</v>
      </c>
      <c r="B4867" s="158" t="s">
        <v>35</v>
      </c>
      <c r="C4867" s="158" t="s">
        <v>6173</v>
      </c>
      <c r="D4867" s="159">
        <v>45415.0</v>
      </c>
      <c r="E4867" s="157" t="s">
        <v>731</v>
      </c>
      <c r="F4867" s="160">
        <v>170271.31</v>
      </c>
      <c r="G4867" s="160">
        <f>'FACP$'!$F4867*0.16</f>
        <v>27243.4096</v>
      </c>
      <c r="H4867" s="160">
        <f t="shared" si="124"/>
        <v>197514.7196</v>
      </c>
      <c r="I4867" s="160"/>
      <c r="J4867" s="161"/>
      <c r="K4867" s="160"/>
      <c r="L4867" s="160">
        <f>+'FACP$'!$H4867-'FACP$'!$I4867-'FACP$'!$K4867</f>
        <v>197514.7196</v>
      </c>
      <c r="M4867" s="162" t="s">
        <v>276</v>
      </c>
      <c r="N4867" s="162" t="s">
        <v>554</v>
      </c>
      <c r="O4867" s="164">
        <v>45429.0</v>
      </c>
      <c r="P4867" s="164">
        <f t="array" ref="P4867">XLOOKUP('FACP$'!$B4867,'perfil de pagos'!$A$4:$A$46,'perfil de pagos'!$B$4:$B$46+'FACP$'!$D4867)</f>
        <v>45425</v>
      </c>
      <c r="Q4867" s="165">
        <f t="shared" si="128"/>
        <v>0</v>
      </c>
      <c r="R4867" s="167"/>
      <c r="S4867" s="167">
        <v>2991.0</v>
      </c>
      <c r="T4867" s="168">
        <f t="shared" si="3"/>
        <v>197514.7196</v>
      </c>
      <c r="U4867" s="168">
        <f t="shared" si="4"/>
        <v>0</v>
      </c>
      <c r="V4867" s="168">
        <f t="shared" si="5"/>
        <v>0</v>
      </c>
      <c r="W4867" s="168">
        <f t="shared" si="6"/>
        <v>0</v>
      </c>
      <c r="X4867" s="168">
        <f t="shared" si="7"/>
        <v>0</v>
      </c>
      <c r="Y4867" s="168">
        <f t="shared" si="8"/>
        <v>0</v>
      </c>
      <c r="Z4867" s="168">
        <f t="shared" si="9"/>
        <v>0</v>
      </c>
    </row>
    <row r="4868" ht="15.0" customHeight="1">
      <c r="A4868" s="157" t="s">
        <v>6175</v>
      </c>
      <c r="B4868" s="158" t="s">
        <v>36</v>
      </c>
      <c r="C4868" s="158" t="s">
        <v>6173</v>
      </c>
      <c r="D4868" s="159">
        <v>45415.0</v>
      </c>
      <c r="E4868" s="157" t="s">
        <v>731</v>
      </c>
      <c r="F4868" s="160">
        <v>129194.61</v>
      </c>
      <c r="G4868" s="160">
        <f>'FACP$'!$F4868*0.16</f>
        <v>20671.1376</v>
      </c>
      <c r="H4868" s="160">
        <f t="shared" si="124"/>
        <v>149865.7476</v>
      </c>
      <c r="I4868" s="160"/>
      <c r="J4868" s="161"/>
      <c r="K4868" s="160"/>
      <c r="L4868" s="160">
        <f>+'FACP$'!$H4868-'FACP$'!$I4868-'FACP$'!$K4868</f>
        <v>149865.7476</v>
      </c>
      <c r="M4868" s="162" t="s">
        <v>574</v>
      </c>
      <c r="N4868" s="162" t="s">
        <v>554</v>
      </c>
      <c r="O4868" s="164">
        <v>45429.0</v>
      </c>
      <c r="P4868" s="164">
        <f t="array" ref="P4868">XLOOKUP('FACP$'!$B4868,'perfil de pagos'!$A$4:$A$46,'perfil de pagos'!$B$4:$B$46+'FACP$'!$D4868)</f>
        <v>45425</v>
      </c>
      <c r="Q4868" s="165">
        <f t="shared" si="128"/>
        <v>0</v>
      </c>
      <c r="R4868" s="167"/>
      <c r="S4868" s="167"/>
      <c r="T4868" s="168">
        <f t="shared" si="3"/>
        <v>149865.7476</v>
      </c>
      <c r="U4868" s="168">
        <f t="shared" si="4"/>
        <v>0</v>
      </c>
      <c r="V4868" s="168">
        <f t="shared" si="5"/>
        <v>0</v>
      </c>
      <c r="W4868" s="168">
        <f t="shared" si="6"/>
        <v>0</v>
      </c>
      <c r="X4868" s="168">
        <f t="shared" si="7"/>
        <v>0</v>
      </c>
      <c r="Y4868" s="168">
        <f t="shared" si="8"/>
        <v>0</v>
      </c>
      <c r="Z4868" s="168">
        <f t="shared" si="9"/>
        <v>0</v>
      </c>
    </row>
    <row r="4869" ht="15.0" customHeight="1">
      <c r="A4869" s="157" t="s">
        <v>6176</v>
      </c>
      <c r="B4869" s="158" t="s">
        <v>36</v>
      </c>
      <c r="C4869" s="158" t="s">
        <v>6177</v>
      </c>
      <c r="D4869" s="159">
        <v>45415.0</v>
      </c>
      <c r="E4869" s="157" t="s">
        <v>731</v>
      </c>
      <c r="F4869" s="160">
        <v>126222.37</v>
      </c>
      <c r="G4869" s="160">
        <f>'FACP$'!$F4869*0.16</f>
        <v>20195.5792</v>
      </c>
      <c r="H4869" s="160">
        <f t="shared" si="124"/>
        <v>146417.9492</v>
      </c>
      <c r="I4869" s="160"/>
      <c r="J4869" s="161"/>
      <c r="K4869" s="160"/>
      <c r="L4869" s="160">
        <f>+'FACP$'!$H4869-'FACP$'!$I4869-'FACP$'!$K4869</f>
        <v>146417.9492</v>
      </c>
      <c r="M4869" s="162" t="s">
        <v>574</v>
      </c>
      <c r="N4869" s="162" t="s">
        <v>554</v>
      </c>
      <c r="O4869" s="164">
        <v>45429.0</v>
      </c>
      <c r="P4869" s="164">
        <f t="array" ref="P4869">XLOOKUP('FACP$'!$B4869,'perfil de pagos'!$A$4:$A$46,'perfil de pagos'!$B$4:$B$46+'FACP$'!$D4869)</f>
        <v>45425</v>
      </c>
      <c r="Q4869" s="165">
        <f t="shared" si="128"/>
        <v>0</v>
      </c>
      <c r="R4869" s="167"/>
      <c r="S4869" s="167"/>
      <c r="T4869" s="168">
        <f t="shared" si="3"/>
        <v>146417.9492</v>
      </c>
      <c r="U4869" s="168">
        <f t="shared" si="4"/>
        <v>0</v>
      </c>
      <c r="V4869" s="168">
        <f t="shared" si="5"/>
        <v>0</v>
      </c>
      <c r="W4869" s="168">
        <f t="shared" si="6"/>
        <v>0</v>
      </c>
      <c r="X4869" s="168">
        <f t="shared" si="7"/>
        <v>0</v>
      </c>
      <c r="Y4869" s="168">
        <f t="shared" si="8"/>
        <v>0</v>
      </c>
      <c r="Z4869" s="168">
        <f t="shared" si="9"/>
        <v>0</v>
      </c>
    </row>
    <row r="4870" ht="15.0" customHeight="1">
      <c r="A4870" s="157" t="s">
        <v>6178</v>
      </c>
      <c r="B4870" s="158" t="s">
        <v>42</v>
      </c>
      <c r="C4870" s="158" t="s">
        <v>6173</v>
      </c>
      <c r="D4870" s="159">
        <v>45415.0</v>
      </c>
      <c r="E4870" s="157" t="s">
        <v>731</v>
      </c>
      <c r="F4870" s="160">
        <v>45067.63</v>
      </c>
      <c r="G4870" s="160">
        <f>'FACP$'!$F4870*0.16</f>
        <v>7210.8208</v>
      </c>
      <c r="H4870" s="160">
        <f t="shared" si="124"/>
        <v>52278.4508</v>
      </c>
      <c r="I4870" s="160"/>
      <c r="J4870" s="161"/>
      <c r="K4870" s="160"/>
      <c r="L4870" s="160">
        <f>+'FACP$'!$H4870-'FACP$'!$I4870-'FACP$'!$K4870</f>
        <v>52278.4508</v>
      </c>
      <c r="M4870" s="162" t="s">
        <v>42</v>
      </c>
      <c r="N4870" s="162" t="s">
        <v>554</v>
      </c>
      <c r="O4870" s="164">
        <v>45428.0</v>
      </c>
      <c r="P4870" s="164">
        <f t="array" ref="P4870">XLOOKUP('FACP$'!$B4870,'perfil de pagos'!$A$4:$A$46,'perfil de pagos'!$B$4:$B$46+'FACP$'!$D4870)</f>
        <v>45425</v>
      </c>
      <c r="Q4870" s="165">
        <f t="shared" si="128"/>
        <v>0</v>
      </c>
      <c r="R4870" s="167"/>
      <c r="S4870" s="167">
        <v>2981.0</v>
      </c>
      <c r="T4870" s="168">
        <f t="shared" si="3"/>
        <v>52278.4508</v>
      </c>
      <c r="U4870" s="168">
        <f t="shared" si="4"/>
        <v>0</v>
      </c>
      <c r="V4870" s="168">
        <f t="shared" si="5"/>
        <v>0</v>
      </c>
      <c r="W4870" s="168">
        <f t="shared" si="6"/>
        <v>0</v>
      </c>
      <c r="X4870" s="168">
        <f t="shared" si="7"/>
        <v>0</v>
      </c>
      <c r="Y4870" s="168">
        <f t="shared" si="8"/>
        <v>0</v>
      </c>
      <c r="Z4870" s="168">
        <f t="shared" si="9"/>
        <v>0</v>
      </c>
    </row>
    <row r="4871" ht="15.0" customHeight="1">
      <c r="A4871" s="157" t="s">
        <v>6179</v>
      </c>
      <c r="B4871" s="158" t="s">
        <v>44</v>
      </c>
      <c r="C4871" s="158" t="s">
        <v>6173</v>
      </c>
      <c r="D4871" s="159">
        <v>45415.0</v>
      </c>
      <c r="E4871" s="157" t="s">
        <v>731</v>
      </c>
      <c r="F4871" s="160">
        <v>53563.84</v>
      </c>
      <c r="G4871" s="160">
        <f>'FACP$'!$F4871*0.16</f>
        <v>8570.2144</v>
      </c>
      <c r="H4871" s="160">
        <f t="shared" si="124"/>
        <v>62134.0544</v>
      </c>
      <c r="I4871" s="160"/>
      <c r="J4871" s="161"/>
      <c r="K4871" s="160"/>
      <c r="L4871" s="160">
        <f>+'FACP$'!$H4871-'FACP$'!$I4871-'FACP$'!$K4871</f>
        <v>62134.0544</v>
      </c>
      <c r="M4871" s="162" t="s">
        <v>361</v>
      </c>
      <c r="N4871" s="162" t="s">
        <v>554</v>
      </c>
      <c r="O4871" s="164">
        <v>45422.0</v>
      </c>
      <c r="P4871" s="164">
        <f t="array" ref="P4871">XLOOKUP('FACP$'!$B4871,'perfil de pagos'!$A$4:$A$46,'perfil de pagos'!$B$4:$B$46+'FACP$'!$D4871)</f>
        <v>45425</v>
      </c>
      <c r="Q4871" s="165">
        <f t="shared" si="128"/>
        <v>0</v>
      </c>
      <c r="R4871" s="167"/>
      <c r="S4871" s="167"/>
      <c r="T4871" s="168">
        <f t="shared" si="3"/>
        <v>62134.0544</v>
      </c>
      <c r="U4871" s="168">
        <f t="shared" si="4"/>
        <v>0</v>
      </c>
      <c r="V4871" s="168">
        <f t="shared" si="5"/>
        <v>0</v>
      </c>
      <c r="W4871" s="168">
        <f t="shared" si="6"/>
        <v>0</v>
      </c>
      <c r="X4871" s="168">
        <f t="shared" si="7"/>
        <v>0</v>
      </c>
      <c r="Y4871" s="168">
        <f t="shared" si="8"/>
        <v>0</v>
      </c>
      <c r="Z4871" s="168">
        <f t="shared" si="9"/>
        <v>0</v>
      </c>
    </row>
    <row r="4872" ht="15.0" customHeight="1">
      <c r="A4872" s="157" t="s">
        <v>6180</v>
      </c>
      <c r="B4872" s="158" t="s">
        <v>43</v>
      </c>
      <c r="C4872" s="158" t="s">
        <v>6173</v>
      </c>
      <c r="D4872" s="159">
        <v>45415.0</v>
      </c>
      <c r="E4872" s="157" t="s">
        <v>731</v>
      </c>
      <c r="F4872" s="160">
        <v>208845.71</v>
      </c>
      <c r="G4872" s="160">
        <f>'FACP$'!$F4872*0.16</f>
        <v>33415.3136</v>
      </c>
      <c r="H4872" s="160">
        <f t="shared" si="124"/>
        <v>242261.0236</v>
      </c>
      <c r="I4872" s="160"/>
      <c r="J4872" s="161"/>
      <c r="K4872" s="160"/>
      <c r="L4872" s="160">
        <f>+'FACP$'!$H4872-'FACP$'!$I4872-'FACP$'!$K4872</f>
        <v>242261.0236</v>
      </c>
      <c r="M4872" s="162" t="s">
        <v>43</v>
      </c>
      <c r="N4872" s="162" t="s">
        <v>554</v>
      </c>
      <c r="O4872" s="164">
        <v>45440.0</v>
      </c>
      <c r="P4872" s="164">
        <f t="array" ref="P4872">XLOOKUP('FACP$'!$B4872,'perfil de pagos'!$A$4:$A$46,'perfil de pagos'!$B$4:$B$46+'FACP$'!$D4872)</f>
        <v>45440</v>
      </c>
      <c r="Q4872" s="165">
        <f t="shared" si="128"/>
        <v>0</v>
      </c>
      <c r="R4872" s="167"/>
      <c r="S4872" s="167">
        <v>3012.0</v>
      </c>
      <c r="T4872" s="168">
        <f t="shared" si="3"/>
        <v>242261.0236</v>
      </c>
      <c r="U4872" s="168">
        <f t="shared" si="4"/>
        <v>0</v>
      </c>
      <c r="V4872" s="168">
        <f t="shared" si="5"/>
        <v>0</v>
      </c>
      <c r="W4872" s="168">
        <f t="shared" si="6"/>
        <v>0</v>
      </c>
      <c r="X4872" s="168">
        <f t="shared" si="7"/>
        <v>0</v>
      </c>
      <c r="Y4872" s="168">
        <f t="shared" si="8"/>
        <v>0</v>
      </c>
      <c r="Z4872" s="168">
        <f t="shared" si="9"/>
        <v>0</v>
      </c>
    </row>
    <row r="4873" ht="15.0" customHeight="1">
      <c r="A4873" s="157" t="s">
        <v>6181</v>
      </c>
      <c r="B4873" s="158" t="s">
        <v>43</v>
      </c>
      <c r="C4873" s="158" t="s">
        <v>6177</v>
      </c>
      <c r="D4873" s="159">
        <v>45415.0</v>
      </c>
      <c r="E4873" s="157" t="s">
        <v>731</v>
      </c>
      <c r="F4873" s="160">
        <v>329281.31</v>
      </c>
      <c r="G4873" s="160">
        <f>'FACP$'!$F4873*0.16</f>
        <v>52685.0096</v>
      </c>
      <c r="H4873" s="160">
        <f t="shared" si="124"/>
        <v>381966.3196</v>
      </c>
      <c r="I4873" s="160"/>
      <c r="J4873" s="161"/>
      <c r="K4873" s="160"/>
      <c r="L4873" s="160">
        <f>+'FACP$'!$H4873-'FACP$'!$I4873-'FACP$'!$K4873</f>
        <v>381966.3196</v>
      </c>
      <c r="M4873" s="162" t="s">
        <v>43</v>
      </c>
      <c r="N4873" s="162" t="s">
        <v>554</v>
      </c>
      <c r="O4873" s="164">
        <v>45443.0</v>
      </c>
      <c r="P4873" s="164">
        <f t="array" ref="P4873">XLOOKUP('FACP$'!$B4873,'perfil de pagos'!$A$4:$A$46,'perfil de pagos'!$B$4:$B$46+'FACP$'!$D4873)</f>
        <v>45440</v>
      </c>
      <c r="Q4873" s="165">
        <f t="shared" si="128"/>
        <v>0</v>
      </c>
      <c r="R4873" s="167"/>
      <c r="S4873" s="167">
        <v>3020.0</v>
      </c>
      <c r="T4873" s="168">
        <f t="shared" si="3"/>
        <v>381966.3196</v>
      </c>
      <c r="U4873" s="168">
        <f t="shared" si="4"/>
        <v>0</v>
      </c>
      <c r="V4873" s="168">
        <f t="shared" si="5"/>
        <v>0</v>
      </c>
      <c r="W4873" s="168">
        <f t="shared" si="6"/>
        <v>0</v>
      </c>
      <c r="X4873" s="168">
        <f t="shared" si="7"/>
        <v>0</v>
      </c>
      <c r="Y4873" s="168">
        <f t="shared" si="8"/>
        <v>0</v>
      </c>
      <c r="Z4873" s="168">
        <f t="shared" si="9"/>
        <v>0</v>
      </c>
    </row>
    <row r="4874" ht="15.0" customHeight="1">
      <c r="A4874" s="157" t="s">
        <v>6182</v>
      </c>
      <c r="B4874" s="158" t="s">
        <v>38</v>
      </c>
      <c r="C4874" s="158" t="s">
        <v>6173</v>
      </c>
      <c r="D4874" s="159">
        <v>45419.0</v>
      </c>
      <c r="E4874" s="157" t="s">
        <v>731</v>
      </c>
      <c r="F4874" s="160">
        <v>91956.01</v>
      </c>
      <c r="G4874" s="160">
        <f>'FACP$'!$F4874*0.16</f>
        <v>14712.9616</v>
      </c>
      <c r="H4874" s="160">
        <f t="shared" si="124"/>
        <v>106668.9716</v>
      </c>
      <c r="I4874" s="160"/>
      <c r="J4874" s="161"/>
      <c r="K4874" s="160"/>
      <c r="L4874" s="160">
        <f>+'FACP$'!$H4874-'FACP$'!$I4874-'FACP$'!$K4874</f>
        <v>106668.9716</v>
      </c>
      <c r="M4874" s="162" t="s">
        <v>4654</v>
      </c>
      <c r="N4874" s="162" t="s">
        <v>554</v>
      </c>
      <c r="O4874" s="164">
        <v>45455.0</v>
      </c>
      <c r="P4874" s="164">
        <f t="array" ref="P4874">XLOOKUP('FACP$'!$B4874,'perfil de pagos'!$A$4:$A$46,'perfil de pagos'!$B$4:$B$46+'FACP$'!$D4874)</f>
        <v>45449</v>
      </c>
      <c r="Q4874" s="165">
        <f t="shared" si="128"/>
        <v>0</v>
      </c>
      <c r="R4874" s="167"/>
      <c r="S4874" s="167">
        <v>3052.0</v>
      </c>
      <c r="T4874" s="168">
        <f t="shared" si="3"/>
        <v>106668.9716</v>
      </c>
      <c r="U4874" s="168">
        <f t="shared" si="4"/>
        <v>0</v>
      </c>
      <c r="V4874" s="168">
        <f t="shared" si="5"/>
        <v>0</v>
      </c>
      <c r="W4874" s="168">
        <f t="shared" si="6"/>
        <v>0</v>
      </c>
      <c r="X4874" s="168">
        <f t="shared" si="7"/>
        <v>0</v>
      </c>
      <c r="Y4874" s="168">
        <f t="shared" si="8"/>
        <v>0</v>
      </c>
      <c r="Z4874" s="168">
        <f t="shared" si="9"/>
        <v>0</v>
      </c>
    </row>
    <row r="4875" ht="15.0" customHeight="1">
      <c r="A4875" s="157" t="s">
        <v>6183</v>
      </c>
      <c r="B4875" s="158" t="s">
        <v>38</v>
      </c>
      <c r="C4875" s="158" t="s">
        <v>6173</v>
      </c>
      <c r="D4875" s="159">
        <v>45419.0</v>
      </c>
      <c r="E4875" s="157" t="s">
        <v>731</v>
      </c>
      <c r="F4875" s="160">
        <v>47851.67</v>
      </c>
      <c r="G4875" s="160">
        <f>'FACP$'!$F4875*0.16</f>
        <v>7656.2672</v>
      </c>
      <c r="H4875" s="160">
        <f t="shared" si="124"/>
        <v>55507.9372</v>
      </c>
      <c r="I4875" s="160"/>
      <c r="J4875" s="161"/>
      <c r="K4875" s="160"/>
      <c r="L4875" s="160">
        <f>+'FACP$'!$H4875-'FACP$'!$I4875-'FACP$'!$K4875</f>
        <v>55507.9372</v>
      </c>
      <c r="M4875" s="162" t="s">
        <v>4707</v>
      </c>
      <c r="N4875" s="162" t="s">
        <v>554</v>
      </c>
      <c r="O4875" s="164">
        <v>45462.0</v>
      </c>
      <c r="P4875" s="164">
        <f t="array" ref="P4875">XLOOKUP('FACP$'!$B4875,'perfil de pagos'!$A$4:$A$46,'perfil de pagos'!$B$4:$B$46+'FACP$'!$D4875)</f>
        <v>45449</v>
      </c>
      <c r="Q4875" s="165">
        <f t="shared" si="128"/>
        <v>0</v>
      </c>
      <c r="R4875" s="167"/>
      <c r="S4875" s="167">
        <v>3067.0</v>
      </c>
      <c r="T4875" s="168">
        <f t="shared" si="3"/>
        <v>55507.9372</v>
      </c>
      <c r="U4875" s="168">
        <f t="shared" si="4"/>
        <v>0</v>
      </c>
      <c r="V4875" s="168">
        <f t="shared" si="5"/>
        <v>0</v>
      </c>
      <c r="W4875" s="168">
        <f t="shared" si="6"/>
        <v>0</v>
      </c>
      <c r="X4875" s="168">
        <f t="shared" si="7"/>
        <v>0</v>
      </c>
      <c r="Y4875" s="168">
        <f t="shared" si="8"/>
        <v>0</v>
      </c>
      <c r="Z4875" s="168">
        <f t="shared" si="9"/>
        <v>0</v>
      </c>
    </row>
    <row r="4876" ht="15.0" customHeight="1">
      <c r="A4876" s="157" t="s">
        <v>6184</v>
      </c>
      <c r="B4876" s="158" t="s">
        <v>38</v>
      </c>
      <c r="C4876" s="158" t="s">
        <v>6177</v>
      </c>
      <c r="D4876" s="159">
        <v>45419.0</v>
      </c>
      <c r="E4876" s="157" t="s">
        <v>731</v>
      </c>
      <c r="F4876" s="160">
        <v>92561.2</v>
      </c>
      <c r="G4876" s="160">
        <f>'FACP$'!$F4876*0.16</f>
        <v>14809.792</v>
      </c>
      <c r="H4876" s="160">
        <f t="shared" si="124"/>
        <v>107370.992</v>
      </c>
      <c r="I4876" s="160"/>
      <c r="J4876" s="161"/>
      <c r="K4876" s="160"/>
      <c r="L4876" s="160">
        <f>+'FACP$'!$H4876-'FACP$'!$I4876-'FACP$'!$K4876</f>
        <v>107370.992</v>
      </c>
      <c r="M4876" s="162" t="s">
        <v>4707</v>
      </c>
      <c r="N4876" s="162" t="s">
        <v>554</v>
      </c>
      <c r="O4876" s="164">
        <v>45462.0</v>
      </c>
      <c r="P4876" s="164">
        <f t="array" ref="P4876">XLOOKUP('FACP$'!$B4876,'perfil de pagos'!$A$4:$A$46,'perfil de pagos'!$B$4:$B$46+'FACP$'!$D4876)</f>
        <v>45449</v>
      </c>
      <c r="Q4876" s="165">
        <f t="shared" si="128"/>
        <v>0</v>
      </c>
      <c r="R4876" s="167"/>
      <c r="S4876" s="167">
        <v>3067.0</v>
      </c>
      <c r="T4876" s="168">
        <f t="shared" si="3"/>
        <v>107370.992</v>
      </c>
      <c r="U4876" s="168">
        <f t="shared" si="4"/>
        <v>0</v>
      </c>
      <c r="V4876" s="168">
        <f t="shared" si="5"/>
        <v>0</v>
      </c>
      <c r="W4876" s="168">
        <f t="shared" si="6"/>
        <v>0</v>
      </c>
      <c r="X4876" s="168">
        <f t="shared" si="7"/>
        <v>0</v>
      </c>
      <c r="Y4876" s="168">
        <f t="shared" si="8"/>
        <v>0</v>
      </c>
      <c r="Z4876" s="168">
        <f t="shared" si="9"/>
        <v>0</v>
      </c>
    </row>
    <row r="4877" ht="15.0" customHeight="1">
      <c r="A4877" s="157" t="s">
        <v>6185</v>
      </c>
      <c r="B4877" s="158" t="s">
        <v>27</v>
      </c>
      <c r="C4877" s="158" t="s">
        <v>6186</v>
      </c>
      <c r="D4877" s="159">
        <v>45419.0</v>
      </c>
      <c r="E4877" s="157" t="s">
        <v>731</v>
      </c>
      <c r="F4877" s="160">
        <v>6268.8</v>
      </c>
      <c r="G4877" s="160">
        <f>'FACP$'!$F4877*0.16</f>
        <v>1003.008</v>
      </c>
      <c r="H4877" s="160">
        <f t="shared" si="124"/>
        <v>7271.808</v>
      </c>
      <c r="I4877" s="160"/>
      <c r="J4877" s="161"/>
      <c r="K4877" s="160"/>
      <c r="L4877" s="160">
        <f>+'FACP$'!$H4877-'FACP$'!$I4877-'FACP$'!$K4877</f>
        <v>7271.808</v>
      </c>
      <c r="M4877" s="162" t="s">
        <v>158</v>
      </c>
      <c r="N4877" s="162" t="s">
        <v>554</v>
      </c>
      <c r="O4877" s="164">
        <v>45481.0</v>
      </c>
      <c r="P4877" s="164">
        <f t="array" ref="P4877">XLOOKUP('FACP$'!$B4877,'perfil de pagos'!$A$4:$A$46,'perfil de pagos'!$B$4:$B$46+'FACP$'!$D4877)</f>
        <v>45449</v>
      </c>
      <c r="Q4877" s="165">
        <f t="shared" si="128"/>
        <v>0</v>
      </c>
      <c r="R4877" s="167"/>
      <c r="S4877" s="167">
        <v>3137.0</v>
      </c>
      <c r="T4877" s="168">
        <f t="shared" si="3"/>
        <v>7271.808</v>
      </c>
      <c r="U4877" s="168">
        <f t="shared" si="4"/>
        <v>0</v>
      </c>
      <c r="V4877" s="168">
        <f t="shared" si="5"/>
        <v>0</v>
      </c>
      <c r="W4877" s="168">
        <f t="shared" si="6"/>
        <v>0</v>
      </c>
      <c r="X4877" s="168">
        <f t="shared" si="7"/>
        <v>0</v>
      </c>
      <c r="Y4877" s="168">
        <f t="shared" si="8"/>
        <v>0</v>
      </c>
      <c r="Z4877" s="168">
        <f t="shared" si="9"/>
        <v>0</v>
      </c>
    </row>
    <row r="4878" ht="15.0" customHeight="1">
      <c r="A4878" s="157" t="s">
        <v>6187</v>
      </c>
      <c r="B4878" s="158" t="s">
        <v>27</v>
      </c>
      <c r="C4878" s="158" t="s">
        <v>6188</v>
      </c>
      <c r="D4878" s="159">
        <v>45419.0</v>
      </c>
      <c r="E4878" s="157" t="s">
        <v>731</v>
      </c>
      <c r="F4878" s="160">
        <v>7344.42</v>
      </c>
      <c r="G4878" s="160">
        <f>'FACP$'!$F4878*0.16</f>
        <v>1175.1072</v>
      </c>
      <c r="H4878" s="160">
        <f t="shared" si="124"/>
        <v>8519.5272</v>
      </c>
      <c r="I4878" s="160"/>
      <c r="J4878" s="161"/>
      <c r="K4878" s="160"/>
      <c r="L4878" s="160">
        <f>+'FACP$'!$H4878-'FACP$'!$I4878-'FACP$'!$K4878</f>
        <v>8519.5272</v>
      </c>
      <c r="M4878" s="162" t="s">
        <v>158</v>
      </c>
      <c r="N4878" s="162" t="s">
        <v>554</v>
      </c>
      <c r="O4878" s="164">
        <v>45481.0</v>
      </c>
      <c r="P4878" s="164">
        <f t="array" ref="P4878">XLOOKUP('FACP$'!$B4878,'perfil de pagos'!$A$4:$A$46,'perfil de pagos'!$B$4:$B$46+'FACP$'!$D4878)</f>
        <v>45449</v>
      </c>
      <c r="Q4878" s="165">
        <f t="shared" si="128"/>
        <v>0</v>
      </c>
      <c r="R4878" s="167"/>
      <c r="S4878" s="167">
        <v>3137.0</v>
      </c>
      <c r="T4878" s="168">
        <f t="shared" si="3"/>
        <v>8519.5272</v>
      </c>
      <c r="U4878" s="168">
        <f t="shared" si="4"/>
        <v>0</v>
      </c>
      <c r="V4878" s="168">
        <f t="shared" si="5"/>
        <v>0</v>
      </c>
      <c r="W4878" s="168">
        <f t="shared" si="6"/>
        <v>0</v>
      </c>
      <c r="X4878" s="168">
        <f t="shared" si="7"/>
        <v>0</v>
      </c>
      <c r="Y4878" s="168">
        <f t="shared" si="8"/>
        <v>0</v>
      </c>
      <c r="Z4878" s="168">
        <f t="shared" si="9"/>
        <v>0</v>
      </c>
    </row>
    <row r="4879" ht="15.0" customHeight="1">
      <c r="A4879" s="157" t="s">
        <v>6189</v>
      </c>
      <c r="B4879" s="158" t="s">
        <v>27</v>
      </c>
      <c r="C4879" s="158" t="s">
        <v>6186</v>
      </c>
      <c r="D4879" s="159">
        <v>45419.0</v>
      </c>
      <c r="E4879" s="157" t="s">
        <v>731</v>
      </c>
      <c r="F4879" s="160">
        <v>11855.31</v>
      </c>
      <c r="G4879" s="160">
        <f>'FACP$'!$F4879*0.16</f>
        <v>1896.8496</v>
      </c>
      <c r="H4879" s="160">
        <f t="shared" si="124"/>
        <v>13752.1596</v>
      </c>
      <c r="I4879" s="160"/>
      <c r="J4879" s="161"/>
      <c r="K4879" s="160"/>
      <c r="L4879" s="160">
        <f>+'FACP$'!$H4879-'FACP$'!$I4879-'FACP$'!$K4879</f>
        <v>13752.1596</v>
      </c>
      <c r="M4879" s="162" t="s">
        <v>151</v>
      </c>
      <c r="N4879" s="162" t="s">
        <v>554</v>
      </c>
      <c r="O4879" s="164">
        <v>45481.0</v>
      </c>
      <c r="P4879" s="164">
        <f t="array" ref="P4879">XLOOKUP('FACP$'!$B4879,'perfil de pagos'!$A$4:$A$46,'perfil de pagos'!$B$4:$B$46+'FACP$'!$D4879)</f>
        <v>45449</v>
      </c>
      <c r="Q4879" s="165">
        <f t="shared" si="128"/>
        <v>0</v>
      </c>
      <c r="R4879" s="167"/>
      <c r="S4879" s="167">
        <v>3136.0</v>
      </c>
      <c r="T4879" s="168">
        <f t="shared" si="3"/>
        <v>13752.1596</v>
      </c>
      <c r="U4879" s="168">
        <f t="shared" si="4"/>
        <v>0</v>
      </c>
      <c r="V4879" s="168">
        <f t="shared" si="5"/>
        <v>0</v>
      </c>
      <c r="W4879" s="168">
        <f t="shared" si="6"/>
        <v>0</v>
      </c>
      <c r="X4879" s="168">
        <f t="shared" si="7"/>
        <v>0</v>
      </c>
      <c r="Y4879" s="168">
        <f t="shared" si="8"/>
        <v>0</v>
      </c>
      <c r="Z4879" s="168">
        <f t="shared" si="9"/>
        <v>0</v>
      </c>
    </row>
    <row r="4880" ht="15.0" customHeight="1">
      <c r="A4880" s="157" t="s">
        <v>6190</v>
      </c>
      <c r="B4880" s="158" t="s">
        <v>27</v>
      </c>
      <c r="C4880" s="158" t="s">
        <v>6188</v>
      </c>
      <c r="D4880" s="159">
        <v>45419.0</v>
      </c>
      <c r="E4880" s="157" t="s">
        <v>731</v>
      </c>
      <c r="F4880" s="160">
        <v>13867.88</v>
      </c>
      <c r="G4880" s="160">
        <f>'FACP$'!$F4880*0.16</f>
        <v>2218.8608</v>
      </c>
      <c r="H4880" s="160">
        <f t="shared" si="124"/>
        <v>16086.7408</v>
      </c>
      <c r="I4880" s="160"/>
      <c r="J4880" s="161"/>
      <c r="K4880" s="160"/>
      <c r="L4880" s="160">
        <f>+'FACP$'!$H4880-'FACP$'!$I4880-'FACP$'!$K4880</f>
        <v>16086.7408</v>
      </c>
      <c r="M4880" s="162" t="s">
        <v>151</v>
      </c>
      <c r="N4880" s="162" t="s">
        <v>554</v>
      </c>
      <c r="O4880" s="164">
        <v>45481.0</v>
      </c>
      <c r="P4880" s="164">
        <f t="array" ref="P4880">XLOOKUP('FACP$'!$B4880,'perfil de pagos'!$A$4:$A$46,'perfil de pagos'!$B$4:$B$46+'FACP$'!$D4880)</f>
        <v>45449</v>
      </c>
      <c r="Q4880" s="165">
        <f t="shared" si="128"/>
        <v>0</v>
      </c>
      <c r="R4880" s="167"/>
      <c r="S4880" s="167">
        <v>3136.0</v>
      </c>
      <c r="T4880" s="168">
        <f t="shared" si="3"/>
        <v>16086.7408</v>
      </c>
      <c r="U4880" s="168">
        <f t="shared" si="4"/>
        <v>0</v>
      </c>
      <c r="V4880" s="168">
        <f t="shared" si="5"/>
        <v>0</v>
      </c>
      <c r="W4880" s="168">
        <f t="shared" si="6"/>
        <v>0</v>
      </c>
      <c r="X4880" s="168">
        <f t="shared" si="7"/>
        <v>0</v>
      </c>
      <c r="Y4880" s="168">
        <f t="shared" si="8"/>
        <v>0</v>
      </c>
      <c r="Z4880" s="168">
        <f t="shared" si="9"/>
        <v>0</v>
      </c>
    </row>
    <row r="4881" ht="15.0" customHeight="1">
      <c r="A4881" s="157" t="s">
        <v>6191</v>
      </c>
      <c r="B4881" s="158" t="s">
        <v>16</v>
      </c>
      <c r="C4881" s="158" t="s">
        <v>6173</v>
      </c>
      <c r="D4881" s="159">
        <v>45419.0</v>
      </c>
      <c r="E4881" s="157" t="s">
        <v>731</v>
      </c>
      <c r="F4881" s="160">
        <v>235219.97</v>
      </c>
      <c r="G4881" s="160">
        <f>'FACP$'!$F4881*0.16</f>
        <v>37635.1952</v>
      </c>
      <c r="H4881" s="160">
        <f t="shared" si="124"/>
        <v>272855.1652</v>
      </c>
      <c r="I4881" s="160"/>
      <c r="J4881" s="161"/>
      <c r="K4881" s="160"/>
      <c r="L4881" s="160">
        <f>+'FACP$'!$H4881-'FACP$'!$I4881-'FACP$'!$K4881</f>
        <v>272855.1652</v>
      </c>
      <c r="M4881" s="162" t="s">
        <v>985</v>
      </c>
      <c r="N4881" s="162" t="s">
        <v>554</v>
      </c>
      <c r="O4881" s="164">
        <v>45428.0</v>
      </c>
      <c r="P4881" s="164">
        <f t="array" ref="P4881">XLOOKUP('FACP$'!$B4881,'perfil de pagos'!$A$4:$A$46,'perfil de pagos'!$B$4:$B$46+'FACP$'!$D4881)</f>
        <v>45429</v>
      </c>
      <c r="Q4881" s="165">
        <f t="shared" si="128"/>
        <v>0</v>
      </c>
      <c r="R4881" s="167"/>
      <c r="S4881" s="167">
        <v>2982.0</v>
      </c>
      <c r="T4881" s="168">
        <f t="shared" si="3"/>
        <v>272855.1652</v>
      </c>
      <c r="U4881" s="168">
        <f t="shared" si="4"/>
        <v>0</v>
      </c>
      <c r="V4881" s="168">
        <f t="shared" si="5"/>
        <v>0</v>
      </c>
      <c r="W4881" s="168">
        <f t="shared" si="6"/>
        <v>0</v>
      </c>
      <c r="X4881" s="168">
        <f t="shared" si="7"/>
        <v>0</v>
      </c>
      <c r="Y4881" s="168">
        <f t="shared" si="8"/>
        <v>0</v>
      </c>
      <c r="Z4881" s="168">
        <f t="shared" si="9"/>
        <v>0</v>
      </c>
    </row>
    <row r="4882" ht="15.0" customHeight="1">
      <c r="A4882" s="157" t="s">
        <v>6192</v>
      </c>
      <c r="B4882" s="158" t="s">
        <v>16</v>
      </c>
      <c r="C4882" s="158" t="s">
        <v>6177</v>
      </c>
      <c r="D4882" s="159">
        <v>45419.0</v>
      </c>
      <c r="E4882" s="157" t="s">
        <v>731</v>
      </c>
      <c r="F4882" s="160">
        <v>419076.69</v>
      </c>
      <c r="G4882" s="160">
        <f>'FACP$'!$F4882*0.16</f>
        <v>67052.2704</v>
      </c>
      <c r="H4882" s="160">
        <f t="shared" si="124"/>
        <v>486128.9604</v>
      </c>
      <c r="I4882" s="160"/>
      <c r="J4882" s="161"/>
      <c r="K4882" s="160"/>
      <c r="L4882" s="160">
        <f>+'FACP$'!$H4882-'FACP$'!$I4882-'FACP$'!$K4882</f>
        <v>486128.9604</v>
      </c>
      <c r="M4882" s="162" t="s">
        <v>985</v>
      </c>
      <c r="N4882" s="162" t="s">
        <v>554</v>
      </c>
      <c r="O4882" s="164">
        <v>45428.0</v>
      </c>
      <c r="P4882" s="164">
        <f t="array" ref="P4882">XLOOKUP('FACP$'!$B4882,'perfil de pagos'!$A$4:$A$46,'perfil de pagos'!$B$4:$B$46+'FACP$'!$D4882)</f>
        <v>45429</v>
      </c>
      <c r="Q4882" s="165">
        <f t="shared" si="128"/>
        <v>0</v>
      </c>
      <c r="R4882" s="167"/>
      <c r="S4882" s="167">
        <v>2982.0</v>
      </c>
      <c r="T4882" s="168">
        <f t="shared" si="3"/>
        <v>486128.9604</v>
      </c>
      <c r="U4882" s="168">
        <f t="shared" si="4"/>
        <v>0</v>
      </c>
      <c r="V4882" s="168">
        <f t="shared" si="5"/>
        <v>0</v>
      </c>
      <c r="W4882" s="168">
        <f t="shared" si="6"/>
        <v>0</v>
      </c>
      <c r="X4882" s="168">
        <f t="shared" si="7"/>
        <v>0</v>
      </c>
      <c r="Y4882" s="168">
        <f t="shared" si="8"/>
        <v>0</v>
      </c>
      <c r="Z4882" s="168">
        <f t="shared" si="9"/>
        <v>0</v>
      </c>
    </row>
    <row r="4883" ht="15.0" customHeight="1">
      <c r="A4883" s="157" t="s">
        <v>6193</v>
      </c>
      <c r="B4883" s="158" t="s">
        <v>18</v>
      </c>
      <c r="C4883" s="158" t="s">
        <v>6173</v>
      </c>
      <c r="D4883" s="159">
        <v>45419.0</v>
      </c>
      <c r="E4883" s="157" t="s">
        <v>731</v>
      </c>
      <c r="F4883" s="160">
        <v>59816.26</v>
      </c>
      <c r="G4883" s="160">
        <f>'FACP$'!$F4883*0.16</f>
        <v>9570.6016</v>
      </c>
      <c r="H4883" s="160">
        <f t="shared" si="124"/>
        <v>69386.8616</v>
      </c>
      <c r="I4883" s="160"/>
      <c r="J4883" s="161"/>
      <c r="K4883" s="160"/>
      <c r="L4883" s="160">
        <f>+'FACP$'!$H4883-'FACP$'!$I4883-'FACP$'!$K4883</f>
        <v>69386.8616</v>
      </c>
      <c r="M4883" s="162" t="s">
        <v>586</v>
      </c>
      <c r="N4883" s="162" t="s">
        <v>554</v>
      </c>
      <c r="O4883" s="164">
        <v>45490.0</v>
      </c>
      <c r="P4883" s="164">
        <f t="array" ref="P4883">XLOOKUP('FACP$'!$B4883,'perfil de pagos'!$A$4:$A$46,'perfil de pagos'!$B$4:$B$46+'FACP$'!$D4883)</f>
        <v>45429</v>
      </c>
      <c r="Q4883" s="165">
        <f t="shared" si="128"/>
        <v>0</v>
      </c>
      <c r="R4883" s="167"/>
      <c r="S4883" s="167">
        <v>3151.0</v>
      </c>
      <c r="T4883" s="168">
        <f t="shared" si="3"/>
        <v>69386.8616</v>
      </c>
      <c r="U4883" s="168">
        <f t="shared" si="4"/>
        <v>0</v>
      </c>
      <c r="V4883" s="168">
        <f t="shared" si="5"/>
        <v>0</v>
      </c>
      <c r="W4883" s="168">
        <f t="shared" si="6"/>
        <v>0</v>
      </c>
      <c r="X4883" s="168">
        <f t="shared" si="7"/>
        <v>0</v>
      </c>
      <c r="Y4883" s="168">
        <f t="shared" si="8"/>
        <v>0</v>
      </c>
      <c r="Z4883" s="168">
        <f t="shared" si="9"/>
        <v>0</v>
      </c>
    </row>
    <row r="4884" ht="15.0" customHeight="1">
      <c r="A4884" s="157" t="s">
        <v>6194</v>
      </c>
      <c r="B4884" s="158" t="s">
        <v>19</v>
      </c>
      <c r="C4884" s="158" t="s">
        <v>6173</v>
      </c>
      <c r="D4884" s="159">
        <v>45419.0</v>
      </c>
      <c r="E4884" s="157" t="s">
        <v>731</v>
      </c>
      <c r="F4884" s="160">
        <v>162408.61</v>
      </c>
      <c r="G4884" s="160">
        <f>'FACP$'!$F4884*0.16</f>
        <v>25985.3776</v>
      </c>
      <c r="H4884" s="160">
        <f t="shared" si="124"/>
        <v>188393.9876</v>
      </c>
      <c r="I4884" s="160"/>
      <c r="J4884" s="161"/>
      <c r="K4884" s="160"/>
      <c r="L4884" s="160">
        <f>+'FACP$'!$H4884-'FACP$'!$I4884-'FACP$'!$K4884</f>
        <v>188393.9876</v>
      </c>
      <c r="M4884" s="162" t="s">
        <v>732</v>
      </c>
      <c r="N4884" s="162" t="s">
        <v>554</v>
      </c>
      <c r="O4884" s="164">
        <v>45490.0</v>
      </c>
      <c r="P4884" s="164">
        <f t="array" ref="P4884">XLOOKUP('FACP$'!$B4884,'perfil de pagos'!$A$4:$A$46,'perfil de pagos'!$B$4:$B$46+'FACP$'!$D4884)</f>
        <v>45429</v>
      </c>
      <c r="Q4884" s="165">
        <f t="shared" si="128"/>
        <v>0</v>
      </c>
      <c r="R4884" s="167"/>
      <c r="S4884" s="167">
        <v>3151.0</v>
      </c>
      <c r="T4884" s="168">
        <f t="shared" si="3"/>
        <v>188393.9876</v>
      </c>
      <c r="U4884" s="168">
        <f t="shared" si="4"/>
        <v>0</v>
      </c>
      <c r="V4884" s="168">
        <f t="shared" si="5"/>
        <v>0</v>
      </c>
      <c r="W4884" s="168">
        <f t="shared" si="6"/>
        <v>0</v>
      </c>
      <c r="X4884" s="168">
        <f t="shared" si="7"/>
        <v>0</v>
      </c>
      <c r="Y4884" s="168">
        <f t="shared" si="8"/>
        <v>0</v>
      </c>
      <c r="Z4884" s="168">
        <f t="shared" si="9"/>
        <v>0</v>
      </c>
    </row>
    <row r="4885" ht="15.0" customHeight="1">
      <c r="A4885" s="157" t="s">
        <v>6195</v>
      </c>
      <c r="B4885" s="158" t="s">
        <v>22</v>
      </c>
      <c r="C4885" s="158" t="s">
        <v>6173</v>
      </c>
      <c r="D4885" s="159">
        <v>45419.0</v>
      </c>
      <c r="E4885" s="157" t="s">
        <v>731</v>
      </c>
      <c r="F4885" s="160">
        <v>232616.57</v>
      </c>
      <c r="G4885" s="160">
        <f>'FACP$'!$F4885*0.16</f>
        <v>37218.6512</v>
      </c>
      <c r="H4885" s="160">
        <f t="shared" si="124"/>
        <v>269835.2212</v>
      </c>
      <c r="I4885" s="160">
        <v>8842.48</v>
      </c>
      <c r="J4885" s="161"/>
      <c r="K4885" s="160"/>
      <c r="L4885" s="160">
        <f>+'FACP$'!$H4885-'FACP$'!$I4885-'FACP$'!$K4885</f>
        <v>260992.7412</v>
      </c>
      <c r="M4885" s="162" t="s">
        <v>220</v>
      </c>
      <c r="N4885" s="162" t="s">
        <v>554</v>
      </c>
      <c r="O4885" s="164">
        <v>45457.0</v>
      </c>
      <c r="P4885" s="164">
        <f t="array" ref="P4885">XLOOKUP('FACP$'!$B4885,'perfil de pagos'!$A$4:$A$46,'perfil de pagos'!$B$4:$B$46+'FACP$'!$D4885)</f>
        <v>45429</v>
      </c>
      <c r="Q4885" s="165">
        <f t="shared" si="128"/>
        <v>0</v>
      </c>
      <c r="R4885" s="220" t="s">
        <v>6196</v>
      </c>
      <c r="S4885" s="167" t="s">
        <v>6197</v>
      </c>
      <c r="T4885" s="168">
        <f t="shared" si="3"/>
        <v>260992.7412</v>
      </c>
      <c r="U4885" s="168">
        <f t="shared" si="4"/>
        <v>0</v>
      </c>
      <c r="V4885" s="168">
        <f t="shared" si="5"/>
        <v>0</v>
      </c>
      <c r="W4885" s="168">
        <f t="shared" si="6"/>
        <v>0</v>
      </c>
      <c r="X4885" s="168">
        <f t="shared" si="7"/>
        <v>0</v>
      </c>
      <c r="Y4885" s="168">
        <f t="shared" si="8"/>
        <v>0</v>
      </c>
      <c r="Z4885" s="168">
        <f t="shared" si="9"/>
        <v>0</v>
      </c>
    </row>
    <row r="4886" ht="15.0" customHeight="1">
      <c r="A4886" s="157" t="s">
        <v>6198</v>
      </c>
      <c r="B4886" s="158" t="s">
        <v>25</v>
      </c>
      <c r="C4886" s="158" t="s">
        <v>6173</v>
      </c>
      <c r="D4886" s="159">
        <v>45419.0</v>
      </c>
      <c r="E4886" s="157" t="s">
        <v>731</v>
      </c>
      <c r="F4886" s="160">
        <v>45712.27</v>
      </c>
      <c r="G4886" s="160">
        <f>'FACP$'!$F4886*0.16</f>
        <v>7313.9632</v>
      </c>
      <c r="H4886" s="160">
        <f t="shared" si="124"/>
        <v>53026.2332</v>
      </c>
      <c r="I4886" s="160"/>
      <c r="J4886" s="161"/>
      <c r="K4886" s="160"/>
      <c r="L4886" s="160">
        <f>+'FACP$'!$H4886-'FACP$'!$I4886-'FACP$'!$K4886</f>
        <v>53026.2332</v>
      </c>
      <c r="M4886" s="162" t="s">
        <v>4388</v>
      </c>
      <c r="N4886" s="162" t="s">
        <v>554</v>
      </c>
      <c r="O4886" s="164">
        <v>45469.0</v>
      </c>
      <c r="P4886" s="164">
        <f t="array" ref="P4886">XLOOKUP('FACP$'!$B4886,'perfil de pagos'!$A$4:$A$46,'perfil de pagos'!$B$4:$B$46+'FACP$'!$D4886)</f>
        <v>45429</v>
      </c>
      <c r="Q4886" s="165">
        <f t="shared" si="128"/>
        <v>0</v>
      </c>
      <c r="R4886" s="167"/>
      <c r="S4886" s="167">
        <v>3107.0</v>
      </c>
      <c r="T4886" s="168">
        <f t="shared" si="3"/>
        <v>53026.2332</v>
      </c>
      <c r="U4886" s="168">
        <f t="shared" si="4"/>
        <v>0</v>
      </c>
      <c r="V4886" s="168">
        <f t="shared" si="5"/>
        <v>0</v>
      </c>
      <c r="W4886" s="168">
        <f t="shared" si="6"/>
        <v>0</v>
      </c>
      <c r="X4886" s="168">
        <f t="shared" si="7"/>
        <v>0</v>
      </c>
      <c r="Y4886" s="168">
        <f t="shared" si="8"/>
        <v>0</v>
      </c>
      <c r="Z4886" s="168">
        <f t="shared" si="9"/>
        <v>0</v>
      </c>
    </row>
    <row r="4887" ht="15.0" customHeight="1">
      <c r="A4887" s="157" t="s">
        <v>6199</v>
      </c>
      <c r="B4887" s="158" t="s">
        <v>37</v>
      </c>
      <c r="C4887" s="158" t="s">
        <v>6173</v>
      </c>
      <c r="D4887" s="159">
        <v>45419.0</v>
      </c>
      <c r="E4887" s="157" t="s">
        <v>731</v>
      </c>
      <c r="F4887" s="160">
        <v>1200456.34</v>
      </c>
      <c r="G4887" s="160">
        <f>'FACP$'!$F4887*0.16</f>
        <v>192073.0144</v>
      </c>
      <c r="H4887" s="160">
        <f t="shared" si="124"/>
        <v>1392529.354</v>
      </c>
      <c r="I4887" s="160"/>
      <c r="J4887" s="161"/>
      <c r="K4887" s="160"/>
      <c r="L4887" s="160">
        <f>+'FACP$'!$H4887-'FACP$'!$I4887-'FACP$'!$K4887</f>
        <v>1392529.354</v>
      </c>
      <c r="M4887" s="162" t="s">
        <v>116</v>
      </c>
      <c r="N4887" s="162" t="s">
        <v>554</v>
      </c>
      <c r="O4887" s="164">
        <v>45432.0</v>
      </c>
      <c r="P4887" s="164">
        <f t="array" ref="P4887">XLOOKUP('FACP$'!$B4887,'perfil de pagos'!$A$4:$A$46,'perfil de pagos'!$B$4:$B$46+'FACP$'!$D4887)</f>
        <v>45429</v>
      </c>
      <c r="Q4887" s="165">
        <f t="shared" si="128"/>
        <v>0</v>
      </c>
      <c r="R4887" s="167"/>
      <c r="S4887" s="167">
        <v>2995.0</v>
      </c>
      <c r="T4887" s="168">
        <f t="shared" si="3"/>
        <v>1392529.354</v>
      </c>
      <c r="U4887" s="168">
        <f t="shared" si="4"/>
        <v>0</v>
      </c>
      <c r="V4887" s="168">
        <f t="shared" si="5"/>
        <v>0</v>
      </c>
      <c r="W4887" s="168">
        <f t="shared" si="6"/>
        <v>0</v>
      </c>
      <c r="X4887" s="168">
        <f t="shared" si="7"/>
        <v>0</v>
      </c>
      <c r="Y4887" s="168">
        <f t="shared" si="8"/>
        <v>0</v>
      </c>
      <c r="Z4887" s="168">
        <f t="shared" si="9"/>
        <v>0</v>
      </c>
    </row>
    <row r="4888" ht="15.0" customHeight="1">
      <c r="A4888" s="157" t="s">
        <v>6200</v>
      </c>
      <c r="B4888" s="158" t="s">
        <v>29</v>
      </c>
      <c r="C4888" s="158" t="s">
        <v>6173</v>
      </c>
      <c r="D4888" s="159">
        <v>45419.0</v>
      </c>
      <c r="E4888" s="157" t="s">
        <v>731</v>
      </c>
      <c r="F4888" s="160">
        <v>194514.38</v>
      </c>
      <c r="G4888" s="160">
        <f>'FACP$'!$F4888*0.16</f>
        <v>31122.3008</v>
      </c>
      <c r="H4888" s="160">
        <f t="shared" si="124"/>
        <v>225636.6808</v>
      </c>
      <c r="I4888" s="160"/>
      <c r="J4888" s="161"/>
      <c r="K4888" s="160"/>
      <c r="L4888" s="160">
        <f>+'FACP$'!$H4888-'FACP$'!$I4888-'FACP$'!$K4888</f>
        <v>225636.6808</v>
      </c>
      <c r="M4888" s="162" t="s">
        <v>130</v>
      </c>
      <c r="N4888" s="162" t="s">
        <v>554</v>
      </c>
      <c r="O4888" s="164">
        <v>45432.0</v>
      </c>
      <c r="P4888" s="164">
        <f t="array" ref="P4888">XLOOKUP('FACP$'!$B4888,'perfil de pagos'!$A$4:$A$46,'perfil de pagos'!$B$4:$B$46+'FACP$'!$D4888)</f>
        <v>45429</v>
      </c>
      <c r="Q4888" s="165">
        <f t="shared" si="128"/>
        <v>0</v>
      </c>
      <c r="R4888" s="167"/>
      <c r="S4888" s="167">
        <v>2994.0</v>
      </c>
      <c r="T4888" s="168">
        <f t="shared" si="3"/>
        <v>225636.6808</v>
      </c>
      <c r="U4888" s="168">
        <f t="shared" si="4"/>
        <v>0</v>
      </c>
      <c r="V4888" s="168">
        <f t="shared" si="5"/>
        <v>0</v>
      </c>
      <c r="W4888" s="168">
        <f t="shared" si="6"/>
        <v>0</v>
      </c>
      <c r="X4888" s="168">
        <f t="shared" si="7"/>
        <v>0</v>
      </c>
      <c r="Y4888" s="168">
        <f t="shared" si="8"/>
        <v>0</v>
      </c>
      <c r="Z4888" s="168">
        <f t="shared" si="9"/>
        <v>0</v>
      </c>
    </row>
    <row r="4889" ht="15.0" customHeight="1">
      <c r="A4889" s="157" t="s">
        <v>6201</v>
      </c>
      <c r="B4889" s="158" t="s">
        <v>29</v>
      </c>
      <c r="C4889" s="158" t="s">
        <v>6177</v>
      </c>
      <c r="D4889" s="159">
        <v>45419.0</v>
      </c>
      <c r="E4889" s="157" t="s">
        <v>731</v>
      </c>
      <c r="F4889" s="160">
        <v>461842.45</v>
      </c>
      <c r="G4889" s="160">
        <f>'FACP$'!$F4889*0.16</f>
        <v>73894.792</v>
      </c>
      <c r="H4889" s="160">
        <f t="shared" si="124"/>
        <v>535737.242</v>
      </c>
      <c r="I4889" s="160"/>
      <c r="J4889" s="161"/>
      <c r="K4889" s="160"/>
      <c r="L4889" s="160">
        <f>+'FACP$'!$H4889-'FACP$'!$I4889-'FACP$'!$K4889</f>
        <v>535737.242</v>
      </c>
      <c r="M4889" s="162" t="s">
        <v>130</v>
      </c>
      <c r="N4889" s="162" t="s">
        <v>554</v>
      </c>
      <c r="O4889" s="164">
        <v>45432.0</v>
      </c>
      <c r="P4889" s="164">
        <f t="array" ref="P4889">XLOOKUP('FACP$'!$B4889,'perfil de pagos'!$A$4:$A$46,'perfil de pagos'!$B$4:$B$46+'FACP$'!$D4889)</f>
        <v>45429</v>
      </c>
      <c r="Q4889" s="165">
        <f t="shared" si="128"/>
        <v>0</v>
      </c>
      <c r="R4889" s="167"/>
      <c r="S4889" s="167">
        <v>2994.0</v>
      </c>
      <c r="T4889" s="168">
        <f t="shared" si="3"/>
        <v>535737.242</v>
      </c>
      <c r="U4889" s="168">
        <f t="shared" si="4"/>
        <v>0</v>
      </c>
      <c r="V4889" s="168">
        <f t="shared" si="5"/>
        <v>0</v>
      </c>
      <c r="W4889" s="168">
        <f t="shared" si="6"/>
        <v>0</v>
      </c>
      <c r="X4889" s="168">
        <f t="shared" si="7"/>
        <v>0</v>
      </c>
      <c r="Y4889" s="168">
        <f t="shared" si="8"/>
        <v>0</v>
      </c>
      <c r="Z4889" s="168">
        <f t="shared" si="9"/>
        <v>0</v>
      </c>
    </row>
    <row r="4890" ht="15.0" customHeight="1">
      <c r="A4890" s="157" t="s">
        <v>6202</v>
      </c>
      <c r="B4890" s="158" t="s">
        <v>40</v>
      </c>
      <c r="C4890" s="158" t="s">
        <v>6173</v>
      </c>
      <c r="D4890" s="159">
        <v>45419.0</v>
      </c>
      <c r="E4890" s="157" t="s">
        <v>731</v>
      </c>
      <c r="F4890" s="160">
        <v>201414.53</v>
      </c>
      <c r="G4890" s="160">
        <f>'FACP$'!$F4890*0.16</f>
        <v>32226.3248</v>
      </c>
      <c r="H4890" s="160">
        <f t="shared" si="124"/>
        <v>233640.8548</v>
      </c>
      <c r="I4890" s="160"/>
      <c r="J4890" s="161"/>
      <c r="K4890" s="160"/>
      <c r="L4890" s="160">
        <f>+'FACP$'!$H4890-'FACP$'!$I4890-'FACP$'!$K4890</f>
        <v>233640.8548</v>
      </c>
      <c r="M4890" s="162" t="s">
        <v>490</v>
      </c>
      <c r="N4890" s="162" t="s">
        <v>554</v>
      </c>
      <c r="O4890" s="164">
        <v>45449.0</v>
      </c>
      <c r="P4890" s="164">
        <f t="array" ref="P4890">XLOOKUP('FACP$'!$B4890,'perfil de pagos'!$A$4:$A$46,'perfil de pagos'!$B$4:$B$46+'FACP$'!$D4890)</f>
        <v>45449</v>
      </c>
      <c r="Q4890" s="165">
        <f t="shared" si="128"/>
        <v>0</v>
      </c>
      <c r="R4890" s="167"/>
      <c r="S4890" s="167">
        <v>3051.0</v>
      </c>
      <c r="T4890" s="168">
        <f t="shared" si="3"/>
        <v>233640.8548</v>
      </c>
      <c r="U4890" s="168">
        <f t="shared" si="4"/>
        <v>0</v>
      </c>
      <c r="V4890" s="168">
        <f t="shared" si="5"/>
        <v>0</v>
      </c>
      <c r="W4890" s="168">
        <f t="shared" si="6"/>
        <v>0</v>
      </c>
      <c r="X4890" s="168">
        <f t="shared" si="7"/>
        <v>0</v>
      </c>
      <c r="Y4890" s="168">
        <f t="shared" si="8"/>
        <v>0</v>
      </c>
      <c r="Z4890" s="168">
        <f t="shared" si="9"/>
        <v>0</v>
      </c>
    </row>
    <row r="4891" ht="15.0" customHeight="1">
      <c r="A4891" s="157" t="s">
        <v>6203</v>
      </c>
      <c r="B4891" s="158" t="s">
        <v>40</v>
      </c>
      <c r="C4891" s="158" t="s">
        <v>6177</v>
      </c>
      <c r="D4891" s="159">
        <v>45419.0</v>
      </c>
      <c r="E4891" s="157" t="s">
        <v>731</v>
      </c>
      <c r="F4891" s="160">
        <v>220880.65</v>
      </c>
      <c r="G4891" s="160">
        <f>'FACP$'!$F4891*0.16</f>
        <v>35340.904</v>
      </c>
      <c r="H4891" s="160">
        <f t="shared" si="124"/>
        <v>256221.554</v>
      </c>
      <c r="I4891" s="160"/>
      <c r="J4891" s="161"/>
      <c r="K4891" s="160"/>
      <c r="L4891" s="160">
        <f>+'FACP$'!$H4891-'FACP$'!$I4891-'FACP$'!$K4891</f>
        <v>256221.554</v>
      </c>
      <c r="M4891" s="162" t="s">
        <v>490</v>
      </c>
      <c r="N4891" s="162" t="s">
        <v>554</v>
      </c>
      <c r="O4891" s="164">
        <v>45448.0</v>
      </c>
      <c r="P4891" s="164">
        <f t="array" ref="P4891">XLOOKUP('FACP$'!$B4891,'perfil de pagos'!$A$4:$A$46,'perfil de pagos'!$B$4:$B$46+'FACP$'!$D4891)</f>
        <v>45449</v>
      </c>
      <c r="Q4891" s="165">
        <f t="shared" si="128"/>
        <v>0</v>
      </c>
      <c r="R4891" s="167"/>
      <c r="S4891" s="167">
        <v>3026.0</v>
      </c>
      <c r="T4891" s="168">
        <f t="shared" si="3"/>
        <v>256221.554</v>
      </c>
      <c r="U4891" s="168">
        <f t="shared" si="4"/>
        <v>0</v>
      </c>
      <c r="V4891" s="168">
        <f t="shared" si="5"/>
        <v>0</v>
      </c>
      <c r="W4891" s="168">
        <f t="shared" si="6"/>
        <v>0</v>
      </c>
      <c r="X4891" s="168">
        <f t="shared" si="7"/>
        <v>0</v>
      </c>
      <c r="Y4891" s="168">
        <f t="shared" si="8"/>
        <v>0</v>
      </c>
      <c r="Z4891" s="168">
        <f t="shared" si="9"/>
        <v>0</v>
      </c>
    </row>
    <row r="4892" ht="15.0" customHeight="1">
      <c r="A4892" s="157" t="s">
        <v>6204</v>
      </c>
      <c r="B4892" s="158" t="s">
        <v>40</v>
      </c>
      <c r="C4892" s="158" t="s">
        <v>6205</v>
      </c>
      <c r="D4892" s="159">
        <v>45419.0</v>
      </c>
      <c r="E4892" s="157" t="s">
        <v>731</v>
      </c>
      <c r="F4892" s="160">
        <v>18547.05</v>
      </c>
      <c r="G4892" s="160">
        <f>'FACP$'!$F4892*0.16</f>
        <v>2967.528</v>
      </c>
      <c r="H4892" s="160">
        <f t="shared" si="124"/>
        <v>21514.578</v>
      </c>
      <c r="I4892" s="160"/>
      <c r="J4892" s="161"/>
      <c r="K4892" s="160"/>
      <c r="L4892" s="160">
        <f>+'FACP$'!$H4892-'FACP$'!$I4892-'FACP$'!$K4892</f>
        <v>21514.578</v>
      </c>
      <c r="M4892" s="162" t="s">
        <v>490</v>
      </c>
      <c r="N4892" s="162" t="s">
        <v>554</v>
      </c>
      <c r="O4892" s="164">
        <v>45449.0</v>
      </c>
      <c r="P4892" s="164">
        <f t="array" ref="P4892">XLOOKUP('FACP$'!$B4892,'perfil de pagos'!$A$4:$A$46,'perfil de pagos'!$B$4:$B$46+'FACP$'!$D4892)</f>
        <v>45449</v>
      </c>
      <c r="Q4892" s="165">
        <f t="shared" si="128"/>
        <v>0</v>
      </c>
      <c r="R4892" s="167"/>
      <c r="S4892" s="167">
        <v>3051.0</v>
      </c>
      <c r="T4892" s="168">
        <f t="shared" si="3"/>
        <v>21514.578</v>
      </c>
      <c r="U4892" s="168">
        <f t="shared" si="4"/>
        <v>0</v>
      </c>
      <c r="V4892" s="168">
        <f t="shared" si="5"/>
        <v>0</v>
      </c>
      <c r="W4892" s="168">
        <f t="shared" si="6"/>
        <v>0</v>
      </c>
      <c r="X4892" s="168">
        <f t="shared" si="7"/>
        <v>0</v>
      </c>
      <c r="Y4892" s="168">
        <f t="shared" si="8"/>
        <v>0</v>
      </c>
      <c r="Z4892" s="168">
        <f t="shared" si="9"/>
        <v>0</v>
      </c>
    </row>
    <row r="4893" ht="15.0" customHeight="1">
      <c r="A4893" s="157" t="s">
        <v>6206</v>
      </c>
      <c r="B4893" s="158" t="s">
        <v>38</v>
      </c>
      <c r="C4893" s="158" t="s">
        <v>6173</v>
      </c>
      <c r="D4893" s="159">
        <v>45419.0</v>
      </c>
      <c r="E4893" s="157" t="s">
        <v>731</v>
      </c>
      <c r="F4893" s="160">
        <v>202347.82</v>
      </c>
      <c r="G4893" s="160">
        <f>'FACP$'!$F4893*0.16</f>
        <v>32375.6512</v>
      </c>
      <c r="H4893" s="160">
        <f t="shared" si="124"/>
        <v>234723.4712</v>
      </c>
      <c r="I4893" s="160"/>
      <c r="J4893" s="161"/>
      <c r="K4893" s="160"/>
      <c r="L4893" s="160">
        <f>+'FACP$'!$H4893-'FACP$'!$I4893-'FACP$'!$K4893</f>
        <v>234723.4712</v>
      </c>
      <c r="M4893" s="162" t="s">
        <v>434</v>
      </c>
      <c r="N4893" s="162" t="s">
        <v>554</v>
      </c>
      <c r="O4893" s="164">
        <v>45462.0</v>
      </c>
      <c r="P4893" s="164">
        <f t="array" ref="P4893">XLOOKUP('FACP$'!$B4893,'perfil de pagos'!$A$4:$A$46,'perfil de pagos'!$B$4:$B$46+'FACP$'!$D4893)</f>
        <v>45449</v>
      </c>
      <c r="Q4893" s="165">
        <f t="shared" si="128"/>
        <v>0</v>
      </c>
      <c r="R4893" s="167"/>
      <c r="S4893" s="167">
        <v>3067.0</v>
      </c>
      <c r="T4893" s="168">
        <f t="shared" si="3"/>
        <v>234723.4712</v>
      </c>
      <c r="U4893" s="168">
        <f t="shared" si="4"/>
        <v>0</v>
      </c>
      <c r="V4893" s="168">
        <f t="shared" si="5"/>
        <v>0</v>
      </c>
      <c r="W4893" s="168">
        <f t="shared" si="6"/>
        <v>0</v>
      </c>
      <c r="X4893" s="168">
        <f t="shared" si="7"/>
        <v>0</v>
      </c>
      <c r="Y4893" s="168">
        <f t="shared" si="8"/>
        <v>0</v>
      </c>
      <c r="Z4893" s="168">
        <f t="shared" si="9"/>
        <v>0</v>
      </c>
    </row>
    <row r="4894" ht="15.0" customHeight="1">
      <c r="A4894" s="157" t="s">
        <v>6207</v>
      </c>
      <c r="B4894" s="158" t="s">
        <v>38</v>
      </c>
      <c r="C4894" s="158" t="s">
        <v>6173</v>
      </c>
      <c r="D4894" s="159">
        <v>45419.0</v>
      </c>
      <c r="E4894" s="157" t="s">
        <v>731</v>
      </c>
      <c r="F4894" s="160">
        <v>443008.63</v>
      </c>
      <c r="G4894" s="160">
        <f>'FACP$'!$F4894*0.16</f>
        <v>70881.3808</v>
      </c>
      <c r="H4894" s="160">
        <f t="shared" si="124"/>
        <v>513890.0108</v>
      </c>
      <c r="I4894" s="160"/>
      <c r="J4894" s="161"/>
      <c r="K4894" s="160"/>
      <c r="L4894" s="160">
        <f>+'FACP$'!$H4894-'FACP$'!$I4894-'FACP$'!$K4894</f>
        <v>513890.0108</v>
      </c>
      <c r="M4894" s="162" t="s">
        <v>145</v>
      </c>
      <c r="N4894" s="162" t="s">
        <v>554</v>
      </c>
      <c r="O4894" s="164">
        <v>45462.0</v>
      </c>
      <c r="P4894" s="164">
        <f t="array" ref="P4894">XLOOKUP('FACP$'!$B4894,'perfil de pagos'!$A$4:$A$46,'perfil de pagos'!$B$4:$B$46+'FACP$'!$D4894)</f>
        <v>45449</v>
      </c>
      <c r="Q4894" s="165">
        <f t="shared" si="128"/>
        <v>0</v>
      </c>
      <c r="R4894" s="167"/>
      <c r="S4894" s="167">
        <v>3067.0</v>
      </c>
      <c r="T4894" s="168">
        <f t="shared" si="3"/>
        <v>513890.0108</v>
      </c>
      <c r="U4894" s="168">
        <f t="shared" si="4"/>
        <v>0</v>
      </c>
      <c r="V4894" s="168">
        <f t="shared" si="5"/>
        <v>0</v>
      </c>
      <c r="W4894" s="168">
        <f t="shared" si="6"/>
        <v>0</v>
      </c>
      <c r="X4894" s="168">
        <f t="shared" si="7"/>
        <v>0</v>
      </c>
      <c r="Y4894" s="168">
        <f t="shared" si="8"/>
        <v>0</v>
      </c>
      <c r="Z4894" s="168">
        <f t="shared" si="9"/>
        <v>0</v>
      </c>
    </row>
    <row r="4895" ht="15.0" customHeight="1">
      <c r="A4895" s="157" t="s">
        <v>6208</v>
      </c>
      <c r="B4895" s="158" t="s">
        <v>27</v>
      </c>
      <c r="C4895" s="158" t="s">
        <v>6209</v>
      </c>
      <c r="D4895" s="159">
        <v>45426.0</v>
      </c>
      <c r="E4895" s="157" t="s">
        <v>731</v>
      </c>
      <c r="F4895" s="160">
        <v>46000.0</v>
      </c>
      <c r="G4895" s="160">
        <f>'FACP$'!$F4895*0.16</f>
        <v>7360</v>
      </c>
      <c r="H4895" s="160">
        <f t="shared" si="124"/>
        <v>53360</v>
      </c>
      <c r="I4895" s="160"/>
      <c r="J4895" s="161"/>
      <c r="K4895" s="160"/>
      <c r="L4895" s="160">
        <f>+'FACP$'!$H4895-'FACP$'!$I4895-'FACP$'!$K4895</f>
        <v>53360</v>
      </c>
      <c r="M4895" s="162" t="s">
        <v>5804</v>
      </c>
      <c r="N4895" s="162" t="s">
        <v>554</v>
      </c>
      <c r="O4895" s="164">
        <v>45434.0</v>
      </c>
      <c r="P4895" s="164">
        <f t="array" ref="P4895">XLOOKUP('FACP$'!$B4895,'perfil de pagos'!$A$4:$A$46,'perfil de pagos'!$B$4:$B$46+'FACP$'!$D4895)</f>
        <v>45456</v>
      </c>
      <c r="Q4895" s="165">
        <f t="shared" si="128"/>
        <v>0</v>
      </c>
      <c r="R4895" s="167"/>
      <c r="S4895" s="167"/>
      <c r="T4895" s="168">
        <f t="shared" si="3"/>
        <v>53360</v>
      </c>
      <c r="U4895" s="168">
        <f t="shared" si="4"/>
        <v>0</v>
      </c>
      <c r="V4895" s="168">
        <f t="shared" si="5"/>
        <v>0</v>
      </c>
      <c r="W4895" s="168">
        <f t="shared" si="6"/>
        <v>0</v>
      </c>
      <c r="X4895" s="168">
        <f t="shared" si="7"/>
        <v>0</v>
      </c>
      <c r="Y4895" s="168">
        <f t="shared" si="8"/>
        <v>0</v>
      </c>
      <c r="Z4895" s="168">
        <f t="shared" si="9"/>
        <v>0</v>
      </c>
    </row>
    <row r="4896" ht="15.0" customHeight="1">
      <c r="A4896" s="157" t="s">
        <v>6210</v>
      </c>
      <c r="B4896" s="158" t="s">
        <v>35</v>
      </c>
      <c r="C4896" s="158" t="s">
        <v>6211</v>
      </c>
      <c r="D4896" s="159">
        <v>45432.0</v>
      </c>
      <c r="E4896" s="157" t="s">
        <v>731</v>
      </c>
      <c r="F4896" s="160">
        <v>152969.97</v>
      </c>
      <c r="G4896" s="160">
        <f>'FACP$'!$F4896*0.16</f>
        <v>24475.1952</v>
      </c>
      <c r="H4896" s="160">
        <f t="shared" si="124"/>
        <v>177445.1652</v>
      </c>
      <c r="I4896" s="160"/>
      <c r="J4896" s="161"/>
      <c r="K4896" s="160"/>
      <c r="L4896" s="160">
        <f>+'FACP$'!$H4896-'FACP$'!$I4896-'FACP$'!$K4896</f>
        <v>177445.1652</v>
      </c>
      <c r="M4896" s="162" t="s">
        <v>276</v>
      </c>
      <c r="N4896" s="162" t="s">
        <v>554</v>
      </c>
      <c r="O4896" s="164">
        <v>45449.0</v>
      </c>
      <c r="P4896" s="164">
        <f t="array" ref="P4896">XLOOKUP('FACP$'!$B4896,'perfil de pagos'!$A$4:$A$46,'perfil de pagos'!$B$4:$B$46+'FACP$'!$D4896)</f>
        <v>45442</v>
      </c>
      <c r="Q4896" s="165">
        <f t="shared" si="128"/>
        <v>0</v>
      </c>
      <c r="R4896" s="167"/>
      <c r="S4896" s="167">
        <v>3033.0</v>
      </c>
      <c r="T4896" s="168">
        <f t="shared" si="3"/>
        <v>177445.1652</v>
      </c>
      <c r="U4896" s="168">
        <f t="shared" si="4"/>
        <v>0</v>
      </c>
      <c r="V4896" s="168">
        <f t="shared" si="5"/>
        <v>0</v>
      </c>
      <c r="W4896" s="168">
        <f t="shared" si="6"/>
        <v>0</v>
      </c>
      <c r="X4896" s="168">
        <f t="shared" si="7"/>
        <v>0</v>
      </c>
      <c r="Y4896" s="168">
        <f t="shared" si="8"/>
        <v>0</v>
      </c>
      <c r="Z4896" s="168">
        <f t="shared" si="9"/>
        <v>0</v>
      </c>
    </row>
    <row r="4897" ht="15.0" customHeight="1">
      <c r="A4897" s="157" t="s">
        <v>6212</v>
      </c>
      <c r="B4897" s="158" t="s">
        <v>36</v>
      </c>
      <c r="C4897" s="158" t="s">
        <v>6211</v>
      </c>
      <c r="D4897" s="159">
        <v>45432.0</v>
      </c>
      <c r="E4897" s="157" t="s">
        <v>731</v>
      </c>
      <c r="F4897" s="160">
        <v>108324.48</v>
      </c>
      <c r="G4897" s="160">
        <f>'FACP$'!$F4897*0.16</f>
        <v>17331.9168</v>
      </c>
      <c r="H4897" s="160">
        <f t="shared" si="124"/>
        <v>125656.3968</v>
      </c>
      <c r="I4897" s="160"/>
      <c r="J4897" s="161"/>
      <c r="K4897" s="160"/>
      <c r="L4897" s="160">
        <f>+'FACP$'!$H4897-'FACP$'!$I4897-'FACP$'!$K4897</f>
        <v>125656.3968</v>
      </c>
      <c r="M4897" s="162" t="s">
        <v>574</v>
      </c>
      <c r="N4897" s="162" t="s">
        <v>554</v>
      </c>
      <c r="O4897" s="164">
        <v>45449.0</v>
      </c>
      <c r="P4897" s="164">
        <f t="array" ref="P4897">XLOOKUP('FACP$'!$B4897,'perfil de pagos'!$A$4:$A$46,'perfil de pagos'!$B$4:$B$46+'FACP$'!$D4897)</f>
        <v>45442</v>
      </c>
      <c r="Q4897" s="165">
        <f t="shared" si="128"/>
        <v>0</v>
      </c>
      <c r="R4897" s="167"/>
      <c r="S4897" s="167">
        <v>3043.0</v>
      </c>
      <c r="T4897" s="168">
        <f t="shared" si="3"/>
        <v>125656.3968</v>
      </c>
      <c r="U4897" s="168">
        <f t="shared" si="4"/>
        <v>0</v>
      </c>
      <c r="V4897" s="168">
        <f t="shared" si="5"/>
        <v>0</v>
      </c>
      <c r="W4897" s="168">
        <f t="shared" si="6"/>
        <v>0</v>
      </c>
      <c r="X4897" s="168">
        <f t="shared" si="7"/>
        <v>0</v>
      </c>
      <c r="Y4897" s="168">
        <f t="shared" si="8"/>
        <v>0</v>
      </c>
      <c r="Z4897" s="168">
        <f t="shared" si="9"/>
        <v>0</v>
      </c>
    </row>
    <row r="4898" ht="15.0" customHeight="1">
      <c r="A4898" s="157" t="s">
        <v>6213</v>
      </c>
      <c r="B4898" s="158" t="s">
        <v>42</v>
      </c>
      <c r="C4898" s="158" t="s">
        <v>6211</v>
      </c>
      <c r="D4898" s="159">
        <v>45432.0</v>
      </c>
      <c r="E4898" s="157" t="s">
        <v>731</v>
      </c>
      <c r="F4898" s="160">
        <v>27634.33</v>
      </c>
      <c r="G4898" s="160">
        <f>'FACP$'!$F4898*0.16</f>
        <v>4421.4928</v>
      </c>
      <c r="H4898" s="160">
        <f t="shared" si="124"/>
        <v>32055.8228</v>
      </c>
      <c r="I4898" s="160"/>
      <c r="J4898" s="161"/>
      <c r="K4898" s="160"/>
      <c r="L4898" s="160">
        <f>+'FACP$'!$H4898-'FACP$'!$I4898-'FACP$'!$K4898</f>
        <v>32055.8228</v>
      </c>
      <c r="M4898" s="162" t="s">
        <v>42</v>
      </c>
      <c r="N4898" s="162" t="s">
        <v>554</v>
      </c>
      <c r="O4898" s="164">
        <v>45441.0</v>
      </c>
      <c r="P4898" s="164">
        <f t="array" ref="P4898">XLOOKUP('FACP$'!$B4898,'perfil de pagos'!$A$4:$A$46,'perfil de pagos'!$B$4:$B$46+'FACP$'!$D4898)</f>
        <v>45442</v>
      </c>
      <c r="Q4898" s="165">
        <f t="shared" si="128"/>
        <v>0</v>
      </c>
      <c r="R4898" s="167"/>
      <c r="S4898" s="167">
        <v>3013.0</v>
      </c>
      <c r="T4898" s="168">
        <f t="shared" si="3"/>
        <v>32055.8228</v>
      </c>
      <c r="U4898" s="168">
        <f t="shared" si="4"/>
        <v>0</v>
      </c>
      <c r="V4898" s="168">
        <f t="shared" si="5"/>
        <v>0</v>
      </c>
      <c r="W4898" s="168">
        <f t="shared" si="6"/>
        <v>0</v>
      </c>
      <c r="X4898" s="168">
        <f t="shared" si="7"/>
        <v>0</v>
      </c>
      <c r="Y4898" s="168">
        <f t="shared" si="8"/>
        <v>0</v>
      </c>
      <c r="Z4898" s="168">
        <f t="shared" si="9"/>
        <v>0</v>
      </c>
    </row>
    <row r="4899" ht="15.0" customHeight="1">
      <c r="A4899" s="157" t="s">
        <v>6214</v>
      </c>
      <c r="B4899" s="158" t="s">
        <v>43</v>
      </c>
      <c r="C4899" s="158" t="s">
        <v>6211</v>
      </c>
      <c r="D4899" s="159">
        <v>45432.0</v>
      </c>
      <c r="E4899" s="157" t="s">
        <v>731</v>
      </c>
      <c r="F4899" s="160">
        <v>241549.43</v>
      </c>
      <c r="G4899" s="160">
        <f>'FACP$'!$F4899*0.16</f>
        <v>38647.9088</v>
      </c>
      <c r="H4899" s="160">
        <f t="shared" si="124"/>
        <v>280197.3388</v>
      </c>
      <c r="I4899" s="160"/>
      <c r="J4899" s="161"/>
      <c r="K4899" s="160"/>
      <c r="L4899" s="160">
        <f>+'FACP$'!$H4899-'FACP$'!$I4899-'FACP$'!$K4899</f>
        <v>280197.3388</v>
      </c>
      <c r="M4899" s="162" t="s">
        <v>43</v>
      </c>
      <c r="N4899" s="162" t="s">
        <v>554</v>
      </c>
      <c r="O4899" s="164">
        <v>45443.0</v>
      </c>
      <c r="P4899" s="164">
        <f t="array" ref="P4899">XLOOKUP('FACP$'!$B4899,'perfil de pagos'!$A$4:$A$46,'perfil de pagos'!$B$4:$B$46+'FACP$'!$D4899)</f>
        <v>45457</v>
      </c>
      <c r="Q4899" s="165">
        <f t="shared" si="128"/>
        <v>0</v>
      </c>
      <c r="R4899" s="167"/>
      <c r="S4899" s="167">
        <v>3019.0</v>
      </c>
      <c r="T4899" s="168">
        <f t="shared" si="3"/>
        <v>280197.3388</v>
      </c>
      <c r="U4899" s="168">
        <f t="shared" si="4"/>
        <v>0</v>
      </c>
      <c r="V4899" s="168">
        <f t="shared" si="5"/>
        <v>0</v>
      </c>
      <c r="W4899" s="168">
        <f t="shared" si="6"/>
        <v>0</v>
      </c>
      <c r="X4899" s="168">
        <f t="shared" si="7"/>
        <v>0</v>
      </c>
      <c r="Y4899" s="168">
        <f t="shared" si="8"/>
        <v>0</v>
      </c>
      <c r="Z4899" s="168">
        <f t="shared" si="9"/>
        <v>0</v>
      </c>
    </row>
    <row r="4900" ht="15.0" customHeight="1">
      <c r="A4900" s="157" t="s">
        <v>6215</v>
      </c>
      <c r="B4900" s="158" t="s">
        <v>43</v>
      </c>
      <c r="C4900" s="158" t="s">
        <v>6211</v>
      </c>
      <c r="D4900" s="159">
        <v>45432.0</v>
      </c>
      <c r="E4900" s="157" t="s">
        <v>731</v>
      </c>
      <c r="F4900" s="160">
        <v>326794.99</v>
      </c>
      <c r="G4900" s="160">
        <f>'FACP$'!$F4900*0.16</f>
        <v>52287.1984</v>
      </c>
      <c r="H4900" s="160">
        <f t="shared" si="124"/>
        <v>379082.1884</v>
      </c>
      <c r="I4900" s="160"/>
      <c r="J4900" s="161"/>
      <c r="K4900" s="160"/>
      <c r="L4900" s="160">
        <f>+'FACP$'!$H4900-'FACP$'!$I4900-'FACP$'!$K4900</f>
        <v>379082.1884</v>
      </c>
      <c r="M4900" s="162" t="s">
        <v>43</v>
      </c>
      <c r="N4900" s="162" t="s">
        <v>554</v>
      </c>
      <c r="O4900" s="164">
        <v>45443.0</v>
      </c>
      <c r="P4900" s="164">
        <f t="array" ref="P4900">XLOOKUP('FACP$'!$B4900,'perfil de pagos'!$A$4:$A$46,'perfil de pagos'!$B$4:$B$46+'FACP$'!$D4900)</f>
        <v>45457</v>
      </c>
      <c r="Q4900" s="165">
        <f t="shared" si="128"/>
        <v>0</v>
      </c>
      <c r="R4900" s="167"/>
      <c r="S4900" s="167">
        <v>3018.0</v>
      </c>
      <c r="T4900" s="168">
        <f t="shared" si="3"/>
        <v>379082.1884</v>
      </c>
      <c r="U4900" s="168">
        <f t="shared" si="4"/>
        <v>0</v>
      </c>
      <c r="V4900" s="168">
        <f t="shared" si="5"/>
        <v>0</v>
      </c>
      <c r="W4900" s="168">
        <f t="shared" si="6"/>
        <v>0</v>
      </c>
      <c r="X4900" s="168">
        <f t="shared" si="7"/>
        <v>0</v>
      </c>
      <c r="Y4900" s="168">
        <f t="shared" si="8"/>
        <v>0</v>
      </c>
      <c r="Z4900" s="168">
        <f t="shared" si="9"/>
        <v>0</v>
      </c>
    </row>
    <row r="4901" ht="15.0" customHeight="1">
      <c r="A4901" s="157" t="s">
        <v>6216</v>
      </c>
      <c r="B4901" s="158" t="s">
        <v>44</v>
      </c>
      <c r="C4901" s="158" t="s">
        <v>6211</v>
      </c>
      <c r="D4901" s="159">
        <v>45432.0</v>
      </c>
      <c r="E4901" s="157" t="s">
        <v>731</v>
      </c>
      <c r="F4901" s="160">
        <v>18441.87</v>
      </c>
      <c r="G4901" s="160">
        <f>'FACP$'!$F4901*0.16</f>
        <v>2950.6992</v>
      </c>
      <c r="H4901" s="160">
        <f t="shared" si="124"/>
        <v>21392.5692</v>
      </c>
      <c r="I4901" s="160"/>
      <c r="J4901" s="161"/>
      <c r="K4901" s="160"/>
      <c r="L4901" s="160">
        <f>+'FACP$'!$H4901-'FACP$'!$I4901-'FACP$'!$K4901</f>
        <v>21392.5692</v>
      </c>
      <c r="M4901" s="162" t="s">
        <v>361</v>
      </c>
      <c r="N4901" s="162" t="s">
        <v>554</v>
      </c>
      <c r="O4901" s="164">
        <v>45436.0</v>
      </c>
      <c r="P4901" s="164">
        <f t="array" ref="P4901">XLOOKUP('FACP$'!$B4901,'perfil de pagos'!$A$4:$A$46,'perfil de pagos'!$B$4:$B$46+'FACP$'!$D4901)</f>
        <v>45442</v>
      </c>
      <c r="Q4901" s="165">
        <f t="shared" si="128"/>
        <v>0</v>
      </c>
      <c r="R4901" s="167"/>
      <c r="S4901" s="167">
        <v>3000.0</v>
      </c>
      <c r="T4901" s="168">
        <f t="shared" si="3"/>
        <v>21392.5692</v>
      </c>
      <c r="U4901" s="168">
        <f t="shared" si="4"/>
        <v>0</v>
      </c>
      <c r="V4901" s="168">
        <f t="shared" si="5"/>
        <v>0</v>
      </c>
      <c r="W4901" s="168">
        <f t="shared" si="6"/>
        <v>0</v>
      </c>
      <c r="X4901" s="168">
        <f t="shared" si="7"/>
        <v>0</v>
      </c>
      <c r="Y4901" s="168">
        <f t="shared" si="8"/>
        <v>0</v>
      </c>
      <c r="Z4901" s="168">
        <f t="shared" si="9"/>
        <v>0</v>
      </c>
    </row>
    <row r="4902" ht="15.0" customHeight="1">
      <c r="A4902" s="157" t="s">
        <v>6217</v>
      </c>
      <c r="B4902" s="158" t="s">
        <v>38</v>
      </c>
      <c r="C4902" s="158" t="s">
        <v>6211</v>
      </c>
      <c r="D4902" s="159">
        <v>45432.0</v>
      </c>
      <c r="E4902" s="157" t="s">
        <v>731</v>
      </c>
      <c r="F4902" s="160">
        <v>83997.58</v>
      </c>
      <c r="G4902" s="160">
        <f>'FACP$'!$F4902*0.16</f>
        <v>13439.6128</v>
      </c>
      <c r="H4902" s="160">
        <f t="shared" si="124"/>
        <v>97437.1928</v>
      </c>
      <c r="I4902" s="160"/>
      <c r="J4902" s="161"/>
      <c r="K4902" s="160"/>
      <c r="L4902" s="160">
        <f>+'FACP$'!$H4902-'FACP$'!$I4902-'FACP$'!$K4902</f>
        <v>97437.1928</v>
      </c>
      <c r="M4902" s="162" t="s">
        <v>4654</v>
      </c>
      <c r="N4902" s="162" t="s">
        <v>554</v>
      </c>
      <c r="O4902" s="164">
        <v>45490.0</v>
      </c>
      <c r="P4902" s="164">
        <f t="array" ref="P4902">XLOOKUP('FACP$'!$B4902,'perfil de pagos'!$A$4:$A$46,'perfil de pagos'!$B$4:$B$46+'FACP$'!$D4902)</f>
        <v>45462</v>
      </c>
      <c r="Q4902" s="165">
        <f t="shared" si="128"/>
        <v>0</v>
      </c>
      <c r="R4902" s="167"/>
      <c r="S4902" s="167">
        <v>3153.0</v>
      </c>
      <c r="T4902" s="168">
        <f t="shared" si="3"/>
        <v>97437.1928</v>
      </c>
      <c r="U4902" s="168">
        <f t="shared" si="4"/>
        <v>0</v>
      </c>
      <c r="V4902" s="168">
        <f t="shared" si="5"/>
        <v>0</v>
      </c>
      <c r="W4902" s="168">
        <f t="shared" si="6"/>
        <v>0</v>
      </c>
      <c r="X4902" s="168">
        <f t="shared" si="7"/>
        <v>0</v>
      </c>
      <c r="Y4902" s="168">
        <f t="shared" si="8"/>
        <v>0</v>
      </c>
      <c r="Z4902" s="168">
        <f t="shared" si="9"/>
        <v>0</v>
      </c>
    </row>
    <row r="4903" ht="15.0" customHeight="1">
      <c r="A4903" s="157" t="s">
        <v>6218</v>
      </c>
      <c r="B4903" s="158" t="s">
        <v>38</v>
      </c>
      <c r="C4903" s="158" t="s">
        <v>6211</v>
      </c>
      <c r="D4903" s="159">
        <v>45432.0</v>
      </c>
      <c r="E4903" s="157" t="s">
        <v>731</v>
      </c>
      <c r="F4903" s="160">
        <v>48718.83</v>
      </c>
      <c r="G4903" s="160">
        <f>'FACP$'!$F4903*0.16</f>
        <v>7795.0128</v>
      </c>
      <c r="H4903" s="160">
        <f t="shared" si="124"/>
        <v>56513.8428</v>
      </c>
      <c r="I4903" s="160"/>
      <c r="J4903" s="161"/>
      <c r="K4903" s="160"/>
      <c r="L4903" s="160">
        <f>+'FACP$'!$H4903-'FACP$'!$I4903-'FACP$'!$K4903</f>
        <v>56513.8428</v>
      </c>
      <c r="M4903" s="162" t="s">
        <v>4707</v>
      </c>
      <c r="N4903" s="162" t="s">
        <v>554</v>
      </c>
      <c r="O4903" s="164">
        <v>45490.0</v>
      </c>
      <c r="P4903" s="164">
        <f t="array" ref="P4903">XLOOKUP('FACP$'!$B4903,'perfil de pagos'!$A$4:$A$46,'perfil de pagos'!$B$4:$B$46+'FACP$'!$D4903)</f>
        <v>45462</v>
      </c>
      <c r="Q4903" s="165">
        <f t="shared" si="128"/>
        <v>0</v>
      </c>
      <c r="R4903" s="167"/>
      <c r="S4903" s="167">
        <v>3153.0</v>
      </c>
      <c r="T4903" s="168">
        <f t="shared" si="3"/>
        <v>56513.8428</v>
      </c>
      <c r="U4903" s="168">
        <f t="shared" si="4"/>
        <v>0</v>
      </c>
      <c r="V4903" s="168">
        <f t="shared" si="5"/>
        <v>0</v>
      </c>
      <c r="W4903" s="168">
        <f t="shared" si="6"/>
        <v>0</v>
      </c>
      <c r="X4903" s="168">
        <f t="shared" si="7"/>
        <v>0</v>
      </c>
      <c r="Y4903" s="168">
        <f t="shared" si="8"/>
        <v>0</v>
      </c>
      <c r="Z4903" s="168">
        <f t="shared" si="9"/>
        <v>0</v>
      </c>
    </row>
    <row r="4904" ht="15.0" customHeight="1">
      <c r="A4904" s="157" t="s">
        <v>6219</v>
      </c>
      <c r="B4904" s="158" t="s">
        <v>38</v>
      </c>
      <c r="C4904" s="158" t="s">
        <v>6220</v>
      </c>
      <c r="D4904" s="159">
        <v>45432.0</v>
      </c>
      <c r="E4904" s="157" t="s">
        <v>731</v>
      </c>
      <c r="F4904" s="160">
        <v>99898.16</v>
      </c>
      <c r="G4904" s="160">
        <f>'FACP$'!$F4904*0.16</f>
        <v>15983.7056</v>
      </c>
      <c r="H4904" s="160">
        <f t="shared" si="124"/>
        <v>115881.8656</v>
      </c>
      <c r="I4904" s="160"/>
      <c r="J4904" s="161"/>
      <c r="K4904" s="160"/>
      <c r="L4904" s="160">
        <f>+'FACP$'!$H4904-'FACP$'!$I4904-'FACP$'!$K4904</f>
        <v>115881.8656</v>
      </c>
      <c r="M4904" s="162" t="s">
        <v>4707</v>
      </c>
      <c r="N4904" s="162" t="s">
        <v>554</v>
      </c>
      <c r="O4904" s="164">
        <v>45490.0</v>
      </c>
      <c r="P4904" s="164">
        <f t="array" ref="P4904">XLOOKUP('FACP$'!$B4904,'perfil de pagos'!$A$4:$A$46,'perfil de pagos'!$B$4:$B$46+'FACP$'!$D4904)</f>
        <v>45462</v>
      </c>
      <c r="Q4904" s="165">
        <f t="shared" si="128"/>
        <v>0</v>
      </c>
      <c r="R4904" s="167"/>
      <c r="S4904" s="167">
        <v>3153.0</v>
      </c>
      <c r="T4904" s="168">
        <f t="shared" si="3"/>
        <v>115881.8656</v>
      </c>
      <c r="U4904" s="168">
        <f t="shared" si="4"/>
        <v>0</v>
      </c>
      <c r="V4904" s="168">
        <f t="shared" si="5"/>
        <v>0</v>
      </c>
      <c r="W4904" s="168">
        <f t="shared" si="6"/>
        <v>0</v>
      </c>
      <c r="X4904" s="168">
        <f t="shared" si="7"/>
        <v>0</v>
      </c>
      <c r="Y4904" s="168">
        <f t="shared" si="8"/>
        <v>0</v>
      </c>
      <c r="Z4904" s="168">
        <f t="shared" si="9"/>
        <v>0</v>
      </c>
    </row>
    <row r="4905" ht="15.0" customHeight="1">
      <c r="A4905" s="157" t="s">
        <v>6221</v>
      </c>
      <c r="B4905" s="158" t="s">
        <v>36</v>
      </c>
      <c r="C4905" s="158" t="s">
        <v>6220</v>
      </c>
      <c r="D4905" s="159">
        <v>45432.0</v>
      </c>
      <c r="E4905" s="157" t="s">
        <v>731</v>
      </c>
      <c r="F4905" s="160">
        <v>98714.03</v>
      </c>
      <c r="G4905" s="160">
        <f>'FACP$'!$F4905*0.16</f>
        <v>15794.2448</v>
      </c>
      <c r="H4905" s="160">
        <f t="shared" si="124"/>
        <v>114508.2748</v>
      </c>
      <c r="I4905" s="160"/>
      <c r="J4905" s="161"/>
      <c r="K4905" s="160"/>
      <c r="L4905" s="160">
        <f>+'FACP$'!$H4905-'FACP$'!$I4905-'FACP$'!$K4905</f>
        <v>114508.2748</v>
      </c>
      <c r="M4905" s="162" t="s">
        <v>574</v>
      </c>
      <c r="N4905" s="162" t="s">
        <v>554</v>
      </c>
      <c r="O4905" s="164">
        <v>45449.0</v>
      </c>
      <c r="P4905" s="164">
        <f t="array" ref="P4905">XLOOKUP('FACP$'!$B4905,'perfil de pagos'!$A$4:$A$46,'perfil de pagos'!$B$4:$B$46+'FACP$'!$D4905)</f>
        <v>45442</v>
      </c>
      <c r="Q4905" s="165">
        <f t="shared" si="128"/>
        <v>0</v>
      </c>
      <c r="R4905" s="167"/>
      <c r="S4905" s="167">
        <v>3031.0</v>
      </c>
      <c r="T4905" s="168">
        <f t="shared" si="3"/>
        <v>114508.2748</v>
      </c>
      <c r="U4905" s="168">
        <f t="shared" si="4"/>
        <v>0</v>
      </c>
      <c r="V4905" s="168">
        <f t="shared" si="5"/>
        <v>0</v>
      </c>
      <c r="W4905" s="168">
        <f t="shared" si="6"/>
        <v>0</v>
      </c>
      <c r="X4905" s="168">
        <f t="shared" si="7"/>
        <v>0</v>
      </c>
      <c r="Y4905" s="168">
        <f t="shared" si="8"/>
        <v>0</v>
      </c>
      <c r="Z4905" s="168">
        <f t="shared" si="9"/>
        <v>0</v>
      </c>
    </row>
    <row r="4906" ht="15.0" customHeight="1">
      <c r="A4906" s="157" t="s">
        <v>6222</v>
      </c>
      <c r="B4906" s="158" t="s">
        <v>41</v>
      </c>
      <c r="C4906" s="158" t="s">
        <v>6211</v>
      </c>
      <c r="D4906" s="159">
        <v>45432.0</v>
      </c>
      <c r="E4906" s="157" t="s">
        <v>731</v>
      </c>
      <c r="F4906" s="160">
        <v>601722.59</v>
      </c>
      <c r="G4906" s="160">
        <f>'FACP$'!$F4906*0.16</f>
        <v>96275.6144</v>
      </c>
      <c r="H4906" s="160">
        <f t="shared" si="124"/>
        <v>697998.2044</v>
      </c>
      <c r="I4906" s="160"/>
      <c r="J4906" s="161"/>
      <c r="K4906" s="160"/>
      <c r="L4906" s="160">
        <f>+'FACP$'!$H4906-'FACP$'!$I4906-'FACP$'!$K4906</f>
        <v>697998.2044</v>
      </c>
      <c r="M4906" s="162" t="s">
        <v>121</v>
      </c>
      <c r="N4906" s="162" t="s">
        <v>554</v>
      </c>
      <c r="O4906" s="164">
        <v>45489.0</v>
      </c>
      <c r="P4906" s="164">
        <f t="array" ref="P4906">XLOOKUP('FACP$'!$B4906,'perfil de pagos'!$A$4:$A$46,'perfil de pagos'!$B$4:$B$46+'FACP$'!$D4906)</f>
        <v>45442</v>
      </c>
      <c r="Q4906" s="165">
        <f t="shared" si="128"/>
        <v>0</v>
      </c>
      <c r="R4906" s="167"/>
      <c r="S4906" s="167">
        <v>3145.0</v>
      </c>
      <c r="T4906" s="168">
        <f t="shared" si="3"/>
        <v>697998.2044</v>
      </c>
      <c r="U4906" s="168">
        <f t="shared" si="4"/>
        <v>0</v>
      </c>
      <c r="V4906" s="168">
        <f t="shared" si="5"/>
        <v>0</v>
      </c>
      <c r="W4906" s="168">
        <f t="shared" si="6"/>
        <v>0</v>
      </c>
      <c r="X4906" s="168">
        <f t="shared" si="7"/>
        <v>0</v>
      </c>
      <c r="Y4906" s="168">
        <f t="shared" si="8"/>
        <v>0</v>
      </c>
      <c r="Z4906" s="168">
        <f t="shared" si="9"/>
        <v>0</v>
      </c>
    </row>
    <row r="4907" ht="15.0" customHeight="1">
      <c r="A4907" s="157" t="s">
        <v>6223</v>
      </c>
      <c r="B4907" s="158" t="s">
        <v>16</v>
      </c>
      <c r="C4907" s="158" t="s">
        <v>6211</v>
      </c>
      <c r="D4907" s="159">
        <v>45435.0</v>
      </c>
      <c r="E4907" s="157" t="s">
        <v>731</v>
      </c>
      <c r="F4907" s="160">
        <v>229522.27</v>
      </c>
      <c r="G4907" s="160">
        <f>'FACP$'!$F4907*0.16</f>
        <v>36723.5632</v>
      </c>
      <c r="H4907" s="160">
        <f t="shared" si="124"/>
        <v>266245.8332</v>
      </c>
      <c r="I4907" s="160"/>
      <c r="J4907" s="161"/>
      <c r="K4907" s="160"/>
      <c r="L4907" s="160">
        <f>+'FACP$'!$H4907-'FACP$'!$I4907-'FACP$'!$K4907</f>
        <v>266245.8332</v>
      </c>
      <c r="M4907" s="162" t="s">
        <v>985</v>
      </c>
      <c r="N4907" s="162" t="s">
        <v>554</v>
      </c>
      <c r="O4907" s="164">
        <v>45453.0</v>
      </c>
      <c r="P4907" s="164">
        <f t="array" ref="P4907">XLOOKUP('FACP$'!$B4907,'perfil de pagos'!$A$4:$A$46,'perfil de pagos'!$B$4:$B$46+'FACP$'!$D4907)</f>
        <v>45445</v>
      </c>
      <c r="Q4907" s="165">
        <f t="shared" si="128"/>
        <v>0</v>
      </c>
      <c r="R4907" s="167"/>
      <c r="S4907" s="167">
        <v>3049.0</v>
      </c>
      <c r="T4907" s="168">
        <f t="shared" si="3"/>
        <v>266245.8332</v>
      </c>
      <c r="U4907" s="168">
        <f t="shared" si="4"/>
        <v>0</v>
      </c>
      <c r="V4907" s="168">
        <f t="shared" si="5"/>
        <v>0</v>
      </c>
      <c r="W4907" s="168">
        <f t="shared" si="6"/>
        <v>0</v>
      </c>
      <c r="X4907" s="168">
        <f t="shared" si="7"/>
        <v>0</v>
      </c>
      <c r="Y4907" s="168">
        <f t="shared" si="8"/>
        <v>0</v>
      </c>
      <c r="Z4907" s="168">
        <f t="shared" si="9"/>
        <v>0</v>
      </c>
    </row>
    <row r="4908" ht="15.0" customHeight="1">
      <c r="A4908" s="157" t="s">
        <v>6224</v>
      </c>
      <c r="B4908" s="158" t="s">
        <v>16</v>
      </c>
      <c r="C4908" s="158" t="s">
        <v>6220</v>
      </c>
      <c r="D4908" s="159">
        <v>45435.0</v>
      </c>
      <c r="E4908" s="157" t="s">
        <v>731</v>
      </c>
      <c r="F4908" s="160">
        <v>382289.2</v>
      </c>
      <c r="G4908" s="160">
        <f>'FACP$'!$F4908*0.16</f>
        <v>61166.272</v>
      </c>
      <c r="H4908" s="160">
        <f t="shared" si="124"/>
        <v>443455.472</v>
      </c>
      <c r="I4908" s="160"/>
      <c r="J4908" s="161"/>
      <c r="K4908" s="160"/>
      <c r="L4908" s="160">
        <f>+'FACP$'!$H4908-'FACP$'!$I4908-'FACP$'!$K4908</f>
        <v>443455.472</v>
      </c>
      <c r="M4908" s="162" t="s">
        <v>985</v>
      </c>
      <c r="N4908" s="162" t="s">
        <v>554</v>
      </c>
      <c r="O4908" s="164">
        <v>45453.0</v>
      </c>
      <c r="P4908" s="164">
        <f t="array" ref="P4908">XLOOKUP('FACP$'!$B4908,'perfil de pagos'!$A$4:$A$46,'perfil de pagos'!$B$4:$B$46+'FACP$'!$D4908)</f>
        <v>45445</v>
      </c>
      <c r="Q4908" s="165">
        <f t="shared" si="128"/>
        <v>0</v>
      </c>
      <c r="R4908" s="167"/>
      <c r="S4908" s="167">
        <v>3049.0</v>
      </c>
      <c r="T4908" s="168">
        <f t="shared" si="3"/>
        <v>443455.472</v>
      </c>
      <c r="U4908" s="168">
        <f t="shared" si="4"/>
        <v>0</v>
      </c>
      <c r="V4908" s="168">
        <f t="shared" si="5"/>
        <v>0</v>
      </c>
      <c r="W4908" s="168">
        <f t="shared" si="6"/>
        <v>0</v>
      </c>
      <c r="X4908" s="168">
        <f t="shared" si="7"/>
        <v>0</v>
      </c>
      <c r="Y4908" s="168">
        <f t="shared" si="8"/>
        <v>0</v>
      </c>
      <c r="Z4908" s="168">
        <f t="shared" si="9"/>
        <v>0</v>
      </c>
    </row>
    <row r="4909" ht="15.0" customHeight="1">
      <c r="A4909" s="157" t="s">
        <v>6225</v>
      </c>
      <c r="B4909" s="158" t="s">
        <v>18</v>
      </c>
      <c r="C4909" s="158" t="s">
        <v>6211</v>
      </c>
      <c r="D4909" s="159">
        <v>45435.0</v>
      </c>
      <c r="E4909" s="157" t="s">
        <v>731</v>
      </c>
      <c r="F4909" s="160">
        <v>56825.37</v>
      </c>
      <c r="G4909" s="160">
        <f>'FACP$'!$F4909*0.16</f>
        <v>9092.0592</v>
      </c>
      <c r="H4909" s="160">
        <f t="shared" si="124"/>
        <v>65917.4292</v>
      </c>
      <c r="I4909" s="160"/>
      <c r="J4909" s="161"/>
      <c r="K4909" s="160"/>
      <c r="L4909" s="160">
        <f>+'FACP$'!$H4909-'FACP$'!$I4909-'FACP$'!$K4909</f>
        <v>65917.4292</v>
      </c>
      <c r="M4909" s="162" t="s">
        <v>586</v>
      </c>
      <c r="N4909" s="162" t="s">
        <v>554</v>
      </c>
      <c r="O4909" s="164">
        <v>45496.0</v>
      </c>
      <c r="P4909" s="164">
        <f t="array" ref="P4909">XLOOKUP('FACP$'!$B4909,'perfil de pagos'!$A$4:$A$46,'perfil de pagos'!$B$4:$B$46+'FACP$'!$D4909)</f>
        <v>45445</v>
      </c>
      <c r="Q4909" s="165">
        <f t="shared" si="128"/>
        <v>0</v>
      </c>
      <c r="R4909" s="167"/>
      <c r="S4909" s="167">
        <v>3164.0</v>
      </c>
      <c r="T4909" s="168">
        <f t="shared" si="3"/>
        <v>65917.4292</v>
      </c>
      <c r="U4909" s="168">
        <f t="shared" si="4"/>
        <v>0</v>
      </c>
      <c r="V4909" s="168">
        <f t="shared" si="5"/>
        <v>0</v>
      </c>
      <c r="W4909" s="168">
        <f t="shared" si="6"/>
        <v>0</v>
      </c>
      <c r="X4909" s="168">
        <f t="shared" si="7"/>
        <v>0</v>
      </c>
      <c r="Y4909" s="168">
        <f t="shared" si="8"/>
        <v>0</v>
      </c>
      <c r="Z4909" s="168">
        <f t="shared" si="9"/>
        <v>0</v>
      </c>
    </row>
    <row r="4910" ht="15.0" customHeight="1">
      <c r="A4910" s="157" t="s">
        <v>6226</v>
      </c>
      <c r="B4910" s="158" t="s">
        <v>19</v>
      </c>
      <c r="C4910" s="158" t="s">
        <v>6211</v>
      </c>
      <c r="D4910" s="159">
        <v>45435.0</v>
      </c>
      <c r="E4910" s="157" t="s">
        <v>731</v>
      </c>
      <c r="F4910" s="160">
        <v>144578.13</v>
      </c>
      <c r="G4910" s="160">
        <f>'FACP$'!$F4910*0.16</f>
        <v>23132.5008</v>
      </c>
      <c r="H4910" s="160">
        <f t="shared" si="124"/>
        <v>167710.6308</v>
      </c>
      <c r="I4910" s="160"/>
      <c r="J4910" s="161"/>
      <c r="K4910" s="160"/>
      <c r="L4910" s="160">
        <f>+'FACP$'!$H4910-'FACP$'!$I4910-'FACP$'!$K4910</f>
        <v>167710.6308</v>
      </c>
      <c r="M4910" s="162" t="s">
        <v>732</v>
      </c>
      <c r="N4910" s="162" t="s">
        <v>554</v>
      </c>
      <c r="O4910" s="164">
        <v>45496.0</v>
      </c>
      <c r="P4910" s="164">
        <f t="array" ref="P4910">XLOOKUP('FACP$'!$B4910,'perfil de pagos'!$A$4:$A$46,'perfil de pagos'!$B$4:$B$46+'FACP$'!$D4910)</f>
        <v>45445</v>
      </c>
      <c r="Q4910" s="165">
        <f t="shared" si="128"/>
        <v>0</v>
      </c>
      <c r="R4910" s="167"/>
      <c r="S4910" s="167">
        <v>3164.0</v>
      </c>
      <c r="T4910" s="168">
        <f t="shared" si="3"/>
        <v>167710.6308</v>
      </c>
      <c r="U4910" s="168">
        <f t="shared" si="4"/>
        <v>0</v>
      </c>
      <c r="V4910" s="168">
        <f t="shared" si="5"/>
        <v>0</v>
      </c>
      <c r="W4910" s="168">
        <f t="shared" si="6"/>
        <v>0</v>
      </c>
      <c r="X4910" s="168">
        <f t="shared" si="7"/>
        <v>0</v>
      </c>
      <c r="Y4910" s="168">
        <f t="shared" si="8"/>
        <v>0</v>
      </c>
      <c r="Z4910" s="168">
        <f t="shared" si="9"/>
        <v>0</v>
      </c>
    </row>
    <row r="4911" ht="15.0" customHeight="1">
      <c r="A4911" s="157" t="s">
        <v>6227</v>
      </c>
      <c r="B4911" s="158" t="s">
        <v>22</v>
      </c>
      <c r="C4911" s="158" t="s">
        <v>6211</v>
      </c>
      <c r="D4911" s="159">
        <v>45435.0</v>
      </c>
      <c r="E4911" s="157" t="s">
        <v>731</v>
      </c>
      <c r="F4911" s="160">
        <v>245868.88</v>
      </c>
      <c r="G4911" s="160">
        <f>'FACP$'!$F4911*0.16</f>
        <v>39339.0208</v>
      </c>
      <c r="H4911" s="160">
        <f t="shared" si="124"/>
        <v>285207.9008</v>
      </c>
      <c r="I4911" s="160">
        <f>39007.26+220000</f>
        <v>259007.26</v>
      </c>
      <c r="J4911" s="161"/>
      <c r="K4911" s="160"/>
      <c r="L4911" s="160">
        <f>+'FACP$'!$H4911-'FACP$'!$I4911-'FACP$'!$K4911</f>
        <v>26200.6408</v>
      </c>
      <c r="M4911" s="162" t="s">
        <v>220</v>
      </c>
      <c r="N4911" s="162" t="s">
        <v>554</v>
      </c>
      <c r="O4911" s="164">
        <v>45485.0</v>
      </c>
      <c r="P4911" s="164">
        <f t="array" ref="P4911">XLOOKUP('FACP$'!$B4911,'perfil de pagos'!$A$4:$A$46,'perfil de pagos'!$B$4:$B$46+'FACP$'!$D4911)</f>
        <v>45445</v>
      </c>
      <c r="Q4911" s="165">
        <f t="shared" si="128"/>
        <v>0</v>
      </c>
      <c r="R4911" s="220" t="s">
        <v>6228</v>
      </c>
      <c r="S4911" s="167" t="s">
        <v>6229</v>
      </c>
      <c r="T4911" s="168">
        <f t="shared" si="3"/>
        <v>26200.6408</v>
      </c>
      <c r="U4911" s="168">
        <f t="shared" si="4"/>
        <v>0</v>
      </c>
      <c r="V4911" s="168">
        <f t="shared" si="5"/>
        <v>0</v>
      </c>
      <c r="W4911" s="168">
        <f t="shared" si="6"/>
        <v>0</v>
      </c>
      <c r="X4911" s="168">
        <f t="shared" si="7"/>
        <v>0</v>
      </c>
      <c r="Y4911" s="168">
        <f t="shared" si="8"/>
        <v>0</v>
      </c>
      <c r="Z4911" s="168">
        <f t="shared" si="9"/>
        <v>0</v>
      </c>
    </row>
    <row r="4912" ht="15.0" customHeight="1">
      <c r="A4912" s="157" t="s">
        <v>6230</v>
      </c>
      <c r="B4912" s="158" t="s">
        <v>25</v>
      </c>
      <c r="C4912" s="158" t="s">
        <v>6211</v>
      </c>
      <c r="D4912" s="159">
        <v>45435.0</v>
      </c>
      <c r="E4912" s="157" t="s">
        <v>731</v>
      </c>
      <c r="F4912" s="160">
        <v>39193.92</v>
      </c>
      <c r="G4912" s="160">
        <f>'FACP$'!$F4912*0.16</f>
        <v>6271.0272</v>
      </c>
      <c r="H4912" s="160">
        <f t="shared" si="124"/>
        <v>45464.9472</v>
      </c>
      <c r="I4912" s="160"/>
      <c r="J4912" s="161"/>
      <c r="K4912" s="160"/>
      <c r="L4912" s="160">
        <f>+'FACP$'!$H4912-'FACP$'!$I4912-'FACP$'!$K4912</f>
        <v>45464.9472</v>
      </c>
      <c r="M4912" s="162" t="s">
        <v>4388</v>
      </c>
      <c r="N4912" s="162" t="s">
        <v>554</v>
      </c>
      <c r="O4912" s="164">
        <v>45469.0</v>
      </c>
      <c r="P4912" s="164">
        <f t="array" ref="P4912">XLOOKUP('FACP$'!$B4912,'perfil de pagos'!$A$4:$A$46,'perfil de pagos'!$B$4:$B$46+'FACP$'!$D4912)</f>
        <v>45445</v>
      </c>
      <c r="Q4912" s="165">
        <f t="shared" si="128"/>
        <v>0</v>
      </c>
      <c r="R4912" s="167"/>
      <c r="S4912" s="167">
        <v>3107.0</v>
      </c>
      <c r="T4912" s="168">
        <f t="shared" si="3"/>
        <v>45464.9472</v>
      </c>
      <c r="U4912" s="168">
        <f t="shared" si="4"/>
        <v>0</v>
      </c>
      <c r="V4912" s="168">
        <f t="shared" si="5"/>
        <v>0</v>
      </c>
      <c r="W4912" s="168">
        <f t="shared" si="6"/>
        <v>0</v>
      </c>
      <c r="X4912" s="168">
        <f t="shared" si="7"/>
        <v>0</v>
      </c>
      <c r="Y4912" s="168">
        <f t="shared" si="8"/>
        <v>0</v>
      </c>
      <c r="Z4912" s="168">
        <f t="shared" si="9"/>
        <v>0</v>
      </c>
    </row>
    <row r="4913" ht="15.0" customHeight="1">
      <c r="A4913" s="157" t="s">
        <v>6231</v>
      </c>
      <c r="B4913" s="158" t="s">
        <v>37</v>
      </c>
      <c r="C4913" s="158" t="s">
        <v>6211</v>
      </c>
      <c r="D4913" s="159">
        <v>45435.0</v>
      </c>
      <c r="E4913" s="157" t="s">
        <v>731</v>
      </c>
      <c r="F4913" s="160">
        <v>1185329.64</v>
      </c>
      <c r="G4913" s="160">
        <f>'FACP$'!$F4913*0.16</f>
        <v>189652.7424</v>
      </c>
      <c r="H4913" s="160">
        <f t="shared" si="124"/>
        <v>1374982.382</v>
      </c>
      <c r="I4913" s="160"/>
      <c r="J4913" s="161"/>
      <c r="K4913" s="160"/>
      <c r="L4913" s="160">
        <f>+'FACP$'!$H4913-'FACP$'!$I4913-'FACP$'!$K4913</f>
        <v>1374982.382</v>
      </c>
      <c r="M4913" s="162" t="s">
        <v>116</v>
      </c>
      <c r="N4913" s="162" t="s">
        <v>554</v>
      </c>
      <c r="O4913" s="164">
        <v>45447.0</v>
      </c>
      <c r="P4913" s="164">
        <f t="array" ref="P4913">XLOOKUP('FACP$'!$B4913,'perfil de pagos'!$A$4:$A$46,'perfil de pagos'!$B$4:$B$46+'FACP$'!$D4913)</f>
        <v>45445</v>
      </c>
      <c r="Q4913" s="165">
        <f t="shared" si="128"/>
        <v>0</v>
      </c>
      <c r="R4913" s="167"/>
      <c r="S4913" s="167">
        <v>3022.0</v>
      </c>
      <c r="T4913" s="168">
        <f t="shared" si="3"/>
        <v>1374982.382</v>
      </c>
      <c r="U4913" s="168">
        <f t="shared" si="4"/>
        <v>0</v>
      </c>
      <c r="V4913" s="168">
        <f t="shared" si="5"/>
        <v>0</v>
      </c>
      <c r="W4913" s="168">
        <f t="shared" si="6"/>
        <v>0</v>
      </c>
      <c r="X4913" s="168">
        <f t="shared" si="7"/>
        <v>0</v>
      </c>
      <c r="Y4913" s="168">
        <f t="shared" si="8"/>
        <v>0</v>
      </c>
      <c r="Z4913" s="168">
        <f t="shared" si="9"/>
        <v>0</v>
      </c>
    </row>
    <row r="4914" ht="15.0" customHeight="1">
      <c r="A4914" s="157" t="s">
        <v>6232</v>
      </c>
      <c r="B4914" s="158" t="s">
        <v>29</v>
      </c>
      <c r="C4914" s="158" t="s">
        <v>6211</v>
      </c>
      <c r="D4914" s="159">
        <v>45435.0</v>
      </c>
      <c r="E4914" s="157" t="s">
        <v>731</v>
      </c>
      <c r="F4914" s="160">
        <v>171183.26</v>
      </c>
      <c r="G4914" s="160">
        <f>'FACP$'!$F4914*0.16</f>
        <v>27389.3216</v>
      </c>
      <c r="H4914" s="160">
        <f t="shared" si="124"/>
        <v>198572.5816</v>
      </c>
      <c r="I4914" s="160"/>
      <c r="J4914" s="161"/>
      <c r="K4914" s="160"/>
      <c r="L4914" s="160">
        <f>+'FACP$'!$H4914-'FACP$'!$I4914-'FACP$'!$K4914</f>
        <v>198572.5816</v>
      </c>
      <c r="M4914" s="162" t="s">
        <v>130</v>
      </c>
      <c r="N4914" s="162" t="s">
        <v>554</v>
      </c>
      <c r="O4914" s="164">
        <v>45449.0</v>
      </c>
      <c r="P4914" s="164">
        <f t="array" ref="P4914">XLOOKUP('FACP$'!$B4914,'perfil de pagos'!$A$4:$A$46,'perfil de pagos'!$B$4:$B$46+'FACP$'!$D4914)</f>
        <v>45445</v>
      </c>
      <c r="Q4914" s="165">
        <f t="shared" si="128"/>
        <v>0</v>
      </c>
      <c r="R4914" s="167"/>
      <c r="S4914" s="167">
        <v>3032.0</v>
      </c>
      <c r="T4914" s="168">
        <f t="shared" si="3"/>
        <v>198572.5816</v>
      </c>
      <c r="U4914" s="168">
        <f t="shared" si="4"/>
        <v>0</v>
      </c>
      <c r="V4914" s="168">
        <f t="shared" si="5"/>
        <v>0</v>
      </c>
      <c r="W4914" s="168">
        <f t="shared" si="6"/>
        <v>0</v>
      </c>
      <c r="X4914" s="168">
        <f t="shared" si="7"/>
        <v>0</v>
      </c>
      <c r="Y4914" s="168">
        <f t="shared" si="8"/>
        <v>0</v>
      </c>
      <c r="Z4914" s="168">
        <f t="shared" si="9"/>
        <v>0</v>
      </c>
    </row>
    <row r="4915" ht="15.0" customHeight="1">
      <c r="A4915" s="157" t="s">
        <v>6233</v>
      </c>
      <c r="B4915" s="158" t="s">
        <v>29</v>
      </c>
      <c r="C4915" s="158" t="s">
        <v>6220</v>
      </c>
      <c r="D4915" s="159">
        <v>45435.0</v>
      </c>
      <c r="E4915" s="157" t="s">
        <v>731</v>
      </c>
      <c r="F4915" s="160">
        <v>383500.56</v>
      </c>
      <c r="G4915" s="160">
        <f>'FACP$'!$F4915*0.16</f>
        <v>61360.0896</v>
      </c>
      <c r="H4915" s="160">
        <f t="shared" si="124"/>
        <v>444860.6496</v>
      </c>
      <c r="I4915" s="160"/>
      <c r="J4915" s="161"/>
      <c r="K4915" s="160"/>
      <c r="L4915" s="160">
        <f>+'FACP$'!$H4915-'FACP$'!$I4915-'FACP$'!$K4915</f>
        <v>444860.6496</v>
      </c>
      <c r="M4915" s="162" t="s">
        <v>130</v>
      </c>
      <c r="N4915" s="162" t="s">
        <v>554</v>
      </c>
      <c r="O4915" s="164">
        <v>45449.0</v>
      </c>
      <c r="P4915" s="164">
        <f t="array" ref="P4915">XLOOKUP('FACP$'!$B4915,'perfil de pagos'!$A$4:$A$46,'perfil de pagos'!$B$4:$B$46+'FACP$'!$D4915)</f>
        <v>45445</v>
      </c>
      <c r="Q4915" s="165">
        <f t="shared" si="128"/>
        <v>0</v>
      </c>
      <c r="R4915" s="167"/>
      <c r="S4915" s="167">
        <v>3032.0</v>
      </c>
      <c r="T4915" s="168">
        <f t="shared" si="3"/>
        <v>444860.6496</v>
      </c>
      <c r="U4915" s="168">
        <f t="shared" si="4"/>
        <v>0</v>
      </c>
      <c r="V4915" s="168">
        <f t="shared" si="5"/>
        <v>0</v>
      </c>
      <c r="W4915" s="168">
        <f t="shared" si="6"/>
        <v>0</v>
      </c>
      <c r="X4915" s="168">
        <f t="shared" si="7"/>
        <v>0</v>
      </c>
      <c r="Y4915" s="168">
        <f t="shared" si="8"/>
        <v>0</v>
      </c>
      <c r="Z4915" s="168">
        <f t="shared" si="9"/>
        <v>0</v>
      </c>
    </row>
    <row r="4916" ht="15.0" customHeight="1">
      <c r="A4916" s="299" t="s">
        <v>6234</v>
      </c>
      <c r="B4916" s="300" t="s">
        <v>27</v>
      </c>
      <c r="C4916" s="300"/>
      <c r="D4916" s="301">
        <v>45435.0</v>
      </c>
      <c r="E4916" s="299" t="s">
        <v>731</v>
      </c>
      <c r="F4916" s="302"/>
      <c r="G4916" s="302">
        <f>'FACP$'!$F4916*0.16</f>
        <v>0</v>
      </c>
      <c r="H4916" s="302">
        <f t="shared" si="124"/>
        <v>0</v>
      </c>
      <c r="I4916" s="302"/>
      <c r="J4916" s="304"/>
      <c r="K4916" s="302"/>
      <c r="L4916" s="302">
        <f>+'FACP$'!$H4916-'FACP$'!$I4916-'FACP$'!$K4916</f>
        <v>0</v>
      </c>
      <c r="M4916" s="305"/>
      <c r="N4916" s="305" t="s">
        <v>127</v>
      </c>
      <c r="O4916" s="306"/>
      <c r="P4916" s="306">
        <f t="array" ref="P4916">XLOOKUP('FACP$'!$B4916,'perfil de pagos'!$A$4:$A$46,'perfil de pagos'!$B$4:$B$46+'FACP$'!$D4916)</f>
        <v>45465</v>
      </c>
      <c r="Q4916" s="307">
        <f t="shared" si="128"/>
        <v>0</v>
      </c>
      <c r="R4916" s="308"/>
      <c r="S4916" s="308" t="s">
        <v>6235</v>
      </c>
      <c r="T4916" s="309">
        <f t="shared" si="3"/>
        <v>0</v>
      </c>
      <c r="U4916" s="309">
        <f t="shared" si="4"/>
        <v>0</v>
      </c>
      <c r="V4916" s="309">
        <f t="shared" si="5"/>
        <v>0</v>
      </c>
      <c r="W4916" s="309">
        <f t="shared" si="6"/>
        <v>0</v>
      </c>
      <c r="X4916" s="309">
        <f t="shared" si="7"/>
        <v>0</v>
      </c>
      <c r="Y4916" s="309">
        <f t="shared" si="8"/>
        <v>0</v>
      </c>
      <c r="Z4916" s="309">
        <f t="shared" si="9"/>
        <v>0</v>
      </c>
    </row>
    <row r="4917" ht="15.0" customHeight="1">
      <c r="A4917" s="157" t="s">
        <v>6236</v>
      </c>
      <c r="B4917" s="158" t="s">
        <v>27</v>
      </c>
      <c r="C4917" s="158" t="s">
        <v>6237</v>
      </c>
      <c r="D4917" s="159">
        <v>45435.0</v>
      </c>
      <c r="E4917" s="157" t="s">
        <v>731</v>
      </c>
      <c r="F4917" s="160">
        <v>116536.02</v>
      </c>
      <c r="G4917" s="160">
        <f>'FACP$'!$F4917*0.16</f>
        <v>18645.7632</v>
      </c>
      <c r="H4917" s="160">
        <f t="shared" si="124"/>
        <v>135181.7832</v>
      </c>
      <c r="I4917" s="160"/>
      <c r="J4917" s="161"/>
      <c r="K4917" s="160"/>
      <c r="L4917" s="160">
        <f>+'FACP$'!$H4917-'FACP$'!$I4917-'FACP$'!$K4917</f>
        <v>135181.7832</v>
      </c>
      <c r="M4917" s="162" t="s">
        <v>158</v>
      </c>
      <c r="N4917" s="162" t="s">
        <v>554</v>
      </c>
      <c r="O4917" s="164">
        <v>45495.0</v>
      </c>
      <c r="P4917" s="164">
        <f t="array" ref="P4917">XLOOKUP('FACP$'!$B4917,'perfil de pagos'!$A$4:$A$46,'perfil de pagos'!$B$4:$B$46+'FACP$'!$D4917)</f>
        <v>45465</v>
      </c>
      <c r="Q4917" s="165">
        <f t="shared" si="128"/>
        <v>0</v>
      </c>
      <c r="R4917" s="167"/>
      <c r="S4917" s="167">
        <v>3160.0</v>
      </c>
      <c r="T4917" s="168">
        <f t="shared" si="3"/>
        <v>135181.7832</v>
      </c>
      <c r="U4917" s="168">
        <f t="shared" si="4"/>
        <v>0</v>
      </c>
      <c r="V4917" s="168">
        <f t="shared" si="5"/>
        <v>0</v>
      </c>
      <c r="W4917" s="168">
        <f t="shared" si="6"/>
        <v>0</v>
      </c>
      <c r="X4917" s="168">
        <f t="shared" si="7"/>
        <v>0</v>
      </c>
      <c r="Y4917" s="168">
        <f t="shared" si="8"/>
        <v>0</v>
      </c>
      <c r="Z4917" s="168">
        <f t="shared" si="9"/>
        <v>0</v>
      </c>
    </row>
    <row r="4918" ht="15.0" customHeight="1">
      <c r="A4918" s="157" t="s">
        <v>6238</v>
      </c>
      <c r="B4918" s="158" t="s">
        <v>27</v>
      </c>
      <c r="C4918" s="158" t="s">
        <v>6239</v>
      </c>
      <c r="D4918" s="159">
        <v>45435.0</v>
      </c>
      <c r="E4918" s="157" t="s">
        <v>731</v>
      </c>
      <c r="F4918" s="160">
        <v>120955.75</v>
      </c>
      <c r="G4918" s="160">
        <f>'FACP$'!$F4918*0.16</f>
        <v>19352.92</v>
      </c>
      <c r="H4918" s="160">
        <f t="shared" si="124"/>
        <v>140308.67</v>
      </c>
      <c r="I4918" s="160"/>
      <c r="J4918" s="161"/>
      <c r="K4918" s="160"/>
      <c r="L4918" s="160">
        <f>+'FACP$'!$H4918-'FACP$'!$I4918-'FACP$'!$K4918</f>
        <v>140308.67</v>
      </c>
      <c r="M4918" s="162" t="s">
        <v>158</v>
      </c>
      <c r="N4918" s="162" t="s">
        <v>554</v>
      </c>
      <c r="O4918" s="164">
        <v>45495.0</v>
      </c>
      <c r="P4918" s="164">
        <f t="array" ref="P4918">XLOOKUP('FACP$'!$B4918,'perfil de pagos'!$A$4:$A$46,'perfil de pagos'!$B$4:$B$46+'FACP$'!$D4918)</f>
        <v>45465</v>
      </c>
      <c r="Q4918" s="165">
        <f t="shared" si="128"/>
        <v>0</v>
      </c>
      <c r="R4918" s="167"/>
      <c r="S4918" s="167">
        <v>3160.0</v>
      </c>
      <c r="T4918" s="168">
        <f t="shared" si="3"/>
        <v>140308.67</v>
      </c>
      <c r="U4918" s="168">
        <f t="shared" si="4"/>
        <v>0</v>
      </c>
      <c r="V4918" s="168">
        <f t="shared" si="5"/>
        <v>0</v>
      </c>
      <c r="W4918" s="168">
        <f t="shared" si="6"/>
        <v>0</v>
      </c>
      <c r="X4918" s="168">
        <f t="shared" si="7"/>
        <v>0</v>
      </c>
      <c r="Y4918" s="168">
        <f t="shared" si="8"/>
        <v>0</v>
      </c>
      <c r="Z4918" s="168">
        <f t="shared" si="9"/>
        <v>0</v>
      </c>
    </row>
    <row r="4919" ht="15.0" customHeight="1">
      <c r="A4919" s="157" t="s">
        <v>6240</v>
      </c>
      <c r="B4919" s="158" t="s">
        <v>27</v>
      </c>
      <c r="C4919" s="158" t="s">
        <v>6237</v>
      </c>
      <c r="D4919" s="159">
        <v>45435.0</v>
      </c>
      <c r="E4919" s="157" t="s">
        <v>731</v>
      </c>
      <c r="F4919" s="160">
        <v>229737.88</v>
      </c>
      <c r="G4919" s="160">
        <f>'FACP$'!$F4919*0.16</f>
        <v>36758.0608</v>
      </c>
      <c r="H4919" s="160">
        <f t="shared" si="124"/>
        <v>266495.9408</v>
      </c>
      <c r="I4919" s="160"/>
      <c r="J4919" s="161"/>
      <c r="K4919" s="160"/>
      <c r="L4919" s="160">
        <f>+'FACP$'!$H4919-'FACP$'!$I4919-'FACP$'!$K4919</f>
        <v>266495.9408</v>
      </c>
      <c r="M4919" s="162" t="s">
        <v>151</v>
      </c>
      <c r="N4919" s="162" t="s">
        <v>554</v>
      </c>
      <c r="O4919" s="164">
        <v>45495.0</v>
      </c>
      <c r="P4919" s="164">
        <f t="array" ref="P4919">XLOOKUP('FACP$'!$B4919,'perfil de pagos'!$A$4:$A$46,'perfil de pagos'!$B$4:$B$46+'FACP$'!$D4919)</f>
        <v>45465</v>
      </c>
      <c r="Q4919" s="165">
        <f t="shared" si="128"/>
        <v>0</v>
      </c>
      <c r="R4919" s="167"/>
      <c r="S4919" s="167">
        <v>3159.0</v>
      </c>
      <c r="T4919" s="168">
        <f t="shared" si="3"/>
        <v>266495.9408</v>
      </c>
      <c r="U4919" s="168">
        <f t="shared" si="4"/>
        <v>0</v>
      </c>
      <c r="V4919" s="168">
        <f t="shared" si="5"/>
        <v>0</v>
      </c>
      <c r="W4919" s="168">
        <f t="shared" si="6"/>
        <v>0</v>
      </c>
      <c r="X4919" s="168">
        <f t="shared" si="7"/>
        <v>0</v>
      </c>
      <c r="Y4919" s="168">
        <f t="shared" si="8"/>
        <v>0</v>
      </c>
      <c r="Z4919" s="168">
        <f t="shared" si="9"/>
        <v>0</v>
      </c>
    </row>
    <row r="4920" ht="15.0" customHeight="1">
      <c r="A4920" s="157" t="s">
        <v>6241</v>
      </c>
      <c r="B4920" s="158" t="s">
        <v>27</v>
      </c>
      <c r="C4920" s="158" t="s">
        <v>6239</v>
      </c>
      <c r="D4920" s="159">
        <v>45435.0</v>
      </c>
      <c r="E4920" s="157" t="s">
        <v>731</v>
      </c>
      <c r="F4920" s="160">
        <v>218888.04</v>
      </c>
      <c r="G4920" s="160">
        <f>'FACP$'!$F4920*0.16</f>
        <v>35022.0864</v>
      </c>
      <c r="H4920" s="160">
        <f t="shared" si="124"/>
        <v>253910.1264</v>
      </c>
      <c r="I4920" s="160"/>
      <c r="J4920" s="161"/>
      <c r="K4920" s="160"/>
      <c r="L4920" s="160">
        <f>+'FACP$'!$H4920-'FACP$'!$I4920-'FACP$'!$K4920</f>
        <v>253910.1264</v>
      </c>
      <c r="M4920" s="162" t="s">
        <v>151</v>
      </c>
      <c r="N4920" s="162" t="s">
        <v>554</v>
      </c>
      <c r="O4920" s="164">
        <v>45495.0</v>
      </c>
      <c r="P4920" s="164">
        <f t="array" ref="P4920">XLOOKUP('FACP$'!$B4920,'perfil de pagos'!$A$4:$A$46,'perfil de pagos'!$B$4:$B$46+'FACP$'!$D4920)</f>
        <v>45465</v>
      </c>
      <c r="Q4920" s="165">
        <f t="shared" si="128"/>
        <v>0</v>
      </c>
      <c r="R4920" s="167"/>
      <c r="S4920" s="167">
        <v>3159.0</v>
      </c>
      <c r="T4920" s="168">
        <f t="shared" si="3"/>
        <v>253910.1264</v>
      </c>
      <c r="U4920" s="168">
        <f t="shared" si="4"/>
        <v>0</v>
      </c>
      <c r="V4920" s="168">
        <f t="shared" si="5"/>
        <v>0</v>
      </c>
      <c r="W4920" s="168">
        <f t="shared" si="6"/>
        <v>0</v>
      </c>
      <c r="X4920" s="168">
        <f t="shared" si="7"/>
        <v>0</v>
      </c>
      <c r="Y4920" s="168">
        <f t="shared" si="8"/>
        <v>0</v>
      </c>
      <c r="Z4920" s="168">
        <f t="shared" si="9"/>
        <v>0</v>
      </c>
    </row>
    <row r="4921" ht="15.0" customHeight="1">
      <c r="A4921" s="310" t="s">
        <v>6242</v>
      </c>
      <c r="B4921" s="158" t="s">
        <v>40</v>
      </c>
      <c r="C4921" s="158" t="s">
        <v>6237</v>
      </c>
      <c r="D4921" s="311">
        <v>45439.0</v>
      </c>
      <c r="E4921" s="310" t="s">
        <v>731</v>
      </c>
      <c r="F4921" s="312">
        <v>117398.2</v>
      </c>
      <c r="G4921" s="312">
        <f>'FACP$'!$F4921*0.16</f>
        <v>18783.712</v>
      </c>
      <c r="H4921" s="312">
        <f t="shared" si="124"/>
        <v>136181.912</v>
      </c>
      <c r="I4921" s="312"/>
      <c r="J4921" s="313"/>
      <c r="K4921" s="312"/>
      <c r="L4921" s="312">
        <f>+'FACP$'!$H4921-'FACP$'!$I4921-'FACP$'!$K4921</f>
        <v>136181.912</v>
      </c>
      <c r="M4921" s="202" t="s">
        <v>490</v>
      </c>
      <c r="N4921" s="202" t="s">
        <v>554</v>
      </c>
      <c r="O4921" s="163">
        <v>45470.0</v>
      </c>
      <c r="P4921" s="163">
        <f t="array" ref="P4921">XLOOKUP('FACP$'!$B4921,'perfil de pagos'!$A$4:$A$46,'perfil de pagos'!$B$4:$B$46+'FACP$'!$D4921)</f>
        <v>45469</v>
      </c>
      <c r="Q4921" s="314">
        <f t="shared" si="128"/>
        <v>0</v>
      </c>
      <c r="R4921" s="166"/>
      <c r="S4921" s="166">
        <v>3109.0</v>
      </c>
      <c r="T4921" s="187">
        <f t="shared" si="3"/>
        <v>136181.912</v>
      </c>
      <c r="U4921" s="187">
        <f t="shared" si="4"/>
        <v>0</v>
      </c>
      <c r="V4921" s="187">
        <f t="shared" si="5"/>
        <v>0</v>
      </c>
      <c r="W4921" s="187">
        <f t="shared" si="6"/>
        <v>0</v>
      </c>
      <c r="X4921" s="187">
        <f t="shared" si="7"/>
        <v>0</v>
      </c>
      <c r="Y4921" s="187">
        <f t="shared" si="8"/>
        <v>0</v>
      </c>
      <c r="Z4921" s="187">
        <f t="shared" si="9"/>
        <v>0</v>
      </c>
    </row>
    <row r="4922" ht="15.0" customHeight="1">
      <c r="A4922" s="299" t="s">
        <v>6243</v>
      </c>
      <c r="B4922" s="300" t="s">
        <v>27</v>
      </c>
      <c r="C4922" s="300"/>
      <c r="D4922" s="301">
        <v>45439.0</v>
      </c>
      <c r="E4922" s="299" t="s">
        <v>731</v>
      </c>
      <c r="F4922" s="302"/>
      <c r="G4922" s="302">
        <f>'FACP$'!$F4922*0.16</f>
        <v>0</v>
      </c>
      <c r="H4922" s="302">
        <f t="shared" si="124"/>
        <v>0</v>
      </c>
      <c r="I4922" s="302"/>
      <c r="J4922" s="304"/>
      <c r="K4922" s="302"/>
      <c r="L4922" s="302">
        <f>+'FACP$'!$H4922-'FACP$'!$I4922-'FACP$'!$K4922</f>
        <v>0</v>
      </c>
      <c r="M4922" s="305"/>
      <c r="N4922" s="305" t="s">
        <v>127</v>
      </c>
      <c r="O4922" s="306"/>
      <c r="P4922" s="306">
        <f t="array" ref="P4922">XLOOKUP('FACP$'!$B4922,'perfil de pagos'!$A$4:$A$46,'perfil de pagos'!$B$4:$B$46+'FACP$'!$D4922)</f>
        <v>45469</v>
      </c>
      <c r="Q4922" s="307">
        <f t="shared" si="128"/>
        <v>0</v>
      </c>
      <c r="R4922" s="308"/>
      <c r="S4922" s="308" t="s">
        <v>6244</v>
      </c>
      <c r="T4922" s="309">
        <f t="shared" si="3"/>
        <v>0</v>
      </c>
      <c r="U4922" s="309">
        <f t="shared" si="4"/>
        <v>0</v>
      </c>
      <c r="V4922" s="309">
        <f t="shared" si="5"/>
        <v>0</v>
      </c>
      <c r="W4922" s="309">
        <f t="shared" si="6"/>
        <v>0</v>
      </c>
      <c r="X4922" s="309">
        <f t="shared" si="7"/>
        <v>0</v>
      </c>
      <c r="Y4922" s="309">
        <f t="shared" si="8"/>
        <v>0</v>
      </c>
      <c r="Z4922" s="309">
        <f t="shared" si="9"/>
        <v>0</v>
      </c>
    </row>
    <row r="4923" ht="15.0" customHeight="1">
      <c r="A4923" s="299" t="s">
        <v>6245</v>
      </c>
      <c r="B4923" s="300" t="s">
        <v>40</v>
      </c>
      <c r="C4923" s="300"/>
      <c r="D4923" s="301">
        <v>45439.0</v>
      </c>
      <c r="E4923" s="299"/>
      <c r="F4923" s="302"/>
      <c r="G4923" s="302"/>
      <c r="H4923" s="302">
        <f t="shared" si="124"/>
        <v>0</v>
      </c>
      <c r="I4923" s="302"/>
      <c r="J4923" s="304"/>
      <c r="K4923" s="302"/>
      <c r="L4923" s="302">
        <f>+'FACP$'!$H4923-'FACP$'!$I4923-'FACP$'!$K4923</f>
        <v>0</v>
      </c>
      <c r="M4923" s="305"/>
      <c r="N4923" s="305" t="s">
        <v>127</v>
      </c>
      <c r="O4923" s="306"/>
      <c r="P4923" s="306">
        <f>D4923+10</f>
        <v>45449</v>
      </c>
      <c r="Q4923" s="307">
        <f t="shared" si="128"/>
        <v>0</v>
      </c>
      <c r="R4923" s="308"/>
      <c r="S4923" s="308" t="s">
        <v>6246</v>
      </c>
      <c r="T4923" s="309">
        <f t="shared" si="3"/>
        <v>0</v>
      </c>
      <c r="U4923" s="309">
        <f t="shared" si="4"/>
        <v>0</v>
      </c>
      <c r="V4923" s="309">
        <f t="shared" si="5"/>
        <v>0</v>
      </c>
      <c r="W4923" s="309">
        <f t="shared" si="6"/>
        <v>0</v>
      </c>
      <c r="X4923" s="309">
        <f t="shared" si="7"/>
        <v>0</v>
      </c>
      <c r="Y4923" s="309">
        <f t="shared" si="8"/>
        <v>0</v>
      </c>
      <c r="Z4923" s="309">
        <f t="shared" si="9"/>
        <v>0</v>
      </c>
    </row>
    <row r="4924" ht="15.0" customHeight="1">
      <c r="A4924" s="157" t="s">
        <v>6247</v>
      </c>
      <c r="B4924" s="158" t="s">
        <v>27</v>
      </c>
      <c r="C4924" s="158" t="s">
        <v>6248</v>
      </c>
      <c r="D4924" s="159">
        <v>45439.0</v>
      </c>
      <c r="E4924" s="157" t="s">
        <v>731</v>
      </c>
      <c r="F4924" s="160">
        <v>93826.65</v>
      </c>
      <c r="G4924" s="160">
        <f>'FACP$'!$F4924*0.16</f>
        <v>15012.264</v>
      </c>
      <c r="H4924" s="160">
        <f t="shared" si="124"/>
        <v>108838.914</v>
      </c>
      <c r="I4924" s="160"/>
      <c r="J4924" s="161"/>
      <c r="K4924" s="160"/>
      <c r="L4924" s="160">
        <f>+'FACP$'!$H4924-'FACP$'!$I4924-'FACP$'!$K4924</f>
        <v>108838.914</v>
      </c>
      <c r="M4924" s="162" t="s">
        <v>158</v>
      </c>
      <c r="N4924" s="162" t="s">
        <v>554</v>
      </c>
      <c r="O4924" s="164">
        <v>45448.0</v>
      </c>
      <c r="P4924" s="164">
        <f t="array" ref="P4924">XLOOKUP('FACP$'!$B4924,'perfil de pagos'!$A$4:$A$46,'perfil de pagos'!$B$4:$B$46+'FACP$'!$D4924)</f>
        <v>45469</v>
      </c>
      <c r="Q4924" s="165">
        <f t="shared" si="128"/>
        <v>0</v>
      </c>
      <c r="R4924" s="167"/>
      <c r="S4924" s="167">
        <v>3027.0</v>
      </c>
      <c r="T4924" s="168">
        <f t="shared" si="3"/>
        <v>108838.914</v>
      </c>
      <c r="U4924" s="168">
        <f t="shared" si="4"/>
        <v>0</v>
      </c>
      <c r="V4924" s="168">
        <f t="shared" si="5"/>
        <v>0</v>
      </c>
      <c r="W4924" s="168">
        <f t="shared" si="6"/>
        <v>0</v>
      </c>
      <c r="X4924" s="168">
        <f t="shared" si="7"/>
        <v>0</v>
      </c>
      <c r="Y4924" s="168">
        <f t="shared" si="8"/>
        <v>0</v>
      </c>
      <c r="Z4924" s="168">
        <f t="shared" si="9"/>
        <v>0</v>
      </c>
    </row>
    <row r="4925" ht="15.0" customHeight="1">
      <c r="A4925" s="157" t="s">
        <v>6249</v>
      </c>
      <c r="B4925" s="158" t="s">
        <v>40</v>
      </c>
      <c r="C4925" s="158" t="s">
        <v>6220</v>
      </c>
      <c r="D4925" s="159">
        <v>45439.0</v>
      </c>
      <c r="E4925" s="157" t="s">
        <v>731</v>
      </c>
      <c r="F4925" s="160">
        <v>111765.44</v>
      </c>
      <c r="G4925" s="160">
        <f>'FACP$'!$F4925*0.16</f>
        <v>17882.4704</v>
      </c>
      <c r="H4925" s="160">
        <f t="shared" si="124"/>
        <v>129647.9104</v>
      </c>
      <c r="I4925" s="160"/>
      <c r="J4925" s="161"/>
      <c r="K4925" s="160"/>
      <c r="L4925" s="211">
        <f>+'FACP$'!$H4925-'FACP$'!$I4925-'FACP$'!$K4925</f>
        <v>129647.9104</v>
      </c>
      <c r="M4925" s="162" t="s">
        <v>490</v>
      </c>
      <c r="N4925" s="162" t="s">
        <v>554</v>
      </c>
      <c r="O4925" s="164">
        <v>45464.0</v>
      </c>
      <c r="P4925" s="164">
        <f t="array" ref="P4925">XLOOKUP('FACP$'!$B4925,'perfil de pagos'!$A$4:$A$46,'perfil de pagos'!$B$4:$B$46+'FACP$'!$D4925)</f>
        <v>45469</v>
      </c>
      <c r="Q4925" s="165">
        <f t="shared" si="128"/>
        <v>0</v>
      </c>
      <c r="R4925" s="167"/>
      <c r="S4925" s="167">
        <v>3079.0</v>
      </c>
      <c r="T4925" s="168">
        <f t="shared" si="3"/>
        <v>129647.9104</v>
      </c>
      <c r="U4925" s="168">
        <f t="shared" si="4"/>
        <v>0</v>
      </c>
      <c r="V4925" s="168">
        <f t="shared" si="5"/>
        <v>0</v>
      </c>
      <c r="W4925" s="168">
        <f t="shared" si="6"/>
        <v>0</v>
      </c>
      <c r="X4925" s="168">
        <f t="shared" si="7"/>
        <v>0</v>
      </c>
      <c r="Y4925" s="168">
        <f t="shared" si="8"/>
        <v>0</v>
      </c>
      <c r="Z4925" s="168">
        <f t="shared" si="9"/>
        <v>0</v>
      </c>
    </row>
    <row r="4926" ht="15.0" customHeight="1">
      <c r="A4926" s="157" t="s">
        <v>6250</v>
      </c>
      <c r="B4926" s="158" t="s">
        <v>38</v>
      </c>
      <c r="C4926" s="158" t="s">
        <v>6211</v>
      </c>
      <c r="D4926" s="159">
        <v>45439.0</v>
      </c>
      <c r="E4926" s="157" t="s">
        <v>731</v>
      </c>
      <c r="F4926" s="160">
        <v>214681.55</v>
      </c>
      <c r="G4926" s="160">
        <f>'FACP$'!$F4926*0.16</f>
        <v>34349.048</v>
      </c>
      <c r="H4926" s="160">
        <f t="shared" si="124"/>
        <v>249030.598</v>
      </c>
      <c r="I4926" s="160"/>
      <c r="J4926" s="161"/>
      <c r="K4926" s="160"/>
      <c r="L4926" s="160">
        <f>+'FACP$'!$H4926-'FACP$'!$I4926-'FACP$'!$K4926</f>
        <v>249030.598</v>
      </c>
      <c r="M4926" s="162" t="s">
        <v>642</v>
      </c>
      <c r="N4926" s="162" t="s">
        <v>554</v>
      </c>
      <c r="O4926" s="164">
        <v>45490.0</v>
      </c>
      <c r="P4926" s="164">
        <f t="array" ref="P4926">XLOOKUP('FACP$'!$B4926,'perfil de pagos'!$A$4:$A$46,'perfil de pagos'!$B$4:$B$46+'FACP$'!$D4926)</f>
        <v>45469</v>
      </c>
      <c r="Q4926" s="165">
        <f t="shared" si="128"/>
        <v>0</v>
      </c>
      <c r="R4926" s="167"/>
      <c r="S4926" s="167">
        <v>3153.0</v>
      </c>
      <c r="T4926" s="168">
        <f t="shared" si="3"/>
        <v>249030.598</v>
      </c>
      <c r="U4926" s="168">
        <f t="shared" si="4"/>
        <v>0</v>
      </c>
      <c r="V4926" s="168">
        <f t="shared" si="5"/>
        <v>0</v>
      </c>
      <c r="W4926" s="168">
        <f t="shared" si="6"/>
        <v>0</v>
      </c>
      <c r="X4926" s="168">
        <f t="shared" si="7"/>
        <v>0</v>
      </c>
      <c r="Y4926" s="168">
        <f t="shared" si="8"/>
        <v>0</v>
      </c>
      <c r="Z4926" s="168">
        <f t="shared" si="9"/>
        <v>0</v>
      </c>
    </row>
    <row r="4927" ht="15.0" customHeight="1">
      <c r="A4927" s="157" t="s">
        <v>6251</v>
      </c>
      <c r="B4927" s="158" t="s">
        <v>38</v>
      </c>
      <c r="C4927" s="158" t="s">
        <v>6211</v>
      </c>
      <c r="D4927" s="159">
        <v>45439.0</v>
      </c>
      <c r="E4927" s="157" t="s">
        <v>731</v>
      </c>
      <c r="F4927" s="160">
        <v>472558.72</v>
      </c>
      <c r="G4927" s="160">
        <f>'FACP$'!$F4927*0.16</f>
        <v>75609.3952</v>
      </c>
      <c r="H4927" s="160">
        <f t="shared" si="124"/>
        <v>548168.1152</v>
      </c>
      <c r="I4927" s="160"/>
      <c r="J4927" s="161"/>
      <c r="K4927" s="160"/>
      <c r="L4927" s="160">
        <f>+'FACP$'!$H4927-'FACP$'!$I4927-'FACP$'!$K4927</f>
        <v>548168.1152</v>
      </c>
      <c r="M4927" s="162" t="s">
        <v>145</v>
      </c>
      <c r="N4927" s="162" t="s">
        <v>554</v>
      </c>
      <c r="O4927" s="164">
        <v>45490.0</v>
      </c>
      <c r="P4927" s="164">
        <f t="array" ref="P4927">XLOOKUP('FACP$'!$B4927,'perfil de pagos'!$A$4:$A$46,'perfil de pagos'!$B$4:$B$46+'FACP$'!$D4927)</f>
        <v>45469</v>
      </c>
      <c r="Q4927" s="165">
        <f t="shared" si="128"/>
        <v>0</v>
      </c>
      <c r="R4927" s="167"/>
      <c r="S4927" s="167">
        <v>3153.0</v>
      </c>
      <c r="T4927" s="168">
        <f t="shared" si="3"/>
        <v>548168.1152</v>
      </c>
      <c r="U4927" s="168">
        <f t="shared" si="4"/>
        <v>0</v>
      </c>
      <c r="V4927" s="168">
        <f t="shared" si="5"/>
        <v>0</v>
      </c>
      <c r="W4927" s="168">
        <f t="shared" si="6"/>
        <v>0</v>
      </c>
      <c r="X4927" s="168">
        <f t="shared" si="7"/>
        <v>0</v>
      </c>
      <c r="Y4927" s="168">
        <f t="shared" si="8"/>
        <v>0</v>
      </c>
      <c r="Z4927" s="168">
        <f t="shared" si="9"/>
        <v>0</v>
      </c>
    </row>
    <row r="4928" ht="15.0" customHeight="1">
      <c r="A4928" s="157" t="s">
        <v>6252</v>
      </c>
      <c r="B4928" s="158" t="s">
        <v>27</v>
      </c>
      <c r="C4928" s="158" t="s">
        <v>6253</v>
      </c>
      <c r="D4928" s="159">
        <v>45443.0</v>
      </c>
      <c r="E4928" s="157" t="s">
        <v>731</v>
      </c>
      <c r="F4928" s="160">
        <v>132644.31</v>
      </c>
      <c r="G4928" s="160">
        <f>'FACP$'!$F4928*0.16</f>
        <v>21223.0896</v>
      </c>
      <c r="H4928" s="160">
        <f t="shared" si="124"/>
        <v>153867.3996</v>
      </c>
      <c r="I4928" s="160"/>
      <c r="J4928" s="161"/>
      <c r="K4928" s="160"/>
      <c r="L4928" s="160">
        <f>+'FACP$'!$H4928-'FACP$'!$I4928-'FACP$'!$K4928</f>
        <v>153867.3996</v>
      </c>
      <c r="M4928" s="162" t="s">
        <v>158</v>
      </c>
      <c r="N4928" s="162" t="s">
        <v>554</v>
      </c>
      <c r="O4928" s="164">
        <v>45495.0</v>
      </c>
      <c r="P4928" s="164">
        <f t="array" ref="P4928">XLOOKUP('FACP$'!$B4928,'perfil de pagos'!$A$4:$A$46,'perfil de pagos'!$B$4:$B$46+'FACP$'!$D4928)</f>
        <v>45473</v>
      </c>
      <c r="Q4928" s="165">
        <f t="shared" si="128"/>
        <v>0</v>
      </c>
      <c r="R4928" s="167"/>
      <c r="S4928" s="167">
        <v>3160.0</v>
      </c>
      <c r="T4928" s="168">
        <f t="shared" si="3"/>
        <v>153867.3996</v>
      </c>
      <c r="U4928" s="168">
        <f t="shared" si="4"/>
        <v>0</v>
      </c>
      <c r="V4928" s="168">
        <f t="shared" si="5"/>
        <v>0</v>
      </c>
      <c r="W4928" s="168">
        <f t="shared" si="6"/>
        <v>0</v>
      </c>
      <c r="X4928" s="168">
        <f t="shared" si="7"/>
        <v>0</v>
      </c>
      <c r="Y4928" s="168">
        <f t="shared" si="8"/>
        <v>0</v>
      </c>
      <c r="Z4928" s="168">
        <f t="shared" si="9"/>
        <v>0</v>
      </c>
    </row>
    <row r="4929" ht="15.0" customHeight="1">
      <c r="A4929" s="157" t="s">
        <v>6254</v>
      </c>
      <c r="B4929" s="158" t="s">
        <v>27</v>
      </c>
      <c r="C4929" s="158" t="s">
        <v>6255</v>
      </c>
      <c r="D4929" s="159">
        <v>45443.0</v>
      </c>
      <c r="E4929" s="157" t="s">
        <v>731</v>
      </c>
      <c r="F4929" s="160">
        <v>123453.04</v>
      </c>
      <c r="G4929" s="160">
        <f>'FACP$'!$F4929*0.16</f>
        <v>19752.4864</v>
      </c>
      <c r="H4929" s="160">
        <f t="shared" si="124"/>
        <v>143205.5264</v>
      </c>
      <c r="I4929" s="160"/>
      <c r="J4929" s="161"/>
      <c r="K4929" s="160"/>
      <c r="L4929" s="160">
        <f>+'FACP$'!$H4929-'FACP$'!$I4929-'FACP$'!$K4929</f>
        <v>143205.5264</v>
      </c>
      <c r="M4929" s="162" t="s">
        <v>158</v>
      </c>
      <c r="N4929" s="162" t="s">
        <v>554</v>
      </c>
      <c r="O4929" s="164">
        <v>45495.0</v>
      </c>
      <c r="P4929" s="164">
        <f t="array" ref="P4929">XLOOKUP('FACP$'!$B4929,'perfil de pagos'!$A$4:$A$46,'perfil de pagos'!$B$4:$B$46+'FACP$'!$D4929)</f>
        <v>45473</v>
      </c>
      <c r="Q4929" s="165">
        <f t="shared" si="128"/>
        <v>0</v>
      </c>
      <c r="R4929" s="167"/>
      <c r="S4929" s="167">
        <v>3160.0</v>
      </c>
      <c r="T4929" s="168">
        <f t="shared" si="3"/>
        <v>143205.5264</v>
      </c>
      <c r="U4929" s="168">
        <f t="shared" si="4"/>
        <v>0</v>
      </c>
      <c r="V4929" s="168">
        <f t="shared" si="5"/>
        <v>0</v>
      </c>
      <c r="W4929" s="168">
        <f t="shared" si="6"/>
        <v>0</v>
      </c>
      <c r="X4929" s="168">
        <f t="shared" si="7"/>
        <v>0</v>
      </c>
      <c r="Y4929" s="168">
        <f t="shared" si="8"/>
        <v>0</v>
      </c>
      <c r="Z4929" s="168">
        <f t="shared" si="9"/>
        <v>0</v>
      </c>
    </row>
    <row r="4930" ht="15.0" customHeight="1">
      <c r="A4930" s="157" t="s">
        <v>6256</v>
      </c>
      <c r="B4930" s="158" t="s">
        <v>27</v>
      </c>
      <c r="C4930" s="158" t="s">
        <v>6253</v>
      </c>
      <c r="D4930" s="159">
        <v>45443.0</v>
      </c>
      <c r="E4930" s="157" t="s">
        <v>731</v>
      </c>
      <c r="F4930" s="160">
        <v>332893.78</v>
      </c>
      <c r="G4930" s="160">
        <f>'FACP$'!$F4930*0.16</f>
        <v>53263.0048</v>
      </c>
      <c r="H4930" s="160">
        <f t="shared" si="124"/>
        <v>386156.7848</v>
      </c>
      <c r="I4930" s="160"/>
      <c r="J4930" s="161"/>
      <c r="K4930" s="160"/>
      <c r="L4930" s="160">
        <f>+'FACP$'!$H4930-'FACP$'!$I4930-'FACP$'!$K4930</f>
        <v>386156.7848</v>
      </c>
      <c r="M4930" s="162" t="s">
        <v>151</v>
      </c>
      <c r="N4930" s="162" t="s">
        <v>554</v>
      </c>
      <c r="O4930" s="164">
        <v>45495.0</v>
      </c>
      <c r="P4930" s="164">
        <f t="array" ref="P4930">XLOOKUP('FACP$'!$B4930,'perfil de pagos'!$A$4:$A$46,'perfil de pagos'!$B$4:$B$46+'FACP$'!$D4930)</f>
        <v>45473</v>
      </c>
      <c r="Q4930" s="165">
        <f t="shared" si="128"/>
        <v>0</v>
      </c>
      <c r="R4930" s="167"/>
      <c r="S4930" s="167">
        <v>3159.0</v>
      </c>
      <c r="T4930" s="168">
        <f t="shared" si="3"/>
        <v>386156.7848</v>
      </c>
      <c r="U4930" s="168">
        <f t="shared" si="4"/>
        <v>0</v>
      </c>
      <c r="V4930" s="168">
        <f t="shared" si="5"/>
        <v>0</v>
      </c>
      <c r="W4930" s="168">
        <f t="shared" si="6"/>
        <v>0</v>
      </c>
      <c r="X4930" s="168">
        <f t="shared" si="7"/>
        <v>0</v>
      </c>
      <c r="Y4930" s="168">
        <f t="shared" si="8"/>
        <v>0</v>
      </c>
      <c r="Z4930" s="168">
        <f t="shared" si="9"/>
        <v>0</v>
      </c>
    </row>
    <row r="4931" ht="15.0" customHeight="1">
      <c r="A4931" s="157" t="s">
        <v>6257</v>
      </c>
      <c r="B4931" s="158" t="s">
        <v>27</v>
      </c>
      <c r="C4931" s="158" t="s">
        <v>6255</v>
      </c>
      <c r="D4931" s="159">
        <v>45443.0</v>
      </c>
      <c r="E4931" s="157" t="s">
        <v>731</v>
      </c>
      <c r="F4931" s="160">
        <v>281911.7</v>
      </c>
      <c r="G4931" s="160">
        <f>'FACP$'!$F4931*0.16</f>
        <v>45105.872</v>
      </c>
      <c r="H4931" s="160">
        <f t="shared" si="124"/>
        <v>327017.572</v>
      </c>
      <c r="I4931" s="160"/>
      <c r="J4931" s="161"/>
      <c r="K4931" s="160"/>
      <c r="L4931" s="160">
        <f>+'FACP$'!$H4931-'FACP$'!$I4931-'FACP$'!$K4931</f>
        <v>327017.572</v>
      </c>
      <c r="M4931" s="162" t="s">
        <v>151</v>
      </c>
      <c r="N4931" s="162" t="s">
        <v>554</v>
      </c>
      <c r="O4931" s="164">
        <v>45495.0</v>
      </c>
      <c r="P4931" s="164">
        <f t="array" ref="P4931">XLOOKUP('FACP$'!$B4931,'perfil de pagos'!$A$4:$A$46,'perfil de pagos'!$B$4:$B$46+'FACP$'!$D4931)</f>
        <v>45473</v>
      </c>
      <c r="Q4931" s="165">
        <f t="shared" si="128"/>
        <v>0</v>
      </c>
      <c r="R4931" s="167"/>
      <c r="S4931" s="167">
        <v>3159.0</v>
      </c>
      <c r="T4931" s="168">
        <f t="shared" si="3"/>
        <v>327017.572</v>
      </c>
      <c r="U4931" s="168">
        <f t="shared" si="4"/>
        <v>0</v>
      </c>
      <c r="V4931" s="168">
        <f t="shared" si="5"/>
        <v>0</v>
      </c>
      <c r="W4931" s="168">
        <f t="shared" si="6"/>
        <v>0</v>
      </c>
      <c r="X4931" s="168">
        <f t="shared" si="7"/>
        <v>0</v>
      </c>
      <c r="Y4931" s="168">
        <f t="shared" si="8"/>
        <v>0</v>
      </c>
      <c r="Z4931" s="168">
        <f t="shared" si="9"/>
        <v>0</v>
      </c>
    </row>
    <row r="4932" ht="15.0" customHeight="1">
      <c r="A4932" s="157" t="s">
        <v>6258</v>
      </c>
      <c r="B4932" s="158" t="s">
        <v>27</v>
      </c>
      <c r="C4932" s="158" t="s">
        <v>6253</v>
      </c>
      <c r="D4932" s="159">
        <v>45443.0</v>
      </c>
      <c r="E4932" s="157" t="s">
        <v>731</v>
      </c>
      <c r="F4932" s="160">
        <v>2794.27</v>
      </c>
      <c r="G4932" s="160">
        <f>'FACP$'!$F4932*0.16</f>
        <v>447.0832</v>
      </c>
      <c r="H4932" s="160">
        <f t="shared" si="124"/>
        <v>3241.3532</v>
      </c>
      <c r="I4932" s="160"/>
      <c r="J4932" s="161"/>
      <c r="K4932" s="160"/>
      <c r="L4932" s="160">
        <f>+'FACP$'!$H4932-'FACP$'!$I4932-'FACP$'!$K4932</f>
        <v>3241.3532</v>
      </c>
      <c r="M4932" s="162" t="s">
        <v>151</v>
      </c>
      <c r="N4932" s="162" t="s">
        <v>554</v>
      </c>
      <c r="O4932" s="164">
        <v>45495.0</v>
      </c>
      <c r="P4932" s="164">
        <f t="array" ref="P4932">XLOOKUP('FACP$'!$B4932,'perfil de pagos'!$A$4:$A$46,'perfil de pagos'!$B$4:$B$46+'FACP$'!$D4932)</f>
        <v>45473</v>
      </c>
      <c r="Q4932" s="165">
        <f t="shared" si="128"/>
        <v>0</v>
      </c>
      <c r="R4932" s="167"/>
      <c r="S4932" s="167">
        <v>3159.0</v>
      </c>
      <c r="T4932" s="168">
        <f t="shared" si="3"/>
        <v>3241.3532</v>
      </c>
      <c r="U4932" s="168">
        <f t="shared" si="4"/>
        <v>0</v>
      </c>
      <c r="V4932" s="168">
        <f t="shared" si="5"/>
        <v>0</v>
      </c>
      <c r="W4932" s="168">
        <f t="shared" si="6"/>
        <v>0</v>
      </c>
      <c r="X4932" s="168">
        <f t="shared" si="7"/>
        <v>0</v>
      </c>
      <c r="Y4932" s="168">
        <f t="shared" si="8"/>
        <v>0</v>
      </c>
      <c r="Z4932" s="168">
        <f t="shared" si="9"/>
        <v>0</v>
      </c>
    </row>
    <row r="4933" ht="15.0" customHeight="1">
      <c r="A4933" s="157" t="s">
        <v>6259</v>
      </c>
      <c r="B4933" s="158" t="s">
        <v>27</v>
      </c>
      <c r="C4933" s="158" t="s">
        <v>6255</v>
      </c>
      <c r="D4933" s="159">
        <v>45443.0</v>
      </c>
      <c r="E4933" s="157" t="s">
        <v>731</v>
      </c>
      <c r="F4933" s="160">
        <v>3774.32</v>
      </c>
      <c r="G4933" s="160">
        <f>'FACP$'!$F4933*0.16</f>
        <v>603.8912</v>
      </c>
      <c r="H4933" s="160">
        <f t="shared" si="124"/>
        <v>4378.2112</v>
      </c>
      <c r="I4933" s="160"/>
      <c r="J4933" s="161"/>
      <c r="K4933" s="160"/>
      <c r="L4933" s="160">
        <f>+'FACP$'!$H4933-'FACP$'!$I4933-'FACP$'!$K4933</f>
        <v>4378.2112</v>
      </c>
      <c r="M4933" s="162" t="s">
        <v>151</v>
      </c>
      <c r="N4933" s="162" t="s">
        <v>554</v>
      </c>
      <c r="O4933" s="164">
        <v>45495.0</v>
      </c>
      <c r="P4933" s="164">
        <f t="array" ref="P4933">XLOOKUP('FACP$'!$B4933,'perfil de pagos'!$A$4:$A$46,'perfil de pagos'!$B$4:$B$46+'FACP$'!$D4933)</f>
        <v>45473</v>
      </c>
      <c r="Q4933" s="165">
        <f t="shared" si="128"/>
        <v>0</v>
      </c>
      <c r="R4933" s="167"/>
      <c r="S4933" s="167">
        <v>3159.0</v>
      </c>
      <c r="T4933" s="168">
        <f t="shared" si="3"/>
        <v>4378.2112</v>
      </c>
      <c r="U4933" s="168">
        <f t="shared" si="4"/>
        <v>0</v>
      </c>
      <c r="V4933" s="168">
        <f t="shared" si="5"/>
        <v>0</v>
      </c>
      <c r="W4933" s="168">
        <f t="shared" si="6"/>
        <v>0</v>
      </c>
      <c r="X4933" s="168">
        <f t="shared" si="7"/>
        <v>0</v>
      </c>
      <c r="Y4933" s="168">
        <f t="shared" si="8"/>
        <v>0</v>
      </c>
      <c r="Z4933" s="168">
        <f t="shared" si="9"/>
        <v>0</v>
      </c>
    </row>
    <row r="4934" ht="15.0" customHeight="1">
      <c r="A4934" s="157" t="s">
        <v>6260</v>
      </c>
      <c r="B4934" s="158" t="s">
        <v>35</v>
      </c>
      <c r="C4934" s="158" t="s">
        <v>6261</v>
      </c>
      <c r="D4934" s="159">
        <v>45446.0</v>
      </c>
      <c r="E4934" s="157" t="s">
        <v>731</v>
      </c>
      <c r="F4934" s="160">
        <v>113864.01</v>
      </c>
      <c r="G4934" s="160">
        <f>'FACP$'!$F4934*0.16</f>
        <v>18218.2416</v>
      </c>
      <c r="H4934" s="160">
        <f t="shared" si="124"/>
        <v>132082.2516</v>
      </c>
      <c r="I4934" s="160"/>
      <c r="J4934" s="161"/>
      <c r="K4934" s="160"/>
      <c r="L4934" s="160">
        <f>+'FACP$'!$H4934-'FACP$'!$I4934-'FACP$'!$K4934</f>
        <v>132082.2516</v>
      </c>
      <c r="M4934" s="162" t="s">
        <v>276</v>
      </c>
      <c r="N4934" s="162" t="s">
        <v>554</v>
      </c>
      <c r="O4934" s="164">
        <v>45475.0</v>
      </c>
      <c r="P4934" s="164">
        <f t="array" ref="P4934">XLOOKUP('FACP$'!$B4934,'perfil de pagos'!$A$4:$A$46,'perfil de pagos'!$B$4:$B$46+'FACP$'!$D4934)</f>
        <v>45456</v>
      </c>
      <c r="Q4934" s="165">
        <f t="shared" si="128"/>
        <v>0</v>
      </c>
      <c r="R4934" s="167"/>
      <c r="S4934" s="167">
        <v>3126.0</v>
      </c>
      <c r="T4934" s="168">
        <f t="shared" si="3"/>
        <v>132082.2516</v>
      </c>
      <c r="U4934" s="168">
        <f t="shared" si="4"/>
        <v>0</v>
      </c>
      <c r="V4934" s="168">
        <f t="shared" si="5"/>
        <v>0</v>
      </c>
      <c r="W4934" s="168">
        <f t="shared" si="6"/>
        <v>0</v>
      </c>
      <c r="X4934" s="168">
        <f t="shared" si="7"/>
        <v>0</v>
      </c>
      <c r="Y4934" s="168">
        <f t="shared" si="8"/>
        <v>0</v>
      </c>
      <c r="Z4934" s="168">
        <f t="shared" si="9"/>
        <v>0</v>
      </c>
    </row>
    <row r="4935" ht="15.0" customHeight="1">
      <c r="A4935" s="157" t="s">
        <v>6262</v>
      </c>
      <c r="B4935" s="158" t="s">
        <v>36</v>
      </c>
      <c r="C4935" s="158" t="s">
        <v>6261</v>
      </c>
      <c r="D4935" s="159">
        <v>45446.0</v>
      </c>
      <c r="E4935" s="157" t="s">
        <v>731</v>
      </c>
      <c r="F4935" s="160">
        <v>129952.85</v>
      </c>
      <c r="G4935" s="160">
        <f>'FACP$'!$F4935*0.16</f>
        <v>20792.456</v>
      </c>
      <c r="H4935" s="160">
        <f t="shared" si="124"/>
        <v>150745.306</v>
      </c>
      <c r="I4935" s="160"/>
      <c r="J4935" s="161"/>
      <c r="K4935" s="160"/>
      <c r="L4935" s="160">
        <f>+'FACP$'!$H4935-'FACP$'!$I4935-'FACP$'!$K4935</f>
        <v>150745.306</v>
      </c>
      <c r="M4935" s="162" t="s">
        <v>574</v>
      </c>
      <c r="N4935" s="162" t="s">
        <v>554</v>
      </c>
      <c r="O4935" s="164">
        <v>45449.0</v>
      </c>
      <c r="P4935" s="164">
        <f t="array" ref="P4935">XLOOKUP('FACP$'!$B4935,'perfil de pagos'!$A$4:$A$46,'perfil de pagos'!$B$4:$B$46+'FACP$'!$D4935)</f>
        <v>45456</v>
      </c>
      <c r="Q4935" s="165">
        <f t="shared" si="128"/>
        <v>0</v>
      </c>
      <c r="R4935" s="167"/>
      <c r="S4935" s="167">
        <v>3030.0</v>
      </c>
      <c r="T4935" s="168">
        <f t="shared" si="3"/>
        <v>150745.306</v>
      </c>
      <c r="U4935" s="168">
        <f t="shared" si="4"/>
        <v>0</v>
      </c>
      <c r="V4935" s="168">
        <f t="shared" si="5"/>
        <v>0</v>
      </c>
      <c r="W4935" s="168">
        <f t="shared" si="6"/>
        <v>0</v>
      </c>
      <c r="X4935" s="168">
        <f t="shared" si="7"/>
        <v>0</v>
      </c>
      <c r="Y4935" s="168">
        <f t="shared" si="8"/>
        <v>0</v>
      </c>
      <c r="Z4935" s="168">
        <f t="shared" si="9"/>
        <v>0</v>
      </c>
    </row>
    <row r="4936" ht="15.0" customHeight="1">
      <c r="A4936" s="157" t="s">
        <v>6263</v>
      </c>
      <c r="B4936" s="158" t="s">
        <v>36</v>
      </c>
      <c r="C4936" s="158" t="s">
        <v>6264</v>
      </c>
      <c r="D4936" s="159">
        <v>45446.0</v>
      </c>
      <c r="E4936" s="157" t="s">
        <v>731</v>
      </c>
      <c r="F4936" s="160">
        <v>107455.44</v>
      </c>
      <c r="G4936" s="160">
        <f>'FACP$'!$F4936*0.16</f>
        <v>17192.8704</v>
      </c>
      <c r="H4936" s="160">
        <f t="shared" si="124"/>
        <v>124648.3104</v>
      </c>
      <c r="I4936" s="160"/>
      <c r="J4936" s="161"/>
      <c r="K4936" s="160"/>
      <c r="L4936" s="160">
        <f>+'FACP$'!$H4936-'FACP$'!$I4936-'FACP$'!$K4936</f>
        <v>124648.3104</v>
      </c>
      <c r="M4936" s="162" t="s">
        <v>574</v>
      </c>
      <c r="N4936" s="162" t="s">
        <v>554</v>
      </c>
      <c r="O4936" s="164">
        <v>45449.0</v>
      </c>
      <c r="P4936" s="164">
        <f t="array" ref="P4936">XLOOKUP('FACP$'!$B4936,'perfil de pagos'!$A$4:$A$46,'perfil de pagos'!$B$4:$B$46+'FACP$'!$D4936)</f>
        <v>45456</v>
      </c>
      <c r="Q4936" s="165">
        <f t="shared" si="128"/>
        <v>0</v>
      </c>
      <c r="R4936" s="167"/>
      <c r="S4936" s="167">
        <v>3029.0</v>
      </c>
      <c r="T4936" s="168">
        <f t="shared" si="3"/>
        <v>124648.3104</v>
      </c>
      <c r="U4936" s="168">
        <f t="shared" si="4"/>
        <v>0</v>
      </c>
      <c r="V4936" s="168">
        <f t="shared" si="5"/>
        <v>0</v>
      </c>
      <c r="W4936" s="168">
        <f t="shared" si="6"/>
        <v>0</v>
      </c>
      <c r="X4936" s="168">
        <f t="shared" si="7"/>
        <v>0</v>
      </c>
      <c r="Y4936" s="168">
        <f t="shared" si="8"/>
        <v>0</v>
      </c>
      <c r="Z4936" s="168">
        <f t="shared" si="9"/>
        <v>0</v>
      </c>
    </row>
    <row r="4937" ht="15.0" customHeight="1">
      <c r="A4937" s="157" t="s">
        <v>6265</v>
      </c>
      <c r="B4937" s="158" t="s">
        <v>42</v>
      </c>
      <c r="C4937" s="158" t="s">
        <v>6261</v>
      </c>
      <c r="D4937" s="159">
        <v>45446.0</v>
      </c>
      <c r="E4937" s="157" t="s">
        <v>731</v>
      </c>
      <c r="F4937" s="160">
        <v>40312.0</v>
      </c>
      <c r="G4937" s="160">
        <f>'FACP$'!$F4937*0.16</f>
        <v>6449.92</v>
      </c>
      <c r="H4937" s="160">
        <f t="shared" si="124"/>
        <v>46761.92</v>
      </c>
      <c r="I4937" s="160"/>
      <c r="J4937" s="161"/>
      <c r="K4937" s="160"/>
      <c r="L4937" s="160">
        <f>+'FACP$'!$H4937-'FACP$'!$I4937-'FACP$'!$K4937</f>
        <v>46761.92</v>
      </c>
      <c r="M4937" s="162" t="s">
        <v>42</v>
      </c>
      <c r="N4937" s="162" t="s">
        <v>554</v>
      </c>
      <c r="O4937" s="164">
        <v>45463.0</v>
      </c>
      <c r="P4937" s="164">
        <f t="array" ref="P4937">XLOOKUP('FACP$'!$B4937,'perfil de pagos'!$A$4:$A$46,'perfil de pagos'!$B$4:$B$46+'FACP$'!$D4937)</f>
        <v>45456</v>
      </c>
      <c r="Q4937" s="165">
        <f t="shared" si="128"/>
        <v>0</v>
      </c>
      <c r="R4937" s="167"/>
      <c r="S4937" s="167">
        <v>3071.0</v>
      </c>
      <c r="T4937" s="168">
        <f t="shared" si="3"/>
        <v>46761.92</v>
      </c>
      <c r="U4937" s="168">
        <f t="shared" si="4"/>
        <v>0</v>
      </c>
      <c r="V4937" s="168">
        <f t="shared" si="5"/>
        <v>0</v>
      </c>
      <c r="W4937" s="168">
        <f t="shared" si="6"/>
        <v>0</v>
      </c>
      <c r="X4937" s="168">
        <f t="shared" si="7"/>
        <v>0</v>
      </c>
      <c r="Y4937" s="168">
        <f t="shared" si="8"/>
        <v>0</v>
      </c>
      <c r="Z4937" s="168">
        <f t="shared" si="9"/>
        <v>0</v>
      </c>
    </row>
    <row r="4938" ht="15.0" customHeight="1">
      <c r="A4938" s="157" t="s">
        <v>6266</v>
      </c>
      <c r="B4938" s="158" t="s">
        <v>43</v>
      </c>
      <c r="C4938" s="158" t="s">
        <v>6261</v>
      </c>
      <c r="D4938" s="159">
        <v>45446.0</v>
      </c>
      <c r="E4938" s="157" t="s">
        <v>731</v>
      </c>
      <c r="F4938" s="160">
        <v>265300.92</v>
      </c>
      <c r="G4938" s="160">
        <f>'FACP$'!$F4938*0.16</f>
        <v>42448.1472</v>
      </c>
      <c r="H4938" s="160">
        <f t="shared" si="124"/>
        <v>307749.0672</v>
      </c>
      <c r="I4938" s="160"/>
      <c r="J4938" s="161"/>
      <c r="K4938" s="160"/>
      <c r="L4938" s="160">
        <f>+'FACP$'!$H4938-'FACP$'!$I4938-'FACP$'!$K4938</f>
        <v>307749.0672</v>
      </c>
      <c r="M4938" s="162" t="s">
        <v>43</v>
      </c>
      <c r="N4938" s="162" t="s">
        <v>554</v>
      </c>
      <c r="O4938" s="164">
        <v>45471.0</v>
      </c>
      <c r="P4938" s="164">
        <f t="array" ref="P4938">XLOOKUP('FACP$'!$B4938,'perfil de pagos'!$A$4:$A$46,'perfil de pagos'!$B$4:$B$46+'FACP$'!$D4938)</f>
        <v>45471</v>
      </c>
      <c r="Q4938" s="165">
        <f t="shared" si="128"/>
        <v>0</v>
      </c>
      <c r="R4938" s="167"/>
      <c r="S4938" s="167">
        <v>3118.0</v>
      </c>
      <c r="T4938" s="168">
        <f t="shared" si="3"/>
        <v>307749.0672</v>
      </c>
      <c r="U4938" s="168">
        <f t="shared" si="4"/>
        <v>0</v>
      </c>
      <c r="V4938" s="168">
        <f t="shared" si="5"/>
        <v>0</v>
      </c>
      <c r="W4938" s="168">
        <f t="shared" si="6"/>
        <v>0</v>
      </c>
      <c r="X4938" s="168">
        <f t="shared" si="7"/>
        <v>0</v>
      </c>
      <c r="Y4938" s="168">
        <f t="shared" si="8"/>
        <v>0</v>
      </c>
      <c r="Z4938" s="168">
        <f t="shared" si="9"/>
        <v>0</v>
      </c>
    </row>
    <row r="4939" ht="15.0" customHeight="1">
      <c r="A4939" s="157" t="s">
        <v>6267</v>
      </c>
      <c r="B4939" s="158" t="s">
        <v>43</v>
      </c>
      <c r="C4939" s="158" t="s">
        <v>6264</v>
      </c>
      <c r="D4939" s="159">
        <v>45446.0</v>
      </c>
      <c r="E4939" s="157" t="s">
        <v>731</v>
      </c>
      <c r="F4939" s="160">
        <v>314952.88</v>
      </c>
      <c r="G4939" s="160">
        <f>'FACP$'!$F4939*0.16</f>
        <v>50392.4608</v>
      </c>
      <c r="H4939" s="160">
        <f t="shared" si="124"/>
        <v>365345.3408</v>
      </c>
      <c r="I4939" s="160"/>
      <c r="J4939" s="161"/>
      <c r="K4939" s="160"/>
      <c r="L4939" s="160">
        <f>+'FACP$'!$H4939-'FACP$'!$I4939-'FACP$'!$K4939</f>
        <v>365345.3408</v>
      </c>
      <c r="M4939" s="162" t="s">
        <v>43</v>
      </c>
      <c r="N4939" s="162" t="s">
        <v>554</v>
      </c>
      <c r="O4939" s="164">
        <v>45471.0</v>
      </c>
      <c r="P4939" s="164">
        <f t="array" ref="P4939">XLOOKUP('FACP$'!$B4939,'perfil de pagos'!$A$4:$A$46,'perfil de pagos'!$B$4:$B$46+'FACP$'!$D4939)</f>
        <v>45471</v>
      </c>
      <c r="Q4939" s="165">
        <f t="shared" si="128"/>
        <v>0</v>
      </c>
      <c r="R4939" s="167"/>
      <c r="S4939" s="167">
        <v>3117.0</v>
      </c>
      <c r="T4939" s="168">
        <f t="shared" si="3"/>
        <v>365345.3408</v>
      </c>
      <c r="U4939" s="168">
        <f t="shared" si="4"/>
        <v>0</v>
      </c>
      <c r="V4939" s="168">
        <f t="shared" si="5"/>
        <v>0</v>
      </c>
      <c r="W4939" s="168">
        <f t="shared" si="6"/>
        <v>0</v>
      </c>
      <c r="X4939" s="168">
        <f t="shared" si="7"/>
        <v>0</v>
      </c>
      <c r="Y4939" s="168">
        <f t="shared" si="8"/>
        <v>0</v>
      </c>
      <c r="Z4939" s="168">
        <f t="shared" si="9"/>
        <v>0</v>
      </c>
    </row>
    <row r="4940" ht="15.0" customHeight="1">
      <c r="A4940" s="157" t="s">
        <v>6268</v>
      </c>
      <c r="B4940" s="158" t="s">
        <v>44</v>
      </c>
      <c r="C4940" s="158" t="s">
        <v>6261</v>
      </c>
      <c r="D4940" s="159">
        <v>45446.0</v>
      </c>
      <c r="E4940" s="157" t="s">
        <v>731</v>
      </c>
      <c r="F4940" s="160">
        <v>36049.6</v>
      </c>
      <c r="G4940" s="160">
        <f>'FACP$'!$F4940*0.16</f>
        <v>5767.936</v>
      </c>
      <c r="H4940" s="160">
        <f t="shared" si="124"/>
        <v>41817.536</v>
      </c>
      <c r="I4940" s="160"/>
      <c r="J4940" s="161"/>
      <c r="K4940" s="160"/>
      <c r="L4940" s="160">
        <f>+'FACP$'!$H4940-'FACP$'!$I4940-'FACP$'!$K4940</f>
        <v>41817.536</v>
      </c>
      <c r="M4940" s="162" t="s">
        <v>361</v>
      </c>
      <c r="N4940" s="162" t="s">
        <v>554</v>
      </c>
      <c r="O4940" s="164">
        <v>45457.0</v>
      </c>
      <c r="P4940" s="164">
        <f t="array" ref="P4940">XLOOKUP('FACP$'!$B4940,'perfil de pagos'!$A$4:$A$46,'perfil de pagos'!$B$4:$B$46+'FACP$'!$D4940)</f>
        <v>45456</v>
      </c>
      <c r="Q4940" s="165">
        <f t="shared" si="128"/>
        <v>0</v>
      </c>
      <c r="R4940" s="167"/>
      <c r="S4940" s="167">
        <v>3055.0</v>
      </c>
      <c r="T4940" s="168">
        <f t="shared" si="3"/>
        <v>41817.536</v>
      </c>
      <c r="U4940" s="168">
        <f t="shared" si="4"/>
        <v>0</v>
      </c>
      <c r="V4940" s="168">
        <f t="shared" si="5"/>
        <v>0</v>
      </c>
      <c r="W4940" s="168">
        <f t="shared" si="6"/>
        <v>0</v>
      </c>
      <c r="X4940" s="168">
        <f t="shared" si="7"/>
        <v>0</v>
      </c>
      <c r="Y4940" s="168">
        <f t="shared" si="8"/>
        <v>0</v>
      </c>
      <c r="Z4940" s="168">
        <f t="shared" si="9"/>
        <v>0</v>
      </c>
    </row>
    <row r="4941" ht="15.0" customHeight="1">
      <c r="A4941" s="157" t="s">
        <v>6269</v>
      </c>
      <c r="B4941" s="158" t="s">
        <v>41</v>
      </c>
      <c r="C4941" s="158" t="s">
        <v>6261</v>
      </c>
      <c r="D4941" s="159">
        <v>45446.0</v>
      </c>
      <c r="E4941" s="157" t="s">
        <v>731</v>
      </c>
      <c r="F4941" s="160">
        <v>526189.35</v>
      </c>
      <c r="G4941" s="160">
        <f>'FACP$'!$F4941*0.16</f>
        <v>84190.296</v>
      </c>
      <c r="H4941" s="160">
        <f t="shared" si="124"/>
        <v>610379.646</v>
      </c>
      <c r="I4941" s="160"/>
      <c r="J4941" s="161"/>
      <c r="K4941" s="160"/>
      <c r="L4941" s="160">
        <f>+'FACP$'!$H4941-'FACP$'!$I4941-'FACP$'!$K4941</f>
        <v>610379.646</v>
      </c>
      <c r="M4941" s="162" t="s">
        <v>121</v>
      </c>
      <c r="N4941" s="162" t="s">
        <v>554</v>
      </c>
      <c r="O4941" s="164">
        <v>45498.0</v>
      </c>
      <c r="P4941" s="164">
        <f t="array" ref="P4941">XLOOKUP('FACP$'!$B4941,'perfil de pagos'!$A$4:$A$46,'perfil de pagos'!$B$4:$B$46+'FACP$'!$D4941)</f>
        <v>45456</v>
      </c>
      <c r="Q4941" s="165">
        <f t="shared" si="128"/>
        <v>0</v>
      </c>
      <c r="R4941" s="167"/>
      <c r="S4941" s="167">
        <v>3168.0</v>
      </c>
      <c r="T4941" s="168">
        <f t="shared" si="3"/>
        <v>610379.646</v>
      </c>
      <c r="U4941" s="168">
        <f t="shared" si="4"/>
        <v>0</v>
      </c>
      <c r="V4941" s="168">
        <f t="shared" si="5"/>
        <v>0</v>
      </c>
      <c r="W4941" s="168">
        <f t="shared" si="6"/>
        <v>0</v>
      </c>
      <c r="X4941" s="168">
        <f t="shared" si="7"/>
        <v>0</v>
      </c>
      <c r="Y4941" s="168">
        <f t="shared" si="8"/>
        <v>0</v>
      </c>
      <c r="Z4941" s="168">
        <f t="shared" si="9"/>
        <v>0</v>
      </c>
    </row>
    <row r="4942" ht="15.0" customHeight="1">
      <c r="A4942" s="157" t="s">
        <v>6270</v>
      </c>
      <c r="B4942" s="158" t="s">
        <v>27</v>
      </c>
      <c r="C4942" s="158" t="s">
        <v>6271</v>
      </c>
      <c r="D4942" s="159">
        <v>45446.0</v>
      </c>
      <c r="E4942" s="157" t="s">
        <v>731</v>
      </c>
      <c r="F4942" s="160">
        <v>46000.0</v>
      </c>
      <c r="G4942" s="160">
        <f>'FACP$'!$F4942*0.16</f>
        <v>7360</v>
      </c>
      <c r="H4942" s="160">
        <f t="shared" si="124"/>
        <v>53360</v>
      </c>
      <c r="I4942" s="160"/>
      <c r="J4942" s="161"/>
      <c r="K4942" s="160"/>
      <c r="L4942" s="160">
        <f>+'FACP$'!$H4942-'FACP$'!$I4942-'FACP$'!$K4942</f>
        <v>53360</v>
      </c>
      <c r="M4942" s="162" t="s">
        <v>5804</v>
      </c>
      <c r="N4942" s="162" t="s">
        <v>554</v>
      </c>
      <c r="O4942" s="164">
        <v>45457.0</v>
      </c>
      <c r="P4942" s="164">
        <f t="array" ref="P4942">XLOOKUP('FACP$'!$B4942,'perfil de pagos'!$A$4:$A$46,'perfil de pagos'!$B$4:$B$46+'FACP$'!$D4942)</f>
        <v>45476</v>
      </c>
      <c r="Q4942" s="165">
        <f t="shared" si="128"/>
        <v>0</v>
      </c>
      <c r="R4942" s="167"/>
      <c r="S4942" s="167"/>
      <c r="T4942" s="168">
        <f t="shared" si="3"/>
        <v>53360</v>
      </c>
      <c r="U4942" s="168">
        <f t="shared" si="4"/>
        <v>0</v>
      </c>
      <c r="V4942" s="168">
        <f t="shared" si="5"/>
        <v>0</v>
      </c>
      <c r="W4942" s="168">
        <f t="shared" si="6"/>
        <v>0</v>
      </c>
      <c r="X4942" s="168">
        <f t="shared" si="7"/>
        <v>0</v>
      </c>
      <c r="Y4942" s="168">
        <f t="shared" si="8"/>
        <v>0</v>
      </c>
      <c r="Z4942" s="168">
        <f t="shared" si="9"/>
        <v>0</v>
      </c>
    </row>
    <row r="4943" ht="15.0" customHeight="1">
      <c r="A4943" s="157" t="s">
        <v>6272</v>
      </c>
      <c r="B4943" s="158" t="s">
        <v>44</v>
      </c>
      <c r="C4943" s="158" t="s">
        <v>6273</v>
      </c>
      <c r="D4943" s="159">
        <v>45446.0</v>
      </c>
      <c r="E4943" s="157" t="s">
        <v>731</v>
      </c>
      <c r="F4943" s="160">
        <v>8961.61</v>
      </c>
      <c r="G4943" s="160">
        <f>'FACP$'!$F4943*0.16</f>
        <v>1433.8576</v>
      </c>
      <c r="H4943" s="160">
        <f t="shared" si="124"/>
        <v>10395.4676</v>
      </c>
      <c r="I4943" s="160"/>
      <c r="J4943" s="161"/>
      <c r="K4943" s="160"/>
      <c r="L4943" s="160">
        <f>+'FACP$'!$H4943-'FACP$'!$I4943-'FACP$'!$K4943</f>
        <v>10395.4676</v>
      </c>
      <c r="M4943" s="162" t="s">
        <v>361</v>
      </c>
      <c r="N4943" s="162" t="s">
        <v>554</v>
      </c>
      <c r="O4943" s="164">
        <v>45450.0</v>
      </c>
      <c r="P4943" s="164">
        <f t="array" ref="P4943">XLOOKUP('FACP$'!$B4943,'perfil de pagos'!$A$4:$A$46,'perfil de pagos'!$B$4:$B$46+'FACP$'!$D4943)</f>
        <v>45456</v>
      </c>
      <c r="Q4943" s="165">
        <f t="shared" si="128"/>
        <v>0</v>
      </c>
      <c r="R4943" s="167"/>
      <c r="S4943" s="167">
        <v>3095.0</v>
      </c>
      <c r="T4943" s="168">
        <f t="shared" si="3"/>
        <v>10395.4676</v>
      </c>
      <c r="U4943" s="168">
        <f t="shared" si="4"/>
        <v>0</v>
      </c>
      <c r="V4943" s="168">
        <f t="shared" si="5"/>
        <v>0</v>
      </c>
      <c r="W4943" s="168">
        <f t="shared" si="6"/>
        <v>0</v>
      </c>
      <c r="X4943" s="168">
        <f t="shared" si="7"/>
        <v>0</v>
      </c>
      <c r="Y4943" s="168">
        <f t="shared" si="8"/>
        <v>0</v>
      </c>
      <c r="Z4943" s="168">
        <f t="shared" si="9"/>
        <v>0</v>
      </c>
    </row>
    <row r="4944" ht="15.0" customHeight="1">
      <c r="A4944" s="157" t="s">
        <v>6274</v>
      </c>
      <c r="B4944" s="158" t="s">
        <v>38</v>
      </c>
      <c r="C4944" s="158" t="s">
        <v>6261</v>
      </c>
      <c r="D4944" s="159">
        <v>45446.0</v>
      </c>
      <c r="E4944" s="157" t="s">
        <v>731</v>
      </c>
      <c r="F4944" s="160">
        <v>116489.85</v>
      </c>
      <c r="G4944" s="160">
        <f>'FACP$'!$F4944*0.16</f>
        <v>18638.376</v>
      </c>
      <c r="H4944" s="160">
        <f t="shared" si="124"/>
        <v>135128.226</v>
      </c>
      <c r="I4944" s="160"/>
      <c r="J4944" s="161"/>
      <c r="K4944" s="160"/>
      <c r="L4944" s="160">
        <f>+'FACP$'!$H4944-'FACP$'!$I4944-'FACP$'!$K4944</f>
        <v>135128.226</v>
      </c>
      <c r="M4944" s="162" t="s">
        <v>4654</v>
      </c>
      <c r="N4944" s="162" t="s">
        <v>554</v>
      </c>
      <c r="O4944" s="164">
        <v>45490.0</v>
      </c>
      <c r="P4944" s="164">
        <f t="array" ref="P4944">XLOOKUP('FACP$'!$B4944,'perfil de pagos'!$A$4:$A$46,'perfil de pagos'!$B$4:$B$46+'FACP$'!$D4944)</f>
        <v>45476</v>
      </c>
      <c r="Q4944" s="165">
        <f t="shared" si="128"/>
        <v>0</v>
      </c>
      <c r="R4944" s="167"/>
      <c r="S4944" s="167">
        <v>3153.0</v>
      </c>
      <c r="T4944" s="168">
        <f t="shared" si="3"/>
        <v>135128.226</v>
      </c>
      <c r="U4944" s="168">
        <f t="shared" si="4"/>
        <v>0</v>
      </c>
      <c r="V4944" s="168">
        <f t="shared" si="5"/>
        <v>0</v>
      </c>
      <c r="W4944" s="168">
        <f t="shared" si="6"/>
        <v>0</v>
      </c>
      <c r="X4944" s="168">
        <f t="shared" si="7"/>
        <v>0</v>
      </c>
      <c r="Y4944" s="168">
        <f t="shared" si="8"/>
        <v>0</v>
      </c>
      <c r="Z4944" s="168">
        <f t="shared" si="9"/>
        <v>0</v>
      </c>
    </row>
    <row r="4945" ht="15.0" customHeight="1">
      <c r="A4945" s="157" t="s">
        <v>6275</v>
      </c>
      <c r="B4945" s="158" t="s">
        <v>38</v>
      </c>
      <c r="C4945" s="158" t="s">
        <v>6261</v>
      </c>
      <c r="D4945" s="159">
        <v>45446.0</v>
      </c>
      <c r="E4945" s="157" t="s">
        <v>731</v>
      </c>
      <c r="F4945" s="160">
        <v>62161.75</v>
      </c>
      <c r="G4945" s="160">
        <f>'FACP$'!$F4945*0.16</f>
        <v>9945.88</v>
      </c>
      <c r="H4945" s="160">
        <f t="shared" si="124"/>
        <v>72107.63</v>
      </c>
      <c r="I4945" s="160"/>
      <c r="J4945" s="161"/>
      <c r="K4945" s="160"/>
      <c r="L4945" s="160">
        <f>+'FACP$'!$H4945-'FACP$'!$I4945-'FACP$'!$K4945</f>
        <v>72107.63</v>
      </c>
      <c r="M4945" s="162" t="s">
        <v>4707</v>
      </c>
      <c r="N4945" s="162" t="s">
        <v>554</v>
      </c>
      <c r="O4945" s="164">
        <v>45490.0</v>
      </c>
      <c r="P4945" s="164">
        <f t="array" ref="P4945">XLOOKUP('FACP$'!$B4945,'perfil de pagos'!$A$4:$A$46,'perfil de pagos'!$B$4:$B$46+'FACP$'!$D4945)</f>
        <v>45476</v>
      </c>
      <c r="Q4945" s="165">
        <f t="shared" si="128"/>
        <v>0</v>
      </c>
      <c r="R4945" s="167"/>
      <c r="S4945" s="167">
        <v>3153.0</v>
      </c>
      <c r="T4945" s="168">
        <f t="shared" si="3"/>
        <v>72107.63</v>
      </c>
      <c r="U4945" s="168">
        <f t="shared" si="4"/>
        <v>0</v>
      </c>
      <c r="V4945" s="168">
        <f t="shared" si="5"/>
        <v>0</v>
      </c>
      <c r="W4945" s="168">
        <f t="shared" si="6"/>
        <v>0</v>
      </c>
      <c r="X4945" s="168">
        <f t="shared" si="7"/>
        <v>0</v>
      </c>
      <c r="Y4945" s="168">
        <f t="shared" si="8"/>
        <v>0</v>
      </c>
      <c r="Z4945" s="168">
        <f t="shared" si="9"/>
        <v>0</v>
      </c>
    </row>
    <row r="4946" ht="15.0" customHeight="1">
      <c r="A4946" s="157" t="s">
        <v>6276</v>
      </c>
      <c r="B4946" s="158" t="s">
        <v>38</v>
      </c>
      <c r="C4946" s="158" t="s">
        <v>6264</v>
      </c>
      <c r="D4946" s="159">
        <v>45446.0</v>
      </c>
      <c r="E4946" s="157" t="s">
        <v>731</v>
      </c>
      <c r="F4946" s="160">
        <v>105405.66</v>
      </c>
      <c r="G4946" s="160">
        <f>'FACP$'!$F4946*0.16</f>
        <v>16864.9056</v>
      </c>
      <c r="H4946" s="160">
        <f t="shared" si="124"/>
        <v>122270.5656</v>
      </c>
      <c r="I4946" s="160"/>
      <c r="J4946" s="161"/>
      <c r="K4946" s="160"/>
      <c r="L4946" s="160">
        <f>+'FACP$'!$H4946-'FACP$'!$I4946-'FACP$'!$K4946</f>
        <v>122270.5656</v>
      </c>
      <c r="M4946" s="162" t="s">
        <v>4707</v>
      </c>
      <c r="N4946" s="162" t="s">
        <v>554</v>
      </c>
      <c r="O4946" s="164">
        <v>45490.0</v>
      </c>
      <c r="P4946" s="164">
        <f t="array" ref="P4946">XLOOKUP('FACP$'!$B4946,'perfil de pagos'!$A$4:$A$46,'perfil de pagos'!$B$4:$B$46+'FACP$'!$D4946)</f>
        <v>45476</v>
      </c>
      <c r="Q4946" s="165">
        <f t="shared" si="128"/>
        <v>0</v>
      </c>
      <c r="R4946" s="167"/>
      <c r="S4946" s="167">
        <v>3153.0</v>
      </c>
      <c r="T4946" s="168">
        <f t="shared" si="3"/>
        <v>122270.5656</v>
      </c>
      <c r="U4946" s="168">
        <f t="shared" si="4"/>
        <v>0</v>
      </c>
      <c r="V4946" s="168">
        <f t="shared" si="5"/>
        <v>0</v>
      </c>
      <c r="W4946" s="168">
        <f t="shared" si="6"/>
        <v>0</v>
      </c>
      <c r="X4946" s="168">
        <f t="shared" si="7"/>
        <v>0</v>
      </c>
      <c r="Y4946" s="168">
        <f t="shared" si="8"/>
        <v>0</v>
      </c>
      <c r="Z4946" s="168">
        <f t="shared" si="9"/>
        <v>0</v>
      </c>
    </row>
    <row r="4947" ht="15.0" customHeight="1">
      <c r="A4947" s="157" t="s">
        <v>6277</v>
      </c>
      <c r="B4947" s="158" t="s">
        <v>48</v>
      </c>
      <c r="C4947" s="158" t="s">
        <v>6278</v>
      </c>
      <c r="D4947" s="159">
        <v>45446.0</v>
      </c>
      <c r="E4947" s="157" t="s">
        <v>731</v>
      </c>
      <c r="F4947" s="160">
        <v>330000.0</v>
      </c>
      <c r="G4947" s="160">
        <f>'FACP$'!$F4947*0.16</f>
        <v>52800</v>
      </c>
      <c r="H4947" s="160">
        <f t="shared" si="124"/>
        <v>382800</v>
      </c>
      <c r="I4947" s="160"/>
      <c r="J4947" s="161"/>
      <c r="K4947" s="160"/>
      <c r="L4947" s="160">
        <f>+'FACP$'!$H4947-'FACP$'!$I4947-'FACP$'!$K4947</f>
        <v>382800</v>
      </c>
      <c r="M4947" s="162" t="s">
        <v>6171</v>
      </c>
      <c r="N4947" s="162" t="s">
        <v>554</v>
      </c>
      <c r="O4947" s="164">
        <v>45463.0</v>
      </c>
      <c r="P4947" s="164">
        <f t="array" ref="P4947">XLOOKUP('FACP$'!$B4947,'perfil de pagos'!$A$4:$A$46,'perfil de pagos'!$B$4:$B$46+'FACP$'!$D4947)</f>
        <v>45451</v>
      </c>
      <c r="Q4947" s="165">
        <f t="shared" si="128"/>
        <v>0</v>
      </c>
      <c r="R4947" s="167"/>
      <c r="S4947" s="167">
        <v>3072.0</v>
      </c>
      <c r="T4947" s="168">
        <f t="shared" si="3"/>
        <v>382800</v>
      </c>
      <c r="U4947" s="168">
        <f t="shared" si="4"/>
        <v>0</v>
      </c>
      <c r="V4947" s="168">
        <f t="shared" si="5"/>
        <v>0</v>
      </c>
      <c r="W4947" s="168">
        <f t="shared" si="6"/>
        <v>0</v>
      </c>
      <c r="X4947" s="168">
        <f t="shared" si="7"/>
        <v>0</v>
      </c>
      <c r="Y4947" s="168">
        <f t="shared" si="8"/>
        <v>0</v>
      </c>
      <c r="Z4947" s="168">
        <f t="shared" si="9"/>
        <v>0</v>
      </c>
    </row>
    <row r="4948" ht="15.0" customHeight="1">
      <c r="A4948" s="157" t="s">
        <v>6279</v>
      </c>
      <c r="B4948" s="158" t="s">
        <v>27</v>
      </c>
      <c r="C4948" s="158" t="s">
        <v>6253</v>
      </c>
      <c r="D4948" s="159">
        <v>45446.0</v>
      </c>
      <c r="E4948" s="157" t="s">
        <v>731</v>
      </c>
      <c r="F4948" s="160">
        <v>7450.76</v>
      </c>
      <c r="G4948" s="160">
        <f>'FACP$'!$F4948*0.16</f>
        <v>1192.1216</v>
      </c>
      <c r="H4948" s="160">
        <f t="shared" si="124"/>
        <v>8642.8816</v>
      </c>
      <c r="I4948" s="160"/>
      <c r="J4948" s="161"/>
      <c r="K4948" s="160"/>
      <c r="L4948" s="160">
        <f>+'FACP$'!$H4948-'FACP$'!$I4948-'FACP$'!$K4948</f>
        <v>8642.8816</v>
      </c>
      <c r="M4948" s="162" t="s">
        <v>158</v>
      </c>
      <c r="N4948" s="162" t="s">
        <v>554</v>
      </c>
      <c r="O4948" s="164">
        <v>45495.0</v>
      </c>
      <c r="P4948" s="164">
        <f t="array" ref="P4948">XLOOKUP('FACP$'!$B4948,'perfil de pagos'!$A$4:$A$46,'perfil de pagos'!$B$4:$B$46+'FACP$'!$D4948)</f>
        <v>45476</v>
      </c>
      <c r="Q4948" s="165">
        <f t="shared" si="128"/>
        <v>0</v>
      </c>
      <c r="R4948" s="167"/>
      <c r="S4948" s="167">
        <v>3160.0</v>
      </c>
      <c r="T4948" s="168">
        <f t="shared" si="3"/>
        <v>8642.8816</v>
      </c>
      <c r="U4948" s="168">
        <f t="shared" si="4"/>
        <v>0</v>
      </c>
      <c r="V4948" s="168">
        <f t="shared" si="5"/>
        <v>0</v>
      </c>
      <c r="W4948" s="168">
        <f t="shared" si="6"/>
        <v>0</v>
      </c>
      <c r="X4948" s="168">
        <f t="shared" si="7"/>
        <v>0</v>
      </c>
      <c r="Y4948" s="168">
        <f t="shared" si="8"/>
        <v>0</v>
      </c>
      <c r="Z4948" s="168">
        <f t="shared" si="9"/>
        <v>0</v>
      </c>
    </row>
    <row r="4949" ht="15.0" customHeight="1">
      <c r="A4949" s="157" t="s">
        <v>6280</v>
      </c>
      <c r="B4949" s="158" t="s">
        <v>27</v>
      </c>
      <c r="C4949" s="158" t="s">
        <v>6255</v>
      </c>
      <c r="D4949" s="159">
        <v>45446.0</v>
      </c>
      <c r="E4949" s="157" t="s">
        <v>731</v>
      </c>
      <c r="F4949" s="160">
        <v>8110.72</v>
      </c>
      <c r="G4949" s="160">
        <f>'FACP$'!$F4949*0.16</f>
        <v>1297.7152</v>
      </c>
      <c r="H4949" s="160">
        <f t="shared" si="124"/>
        <v>9408.4352</v>
      </c>
      <c r="I4949" s="160"/>
      <c r="J4949" s="161"/>
      <c r="K4949" s="160"/>
      <c r="L4949" s="160">
        <f>+'FACP$'!$H4949-'FACP$'!$I4949-'FACP$'!$K4949</f>
        <v>9408.4352</v>
      </c>
      <c r="M4949" s="162" t="s">
        <v>158</v>
      </c>
      <c r="N4949" s="162" t="s">
        <v>554</v>
      </c>
      <c r="O4949" s="164">
        <v>45495.0</v>
      </c>
      <c r="P4949" s="164">
        <f t="array" ref="P4949">XLOOKUP('FACP$'!$B4949,'perfil de pagos'!$A$4:$A$46,'perfil de pagos'!$B$4:$B$46+'FACP$'!$D4949)</f>
        <v>45476</v>
      </c>
      <c r="Q4949" s="165">
        <f t="shared" si="128"/>
        <v>0</v>
      </c>
      <c r="R4949" s="167"/>
      <c r="S4949" s="167">
        <v>3160.0</v>
      </c>
      <c r="T4949" s="168">
        <f t="shared" si="3"/>
        <v>9408.4352</v>
      </c>
      <c r="U4949" s="168">
        <f t="shared" si="4"/>
        <v>0</v>
      </c>
      <c r="V4949" s="168">
        <f t="shared" si="5"/>
        <v>0</v>
      </c>
      <c r="W4949" s="168">
        <f t="shared" si="6"/>
        <v>0</v>
      </c>
      <c r="X4949" s="168">
        <f t="shared" si="7"/>
        <v>0</v>
      </c>
      <c r="Y4949" s="168">
        <f t="shared" si="8"/>
        <v>0</v>
      </c>
      <c r="Z4949" s="168">
        <f t="shared" si="9"/>
        <v>0</v>
      </c>
    </row>
    <row r="4950" ht="15.0" customHeight="1">
      <c r="A4950" s="157" t="s">
        <v>6281</v>
      </c>
      <c r="B4950" s="158" t="s">
        <v>27</v>
      </c>
      <c r="C4950" s="158" t="s">
        <v>6253</v>
      </c>
      <c r="D4950" s="159">
        <v>45446.0</v>
      </c>
      <c r="E4950" s="157" t="s">
        <v>731</v>
      </c>
      <c r="F4950" s="160">
        <v>15672.85</v>
      </c>
      <c r="G4950" s="160">
        <f>'FACP$'!$F4950*0.16</f>
        <v>2507.656</v>
      </c>
      <c r="H4950" s="160">
        <f t="shared" si="124"/>
        <v>18180.506</v>
      </c>
      <c r="I4950" s="160"/>
      <c r="J4950" s="161"/>
      <c r="K4950" s="160"/>
      <c r="L4950" s="160">
        <f>+'FACP$'!$H4950-'FACP$'!$I4950-'FACP$'!$K4950</f>
        <v>18180.506</v>
      </c>
      <c r="M4950" s="162" t="s">
        <v>151</v>
      </c>
      <c r="N4950" s="162" t="s">
        <v>554</v>
      </c>
      <c r="O4950" s="164">
        <v>45495.0</v>
      </c>
      <c r="P4950" s="164">
        <f t="array" ref="P4950">XLOOKUP('FACP$'!$B4950,'perfil de pagos'!$A$4:$A$46,'perfil de pagos'!$B$4:$B$46+'FACP$'!$D4950)</f>
        <v>45476</v>
      </c>
      <c r="Q4950" s="165">
        <f t="shared" si="128"/>
        <v>0</v>
      </c>
      <c r="R4950" s="167"/>
      <c r="S4950" s="167">
        <v>3159.0</v>
      </c>
      <c r="T4950" s="168">
        <f t="shared" si="3"/>
        <v>18180.506</v>
      </c>
      <c r="U4950" s="168">
        <f t="shared" si="4"/>
        <v>0</v>
      </c>
      <c r="V4950" s="168">
        <f t="shared" si="5"/>
        <v>0</v>
      </c>
      <c r="W4950" s="168">
        <f t="shared" si="6"/>
        <v>0</v>
      </c>
      <c r="X4950" s="168">
        <f t="shared" si="7"/>
        <v>0</v>
      </c>
      <c r="Y4950" s="168">
        <f t="shared" si="8"/>
        <v>0</v>
      </c>
      <c r="Z4950" s="168">
        <f t="shared" si="9"/>
        <v>0</v>
      </c>
    </row>
    <row r="4951" ht="15.0" customHeight="1">
      <c r="A4951" s="157" t="s">
        <v>6282</v>
      </c>
      <c r="B4951" s="158" t="s">
        <v>27</v>
      </c>
      <c r="C4951" s="158" t="s">
        <v>6255</v>
      </c>
      <c r="D4951" s="159">
        <v>45446.0</v>
      </c>
      <c r="E4951" s="157" t="s">
        <v>731</v>
      </c>
      <c r="F4951" s="160">
        <v>16782.07</v>
      </c>
      <c r="G4951" s="160">
        <f>'FACP$'!$F4951*0.16</f>
        <v>2685.1312</v>
      </c>
      <c r="H4951" s="160">
        <f t="shared" si="124"/>
        <v>19467.2012</v>
      </c>
      <c r="I4951" s="160"/>
      <c r="J4951" s="161"/>
      <c r="K4951" s="160"/>
      <c r="L4951" s="160">
        <f>+'FACP$'!$H4951-'FACP$'!$I4951-'FACP$'!$K4951</f>
        <v>19467.2012</v>
      </c>
      <c r="M4951" s="162" t="s">
        <v>151</v>
      </c>
      <c r="N4951" s="162" t="s">
        <v>554</v>
      </c>
      <c r="O4951" s="164">
        <v>45495.0</v>
      </c>
      <c r="P4951" s="164">
        <f t="array" ref="P4951">XLOOKUP('FACP$'!$B4951,'perfil de pagos'!$A$4:$A$46,'perfil de pagos'!$B$4:$B$46+'FACP$'!$D4951)</f>
        <v>45476</v>
      </c>
      <c r="Q4951" s="165">
        <f t="shared" si="128"/>
        <v>0</v>
      </c>
      <c r="R4951" s="167"/>
      <c r="S4951" s="167">
        <v>3159.0</v>
      </c>
      <c r="T4951" s="168">
        <f t="shared" si="3"/>
        <v>19467.2012</v>
      </c>
      <c r="U4951" s="168">
        <f t="shared" si="4"/>
        <v>0</v>
      </c>
      <c r="V4951" s="168">
        <f t="shared" si="5"/>
        <v>0</v>
      </c>
      <c r="W4951" s="168">
        <f t="shared" si="6"/>
        <v>0</v>
      </c>
      <c r="X4951" s="168">
        <f t="shared" si="7"/>
        <v>0</v>
      </c>
      <c r="Y4951" s="168">
        <f t="shared" si="8"/>
        <v>0</v>
      </c>
      <c r="Z4951" s="168">
        <f t="shared" si="9"/>
        <v>0</v>
      </c>
    </row>
    <row r="4952" ht="15.0" customHeight="1">
      <c r="A4952" s="157" t="s">
        <v>6283</v>
      </c>
      <c r="B4952" s="158" t="s">
        <v>27</v>
      </c>
      <c r="C4952" s="158" t="s">
        <v>6253</v>
      </c>
      <c r="D4952" s="159">
        <v>45446.0</v>
      </c>
      <c r="E4952" s="157" t="s">
        <v>731</v>
      </c>
      <c r="F4952" s="160">
        <v>639.66</v>
      </c>
      <c r="G4952" s="160">
        <f>'FACP$'!$F4952*0.16</f>
        <v>102.3456</v>
      </c>
      <c r="H4952" s="160">
        <f t="shared" si="124"/>
        <v>742.0056</v>
      </c>
      <c r="I4952" s="160"/>
      <c r="J4952" s="161"/>
      <c r="K4952" s="160"/>
      <c r="L4952" s="160">
        <f>+'FACP$'!$H4952-'FACP$'!$I4952-'FACP$'!$K4952</f>
        <v>742.0056</v>
      </c>
      <c r="M4952" s="162" t="s">
        <v>151</v>
      </c>
      <c r="N4952" s="162" t="s">
        <v>554</v>
      </c>
      <c r="O4952" s="164">
        <v>45495.0</v>
      </c>
      <c r="P4952" s="164">
        <f t="array" ref="P4952">XLOOKUP('FACP$'!$B4952,'perfil de pagos'!$A$4:$A$46,'perfil de pagos'!$B$4:$B$46+'FACP$'!$D4952)</f>
        <v>45476</v>
      </c>
      <c r="Q4952" s="165">
        <f t="shared" si="128"/>
        <v>0</v>
      </c>
      <c r="R4952" s="167"/>
      <c r="S4952" s="167">
        <v>3159.0</v>
      </c>
      <c r="T4952" s="168">
        <f t="shared" si="3"/>
        <v>742.0056</v>
      </c>
      <c r="U4952" s="168">
        <f t="shared" si="4"/>
        <v>0</v>
      </c>
      <c r="V4952" s="168">
        <f t="shared" si="5"/>
        <v>0</v>
      </c>
      <c r="W4952" s="168">
        <f t="shared" si="6"/>
        <v>0</v>
      </c>
      <c r="X4952" s="168">
        <f t="shared" si="7"/>
        <v>0</v>
      </c>
      <c r="Y4952" s="168">
        <f t="shared" si="8"/>
        <v>0</v>
      </c>
      <c r="Z4952" s="168">
        <f t="shared" si="9"/>
        <v>0</v>
      </c>
    </row>
    <row r="4953" ht="15.0" customHeight="1">
      <c r="A4953" s="157" t="s">
        <v>6284</v>
      </c>
      <c r="B4953" s="158" t="s">
        <v>27</v>
      </c>
      <c r="C4953" s="158" t="s">
        <v>6255</v>
      </c>
      <c r="D4953" s="159">
        <v>45446.0</v>
      </c>
      <c r="E4953" s="157" t="s">
        <v>731</v>
      </c>
      <c r="F4953" s="160">
        <v>855.19</v>
      </c>
      <c r="G4953" s="160">
        <f>'FACP$'!$F4953*0.16</f>
        <v>136.8304</v>
      </c>
      <c r="H4953" s="160">
        <f t="shared" si="124"/>
        <v>992.0204</v>
      </c>
      <c r="I4953" s="160"/>
      <c r="J4953" s="161"/>
      <c r="K4953" s="160"/>
      <c r="L4953" s="160">
        <f>+'FACP$'!$H4953-'FACP$'!$I4953-'FACP$'!$K4953</f>
        <v>992.0204</v>
      </c>
      <c r="M4953" s="162" t="s">
        <v>151</v>
      </c>
      <c r="N4953" s="162" t="s">
        <v>554</v>
      </c>
      <c r="O4953" s="164">
        <v>45495.0</v>
      </c>
      <c r="P4953" s="164">
        <f t="array" ref="P4953">XLOOKUP('FACP$'!$B4953,'perfil de pagos'!$A$4:$A$46,'perfil de pagos'!$B$4:$B$46+'FACP$'!$D4953)</f>
        <v>45476</v>
      </c>
      <c r="Q4953" s="165">
        <f t="shared" si="128"/>
        <v>0</v>
      </c>
      <c r="R4953" s="167"/>
      <c r="S4953" s="167">
        <v>3159.0</v>
      </c>
      <c r="T4953" s="168">
        <f t="shared" si="3"/>
        <v>992.0204</v>
      </c>
      <c r="U4953" s="168">
        <f t="shared" si="4"/>
        <v>0</v>
      </c>
      <c r="V4953" s="168">
        <f t="shared" si="5"/>
        <v>0</v>
      </c>
      <c r="W4953" s="168">
        <f t="shared" si="6"/>
        <v>0</v>
      </c>
      <c r="X4953" s="168">
        <f t="shared" si="7"/>
        <v>0</v>
      </c>
      <c r="Y4953" s="168">
        <f t="shared" si="8"/>
        <v>0</v>
      </c>
      <c r="Z4953" s="168">
        <f t="shared" si="9"/>
        <v>0</v>
      </c>
    </row>
    <row r="4954" ht="15.0" customHeight="1">
      <c r="A4954" s="157" t="s">
        <v>6285</v>
      </c>
      <c r="B4954" s="158" t="s">
        <v>16</v>
      </c>
      <c r="C4954" s="158" t="s">
        <v>6261</v>
      </c>
      <c r="D4954" s="159">
        <v>45449.0</v>
      </c>
      <c r="E4954" s="157" t="s">
        <v>731</v>
      </c>
      <c r="F4954" s="160">
        <v>296571.28</v>
      </c>
      <c r="G4954" s="160">
        <f>'FACP$'!$F4954*0.16</f>
        <v>47451.4048</v>
      </c>
      <c r="H4954" s="160">
        <f t="shared" si="124"/>
        <v>344022.6848</v>
      </c>
      <c r="I4954" s="160"/>
      <c r="J4954" s="161"/>
      <c r="K4954" s="160"/>
      <c r="L4954" s="160">
        <f>+'FACP$'!$H4954-'FACP$'!$I4954-'FACP$'!$K4954</f>
        <v>344022.6848</v>
      </c>
      <c r="M4954" s="162" t="s">
        <v>985</v>
      </c>
      <c r="N4954" s="162" t="s">
        <v>554</v>
      </c>
      <c r="O4954" s="164">
        <v>45467.0</v>
      </c>
      <c r="P4954" s="164">
        <f t="array" ref="P4954">XLOOKUP('FACP$'!$B4954,'perfil de pagos'!$A$4:$A$46,'perfil de pagos'!$B$4:$B$46+'FACP$'!$D4954)</f>
        <v>45459</v>
      </c>
      <c r="Q4954" s="165">
        <f t="shared" si="128"/>
        <v>0</v>
      </c>
      <c r="R4954" s="167"/>
      <c r="S4954" s="167"/>
      <c r="T4954" s="168">
        <f t="shared" si="3"/>
        <v>344022.6848</v>
      </c>
      <c r="U4954" s="168">
        <f t="shared" si="4"/>
        <v>0</v>
      </c>
      <c r="V4954" s="168">
        <f t="shared" si="5"/>
        <v>0</v>
      </c>
      <c r="W4954" s="168">
        <f t="shared" si="6"/>
        <v>0</v>
      </c>
      <c r="X4954" s="168">
        <f t="shared" si="7"/>
        <v>0</v>
      </c>
      <c r="Y4954" s="168">
        <f t="shared" si="8"/>
        <v>0</v>
      </c>
      <c r="Z4954" s="168">
        <f t="shared" si="9"/>
        <v>0</v>
      </c>
    </row>
    <row r="4955" ht="15.0" customHeight="1">
      <c r="A4955" s="157" t="s">
        <v>6286</v>
      </c>
      <c r="B4955" s="158" t="s">
        <v>16</v>
      </c>
      <c r="C4955" s="158" t="s">
        <v>6264</v>
      </c>
      <c r="D4955" s="159">
        <v>45449.0</v>
      </c>
      <c r="E4955" s="157" t="s">
        <v>731</v>
      </c>
      <c r="F4955" s="160">
        <v>460127.19</v>
      </c>
      <c r="G4955" s="160">
        <f>'FACP$'!$F4955*0.16</f>
        <v>73620.3504</v>
      </c>
      <c r="H4955" s="160">
        <f t="shared" si="124"/>
        <v>533747.5404</v>
      </c>
      <c r="I4955" s="160"/>
      <c r="J4955" s="161"/>
      <c r="K4955" s="160"/>
      <c r="L4955" s="160">
        <f>+'FACP$'!$H4955-'FACP$'!$I4955-'FACP$'!$K4955</f>
        <v>533747.5404</v>
      </c>
      <c r="M4955" s="162" t="s">
        <v>985</v>
      </c>
      <c r="N4955" s="162" t="s">
        <v>554</v>
      </c>
      <c r="O4955" s="164">
        <v>45467.0</v>
      </c>
      <c r="P4955" s="164">
        <f t="array" ref="P4955">XLOOKUP('FACP$'!$B4955,'perfil de pagos'!$A$4:$A$46,'perfil de pagos'!$B$4:$B$46+'FACP$'!$D4955)</f>
        <v>45459</v>
      </c>
      <c r="Q4955" s="165">
        <f t="shared" si="128"/>
        <v>0</v>
      </c>
      <c r="R4955" s="167"/>
      <c r="S4955" s="167"/>
      <c r="T4955" s="168">
        <f t="shared" si="3"/>
        <v>533747.5404</v>
      </c>
      <c r="U4955" s="168">
        <f t="shared" si="4"/>
        <v>0</v>
      </c>
      <c r="V4955" s="168">
        <f t="shared" si="5"/>
        <v>0</v>
      </c>
      <c r="W4955" s="168">
        <f t="shared" si="6"/>
        <v>0</v>
      </c>
      <c r="X4955" s="168">
        <f t="shared" si="7"/>
        <v>0</v>
      </c>
      <c r="Y4955" s="168">
        <f t="shared" si="8"/>
        <v>0</v>
      </c>
      <c r="Z4955" s="168">
        <f t="shared" si="9"/>
        <v>0</v>
      </c>
    </row>
    <row r="4956" ht="15.0" customHeight="1">
      <c r="A4956" s="157" t="s">
        <v>6287</v>
      </c>
      <c r="B4956" s="158" t="s">
        <v>18</v>
      </c>
      <c r="C4956" s="158" t="s">
        <v>6261</v>
      </c>
      <c r="D4956" s="159">
        <v>45449.0</v>
      </c>
      <c r="E4956" s="157" t="s">
        <v>731</v>
      </c>
      <c r="F4956" s="160">
        <v>78017.19</v>
      </c>
      <c r="G4956" s="160">
        <f>'FACP$'!$F4956*0.16</f>
        <v>12482.7504</v>
      </c>
      <c r="H4956" s="160">
        <f t="shared" si="124"/>
        <v>90499.9404</v>
      </c>
      <c r="I4956" s="160"/>
      <c r="J4956" s="161"/>
      <c r="K4956" s="160"/>
      <c r="L4956" s="160">
        <f>+'FACP$'!$H4956-'FACP$'!$I4956-'FACP$'!$K4956</f>
        <v>90499.9404</v>
      </c>
      <c r="M4956" s="162" t="s">
        <v>586</v>
      </c>
      <c r="N4956" s="162" t="s">
        <v>554</v>
      </c>
      <c r="O4956" s="164">
        <v>45502.0</v>
      </c>
      <c r="P4956" s="164">
        <f t="array" ref="P4956">XLOOKUP('FACP$'!$B4956,'perfil de pagos'!$A$4:$A$46,'perfil de pagos'!$B$4:$B$46+'FACP$'!$D4956)</f>
        <v>45459</v>
      </c>
      <c r="Q4956" s="165">
        <f t="shared" si="128"/>
        <v>0</v>
      </c>
      <c r="R4956" s="167"/>
      <c r="S4956" s="167">
        <v>3177.0</v>
      </c>
      <c r="T4956" s="168">
        <f t="shared" si="3"/>
        <v>90499.9404</v>
      </c>
      <c r="U4956" s="168">
        <f t="shared" si="4"/>
        <v>0</v>
      </c>
      <c r="V4956" s="168">
        <f t="shared" si="5"/>
        <v>0</v>
      </c>
      <c r="W4956" s="168">
        <f t="shared" si="6"/>
        <v>0</v>
      </c>
      <c r="X4956" s="168">
        <f t="shared" si="7"/>
        <v>0</v>
      </c>
      <c r="Y4956" s="168">
        <f t="shared" si="8"/>
        <v>0</v>
      </c>
      <c r="Z4956" s="168">
        <f t="shared" si="9"/>
        <v>0</v>
      </c>
    </row>
    <row r="4957" ht="15.0" customHeight="1">
      <c r="A4957" s="157" t="s">
        <v>6288</v>
      </c>
      <c r="B4957" s="158" t="s">
        <v>19</v>
      </c>
      <c r="C4957" s="158" t="s">
        <v>6261</v>
      </c>
      <c r="D4957" s="159">
        <v>45449.0</v>
      </c>
      <c r="E4957" s="157" t="s">
        <v>731</v>
      </c>
      <c r="F4957" s="160">
        <v>194136.6</v>
      </c>
      <c r="G4957" s="160">
        <f>'FACP$'!$F4957*0.16</f>
        <v>31061.856</v>
      </c>
      <c r="H4957" s="160">
        <f t="shared" si="124"/>
        <v>225198.456</v>
      </c>
      <c r="I4957" s="160"/>
      <c r="J4957" s="161"/>
      <c r="K4957" s="160"/>
      <c r="L4957" s="160">
        <f>+'FACP$'!$H4957-'FACP$'!$I4957-'FACP$'!$K4957</f>
        <v>225198.456</v>
      </c>
      <c r="M4957" s="162" t="s">
        <v>732</v>
      </c>
      <c r="N4957" s="162" t="s">
        <v>554</v>
      </c>
      <c r="O4957" s="164">
        <v>45502.0</v>
      </c>
      <c r="P4957" s="164">
        <f t="array" ref="P4957">XLOOKUP('FACP$'!$B4957,'perfil de pagos'!$A$4:$A$46,'perfil de pagos'!$B$4:$B$46+'FACP$'!$D4957)</f>
        <v>45459</v>
      </c>
      <c r="Q4957" s="165">
        <f t="shared" si="128"/>
        <v>0</v>
      </c>
      <c r="R4957" s="167"/>
      <c r="S4957" s="167">
        <v>3177.0</v>
      </c>
      <c r="T4957" s="168">
        <f t="shared" si="3"/>
        <v>225198.456</v>
      </c>
      <c r="U4957" s="168">
        <f t="shared" si="4"/>
        <v>0</v>
      </c>
      <c r="V4957" s="168">
        <f t="shared" si="5"/>
        <v>0</v>
      </c>
      <c r="W4957" s="168">
        <f t="shared" si="6"/>
        <v>0</v>
      </c>
      <c r="X4957" s="168">
        <f t="shared" si="7"/>
        <v>0</v>
      </c>
      <c r="Y4957" s="168">
        <f t="shared" si="8"/>
        <v>0</v>
      </c>
      <c r="Z4957" s="168">
        <f t="shared" si="9"/>
        <v>0</v>
      </c>
    </row>
    <row r="4958" ht="15.0" customHeight="1">
      <c r="A4958" s="157" t="s">
        <v>6289</v>
      </c>
      <c r="B4958" s="158" t="s">
        <v>22</v>
      </c>
      <c r="C4958" s="158" t="s">
        <v>6261</v>
      </c>
      <c r="D4958" s="159">
        <v>45449.0</v>
      </c>
      <c r="E4958" s="157" t="s">
        <v>731</v>
      </c>
      <c r="F4958" s="160">
        <v>308639.34</v>
      </c>
      <c r="G4958" s="160">
        <f>'FACP$'!$F4958*0.16</f>
        <v>49382.2944</v>
      </c>
      <c r="H4958" s="160">
        <f t="shared" si="124"/>
        <v>358021.6344</v>
      </c>
      <c r="I4958" s="160">
        <v>193799.36</v>
      </c>
      <c r="J4958" s="161"/>
      <c r="K4958" s="160"/>
      <c r="L4958" s="160">
        <f>+'FACP$'!$H4958-'FACP$'!$I4958-'FACP$'!$K4958</f>
        <v>164222.2744</v>
      </c>
      <c r="M4958" s="162" t="s">
        <v>220</v>
      </c>
      <c r="N4958" s="162" t="s">
        <v>554</v>
      </c>
      <c r="O4958" s="164">
        <v>45496.0</v>
      </c>
      <c r="P4958" s="164">
        <f t="array" ref="P4958">XLOOKUP('FACP$'!$B4958,'perfil de pagos'!$A$4:$A$46,'perfil de pagos'!$B$4:$B$46+'FACP$'!$D4958)</f>
        <v>45459</v>
      </c>
      <c r="Q4958" s="165">
        <f t="shared" si="128"/>
        <v>0</v>
      </c>
      <c r="R4958" s="220" t="s">
        <v>6290</v>
      </c>
      <c r="S4958" s="167" t="s">
        <v>6291</v>
      </c>
      <c r="T4958" s="168">
        <f t="shared" si="3"/>
        <v>164222.2744</v>
      </c>
      <c r="U4958" s="168">
        <f t="shared" si="4"/>
        <v>0</v>
      </c>
      <c r="V4958" s="168">
        <f t="shared" si="5"/>
        <v>0</v>
      </c>
      <c r="W4958" s="168">
        <f t="shared" si="6"/>
        <v>0</v>
      </c>
      <c r="X4958" s="168">
        <f t="shared" si="7"/>
        <v>0</v>
      </c>
      <c r="Y4958" s="168">
        <f t="shared" si="8"/>
        <v>0</v>
      </c>
      <c r="Z4958" s="168">
        <f t="shared" si="9"/>
        <v>0</v>
      </c>
    </row>
    <row r="4959" ht="15.0" customHeight="1">
      <c r="A4959" s="157" t="s">
        <v>6292</v>
      </c>
      <c r="B4959" s="158" t="s">
        <v>25</v>
      </c>
      <c r="C4959" s="158" t="s">
        <v>6261</v>
      </c>
      <c r="D4959" s="159">
        <v>45449.0</v>
      </c>
      <c r="E4959" s="157" t="s">
        <v>731</v>
      </c>
      <c r="F4959" s="160">
        <v>52190.05</v>
      </c>
      <c r="G4959" s="160">
        <f>'FACP$'!$F4959*0.16</f>
        <v>8350.408</v>
      </c>
      <c r="H4959" s="160">
        <f t="shared" si="124"/>
        <v>60540.458</v>
      </c>
      <c r="I4959" s="160"/>
      <c r="J4959" s="161"/>
      <c r="K4959" s="160"/>
      <c r="L4959" s="160">
        <f>+'FACP$'!$H4959-'FACP$'!$I4959-'FACP$'!$K4959</f>
        <v>60540.458</v>
      </c>
      <c r="M4959" s="162" t="s">
        <v>4388</v>
      </c>
      <c r="N4959" s="162" t="s">
        <v>554</v>
      </c>
      <c r="O4959" s="164">
        <v>45469.0</v>
      </c>
      <c r="P4959" s="164">
        <f t="array" ref="P4959">XLOOKUP('FACP$'!$B4959,'perfil de pagos'!$A$4:$A$46,'perfil de pagos'!$B$4:$B$46+'FACP$'!$D4959)</f>
        <v>45459</v>
      </c>
      <c r="Q4959" s="165">
        <f t="shared" si="128"/>
        <v>0</v>
      </c>
      <c r="R4959" s="167"/>
      <c r="S4959" s="167">
        <v>3107.0</v>
      </c>
      <c r="T4959" s="168">
        <f t="shared" si="3"/>
        <v>60540.458</v>
      </c>
      <c r="U4959" s="168">
        <f t="shared" si="4"/>
        <v>0</v>
      </c>
      <c r="V4959" s="168">
        <f t="shared" si="5"/>
        <v>0</v>
      </c>
      <c r="W4959" s="168">
        <f t="shared" si="6"/>
        <v>0</v>
      </c>
      <c r="X4959" s="168">
        <f t="shared" si="7"/>
        <v>0</v>
      </c>
      <c r="Y4959" s="168">
        <f t="shared" si="8"/>
        <v>0</v>
      </c>
      <c r="Z4959" s="168">
        <f t="shared" si="9"/>
        <v>0</v>
      </c>
    </row>
    <row r="4960" ht="15.0" customHeight="1">
      <c r="A4960" s="157" t="s">
        <v>6293</v>
      </c>
      <c r="B4960" s="158" t="s">
        <v>37</v>
      </c>
      <c r="C4960" s="158" t="s">
        <v>6261</v>
      </c>
      <c r="D4960" s="159">
        <v>45449.0</v>
      </c>
      <c r="E4960" s="157" t="s">
        <v>731</v>
      </c>
      <c r="F4960" s="160">
        <v>1524949.21</v>
      </c>
      <c r="G4960" s="160">
        <f>'FACP$'!$F4960*0.16</f>
        <v>243991.8736</v>
      </c>
      <c r="H4960" s="160">
        <f t="shared" si="124"/>
        <v>1768941.084</v>
      </c>
      <c r="I4960" s="160"/>
      <c r="J4960" s="161"/>
      <c r="K4960" s="160"/>
      <c r="L4960" s="160">
        <f>+'FACP$'!$H4960-'FACP$'!$I4960-'FACP$'!$K4960</f>
        <v>1768941.084</v>
      </c>
      <c r="M4960" s="162" t="s">
        <v>116</v>
      </c>
      <c r="N4960" s="162" t="s">
        <v>554</v>
      </c>
      <c r="O4960" s="164">
        <v>45460.0</v>
      </c>
      <c r="P4960" s="164">
        <f t="array" ref="P4960">XLOOKUP('FACP$'!$B4960,'perfil de pagos'!$A$4:$A$46,'perfil de pagos'!$B$4:$B$46+'FACP$'!$D4960)</f>
        <v>45459</v>
      </c>
      <c r="Q4960" s="165">
        <f t="shared" si="128"/>
        <v>0</v>
      </c>
      <c r="R4960" s="167"/>
      <c r="S4960" s="167"/>
      <c r="T4960" s="168">
        <f t="shared" si="3"/>
        <v>1768941.084</v>
      </c>
      <c r="U4960" s="168">
        <f t="shared" si="4"/>
        <v>0</v>
      </c>
      <c r="V4960" s="168">
        <f t="shared" si="5"/>
        <v>0</v>
      </c>
      <c r="W4960" s="168">
        <f t="shared" si="6"/>
        <v>0</v>
      </c>
      <c r="X4960" s="168">
        <f t="shared" si="7"/>
        <v>0</v>
      </c>
      <c r="Y4960" s="168">
        <f t="shared" si="8"/>
        <v>0</v>
      </c>
      <c r="Z4960" s="168">
        <f t="shared" si="9"/>
        <v>0</v>
      </c>
    </row>
    <row r="4961" ht="15.0" customHeight="1">
      <c r="A4961" s="157" t="s">
        <v>6294</v>
      </c>
      <c r="B4961" s="158" t="s">
        <v>29</v>
      </c>
      <c r="C4961" s="158" t="s">
        <v>6261</v>
      </c>
      <c r="D4961" s="159">
        <v>45449.0</v>
      </c>
      <c r="E4961" s="157" t="s">
        <v>731</v>
      </c>
      <c r="F4961" s="160">
        <v>243034.26</v>
      </c>
      <c r="G4961" s="160">
        <f>'FACP$'!$F4961*0.16</f>
        <v>38885.4816</v>
      </c>
      <c r="H4961" s="160">
        <f t="shared" si="124"/>
        <v>281919.7416</v>
      </c>
      <c r="I4961" s="160"/>
      <c r="J4961" s="161"/>
      <c r="K4961" s="160"/>
      <c r="L4961" s="160">
        <f>+'FACP$'!$H4961-'FACP$'!$I4961-'FACP$'!$K4961</f>
        <v>281919.7416</v>
      </c>
      <c r="M4961" s="162" t="s">
        <v>130</v>
      </c>
      <c r="N4961" s="162" t="s">
        <v>554</v>
      </c>
      <c r="O4961" s="164">
        <v>45463.0</v>
      </c>
      <c r="P4961" s="164">
        <f t="array" ref="P4961">XLOOKUP('FACP$'!$B4961,'perfil de pagos'!$A$4:$A$46,'perfil de pagos'!$B$4:$B$46+'FACP$'!$D4961)</f>
        <v>45459</v>
      </c>
      <c r="Q4961" s="165">
        <f t="shared" si="128"/>
        <v>0</v>
      </c>
      <c r="R4961" s="167"/>
      <c r="S4961" s="167">
        <v>3070.0</v>
      </c>
      <c r="T4961" s="168">
        <f t="shared" si="3"/>
        <v>281919.7416</v>
      </c>
      <c r="U4961" s="168">
        <f t="shared" si="4"/>
        <v>0</v>
      </c>
      <c r="V4961" s="168">
        <f t="shared" si="5"/>
        <v>0</v>
      </c>
      <c r="W4961" s="168">
        <f t="shared" si="6"/>
        <v>0</v>
      </c>
      <c r="X4961" s="168">
        <f t="shared" si="7"/>
        <v>0</v>
      </c>
      <c r="Y4961" s="168">
        <f t="shared" si="8"/>
        <v>0</v>
      </c>
      <c r="Z4961" s="168">
        <f t="shared" si="9"/>
        <v>0</v>
      </c>
    </row>
    <row r="4962" ht="15.0" customHeight="1">
      <c r="A4962" s="157" t="s">
        <v>6295</v>
      </c>
      <c r="B4962" s="158" t="s">
        <v>29</v>
      </c>
      <c r="C4962" s="158" t="s">
        <v>6255</v>
      </c>
      <c r="D4962" s="159">
        <v>45449.0</v>
      </c>
      <c r="E4962" s="157" t="s">
        <v>731</v>
      </c>
      <c r="F4962" s="160">
        <v>487255.81</v>
      </c>
      <c r="G4962" s="160">
        <f>'FACP$'!$F4962*0.16</f>
        <v>77960.9296</v>
      </c>
      <c r="H4962" s="160">
        <f t="shared" si="124"/>
        <v>565216.7396</v>
      </c>
      <c r="I4962" s="160"/>
      <c r="J4962" s="161"/>
      <c r="K4962" s="160"/>
      <c r="L4962" s="160">
        <f>+'FACP$'!$H4962-'FACP$'!$I4962-'FACP$'!$K4962</f>
        <v>565216.7396</v>
      </c>
      <c r="M4962" s="162" t="s">
        <v>130</v>
      </c>
      <c r="N4962" s="162" t="s">
        <v>554</v>
      </c>
      <c r="O4962" s="164">
        <v>45468.0</v>
      </c>
      <c r="P4962" s="164">
        <f t="array" ref="P4962">XLOOKUP('FACP$'!$B4962,'perfil de pagos'!$A$4:$A$46,'perfil de pagos'!$B$4:$B$46+'FACP$'!$D4962)</f>
        <v>45459</v>
      </c>
      <c r="Q4962" s="165">
        <f t="shared" si="128"/>
        <v>0</v>
      </c>
      <c r="R4962" s="167"/>
      <c r="S4962" s="167"/>
      <c r="T4962" s="168">
        <f t="shared" si="3"/>
        <v>565216.7396</v>
      </c>
      <c r="U4962" s="168">
        <f t="shared" si="4"/>
        <v>0</v>
      </c>
      <c r="V4962" s="168">
        <f t="shared" si="5"/>
        <v>0</v>
      </c>
      <c r="W4962" s="168">
        <f t="shared" si="6"/>
        <v>0</v>
      </c>
      <c r="X4962" s="168">
        <f t="shared" si="7"/>
        <v>0</v>
      </c>
      <c r="Y4962" s="168">
        <f t="shared" si="8"/>
        <v>0</v>
      </c>
      <c r="Z4962" s="168">
        <f t="shared" si="9"/>
        <v>0</v>
      </c>
    </row>
    <row r="4963" ht="15.0" customHeight="1">
      <c r="A4963" s="157" t="s">
        <v>6296</v>
      </c>
      <c r="B4963" s="158" t="s">
        <v>38</v>
      </c>
      <c r="C4963" s="158" t="s">
        <v>6261</v>
      </c>
      <c r="D4963" s="159">
        <v>45449.0</v>
      </c>
      <c r="E4963" s="157" t="s">
        <v>731</v>
      </c>
      <c r="F4963" s="160">
        <v>529932.89</v>
      </c>
      <c r="G4963" s="160">
        <f>'FACP$'!$F4963*0.16</f>
        <v>84789.2624</v>
      </c>
      <c r="H4963" s="160">
        <f t="shared" si="124"/>
        <v>614722.1524</v>
      </c>
      <c r="I4963" s="160"/>
      <c r="J4963" s="161"/>
      <c r="K4963" s="160"/>
      <c r="L4963" s="160">
        <f>+'FACP$'!$H4963-'FACP$'!$I4963-'FACP$'!$K4963</f>
        <v>614722.1524</v>
      </c>
      <c r="M4963" s="162" t="s">
        <v>145</v>
      </c>
      <c r="N4963" s="162" t="s">
        <v>554</v>
      </c>
      <c r="O4963" s="164">
        <v>45504.0</v>
      </c>
      <c r="P4963" s="164">
        <f t="array" ref="P4963">XLOOKUP('FACP$'!$B4963,'perfil de pagos'!$A$4:$A$46,'perfil de pagos'!$B$4:$B$46+'FACP$'!$D4963)</f>
        <v>45479</v>
      </c>
      <c r="Q4963" s="165">
        <f t="shared" si="128"/>
        <v>0</v>
      </c>
      <c r="R4963" s="167"/>
      <c r="S4963" s="167">
        <v>3183.0</v>
      </c>
      <c r="T4963" s="168">
        <f t="shared" si="3"/>
        <v>614722.1524</v>
      </c>
      <c r="U4963" s="168">
        <f t="shared" si="4"/>
        <v>0</v>
      </c>
      <c r="V4963" s="168">
        <f t="shared" si="5"/>
        <v>0</v>
      </c>
      <c r="W4963" s="168">
        <f t="shared" si="6"/>
        <v>0</v>
      </c>
      <c r="X4963" s="168">
        <f t="shared" si="7"/>
        <v>0</v>
      </c>
      <c r="Y4963" s="168">
        <f t="shared" si="8"/>
        <v>0</v>
      </c>
      <c r="Z4963" s="168">
        <f t="shared" si="9"/>
        <v>0</v>
      </c>
    </row>
    <row r="4964" ht="15.0" customHeight="1">
      <c r="A4964" s="157" t="s">
        <v>6297</v>
      </c>
      <c r="B4964" s="158" t="s">
        <v>38</v>
      </c>
      <c r="C4964" s="158" t="s">
        <v>6261</v>
      </c>
      <c r="D4964" s="159">
        <v>45449.0</v>
      </c>
      <c r="E4964" s="157" t="s">
        <v>731</v>
      </c>
      <c r="F4964" s="160">
        <v>328419.15</v>
      </c>
      <c r="G4964" s="160">
        <f>'FACP$'!$F4964*0.16</f>
        <v>52547.064</v>
      </c>
      <c r="H4964" s="160">
        <f t="shared" si="124"/>
        <v>380966.214</v>
      </c>
      <c r="I4964" s="160"/>
      <c r="J4964" s="161"/>
      <c r="K4964" s="160"/>
      <c r="L4964" s="160">
        <f>+'FACP$'!$H4964-'FACP$'!$I4964-'FACP$'!$K4964</f>
        <v>380966.214</v>
      </c>
      <c r="M4964" s="162" t="s">
        <v>642</v>
      </c>
      <c r="N4964" s="162" t="s">
        <v>554</v>
      </c>
      <c r="O4964" s="164">
        <v>45511.0</v>
      </c>
      <c r="P4964" s="164">
        <f t="array" ref="P4964">XLOOKUP('FACP$'!$B4964,'perfil de pagos'!$A$4:$A$46,'perfil de pagos'!$B$4:$B$46+'FACP$'!$D4964)</f>
        <v>45479</v>
      </c>
      <c r="Q4964" s="165">
        <f t="shared" si="128"/>
        <v>0</v>
      </c>
      <c r="R4964" s="167"/>
      <c r="S4964" s="167">
        <v>3188.0</v>
      </c>
      <c r="T4964" s="168">
        <f t="shared" si="3"/>
        <v>380966.214</v>
      </c>
      <c r="U4964" s="168">
        <f t="shared" si="4"/>
        <v>0</v>
      </c>
      <c r="V4964" s="168">
        <f t="shared" si="5"/>
        <v>0</v>
      </c>
      <c r="W4964" s="168">
        <f t="shared" si="6"/>
        <v>0</v>
      </c>
      <c r="X4964" s="168">
        <f t="shared" si="7"/>
        <v>0</v>
      </c>
      <c r="Y4964" s="168">
        <f t="shared" si="8"/>
        <v>0</v>
      </c>
      <c r="Z4964" s="168">
        <f t="shared" si="9"/>
        <v>0</v>
      </c>
    </row>
    <row r="4965" ht="15.0" customHeight="1">
      <c r="A4965" s="157" t="s">
        <v>6298</v>
      </c>
      <c r="B4965" s="158" t="s">
        <v>40</v>
      </c>
      <c r="C4965" s="158" t="s">
        <v>6299</v>
      </c>
      <c r="D4965" s="159">
        <v>45454.0</v>
      </c>
      <c r="E4965" s="157" t="s">
        <v>731</v>
      </c>
      <c r="F4965" s="160">
        <v>264326.86</v>
      </c>
      <c r="G4965" s="160">
        <f>'FACP$'!$F4965*0.16</f>
        <v>42292.2976</v>
      </c>
      <c r="H4965" s="160">
        <f t="shared" si="124"/>
        <v>306619.1576</v>
      </c>
      <c r="I4965" s="160"/>
      <c r="J4965" s="161"/>
      <c r="K4965" s="160"/>
      <c r="L4965" s="160">
        <f>+'FACP$'!$H4965-'FACP$'!$I4965-'FACP$'!$K4965</f>
        <v>306619.1576</v>
      </c>
      <c r="M4965" s="162" t="s">
        <v>490</v>
      </c>
      <c r="N4965" s="162" t="s">
        <v>554</v>
      </c>
      <c r="O4965" s="164">
        <v>45495.0</v>
      </c>
      <c r="P4965" s="164">
        <f t="array" ref="P4965">XLOOKUP('FACP$'!$B4965,'perfil de pagos'!$A$4:$A$46,'perfil de pagos'!$B$4:$B$46+'FACP$'!$D4965)</f>
        <v>45484</v>
      </c>
      <c r="Q4965" s="165">
        <f t="shared" si="128"/>
        <v>0</v>
      </c>
      <c r="R4965" s="167"/>
      <c r="S4965" s="167">
        <v>3167.0</v>
      </c>
      <c r="T4965" s="168">
        <f t="shared" si="3"/>
        <v>306619.1576</v>
      </c>
      <c r="U4965" s="168">
        <f t="shared" si="4"/>
        <v>0</v>
      </c>
      <c r="V4965" s="168">
        <f t="shared" si="5"/>
        <v>0</v>
      </c>
      <c r="W4965" s="168">
        <f t="shared" si="6"/>
        <v>0</v>
      </c>
      <c r="X4965" s="168">
        <f t="shared" si="7"/>
        <v>0</v>
      </c>
      <c r="Y4965" s="168">
        <f t="shared" si="8"/>
        <v>0</v>
      </c>
      <c r="Z4965" s="168">
        <f t="shared" si="9"/>
        <v>0</v>
      </c>
    </row>
    <row r="4966" ht="15.0" customHeight="1">
      <c r="A4966" s="157" t="s">
        <v>6300</v>
      </c>
      <c r="B4966" s="158" t="s">
        <v>40</v>
      </c>
      <c r="C4966" s="158" t="s">
        <v>6261</v>
      </c>
      <c r="D4966" s="159">
        <v>45454.0</v>
      </c>
      <c r="E4966" s="157" t="s">
        <v>731</v>
      </c>
      <c r="F4966" s="160">
        <v>192679.16</v>
      </c>
      <c r="G4966" s="160">
        <f>'FACP$'!$F4966*0.16</f>
        <v>30828.6656</v>
      </c>
      <c r="H4966" s="160">
        <f t="shared" si="124"/>
        <v>223507.8256</v>
      </c>
      <c r="I4966" s="160"/>
      <c r="J4966" s="161"/>
      <c r="K4966" s="160"/>
      <c r="L4966" s="160">
        <f>+'FACP$'!$H4966-'FACP$'!$I4966-'FACP$'!$K4966</f>
        <v>223507.8256</v>
      </c>
      <c r="M4966" s="162" t="s">
        <v>490</v>
      </c>
      <c r="N4966" s="162" t="s">
        <v>554</v>
      </c>
      <c r="O4966" s="164">
        <v>45495.0</v>
      </c>
      <c r="P4966" s="164">
        <f t="array" ref="P4966">XLOOKUP('FACP$'!$B4966,'perfil de pagos'!$A$4:$A$46,'perfil de pagos'!$B$4:$B$46+'FACP$'!$D4966)</f>
        <v>45484</v>
      </c>
      <c r="Q4966" s="165">
        <f t="shared" si="128"/>
        <v>0</v>
      </c>
      <c r="R4966" s="167"/>
      <c r="S4966" s="167">
        <v>3167.0</v>
      </c>
      <c r="T4966" s="168">
        <f t="shared" si="3"/>
        <v>223507.8256</v>
      </c>
      <c r="U4966" s="168">
        <f t="shared" si="4"/>
        <v>0</v>
      </c>
      <c r="V4966" s="168">
        <f t="shared" si="5"/>
        <v>0</v>
      </c>
      <c r="W4966" s="168">
        <f t="shared" si="6"/>
        <v>0</v>
      </c>
      <c r="X4966" s="168">
        <f t="shared" si="7"/>
        <v>0</v>
      </c>
      <c r="Y4966" s="168">
        <f t="shared" si="8"/>
        <v>0</v>
      </c>
      <c r="Z4966" s="168">
        <f t="shared" si="9"/>
        <v>0</v>
      </c>
    </row>
    <row r="4967" ht="15.0" customHeight="1">
      <c r="A4967" s="157" t="s">
        <v>6301</v>
      </c>
      <c r="B4967" s="158" t="s">
        <v>40</v>
      </c>
      <c r="C4967" s="158" t="s">
        <v>6264</v>
      </c>
      <c r="D4967" s="159">
        <v>45454.0</v>
      </c>
      <c r="E4967" s="157" t="s">
        <v>731</v>
      </c>
      <c r="F4967" s="160">
        <v>161879.18</v>
      </c>
      <c r="G4967" s="160">
        <f>'FACP$'!$F4967*0.16</f>
        <v>25900.6688</v>
      </c>
      <c r="H4967" s="160">
        <f t="shared" si="124"/>
        <v>187779.8488</v>
      </c>
      <c r="I4967" s="160">
        <v>134530.17</v>
      </c>
      <c r="J4967" s="161"/>
      <c r="K4967" s="160"/>
      <c r="L4967" s="211">
        <f>+'FACP$'!$H4967-'FACP$'!$I4967-'FACP$'!$K4967</f>
        <v>53249.6788</v>
      </c>
      <c r="M4967" s="162" t="s">
        <v>490</v>
      </c>
      <c r="N4967" s="162" t="s">
        <v>554</v>
      </c>
      <c r="O4967" s="164">
        <v>45534.0</v>
      </c>
      <c r="P4967" s="164">
        <f t="array" ref="P4967">XLOOKUP('FACP$'!$B4967,'perfil de pagos'!$A$4:$A$46,'perfil de pagos'!$B$4:$B$46+'FACP$'!$D4967)</f>
        <v>45484</v>
      </c>
      <c r="Q4967" s="165">
        <f t="shared" si="128"/>
        <v>0</v>
      </c>
      <c r="R4967" s="220" t="s">
        <v>6302</v>
      </c>
      <c r="S4967" s="220" t="s">
        <v>6303</v>
      </c>
      <c r="T4967" s="168">
        <f t="shared" si="3"/>
        <v>53249.6788</v>
      </c>
      <c r="U4967" s="168">
        <f t="shared" si="4"/>
        <v>0</v>
      </c>
      <c r="V4967" s="168">
        <f t="shared" si="5"/>
        <v>0</v>
      </c>
      <c r="W4967" s="168">
        <f t="shared" si="6"/>
        <v>0</v>
      </c>
      <c r="X4967" s="168">
        <f t="shared" si="7"/>
        <v>0</v>
      </c>
      <c r="Y4967" s="168">
        <f t="shared" si="8"/>
        <v>0</v>
      </c>
      <c r="Z4967" s="168">
        <f t="shared" si="9"/>
        <v>0</v>
      </c>
    </row>
    <row r="4968" ht="15.0" customHeight="1">
      <c r="A4968" s="157" t="s">
        <v>6304</v>
      </c>
      <c r="B4968" s="158" t="s">
        <v>36</v>
      </c>
      <c r="C4968" s="158" t="s">
        <v>6305</v>
      </c>
      <c r="D4968" s="159">
        <v>45462.0</v>
      </c>
      <c r="E4968" s="157" t="s">
        <v>731</v>
      </c>
      <c r="F4968" s="160">
        <v>117759.19</v>
      </c>
      <c r="G4968" s="160">
        <f>'FACP$'!$F4968*0.16</f>
        <v>18841.4704</v>
      </c>
      <c r="H4968" s="160">
        <f t="shared" si="124"/>
        <v>136600.6604</v>
      </c>
      <c r="I4968" s="160"/>
      <c r="J4968" s="161"/>
      <c r="K4968" s="160"/>
      <c r="L4968" s="160">
        <f>+'FACP$'!$H4968-'FACP$'!$I4968-'FACP$'!$K4968</f>
        <v>136600.6604</v>
      </c>
      <c r="M4968" s="162" t="s">
        <v>574</v>
      </c>
      <c r="N4968" s="162" t="s">
        <v>554</v>
      </c>
      <c r="O4968" s="164">
        <v>45471.0</v>
      </c>
      <c r="P4968" s="164">
        <f t="array" ref="P4968">XLOOKUP('FACP$'!$B4968,'perfil de pagos'!$A$4:$A$46,'perfil de pagos'!$B$4:$B$46+'FACP$'!$D4968)</f>
        <v>45472</v>
      </c>
      <c r="Q4968" s="165">
        <f t="shared" si="128"/>
        <v>0</v>
      </c>
      <c r="R4968" s="167"/>
      <c r="S4968" s="167">
        <v>3120.0</v>
      </c>
      <c r="T4968" s="168">
        <f t="shared" si="3"/>
        <v>136600.6604</v>
      </c>
      <c r="U4968" s="168">
        <f t="shared" si="4"/>
        <v>0</v>
      </c>
      <c r="V4968" s="168">
        <f t="shared" si="5"/>
        <v>0</v>
      </c>
      <c r="W4968" s="168">
        <f t="shared" si="6"/>
        <v>0</v>
      </c>
      <c r="X4968" s="168">
        <f t="shared" si="7"/>
        <v>0</v>
      </c>
      <c r="Y4968" s="168">
        <f t="shared" si="8"/>
        <v>0</v>
      </c>
      <c r="Z4968" s="168">
        <f t="shared" si="9"/>
        <v>0</v>
      </c>
    </row>
    <row r="4969" ht="15.0" customHeight="1">
      <c r="A4969" s="157" t="s">
        <v>6306</v>
      </c>
      <c r="B4969" s="158" t="s">
        <v>36</v>
      </c>
      <c r="C4969" s="158" t="s">
        <v>6307</v>
      </c>
      <c r="D4969" s="159">
        <v>45462.0</v>
      </c>
      <c r="E4969" s="157" t="s">
        <v>731</v>
      </c>
      <c r="F4969" s="160">
        <v>84197.47</v>
      </c>
      <c r="G4969" s="160">
        <f>'FACP$'!$F4969*0.16</f>
        <v>13471.5952</v>
      </c>
      <c r="H4969" s="160">
        <f t="shared" si="124"/>
        <v>97669.0652</v>
      </c>
      <c r="I4969" s="160"/>
      <c r="J4969" s="161"/>
      <c r="K4969" s="160"/>
      <c r="L4969" s="160">
        <f>+'FACP$'!$H4969-'FACP$'!$I4969-'FACP$'!$K4969</f>
        <v>97669.0652</v>
      </c>
      <c r="M4969" s="162" t="s">
        <v>574</v>
      </c>
      <c r="N4969" s="162" t="s">
        <v>554</v>
      </c>
      <c r="O4969" s="164">
        <v>45471.0</v>
      </c>
      <c r="P4969" s="164">
        <f t="array" ref="P4969">XLOOKUP('FACP$'!$B4969,'perfil de pagos'!$A$4:$A$46,'perfil de pagos'!$B$4:$B$46+'FACP$'!$D4969)</f>
        <v>45472</v>
      </c>
      <c r="Q4969" s="165">
        <f t="shared" si="128"/>
        <v>0</v>
      </c>
      <c r="R4969" s="167"/>
      <c r="S4969" s="167">
        <v>3119.0</v>
      </c>
      <c r="T4969" s="168">
        <f t="shared" si="3"/>
        <v>97669.0652</v>
      </c>
      <c r="U4969" s="168">
        <f t="shared" si="4"/>
        <v>0</v>
      </c>
      <c r="V4969" s="168">
        <f t="shared" si="5"/>
        <v>0</v>
      </c>
      <c r="W4969" s="168">
        <f t="shared" si="6"/>
        <v>0</v>
      </c>
      <c r="X4969" s="168">
        <f t="shared" si="7"/>
        <v>0</v>
      </c>
      <c r="Y4969" s="168">
        <f t="shared" si="8"/>
        <v>0</v>
      </c>
      <c r="Z4969" s="168">
        <f t="shared" si="9"/>
        <v>0</v>
      </c>
    </row>
    <row r="4970" ht="15.0" customHeight="1">
      <c r="A4970" s="157" t="s">
        <v>6308</v>
      </c>
      <c r="B4970" s="158" t="s">
        <v>42</v>
      </c>
      <c r="C4970" s="158" t="s">
        <v>6305</v>
      </c>
      <c r="D4970" s="159">
        <v>45462.0</v>
      </c>
      <c r="E4970" s="157" t="s">
        <v>731</v>
      </c>
      <c r="F4970" s="160">
        <v>37213.51</v>
      </c>
      <c r="G4970" s="160">
        <f>'FACP$'!$F4970*0.16</f>
        <v>5954.1616</v>
      </c>
      <c r="H4970" s="160">
        <f t="shared" si="124"/>
        <v>43167.6716</v>
      </c>
      <c r="I4970" s="160"/>
      <c r="J4970" s="161"/>
      <c r="K4970" s="160"/>
      <c r="L4970" s="160">
        <f>+'FACP$'!$H4970-'FACP$'!$I4970-'FACP$'!$K4970</f>
        <v>43167.6716</v>
      </c>
      <c r="M4970" s="162" t="s">
        <v>42</v>
      </c>
      <c r="N4970" s="162" t="s">
        <v>554</v>
      </c>
      <c r="O4970" s="164">
        <v>45477.0</v>
      </c>
      <c r="P4970" s="164">
        <f t="array" ref="P4970">XLOOKUP('FACP$'!$B4970,'perfil de pagos'!$A$4:$A$46,'perfil de pagos'!$B$4:$B$46+'FACP$'!$D4970)</f>
        <v>45472</v>
      </c>
      <c r="Q4970" s="165">
        <f t="shared" si="128"/>
        <v>0</v>
      </c>
      <c r="R4970" s="167"/>
      <c r="S4970" s="167"/>
      <c r="T4970" s="168">
        <f t="shared" si="3"/>
        <v>43167.6716</v>
      </c>
      <c r="U4970" s="168">
        <f t="shared" si="4"/>
        <v>0</v>
      </c>
      <c r="V4970" s="168">
        <f t="shared" si="5"/>
        <v>0</v>
      </c>
      <c r="W4970" s="168">
        <f t="shared" si="6"/>
        <v>0</v>
      </c>
      <c r="X4970" s="168">
        <f t="shared" si="7"/>
        <v>0</v>
      </c>
      <c r="Y4970" s="168">
        <f t="shared" si="8"/>
        <v>0</v>
      </c>
      <c r="Z4970" s="168">
        <f t="shared" si="9"/>
        <v>0</v>
      </c>
    </row>
    <row r="4971" ht="15.0" customHeight="1">
      <c r="A4971" s="157" t="s">
        <v>6309</v>
      </c>
      <c r="B4971" s="158" t="s">
        <v>43</v>
      </c>
      <c r="C4971" s="158" t="s">
        <v>6305</v>
      </c>
      <c r="D4971" s="159">
        <v>45462.0</v>
      </c>
      <c r="E4971" s="157" t="s">
        <v>731</v>
      </c>
      <c r="F4971" s="160">
        <v>206367.75</v>
      </c>
      <c r="G4971" s="160">
        <f>'FACP$'!$F4971*0.16</f>
        <v>33018.84</v>
      </c>
      <c r="H4971" s="160">
        <f t="shared" si="124"/>
        <v>239386.59</v>
      </c>
      <c r="I4971" s="160"/>
      <c r="J4971" s="161"/>
      <c r="K4971" s="160"/>
      <c r="L4971" s="160">
        <f>+'FACP$'!$H4971-'FACP$'!$I4971-'FACP$'!$K4971</f>
        <v>239386.59</v>
      </c>
      <c r="M4971" s="162" t="s">
        <v>43</v>
      </c>
      <c r="N4971" s="162" t="s">
        <v>554</v>
      </c>
      <c r="O4971" s="164">
        <v>45520.0</v>
      </c>
      <c r="P4971" s="164">
        <f t="array" ref="P4971">XLOOKUP('FACP$'!$B4971,'perfil de pagos'!$A$4:$A$46,'perfil de pagos'!$B$4:$B$46+'FACP$'!$D4971)</f>
        <v>45487</v>
      </c>
      <c r="Q4971" s="165">
        <f t="shared" si="128"/>
        <v>0</v>
      </c>
      <c r="R4971" s="167"/>
      <c r="S4971" s="167">
        <v>3206.0</v>
      </c>
      <c r="T4971" s="168">
        <f t="shared" si="3"/>
        <v>239386.59</v>
      </c>
      <c r="U4971" s="168">
        <f t="shared" si="4"/>
        <v>0</v>
      </c>
      <c r="V4971" s="168">
        <f t="shared" si="5"/>
        <v>0</v>
      </c>
      <c r="W4971" s="168">
        <f t="shared" si="6"/>
        <v>0</v>
      </c>
      <c r="X4971" s="168">
        <f t="shared" si="7"/>
        <v>0</v>
      </c>
      <c r="Y4971" s="168">
        <f t="shared" si="8"/>
        <v>0</v>
      </c>
      <c r="Z4971" s="168">
        <f t="shared" si="9"/>
        <v>0</v>
      </c>
    </row>
    <row r="4972" ht="15.0" customHeight="1">
      <c r="A4972" s="157" t="s">
        <v>6310</v>
      </c>
      <c r="B4972" s="158" t="s">
        <v>43</v>
      </c>
      <c r="C4972" s="158" t="s">
        <v>6307</v>
      </c>
      <c r="D4972" s="159">
        <v>45462.0</v>
      </c>
      <c r="E4972" s="157" t="s">
        <v>731</v>
      </c>
      <c r="F4972" s="160">
        <v>235832.1</v>
      </c>
      <c r="G4972" s="160">
        <f>'FACP$'!$F4972*0.16</f>
        <v>37733.136</v>
      </c>
      <c r="H4972" s="160">
        <f t="shared" si="124"/>
        <v>273565.236</v>
      </c>
      <c r="I4972" s="160"/>
      <c r="J4972" s="161"/>
      <c r="K4972" s="160"/>
      <c r="L4972" s="160">
        <f>+'FACP$'!$H4972-'FACP$'!$I4972-'FACP$'!$K4972</f>
        <v>273565.236</v>
      </c>
      <c r="M4972" s="162" t="s">
        <v>43</v>
      </c>
      <c r="N4972" s="162" t="s">
        <v>554</v>
      </c>
      <c r="O4972" s="164">
        <v>45520.0</v>
      </c>
      <c r="P4972" s="164">
        <f t="array" ref="P4972">XLOOKUP('FACP$'!$B4972,'perfil de pagos'!$A$4:$A$46,'perfil de pagos'!$B$4:$B$46+'FACP$'!$D4972)</f>
        <v>45487</v>
      </c>
      <c r="Q4972" s="165">
        <f t="shared" si="128"/>
        <v>0</v>
      </c>
      <c r="R4972" s="167"/>
      <c r="S4972" s="167">
        <v>3205.0</v>
      </c>
      <c r="T4972" s="168">
        <f t="shared" si="3"/>
        <v>273565.236</v>
      </c>
      <c r="U4972" s="168">
        <f t="shared" si="4"/>
        <v>0</v>
      </c>
      <c r="V4972" s="168">
        <f t="shared" si="5"/>
        <v>0</v>
      </c>
      <c r="W4972" s="168">
        <f t="shared" si="6"/>
        <v>0</v>
      </c>
      <c r="X4972" s="168">
        <f t="shared" si="7"/>
        <v>0</v>
      </c>
      <c r="Y4972" s="168">
        <f t="shared" si="8"/>
        <v>0</v>
      </c>
      <c r="Z4972" s="168">
        <f t="shared" si="9"/>
        <v>0</v>
      </c>
    </row>
    <row r="4973" ht="15.0" customHeight="1">
      <c r="A4973" s="157" t="s">
        <v>6311</v>
      </c>
      <c r="B4973" s="158" t="s">
        <v>44</v>
      </c>
      <c r="C4973" s="158" t="s">
        <v>6305</v>
      </c>
      <c r="D4973" s="159">
        <v>45462.0</v>
      </c>
      <c r="E4973" s="157" t="s">
        <v>731</v>
      </c>
      <c r="F4973" s="160">
        <v>17249.48</v>
      </c>
      <c r="G4973" s="160">
        <f>'FACP$'!$F4973*0.16</f>
        <v>2759.9168</v>
      </c>
      <c r="H4973" s="160">
        <f t="shared" si="124"/>
        <v>20009.3968</v>
      </c>
      <c r="I4973" s="160"/>
      <c r="J4973" s="161"/>
      <c r="K4973" s="160"/>
      <c r="L4973" s="160">
        <f>+'FACP$'!$H4973-'FACP$'!$I4973-'FACP$'!$K4973</f>
        <v>20009.3968</v>
      </c>
      <c r="M4973" s="162" t="s">
        <v>361</v>
      </c>
      <c r="N4973" s="162" t="s">
        <v>554</v>
      </c>
      <c r="O4973" s="164">
        <v>45471.0</v>
      </c>
      <c r="P4973" s="164">
        <f t="array" ref="P4973">XLOOKUP('FACP$'!$B4973,'perfil de pagos'!$A$4:$A$46,'perfil de pagos'!$B$4:$B$46+'FACP$'!$D4973)</f>
        <v>45472</v>
      </c>
      <c r="Q4973" s="165">
        <f t="shared" si="128"/>
        <v>0</v>
      </c>
      <c r="R4973" s="167"/>
      <c r="S4973" s="167">
        <v>3110.0</v>
      </c>
      <c r="T4973" s="168">
        <f t="shared" si="3"/>
        <v>20009.3968</v>
      </c>
      <c r="U4973" s="168">
        <f t="shared" si="4"/>
        <v>0</v>
      </c>
      <c r="V4973" s="168">
        <f t="shared" si="5"/>
        <v>0</v>
      </c>
      <c r="W4973" s="168">
        <f t="shared" si="6"/>
        <v>0</v>
      </c>
      <c r="X4973" s="168">
        <f t="shared" si="7"/>
        <v>0</v>
      </c>
      <c r="Y4973" s="168">
        <f t="shared" si="8"/>
        <v>0</v>
      </c>
      <c r="Z4973" s="168">
        <f t="shared" si="9"/>
        <v>0</v>
      </c>
    </row>
    <row r="4974" ht="15.0" customHeight="1">
      <c r="A4974" s="157" t="s">
        <v>6312</v>
      </c>
      <c r="B4974" s="158" t="s">
        <v>41</v>
      </c>
      <c r="C4974" s="158" t="s">
        <v>6305</v>
      </c>
      <c r="D4974" s="159">
        <v>45462.0</v>
      </c>
      <c r="E4974" s="157" t="s">
        <v>731</v>
      </c>
      <c r="F4974" s="160">
        <v>499138.39</v>
      </c>
      <c r="G4974" s="160">
        <f>'FACP$'!$F4974*0.16</f>
        <v>79862.1424</v>
      </c>
      <c r="H4974" s="160">
        <f t="shared" si="124"/>
        <v>579000.5324</v>
      </c>
      <c r="I4974" s="160"/>
      <c r="J4974" s="161"/>
      <c r="K4974" s="160"/>
      <c r="L4974" s="160">
        <f>+'FACP$'!$H4974-'FACP$'!$I4974-'FACP$'!$K4974</f>
        <v>579000.5324</v>
      </c>
      <c r="M4974" s="162" t="s">
        <v>361</v>
      </c>
      <c r="N4974" s="162" t="s">
        <v>554</v>
      </c>
      <c r="O4974" s="164">
        <v>45502.0</v>
      </c>
      <c r="P4974" s="164">
        <f t="array" ref="P4974">XLOOKUP('FACP$'!$B4974,'perfil de pagos'!$A$4:$A$46,'perfil de pagos'!$B$4:$B$46+'FACP$'!$D4974)</f>
        <v>45472</v>
      </c>
      <c r="Q4974" s="165">
        <f t="shared" si="128"/>
        <v>0</v>
      </c>
      <c r="R4974" s="167"/>
      <c r="S4974" s="167">
        <v>3178.0</v>
      </c>
      <c r="T4974" s="168">
        <f t="shared" si="3"/>
        <v>579000.5324</v>
      </c>
      <c r="U4974" s="168">
        <f t="shared" si="4"/>
        <v>0</v>
      </c>
      <c r="V4974" s="168">
        <f t="shared" si="5"/>
        <v>0</v>
      </c>
      <c r="W4974" s="168">
        <f t="shared" si="6"/>
        <v>0</v>
      </c>
      <c r="X4974" s="168">
        <f t="shared" si="7"/>
        <v>0</v>
      </c>
      <c r="Y4974" s="168">
        <f t="shared" si="8"/>
        <v>0</v>
      </c>
      <c r="Z4974" s="168">
        <f t="shared" si="9"/>
        <v>0</v>
      </c>
    </row>
    <row r="4975" ht="15.0" customHeight="1">
      <c r="A4975" s="157" t="s">
        <v>6313</v>
      </c>
      <c r="B4975" s="158" t="s">
        <v>35</v>
      </c>
      <c r="C4975" s="158" t="s">
        <v>6305</v>
      </c>
      <c r="D4975" s="159">
        <v>45462.0</v>
      </c>
      <c r="E4975" s="157" t="s">
        <v>731</v>
      </c>
      <c r="F4975" s="160">
        <v>67234.88</v>
      </c>
      <c r="G4975" s="160">
        <f>'FACP$'!$F4975*0.16</f>
        <v>10757.5808</v>
      </c>
      <c r="H4975" s="160">
        <f t="shared" si="124"/>
        <v>77992.4608</v>
      </c>
      <c r="I4975" s="160"/>
      <c r="J4975" s="161"/>
      <c r="K4975" s="160"/>
      <c r="L4975" s="160">
        <f>+'FACP$'!$H4975-'FACP$'!$I4975-'FACP$'!$K4975</f>
        <v>77992.4608</v>
      </c>
      <c r="M4975" s="162" t="s">
        <v>276</v>
      </c>
      <c r="N4975" s="162" t="s">
        <v>554</v>
      </c>
      <c r="O4975" s="164">
        <v>45483.0</v>
      </c>
      <c r="P4975" s="164">
        <f t="array" ref="P4975">XLOOKUP('FACP$'!$B4975,'perfil de pagos'!$A$4:$A$46,'perfil de pagos'!$B$4:$B$46+'FACP$'!$D4975)</f>
        <v>45472</v>
      </c>
      <c r="Q4975" s="165">
        <f t="shared" si="128"/>
        <v>0</v>
      </c>
      <c r="R4975" s="167"/>
      <c r="S4975" s="167">
        <v>3139.0</v>
      </c>
      <c r="T4975" s="168">
        <f t="shared" si="3"/>
        <v>77992.4608</v>
      </c>
      <c r="U4975" s="168">
        <f t="shared" si="4"/>
        <v>0</v>
      </c>
      <c r="V4975" s="168">
        <f t="shared" si="5"/>
        <v>0</v>
      </c>
      <c r="W4975" s="168">
        <f t="shared" si="6"/>
        <v>0</v>
      </c>
      <c r="X4975" s="168">
        <f t="shared" si="7"/>
        <v>0</v>
      </c>
      <c r="Y4975" s="168">
        <f t="shared" si="8"/>
        <v>0</v>
      </c>
      <c r="Z4975" s="168">
        <f t="shared" si="9"/>
        <v>0</v>
      </c>
    </row>
    <row r="4976" ht="15.0" customHeight="1">
      <c r="A4976" s="157" t="s">
        <v>6314</v>
      </c>
      <c r="B4976" s="158" t="s">
        <v>27</v>
      </c>
      <c r="C4976" s="158" t="s">
        <v>6305</v>
      </c>
      <c r="D4976" s="159">
        <v>45462.0</v>
      </c>
      <c r="E4976" s="157" t="s">
        <v>731</v>
      </c>
      <c r="F4976" s="160">
        <v>135889.88</v>
      </c>
      <c r="G4976" s="160">
        <f>'FACP$'!$F4976*0.16</f>
        <v>21742.3808</v>
      </c>
      <c r="H4976" s="160">
        <f t="shared" si="124"/>
        <v>157632.2608</v>
      </c>
      <c r="I4976" s="160"/>
      <c r="J4976" s="161"/>
      <c r="K4976" s="160"/>
      <c r="L4976" s="160">
        <f>+'FACP$'!$H4976-'FACP$'!$I4976-'FACP$'!$K4976</f>
        <v>157632.2608</v>
      </c>
      <c r="M4976" s="162" t="s">
        <v>158</v>
      </c>
      <c r="N4976" s="162" t="s">
        <v>554</v>
      </c>
      <c r="O4976" s="164">
        <v>45520.0</v>
      </c>
      <c r="P4976" s="164">
        <f t="array" ref="P4976">XLOOKUP('FACP$'!$B4976,'perfil de pagos'!$A$4:$A$46,'perfil de pagos'!$B$4:$B$46+'FACP$'!$D4976)</f>
        <v>45492</v>
      </c>
      <c r="Q4976" s="165">
        <f t="shared" si="128"/>
        <v>0</v>
      </c>
      <c r="R4976" s="167"/>
      <c r="S4976" s="167">
        <v>3210.0</v>
      </c>
      <c r="T4976" s="168">
        <f t="shared" si="3"/>
        <v>157632.2608</v>
      </c>
      <c r="U4976" s="168">
        <f t="shared" si="4"/>
        <v>0</v>
      </c>
      <c r="V4976" s="168">
        <f t="shared" si="5"/>
        <v>0</v>
      </c>
      <c r="W4976" s="168">
        <f t="shared" si="6"/>
        <v>0</v>
      </c>
      <c r="X4976" s="168">
        <f t="shared" si="7"/>
        <v>0</v>
      </c>
      <c r="Y4976" s="168">
        <f t="shared" si="8"/>
        <v>0</v>
      </c>
      <c r="Z4976" s="168">
        <f t="shared" si="9"/>
        <v>0</v>
      </c>
    </row>
    <row r="4977" ht="15.0" customHeight="1">
      <c r="A4977" s="157" t="s">
        <v>6315</v>
      </c>
      <c r="B4977" s="158" t="s">
        <v>27</v>
      </c>
      <c r="C4977" s="158" t="s">
        <v>6307</v>
      </c>
      <c r="D4977" s="159">
        <v>45462.0</v>
      </c>
      <c r="E4977" s="157" t="s">
        <v>731</v>
      </c>
      <c r="F4977" s="160">
        <v>116871.97</v>
      </c>
      <c r="G4977" s="160">
        <f>'FACP$'!$F4977*0.16</f>
        <v>18699.5152</v>
      </c>
      <c r="H4977" s="160">
        <f t="shared" si="124"/>
        <v>135571.4852</v>
      </c>
      <c r="I4977" s="160"/>
      <c r="J4977" s="161"/>
      <c r="K4977" s="160"/>
      <c r="L4977" s="160">
        <f>+'FACP$'!$H4977-'FACP$'!$I4977-'FACP$'!$K4977</f>
        <v>135571.4852</v>
      </c>
      <c r="M4977" s="162" t="s">
        <v>158</v>
      </c>
      <c r="N4977" s="162" t="s">
        <v>554</v>
      </c>
      <c r="O4977" s="164">
        <v>45520.0</v>
      </c>
      <c r="P4977" s="164">
        <f t="array" ref="P4977">XLOOKUP('FACP$'!$B4977,'perfil de pagos'!$A$4:$A$46,'perfil de pagos'!$B$4:$B$46+'FACP$'!$D4977)</f>
        <v>45492</v>
      </c>
      <c r="Q4977" s="165">
        <f t="shared" si="128"/>
        <v>0</v>
      </c>
      <c r="R4977" s="167"/>
      <c r="S4977" s="167">
        <v>3210.0</v>
      </c>
      <c r="T4977" s="168">
        <f t="shared" si="3"/>
        <v>135571.4852</v>
      </c>
      <c r="U4977" s="168">
        <f t="shared" si="4"/>
        <v>0</v>
      </c>
      <c r="V4977" s="168">
        <f t="shared" si="5"/>
        <v>0</v>
      </c>
      <c r="W4977" s="168">
        <f t="shared" si="6"/>
        <v>0</v>
      </c>
      <c r="X4977" s="168">
        <f t="shared" si="7"/>
        <v>0</v>
      </c>
      <c r="Y4977" s="168">
        <f t="shared" si="8"/>
        <v>0</v>
      </c>
      <c r="Z4977" s="168">
        <f t="shared" si="9"/>
        <v>0</v>
      </c>
    </row>
    <row r="4978" ht="15.0" customHeight="1">
      <c r="A4978" s="157" t="s">
        <v>6316</v>
      </c>
      <c r="B4978" s="158" t="s">
        <v>27</v>
      </c>
      <c r="C4978" s="158" t="s">
        <v>6305</v>
      </c>
      <c r="D4978" s="159">
        <v>45462.0</v>
      </c>
      <c r="E4978" s="157" t="s">
        <v>731</v>
      </c>
      <c r="F4978" s="160">
        <v>271487.34</v>
      </c>
      <c r="G4978" s="160">
        <f>'FACP$'!$F4978*0.16</f>
        <v>43437.9744</v>
      </c>
      <c r="H4978" s="160">
        <f t="shared" si="124"/>
        <v>314925.3144</v>
      </c>
      <c r="I4978" s="160"/>
      <c r="J4978" s="161"/>
      <c r="K4978" s="160"/>
      <c r="L4978" s="160">
        <f>+'FACP$'!$H4978-'FACP$'!$I4978-'FACP$'!$K4978</f>
        <v>314925.3144</v>
      </c>
      <c r="M4978" s="162" t="s">
        <v>151</v>
      </c>
      <c r="N4978" s="162" t="s">
        <v>554</v>
      </c>
      <c r="O4978" s="164">
        <v>45520.0</v>
      </c>
      <c r="P4978" s="164">
        <f t="array" ref="P4978">XLOOKUP('FACP$'!$B4978,'perfil de pagos'!$A$4:$A$46,'perfil de pagos'!$B$4:$B$46+'FACP$'!$D4978)</f>
        <v>45492</v>
      </c>
      <c r="Q4978" s="165">
        <f t="shared" si="128"/>
        <v>0</v>
      </c>
      <c r="R4978" s="167"/>
      <c r="S4978" s="167">
        <v>3209.0</v>
      </c>
      <c r="T4978" s="168">
        <f t="shared" si="3"/>
        <v>314925.3144</v>
      </c>
      <c r="U4978" s="168">
        <f t="shared" si="4"/>
        <v>0</v>
      </c>
      <c r="V4978" s="168">
        <f t="shared" si="5"/>
        <v>0</v>
      </c>
      <c r="W4978" s="168">
        <f t="shared" si="6"/>
        <v>0</v>
      </c>
      <c r="X4978" s="168">
        <f t="shared" si="7"/>
        <v>0</v>
      </c>
      <c r="Y4978" s="168">
        <f t="shared" si="8"/>
        <v>0</v>
      </c>
      <c r="Z4978" s="168">
        <f t="shared" si="9"/>
        <v>0</v>
      </c>
    </row>
    <row r="4979" ht="15.0" customHeight="1">
      <c r="A4979" s="157" t="s">
        <v>6317</v>
      </c>
      <c r="B4979" s="158" t="s">
        <v>27</v>
      </c>
      <c r="C4979" s="158" t="s">
        <v>6307</v>
      </c>
      <c r="D4979" s="159">
        <v>45462.0</v>
      </c>
      <c r="E4979" s="157" t="s">
        <v>731</v>
      </c>
      <c r="F4979" s="160">
        <v>218017.29</v>
      </c>
      <c r="G4979" s="160">
        <f>'FACP$'!$F4979*0.16</f>
        <v>34882.7664</v>
      </c>
      <c r="H4979" s="160">
        <f t="shared" si="124"/>
        <v>252900.0564</v>
      </c>
      <c r="I4979" s="160"/>
      <c r="J4979" s="161"/>
      <c r="K4979" s="160"/>
      <c r="L4979" s="160">
        <f>+'FACP$'!$H4979-'FACP$'!$I4979-'FACP$'!$K4979</f>
        <v>252900.0564</v>
      </c>
      <c r="M4979" s="162" t="s">
        <v>151</v>
      </c>
      <c r="N4979" s="162" t="s">
        <v>554</v>
      </c>
      <c r="O4979" s="164">
        <v>45520.0</v>
      </c>
      <c r="P4979" s="164">
        <f t="array" ref="P4979">XLOOKUP('FACP$'!$B4979,'perfil de pagos'!$A$4:$A$46,'perfil de pagos'!$B$4:$B$46+'FACP$'!$D4979)</f>
        <v>45492</v>
      </c>
      <c r="Q4979" s="165">
        <f t="shared" si="128"/>
        <v>0</v>
      </c>
      <c r="R4979" s="167"/>
      <c r="S4979" s="167">
        <v>3209.0</v>
      </c>
      <c r="T4979" s="168">
        <f t="shared" si="3"/>
        <v>252900.0564</v>
      </c>
      <c r="U4979" s="168">
        <f t="shared" si="4"/>
        <v>0</v>
      </c>
      <c r="V4979" s="168">
        <f t="shared" si="5"/>
        <v>0</v>
      </c>
      <c r="W4979" s="168">
        <f t="shared" si="6"/>
        <v>0</v>
      </c>
      <c r="X4979" s="168">
        <f t="shared" si="7"/>
        <v>0</v>
      </c>
      <c r="Y4979" s="168">
        <f t="shared" si="8"/>
        <v>0</v>
      </c>
      <c r="Z4979" s="168">
        <f t="shared" si="9"/>
        <v>0</v>
      </c>
    </row>
    <row r="4980" ht="15.0" customHeight="1">
      <c r="A4980" s="157" t="s">
        <v>6318</v>
      </c>
      <c r="B4980" s="158" t="s">
        <v>27</v>
      </c>
      <c r="C4980" s="158" t="s">
        <v>6305</v>
      </c>
      <c r="D4980" s="159">
        <v>45462.0</v>
      </c>
      <c r="E4980" s="157" t="s">
        <v>731</v>
      </c>
      <c r="F4980" s="160">
        <v>9901.96</v>
      </c>
      <c r="G4980" s="160">
        <f>'FACP$'!$F4980*0.16</f>
        <v>1584.3136</v>
      </c>
      <c r="H4980" s="160">
        <f t="shared" si="124"/>
        <v>11486.2736</v>
      </c>
      <c r="I4980" s="160"/>
      <c r="J4980" s="161"/>
      <c r="K4980" s="160"/>
      <c r="L4980" s="160">
        <f>+'FACP$'!$H4980-'FACP$'!$I4980-'FACP$'!$K4980</f>
        <v>11486.2736</v>
      </c>
      <c r="M4980" s="162" t="s">
        <v>151</v>
      </c>
      <c r="N4980" s="162" t="s">
        <v>554</v>
      </c>
      <c r="O4980" s="164">
        <v>45520.0</v>
      </c>
      <c r="P4980" s="164">
        <f t="array" ref="P4980">XLOOKUP('FACP$'!$B4980,'perfil de pagos'!$A$4:$A$46,'perfil de pagos'!$B$4:$B$46+'FACP$'!$D4980)</f>
        <v>45492</v>
      </c>
      <c r="Q4980" s="165">
        <f t="shared" si="128"/>
        <v>0</v>
      </c>
      <c r="R4980" s="167"/>
      <c r="S4980" s="167">
        <v>3209.0</v>
      </c>
      <c r="T4980" s="168">
        <f t="shared" si="3"/>
        <v>11486.2736</v>
      </c>
      <c r="U4980" s="168">
        <f t="shared" si="4"/>
        <v>0</v>
      </c>
      <c r="V4980" s="168">
        <f t="shared" si="5"/>
        <v>0</v>
      </c>
      <c r="W4980" s="168">
        <f t="shared" si="6"/>
        <v>0</v>
      </c>
      <c r="X4980" s="168">
        <f t="shared" si="7"/>
        <v>0</v>
      </c>
      <c r="Y4980" s="168">
        <f t="shared" si="8"/>
        <v>0</v>
      </c>
      <c r="Z4980" s="168">
        <f t="shared" si="9"/>
        <v>0</v>
      </c>
    </row>
    <row r="4981" ht="15.0" customHeight="1">
      <c r="A4981" s="157" t="s">
        <v>6319</v>
      </c>
      <c r="B4981" s="158" t="s">
        <v>27</v>
      </c>
      <c r="C4981" s="158" t="s">
        <v>6307</v>
      </c>
      <c r="D4981" s="159">
        <v>45462.0</v>
      </c>
      <c r="E4981" s="157" t="s">
        <v>731</v>
      </c>
      <c r="F4981" s="160">
        <v>11953.48</v>
      </c>
      <c r="G4981" s="160">
        <f>'FACP$'!$F4981*0.16</f>
        <v>1912.5568</v>
      </c>
      <c r="H4981" s="160">
        <f t="shared" si="124"/>
        <v>13866.0368</v>
      </c>
      <c r="I4981" s="160"/>
      <c r="J4981" s="161"/>
      <c r="K4981" s="160"/>
      <c r="L4981" s="160">
        <f>+'FACP$'!$H4981-'FACP$'!$I4981-'FACP$'!$K4981</f>
        <v>13866.0368</v>
      </c>
      <c r="M4981" s="162" t="s">
        <v>151</v>
      </c>
      <c r="N4981" s="162" t="s">
        <v>554</v>
      </c>
      <c r="O4981" s="164">
        <v>45520.0</v>
      </c>
      <c r="P4981" s="164">
        <f t="array" ref="P4981">XLOOKUP('FACP$'!$B4981,'perfil de pagos'!$A$4:$A$46,'perfil de pagos'!$B$4:$B$46+'FACP$'!$D4981)</f>
        <v>45492</v>
      </c>
      <c r="Q4981" s="165">
        <f t="shared" si="128"/>
        <v>0</v>
      </c>
      <c r="R4981" s="167"/>
      <c r="S4981" s="167">
        <v>3209.0</v>
      </c>
      <c r="T4981" s="168">
        <f t="shared" si="3"/>
        <v>13866.0368</v>
      </c>
      <c r="U4981" s="168">
        <f t="shared" si="4"/>
        <v>0</v>
      </c>
      <c r="V4981" s="168">
        <f t="shared" si="5"/>
        <v>0</v>
      </c>
      <c r="W4981" s="168">
        <f t="shared" si="6"/>
        <v>0</v>
      </c>
      <c r="X4981" s="168">
        <f t="shared" si="7"/>
        <v>0</v>
      </c>
      <c r="Y4981" s="168">
        <f t="shared" si="8"/>
        <v>0</v>
      </c>
      <c r="Z4981" s="168">
        <f t="shared" si="9"/>
        <v>0</v>
      </c>
    </row>
    <row r="4982" ht="15.0" customHeight="1">
      <c r="A4982" s="157" t="s">
        <v>6320</v>
      </c>
      <c r="B4982" s="158" t="s">
        <v>38</v>
      </c>
      <c r="C4982" s="158" t="s">
        <v>6305</v>
      </c>
      <c r="D4982" s="159">
        <v>45467.0</v>
      </c>
      <c r="E4982" s="157" t="s">
        <v>731</v>
      </c>
      <c r="F4982" s="160">
        <v>85757.23</v>
      </c>
      <c r="G4982" s="160">
        <f>'FACP$'!$F4982*0.16</f>
        <v>13721.1568</v>
      </c>
      <c r="H4982" s="160">
        <f t="shared" si="124"/>
        <v>99478.3868</v>
      </c>
      <c r="I4982" s="160"/>
      <c r="J4982" s="161"/>
      <c r="K4982" s="160"/>
      <c r="L4982" s="160">
        <f>+'FACP$'!$H4982-'FACP$'!$I4982-'FACP$'!$K4982</f>
        <v>99478.3868</v>
      </c>
      <c r="M4982" s="162" t="s">
        <v>4654</v>
      </c>
      <c r="N4982" s="162" t="s">
        <v>554</v>
      </c>
      <c r="O4982" s="164">
        <v>45511.0</v>
      </c>
      <c r="P4982" s="164">
        <f t="array" ref="P4982">XLOOKUP('FACP$'!$B4982,'perfil de pagos'!$A$4:$A$46,'perfil de pagos'!$B$4:$B$46+'FACP$'!$D4982)</f>
        <v>45497</v>
      </c>
      <c r="Q4982" s="165">
        <f t="shared" si="128"/>
        <v>0</v>
      </c>
      <c r="R4982" s="167"/>
      <c r="S4982" s="167">
        <v>3188.0</v>
      </c>
      <c r="T4982" s="168">
        <f t="shared" si="3"/>
        <v>99478.3868</v>
      </c>
      <c r="U4982" s="168">
        <f t="shared" si="4"/>
        <v>0</v>
      </c>
      <c r="V4982" s="168">
        <f t="shared" si="5"/>
        <v>0</v>
      </c>
      <c r="W4982" s="168">
        <f t="shared" si="6"/>
        <v>0</v>
      </c>
      <c r="X4982" s="168">
        <f t="shared" si="7"/>
        <v>0</v>
      </c>
      <c r="Y4982" s="168">
        <f t="shared" si="8"/>
        <v>0</v>
      </c>
      <c r="Z4982" s="168">
        <f t="shared" si="9"/>
        <v>0</v>
      </c>
    </row>
    <row r="4983" ht="15.0" customHeight="1">
      <c r="A4983" s="299" t="s">
        <v>6321</v>
      </c>
      <c r="B4983" s="300" t="s">
        <v>22</v>
      </c>
      <c r="C4983" s="300"/>
      <c r="D4983" s="301">
        <v>45468.0</v>
      </c>
      <c r="E4983" s="299" t="s">
        <v>731</v>
      </c>
      <c r="F4983" s="302"/>
      <c r="G4983" s="302">
        <f>'FACP$'!$F4983*0.16</f>
        <v>0</v>
      </c>
      <c r="H4983" s="302">
        <f t="shared" si="124"/>
        <v>0</v>
      </c>
      <c r="I4983" s="302"/>
      <c r="J4983" s="304"/>
      <c r="K4983" s="302"/>
      <c r="L4983" s="302">
        <f>+'FACP$'!$H4983-'FACP$'!$I4983-'FACP$'!$K4983</f>
        <v>0</v>
      </c>
      <c r="M4983" s="305"/>
      <c r="N4983" s="305" t="s">
        <v>127</v>
      </c>
      <c r="O4983" s="306"/>
      <c r="P4983" s="306">
        <f t="array" ref="P4983">XLOOKUP('FACP$'!$B4983,'perfil de pagos'!$A$4:$A$46,'perfil de pagos'!$B$4:$B$46+'FACP$'!$D4983)</f>
        <v>45478</v>
      </c>
      <c r="Q4983" s="307">
        <f t="shared" si="128"/>
        <v>0</v>
      </c>
      <c r="R4983" s="308"/>
      <c r="S4983" s="308"/>
      <c r="T4983" s="309">
        <f t="shared" si="3"/>
        <v>0</v>
      </c>
      <c r="U4983" s="309">
        <f t="shared" si="4"/>
        <v>0</v>
      </c>
      <c r="V4983" s="309">
        <f t="shared" si="5"/>
        <v>0</v>
      </c>
      <c r="W4983" s="309">
        <f t="shared" si="6"/>
        <v>0</v>
      </c>
      <c r="X4983" s="309">
        <f t="shared" si="7"/>
        <v>0</v>
      </c>
      <c r="Y4983" s="309">
        <f t="shared" si="8"/>
        <v>0</v>
      </c>
      <c r="Z4983" s="309">
        <f t="shared" si="9"/>
        <v>0</v>
      </c>
    </row>
    <row r="4984" ht="15.0" customHeight="1">
      <c r="A4984" s="157" t="s">
        <v>6322</v>
      </c>
      <c r="B4984" s="158" t="s">
        <v>18</v>
      </c>
      <c r="C4984" s="158" t="s">
        <v>6305</v>
      </c>
      <c r="D4984" s="159">
        <v>45468.0</v>
      </c>
      <c r="E4984" s="157" t="s">
        <v>731</v>
      </c>
      <c r="F4984" s="160">
        <v>65709.8</v>
      </c>
      <c r="G4984" s="160">
        <f>'FACP$'!$F4984*0.16</f>
        <v>10513.568</v>
      </c>
      <c r="H4984" s="160">
        <f t="shared" si="124"/>
        <v>76223.368</v>
      </c>
      <c r="I4984" s="160"/>
      <c r="J4984" s="161"/>
      <c r="K4984" s="160"/>
      <c r="L4984" s="160">
        <f>+'FACP$'!$H4984-'FACP$'!$I4984-'FACP$'!$K4984</f>
        <v>76223.368</v>
      </c>
      <c r="M4984" s="162" t="s">
        <v>586</v>
      </c>
      <c r="N4984" s="162" t="s">
        <v>554</v>
      </c>
      <c r="O4984" s="164">
        <v>45511.0</v>
      </c>
      <c r="P4984" s="164">
        <f t="array" ref="P4984">XLOOKUP('FACP$'!$B4984,'perfil de pagos'!$A$4:$A$46,'perfil de pagos'!$B$4:$B$46+'FACP$'!$D4984)</f>
        <v>45478</v>
      </c>
      <c r="Q4984" s="165">
        <f t="shared" si="128"/>
        <v>0</v>
      </c>
      <c r="R4984" s="167"/>
      <c r="S4984" s="167">
        <v>3187.0</v>
      </c>
      <c r="T4984" s="168">
        <f t="shared" si="3"/>
        <v>76223.368</v>
      </c>
      <c r="U4984" s="168">
        <f t="shared" si="4"/>
        <v>0</v>
      </c>
      <c r="V4984" s="168">
        <f t="shared" si="5"/>
        <v>0</v>
      </c>
      <c r="W4984" s="168">
        <f t="shared" si="6"/>
        <v>0</v>
      </c>
      <c r="X4984" s="168">
        <f t="shared" si="7"/>
        <v>0</v>
      </c>
      <c r="Y4984" s="168">
        <f t="shared" si="8"/>
        <v>0</v>
      </c>
      <c r="Z4984" s="168">
        <f t="shared" si="9"/>
        <v>0</v>
      </c>
    </row>
    <row r="4985" ht="15.0" customHeight="1">
      <c r="A4985" s="157" t="s">
        <v>6323</v>
      </c>
      <c r="B4985" s="158" t="s">
        <v>19</v>
      </c>
      <c r="C4985" s="158" t="s">
        <v>6305</v>
      </c>
      <c r="D4985" s="159">
        <v>45468.0</v>
      </c>
      <c r="E4985" s="157" t="s">
        <v>731</v>
      </c>
      <c r="F4985" s="160">
        <v>160635.56</v>
      </c>
      <c r="G4985" s="160">
        <f>'FACP$'!$F4985*0.16</f>
        <v>25701.6896</v>
      </c>
      <c r="H4985" s="160">
        <f t="shared" si="124"/>
        <v>186337.2496</v>
      </c>
      <c r="I4985" s="160"/>
      <c r="J4985" s="161"/>
      <c r="K4985" s="160"/>
      <c r="L4985" s="160">
        <f>+'FACP$'!$H4985-'FACP$'!$I4985-'FACP$'!$K4985</f>
        <v>186337.2496</v>
      </c>
      <c r="M4985" s="162" t="s">
        <v>732</v>
      </c>
      <c r="N4985" s="162" t="s">
        <v>554</v>
      </c>
      <c r="O4985" s="164">
        <v>45511.0</v>
      </c>
      <c r="P4985" s="164">
        <f t="array" ref="P4985">XLOOKUP('FACP$'!$B4985,'perfil de pagos'!$A$4:$A$46,'perfil de pagos'!$B$4:$B$46+'FACP$'!$D4985)</f>
        <v>45478</v>
      </c>
      <c r="Q4985" s="165">
        <f t="shared" si="128"/>
        <v>0</v>
      </c>
      <c r="R4985" s="167"/>
      <c r="S4985" s="167">
        <v>3187.0</v>
      </c>
      <c r="T4985" s="168">
        <f t="shared" si="3"/>
        <v>186337.2496</v>
      </c>
      <c r="U4985" s="168">
        <f t="shared" si="4"/>
        <v>0</v>
      </c>
      <c r="V4985" s="168">
        <f t="shared" si="5"/>
        <v>0</v>
      </c>
      <c r="W4985" s="168">
        <f t="shared" si="6"/>
        <v>0</v>
      </c>
      <c r="X4985" s="168">
        <f t="shared" si="7"/>
        <v>0</v>
      </c>
      <c r="Y4985" s="168">
        <f t="shared" si="8"/>
        <v>0</v>
      </c>
      <c r="Z4985" s="168">
        <f t="shared" si="9"/>
        <v>0</v>
      </c>
    </row>
    <row r="4986" ht="15.0" customHeight="1">
      <c r="A4986" s="157" t="s">
        <v>6324</v>
      </c>
      <c r="B4986" s="158" t="s">
        <v>38</v>
      </c>
      <c r="C4986" s="158" t="s">
        <v>6305</v>
      </c>
      <c r="D4986" s="159">
        <v>45468.0</v>
      </c>
      <c r="E4986" s="157" t="s">
        <v>731</v>
      </c>
      <c r="F4986" s="160">
        <v>49959.39</v>
      </c>
      <c r="G4986" s="160">
        <f>'FACP$'!$F4986*0.16</f>
        <v>7993.5024</v>
      </c>
      <c r="H4986" s="160">
        <f t="shared" si="124"/>
        <v>57952.8924</v>
      </c>
      <c r="I4986" s="160"/>
      <c r="J4986" s="161"/>
      <c r="K4986" s="160"/>
      <c r="L4986" s="160">
        <f>+'FACP$'!$H4986-'FACP$'!$I4986-'FACP$'!$K4986</f>
        <v>57952.8924</v>
      </c>
      <c r="M4986" s="162" t="s">
        <v>4707</v>
      </c>
      <c r="N4986" s="162" t="s">
        <v>554</v>
      </c>
      <c r="O4986" s="164">
        <v>45511.0</v>
      </c>
      <c r="P4986" s="164">
        <f t="array" ref="P4986">XLOOKUP('FACP$'!$B4986,'perfil de pagos'!$A$4:$A$46,'perfil de pagos'!$B$4:$B$46+'FACP$'!$D4986)</f>
        <v>45498</v>
      </c>
      <c r="Q4986" s="165">
        <f t="shared" si="128"/>
        <v>0</v>
      </c>
      <c r="R4986" s="167"/>
      <c r="S4986" s="167">
        <v>3188.0</v>
      </c>
      <c r="T4986" s="168">
        <f t="shared" si="3"/>
        <v>57952.8924</v>
      </c>
      <c r="U4986" s="168">
        <f t="shared" si="4"/>
        <v>0</v>
      </c>
      <c r="V4986" s="168">
        <f t="shared" si="5"/>
        <v>0</v>
      </c>
      <c r="W4986" s="168">
        <f t="shared" si="6"/>
        <v>0</v>
      </c>
      <c r="X4986" s="168">
        <f t="shared" si="7"/>
        <v>0</v>
      </c>
      <c r="Y4986" s="168">
        <f t="shared" si="8"/>
        <v>0</v>
      </c>
      <c r="Z4986" s="168">
        <f t="shared" si="9"/>
        <v>0</v>
      </c>
    </row>
    <row r="4987" ht="15.0" customHeight="1">
      <c r="A4987" s="157" t="s">
        <v>6325</v>
      </c>
      <c r="B4987" s="158" t="s">
        <v>38</v>
      </c>
      <c r="C4987" s="158" t="s">
        <v>6307</v>
      </c>
      <c r="D4987" s="159">
        <v>45468.0</v>
      </c>
      <c r="E4987" s="157" t="s">
        <v>731</v>
      </c>
      <c r="F4987" s="160">
        <v>65981.73</v>
      </c>
      <c r="G4987" s="160">
        <f>'FACP$'!$F4987*0.16</f>
        <v>10557.0768</v>
      </c>
      <c r="H4987" s="160">
        <f t="shared" si="124"/>
        <v>76538.8068</v>
      </c>
      <c r="I4987" s="160"/>
      <c r="J4987" s="161"/>
      <c r="K4987" s="160"/>
      <c r="L4987" s="160">
        <f>+'FACP$'!$H4987-'FACP$'!$I4987-'FACP$'!$K4987</f>
        <v>76538.8068</v>
      </c>
      <c r="M4987" s="162" t="s">
        <v>4707</v>
      </c>
      <c r="N4987" s="162" t="s">
        <v>554</v>
      </c>
      <c r="O4987" s="164">
        <v>45511.0</v>
      </c>
      <c r="P4987" s="164">
        <f>D4987+10</f>
        <v>45478</v>
      </c>
      <c r="Q4987" s="165">
        <f t="shared" si="128"/>
        <v>0</v>
      </c>
      <c r="R4987" s="167"/>
      <c r="S4987" s="167">
        <v>3188.0</v>
      </c>
      <c r="T4987" s="168">
        <f t="shared" si="3"/>
        <v>76538.8068</v>
      </c>
      <c r="U4987" s="168">
        <f t="shared" si="4"/>
        <v>0</v>
      </c>
      <c r="V4987" s="168">
        <f t="shared" si="5"/>
        <v>0</v>
      </c>
      <c r="W4987" s="168">
        <f t="shared" si="6"/>
        <v>0</v>
      </c>
      <c r="X4987" s="168">
        <f t="shared" si="7"/>
        <v>0</v>
      </c>
      <c r="Y4987" s="168">
        <f t="shared" si="8"/>
        <v>0</v>
      </c>
      <c r="Z4987" s="168">
        <f t="shared" si="9"/>
        <v>0</v>
      </c>
    </row>
    <row r="4988" ht="15.0" customHeight="1">
      <c r="A4988" s="157" t="s">
        <v>6326</v>
      </c>
      <c r="B4988" s="158" t="s">
        <v>40</v>
      </c>
      <c r="C4988" s="158" t="s">
        <v>6305</v>
      </c>
      <c r="D4988" s="159">
        <v>45468.0</v>
      </c>
      <c r="E4988" s="157" t="s">
        <v>731</v>
      </c>
      <c r="F4988" s="160">
        <v>198491.36</v>
      </c>
      <c r="G4988" s="160">
        <f>'FACP$'!$F4988*0.16</f>
        <v>31758.6176</v>
      </c>
      <c r="H4988" s="160">
        <f t="shared" si="124"/>
        <v>230249.9776</v>
      </c>
      <c r="I4988" s="160"/>
      <c r="J4988" s="161"/>
      <c r="K4988" s="160"/>
      <c r="L4988" s="160">
        <f>+'FACP$'!$H4988-'FACP$'!$I4988-'FACP$'!$K4988</f>
        <v>230249.9776</v>
      </c>
      <c r="M4988" s="162" t="s">
        <v>490</v>
      </c>
      <c r="N4988" s="162" t="s">
        <v>554</v>
      </c>
      <c r="O4988" s="164">
        <v>45511.0</v>
      </c>
      <c r="P4988" s="164">
        <f t="array" ref="P4988">XLOOKUP('FACP$'!$B4988,'perfil de pagos'!$A$4:$A$46,'perfil de pagos'!$B$4:$B$46+'FACP$'!$D4988)</f>
        <v>45498</v>
      </c>
      <c r="Q4988" s="165">
        <f t="shared" si="128"/>
        <v>0</v>
      </c>
      <c r="R4988" s="167"/>
      <c r="S4988" s="167">
        <v>3191.0</v>
      </c>
      <c r="T4988" s="168">
        <f t="shared" si="3"/>
        <v>230249.9776</v>
      </c>
      <c r="U4988" s="168">
        <f t="shared" si="4"/>
        <v>0</v>
      </c>
      <c r="V4988" s="168">
        <f t="shared" si="5"/>
        <v>0</v>
      </c>
      <c r="W4988" s="168">
        <f t="shared" si="6"/>
        <v>0</v>
      </c>
      <c r="X4988" s="168">
        <f t="shared" si="7"/>
        <v>0</v>
      </c>
      <c r="Y4988" s="168">
        <f t="shared" si="8"/>
        <v>0</v>
      </c>
      <c r="Z4988" s="168">
        <f t="shared" si="9"/>
        <v>0</v>
      </c>
    </row>
    <row r="4989" ht="15.0" customHeight="1">
      <c r="A4989" s="299" t="s">
        <v>6327</v>
      </c>
      <c r="B4989" s="300" t="s">
        <v>40</v>
      </c>
      <c r="C4989" s="300" t="s">
        <v>6307</v>
      </c>
      <c r="D4989" s="301">
        <v>45468.0</v>
      </c>
      <c r="E4989" s="299" t="s">
        <v>731</v>
      </c>
      <c r="F4989" s="302">
        <v>0.0</v>
      </c>
      <c r="G4989" s="302">
        <f>'FACP$'!$F4989*0.16</f>
        <v>0</v>
      </c>
      <c r="H4989" s="302">
        <f t="shared" si="124"/>
        <v>0</v>
      </c>
      <c r="I4989" s="302"/>
      <c r="J4989" s="304"/>
      <c r="K4989" s="302"/>
      <c r="L4989" s="302">
        <f>+'FACP$'!$H4989-'FACP$'!$I4989-'FACP$'!$K4989</f>
        <v>0</v>
      </c>
      <c r="M4989" s="305" t="s">
        <v>490</v>
      </c>
      <c r="N4989" s="305" t="s">
        <v>127</v>
      </c>
      <c r="O4989" s="306"/>
      <c r="P4989" s="306">
        <f t="array" ref="P4989">XLOOKUP('FACP$'!$B4989,'perfil de pagos'!$A$4:$A$46,'perfil de pagos'!$B$4:$B$46+'FACP$'!$D4989)</f>
        <v>45498</v>
      </c>
      <c r="Q4989" s="307">
        <f t="shared" si="128"/>
        <v>0</v>
      </c>
      <c r="R4989" s="308"/>
      <c r="S4989" s="308"/>
      <c r="T4989" s="309">
        <f t="shared" si="3"/>
        <v>0</v>
      </c>
      <c r="U4989" s="309">
        <f t="shared" si="4"/>
        <v>0</v>
      </c>
      <c r="V4989" s="309">
        <f t="shared" si="5"/>
        <v>0</v>
      </c>
      <c r="W4989" s="309">
        <f t="shared" si="6"/>
        <v>0</v>
      </c>
      <c r="X4989" s="309">
        <f t="shared" si="7"/>
        <v>0</v>
      </c>
      <c r="Y4989" s="309">
        <f t="shared" si="8"/>
        <v>0</v>
      </c>
      <c r="Z4989" s="309">
        <f t="shared" si="9"/>
        <v>0</v>
      </c>
    </row>
    <row r="4990" ht="15.0" customHeight="1">
      <c r="A4990" s="157" t="s">
        <v>6328</v>
      </c>
      <c r="B4990" s="158" t="s">
        <v>22</v>
      </c>
      <c r="C4990" s="158"/>
      <c r="D4990" s="159">
        <v>45468.0</v>
      </c>
      <c r="E4990" s="157" t="s">
        <v>731</v>
      </c>
      <c r="F4990" s="160"/>
      <c r="G4990" s="160">
        <f>'FACP$'!$F4990*0.16</f>
        <v>0</v>
      </c>
      <c r="H4990" s="160">
        <f t="shared" si="124"/>
        <v>0</v>
      </c>
      <c r="I4990" s="160"/>
      <c r="J4990" s="161"/>
      <c r="K4990" s="160"/>
      <c r="L4990" s="160">
        <f>+'FACP$'!$H4990-'FACP$'!$I4990-'FACP$'!$K4990</f>
        <v>0</v>
      </c>
      <c r="M4990" s="162"/>
      <c r="N4990" s="162" t="s">
        <v>127</v>
      </c>
      <c r="O4990" s="164"/>
      <c r="P4990" s="164">
        <f t="array" ref="P4990">XLOOKUP('FACP$'!$B4990,'perfil de pagos'!$A$4:$A$46,'perfil de pagos'!$B$4:$B$46+'FACP$'!$D4990)</f>
        <v>45478</v>
      </c>
      <c r="Q4990" s="165">
        <f t="shared" si="128"/>
        <v>0</v>
      </c>
      <c r="R4990" s="167"/>
      <c r="S4990" s="167"/>
      <c r="T4990" s="168">
        <f t="shared" si="3"/>
        <v>0</v>
      </c>
      <c r="U4990" s="168">
        <f t="shared" si="4"/>
        <v>0</v>
      </c>
      <c r="V4990" s="168">
        <f t="shared" si="5"/>
        <v>0</v>
      </c>
      <c r="W4990" s="168">
        <f t="shared" si="6"/>
        <v>0</v>
      </c>
      <c r="X4990" s="168">
        <f t="shared" si="7"/>
        <v>0</v>
      </c>
      <c r="Y4990" s="168">
        <f t="shared" si="8"/>
        <v>0</v>
      </c>
      <c r="Z4990" s="168">
        <f t="shared" si="9"/>
        <v>0</v>
      </c>
    </row>
    <row r="4991" ht="15.0" customHeight="1">
      <c r="A4991" s="157" t="s">
        <v>6329</v>
      </c>
      <c r="B4991" s="158" t="s">
        <v>25</v>
      </c>
      <c r="C4991" s="158" t="s">
        <v>6305</v>
      </c>
      <c r="D4991" s="159">
        <v>45468.0</v>
      </c>
      <c r="E4991" s="157" t="s">
        <v>731</v>
      </c>
      <c r="F4991" s="160">
        <v>44112.62</v>
      </c>
      <c r="G4991" s="160">
        <f>'FACP$'!$F4991*0.16</f>
        <v>7058.0192</v>
      </c>
      <c r="H4991" s="160">
        <f t="shared" si="124"/>
        <v>51170.6392</v>
      </c>
      <c r="I4991" s="160"/>
      <c r="J4991" s="161"/>
      <c r="K4991" s="160"/>
      <c r="L4991" s="160">
        <f>+'FACP$'!$H4991-'FACP$'!$I4991-'FACP$'!$K4991</f>
        <v>51170.6392</v>
      </c>
      <c r="M4991" s="162" t="s">
        <v>4388</v>
      </c>
      <c r="N4991" s="162" t="s">
        <v>554</v>
      </c>
      <c r="O4991" s="164">
        <v>45470.0</v>
      </c>
      <c r="P4991" s="164">
        <f t="array" ref="P4991">XLOOKUP('FACP$'!$B4991,'perfil de pagos'!$A$4:$A$46,'perfil de pagos'!$B$4:$B$46+'FACP$'!$D4991)</f>
        <v>45478</v>
      </c>
      <c r="Q4991" s="165">
        <f t="shared" si="128"/>
        <v>0</v>
      </c>
      <c r="R4991" s="167"/>
      <c r="S4991" s="167">
        <v>3108.0</v>
      </c>
      <c r="T4991" s="168">
        <f t="shared" si="3"/>
        <v>51170.6392</v>
      </c>
      <c r="U4991" s="168">
        <f t="shared" si="4"/>
        <v>0</v>
      </c>
      <c r="V4991" s="168">
        <f t="shared" si="5"/>
        <v>0</v>
      </c>
      <c r="W4991" s="168">
        <f t="shared" si="6"/>
        <v>0</v>
      </c>
      <c r="X4991" s="168">
        <f t="shared" si="7"/>
        <v>0</v>
      </c>
      <c r="Y4991" s="168">
        <f t="shared" si="8"/>
        <v>0</v>
      </c>
      <c r="Z4991" s="168">
        <f t="shared" si="9"/>
        <v>0</v>
      </c>
    </row>
    <row r="4992" ht="15.0" customHeight="1">
      <c r="A4992" s="157" t="s">
        <v>6330</v>
      </c>
      <c r="B4992" s="158" t="s">
        <v>22</v>
      </c>
      <c r="C4992" s="158" t="s">
        <v>6305</v>
      </c>
      <c r="D4992" s="159">
        <v>45468.0</v>
      </c>
      <c r="E4992" s="157" t="s">
        <v>731</v>
      </c>
      <c r="F4992" s="160">
        <v>259976.88</v>
      </c>
      <c r="G4992" s="160">
        <f>'FACP$'!$F4992*0.16</f>
        <v>41596.3008</v>
      </c>
      <c r="H4992" s="160">
        <f t="shared" si="124"/>
        <v>301573.1808</v>
      </c>
      <c r="I4992" s="160">
        <f>35777.73+200000</f>
        <v>235777.73</v>
      </c>
      <c r="J4992" s="161"/>
      <c r="K4992" s="160"/>
      <c r="L4992" s="160">
        <f>+'FACP$'!$H4992-'FACP$'!$I4992-'FACP$'!$K4992</f>
        <v>65795.4508</v>
      </c>
      <c r="M4992" s="162" t="s">
        <v>220</v>
      </c>
      <c r="N4992" s="162" t="s">
        <v>554</v>
      </c>
      <c r="O4992" s="164">
        <v>45518.0</v>
      </c>
      <c r="P4992" s="164">
        <f t="array" ref="P4992">XLOOKUP('FACP$'!$B4992,'perfil de pagos'!$A$4:$A$46,'perfil de pagos'!$B$4:$B$46+'FACP$'!$D4992)</f>
        <v>45478</v>
      </c>
      <c r="Q4992" s="165">
        <f t="shared" si="128"/>
        <v>0</v>
      </c>
      <c r="R4992" s="220" t="s">
        <v>6331</v>
      </c>
      <c r="S4992" s="220" t="s">
        <v>6332</v>
      </c>
      <c r="T4992" s="168">
        <f t="shared" si="3"/>
        <v>65795.4508</v>
      </c>
      <c r="U4992" s="168">
        <f t="shared" si="4"/>
        <v>0</v>
      </c>
      <c r="V4992" s="168">
        <f t="shared" si="5"/>
        <v>0</v>
      </c>
      <c r="W4992" s="168">
        <f t="shared" si="6"/>
        <v>0</v>
      </c>
      <c r="X4992" s="168">
        <f t="shared" si="7"/>
        <v>0</v>
      </c>
      <c r="Y4992" s="168">
        <f t="shared" si="8"/>
        <v>0</v>
      </c>
      <c r="Z4992" s="168">
        <f t="shared" si="9"/>
        <v>0</v>
      </c>
    </row>
    <row r="4993" ht="15.0" customHeight="1">
      <c r="A4993" s="157" t="s">
        <v>6333</v>
      </c>
      <c r="B4993" s="158" t="s">
        <v>37</v>
      </c>
      <c r="C4993" s="158" t="s">
        <v>6305</v>
      </c>
      <c r="D4993" s="159">
        <v>45468.0</v>
      </c>
      <c r="E4993" s="157" t="s">
        <v>731</v>
      </c>
      <c r="F4993" s="160">
        <v>1361927.81</v>
      </c>
      <c r="G4993" s="160">
        <f>'FACP$'!$F4993*0.16</f>
        <v>217908.4496</v>
      </c>
      <c r="H4993" s="160">
        <f t="shared" si="124"/>
        <v>1579836.26</v>
      </c>
      <c r="I4993" s="160"/>
      <c r="J4993" s="161"/>
      <c r="K4993" s="160"/>
      <c r="L4993" s="160">
        <f>+'FACP$'!$H4993-'FACP$'!$I4993-'FACP$'!$K4993</f>
        <v>1579836.26</v>
      </c>
      <c r="M4993" s="162" t="s">
        <v>116</v>
      </c>
      <c r="N4993" s="162" t="s">
        <v>554</v>
      </c>
      <c r="O4993" s="164">
        <v>45475.0</v>
      </c>
      <c r="P4993" s="164">
        <f t="array" ref="P4993">XLOOKUP('FACP$'!$B4993,'perfil de pagos'!$A$4:$A$46,'perfil de pagos'!$B$4:$B$46+'FACP$'!$D4993)</f>
        <v>45478</v>
      </c>
      <c r="Q4993" s="165">
        <f t="shared" si="128"/>
        <v>0</v>
      </c>
      <c r="R4993" s="167"/>
      <c r="S4993" s="167">
        <v>3124.0</v>
      </c>
      <c r="T4993" s="168">
        <f t="shared" si="3"/>
        <v>1579836.26</v>
      </c>
      <c r="U4993" s="168">
        <f t="shared" si="4"/>
        <v>0</v>
      </c>
      <c r="V4993" s="168">
        <f t="shared" si="5"/>
        <v>0</v>
      </c>
      <c r="W4993" s="168">
        <f t="shared" si="6"/>
        <v>0</v>
      </c>
      <c r="X4993" s="168">
        <f t="shared" si="7"/>
        <v>0</v>
      </c>
      <c r="Y4993" s="168">
        <f t="shared" si="8"/>
        <v>0</v>
      </c>
      <c r="Z4993" s="168">
        <f t="shared" si="9"/>
        <v>0</v>
      </c>
    </row>
    <row r="4994" ht="15.0" customHeight="1">
      <c r="A4994" s="157" t="s">
        <v>6334</v>
      </c>
      <c r="B4994" s="158" t="s">
        <v>38</v>
      </c>
      <c r="C4994" s="158" t="s">
        <v>6305</v>
      </c>
      <c r="D4994" s="159">
        <v>45468.0</v>
      </c>
      <c r="E4994" s="157" t="s">
        <v>731</v>
      </c>
      <c r="F4994" s="160">
        <v>252255.62</v>
      </c>
      <c r="G4994" s="160">
        <f>'FACP$'!$F4994*0.16</f>
        <v>40360.8992</v>
      </c>
      <c r="H4994" s="160">
        <f t="shared" si="124"/>
        <v>292616.5192</v>
      </c>
      <c r="I4994" s="160"/>
      <c r="J4994" s="161"/>
      <c r="K4994" s="160"/>
      <c r="L4994" s="160">
        <f>+'FACP$'!$H4994-'FACP$'!$I4994-'FACP$'!$K4994</f>
        <v>292616.5192</v>
      </c>
      <c r="M4994" s="162" t="s">
        <v>642</v>
      </c>
      <c r="N4994" s="162" t="s">
        <v>554</v>
      </c>
      <c r="O4994" s="164">
        <v>45511.0</v>
      </c>
      <c r="P4994" s="164">
        <f t="array" ref="P4994">XLOOKUP('FACP$'!$B4994,'perfil de pagos'!$A$4:$A$46,'perfil de pagos'!$B$4:$B$46+'FACP$'!$D4994)</f>
        <v>45498</v>
      </c>
      <c r="Q4994" s="165">
        <f t="shared" si="128"/>
        <v>0</v>
      </c>
      <c r="R4994" s="167"/>
      <c r="S4994" s="167">
        <v>3188.0</v>
      </c>
      <c r="T4994" s="168">
        <f t="shared" si="3"/>
        <v>292616.5192</v>
      </c>
      <c r="U4994" s="168">
        <f t="shared" si="4"/>
        <v>0</v>
      </c>
      <c r="V4994" s="168">
        <f t="shared" si="5"/>
        <v>0</v>
      </c>
      <c r="W4994" s="168">
        <f t="shared" si="6"/>
        <v>0</v>
      </c>
      <c r="X4994" s="168">
        <f t="shared" si="7"/>
        <v>0</v>
      </c>
      <c r="Y4994" s="168">
        <f t="shared" si="8"/>
        <v>0</v>
      </c>
      <c r="Z4994" s="168">
        <f t="shared" si="9"/>
        <v>0</v>
      </c>
    </row>
    <row r="4995" ht="15.0" customHeight="1">
      <c r="A4995" s="157" t="s">
        <v>6335</v>
      </c>
      <c r="B4995" s="158" t="s">
        <v>38</v>
      </c>
      <c r="C4995" s="158" t="s">
        <v>6305</v>
      </c>
      <c r="D4995" s="159">
        <v>45468.0</v>
      </c>
      <c r="E4995" s="157" t="s">
        <v>600</v>
      </c>
      <c r="F4995" s="160">
        <v>500942.77</v>
      </c>
      <c r="G4995" s="160">
        <f>'FACP$'!$F4995*0.16</f>
        <v>80150.8432</v>
      </c>
      <c r="H4995" s="160">
        <f t="shared" si="124"/>
        <v>581093.6132</v>
      </c>
      <c r="I4995" s="160"/>
      <c r="J4995" s="161"/>
      <c r="K4995" s="160"/>
      <c r="L4995" s="160">
        <f>+'FACP$'!$H4995-'FACP$'!$I4995-'FACP$'!$K4995</f>
        <v>581093.6132</v>
      </c>
      <c r="M4995" s="162" t="s">
        <v>145</v>
      </c>
      <c r="N4995" s="162" t="s">
        <v>554</v>
      </c>
      <c r="O4995" s="164">
        <v>45525.0</v>
      </c>
      <c r="P4995" s="164">
        <f t="array" ref="P4995">XLOOKUP('FACP$'!$B4995,'perfil de pagos'!$A$4:$A$46,'perfil de pagos'!$B$4:$B$46+'FACP$'!$D4995)</f>
        <v>45498</v>
      </c>
      <c r="Q4995" s="165">
        <f t="shared" si="128"/>
        <v>0</v>
      </c>
      <c r="R4995" s="167"/>
      <c r="S4995" s="167">
        <v>3220.0</v>
      </c>
      <c r="T4995" s="168">
        <f t="shared" si="3"/>
        <v>581093.6132</v>
      </c>
      <c r="U4995" s="168">
        <f t="shared" si="4"/>
        <v>0</v>
      </c>
      <c r="V4995" s="168">
        <f t="shared" si="5"/>
        <v>0</v>
      </c>
      <c r="W4995" s="168">
        <f t="shared" si="6"/>
        <v>0</v>
      </c>
      <c r="X4995" s="168">
        <f t="shared" si="7"/>
        <v>0</v>
      </c>
      <c r="Y4995" s="168">
        <f t="shared" si="8"/>
        <v>0</v>
      </c>
      <c r="Z4995" s="168">
        <f t="shared" si="9"/>
        <v>0</v>
      </c>
    </row>
    <row r="4996" ht="15.0" customHeight="1">
      <c r="A4996" s="210" t="s">
        <v>6336</v>
      </c>
      <c r="B4996" s="158" t="s">
        <v>38</v>
      </c>
      <c r="C4996" s="158" t="s">
        <v>6307</v>
      </c>
      <c r="D4996" s="159">
        <v>45468.0</v>
      </c>
      <c r="E4996" s="157" t="s">
        <v>731</v>
      </c>
      <c r="F4996" s="160">
        <v>6797.59</v>
      </c>
      <c r="G4996" s="160">
        <f>'FACP$'!$F4996*0.16</f>
        <v>1087.6144</v>
      </c>
      <c r="H4996" s="160">
        <f t="shared" si="124"/>
        <v>7885.2044</v>
      </c>
      <c r="I4996" s="160"/>
      <c r="J4996" s="161"/>
      <c r="K4996" s="160"/>
      <c r="L4996" s="160">
        <f>+'FACP$'!$H4996-'FACP$'!$I4996-'FACP$'!$K4996</f>
        <v>7885.2044</v>
      </c>
      <c r="M4996" s="162" t="s">
        <v>145</v>
      </c>
      <c r="N4996" s="162" t="s">
        <v>127</v>
      </c>
      <c r="O4996" s="164"/>
      <c r="P4996" s="164">
        <f t="array" ref="P4996">XLOOKUP('FACP$'!$B4996,'perfil de pagos'!$A$4:$A$46,'perfil de pagos'!$B$4:$B$46+'FACP$'!$D4996)</f>
        <v>45498</v>
      </c>
      <c r="Q4996" s="165">
        <f t="shared" si="128"/>
        <v>0</v>
      </c>
      <c r="R4996" s="167"/>
      <c r="S4996" s="167"/>
      <c r="T4996" s="168">
        <f t="shared" si="3"/>
        <v>7885.2044</v>
      </c>
      <c r="U4996" s="168">
        <f t="shared" si="4"/>
        <v>0</v>
      </c>
      <c r="V4996" s="168">
        <f t="shared" si="5"/>
        <v>0</v>
      </c>
      <c r="W4996" s="168">
        <f t="shared" si="6"/>
        <v>0</v>
      </c>
      <c r="X4996" s="168">
        <f t="shared" si="7"/>
        <v>0</v>
      </c>
      <c r="Y4996" s="168">
        <f t="shared" si="8"/>
        <v>0</v>
      </c>
      <c r="Z4996" s="168">
        <f t="shared" si="9"/>
        <v>0</v>
      </c>
    </row>
    <row r="4997" ht="15.0" customHeight="1">
      <c r="A4997" s="157" t="s">
        <v>6337</v>
      </c>
      <c r="B4997" s="158" t="s">
        <v>29</v>
      </c>
      <c r="C4997" s="158" t="s">
        <v>6305</v>
      </c>
      <c r="D4997" s="159">
        <v>45468.0</v>
      </c>
      <c r="E4997" s="157" t="s">
        <v>731</v>
      </c>
      <c r="F4997" s="160">
        <v>252477.68</v>
      </c>
      <c r="G4997" s="160">
        <f>'FACP$'!$F4997*0.16</f>
        <v>40396.4288</v>
      </c>
      <c r="H4997" s="160">
        <f t="shared" si="124"/>
        <v>292874.1088</v>
      </c>
      <c r="I4997" s="160"/>
      <c r="J4997" s="161"/>
      <c r="K4997" s="160"/>
      <c r="L4997" s="160">
        <f>+'FACP$'!$H4997-'FACP$'!$I4997-'FACP$'!$K4997</f>
        <v>292874.1088</v>
      </c>
      <c r="M4997" s="162" t="s">
        <v>130</v>
      </c>
      <c r="N4997" s="162" t="s">
        <v>554</v>
      </c>
      <c r="O4997" s="164">
        <v>45475.0</v>
      </c>
      <c r="P4997" s="164">
        <f t="array" ref="P4997">XLOOKUP('FACP$'!$B4997,'perfil de pagos'!$A$4:$A$46,'perfil de pagos'!$B$4:$B$46+'FACP$'!$D4997)</f>
        <v>45478</v>
      </c>
      <c r="Q4997" s="165">
        <f t="shared" si="128"/>
        <v>0</v>
      </c>
      <c r="R4997" s="167"/>
      <c r="S4997" s="167">
        <v>3123.0</v>
      </c>
      <c r="T4997" s="168">
        <f t="shared" si="3"/>
        <v>292874.1088</v>
      </c>
      <c r="U4997" s="168">
        <f t="shared" si="4"/>
        <v>0</v>
      </c>
      <c r="V4997" s="168">
        <f t="shared" si="5"/>
        <v>0</v>
      </c>
      <c r="W4997" s="168">
        <f t="shared" si="6"/>
        <v>0</v>
      </c>
      <c r="X4997" s="168">
        <f t="shared" si="7"/>
        <v>0</v>
      </c>
      <c r="Y4997" s="168">
        <f t="shared" si="8"/>
        <v>0</v>
      </c>
      <c r="Z4997" s="168">
        <f t="shared" si="9"/>
        <v>0</v>
      </c>
    </row>
    <row r="4998" ht="15.0" customHeight="1">
      <c r="A4998" s="157" t="s">
        <v>6338</v>
      </c>
      <c r="B4998" s="158" t="s">
        <v>29</v>
      </c>
      <c r="C4998" s="158" t="s">
        <v>6307</v>
      </c>
      <c r="D4998" s="159">
        <v>45468.0</v>
      </c>
      <c r="E4998" s="157" t="s">
        <v>731</v>
      </c>
      <c r="F4998" s="160">
        <v>436190.82</v>
      </c>
      <c r="G4998" s="160">
        <f>'FACP$'!$F4998*0.16</f>
        <v>69790.5312</v>
      </c>
      <c r="H4998" s="160">
        <f t="shared" si="124"/>
        <v>505981.3512</v>
      </c>
      <c r="I4998" s="160"/>
      <c r="J4998" s="161"/>
      <c r="K4998" s="160"/>
      <c r="L4998" s="160">
        <f>+'FACP$'!$H4998-'FACP$'!$I4998-'FACP$'!$K4998</f>
        <v>505981.3512</v>
      </c>
      <c r="M4998" s="162" t="s">
        <v>130</v>
      </c>
      <c r="N4998" s="162" t="s">
        <v>554</v>
      </c>
      <c r="O4998" s="164">
        <v>45481.0</v>
      </c>
      <c r="P4998" s="164">
        <f t="array" ref="P4998">XLOOKUP('FACP$'!$B4998,'perfil de pagos'!$A$4:$A$46,'perfil de pagos'!$B$4:$B$46+'FACP$'!$D4998)</f>
        <v>45478</v>
      </c>
      <c r="Q4998" s="165">
        <f t="shared" si="128"/>
        <v>0</v>
      </c>
      <c r="R4998" s="167"/>
      <c r="S4998" s="167">
        <v>3135.0</v>
      </c>
      <c r="T4998" s="168">
        <f t="shared" si="3"/>
        <v>505981.3512</v>
      </c>
      <c r="U4998" s="168">
        <f t="shared" si="4"/>
        <v>0</v>
      </c>
      <c r="V4998" s="168">
        <f t="shared" si="5"/>
        <v>0</v>
      </c>
      <c r="W4998" s="168">
        <f t="shared" si="6"/>
        <v>0</v>
      </c>
      <c r="X4998" s="168">
        <f t="shared" si="7"/>
        <v>0</v>
      </c>
      <c r="Y4998" s="168">
        <f t="shared" si="8"/>
        <v>0</v>
      </c>
      <c r="Z4998" s="168">
        <f t="shared" si="9"/>
        <v>0</v>
      </c>
    </row>
    <row r="4999" ht="15.0" customHeight="1">
      <c r="A4999" s="157" t="s">
        <v>6339</v>
      </c>
      <c r="B4999" s="158" t="s">
        <v>40</v>
      </c>
      <c r="C4999" s="158" t="s">
        <v>6307</v>
      </c>
      <c r="D4999" s="159">
        <v>45468.0</v>
      </c>
      <c r="E4999" s="157" t="s">
        <v>731</v>
      </c>
      <c r="F4999" s="160">
        <v>186911.44</v>
      </c>
      <c r="G4999" s="160">
        <f>'FACP$'!$F4999*0.16</f>
        <v>29905.8304</v>
      </c>
      <c r="H4999" s="160">
        <f t="shared" si="124"/>
        <v>216817.2704</v>
      </c>
      <c r="I4999" s="160"/>
      <c r="J4999" s="161"/>
      <c r="K4999" s="160"/>
      <c r="L4999" s="160">
        <f>+'FACP$'!$H4999-'FACP$'!$I4999-'FACP$'!$K4999</f>
        <v>216817.2704</v>
      </c>
      <c r="M4999" s="162" t="s">
        <v>490</v>
      </c>
      <c r="N4999" s="162" t="s">
        <v>554</v>
      </c>
      <c r="O4999" s="164">
        <v>45495.0</v>
      </c>
      <c r="P4999" s="164">
        <f t="array" ref="P4999">XLOOKUP('FACP$'!$B4999,'perfil de pagos'!$A$4:$A$46,'perfil de pagos'!$B$4:$B$46+'FACP$'!$D4999)</f>
        <v>45498</v>
      </c>
      <c r="Q4999" s="165">
        <f t="shared" si="128"/>
        <v>0</v>
      </c>
      <c r="R4999" s="167"/>
      <c r="S4999" s="167">
        <v>3167.0</v>
      </c>
      <c r="T4999" s="168">
        <f t="shared" si="3"/>
        <v>216817.2704</v>
      </c>
      <c r="U4999" s="168">
        <f t="shared" si="4"/>
        <v>0</v>
      </c>
      <c r="V4999" s="168">
        <f t="shared" si="5"/>
        <v>0</v>
      </c>
      <c r="W4999" s="168">
        <f t="shared" si="6"/>
        <v>0</v>
      </c>
      <c r="X4999" s="168">
        <f t="shared" si="7"/>
        <v>0</v>
      </c>
      <c r="Y4999" s="168">
        <f t="shared" si="8"/>
        <v>0</v>
      </c>
      <c r="Z4999" s="168">
        <f t="shared" si="9"/>
        <v>0</v>
      </c>
    </row>
    <row r="5000" ht="15.0" customHeight="1">
      <c r="A5000" s="157" t="s">
        <v>6340</v>
      </c>
      <c r="B5000" s="158" t="s">
        <v>16</v>
      </c>
      <c r="C5000" s="158" t="s">
        <v>6305</v>
      </c>
      <c r="D5000" s="159">
        <v>45471.0</v>
      </c>
      <c r="E5000" s="157" t="s">
        <v>731</v>
      </c>
      <c r="F5000" s="160">
        <v>163783.98</v>
      </c>
      <c r="G5000" s="160">
        <f>'FACP$'!$F5000*0.16</f>
        <v>26205.4368</v>
      </c>
      <c r="H5000" s="160">
        <f t="shared" si="124"/>
        <v>189989.4168</v>
      </c>
      <c r="I5000" s="160"/>
      <c r="J5000" s="161"/>
      <c r="K5000" s="160"/>
      <c r="L5000" s="160">
        <f>+'FACP$'!$H5000-'FACP$'!$I5000-'FACP$'!$K5000</f>
        <v>189989.4168</v>
      </c>
      <c r="M5000" s="162" t="s">
        <v>985</v>
      </c>
      <c r="N5000" s="162" t="s">
        <v>554</v>
      </c>
      <c r="O5000" s="164">
        <v>45476.0</v>
      </c>
      <c r="P5000" s="164">
        <f t="array" ref="P5000">XLOOKUP('FACP$'!$B5000,'perfil de pagos'!$A$4:$A$46,'perfil de pagos'!$B$4:$B$46+'FACP$'!$D5000)</f>
        <v>45481</v>
      </c>
      <c r="Q5000" s="165">
        <f t="shared" si="128"/>
        <v>0</v>
      </c>
      <c r="R5000" s="167"/>
      <c r="S5000" s="167"/>
      <c r="T5000" s="168">
        <f t="shared" si="3"/>
        <v>189989.4168</v>
      </c>
      <c r="U5000" s="168">
        <f t="shared" si="4"/>
        <v>0</v>
      </c>
      <c r="V5000" s="168">
        <f t="shared" si="5"/>
        <v>0</v>
      </c>
      <c r="W5000" s="168">
        <f t="shared" si="6"/>
        <v>0</v>
      </c>
      <c r="X5000" s="168">
        <f t="shared" si="7"/>
        <v>0</v>
      </c>
      <c r="Y5000" s="168">
        <f t="shared" si="8"/>
        <v>0</v>
      </c>
      <c r="Z5000" s="168">
        <f t="shared" si="9"/>
        <v>0</v>
      </c>
    </row>
    <row r="5001" ht="15.0" customHeight="1">
      <c r="A5001" s="157" t="s">
        <v>6341</v>
      </c>
      <c r="B5001" s="158" t="s">
        <v>16</v>
      </c>
      <c r="C5001" s="158" t="s">
        <v>6307</v>
      </c>
      <c r="D5001" s="159">
        <v>45471.0</v>
      </c>
      <c r="E5001" s="157" t="s">
        <v>731</v>
      </c>
      <c r="F5001" s="160">
        <v>233209.29</v>
      </c>
      <c r="G5001" s="160">
        <f>'FACP$'!$F5001*0.16</f>
        <v>37313.4864</v>
      </c>
      <c r="H5001" s="160">
        <f t="shared" si="124"/>
        <v>270522.7764</v>
      </c>
      <c r="I5001" s="160"/>
      <c r="J5001" s="161"/>
      <c r="K5001" s="160"/>
      <c r="L5001" s="160">
        <f>+'FACP$'!$H5001-'FACP$'!$I5001-'FACP$'!$K5001</f>
        <v>270522.7764</v>
      </c>
      <c r="M5001" s="162" t="s">
        <v>985</v>
      </c>
      <c r="N5001" s="162" t="s">
        <v>554</v>
      </c>
      <c r="O5001" s="164">
        <v>45476.0</v>
      </c>
      <c r="P5001" s="164">
        <f t="array" ref="P5001">XLOOKUP('FACP$'!$B5001,'perfil de pagos'!$A$4:$A$46,'perfil de pagos'!$B$4:$B$46+'FACP$'!$D5001)</f>
        <v>45481</v>
      </c>
      <c r="Q5001" s="165">
        <f t="shared" si="128"/>
        <v>0</v>
      </c>
      <c r="R5001" s="167"/>
      <c r="S5001" s="167"/>
      <c r="T5001" s="168">
        <f t="shared" si="3"/>
        <v>270522.7764</v>
      </c>
      <c r="U5001" s="168">
        <f t="shared" si="4"/>
        <v>0</v>
      </c>
      <c r="V5001" s="168">
        <f t="shared" si="5"/>
        <v>0</v>
      </c>
      <c r="W5001" s="168">
        <f t="shared" si="6"/>
        <v>0</v>
      </c>
      <c r="X5001" s="168">
        <f t="shared" si="7"/>
        <v>0</v>
      </c>
      <c r="Y5001" s="168">
        <f t="shared" si="8"/>
        <v>0</v>
      </c>
      <c r="Z5001" s="168">
        <f t="shared" si="9"/>
        <v>0</v>
      </c>
    </row>
    <row r="5002" ht="15.0" customHeight="1">
      <c r="A5002" s="157" t="s">
        <v>6342</v>
      </c>
      <c r="B5002" s="158" t="s">
        <v>27</v>
      </c>
      <c r="C5002" s="158" t="s">
        <v>6305</v>
      </c>
      <c r="D5002" s="159">
        <v>45471.0</v>
      </c>
      <c r="E5002" s="157" t="s">
        <v>731</v>
      </c>
      <c r="F5002" s="160">
        <v>110052.04</v>
      </c>
      <c r="G5002" s="160">
        <f>'FACP$'!$F5002*0.16</f>
        <v>17608.3264</v>
      </c>
      <c r="H5002" s="160">
        <f t="shared" si="124"/>
        <v>127660.3664</v>
      </c>
      <c r="I5002" s="160"/>
      <c r="J5002" s="161"/>
      <c r="K5002" s="160"/>
      <c r="L5002" s="160">
        <f>+'FACP$'!$H5002-'FACP$'!$I5002-'FACP$'!$K5002</f>
        <v>127660.3664</v>
      </c>
      <c r="M5002" s="162" t="s">
        <v>158</v>
      </c>
      <c r="N5002" s="162" t="s">
        <v>554</v>
      </c>
      <c r="O5002" s="164">
        <v>45520.0</v>
      </c>
      <c r="P5002" s="164">
        <f t="array" ref="P5002">XLOOKUP('FACP$'!$B5002,'perfil de pagos'!$A$4:$A$46,'perfil de pagos'!$B$4:$B$46+'FACP$'!$D5002)</f>
        <v>45501</v>
      </c>
      <c r="Q5002" s="165">
        <f t="shared" si="128"/>
        <v>0</v>
      </c>
      <c r="R5002" s="167"/>
      <c r="S5002" s="167">
        <v>3210.0</v>
      </c>
      <c r="T5002" s="168">
        <f t="shared" si="3"/>
        <v>127660.3664</v>
      </c>
      <c r="U5002" s="168">
        <f t="shared" si="4"/>
        <v>0</v>
      </c>
      <c r="V5002" s="168">
        <f t="shared" si="5"/>
        <v>0</v>
      </c>
      <c r="W5002" s="168">
        <f t="shared" si="6"/>
        <v>0</v>
      </c>
      <c r="X5002" s="168">
        <f t="shared" si="7"/>
        <v>0</v>
      </c>
      <c r="Y5002" s="168">
        <f t="shared" si="8"/>
        <v>0</v>
      </c>
      <c r="Z5002" s="168">
        <f t="shared" si="9"/>
        <v>0</v>
      </c>
    </row>
    <row r="5003" ht="15.0" customHeight="1">
      <c r="A5003" s="157" t="s">
        <v>6343</v>
      </c>
      <c r="B5003" s="158" t="s">
        <v>27</v>
      </c>
      <c r="C5003" s="158" t="s">
        <v>6307</v>
      </c>
      <c r="D5003" s="159">
        <v>45471.0</v>
      </c>
      <c r="E5003" s="157" t="s">
        <v>731</v>
      </c>
      <c r="F5003" s="160">
        <v>91124.14</v>
      </c>
      <c r="G5003" s="160">
        <f>'FACP$'!$F5003*0.16</f>
        <v>14579.8624</v>
      </c>
      <c r="H5003" s="160">
        <f t="shared" si="124"/>
        <v>105704.0024</v>
      </c>
      <c r="I5003" s="160"/>
      <c r="J5003" s="161"/>
      <c r="K5003" s="160"/>
      <c r="L5003" s="160">
        <f>+'FACP$'!$H5003-'FACP$'!$I5003-'FACP$'!$K5003</f>
        <v>105704.0024</v>
      </c>
      <c r="M5003" s="162" t="s">
        <v>158</v>
      </c>
      <c r="N5003" s="162" t="s">
        <v>554</v>
      </c>
      <c r="O5003" s="164">
        <v>45520.0</v>
      </c>
      <c r="P5003" s="164">
        <f t="array" ref="P5003">XLOOKUP('FACP$'!$B5003,'perfil de pagos'!$A$4:$A$46,'perfil de pagos'!$B$4:$B$46+'FACP$'!$D5003)</f>
        <v>45501</v>
      </c>
      <c r="Q5003" s="165">
        <f t="shared" si="128"/>
        <v>0</v>
      </c>
      <c r="R5003" s="167"/>
      <c r="S5003" s="167">
        <v>3210.0</v>
      </c>
      <c r="T5003" s="168">
        <f t="shared" si="3"/>
        <v>105704.0024</v>
      </c>
      <c r="U5003" s="168">
        <f t="shared" si="4"/>
        <v>0</v>
      </c>
      <c r="V5003" s="168">
        <f t="shared" si="5"/>
        <v>0</v>
      </c>
      <c r="W5003" s="168">
        <f t="shared" si="6"/>
        <v>0</v>
      </c>
      <c r="X5003" s="168">
        <f t="shared" si="7"/>
        <v>0</v>
      </c>
      <c r="Y5003" s="168">
        <f t="shared" si="8"/>
        <v>0</v>
      </c>
      <c r="Z5003" s="168">
        <f t="shared" si="9"/>
        <v>0</v>
      </c>
    </row>
    <row r="5004" ht="15.0" customHeight="1">
      <c r="A5004" s="157" t="s">
        <v>6344</v>
      </c>
      <c r="B5004" s="158" t="s">
        <v>27</v>
      </c>
      <c r="C5004" s="158" t="s">
        <v>6305</v>
      </c>
      <c r="D5004" s="159">
        <v>45471.0</v>
      </c>
      <c r="E5004" s="157" t="s">
        <v>731</v>
      </c>
      <c r="F5004" s="160">
        <v>206632.64</v>
      </c>
      <c r="G5004" s="160">
        <f>'FACP$'!$F5004*0.16</f>
        <v>33061.2224</v>
      </c>
      <c r="H5004" s="160">
        <f t="shared" si="124"/>
        <v>239693.8624</v>
      </c>
      <c r="I5004" s="160"/>
      <c r="J5004" s="161"/>
      <c r="K5004" s="160"/>
      <c r="L5004" s="160">
        <f>+'FACP$'!$H5004-'FACP$'!$I5004-'FACP$'!$K5004</f>
        <v>239693.8624</v>
      </c>
      <c r="M5004" s="162" t="s">
        <v>151</v>
      </c>
      <c r="N5004" s="162" t="s">
        <v>554</v>
      </c>
      <c r="O5004" s="164">
        <v>45520.0</v>
      </c>
      <c r="P5004" s="164">
        <f t="array" ref="P5004">XLOOKUP('FACP$'!$B5004,'perfil de pagos'!$A$4:$A$46,'perfil de pagos'!$B$4:$B$46+'FACP$'!$D5004)</f>
        <v>45501</v>
      </c>
      <c r="Q5004" s="165">
        <f t="shared" si="128"/>
        <v>0</v>
      </c>
      <c r="R5004" s="167"/>
      <c r="S5004" s="167">
        <v>3209.0</v>
      </c>
      <c r="T5004" s="168">
        <f t="shared" si="3"/>
        <v>239693.8624</v>
      </c>
      <c r="U5004" s="168">
        <f t="shared" si="4"/>
        <v>0</v>
      </c>
      <c r="V5004" s="168">
        <f t="shared" si="5"/>
        <v>0</v>
      </c>
      <c r="W5004" s="168">
        <f t="shared" si="6"/>
        <v>0</v>
      </c>
      <c r="X5004" s="168">
        <f t="shared" si="7"/>
        <v>0</v>
      </c>
      <c r="Y5004" s="168">
        <f t="shared" si="8"/>
        <v>0</v>
      </c>
      <c r="Z5004" s="168">
        <f t="shared" si="9"/>
        <v>0</v>
      </c>
    </row>
    <row r="5005" ht="15.0" customHeight="1">
      <c r="A5005" s="157" t="s">
        <v>6345</v>
      </c>
      <c r="B5005" s="158" t="s">
        <v>27</v>
      </c>
      <c r="C5005" s="158" t="s">
        <v>6307</v>
      </c>
      <c r="D5005" s="159">
        <v>45471.0</v>
      </c>
      <c r="E5005" s="157" t="s">
        <v>731</v>
      </c>
      <c r="F5005" s="160">
        <v>158074.71</v>
      </c>
      <c r="G5005" s="160">
        <f>'FACP$'!$F5005*0.16</f>
        <v>25291.9536</v>
      </c>
      <c r="H5005" s="160">
        <f t="shared" si="124"/>
        <v>183366.6636</v>
      </c>
      <c r="I5005" s="160"/>
      <c r="J5005" s="161"/>
      <c r="K5005" s="160"/>
      <c r="L5005" s="160">
        <f>+'FACP$'!$H5005-'FACP$'!$I5005-'FACP$'!$K5005</f>
        <v>183366.6636</v>
      </c>
      <c r="M5005" s="162" t="s">
        <v>151</v>
      </c>
      <c r="N5005" s="162" t="s">
        <v>554</v>
      </c>
      <c r="O5005" s="164">
        <v>45520.0</v>
      </c>
      <c r="P5005" s="164">
        <f t="array" ref="P5005">XLOOKUP('FACP$'!$B5005,'perfil de pagos'!$A$4:$A$46,'perfil de pagos'!$B$4:$B$46+'FACP$'!$D5005)</f>
        <v>45501</v>
      </c>
      <c r="Q5005" s="165">
        <f t="shared" si="128"/>
        <v>0</v>
      </c>
      <c r="R5005" s="167"/>
      <c r="S5005" s="167">
        <v>3209.0</v>
      </c>
      <c r="T5005" s="168">
        <f t="shared" si="3"/>
        <v>183366.6636</v>
      </c>
      <c r="U5005" s="168">
        <f t="shared" si="4"/>
        <v>0</v>
      </c>
      <c r="V5005" s="168">
        <f t="shared" si="5"/>
        <v>0</v>
      </c>
      <c r="W5005" s="168">
        <f t="shared" si="6"/>
        <v>0</v>
      </c>
      <c r="X5005" s="168">
        <f t="shared" si="7"/>
        <v>0</v>
      </c>
      <c r="Y5005" s="168">
        <f t="shared" si="8"/>
        <v>0</v>
      </c>
      <c r="Z5005" s="168">
        <f t="shared" si="9"/>
        <v>0</v>
      </c>
    </row>
    <row r="5006" ht="15.0" customHeight="1">
      <c r="A5006" s="157" t="s">
        <v>6346</v>
      </c>
      <c r="B5006" s="158" t="s">
        <v>27</v>
      </c>
      <c r="C5006" s="158" t="s">
        <v>6305</v>
      </c>
      <c r="D5006" s="159">
        <v>45471.0</v>
      </c>
      <c r="E5006" s="157" t="s">
        <v>731</v>
      </c>
      <c r="F5006" s="160">
        <v>7634.39</v>
      </c>
      <c r="G5006" s="160">
        <f>'FACP$'!$F5006*0.16</f>
        <v>1221.5024</v>
      </c>
      <c r="H5006" s="160">
        <f t="shared" si="124"/>
        <v>8855.8924</v>
      </c>
      <c r="I5006" s="160"/>
      <c r="J5006" s="161"/>
      <c r="K5006" s="160"/>
      <c r="L5006" s="160">
        <f>+'FACP$'!$H5006-'FACP$'!$I5006-'FACP$'!$K5006</f>
        <v>8855.8924</v>
      </c>
      <c r="M5006" s="162" t="s">
        <v>151</v>
      </c>
      <c r="N5006" s="162" t="s">
        <v>554</v>
      </c>
      <c r="O5006" s="164">
        <v>45520.0</v>
      </c>
      <c r="P5006" s="164">
        <f t="array" ref="P5006">XLOOKUP('FACP$'!$B5006,'perfil de pagos'!$A$4:$A$46,'perfil de pagos'!$B$4:$B$46+'FACP$'!$D5006)</f>
        <v>45501</v>
      </c>
      <c r="Q5006" s="165">
        <f t="shared" si="128"/>
        <v>0</v>
      </c>
      <c r="R5006" s="167"/>
      <c r="S5006" s="167">
        <v>3209.0</v>
      </c>
      <c r="T5006" s="168">
        <f t="shared" si="3"/>
        <v>8855.8924</v>
      </c>
      <c r="U5006" s="168">
        <f t="shared" si="4"/>
        <v>0</v>
      </c>
      <c r="V5006" s="168">
        <f t="shared" si="5"/>
        <v>0</v>
      </c>
      <c r="W5006" s="168">
        <f t="shared" si="6"/>
        <v>0</v>
      </c>
      <c r="X5006" s="168">
        <f t="shared" si="7"/>
        <v>0</v>
      </c>
      <c r="Y5006" s="168">
        <f t="shared" si="8"/>
        <v>0</v>
      </c>
      <c r="Z5006" s="168">
        <f t="shared" si="9"/>
        <v>0</v>
      </c>
    </row>
    <row r="5007" ht="15.0" customHeight="1">
      <c r="A5007" s="157" t="s">
        <v>6347</v>
      </c>
      <c r="B5007" s="158" t="s">
        <v>27</v>
      </c>
      <c r="C5007" s="158" t="s">
        <v>6307</v>
      </c>
      <c r="D5007" s="159">
        <v>45471.0</v>
      </c>
      <c r="E5007" s="157" t="s">
        <v>731</v>
      </c>
      <c r="F5007" s="160">
        <v>8961.97</v>
      </c>
      <c r="G5007" s="160">
        <f>'FACP$'!$F5007*0.16</f>
        <v>1433.9152</v>
      </c>
      <c r="H5007" s="160">
        <f t="shared" si="124"/>
        <v>10395.8852</v>
      </c>
      <c r="I5007" s="160"/>
      <c r="J5007" s="161"/>
      <c r="K5007" s="160"/>
      <c r="L5007" s="160">
        <f>+'FACP$'!$H5007-'FACP$'!$I5007-'FACP$'!$K5007</f>
        <v>10395.8852</v>
      </c>
      <c r="M5007" s="162" t="s">
        <v>151</v>
      </c>
      <c r="N5007" s="162" t="s">
        <v>554</v>
      </c>
      <c r="O5007" s="164">
        <v>45520.0</v>
      </c>
      <c r="P5007" s="164">
        <f t="array" ref="P5007">XLOOKUP('FACP$'!$B5007,'perfil de pagos'!$A$4:$A$46,'perfil de pagos'!$B$4:$B$46+'FACP$'!$D5007)</f>
        <v>45501</v>
      </c>
      <c r="Q5007" s="165">
        <f t="shared" si="128"/>
        <v>0</v>
      </c>
      <c r="R5007" s="167"/>
      <c r="S5007" s="167">
        <v>3209.0</v>
      </c>
      <c r="T5007" s="168">
        <f t="shared" si="3"/>
        <v>10395.8852</v>
      </c>
      <c r="U5007" s="168">
        <f t="shared" si="4"/>
        <v>0</v>
      </c>
      <c r="V5007" s="168">
        <f t="shared" si="5"/>
        <v>0</v>
      </c>
      <c r="W5007" s="168">
        <f t="shared" si="6"/>
        <v>0</v>
      </c>
      <c r="X5007" s="168">
        <f t="shared" si="7"/>
        <v>0</v>
      </c>
      <c r="Y5007" s="168">
        <f t="shared" si="8"/>
        <v>0</v>
      </c>
      <c r="Z5007" s="168">
        <f t="shared" si="9"/>
        <v>0</v>
      </c>
    </row>
    <row r="5008" ht="15.0" customHeight="1">
      <c r="A5008" s="157" t="s">
        <v>6348</v>
      </c>
      <c r="B5008" s="158" t="s">
        <v>35</v>
      </c>
      <c r="C5008" s="158" t="s">
        <v>6349</v>
      </c>
      <c r="D5008" s="159">
        <v>45476.0</v>
      </c>
      <c r="E5008" s="157" t="s">
        <v>731</v>
      </c>
      <c r="F5008" s="160">
        <v>88779.81</v>
      </c>
      <c r="G5008" s="160">
        <f>'FACP$'!$F5008*0.16</f>
        <v>14204.7696</v>
      </c>
      <c r="H5008" s="160">
        <f t="shared" si="124"/>
        <v>102984.5796</v>
      </c>
      <c r="I5008" s="160">
        <v>51492.29</v>
      </c>
      <c r="J5008" s="161"/>
      <c r="K5008" s="160"/>
      <c r="L5008" s="160">
        <f>+'FACP$'!$H5008-'FACP$'!$I5008-'FACP$'!$K5008</f>
        <v>51492.2896</v>
      </c>
      <c r="M5008" s="162" t="s">
        <v>276</v>
      </c>
      <c r="N5008" s="162" t="s">
        <v>554</v>
      </c>
      <c r="O5008" s="164">
        <v>45541.0</v>
      </c>
      <c r="P5008" s="164">
        <f t="array" ref="P5008">XLOOKUP('FACP$'!$B5008,'perfil de pagos'!$A$4:$A$46,'perfil de pagos'!$B$4:$B$46+'FACP$'!$D5008)</f>
        <v>45486</v>
      </c>
      <c r="Q5008" s="165">
        <f t="shared" si="128"/>
        <v>0</v>
      </c>
      <c r="R5008" s="167" t="s">
        <v>6350</v>
      </c>
      <c r="S5008" s="167" t="s">
        <v>6351</v>
      </c>
      <c r="T5008" s="168">
        <f t="shared" si="3"/>
        <v>51492.2896</v>
      </c>
      <c r="U5008" s="168">
        <f t="shared" si="4"/>
        <v>0</v>
      </c>
      <c r="V5008" s="168">
        <f t="shared" si="5"/>
        <v>0</v>
      </c>
      <c r="W5008" s="168">
        <f t="shared" si="6"/>
        <v>0</v>
      </c>
      <c r="X5008" s="168">
        <f t="shared" si="7"/>
        <v>0</v>
      </c>
      <c r="Y5008" s="168">
        <f t="shared" si="8"/>
        <v>0</v>
      </c>
      <c r="Z5008" s="168">
        <f t="shared" si="9"/>
        <v>0</v>
      </c>
    </row>
    <row r="5009" ht="15.0" customHeight="1">
      <c r="A5009" s="157" t="s">
        <v>6352</v>
      </c>
      <c r="B5009" s="158" t="s">
        <v>42</v>
      </c>
      <c r="C5009" s="158" t="s">
        <v>6349</v>
      </c>
      <c r="D5009" s="159">
        <v>45476.0</v>
      </c>
      <c r="E5009" s="157" t="s">
        <v>731</v>
      </c>
      <c r="F5009" s="160">
        <v>39446.47</v>
      </c>
      <c r="G5009" s="160">
        <f>'FACP$'!$F5009*0.16</f>
        <v>6311.4352</v>
      </c>
      <c r="H5009" s="160">
        <f t="shared" si="124"/>
        <v>45757.9052</v>
      </c>
      <c r="I5009" s="160"/>
      <c r="J5009" s="161"/>
      <c r="K5009" s="160"/>
      <c r="L5009" s="160">
        <f>+'FACP$'!$H5009-'FACP$'!$I5009-'FACP$'!$K5009</f>
        <v>45757.9052</v>
      </c>
      <c r="M5009" s="162" t="s">
        <v>42</v>
      </c>
      <c r="N5009" s="162" t="s">
        <v>554</v>
      </c>
      <c r="O5009" s="164">
        <v>45491.0</v>
      </c>
      <c r="P5009" s="164">
        <f t="array" ref="P5009">XLOOKUP('FACP$'!$B5009,'perfil de pagos'!$A$4:$A$46,'perfil de pagos'!$B$4:$B$46+'FACP$'!$D5009)</f>
        <v>45486</v>
      </c>
      <c r="Q5009" s="165">
        <f t="shared" si="128"/>
        <v>0</v>
      </c>
      <c r="R5009" s="167"/>
      <c r="S5009" s="167">
        <v>3154.0</v>
      </c>
      <c r="T5009" s="168">
        <f t="shared" si="3"/>
        <v>45757.9052</v>
      </c>
      <c r="U5009" s="168">
        <f t="shared" si="4"/>
        <v>0</v>
      </c>
      <c r="V5009" s="168">
        <f t="shared" si="5"/>
        <v>0</v>
      </c>
      <c r="W5009" s="168">
        <f t="shared" si="6"/>
        <v>0</v>
      </c>
      <c r="X5009" s="168">
        <f t="shared" si="7"/>
        <v>0</v>
      </c>
      <c r="Y5009" s="168">
        <f t="shared" si="8"/>
        <v>0</v>
      </c>
      <c r="Z5009" s="168">
        <f t="shared" si="9"/>
        <v>0</v>
      </c>
    </row>
    <row r="5010" ht="15.0" customHeight="1">
      <c r="A5010" s="157" t="s">
        <v>6353</v>
      </c>
      <c r="B5010" s="158" t="s">
        <v>43</v>
      </c>
      <c r="C5010" s="158" t="s">
        <v>6349</v>
      </c>
      <c r="D5010" s="159">
        <v>45476.0</v>
      </c>
      <c r="E5010" s="157" t="s">
        <v>731</v>
      </c>
      <c r="F5010" s="160">
        <v>296360.36</v>
      </c>
      <c r="G5010" s="160">
        <f>'FACP$'!$F5010*0.16</f>
        <v>47417.6576</v>
      </c>
      <c r="H5010" s="160">
        <f t="shared" si="124"/>
        <v>343778.0176</v>
      </c>
      <c r="I5010" s="160"/>
      <c r="J5010" s="161"/>
      <c r="K5010" s="160"/>
      <c r="L5010" s="160">
        <f>+'FACP$'!$H5010-'FACP$'!$I5010-'FACP$'!$K5010</f>
        <v>343778.0176</v>
      </c>
      <c r="M5010" s="162" t="s">
        <v>43</v>
      </c>
      <c r="N5010" s="162" t="s">
        <v>554</v>
      </c>
      <c r="O5010" s="164">
        <v>45525.0</v>
      </c>
      <c r="P5010" s="164">
        <f t="array" ref="P5010">XLOOKUP('FACP$'!$B5010,'perfil de pagos'!$A$4:$A$46,'perfil de pagos'!$B$4:$B$46+'FACP$'!$D5010)</f>
        <v>45501</v>
      </c>
      <c r="Q5010" s="165">
        <f t="shared" si="128"/>
        <v>0</v>
      </c>
      <c r="R5010" s="167"/>
      <c r="S5010" s="167">
        <v>3222.0</v>
      </c>
      <c r="T5010" s="168">
        <f t="shared" si="3"/>
        <v>343778.0176</v>
      </c>
      <c r="U5010" s="168">
        <f t="shared" si="4"/>
        <v>0</v>
      </c>
      <c r="V5010" s="168">
        <f t="shared" si="5"/>
        <v>0</v>
      </c>
      <c r="W5010" s="168">
        <f t="shared" si="6"/>
        <v>0</v>
      </c>
      <c r="X5010" s="168">
        <f t="shared" si="7"/>
        <v>0</v>
      </c>
      <c r="Y5010" s="168">
        <f t="shared" si="8"/>
        <v>0</v>
      </c>
      <c r="Z5010" s="168">
        <f t="shared" si="9"/>
        <v>0</v>
      </c>
    </row>
    <row r="5011" ht="15.0" customHeight="1">
      <c r="A5011" s="157" t="s">
        <v>6354</v>
      </c>
      <c r="B5011" s="158" t="s">
        <v>43</v>
      </c>
      <c r="C5011" s="158" t="s">
        <v>6355</v>
      </c>
      <c r="D5011" s="159">
        <v>45476.0</v>
      </c>
      <c r="E5011" s="157" t="s">
        <v>731</v>
      </c>
      <c r="F5011" s="160">
        <v>325445.44</v>
      </c>
      <c r="G5011" s="160">
        <f>'FACP$'!$F5011*0.16</f>
        <v>52071.2704</v>
      </c>
      <c r="H5011" s="160">
        <f t="shared" si="124"/>
        <v>377516.7104</v>
      </c>
      <c r="I5011" s="160"/>
      <c r="J5011" s="161"/>
      <c r="K5011" s="160"/>
      <c r="L5011" s="160">
        <f>+'FACP$'!$H5011-'FACP$'!$I5011-'FACP$'!$K5011</f>
        <v>377516.7104</v>
      </c>
      <c r="M5011" s="162" t="s">
        <v>43</v>
      </c>
      <c r="N5011" s="162" t="s">
        <v>554</v>
      </c>
      <c r="O5011" s="164">
        <v>45525.0</v>
      </c>
      <c r="P5011" s="164">
        <f t="array" ref="P5011">XLOOKUP('FACP$'!$B5011,'perfil de pagos'!$A$4:$A$46,'perfil de pagos'!$B$4:$B$46+'FACP$'!$D5011)</f>
        <v>45501</v>
      </c>
      <c r="Q5011" s="165">
        <f t="shared" si="128"/>
        <v>0</v>
      </c>
      <c r="R5011" s="167"/>
      <c r="S5011" s="167">
        <v>3221.0</v>
      </c>
      <c r="T5011" s="168">
        <f t="shared" si="3"/>
        <v>377516.7104</v>
      </c>
      <c r="U5011" s="168">
        <f t="shared" si="4"/>
        <v>0</v>
      </c>
      <c r="V5011" s="168">
        <f t="shared" si="5"/>
        <v>0</v>
      </c>
      <c r="W5011" s="168">
        <f t="shared" si="6"/>
        <v>0</v>
      </c>
      <c r="X5011" s="168">
        <f t="shared" si="7"/>
        <v>0</v>
      </c>
      <c r="Y5011" s="168">
        <f t="shared" si="8"/>
        <v>0</v>
      </c>
      <c r="Z5011" s="168">
        <f t="shared" si="9"/>
        <v>0</v>
      </c>
    </row>
    <row r="5012" ht="15.0" customHeight="1">
      <c r="A5012" s="157" t="s">
        <v>6356</v>
      </c>
      <c r="B5012" s="158" t="s">
        <v>44</v>
      </c>
      <c r="C5012" s="158" t="s">
        <v>6349</v>
      </c>
      <c r="D5012" s="159">
        <v>45476.0</v>
      </c>
      <c r="E5012" s="157" t="s">
        <v>731</v>
      </c>
      <c r="F5012" s="160">
        <v>20896.41</v>
      </c>
      <c r="G5012" s="160">
        <f>'FACP$'!$F5012*0.16</f>
        <v>3343.4256</v>
      </c>
      <c r="H5012" s="160">
        <f t="shared" si="124"/>
        <v>24239.8356</v>
      </c>
      <c r="I5012" s="160"/>
      <c r="J5012" s="161"/>
      <c r="K5012" s="160"/>
      <c r="L5012" s="160">
        <f>+'FACP$'!$H5012-'FACP$'!$I5012-'FACP$'!$K5012</f>
        <v>24239.8356</v>
      </c>
      <c r="M5012" s="162" t="s">
        <v>361</v>
      </c>
      <c r="N5012" s="162" t="s">
        <v>554</v>
      </c>
      <c r="O5012" s="164">
        <v>45485.0</v>
      </c>
      <c r="P5012" s="164">
        <f t="array" ref="P5012">XLOOKUP('FACP$'!$B5012,'perfil de pagos'!$A$4:$A$46,'perfil de pagos'!$B$4:$B$46+'FACP$'!$D5012)</f>
        <v>45486</v>
      </c>
      <c r="Q5012" s="165">
        <f t="shared" si="128"/>
        <v>0</v>
      </c>
      <c r="R5012" s="167"/>
      <c r="S5012" s="167">
        <v>3140.0</v>
      </c>
      <c r="T5012" s="168">
        <f t="shared" si="3"/>
        <v>24239.8356</v>
      </c>
      <c r="U5012" s="168">
        <f t="shared" si="4"/>
        <v>0</v>
      </c>
      <c r="V5012" s="168">
        <f t="shared" si="5"/>
        <v>0</v>
      </c>
      <c r="W5012" s="168">
        <f t="shared" si="6"/>
        <v>0</v>
      </c>
      <c r="X5012" s="168">
        <f t="shared" si="7"/>
        <v>0</v>
      </c>
      <c r="Y5012" s="168">
        <f t="shared" si="8"/>
        <v>0</v>
      </c>
      <c r="Z5012" s="168">
        <f t="shared" si="9"/>
        <v>0</v>
      </c>
    </row>
    <row r="5013" ht="15.0" customHeight="1">
      <c r="A5013" s="157" t="s">
        <v>6357</v>
      </c>
      <c r="B5013" s="158" t="s">
        <v>41</v>
      </c>
      <c r="C5013" s="158" t="s">
        <v>6349</v>
      </c>
      <c r="D5013" s="159">
        <v>45476.0</v>
      </c>
      <c r="E5013" s="157" t="s">
        <v>731</v>
      </c>
      <c r="F5013" s="160">
        <v>469718.57</v>
      </c>
      <c r="G5013" s="160">
        <f>'FACP$'!$F5013*0.16</f>
        <v>75154.9712</v>
      </c>
      <c r="H5013" s="160">
        <f t="shared" si="124"/>
        <v>544873.5412</v>
      </c>
      <c r="I5013" s="160"/>
      <c r="J5013" s="161"/>
      <c r="K5013" s="160"/>
      <c r="L5013" s="160">
        <f>+'FACP$'!$H5013-'FACP$'!$I5013-'FACP$'!$K5013</f>
        <v>544873.5412</v>
      </c>
      <c r="M5013" s="162" t="s">
        <v>121</v>
      </c>
      <c r="N5013" s="162" t="s">
        <v>554</v>
      </c>
      <c r="O5013" s="164">
        <v>45523.0</v>
      </c>
      <c r="P5013" s="164">
        <f t="array" ref="P5013">XLOOKUP('FACP$'!$B5013,'perfil de pagos'!$A$4:$A$46,'perfil de pagos'!$B$4:$B$46+'FACP$'!$D5013)</f>
        <v>45486</v>
      </c>
      <c r="Q5013" s="165">
        <f t="shared" si="128"/>
        <v>0</v>
      </c>
      <c r="R5013" s="167"/>
      <c r="S5013" s="167">
        <v>3213.0</v>
      </c>
      <c r="T5013" s="168">
        <f t="shared" si="3"/>
        <v>544873.5412</v>
      </c>
      <c r="U5013" s="168">
        <f t="shared" si="4"/>
        <v>0</v>
      </c>
      <c r="V5013" s="168">
        <f t="shared" si="5"/>
        <v>0</v>
      </c>
      <c r="W5013" s="168">
        <f t="shared" si="6"/>
        <v>0</v>
      </c>
      <c r="X5013" s="168">
        <f t="shared" si="7"/>
        <v>0</v>
      </c>
      <c r="Y5013" s="168">
        <f t="shared" si="8"/>
        <v>0</v>
      </c>
      <c r="Z5013" s="168">
        <f t="shared" si="9"/>
        <v>0</v>
      </c>
    </row>
    <row r="5014" ht="15.0" customHeight="1">
      <c r="A5014" s="157" t="s">
        <v>6358</v>
      </c>
      <c r="B5014" s="158" t="s">
        <v>36</v>
      </c>
      <c r="C5014" s="158" t="s">
        <v>6349</v>
      </c>
      <c r="D5014" s="159">
        <v>45476.0</v>
      </c>
      <c r="E5014" s="157" t="s">
        <v>731</v>
      </c>
      <c r="F5014" s="160">
        <v>138768.78</v>
      </c>
      <c r="G5014" s="160">
        <f>'FACP$'!$F5014*0.16</f>
        <v>22203.0048</v>
      </c>
      <c r="H5014" s="160">
        <f t="shared" si="124"/>
        <v>160971.7848</v>
      </c>
      <c r="I5014" s="160"/>
      <c r="J5014" s="161"/>
      <c r="K5014" s="160"/>
      <c r="L5014" s="160">
        <f>+'FACP$'!$H5014-'FACP$'!$I5014-'FACP$'!$K5014</f>
        <v>160971.7848</v>
      </c>
      <c r="M5014" s="162" t="s">
        <v>530</v>
      </c>
      <c r="N5014" s="162" t="s">
        <v>554</v>
      </c>
      <c r="O5014" s="164">
        <v>45490.0</v>
      </c>
      <c r="P5014" s="164">
        <f t="array" ref="P5014">XLOOKUP('FACP$'!$B5014,'perfil de pagos'!$A$4:$A$46,'perfil de pagos'!$B$4:$B$46+'FACP$'!$D5014)</f>
        <v>45486</v>
      </c>
      <c r="Q5014" s="165">
        <f t="shared" si="128"/>
        <v>0</v>
      </c>
      <c r="R5014" s="167"/>
      <c r="S5014" s="167">
        <v>3148.0</v>
      </c>
      <c r="T5014" s="168">
        <f t="shared" si="3"/>
        <v>160971.7848</v>
      </c>
      <c r="U5014" s="168">
        <f t="shared" si="4"/>
        <v>0</v>
      </c>
      <c r="V5014" s="168">
        <f t="shared" si="5"/>
        <v>0</v>
      </c>
      <c r="W5014" s="168">
        <f t="shared" si="6"/>
        <v>0</v>
      </c>
      <c r="X5014" s="168">
        <f t="shared" si="7"/>
        <v>0</v>
      </c>
      <c r="Y5014" s="168">
        <f t="shared" si="8"/>
        <v>0</v>
      </c>
      <c r="Z5014" s="168">
        <f t="shared" si="9"/>
        <v>0</v>
      </c>
    </row>
    <row r="5015" ht="15.0" customHeight="1">
      <c r="A5015" s="157" t="s">
        <v>6359</v>
      </c>
      <c r="B5015" s="158" t="s">
        <v>36</v>
      </c>
      <c r="C5015" s="158" t="s">
        <v>6355</v>
      </c>
      <c r="D5015" s="159">
        <v>45476.0</v>
      </c>
      <c r="E5015" s="157" t="s">
        <v>731</v>
      </c>
      <c r="F5015" s="160">
        <v>93571.17</v>
      </c>
      <c r="G5015" s="160">
        <f>'FACP$'!$F5015*0.16</f>
        <v>14971.3872</v>
      </c>
      <c r="H5015" s="160">
        <f t="shared" si="124"/>
        <v>108542.5572</v>
      </c>
      <c r="I5015" s="160"/>
      <c r="J5015" s="161"/>
      <c r="K5015" s="160"/>
      <c r="L5015" s="160">
        <f>+'FACP$'!$H5015-'FACP$'!$I5015-'FACP$'!$K5015</f>
        <v>108542.5572</v>
      </c>
      <c r="M5015" s="162" t="s">
        <v>530</v>
      </c>
      <c r="N5015" s="162" t="s">
        <v>554</v>
      </c>
      <c r="O5015" s="164">
        <v>45490.0</v>
      </c>
      <c r="P5015" s="164">
        <f t="array" ref="P5015">XLOOKUP('FACP$'!$B5015,'perfil de pagos'!$A$4:$A$46,'perfil de pagos'!$B$4:$B$46+'FACP$'!$D5015)</f>
        <v>45486</v>
      </c>
      <c r="Q5015" s="165">
        <f t="shared" si="128"/>
        <v>0</v>
      </c>
      <c r="R5015" s="167"/>
      <c r="S5015" s="167">
        <v>3149.0</v>
      </c>
      <c r="T5015" s="168">
        <f t="shared" si="3"/>
        <v>108542.5572</v>
      </c>
      <c r="U5015" s="168">
        <f t="shared" si="4"/>
        <v>0</v>
      </c>
      <c r="V5015" s="168">
        <f t="shared" si="5"/>
        <v>0</v>
      </c>
      <c r="W5015" s="168">
        <f t="shared" si="6"/>
        <v>0</v>
      </c>
      <c r="X5015" s="168">
        <f t="shared" si="7"/>
        <v>0</v>
      </c>
      <c r="Y5015" s="168">
        <f t="shared" si="8"/>
        <v>0</v>
      </c>
      <c r="Z5015" s="168">
        <f t="shared" si="9"/>
        <v>0</v>
      </c>
    </row>
    <row r="5016" ht="15.0" customHeight="1">
      <c r="A5016" s="157" t="s">
        <v>6360</v>
      </c>
      <c r="B5016" s="158" t="s">
        <v>36</v>
      </c>
      <c r="C5016" s="158" t="s">
        <v>6349</v>
      </c>
      <c r="D5016" s="159">
        <v>45476.0</v>
      </c>
      <c r="E5016" s="157" t="s">
        <v>731</v>
      </c>
      <c r="F5016" s="160">
        <v>19202.65</v>
      </c>
      <c r="G5016" s="160">
        <f>'FACP$'!$F5016*0.16</f>
        <v>3072.424</v>
      </c>
      <c r="H5016" s="160">
        <f t="shared" si="124"/>
        <v>22275.074</v>
      </c>
      <c r="I5016" s="160"/>
      <c r="J5016" s="161"/>
      <c r="K5016" s="160"/>
      <c r="L5016" s="160">
        <f>+'FACP$'!$H5016-'FACP$'!$I5016-'FACP$'!$K5016</f>
        <v>22275.074</v>
      </c>
      <c r="M5016" s="162" t="s">
        <v>526</v>
      </c>
      <c r="N5016" s="162" t="s">
        <v>554</v>
      </c>
      <c r="O5016" s="164">
        <v>45496.0</v>
      </c>
      <c r="P5016" s="164">
        <f t="array" ref="P5016">XLOOKUP('FACP$'!$B5016,'perfil de pagos'!$A$4:$A$46,'perfil de pagos'!$B$4:$B$46+'FACP$'!$D5016)</f>
        <v>45486</v>
      </c>
      <c r="Q5016" s="165">
        <f t="shared" si="128"/>
        <v>0</v>
      </c>
      <c r="R5016" s="167"/>
      <c r="S5016" s="167">
        <v>6162.0</v>
      </c>
      <c r="T5016" s="168">
        <f t="shared" si="3"/>
        <v>22275.074</v>
      </c>
      <c r="U5016" s="168">
        <f t="shared" si="4"/>
        <v>0</v>
      </c>
      <c r="V5016" s="168">
        <f t="shared" si="5"/>
        <v>0</v>
      </c>
      <c r="W5016" s="168">
        <f t="shared" si="6"/>
        <v>0</v>
      </c>
      <c r="X5016" s="168">
        <f t="shared" si="7"/>
        <v>0</v>
      </c>
      <c r="Y5016" s="168">
        <f t="shared" si="8"/>
        <v>0</v>
      </c>
      <c r="Z5016" s="168">
        <f t="shared" si="9"/>
        <v>0</v>
      </c>
    </row>
    <row r="5017" ht="15.0" customHeight="1">
      <c r="A5017" s="157" t="s">
        <v>6361</v>
      </c>
      <c r="B5017" s="158" t="s">
        <v>36</v>
      </c>
      <c r="C5017" s="158" t="s">
        <v>6355</v>
      </c>
      <c r="D5017" s="159">
        <v>45476.0</v>
      </c>
      <c r="E5017" s="157" t="s">
        <v>731</v>
      </c>
      <c r="F5017" s="160">
        <v>21086.16</v>
      </c>
      <c r="G5017" s="160">
        <f>'FACP$'!$F5017*0.16</f>
        <v>3373.7856</v>
      </c>
      <c r="H5017" s="160">
        <f t="shared" si="124"/>
        <v>24459.9456</v>
      </c>
      <c r="I5017" s="160"/>
      <c r="J5017" s="161"/>
      <c r="K5017" s="160"/>
      <c r="L5017" s="160">
        <f>+'FACP$'!$H5017-'FACP$'!$I5017-'FACP$'!$K5017</f>
        <v>24459.9456</v>
      </c>
      <c r="M5017" s="162" t="s">
        <v>526</v>
      </c>
      <c r="N5017" s="162" t="s">
        <v>554</v>
      </c>
      <c r="O5017" s="164">
        <v>45496.0</v>
      </c>
      <c r="P5017" s="164">
        <f t="array" ref="P5017">XLOOKUP('FACP$'!$B5017,'perfil de pagos'!$A$4:$A$46,'perfil de pagos'!$B$4:$B$46+'FACP$'!$D5017)</f>
        <v>45486</v>
      </c>
      <c r="Q5017" s="165">
        <f t="shared" si="128"/>
        <v>0</v>
      </c>
      <c r="R5017" s="167"/>
      <c r="S5017" s="167">
        <v>3161.0</v>
      </c>
      <c r="T5017" s="168">
        <f t="shared" si="3"/>
        <v>24459.9456</v>
      </c>
      <c r="U5017" s="168">
        <f t="shared" si="4"/>
        <v>0</v>
      </c>
      <c r="V5017" s="168">
        <f t="shared" si="5"/>
        <v>0</v>
      </c>
      <c r="W5017" s="168">
        <f t="shared" si="6"/>
        <v>0</v>
      </c>
      <c r="X5017" s="168">
        <f t="shared" si="7"/>
        <v>0</v>
      </c>
      <c r="Y5017" s="168">
        <f t="shared" si="8"/>
        <v>0</v>
      </c>
      <c r="Z5017" s="168">
        <f t="shared" si="9"/>
        <v>0</v>
      </c>
    </row>
    <row r="5018" ht="15.0" customHeight="1">
      <c r="A5018" s="157" t="s">
        <v>6362</v>
      </c>
      <c r="B5018" s="158" t="s">
        <v>27</v>
      </c>
      <c r="C5018" s="158" t="s">
        <v>6363</v>
      </c>
      <c r="D5018" s="159">
        <v>45476.0</v>
      </c>
      <c r="E5018" s="157" t="s">
        <v>731</v>
      </c>
      <c r="F5018" s="160">
        <v>27273.68</v>
      </c>
      <c r="G5018" s="160">
        <f>'FACP$'!$F5018*0.16</f>
        <v>4363.7888</v>
      </c>
      <c r="H5018" s="160">
        <f t="shared" si="124"/>
        <v>31637.4688</v>
      </c>
      <c r="I5018" s="160"/>
      <c r="J5018" s="161"/>
      <c r="K5018" s="160"/>
      <c r="L5018" s="160">
        <f>+'FACP$'!$H5018-'FACP$'!$I5018-'FACP$'!$K5018</f>
        <v>31637.4688</v>
      </c>
      <c r="M5018" s="162" t="s">
        <v>158</v>
      </c>
      <c r="N5018" s="162" t="s">
        <v>554</v>
      </c>
      <c r="O5018" s="164">
        <v>45520.0</v>
      </c>
      <c r="P5018" s="164">
        <f t="array" ref="P5018">XLOOKUP('FACP$'!$B5018,'perfil de pagos'!$A$4:$A$46,'perfil de pagos'!$B$4:$B$46+'FACP$'!$D5018)</f>
        <v>45506</v>
      </c>
      <c r="Q5018" s="165">
        <f t="shared" si="128"/>
        <v>0</v>
      </c>
      <c r="R5018" s="167"/>
      <c r="S5018" s="167">
        <v>3210.0</v>
      </c>
      <c r="T5018" s="168">
        <f t="shared" si="3"/>
        <v>31637.4688</v>
      </c>
      <c r="U5018" s="168">
        <f t="shared" si="4"/>
        <v>0</v>
      </c>
      <c r="V5018" s="168">
        <f t="shared" si="5"/>
        <v>0</v>
      </c>
      <c r="W5018" s="168">
        <f t="shared" si="6"/>
        <v>0</v>
      </c>
      <c r="X5018" s="168">
        <f t="shared" si="7"/>
        <v>0</v>
      </c>
      <c r="Y5018" s="168">
        <f t="shared" si="8"/>
        <v>0</v>
      </c>
      <c r="Z5018" s="168">
        <f t="shared" si="9"/>
        <v>0</v>
      </c>
    </row>
    <row r="5019" ht="15.0" customHeight="1">
      <c r="A5019" s="157" t="s">
        <v>6364</v>
      </c>
      <c r="B5019" s="158" t="s">
        <v>27</v>
      </c>
      <c r="C5019" s="158" t="s">
        <v>6365</v>
      </c>
      <c r="D5019" s="159">
        <v>45476.0</v>
      </c>
      <c r="E5019" s="157" t="s">
        <v>731</v>
      </c>
      <c r="F5019" s="160">
        <v>23116.22</v>
      </c>
      <c r="G5019" s="160">
        <f>'FACP$'!$F5019*0.16</f>
        <v>3698.5952</v>
      </c>
      <c r="H5019" s="160">
        <f t="shared" si="124"/>
        <v>26814.8152</v>
      </c>
      <c r="I5019" s="160"/>
      <c r="J5019" s="161"/>
      <c r="K5019" s="160"/>
      <c r="L5019" s="160">
        <f>+'FACP$'!$H5019-'FACP$'!$I5019-'FACP$'!$K5019</f>
        <v>26814.8152</v>
      </c>
      <c r="M5019" s="162" t="s">
        <v>158</v>
      </c>
      <c r="N5019" s="162" t="s">
        <v>554</v>
      </c>
      <c r="O5019" s="164">
        <v>45520.0</v>
      </c>
      <c r="P5019" s="164">
        <f t="array" ref="P5019">XLOOKUP('FACP$'!$B5019,'perfil de pagos'!$A$4:$A$46,'perfil de pagos'!$B$4:$B$46+'FACP$'!$D5019)</f>
        <v>45506</v>
      </c>
      <c r="Q5019" s="165">
        <f t="shared" si="128"/>
        <v>0</v>
      </c>
      <c r="R5019" s="167"/>
      <c r="S5019" s="167">
        <v>3210.0</v>
      </c>
      <c r="T5019" s="168">
        <f t="shared" si="3"/>
        <v>26814.8152</v>
      </c>
      <c r="U5019" s="168">
        <f t="shared" si="4"/>
        <v>0</v>
      </c>
      <c r="V5019" s="168">
        <f t="shared" si="5"/>
        <v>0</v>
      </c>
      <c r="W5019" s="168">
        <f t="shared" si="6"/>
        <v>0</v>
      </c>
      <c r="X5019" s="168">
        <f t="shared" si="7"/>
        <v>0</v>
      </c>
      <c r="Y5019" s="168">
        <f t="shared" si="8"/>
        <v>0</v>
      </c>
      <c r="Z5019" s="168">
        <f t="shared" si="9"/>
        <v>0</v>
      </c>
    </row>
    <row r="5020" ht="15.0" customHeight="1">
      <c r="A5020" s="157" t="s">
        <v>6366</v>
      </c>
      <c r="B5020" s="158" t="s">
        <v>27</v>
      </c>
      <c r="C5020" s="158" t="s">
        <v>6363</v>
      </c>
      <c r="D5020" s="159">
        <v>45476.0</v>
      </c>
      <c r="E5020" s="157" t="s">
        <v>731</v>
      </c>
      <c r="F5020" s="160">
        <v>43672.27</v>
      </c>
      <c r="G5020" s="160">
        <f>'FACP$'!$F5020*0.16</f>
        <v>6987.5632</v>
      </c>
      <c r="H5020" s="160">
        <f t="shared" si="124"/>
        <v>50659.8332</v>
      </c>
      <c r="I5020" s="160"/>
      <c r="J5020" s="161"/>
      <c r="K5020" s="160"/>
      <c r="L5020" s="160">
        <f>+'FACP$'!$H5020-'FACP$'!$I5020-'FACP$'!$K5020</f>
        <v>50659.8332</v>
      </c>
      <c r="M5020" s="162" t="s">
        <v>151</v>
      </c>
      <c r="N5020" s="162" t="s">
        <v>554</v>
      </c>
      <c r="O5020" s="164">
        <v>45520.0</v>
      </c>
      <c r="P5020" s="164">
        <f t="array" ref="P5020">XLOOKUP('FACP$'!$B5020,'perfil de pagos'!$A$4:$A$46,'perfil de pagos'!$B$4:$B$46+'FACP$'!$D5020)</f>
        <v>45506</v>
      </c>
      <c r="Q5020" s="165">
        <f t="shared" si="128"/>
        <v>0</v>
      </c>
      <c r="R5020" s="167"/>
      <c r="S5020" s="167">
        <v>3209.0</v>
      </c>
      <c r="T5020" s="168">
        <f t="shared" si="3"/>
        <v>50659.8332</v>
      </c>
      <c r="U5020" s="168">
        <f t="shared" si="4"/>
        <v>0</v>
      </c>
      <c r="V5020" s="168">
        <f t="shared" si="5"/>
        <v>0</v>
      </c>
      <c r="W5020" s="168">
        <f t="shared" si="6"/>
        <v>0</v>
      </c>
      <c r="X5020" s="168">
        <f t="shared" si="7"/>
        <v>0</v>
      </c>
      <c r="Y5020" s="168">
        <f t="shared" si="8"/>
        <v>0</v>
      </c>
      <c r="Z5020" s="168">
        <f t="shared" si="9"/>
        <v>0</v>
      </c>
    </row>
    <row r="5021" ht="15.0" customHeight="1">
      <c r="A5021" s="157" t="s">
        <v>6367</v>
      </c>
      <c r="B5021" s="158" t="s">
        <v>27</v>
      </c>
      <c r="C5021" s="158" t="s">
        <v>6365</v>
      </c>
      <c r="D5021" s="159">
        <v>45476.0</v>
      </c>
      <c r="E5021" s="157" t="s">
        <v>731</v>
      </c>
      <c r="F5021" s="160">
        <v>30952.97</v>
      </c>
      <c r="G5021" s="160">
        <f>'FACP$'!$F5021*0.16</f>
        <v>4952.4752</v>
      </c>
      <c r="H5021" s="160">
        <f t="shared" si="124"/>
        <v>35905.4452</v>
      </c>
      <c r="I5021" s="160"/>
      <c r="J5021" s="161"/>
      <c r="K5021" s="160"/>
      <c r="L5021" s="160">
        <f>+'FACP$'!$H5021-'FACP$'!$I5021-'FACP$'!$K5021</f>
        <v>35905.4452</v>
      </c>
      <c r="M5021" s="162" t="s">
        <v>151</v>
      </c>
      <c r="N5021" s="162" t="s">
        <v>554</v>
      </c>
      <c r="O5021" s="164">
        <v>45520.0</v>
      </c>
      <c r="P5021" s="164">
        <f t="array" ref="P5021">XLOOKUP('FACP$'!$B5021,'perfil de pagos'!$A$4:$A$46,'perfil de pagos'!$B$4:$B$46+'FACP$'!$D5021)</f>
        <v>45506</v>
      </c>
      <c r="Q5021" s="165">
        <f t="shared" si="128"/>
        <v>0</v>
      </c>
      <c r="R5021" s="167"/>
      <c r="S5021" s="167">
        <v>3209.0</v>
      </c>
      <c r="T5021" s="168">
        <f t="shared" si="3"/>
        <v>35905.4452</v>
      </c>
      <c r="U5021" s="168">
        <f t="shared" si="4"/>
        <v>0</v>
      </c>
      <c r="V5021" s="168">
        <f t="shared" si="5"/>
        <v>0</v>
      </c>
      <c r="W5021" s="168">
        <f t="shared" si="6"/>
        <v>0</v>
      </c>
      <c r="X5021" s="168">
        <f t="shared" si="7"/>
        <v>0</v>
      </c>
      <c r="Y5021" s="168">
        <f t="shared" si="8"/>
        <v>0</v>
      </c>
      <c r="Z5021" s="168">
        <f t="shared" si="9"/>
        <v>0</v>
      </c>
    </row>
    <row r="5022" ht="15.0" customHeight="1">
      <c r="A5022" s="157" t="s">
        <v>6368</v>
      </c>
      <c r="B5022" s="158" t="s">
        <v>27</v>
      </c>
      <c r="C5022" s="158" t="s">
        <v>6363</v>
      </c>
      <c r="D5022" s="159">
        <v>45476.0</v>
      </c>
      <c r="E5022" s="157" t="s">
        <v>731</v>
      </c>
      <c r="F5022" s="160">
        <v>1111.89</v>
      </c>
      <c r="G5022" s="160">
        <f>'FACP$'!$F5022*0.16</f>
        <v>177.9024</v>
      </c>
      <c r="H5022" s="160">
        <f t="shared" si="124"/>
        <v>1289.7924</v>
      </c>
      <c r="I5022" s="160"/>
      <c r="J5022" s="161"/>
      <c r="K5022" s="160"/>
      <c r="L5022" s="160">
        <f>+'FACP$'!$H5022-'FACP$'!$I5022-'FACP$'!$K5022</f>
        <v>1289.7924</v>
      </c>
      <c r="M5022" s="162" t="s">
        <v>151</v>
      </c>
      <c r="N5022" s="162" t="s">
        <v>554</v>
      </c>
      <c r="O5022" s="164">
        <v>45520.0</v>
      </c>
      <c r="P5022" s="164">
        <f t="array" ref="P5022">XLOOKUP('FACP$'!$B5022,'perfil de pagos'!$A$4:$A$46,'perfil de pagos'!$B$4:$B$46+'FACP$'!$D5022)</f>
        <v>45506</v>
      </c>
      <c r="Q5022" s="165">
        <f t="shared" si="128"/>
        <v>0</v>
      </c>
      <c r="R5022" s="167"/>
      <c r="S5022" s="167">
        <v>3209.0</v>
      </c>
      <c r="T5022" s="168">
        <f t="shared" si="3"/>
        <v>1289.7924</v>
      </c>
      <c r="U5022" s="168">
        <f t="shared" si="4"/>
        <v>0</v>
      </c>
      <c r="V5022" s="168">
        <f t="shared" si="5"/>
        <v>0</v>
      </c>
      <c r="W5022" s="168">
        <f t="shared" si="6"/>
        <v>0</v>
      </c>
      <c r="X5022" s="168">
        <f t="shared" si="7"/>
        <v>0</v>
      </c>
      <c r="Y5022" s="168">
        <f t="shared" si="8"/>
        <v>0</v>
      </c>
      <c r="Z5022" s="168">
        <f t="shared" si="9"/>
        <v>0</v>
      </c>
    </row>
    <row r="5023" ht="15.0" customHeight="1">
      <c r="A5023" s="157" t="s">
        <v>6369</v>
      </c>
      <c r="B5023" s="158" t="s">
        <v>27</v>
      </c>
      <c r="C5023" s="158" t="s">
        <v>6365</v>
      </c>
      <c r="D5023" s="159">
        <v>45476.0</v>
      </c>
      <c r="E5023" s="157" t="s">
        <v>731</v>
      </c>
      <c r="F5023" s="160">
        <v>1545.97</v>
      </c>
      <c r="G5023" s="160">
        <f>'FACP$'!$F5023*0.16</f>
        <v>247.3552</v>
      </c>
      <c r="H5023" s="160">
        <f t="shared" si="124"/>
        <v>1793.3252</v>
      </c>
      <c r="I5023" s="160"/>
      <c r="J5023" s="161"/>
      <c r="K5023" s="160"/>
      <c r="L5023" s="160">
        <f>+'FACP$'!$H5023-'FACP$'!$I5023-'FACP$'!$K5023</f>
        <v>1793.3252</v>
      </c>
      <c r="M5023" s="162" t="s">
        <v>151</v>
      </c>
      <c r="N5023" s="162" t="s">
        <v>554</v>
      </c>
      <c r="O5023" s="164">
        <v>45520.0</v>
      </c>
      <c r="P5023" s="164">
        <f t="array" ref="P5023">XLOOKUP('FACP$'!$B5023,'perfil de pagos'!$A$4:$A$46,'perfil de pagos'!$B$4:$B$46+'FACP$'!$D5023)</f>
        <v>45506</v>
      </c>
      <c r="Q5023" s="165">
        <f t="shared" si="128"/>
        <v>0</v>
      </c>
      <c r="R5023" s="167"/>
      <c r="S5023" s="167">
        <v>3209.0</v>
      </c>
      <c r="T5023" s="168">
        <f t="shared" si="3"/>
        <v>1793.3252</v>
      </c>
      <c r="U5023" s="168">
        <f t="shared" si="4"/>
        <v>0</v>
      </c>
      <c r="V5023" s="168">
        <f t="shared" si="5"/>
        <v>0</v>
      </c>
      <c r="W5023" s="168">
        <f t="shared" si="6"/>
        <v>0</v>
      </c>
      <c r="X5023" s="168">
        <f t="shared" si="7"/>
        <v>0</v>
      </c>
      <c r="Y5023" s="168">
        <f t="shared" si="8"/>
        <v>0</v>
      </c>
      <c r="Z5023" s="168">
        <f t="shared" si="9"/>
        <v>0</v>
      </c>
      <c r="AA5023" s="12"/>
      <c r="AB5023" s="12"/>
      <c r="AC5023" s="12"/>
    </row>
    <row r="5024" ht="15.0" customHeight="1">
      <c r="A5024" s="157" t="s">
        <v>6370</v>
      </c>
      <c r="B5024" s="158" t="s">
        <v>38</v>
      </c>
      <c r="C5024" s="158" t="s">
        <v>6363</v>
      </c>
      <c r="D5024" s="159">
        <v>45476.0</v>
      </c>
      <c r="E5024" s="157" t="s">
        <v>731</v>
      </c>
      <c r="F5024" s="160">
        <v>58539.5</v>
      </c>
      <c r="G5024" s="160">
        <f>'FACP$'!$F5024*0.16</f>
        <v>9366.32</v>
      </c>
      <c r="H5024" s="160">
        <f t="shared" si="124"/>
        <v>67905.82</v>
      </c>
      <c r="I5024" s="160"/>
      <c r="J5024" s="161"/>
      <c r="K5024" s="160"/>
      <c r="L5024" s="160">
        <f>+'FACP$'!$H5024-'FACP$'!$I5024-'FACP$'!$K5024</f>
        <v>67905.82</v>
      </c>
      <c r="M5024" s="162" t="s">
        <v>4707</v>
      </c>
      <c r="N5024" s="162" t="s">
        <v>554</v>
      </c>
      <c r="O5024" s="164">
        <v>45525.0</v>
      </c>
      <c r="P5024" s="164">
        <f t="array" ref="P5024">XLOOKUP('FACP$'!$B5024,'perfil de pagos'!$A$4:$A$46,'perfil de pagos'!$B$4:$B$46+'FACP$'!$D5024)</f>
        <v>45506</v>
      </c>
      <c r="Q5024" s="165">
        <f t="shared" si="128"/>
        <v>0</v>
      </c>
      <c r="R5024" s="167"/>
      <c r="S5024" s="167">
        <v>3220.0</v>
      </c>
      <c r="T5024" s="168">
        <f t="shared" si="3"/>
        <v>67905.82</v>
      </c>
      <c r="U5024" s="168">
        <f t="shared" si="4"/>
        <v>0</v>
      </c>
      <c r="V5024" s="168">
        <f t="shared" si="5"/>
        <v>0</v>
      </c>
      <c r="W5024" s="168">
        <f t="shared" si="6"/>
        <v>0</v>
      </c>
      <c r="X5024" s="168">
        <f t="shared" si="7"/>
        <v>0</v>
      </c>
      <c r="Y5024" s="168">
        <f t="shared" si="8"/>
        <v>0</v>
      </c>
      <c r="Z5024" s="168">
        <f t="shared" si="9"/>
        <v>0</v>
      </c>
    </row>
    <row r="5025" ht="15.0" customHeight="1">
      <c r="A5025" s="157" t="s">
        <v>6371</v>
      </c>
      <c r="B5025" s="158" t="s">
        <v>38</v>
      </c>
      <c r="C5025" s="158" t="s">
        <v>6365</v>
      </c>
      <c r="D5025" s="159">
        <v>45476.0</v>
      </c>
      <c r="E5025" s="157" t="s">
        <v>731</v>
      </c>
      <c r="F5025" s="160">
        <v>74225.79</v>
      </c>
      <c r="G5025" s="160">
        <f>'FACP$'!$F5025*0.16</f>
        <v>11876.1264</v>
      </c>
      <c r="H5025" s="160">
        <f t="shared" si="124"/>
        <v>86101.9164</v>
      </c>
      <c r="I5025" s="160"/>
      <c r="J5025" s="161"/>
      <c r="K5025" s="160"/>
      <c r="L5025" s="160">
        <f>+'FACP$'!$H5025-'FACP$'!$I5025-'FACP$'!$K5025</f>
        <v>86101.9164</v>
      </c>
      <c r="M5025" s="162" t="s">
        <v>4707</v>
      </c>
      <c r="N5025" s="162" t="s">
        <v>554</v>
      </c>
      <c r="O5025" s="164">
        <v>45525.0</v>
      </c>
      <c r="P5025" s="164">
        <f t="array" ref="P5025">XLOOKUP('FACP$'!$B5025,'perfil de pagos'!$A$4:$A$46,'perfil de pagos'!$B$4:$B$46+'FACP$'!$D5025)</f>
        <v>45506</v>
      </c>
      <c r="Q5025" s="165">
        <f t="shared" si="128"/>
        <v>0</v>
      </c>
      <c r="R5025" s="167"/>
      <c r="S5025" s="167">
        <v>3220.0</v>
      </c>
      <c r="T5025" s="168">
        <f t="shared" si="3"/>
        <v>86101.9164</v>
      </c>
      <c r="U5025" s="168">
        <f t="shared" si="4"/>
        <v>0</v>
      </c>
      <c r="V5025" s="168">
        <f t="shared" si="5"/>
        <v>0</v>
      </c>
      <c r="W5025" s="168">
        <f t="shared" si="6"/>
        <v>0</v>
      </c>
      <c r="X5025" s="168">
        <f t="shared" si="7"/>
        <v>0</v>
      </c>
      <c r="Y5025" s="168">
        <f t="shared" si="8"/>
        <v>0</v>
      </c>
      <c r="Z5025" s="168">
        <f t="shared" si="9"/>
        <v>0</v>
      </c>
      <c r="AA5025" s="96"/>
      <c r="AB5025" s="96"/>
      <c r="AC5025" s="96"/>
    </row>
    <row r="5026" ht="15.0" customHeight="1">
      <c r="A5026" s="157" t="s">
        <v>6372</v>
      </c>
      <c r="B5026" s="158" t="s">
        <v>38</v>
      </c>
      <c r="C5026" s="158" t="s">
        <v>6363</v>
      </c>
      <c r="D5026" s="159">
        <v>45476.0</v>
      </c>
      <c r="E5026" s="157" t="s">
        <v>731</v>
      </c>
      <c r="F5026" s="160">
        <v>106711.03</v>
      </c>
      <c r="G5026" s="160">
        <f>'FACP$'!$F5026*0.16</f>
        <v>17073.7648</v>
      </c>
      <c r="H5026" s="160">
        <f t="shared" si="124"/>
        <v>123784.7948</v>
      </c>
      <c r="I5026" s="160"/>
      <c r="J5026" s="161"/>
      <c r="K5026" s="160"/>
      <c r="L5026" s="160">
        <f>+'FACP$'!$H5026-'FACP$'!$I5026-'FACP$'!$K5026</f>
        <v>123784.7948</v>
      </c>
      <c r="M5026" s="162" t="s">
        <v>4654</v>
      </c>
      <c r="N5026" s="162" t="s">
        <v>554</v>
      </c>
      <c r="O5026" s="164">
        <v>45525.0</v>
      </c>
      <c r="P5026" s="164">
        <f t="array" ref="P5026">XLOOKUP('FACP$'!$B5026,'perfil de pagos'!$A$4:$A$46,'perfil de pagos'!$B$4:$B$46+'FACP$'!$D5026)</f>
        <v>45506</v>
      </c>
      <c r="Q5026" s="165">
        <f t="shared" si="128"/>
        <v>0</v>
      </c>
      <c r="R5026" s="167"/>
      <c r="S5026" s="167">
        <v>3220.0</v>
      </c>
      <c r="T5026" s="168">
        <f t="shared" si="3"/>
        <v>123784.7948</v>
      </c>
      <c r="U5026" s="168">
        <f t="shared" si="4"/>
        <v>0</v>
      </c>
      <c r="V5026" s="168">
        <f t="shared" si="5"/>
        <v>0</v>
      </c>
      <c r="W5026" s="168">
        <f t="shared" si="6"/>
        <v>0</v>
      </c>
      <c r="X5026" s="168">
        <f t="shared" si="7"/>
        <v>0</v>
      </c>
      <c r="Y5026" s="168">
        <f t="shared" si="8"/>
        <v>0</v>
      </c>
      <c r="Z5026" s="168">
        <f t="shared" si="9"/>
        <v>0</v>
      </c>
    </row>
    <row r="5027" ht="15.0" customHeight="1">
      <c r="A5027" s="157" t="s">
        <v>6373</v>
      </c>
      <c r="B5027" s="158" t="s">
        <v>27</v>
      </c>
      <c r="C5027" s="158" t="s">
        <v>6374</v>
      </c>
      <c r="D5027" s="159">
        <v>45476.0</v>
      </c>
      <c r="E5027" s="157" t="s">
        <v>731</v>
      </c>
      <c r="F5027" s="160">
        <v>46000.0</v>
      </c>
      <c r="G5027" s="160">
        <f>'FACP$'!$F5027*0.16</f>
        <v>7360</v>
      </c>
      <c r="H5027" s="160">
        <f t="shared" si="124"/>
        <v>53360</v>
      </c>
      <c r="I5027" s="160"/>
      <c r="J5027" s="161"/>
      <c r="K5027" s="160"/>
      <c r="L5027" s="160">
        <f>+'FACP$'!$H5027-'FACP$'!$I5027-'FACP$'!$K5027</f>
        <v>53360</v>
      </c>
      <c r="M5027" s="162" t="s">
        <v>5804</v>
      </c>
      <c r="N5027" s="162" t="s">
        <v>554</v>
      </c>
      <c r="O5027" s="164">
        <v>45488.0</v>
      </c>
      <c r="P5027" s="164">
        <f t="array" ref="P5027">XLOOKUP('FACP$'!$B5027,'perfil de pagos'!$A$4:$A$46,'perfil de pagos'!$B$4:$B$46+'FACP$'!$D5027)</f>
        <v>45506</v>
      </c>
      <c r="Q5027" s="165">
        <f t="shared" si="128"/>
        <v>0</v>
      </c>
      <c r="R5027" s="167"/>
      <c r="S5027" s="167"/>
      <c r="T5027" s="168">
        <f t="shared" si="3"/>
        <v>53360</v>
      </c>
      <c r="U5027" s="168">
        <f t="shared" si="4"/>
        <v>0</v>
      </c>
      <c r="V5027" s="168">
        <f t="shared" si="5"/>
        <v>0</v>
      </c>
      <c r="W5027" s="168">
        <f t="shared" si="6"/>
        <v>0</v>
      </c>
      <c r="X5027" s="168">
        <f t="shared" si="7"/>
        <v>0</v>
      </c>
      <c r="Y5027" s="168">
        <f t="shared" si="8"/>
        <v>0</v>
      </c>
      <c r="Z5027" s="168">
        <f t="shared" si="9"/>
        <v>0</v>
      </c>
    </row>
    <row r="5028" ht="15.0" customHeight="1">
      <c r="A5028" s="157" t="s">
        <v>6375</v>
      </c>
      <c r="B5028" s="158" t="s">
        <v>48</v>
      </c>
      <c r="C5028" s="158" t="s">
        <v>6376</v>
      </c>
      <c r="D5028" s="159">
        <v>45476.0</v>
      </c>
      <c r="E5028" s="157" t="s">
        <v>731</v>
      </c>
      <c r="F5028" s="160">
        <v>330000.0</v>
      </c>
      <c r="G5028" s="160">
        <f>'FACP$'!$F5028*0.16</f>
        <v>52800</v>
      </c>
      <c r="H5028" s="160">
        <f t="shared" si="124"/>
        <v>382800</v>
      </c>
      <c r="I5028" s="160"/>
      <c r="J5028" s="161"/>
      <c r="K5028" s="160"/>
      <c r="L5028" s="160">
        <f>+'FACP$'!$H5028-'FACP$'!$I5028-'FACP$'!$K5028</f>
        <v>382800</v>
      </c>
      <c r="M5028" s="162" t="s">
        <v>6171</v>
      </c>
      <c r="N5028" s="162" t="s">
        <v>554</v>
      </c>
      <c r="O5028" s="164">
        <v>45505.0</v>
      </c>
      <c r="P5028" s="164">
        <f t="array" ref="P5028">XLOOKUP('FACP$'!$B5028,'perfil de pagos'!$A$4:$A$46,'perfil de pagos'!$B$4:$B$46+'FACP$'!$D5028)</f>
        <v>45481</v>
      </c>
      <c r="Q5028" s="165">
        <f t="shared" si="128"/>
        <v>0</v>
      </c>
      <c r="R5028" s="167"/>
      <c r="S5028" s="167">
        <v>3184.0</v>
      </c>
      <c r="T5028" s="168">
        <f t="shared" si="3"/>
        <v>382800</v>
      </c>
      <c r="U5028" s="168">
        <f t="shared" si="4"/>
        <v>0</v>
      </c>
      <c r="V5028" s="168">
        <f t="shared" si="5"/>
        <v>0</v>
      </c>
      <c r="W5028" s="168">
        <f t="shared" si="6"/>
        <v>0</v>
      </c>
      <c r="X5028" s="168">
        <f t="shared" si="7"/>
        <v>0</v>
      </c>
      <c r="Y5028" s="168">
        <f t="shared" si="8"/>
        <v>0</v>
      </c>
      <c r="Z5028" s="168">
        <f t="shared" si="9"/>
        <v>0</v>
      </c>
    </row>
    <row r="5029" ht="15.0" customHeight="1">
      <c r="A5029" s="157" t="s">
        <v>6377</v>
      </c>
      <c r="B5029" s="158" t="s">
        <v>16</v>
      </c>
      <c r="C5029" s="158" t="s">
        <v>6349</v>
      </c>
      <c r="D5029" s="159">
        <v>45477.0</v>
      </c>
      <c r="E5029" s="157" t="s">
        <v>731</v>
      </c>
      <c r="F5029" s="160">
        <v>291152.19</v>
      </c>
      <c r="G5029" s="160">
        <f>'FACP$'!$F5029*0.16</f>
        <v>46584.3504</v>
      </c>
      <c r="H5029" s="160">
        <f t="shared" si="124"/>
        <v>337736.5404</v>
      </c>
      <c r="I5029" s="160"/>
      <c r="J5029" s="161"/>
      <c r="K5029" s="160"/>
      <c r="L5029" s="160">
        <f>+'FACP$'!$H5029-'FACP$'!$I5029-'FACP$'!$K5029</f>
        <v>337736.5404</v>
      </c>
      <c r="M5029" s="162" t="s">
        <v>985</v>
      </c>
      <c r="N5029" s="162" t="s">
        <v>554</v>
      </c>
      <c r="O5029" s="164">
        <v>45490.0</v>
      </c>
      <c r="P5029" s="164">
        <f t="array" ref="P5029">XLOOKUP('FACP$'!$B5029,'perfil de pagos'!$A$4:$A$46,'perfil de pagos'!$B$4:$B$46+'FACP$'!$D5029)</f>
        <v>45487</v>
      </c>
      <c r="Q5029" s="165">
        <f t="shared" si="128"/>
        <v>0</v>
      </c>
      <c r="R5029" s="167"/>
      <c r="S5029" s="167">
        <v>3150.0</v>
      </c>
      <c r="T5029" s="168">
        <f t="shared" si="3"/>
        <v>337736.5404</v>
      </c>
      <c r="U5029" s="168">
        <f t="shared" si="4"/>
        <v>0</v>
      </c>
      <c r="V5029" s="168">
        <f t="shared" si="5"/>
        <v>0</v>
      </c>
      <c r="W5029" s="168">
        <f t="shared" si="6"/>
        <v>0</v>
      </c>
      <c r="X5029" s="168">
        <f t="shared" si="7"/>
        <v>0</v>
      </c>
      <c r="Y5029" s="168">
        <f t="shared" si="8"/>
        <v>0</v>
      </c>
      <c r="Z5029" s="168">
        <f t="shared" si="9"/>
        <v>0</v>
      </c>
    </row>
    <row r="5030" ht="15.0" customHeight="1">
      <c r="A5030" s="157" t="s">
        <v>6378</v>
      </c>
      <c r="B5030" s="158" t="s">
        <v>16</v>
      </c>
      <c r="C5030" s="158" t="s">
        <v>6355</v>
      </c>
      <c r="D5030" s="159">
        <v>45477.0</v>
      </c>
      <c r="E5030" s="157" t="s">
        <v>731</v>
      </c>
      <c r="F5030" s="160">
        <v>371018.83</v>
      </c>
      <c r="G5030" s="160">
        <f>'FACP$'!$F5030*0.16</f>
        <v>59363.0128</v>
      </c>
      <c r="H5030" s="160">
        <f t="shared" si="124"/>
        <v>430381.8428</v>
      </c>
      <c r="I5030" s="160"/>
      <c r="J5030" s="161"/>
      <c r="K5030" s="160"/>
      <c r="L5030" s="160">
        <f>+'FACP$'!$H5030-'FACP$'!$I5030-'FACP$'!$K5030</f>
        <v>430381.8428</v>
      </c>
      <c r="M5030" s="162" t="s">
        <v>985</v>
      </c>
      <c r="N5030" s="162" t="s">
        <v>554</v>
      </c>
      <c r="O5030" s="164">
        <v>45490.0</v>
      </c>
      <c r="P5030" s="164">
        <f t="array" ref="P5030">XLOOKUP('FACP$'!$B5030,'perfil de pagos'!$A$4:$A$46,'perfil de pagos'!$B$4:$B$46+'FACP$'!$D5030)</f>
        <v>45487</v>
      </c>
      <c r="Q5030" s="165">
        <f t="shared" si="128"/>
        <v>0</v>
      </c>
      <c r="R5030" s="167"/>
      <c r="S5030" s="167">
        <v>3150.0</v>
      </c>
      <c r="T5030" s="168">
        <f t="shared" si="3"/>
        <v>430381.8428</v>
      </c>
      <c r="U5030" s="168">
        <f t="shared" si="4"/>
        <v>0</v>
      </c>
      <c r="V5030" s="168">
        <f t="shared" si="5"/>
        <v>0</v>
      </c>
      <c r="W5030" s="168">
        <f t="shared" si="6"/>
        <v>0</v>
      </c>
      <c r="X5030" s="168">
        <f t="shared" si="7"/>
        <v>0</v>
      </c>
      <c r="Y5030" s="168">
        <f t="shared" si="8"/>
        <v>0</v>
      </c>
      <c r="Z5030" s="168">
        <f t="shared" si="9"/>
        <v>0</v>
      </c>
    </row>
    <row r="5031" ht="15.0" customHeight="1">
      <c r="A5031" s="157" t="s">
        <v>6379</v>
      </c>
      <c r="B5031" s="158" t="s">
        <v>18</v>
      </c>
      <c r="C5031" s="158" t="s">
        <v>6349</v>
      </c>
      <c r="D5031" s="159">
        <v>45477.0</v>
      </c>
      <c r="E5031" s="157" t="s">
        <v>731</v>
      </c>
      <c r="F5031" s="160">
        <v>80782.1</v>
      </c>
      <c r="G5031" s="160">
        <f>'FACP$'!$F5031*0.16</f>
        <v>12925.136</v>
      </c>
      <c r="H5031" s="160">
        <f t="shared" si="124"/>
        <v>93707.236</v>
      </c>
      <c r="I5031" s="160"/>
      <c r="J5031" s="161"/>
      <c r="K5031" s="160"/>
      <c r="L5031" s="160">
        <f>+'FACP$'!$H5031-'FACP$'!$I5031-'FACP$'!$K5031</f>
        <v>93707.236</v>
      </c>
      <c r="M5031" s="162" t="s">
        <v>586</v>
      </c>
      <c r="N5031" s="162" t="s">
        <v>554</v>
      </c>
      <c r="O5031" s="164">
        <v>45520.0</v>
      </c>
      <c r="P5031" s="164">
        <f t="array" ref="P5031">XLOOKUP('FACP$'!$B5031,'perfil de pagos'!$A$4:$A$46,'perfil de pagos'!$B$4:$B$46+'FACP$'!$D5031)</f>
        <v>45487</v>
      </c>
      <c r="Q5031" s="165">
        <f t="shared" si="128"/>
        <v>0</v>
      </c>
      <c r="R5031" s="167"/>
      <c r="S5031" s="167">
        <v>3211.0</v>
      </c>
      <c r="T5031" s="168">
        <f t="shared" si="3"/>
        <v>93707.236</v>
      </c>
      <c r="U5031" s="168">
        <f t="shared" si="4"/>
        <v>0</v>
      </c>
      <c r="V5031" s="168">
        <f t="shared" si="5"/>
        <v>0</v>
      </c>
      <c r="W5031" s="168">
        <f t="shared" si="6"/>
        <v>0</v>
      </c>
      <c r="X5031" s="168">
        <f t="shared" si="7"/>
        <v>0</v>
      </c>
      <c r="Y5031" s="168">
        <f t="shared" si="8"/>
        <v>0</v>
      </c>
      <c r="Z5031" s="168">
        <f t="shared" si="9"/>
        <v>0</v>
      </c>
    </row>
    <row r="5032" ht="15.0" customHeight="1">
      <c r="A5032" s="157" t="s">
        <v>6380</v>
      </c>
      <c r="B5032" s="158" t="s">
        <v>19</v>
      </c>
      <c r="C5032" s="158" t="s">
        <v>6349</v>
      </c>
      <c r="D5032" s="159">
        <v>45477.0</v>
      </c>
      <c r="E5032" s="157" t="s">
        <v>731</v>
      </c>
      <c r="F5032" s="160">
        <v>189127.58</v>
      </c>
      <c r="G5032" s="160">
        <f>'FACP$'!$F5032*0.16</f>
        <v>30260.4128</v>
      </c>
      <c r="H5032" s="160">
        <f t="shared" si="124"/>
        <v>219387.9928</v>
      </c>
      <c r="I5032" s="160"/>
      <c r="J5032" s="161"/>
      <c r="K5032" s="160"/>
      <c r="L5032" s="160">
        <f>+'FACP$'!$H5032-'FACP$'!$I5032-'FACP$'!$K5032</f>
        <v>219387.9928</v>
      </c>
      <c r="M5032" s="162" t="s">
        <v>732</v>
      </c>
      <c r="N5032" s="162" t="s">
        <v>554</v>
      </c>
      <c r="O5032" s="164">
        <v>45520.0</v>
      </c>
      <c r="P5032" s="164">
        <f t="array" ref="P5032">XLOOKUP('FACP$'!$B5032,'perfil de pagos'!$A$4:$A$46,'perfil de pagos'!$B$4:$B$46+'FACP$'!$D5032)</f>
        <v>45487</v>
      </c>
      <c r="Q5032" s="165">
        <f t="shared" si="128"/>
        <v>0</v>
      </c>
      <c r="R5032" s="167"/>
      <c r="S5032" s="167">
        <v>3211.0</v>
      </c>
      <c r="T5032" s="168">
        <f t="shared" si="3"/>
        <v>219387.9928</v>
      </c>
      <c r="U5032" s="168">
        <f t="shared" si="4"/>
        <v>0</v>
      </c>
      <c r="V5032" s="168">
        <f t="shared" si="5"/>
        <v>0</v>
      </c>
      <c r="W5032" s="168">
        <f t="shared" si="6"/>
        <v>0</v>
      </c>
      <c r="X5032" s="168">
        <f t="shared" si="7"/>
        <v>0</v>
      </c>
      <c r="Y5032" s="168">
        <f t="shared" si="8"/>
        <v>0</v>
      </c>
      <c r="Z5032" s="168">
        <f t="shared" si="9"/>
        <v>0</v>
      </c>
    </row>
    <row r="5033" ht="15.0" customHeight="1">
      <c r="A5033" s="157" t="s">
        <v>6381</v>
      </c>
      <c r="B5033" s="158" t="s">
        <v>22</v>
      </c>
      <c r="C5033" s="158" t="s">
        <v>6349</v>
      </c>
      <c r="D5033" s="159">
        <v>45477.0</v>
      </c>
      <c r="E5033" s="157" t="s">
        <v>731</v>
      </c>
      <c r="F5033" s="160">
        <v>363466.92</v>
      </c>
      <c r="G5033" s="160">
        <f>'FACP$'!$F5033*0.16</f>
        <v>58154.7072</v>
      </c>
      <c r="H5033" s="160">
        <f t="shared" si="124"/>
        <v>421621.6272</v>
      </c>
      <c r="I5033" s="160">
        <f>134204.55+250000</f>
        <v>384204.55</v>
      </c>
      <c r="J5033" s="161"/>
      <c r="K5033" s="160"/>
      <c r="L5033" s="160">
        <f>+'FACP$'!$H5033-'FACP$'!$I5033-'FACP$'!$K5033</f>
        <v>37417.0772</v>
      </c>
      <c r="M5033" s="162" t="s">
        <v>220</v>
      </c>
      <c r="N5033" s="162" t="s">
        <v>554</v>
      </c>
      <c r="O5033" s="164">
        <v>45541.0</v>
      </c>
      <c r="P5033" s="164">
        <f t="array" ref="P5033">XLOOKUP('FACP$'!$B5033,'perfil de pagos'!$A$4:$A$46,'perfil de pagos'!$B$4:$B$46+'FACP$'!$D5033)</f>
        <v>45487</v>
      </c>
      <c r="Q5033" s="165">
        <f t="shared" si="128"/>
        <v>0</v>
      </c>
      <c r="R5033" s="220" t="s">
        <v>6382</v>
      </c>
      <c r="S5033" s="220" t="s">
        <v>6383</v>
      </c>
      <c r="T5033" s="168">
        <f t="shared" si="3"/>
        <v>37417.0772</v>
      </c>
      <c r="U5033" s="168">
        <f t="shared" si="4"/>
        <v>0</v>
      </c>
      <c r="V5033" s="168">
        <f t="shared" si="5"/>
        <v>0</v>
      </c>
      <c r="W5033" s="168">
        <f t="shared" si="6"/>
        <v>0</v>
      </c>
      <c r="X5033" s="168">
        <f t="shared" si="7"/>
        <v>0</v>
      </c>
      <c r="Y5033" s="168">
        <f t="shared" si="8"/>
        <v>0</v>
      </c>
      <c r="Z5033" s="168">
        <f t="shared" si="9"/>
        <v>0</v>
      </c>
    </row>
    <row r="5034" ht="15.0" customHeight="1">
      <c r="A5034" s="157" t="s">
        <v>6384</v>
      </c>
      <c r="B5034" s="158" t="s">
        <v>25</v>
      </c>
      <c r="C5034" s="158" t="s">
        <v>6349</v>
      </c>
      <c r="D5034" s="159">
        <v>45477.0</v>
      </c>
      <c r="E5034" s="157" t="s">
        <v>731</v>
      </c>
      <c r="F5034" s="160">
        <v>49973.87</v>
      </c>
      <c r="G5034" s="160">
        <f>'FACP$'!$F5034*0.16</f>
        <v>7995.8192</v>
      </c>
      <c r="H5034" s="160">
        <f t="shared" si="124"/>
        <v>57969.6892</v>
      </c>
      <c r="I5034" s="160"/>
      <c r="J5034" s="161"/>
      <c r="K5034" s="160"/>
      <c r="L5034" s="160">
        <f>+'FACP$'!$H5034-'FACP$'!$I5034-'FACP$'!$K5034</f>
        <v>57969.6892</v>
      </c>
      <c r="M5034" s="162" t="s">
        <v>4388</v>
      </c>
      <c r="N5034" s="162" t="s">
        <v>554</v>
      </c>
      <c r="O5034" s="164">
        <v>45496.0</v>
      </c>
      <c r="P5034" s="164">
        <f t="array" ref="P5034">XLOOKUP('FACP$'!$B5034,'perfil de pagos'!$A$4:$A$46,'perfil de pagos'!$B$4:$B$46+'FACP$'!$D5034)</f>
        <v>45487</v>
      </c>
      <c r="Q5034" s="165">
        <f t="shared" si="128"/>
        <v>0</v>
      </c>
      <c r="R5034" s="167"/>
      <c r="S5034" s="167">
        <v>3163.0</v>
      </c>
      <c r="T5034" s="168">
        <f t="shared" si="3"/>
        <v>57969.6892</v>
      </c>
      <c r="U5034" s="168">
        <f t="shared" si="4"/>
        <v>0</v>
      </c>
      <c r="V5034" s="168">
        <f t="shared" si="5"/>
        <v>0</v>
      </c>
      <c r="W5034" s="168">
        <f t="shared" si="6"/>
        <v>0</v>
      </c>
      <c r="X5034" s="168">
        <f t="shared" si="7"/>
        <v>0</v>
      </c>
      <c r="Y5034" s="168">
        <f t="shared" si="8"/>
        <v>0</v>
      </c>
      <c r="Z5034" s="168">
        <f t="shared" si="9"/>
        <v>0</v>
      </c>
    </row>
    <row r="5035" ht="15.0" customHeight="1">
      <c r="A5035" s="157" t="s">
        <v>6385</v>
      </c>
      <c r="B5035" s="158" t="s">
        <v>37</v>
      </c>
      <c r="C5035" s="158" t="s">
        <v>6349</v>
      </c>
      <c r="D5035" s="159">
        <v>45477.0</v>
      </c>
      <c r="E5035" s="157" t="s">
        <v>731</v>
      </c>
      <c r="F5035" s="160">
        <v>1471156.65</v>
      </c>
      <c r="G5035" s="160">
        <f>'FACP$'!$F5035*0.16</f>
        <v>235385.064</v>
      </c>
      <c r="H5035" s="160">
        <f t="shared" si="124"/>
        <v>1706541.714</v>
      </c>
      <c r="I5035" s="160"/>
      <c r="J5035" s="161"/>
      <c r="K5035" s="160"/>
      <c r="L5035" s="160">
        <f>+'FACP$'!$H5035-'FACP$'!$I5035-'FACP$'!$K5035</f>
        <v>1706541.714</v>
      </c>
      <c r="M5035" s="162" t="s">
        <v>116</v>
      </c>
      <c r="N5035" s="162" t="s">
        <v>554</v>
      </c>
      <c r="O5035" s="164">
        <v>45488.0</v>
      </c>
      <c r="P5035" s="164">
        <f t="array" ref="P5035">XLOOKUP('FACP$'!$B5035,'perfil de pagos'!$A$4:$A$46,'perfil de pagos'!$B$4:$B$46+'FACP$'!$D5035)</f>
        <v>45487</v>
      </c>
      <c r="Q5035" s="165">
        <f t="shared" si="128"/>
        <v>0</v>
      </c>
      <c r="R5035" s="167"/>
      <c r="S5035" s="167">
        <v>3143.0</v>
      </c>
      <c r="T5035" s="168">
        <f t="shared" si="3"/>
        <v>1706541.714</v>
      </c>
      <c r="U5035" s="168">
        <f t="shared" si="4"/>
        <v>0</v>
      </c>
      <c r="V5035" s="168">
        <f t="shared" si="5"/>
        <v>0</v>
      </c>
      <c r="W5035" s="168">
        <f t="shared" si="6"/>
        <v>0</v>
      </c>
      <c r="X5035" s="168">
        <f t="shared" si="7"/>
        <v>0</v>
      </c>
      <c r="Y5035" s="168">
        <f t="shared" si="8"/>
        <v>0</v>
      </c>
      <c r="Z5035" s="168">
        <f t="shared" si="9"/>
        <v>0</v>
      </c>
    </row>
    <row r="5036" ht="15.0" customHeight="1">
      <c r="A5036" s="157" t="s">
        <v>6386</v>
      </c>
      <c r="B5036" s="158" t="s">
        <v>29</v>
      </c>
      <c r="C5036" s="158" t="s">
        <v>6349</v>
      </c>
      <c r="D5036" s="159">
        <v>45477.0</v>
      </c>
      <c r="E5036" s="157" t="s">
        <v>731</v>
      </c>
      <c r="F5036" s="160">
        <v>272847.86</v>
      </c>
      <c r="G5036" s="160">
        <f>'FACP$'!$F5036*0.16</f>
        <v>43655.6576</v>
      </c>
      <c r="H5036" s="160">
        <f t="shared" si="124"/>
        <v>316503.5176</v>
      </c>
      <c r="I5036" s="160"/>
      <c r="J5036" s="161"/>
      <c r="K5036" s="160"/>
      <c r="L5036" s="160">
        <f>+'FACP$'!$H5036-'FACP$'!$I5036-'FACP$'!$K5036</f>
        <v>316503.5176</v>
      </c>
      <c r="M5036" s="162" t="s">
        <v>130</v>
      </c>
      <c r="N5036" s="162" t="s">
        <v>554</v>
      </c>
      <c r="O5036" s="164">
        <v>44395.0</v>
      </c>
      <c r="P5036" s="164">
        <f t="array" ref="P5036">XLOOKUP('FACP$'!$B5036,'perfil de pagos'!$A$4:$A$46,'perfil de pagos'!$B$4:$B$46+'FACP$'!$D5036)</f>
        <v>45487</v>
      </c>
      <c r="Q5036" s="165">
        <f t="shared" si="128"/>
        <v>0</v>
      </c>
      <c r="R5036" s="167"/>
      <c r="S5036" s="167">
        <v>3155.0</v>
      </c>
      <c r="T5036" s="168">
        <f t="shared" si="3"/>
        <v>316503.5176</v>
      </c>
      <c r="U5036" s="168">
        <f t="shared" si="4"/>
        <v>0</v>
      </c>
      <c r="V5036" s="168">
        <f t="shared" si="5"/>
        <v>0</v>
      </c>
      <c r="W5036" s="168">
        <f t="shared" si="6"/>
        <v>0</v>
      </c>
      <c r="X5036" s="168">
        <f t="shared" si="7"/>
        <v>0</v>
      </c>
      <c r="Y5036" s="168">
        <f t="shared" si="8"/>
        <v>0</v>
      </c>
      <c r="Z5036" s="168">
        <f t="shared" si="9"/>
        <v>0</v>
      </c>
    </row>
    <row r="5037" ht="15.0" customHeight="1">
      <c r="A5037" s="157" t="s">
        <v>6387</v>
      </c>
      <c r="B5037" s="158" t="s">
        <v>29</v>
      </c>
      <c r="C5037" s="158" t="s">
        <v>6355</v>
      </c>
      <c r="D5037" s="159">
        <v>45477.0</v>
      </c>
      <c r="E5037" s="157" t="s">
        <v>731</v>
      </c>
      <c r="F5037" s="160">
        <v>452402.29</v>
      </c>
      <c r="G5037" s="160">
        <f>'FACP$'!$F5037*0.16</f>
        <v>72384.3664</v>
      </c>
      <c r="H5037" s="160">
        <f t="shared" si="124"/>
        <v>524786.6564</v>
      </c>
      <c r="I5037" s="160"/>
      <c r="J5037" s="161"/>
      <c r="K5037" s="160"/>
      <c r="L5037" s="160">
        <f>+'FACP$'!$H5037-'FACP$'!$I5037-'FACP$'!$K5037</f>
        <v>524786.6564</v>
      </c>
      <c r="M5037" s="162" t="s">
        <v>130</v>
      </c>
      <c r="N5037" s="162" t="s">
        <v>554</v>
      </c>
      <c r="O5037" s="164">
        <v>45495.0</v>
      </c>
      <c r="P5037" s="164">
        <f t="array" ref="P5037">XLOOKUP('FACP$'!$B5037,'perfil de pagos'!$A$4:$A$46,'perfil de pagos'!$B$4:$B$46+'FACP$'!$D5037)</f>
        <v>45487</v>
      </c>
      <c r="Q5037" s="165">
        <f t="shared" si="128"/>
        <v>0</v>
      </c>
      <c r="R5037" s="167"/>
      <c r="S5037" s="167">
        <v>3158.0</v>
      </c>
      <c r="T5037" s="168">
        <f t="shared" si="3"/>
        <v>524786.6564</v>
      </c>
      <c r="U5037" s="168">
        <f t="shared" si="4"/>
        <v>0</v>
      </c>
      <c r="V5037" s="168">
        <f t="shared" si="5"/>
        <v>0</v>
      </c>
      <c r="W5037" s="168">
        <f t="shared" si="6"/>
        <v>0</v>
      </c>
      <c r="X5037" s="168">
        <f t="shared" si="7"/>
        <v>0</v>
      </c>
      <c r="Y5037" s="168">
        <f t="shared" si="8"/>
        <v>0</v>
      </c>
      <c r="Z5037" s="168">
        <f t="shared" si="9"/>
        <v>0</v>
      </c>
    </row>
    <row r="5038" ht="15.0" customHeight="1">
      <c r="A5038" s="157" t="s">
        <v>6388</v>
      </c>
      <c r="B5038" s="158" t="s">
        <v>40</v>
      </c>
      <c r="C5038" s="158" t="s">
        <v>6349</v>
      </c>
      <c r="D5038" s="159">
        <v>45478.0</v>
      </c>
      <c r="E5038" s="157" t="s">
        <v>731</v>
      </c>
      <c r="F5038" s="160">
        <v>359108.51</v>
      </c>
      <c r="G5038" s="160">
        <f>'FACP$'!$F5038*0.16</f>
        <v>57457.3616</v>
      </c>
      <c r="H5038" s="160">
        <f t="shared" si="124"/>
        <v>416565.8716</v>
      </c>
      <c r="I5038" s="160"/>
      <c r="J5038" s="161"/>
      <c r="K5038" s="160"/>
      <c r="L5038" s="160">
        <f>+'FACP$'!$H5038-'FACP$'!$I5038-'FACP$'!$K5038</f>
        <v>416565.8716</v>
      </c>
      <c r="M5038" s="162" t="s">
        <v>490</v>
      </c>
      <c r="N5038" s="162" t="s">
        <v>554</v>
      </c>
      <c r="O5038" s="164">
        <v>45511.0</v>
      </c>
      <c r="P5038" s="164">
        <f t="array" ref="P5038">XLOOKUP('FACP$'!$B5038,'perfil de pagos'!$A$4:$A$46,'perfil de pagos'!$B$4:$B$46+'FACP$'!$D5038)</f>
        <v>45508</v>
      </c>
      <c r="Q5038" s="165">
        <f t="shared" si="128"/>
        <v>0</v>
      </c>
      <c r="R5038" s="167"/>
      <c r="S5038" s="167">
        <v>3191.0</v>
      </c>
      <c r="T5038" s="168">
        <f t="shared" si="3"/>
        <v>416565.8716</v>
      </c>
      <c r="U5038" s="168">
        <f t="shared" si="4"/>
        <v>0</v>
      </c>
      <c r="V5038" s="168">
        <f t="shared" si="5"/>
        <v>0</v>
      </c>
      <c r="W5038" s="168">
        <f t="shared" si="6"/>
        <v>0</v>
      </c>
      <c r="X5038" s="168">
        <f t="shared" si="7"/>
        <v>0</v>
      </c>
      <c r="Y5038" s="168">
        <f t="shared" si="8"/>
        <v>0</v>
      </c>
      <c r="Z5038" s="168">
        <f t="shared" si="9"/>
        <v>0</v>
      </c>
    </row>
    <row r="5039" ht="15.0" customHeight="1">
      <c r="A5039" s="157" t="s">
        <v>6389</v>
      </c>
      <c r="B5039" s="158" t="s">
        <v>40</v>
      </c>
      <c r="C5039" s="158" t="s">
        <v>6355</v>
      </c>
      <c r="D5039" s="159">
        <v>45478.0</v>
      </c>
      <c r="E5039" s="157" t="s">
        <v>731</v>
      </c>
      <c r="F5039" s="160">
        <v>247326.1</v>
      </c>
      <c r="G5039" s="160">
        <f>'FACP$'!$F5039*0.16</f>
        <v>39572.176</v>
      </c>
      <c r="H5039" s="160">
        <f t="shared" si="124"/>
        <v>286898.276</v>
      </c>
      <c r="I5039" s="160"/>
      <c r="J5039" s="161"/>
      <c r="K5039" s="160"/>
      <c r="L5039" s="160">
        <f>+'FACP$'!$H5039-'FACP$'!$I5039-'FACP$'!$K5039</f>
        <v>286898.276</v>
      </c>
      <c r="M5039" s="162" t="s">
        <v>490</v>
      </c>
      <c r="N5039" s="162" t="s">
        <v>554</v>
      </c>
      <c r="O5039" s="164">
        <v>45495.0</v>
      </c>
      <c r="P5039" s="164">
        <f t="array" ref="P5039">XLOOKUP('FACP$'!$B5039,'perfil de pagos'!$A$4:$A$46,'perfil de pagos'!$B$4:$B$46+'FACP$'!$D5039)</f>
        <v>45508</v>
      </c>
      <c r="Q5039" s="165">
        <f t="shared" si="128"/>
        <v>0</v>
      </c>
      <c r="R5039" s="167"/>
      <c r="S5039" s="167">
        <v>3168.0</v>
      </c>
      <c r="T5039" s="168">
        <f t="shared" si="3"/>
        <v>286898.276</v>
      </c>
      <c r="U5039" s="168">
        <f t="shared" si="4"/>
        <v>0</v>
      </c>
      <c r="V5039" s="168">
        <f t="shared" si="5"/>
        <v>0</v>
      </c>
      <c r="W5039" s="168">
        <f t="shared" si="6"/>
        <v>0</v>
      </c>
      <c r="X5039" s="168">
        <f t="shared" si="7"/>
        <v>0</v>
      </c>
      <c r="Y5039" s="168">
        <f t="shared" si="8"/>
        <v>0</v>
      </c>
      <c r="Z5039" s="168">
        <f t="shared" si="9"/>
        <v>0</v>
      </c>
    </row>
    <row r="5040" ht="15.0" customHeight="1">
      <c r="A5040" s="157" t="s">
        <v>6390</v>
      </c>
      <c r="B5040" s="158" t="s">
        <v>40</v>
      </c>
      <c r="C5040" s="158" t="s">
        <v>6391</v>
      </c>
      <c r="D5040" s="159">
        <v>45478.0</v>
      </c>
      <c r="E5040" s="157" t="s">
        <v>731</v>
      </c>
      <c r="F5040" s="160">
        <v>103733.95</v>
      </c>
      <c r="G5040" s="160">
        <f>'FACP$'!$F5040*0.16</f>
        <v>16597.432</v>
      </c>
      <c r="H5040" s="160">
        <f t="shared" si="124"/>
        <v>120331.382</v>
      </c>
      <c r="I5040" s="160"/>
      <c r="J5040" s="161"/>
      <c r="K5040" s="160"/>
      <c r="L5040" s="160">
        <f>+'FACP$'!$H5040-'FACP$'!$I5040-'FACP$'!$K5040</f>
        <v>120331.382</v>
      </c>
      <c r="M5040" s="162" t="s">
        <v>490</v>
      </c>
      <c r="N5040" s="162" t="s">
        <v>554</v>
      </c>
      <c r="O5040" s="164">
        <v>45511.0</v>
      </c>
      <c r="P5040" s="164">
        <f t="array" ref="P5040">XLOOKUP('FACP$'!$B5040,'perfil de pagos'!$A$4:$A$46,'perfil de pagos'!$B$4:$B$46+'FACP$'!$D5040)</f>
        <v>45508</v>
      </c>
      <c r="Q5040" s="165">
        <f t="shared" si="128"/>
        <v>0</v>
      </c>
      <c r="R5040" s="167"/>
      <c r="S5040" s="167">
        <v>3191.0</v>
      </c>
      <c r="T5040" s="168">
        <f t="shared" si="3"/>
        <v>120331.382</v>
      </c>
      <c r="U5040" s="168">
        <f t="shared" si="4"/>
        <v>0</v>
      </c>
      <c r="V5040" s="168">
        <f t="shared" si="5"/>
        <v>0</v>
      </c>
      <c r="W5040" s="168">
        <f t="shared" si="6"/>
        <v>0</v>
      </c>
      <c r="X5040" s="168">
        <f t="shared" si="7"/>
        <v>0</v>
      </c>
      <c r="Y5040" s="168">
        <f t="shared" si="8"/>
        <v>0</v>
      </c>
      <c r="Z5040" s="168">
        <f t="shared" si="9"/>
        <v>0</v>
      </c>
    </row>
    <row r="5041" ht="15.0" customHeight="1">
      <c r="A5041" s="157" t="s">
        <v>6392</v>
      </c>
      <c r="B5041" s="158" t="s">
        <v>38</v>
      </c>
      <c r="C5041" s="158" t="s">
        <v>6349</v>
      </c>
      <c r="D5041" s="159">
        <v>45478.0</v>
      </c>
      <c r="E5041" s="157" t="s">
        <v>731</v>
      </c>
      <c r="F5041" s="160">
        <v>647607.47</v>
      </c>
      <c r="G5041" s="160">
        <f>'FACP$'!$F5041*0.16</f>
        <v>103617.1952</v>
      </c>
      <c r="H5041" s="160">
        <f t="shared" si="124"/>
        <v>751224.6652</v>
      </c>
      <c r="I5041" s="160"/>
      <c r="J5041" s="161"/>
      <c r="K5041" s="160"/>
      <c r="L5041" s="160">
        <f>+'FACP$'!$H5041-'FACP$'!$I5041-'FACP$'!$K5041</f>
        <v>751224.6652</v>
      </c>
      <c r="M5041" s="162" t="s">
        <v>145</v>
      </c>
      <c r="N5041" s="162" t="s">
        <v>554</v>
      </c>
      <c r="O5041" s="164">
        <v>45525.0</v>
      </c>
      <c r="P5041" s="164">
        <f t="array" ref="P5041">XLOOKUP('FACP$'!$B5041,'perfil de pagos'!$A$4:$A$46,'perfil de pagos'!$B$4:$B$46+'FACP$'!$D5041)</f>
        <v>45508</v>
      </c>
      <c r="Q5041" s="165">
        <f t="shared" si="128"/>
        <v>0</v>
      </c>
      <c r="R5041" s="167"/>
      <c r="S5041" s="167">
        <v>3220.0</v>
      </c>
      <c r="T5041" s="168">
        <f t="shared" si="3"/>
        <v>751224.6652</v>
      </c>
      <c r="U5041" s="168">
        <f t="shared" si="4"/>
        <v>0</v>
      </c>
      <c r="V5041" s="168">
        <f t="shared" si="5"/>
        <v>0</v>
      </c>
      <c r="W5041" s="168">
        <f t="shared" si="6"/>
        <v>0</v>
      </c>
      <c r="X5041" s="168">
        <f t="shared" si="7"/>
        <v>0</v>
      </c>
      <c r="Y5041" s="168">
        <f t="shared" si="8"/>
        <v>0</v>
      </c>
      <c r="Z5041" s="168">
        <f t="shared" si="9"/>
        <v>0</v>
      </c>
    </row>
    <row r="5042" ht="15.0" customHeight="1">
      <c r="A5042" s="157" t="s">
        <v>6393</v>
      </c>
      <c r="B5042" s="158" t="s">
        <v>38</v>
      </c>
      <c r="C5042" s="158" t="s">
        <v>6349</v>
      </c>
      <c r="D5042" s="159">
        <v>45478.0</v>
      </c>
      <c r="E5042" s="157" t="s">
        <v>731</v>
      </c>
      <c r="F5042" s="160">
        <v>336052.72</v>
      </c>
      <c r="G5042" s="160">
        <f>'FACP$'!$F5042*0.16</f>
        <v>53768.4352</v>
      </c>
      <c r="H5042" s="160">
        <f t="shared" si="124"/>
        <v>389821.1552</v>
      </c>
      <c r="I5042" s="160"/>
      <c r="J5042" s="161"/>
      <c r="K5042" s="160"/>
      <c r="L5042" s="160">
        <f>+'FACP$'!$H5042-'FACP$'!$I5042-'FACP$'!$K5042</f>
        <v>389821.1552</v>
      </c>
      <c r="M5042" s="162" t="s">
        <v>642</v>
      </c>
      <c r="N5042" s="162" t="s">
        <v>554</v>
      </c>
      <c r="O5042" s="164">
        <v>45525.0</v>
      </c>
      <c r="P5042" s="164">
        <f t="array" ref="P5042">XLOOKUP('FACP$'!$B5042,'perfil de pagos'!$A$4:$A$46,'perfil de pagos'!$B$4:$B$46+'FACP$'!$D5042)</f>
        <v>45508</v>
      </c>
      <c r="Q5042" s="165">
        <f t="shared" si="128"/>
        <v>0</v>
      </c>
      <c r="R5042" s="167"/>
      <c r="S5042" s="167">
        <v>3220.0</v>
      </c>
      <c r="T5042" s="168">
        <f t="shared" si="3"/>
        <v>389821.1552</v>
      </c>
      <c r="U5042" s="168">
        <f t="shared" si="4"/>
        <v>0</v>
      </c>
      <c r="V5042" s="168">
        <f t="shared" si="5"/>
        <v>0</v>
      </c>
      <c r="W5042" s="168">
        <f t="shared" si="6"/>
        <v>0</v>
      </c>
      <c r="X5042" s="168">
        <f t="shared" si="7"/>
        <v>0</v>
      </c>
      <c r="Y5042" s="168">
        <f t="shared" si="8"/>
        <v>0</v>
      </c>
      <c r="Z5042" s="168">
        <f t="shared" si="9"/>
        <v>0</v>
      </c>
    </row>
    <row r="5043" ht="15.0" customHeight="1">
      <c r="A5043" s="157" t="s">
        <v>6394</v>
      </c>
      <c r="B5043" s="158" t="s">
        <v>41</v>
      </c>
      <c r="C5043" s="158" t="s">
        <v>6395</v>
      </c>
      <c r="D5043" s="159">
        <v>45490.0</v>
      </c>
      <c r="E5043" s="157" t="s">
        <v>731</v>
      </c>
      <c r="F5043" s="160">
        <v>441136.21</v>
      </c>
      <c r="G5043" s="160">
        <f>'FACP$'!$F5043*0.16</f>
        <v>70581.7936</v>
      </c>
      <c r="H5043" s="160">
        <f t="shared" si="124"/>
        <v>511718.0036</v>
      </c>
      <c r="I5043" s="160"/>
      <c r="J5043" s="161"/>
      <c r="K5043" s="160"/>
      <c r="L5043" s="160">
        <f>+'FACP$'!$H5043-'FACP$'!$I5043-'FACP$'!$K5043</f>
        <v>511718.0036</v>
      </c>
      <c r="M5043" s="162" t="s">
        <v>121</v>
      </c>
      <c r="N5043" s="162" t="s">
        <v>554</v>
      </c>
      <c r="O5043" s="164">
        <v>45548.0</v>
      </c>
      <c r="P5043" s="164">
        <f t="array" ref="P5043">XLOOKUP('FACP$'!$B5043,'perfil de pagos'!$A$4:$A$46,'perfil de pagos'!$B$4:$B$46+'FACP$'!$D5043)</f>
        <v>45500</v>
      </c>
      <c r="Q5043" s="165">
        <f t="shared" si="128"/>
        <v>0</v>
      </c>
      <c r="R5043" s="167"/>
      <c r="S5043" s="167">
        <v>3273.0</v>
      </c>
      <c r="T5043" s="168">
        <f t="shared" si="3"/>
        <v>511718.0036</v>
      </c>
      <c r="U5043" s="168">
        <f t="shared" si="4"/>
        <v>0</v>
      </c>
      <c r="V5043" s="168">
        <f t="shared" si="5"/>
        <v>0</v>
      </c>
      <c r="W5043" s="168">
        <f t="shared" si="6"/>
        <v>0</v>
      </c>
      <c r="X5043" s="168">
        <f t="shared" si="7"/>
        <v>0</v>
      </c>
      <c r="Y5043" s="168">
        <f t="shared" si="8"/>
        <v>0</v>
      </c>
      <c r="Z5043" s="168">
        <f t="shared" si="9"/>
        <v>0</v>
      </c>
    </row>
    <row r="5044" ht="15.0" customHeight="1">
      <c r="A5044" s="157" t="s">
        <v>6396</v>
      </c>
      <c r="B5044" s="158" t="s">
        <v>43</v>
      </c>
      <c r="C5044" s="158" t="s">
        <v>6395</v>
      </c>
      <c r="D5044" s="159">
        <v>45490.0</v>
      </c>
      <c r="E5044" s="157" t="s">
        <v>731</v>
      </c>
      <c r="F5044" s="160">
        <v>411653.14</v>
      </c>
      <c r="G5044" s="160">
        <f>'FACP$'!$F5044*0.16</f>
        <v>65864.5024</v>
      </c>
      <c r="H5044" s="160">
        <f t="shared" si="124"/>
        <v>477517.6424</v>
      </c>
      <c r="I5044" s="160"/>
      <c r="J5044" s="161"/>
      <c r="K5044" s="160"/>
      <c r="L5044" s="160">
        <f>+'FACP$'!$H5044-'FACP$'!$I5044-'FACP$'!$K5044</f>
        <v>477517.6424</v>
      </c>
      <c r="M5044" s="162" t="s">
        <v>43</v>
      </c>
      <c r="N5044" s="162" t="s">
        <v>554</v>
      </c>
      <c r="O5044" s="164">
        <v>45534.0</v>
      </c>
      <c r="P5044" s="164">
        <f t="array" ref="P5044">XLOOKUP('FACP$'!$B5044,'perfil de pagos'!$A$4:$A$46,'perfil de pagos'!$B$4:$B$46+'FACP$'!$D5044)</f>
        <v>45515</v>
      </c>
      <c r="Q5044" s="165">
        <f t="shared" si="128"/>
        <v>0</v>
      </c>
      <c r="R5044" s="167"/>
      <c r="S5044" s="167">
        <v>3240.0</v>
      </c>
      <c r="T5044" s="168">
        <f t="shared" si="3"/>
        <v>477517.6424</v>
      </c>
      <c r="U5044" s="168">
        <f t="shared" si="4"/>
        <v>0</v>
      </c>
      <c r="V5044" s="168">
        <f t="shared" si="5"/>
        <v>0</v>
      </c>
      <c r="W5044" s="168">
        <f t="shared" si="6"/>
        <v>0</v>
      </c>
      <c r="X5044" s="168">
        <f t="shared" si="7"/>
        <v>0</v>
      </c>
      <c r="Y5044" s="168">
        <f t="shared" si="8"/>
        <v>0</v>
      </c>
      <c r="Z5044" s="168">
        <f t="shared" si="9"/>
        <v>0</v>
      </c>
    </row>
    <row r="5045" ht="15.0" customHeight="1">
      <c r="A5045" s="157" t="s">
        <v>6397</v>
      </c>
      <c r="B5045" s="158" t="s">
        <v>43</v>
      </c>
      <c r="C5045" s="158" t="s">
        <v>6398</v>
      </c>
      <c r="D5045" s="159">
        <v>45490.0</v>
      </c>
      <c r="E5045" s="157" t="s">
        <v>731</v>
      </c>
      <c r="F5045" s="160">
        <v>525349.71</v>
      </c>
      <c r="G5045" s="160">
        <f>'FACP$'!$F5045*0.16</f>
        <v>84055.9536</v>
      </c>
      <c r="H5045" s="160">
        <f t="shared" si="124"/>
        <v>609405.6636</v>
      </c>
      <c r="I5045" s="160"/>
      <c r="J5045" s="161"/>
      <c r="K5045" s="160"/>
      <c r="L5045" s="160">
        <f>+'FACP$'!$H5045-'FACP$'!$I5045-'FACP$'!$K5045</f>
        <v>609405.6636</v>
      </c>
      <c r="M5045" s="162" t="s">
        <v>43</v>
      </c>
      <c r="N5045" s="162" t="s">
        <v>554</v>
      </c>
      <c r="O5045" s="164">
        <v>45534.0</v>
      </c>
      <c r="P5045" s="164">
        <f t="array" ref="P5045">XLOOKUP('FACP$'!$B5045,'perfil de pagos'!$A$4:$A$46,'perfil de pagos'!$B$4:$B$46+'FACP$'!$D5045)</f>
        <v>45515</v>
      </c>
      <c r="Q5045" s="165">
        <f t="shared" si="128"/>
        <v>0</v>
      </c>
      <c r="R5045" s="167"/>
      <c r="S5045" s="167">
        <v>3239.0</v>
      </c>
      <c r="T5045" s="168">
        <f t="shared" si="3"/>
        <v>609405.6636</v>
      </c>
      <c r="U5045" s="168">
        <f t="shared" si="4"/>
        <v>0</v>
      </c>
      <c r="V5045" s="168">
        <f t="shared" si="5"/>
        <v>0</v>
      </c>
      <c r="W5045" s="168">
        <f t="shared" si="6"/>
        <v>0</v>
      </c>
      <c r="X5045" s="168">
        <f t="shared" si="7"/>
        <v>0</v>
      </c>
      <c r="Y5045" s="168">
        <f t="shared" si="8"/>
        <v>0</v>
      </c>
      <c r="Z5045" s="168">
        <f t="shared" si="9"/>
        <v>0</v>
      </c>
    </row>
    <row r="5046" ht="15.0" customHeight="1">
      <c r="A5046" s="157" t="s">
        <v>6399</v>
      </c>
      <c r="B5046" s="158" t="s">
        <v>42</v>
      </c>
      <c r="C5046" s="158" t="s">
        <v>6395</v>
      </c>
      <c r="D5046" s="159">
        <v>45490.0</v>
      </c>
      <c r="E5046" s="157" t="s">
        <v>731</v>
      </c>
      <c r="F5046" s="160">
        <v>32662.43</v>
      </c>
      <c r="G5046" s="160">
        <f>'FACP$'!$F5046*0.16</f>
        <v>5225.9888</v>
      </c>
      <c r="H5046" s="160">
        <f t="shared" si="124"/>
        <v>37888.4188</v>
      </c>
      <c r="I5046" s="160"/>
      <c r="J5046" s="161"/>
      <c r="K5046" s="160"/>
      <c r="L5046" s="160">
        <f>+'FACP$'!$H5046-'FACP$'!$I5046-'FACP$'!$K5046</f>
        <v>37888.4188</v>
      </c>
      <c r="M5046" s="162" t="s">
        <v>42</v>
      </c>
      <c r="N5046" s="162" t="s">
        <v>554</v>
      </c>
      <c r="O5046" s="164">
        <v>45498.0</v>
      </c>
      <c r="P5046" s="164">
        <f t="array" ref="P5046">XLOOKUP('FACP$'!$B5046,'perfil de pagos'!$A$4:$A$46,'perfil de pagos'!$B$4:$B$46+'FACP$'!$D5046)</f>
        <v>45500</v>
      </c>
      <c r="Q5046" s="165">
        <f t="shared" si="128"/>
        <v>0</v>
      </c>
      <c r="R5046" s="167"/>
      <c r="S5046" s="167">
        <v>3169.0</v>
      </c>
      <c r="T5046" s="168">
        <f t="shared" si="3"/>
        <v>37888.4188</v>
      </c>
      <c r="U5046" s="168">
        <f t="shared" si="4"/>
        <v>0</v>
      </c>
      <c r="V5046" s="168">
        <f t="shared" si="5"/>
        <v>0</v>
      </c>
      <c r="W5046" s="168">
        <f t="shared" si="6"/>
        <v>0</v>
      </c>
      <c r="X5046" s="168">
        <f t="shared" si="7"/>
        <v>0</v>
      </c>
      <c r="Y5046" s="168">
        <f t="shared" si="8"/>
        <v>0</v>
      </c>
      <c r="Z5046" s="168">
        <f t="shared" si="9"/>
        <v>0</v>
      </c>
    </row>
    <row r="5047" ht="15.0" customHeight="1">
      <c r="A5047" s="157" t="s">
        <v>6400</v>
      </c>
      <c r="B5047" s="158" t="s">
        <v>44</v>
      </c>
      <c r="C5047" s="158" t="s">
        <v>6395</v>
      </c>
      <c r="D5047" s="159">
        <v>45490.0</v>
      </c>
      <c r="E5047" s="157" t="s">
        <v>731</v>
      </c>
      <c r="F5047" s="160">
        <v>15817.24</v>
      </c>
      <c r="G5047" s="160">
        <f>'FACP$'!$F5047*0.16</f>
        <v>2530.7584</v>
      </c>
      <c r="H5047" s="160">
        <f t="shared" si="124"/>
        <v>18347.9984</v>
      </c>
      <c r="I5047" s="160"/>
      <c r="J5047" s="161"/>
      <c r="K5047" s="160"/>
      <c r="L5047" s="160">
        <f>+'FACP$'!$H5047-'FACP$'!$I5047-'FACP$'!$K5047</f>
        <v>18347.9984</v>
      </c>
      <c r="M5047" s="162" t="s">
        <v>361</v>
      </c>
      <c r="N5047" s="162" t="s">
        <v>554</v>
      </c>
      <c r="O5047" s="164">
        <v>45499.0</v>
      </c>
      <c r="P5047" s="164">
        <f t="array" ref="P5047">XLOOKUP('FACP$'!$B5047,'perfil de pagos'!$A$4:$A$46,'perfil de pagos'!$B$4:$B$46+'FACP$'!$D5047)</f>
        <v>45500</v>
      </c>
      <c r="Q5047" s="165">
        <f t="shared" si="128"/>
        <v>0</v>
      </c>
      <c r="R5047" s="167"/>
      <c r="S5047" s="167">
        <v>3170.0</v>
      </c>
      <c r="T5047" s="168">
        <f t="shared" si="3"/>
        <v>18347.9984</v>
      </c>
      <c r="U5047" s="168">
        <f t="shared" si="4"/>
        <v>0</v>
      </c>
      <c r="V5047" s="168">
        <f t="shared" si="5"/>
        <v>0</v>
      </c>
      <c r="W5047" s="168">
        <f t="shared" si="6"/>
        <v>0</v>
      </c>
      <c r="X5047" s="168">
        <f t="shared" si="7"/>
        <v>0</v>
      </c>
      <c r="Y5047" s="168">
        <f t="shared" si="8"/>
        <v>0</v>
      </c>
      <c r="Z5047" s="168">
        <f t="shared" si="9"/>
        <v>0</v>
      </c>
    </row>
    <row r="5048" ht="15.0" customHeight="1">
      <c r="A5048" s="157" t="s">
        <v>6401</v>
      </c>
      <c r="B5048" s="158" t="s">
        <v>36</v>
      </c>
      <c r="C5048" s="158" t="s">
        <v>6395</v>
      </c>
      <c r="D5048" s="159">
        <v>45490.0</v>
      </c>
      <c r="E5048" s="157" t="s">
        <v>731</v>
      </c>
      <c r="F5048" s="160">
        <v>132615.94</v>
      </c>
      <c r="G5048" s="160">
        <f>'FACP$'!$F5048*0.16</f>
        <v>21218.5504</v>
      </c>
      <c r="H5048" s="160">
        <f t="shared" si="124"/>
        <v>153834.4904</v>
      </c>
      <c r="I5048" s="160"/>
      <c r="J5048" s="161"/>
      <c r="K5048" s="160"/>
      <c r="L5048" s="160">
        <f>+'FACP$'!$H5048-'FACP$'!$I5048-'FACP$'!$K5048</f>
        <v>153834.4904</v>
      </c>
      <c r="M5048" s="162" t="s">
        <v>530</v>
      </c>
      <c r="N5048" s="162" t="s">
        <v>554</v>
      </c>
      <c r="O5048" s="164">
        <v>45504.0</v>
      </c>
      <c r="P5048" s="164">
        <f t="array" ref="P5048">XLOOKUP('FACP$'!$B5048,'perfil de pagos'!$A$4:$A$46,'perfil de pagos'!$B$4:$B$46+'FACP$'!$D5048)</f>
        <v>45500</v>
      </c>
      <c r="Q5048" s="165">
        <f t="shared" si="128"/>
        <v>0</v>
      </c>
      <c r="R5048" s="167"/>
      <c r="S5048" s="167">
        <v>3182.0</v>
      </c>
      <c r="T5048" s="168">
        <f t="shared" si="3"/>
        <v>153834.4904</v>
      </c>
      <c r="U5048" s="168">
        <f t="shared" si="4"/>
        <v>0</v>
      </c>
      <c r="V5048" s="168">
        <f t="shared" si="5"/>
        <v>0</v>
      </c>
      <c r="W5048" s="168">
        <f t="shared" si="6"/>
        <v>0</v>
      </c>
      <c r="X5048" s="168">
        <f t="shared" si="7"/>
        <v>0</v>
      </c>
      <c r="Y5048" s="168">
        <f t="shared" si="8"/>
        <v>0</v>
      </c>
      <c r="Z5048" s="168">
        <f t="shared" si="9"/>
        <v>0</v>
      </c>
    </row>
    <row r="5049" ht="15.0" customHeight="1">
      <c r="A5049" s="157" t="s">
        <v>6402</v>
      </c>
      <c r="B5049" s="158" t="s">
        <v>36</v>
      </c>
      <c r="C5049" s="158" t="s">
        <v>6398</v>
      </c>
      <c r="D5049" s="159">
        <v>45490.0</v>
      </c>
      <c r="E5049" s="157" t="s">
        <v>731</v>
      </c>
      <c r="F5049" s="160">
        <v>93003.29</v>
      </c>
      <c r="G5049" s="160">
        <f>'FACP$'!$F5049*0.16</f>
        <v>14880.5264</v>
      </c>
      <c r="H5049" s="160">
        <f t="shared" si="124"/>
        <v>107883.8164</v>
      </c>
      <c r="I5049" s="160"/>
      <c r="J5049" s="161"/>
      <c r="K5049" s="160"/>
      <c r="L5049" s="160">
        <f>+'FACP$'!$H5049-'FACP$'!$I5049-'FACP$'!$K5049</f>
        <v>107883.8164</v>
      </c>
      <c r="M5049" s="162" t="s">
        <v>530</v>
      </c>
      <c r="N5049" s="162" t="s">
        <v>554</v>
      </c>
      <c r="O5049" s="164">
        <v>45504.0</v>
      </c>
      <c r="P5049" s="164">
        <f t="array" ref="P5049">XLOOKUP('FACP$'!$B5049,'perfil de pagos'!$A$4:$A$46,'perfil de pagos'!$B$4:$B$46+'FACP$'!$D5049)</f>
        <v>45500</v>
      </c>
      <c r="Q5049" s="165">
        <f t="shared" si="128"/>
        <v>0</v>
      </c>
      <c r="R5049" s="167"/>
      <c r="S5049" s="167">
        <v>3181.0</v>
      </c>
      <c r="T5049" s="168">
        <f t="shared" si="3"/>
        <v>107883.8164</v>
      </c>
      <c r="U5049" s="168">
        <f t="shared" si="4"/>
        <v>0</v>
      </c>
      <c r="V5049" s="168">
        <f t="shared" si="5"/>
        <v>0</v>
      </c>
      <c r="W5049" s="168">
        <f t="shared" si="6"/>
        <v>0</v>
      </c>
      <c r="X5049" s="168">
        <f t="shared" si="7"/>
        <v>0</v>
      </c>
      <c r="Y5049" s="168">
        <f t="shared" si="8"/>
        <v>0</v>
      </c>
      <c r="Z5049" s="168">
        <f t="shared" si="9"/>
        <v>0</v>
      </c>
    </row>
    <row r="5050" ht="15.0" customHeight="1">
      <c r="A5050" s="157" t="s">
        <v>6403</v>
      </c>
      <c r="B5050" s="158" t="s">
        <v>35</v>
      </c>
      <c r="C5050" s="158" t="s">
        <v>6395</v>
      </c>
      <c r="D5050" s="159">
        <v>45490.0</v>
      </c>
      <c r="E5050" s="157" t="s">
        <v>731</v>
      </c>
      <c r="F5050" s="160">
        <v>83120.12</v>
      </c>
      <c r="G5050" s="160">
        <f>'FACP$'!$F5050*0.16</f>
        <v>13299.2192</v>
      </c>
      <c r="H5050" s="160">
        <f t="shared" si="124"/>
        <v>96419.3392</v>
      </c>
      <c r="I5050" s="160">
        <v>51492.21</v>
      </c>
      <c r="J5050" s="161"/>
      <c r="K5050" s="160"/>
      <c r="L5050" s="160">
        <f>+'FACP$'!$H5050-'FACP$'!$I5050-'FACP$'!$K5050</f>
        <v>44927.1292</v>
      </c>
      <c r="M5050" s="162" t="s">
        <v>276</v>
      </c>
      <c r="N5050" s="162" t="s">
        <v>554</v>
      </c>
      <c r="O5050" s="164">
        <v>45581.0</v>
      </c>
      <c r="P5050" s="164">
        <f t="array" ref="P5050">XLOOKUP('FACP$'!$B5050,'perfil de pagos'!$A$4:$A$46,'perfil de pagos'!$B$4:$B$46+'FACP$'!$D5050)</f>
        <v>45500</v>
      </c>
      <c r="Q5050" s="165">
        <f t="shared" si="128"/>
        <v>0</v>
      </c>
      <c r="R5050" s="220" t="s">
        <v>6404</v>
      </c>
      <c r="S5050" s="220" t="s">
        <v>6405</v>
      </c>
      <c r="T5050" s="168">
        <f t="shared" si="3"/>
        <v>44927.1292</v>
      </c>
      <c r="U5050" s="168">
        <f t="shared" si="4"/>
        <v>0</v>
      </c>
      <c r="V5050" s="168">
        <f t="shared" si="5"/>
        <v>0</v>
      </c>
      <c r="W5050" s="168">
        <f t="shared" si="6"/>
        <v>0</v>
      </c>
      <c r="X5050" s="168">
        <f t="shared" si="7"/>
        <v>0</v>
      </c>
      <c r="Y5050" s="168">
        <f t="shared" si="8"/>
        <v>0</v>
      </c>
      <c r="Z5050" s="168">
        <f t="shared" si="9"/>
        <v>0</v>
      </c>
    </row>
    <row r="5051" ht="15.0" customHeight="1">
      <c r="A5051" s="157" t="s">
        <v>6406</v>
      </c>
      <c r="B5051" s="158" t="s">
        <v>27</v>
      </c>
      <c r="C5051" s="158" t="s">
        <v>6407</v>
      </c>
      <c r="D5051" s="159">
        <v>45492.0</v>
      </c>
      <c r="E5051" s="157" t="s">
        <v>731</v>
      </c>
      <c r="F5051" s="160">
        <v>120398.09</v>
      </c>
      <c r="G5051" s="160">
        <f>'FACP$'!$F5051*0.16</f>
        <v>19263.6944</v>
      </c>
      <c r="H5051" s="160">
        <f t="shared" si="124"/>
        <v>139661.7844</v>
      </c>
      <c r="I5051" s="160"/>
      <c r="J5051" s="161"/>
      <c r="K5051" s="160"/>
      <c r="L5051" s="160">
        <f>+'FACP$'!$H5051-'FACP$'!$I5051-'FACP$'!$K5051</f>
        <v>139661.7844</v>
      </c>
      <c r="M5051" s="162" t="s">
        <v>158</v>
      </c>
      <c r="N5051" s="162" t="s">
        <v>554</v>
      </c>
      <c r="O5051" s="164">
        <v>45552.0</v>
      </c>
      <c r="P5051" s="164">
        <f t="array" ref="P5051">XLOOKUP('FACP$'!$B5051,'perfil de pagos'!$A$4:$A$46,'perfil de pagos'!$B$4:$B$46+'FACP$'!$D5051)</f>
        <v>45522</v>
      </c>
      <c r="Q5051" s="165">
        <f t="shared" si="128"/>
        <v>0</v>
      </c>
      <c r="R5051" s="167"/>
      <c r="S5051" s="167">
        <v>3275.0</v>
      </c>
      <c r="T5051" s="168">
        <f t="shared" si="3"/>
        <v>139661.7844</v>
      </c>
      <c r="U5051" s="168">
        <f t="shared" si="4"/>
        <v>0</v>
      </c>
      <c r="V5051" s="168">
        <f t="shared" si="5"/>
        <v>0</v>
      </c>
      <c r="W5051" s="168">
        <f t="shared" si="6"/>
        <v>0</v>
      </c>
      <c r="X5051" s="168">
        <f t="shared" si="7"/>
        <v>0</v>
      </c>
      <c r="Y5051" s="168">
        <f t="shared" si="8"/>
        <v>0</v>
      </c>
      <c r="Z5051" s="168">
        <f t="shared" si="9"/>
        <v>0</v>
      </c>
    </row>
    <row r="5052" ht="15.0" customHeight="1">
      <c r="A5052" s="157" t="s">
        <v>6408</v>
      </c>
      <c r="B5052" s="158" t="s">
        <v>27</v>
      </c>
      <c r="C5052" s="158" t="s">
        <v>6409</v>
      </c>
      <c r="D5052" s="159">
        <v>45492.0</v>
      </c>
      <c r="E5052" s="157" t="s">
        <v>731</v>
      </c>
      <c r="F5052" s="160">
        <v>116574.68</v>
      </c>
      <c r="G5052" s="160">
        <f>'FACP$'!$F5052*0.16</f>
        <v>18651.9488</v>
      </c>
      <c r="H5052" s="160">
        <f t="shared" si="124"/>
        <v>135226.6288</v>
      </c>
      <c r="I5052" s="160"/>
      <c r="J5052" s="161"/>
      <c r="K5052" s="160"/>
      <c r="L5052" s="160">
        <f>+'FACP$'!$H5052-'FACP$'!$I5052-'FACP$'!$K5052</f>
        <v>135226.6288</v>
      </c>
      <c r="M5052" s="162" t="s">
        <v>158</v>
      </c>
      <c r="N5052" s="162" t="s">
        <v>554</v>
      </c>
      <c r="O5052" s="164">
        <v>45552.0</v>
      </c>
      <c r="P5052" s="164">
        <f t="array" ref="P5052">XLOOKUP('FACP$'!$B5052,'perfil de pagos'!$A$4:$A$46,'perfil de pagos'!$B$4:$B$46+'FACP$'!$D5052)</f>
        <v>45522</v>
      </c>
      <c r="Q5052" s="165">
        <f t="shared" si="128"/>
        <v>0</v>
      </c>
      <c r="R5052" s="167"/>
      <c r="S5052" s="167">
        <v>3275.0</v>
      </c>
      <c r="T5052" s="168">
        <f t="shared" si="3"/>
        <v>135226.6288</v>
      </c>
      <c r="U5052" s="168">
        <f t="shared" si="4"/>
        <v>0</v>
      </c>
      <c r="V5052" s="168">
        <f t="shared" si="5"/>
        <v>0</v>
      </c>
      <c r="W5052" s="168">
        <f t="shared" si="6"/>
        <v>0</v>
      </c>
      <c r="X5052" s="168">
        <f t="shared" si="7"/>
        <v>0</v>
      </c>
      <c r="Y5052" s="168">
        <f t="shared" si="8"/>
        <v>0</v>
      </c>
      <c r="Z5052" s="168">
        <f t="shared" si="9"/>
        <v>0</v>
      </c>
    </row>
    <row r="5053" ht="15.0" customHeight="1">
      <c r="A5053" s="157" t="s">
        <v>6410</v>
      </c>
      <c r="B5053" s="158" t="s">
        <v>27</v>
      </c>
      <c r="C5053" s="158" t="s">
        <v>6407</v>
      </c>
      <c r="D5053" s="159">
        <v>45492.0</v>
      </c>
      <c r="E5053" s="157" t="s">
        <v>731</v>
      </c>
      <c r="F5053" s="160">
        <v>204773.45</v>
      </c>
      <c r="G5053" s="160">
        <f>'FACP$'!$F5053*0.16</f>
        <v>32763.752</v>
      </c>
      <c r="H5053" s="160">
        <f t="shared" si="124"/>
        <v>237537.202</v>
      </c>
      <c r="I5053" s="160"/>
      <c r="J5053" s="161"/>
      <c r="K5053" s="160"/>
      <c r="L5053" s="160">
        <f>+'FACP$'!$H5053-'FACP$'!$I5053-'FACP$'!$K5053</f>
        <v>237537.202</v>
      </c>
      <c r="M5053" s="162" t="s">
        <v>151</v>
      </c>
      <c r="N5053" s="162" t="s">
        <v>554</v>
      </c>
      <c r="O5053" s="164">
        <v>45552.0</v>
      </c>
      <c r="P5053" s="164">
        <f t="array" ref="P5053">XLOOKUP('FACP$'!$B5053,'perfil de pagos'!$A$4:$A$46,'perfil de pagos'!$B$4:$B$46+'FACP$'!$D5053)</f>
        <v>45522</v>
      </c>
      <c r="Q5053" s="165">
        <f t="shared" si="128"/>
        <v>0</v>
      </c>
      <c r="R5053" s="167"/>
      <c r="S5053" s="167">
        <v>3276.0</v>
      </c>
      <c r="T5053" s="168">
        <f t="shared" si="3"/>
        <v>237537.202</v>
      </c>
      <c r="U5053" s="168">
        <f t="shared" si="4"/>
        <v>0</v>
      </c>
      <c r="V5053" s="168">
        <f t="shared" si="5"/>
        <v>0</v>
      </c>
      <c r="W5053" s="168">
        <f t="shared" si="6"/>
        <v>0</v>
      </c>
      <c r="X5053" s="168">
        <f t="shared" si="7"/>
        <v>0</v>
      </c>
      <c r="Y5053" s="168">
        <f t="shared" si="8"/>
        <v>0</v>
      </c>
      <c r="Z5053" s="168">
        <f t="shared" si="9"/>
        <v>0</v>
      </c>
    </row>
    <row r="5054" ht="15.0" customHeight="1">
      <c r="A5054" s="157" t="s">
        <v>6411</v>
      </c>
      <c r="B5054" s="158" t="s">
        <v>27</v>
      </c>
      <c r="C5054" s="158" t="s">
        <v>6409</v>
      </c>
      <c r="D5054" s="159">
        <v>45492.0</v>
      </c>
      <c r="E5054" s="157" t="s">
        <v>731</v>
      </c>
      <c r="F5054" s="160">
        <v>149754.53</v>
      </c>
      <c r="G5054" s="160">
        <f>'FACP$'!$F5054*0.16</f>
        <v>23960.7248</v>
      </c>
      <c r="H5054" s="160">
        <f t="shared" si="124"/>
        <v>173715.2548</v>
      </c>
      <c r="I5054" s="160"/>
      <c r="J5054" s="161"/>
      <c r="K5054" s="160"/>
      <c r="L5054" s="160">
        <f>+'FACP$'!$H5054-'FACP$'!$I5054-'FACP$'!$K5054</f>
        <v>173715.2548</v>
      </c>
      <c r="M5054" s="162" t="s">
        <v>151</v>
      </c>
      <c r="N5054" s="162" t="s">
        <v>554</v>
      </c>
      <c r="O5054" s="164">
        <v>45552.0</v>
      </c>
      <c r="P5054" s="164">
        <f t="array" ref="P5054">XLOOKUP('FACP$'!$B5054,'perfil de pagos'!$A$4:$A$46,'perfil de pagos'!$B$4:$B$46+'FACP$'!$D5054)</f>
        <v>45522</v>
      </c>
      <c r="Q5054" s="165">
        <f t="shared" si="128"/>
        <v>0</v>
      </c>
      <c r="R5054" s="167"/>
      <c r="S5054" s="167">
        <v>3276.0</v>
      </c>
      <c r="T5054" s="168">
        <f t="shared" si="3"/>
        <v>173715.2548</v>
      </c>
      <c r="U5054" s="168">
        <f t="shared" si="4"/>
        <v>0</v>
      </c>
      <c r="V5054" s="168">
        <f t="shared" si="5"/>
        <v>0</v>
      </c>
      <c r="W5054" s="168">
        <f t="shared" si="6"/>
        <v>0</v>
      </c>
      <c r="X5054" s="168">
        <f t="shared" si="7"/>
        <v>0</v>
      </c>
      <c r="Y5054" s="168">
        <f t="shared" si="8"/>
        <v>0</v>
      </c>
      <c r="Z5054" s="168">
        <f t="shared" si="9"/>
        <v>0</v>
      </c>
    </row>
    <row r="5055" ht="15.0" customHeight="1">
      <c r="A5055" s="157" t="s">
        <v>6412</v>
      </c>
      <c r="B5055" s="158" t="s">
        <v>27</v>
      </c>
      <c r="C5055" s="158" t="s">
        <v>6407</v>
      </c>
      <c r="D5055" s="159">
        <v>45492.0</v>
      </c>
      <c r="E5055" s="157" t="s">
        <v>731</v>
      </c>
      <c r="F5055" s="160">
        <v>6319.69</v>
      </c>
      <c r="G5055" s="160">
        <f>'FACP$'!$F5055*0.16</f>
        <v>1011.1504</v>
      </c>
      <c r="H5055" s="160">
        <f t="shared" si="124"/>
        <v>7330.8404</v>
      </c>
      <c r="I5055" s="160"/>
      <c r="J5055" s="161"/>
      <c r="K5055" s="160"/>
      <c r="L5055" s="160">
        <f>+'FACP$'!$H5055-'FACP$'!$I5055-'FACP$'!$K5055</f>
        <v>7330.8404</v>
      </c>
      <c r="M5055" s="162" t="s">
        <v>151</v>
      </c>
      <c r="N5055" s="162" t="s">
        <v>554</v>
      </c>
      <c r="O5055" s="164">
        <v>45552.0</v>
      </c>
      <c r="P5055" s="164">
        <f t="array" ref="P5055">XLOOKUP('FACP$'!$B5055,'perfil de pagos'!$A$4:$A$46,'perfil de pagos'!$B$4:$B$46+'FACP$'!$D5055)</f>
        <v>45522</v>
      </c>
      <c r="Q5055" s="165">
        <f t="shared" si="128"/>
        <v>0</v>
      </c>
      <c r="R5055" s="167"/>
      <c r="S5055" s="167">
        <v>3276.0</v>
      </c>
      <c r="T5055" s="168">
        <f t="shared" si="3"/>
        <v>7330.8404</v>
      </c>
      <c r="U5055" s="168">
        <f t="shared" si="4"/>
        <v>0</v>
      </c>
      <c r="V5055" s="168">
        <f t="shared" si="5"/>
        <v>0</v>
      </c>
      <c r="W5055" s="168">
        <f t="shared" si="6"/>
        <v>0</v>
      </c>
      <c r="X5055" s="168">
        <f t="shared" si="7"/>
        <v>0</v>
      </c>
      <c r="Y5055" s="168">
        <f t="shared" si="8"/>
        <v>0</v>
      </c>
      <c r="Z5055" s="168">
        <f t="shared" si="9"/>
        <v>0</v>
      </c>
    </row>
    <row r="5056" ht="15.0" customHeight="1">
      <c r="A5056" s="157" t="s">
        <v>6413</v>
      </c>
      <c r="B5056" s="158" t="s">
        <v>27</v>
      </c>
      <c r="C5056" s="158" t="s">
        <v>6409</v>
      </c>
      <c r="D5056" s="159">
        <v>45492.0</v>
      </c>
      <c r="E5056" s="157" t="s">
        <v>731</v>
      </c>
      <c r="F5056" s="160">
        <v>9130.2</v>
      </c>
      <c r="G5056" s="160">
        <f>'FACP$'!$F5056*0.16</f>
        <v>1460.832</v>
      </c>
      <c r="H5056" s="160">
        <f t="shared" si="124"/>
        <v>10591.032</v>
      </c>
      <c r="I5056" s="160"/>
      <c r="J5056" s="161"/>
      <c r="K5056" s="160"/>
      <c r="L5056" s="160">
        <f>+'FACP$'!$H5056-'FACP$'!$I5056-'FACP$'!$K5056</f>
        <v>10591.032</v>
      </c>
      <c r="M5056" s="162" t="s">
        <v>151</v>
      </c>
      <c r="N5056" s="162" t="s">
        <v>554</v>
      </c>
      <c r="O5056" s="164">
        <v>45552.0</v>
      </c>
      <c r="P5056" s="164">
        <f t="array" ref="P5056">XLOOKUP('FACP$'!$B5056,'perfil de pagos'!$A$4:$A$46,'perfil de pagos'!$B$4:$B$46+'FACP$'!$D5056)</f>
        <v>45522</v>
      </c>
      <c r="Q5056" s="165">
        <f t="shared" si="128"/>
        <v>0</v>
      </c>
      <c r="R5056" s="167"/>
      <c r="S5056" s="167">
        <v>3276.0</v>
      </c>
      <c r="T5056" s="168">
        <f t="shared" si="3"/>
        <v>10591.032</v>
      </c>
      <c r="U5056" s="168">
        <f t="shared" si="4"/>
        <v>0</v>
      </c>
      <c r="V5056" s="168">
        <f t="shared" si="5"/>
        <v>0</v>
      </c>
      <c r="W5056" s="168">
        <f t="shared" si="6"/>
        <v>0</v>
      </c>
      <c r="X5056" s="168">
        <f t="shared" si="7"/>
        <v>0</v>
      </c>
      <c r="Y5056" s="168">
        <f t="shared" si="8"/>
        <v>0</v>
      </c>
      <c r="Z5056" s="168">
        <f t="shared" si="9"/>
        <v>0</v>
      </c>
    </row>
    <row r="5057" ht="15.0" customHeight="1">
      <c r="A5057" s="157" t="s">
        <v>6414</v>
      </c>
      <c r="B5057" s="158" t="s">
        <v>40</v>
      </c>
      <c r="C5057" s="158" t="s">
        <v>6395</v>
      </c>
      <c r="D5057" s="159">
        <v>45495.0</v>
      </c>
      <c r="E5057" s="157" t="s">
        <v>731</v>
      </c>
      <c r="F5057" s="160">
        <v>497710.21</v>
      </c>
      <c r="G5057" s="160">
        <f>'FACP$'!$F5057*0.16</f>
        <v>79633.6336</v>
      </c>
      <c r="H5057" s="160">
        <f t="shared" si="124"/>
        <v>577343.8436</v>
      </c>
      <c r="I5057" s="160"/>
      <c r="J5057" s="161"/>
      <c r="K5057" s="160"/>
      <c r="L5057" s="160">
        <f>+'FACP$'!$H5057-'FACP$'!$I5057-'FACP$'!$K5057</f>
        <v>577343.8436</v>
      </c>
      <c r="M5057" s="162" t="s">
        <v>490</v>
      </c>
      <c r="N5057" s="162" t="s">
        <v>554</v>
      </c>
      <c r="O5057" s="164">
        <v>45527.0</v>
      </c>
      <c r="P5057" s="164">
        <f t="array" ref="P5057">XLOOKUP('FACP$'!$B5057,'perfil de pagos'!$A$4:$A$46,'perfil de pagos'!$B$4:$B$46+'FACP$'!$D5057)</f>
        <v>45525</v>
      </c>
      <c r="Q5057" s="165">
        <f t="shared" si="128"/>
        <v>0</v>
      </c>
      <c r="R5057" s="167"/>
      <c r="S5057" s="167">
        <v>3225.0</v>
      </c>
      <c r="T5057" s="168">
        <f t="shared" si="3"/>
        <v>577343.8436</v>
      </c>
      <c r="U5057" s="168">
        <f t="shared" si="4"/>
        <v>0</v>
      </c>
      <c r="V5057" s="168">
        <f t="shared" si="5"/>
        <v>0</v>
      </c>
      <c r="W5057" s="168">
        <f t="shared" si="6"/>
        <v>0</v>
      </c>
      <c r="X5057" s="168">
        <f t="shared" si="7"/>
        <v>0</v>
      </c>
      <c r="Y5057" s="168">
        <f t="shared" si="8"/>
        <v>0</v>
      </c>
      <c r="Z5057" s="168">
        <f t="shared" si="9"/>
        <v>0</v>
      </c>
    </row>
    <row r="5058" ht="15.0" customHeight="1">
      <c r="A5058" s="157" t="s">
        <v>6415</v>
      </c>
      <c r="B5058" s="158" t="s">
        <v>40</v>
      </c>
      <c r="C5058" s="158" t="s">
        <v>6398</v>
      </c>
      <c r="D5058" s="159">
        <v>45495.0</v>
      </c>
      <c r="E5058" s="157" t="s">
        <v>731</v>
      </c>
      <c r="F5058" s="160">
        <v>511623.73</v>
      </c>
      <c r="G5058" s="160">
        <f>'FACP$'!$F5058*0.16</f>
        <v>81859.7968</v>
      </c>
      <c r="H5058" s="160">
        <f t="shared" si="124"/>
        <v>593483.5268</v>
      </c>
      <c r="I5058" s="160"/>
      <c r="J5058" s="161"/>
      <c r="K5058" s="160"/>
      <c r="L5058" s="160">
        <f>+'FACP$'!$H5058-'FACP$'!$I5058-'FACP$'!$K5058</f>
        <v>593483.5268</v>
      </c>
      <c r="M5058" s="162" t="s">
        <v>490</v>
      </c>
      <c r="N5058" s="162" t="s">
        <v>554</v>
      </c>
      <c r="O5058" s="164">
        <v>45527.0</v>
      </c>
      <c r="P5058" s="164">
        <f t="array" ref="P5058">XLOOKUP('FACP$'!$B5058,'perfil de pagos'!$A$4:$A$46,'perfil de pagos'!$B$4:$B$46+'FACP$'!$D5058)</f>
        <v>45525</v>
      </c>
      <c r="Q5058" s="165">
        <f t="shared" si="128"/>
        <v>0</v>
      </c>
      <c r="R5058" s="167"/>
      <c r="S5058" s="167">
        <v>3225.0</v>
      </c>
      <c r="T5058" s="168">
        <f t="shared" si="3"/>
        <v>593483.5268</v>
      </c>
      <c r="U5058" s="168">
        <f t="shared" si="4"/>
        <v>0</v>
      </c>
      <c r="V5058" s="168">
        <f t="shared" si="5"/>
        <v>0</v>
      </c>
      <c r="W5058" s="168">
        <f t="shared" si="6"/>
        <v>0</v>
      </c>
      <c r="X5058" s="168">
        <f t="shared" si="7"/>
        <v>0</v>
      </c>
      <c r="Y5058" s="168">
        <f t="shared" si="8"/>
        <v>0</v>
      </c>
      <c r="Z5058" s="168">
        <f t="shared" si="9"/>
        <v>0</v>
      </c>
    </row>
    <row r="5059" ht="15.0" customHeight="1">
      <c r="A5059" s="157" t="s">
        <v>6416</v>
      </c>
      <c r="B5059" s="158" t="s">
        <v>18</v>
      </c>
      <c r="C5059" s="158" t="s">
        <v>6395</v>
      </c>
      <c r="D5059" s="159">
        <v>45495.0</v>
      </c>
      <c r="E5059" s="157" t="s">
        <v>731</v>
      </c>
      <c r="F5059" s="160">
        <v>63149.93</v>
      </c>
      <c r="G5059" s="160">
        <f>'FACP$'!$F5059*0.16</f>
        <v>10103.9888</v>
      </c>
      <c r="H5059" s="160">
        <f t="shared" si="124"/>
        <v>73253.9188</v>
      </c>
      <c r="I5059" s="160"/>
      <c r="J5059" s="161"/>
      <c r="K5059" s="160"/>
      <c r="L5059" s="160">
        <f>+'FACP$'!$H5059-'FACP$'!$I5059-'FACP$'!$K5059</f>
        <v>73253.9188</v>
      </c>
      <c r="M5059" s="162" t="s">
        <v>586</v>
      </c>
      <c r="N5059" s="162" t="s">
        <v>554</v>
      </c>
      <c r="O5059" s="164">
        <v>45569.0</v>
      </c>
      <c r="P5059" s="164">
        <f t="array" ref="P5059">XLOOKUP('FACP$'!$B5059,'perfil de pagos'!$A$4:$A$46,'perfil de pagos'!$B$4:$B$46+'FACP$'!$D5059)</f>
        <v>45505</v>
      </c>
      <c r="Q5059" s="165">
        <f t="shared" si="128"/>
        <v>0</v>
      </c>
      <c r="R5059" s="167"/>
      <c r="S5059" s="167">
        <v>3307.0</v>
      </c>
      <c r="T5059" s="168">
        <f t="shared" si="3"/>
        <v>73253.9188</v>
      </c>
      <c r="U5059" s="168">
        <f t="shared" si="4"/>
        <v>0</v>
      </c>
      <c r="V5059" s="168">
        <f t="shared" si="5"/>
        <v>0</v>
      </c>
      <c r="W5059" s="168">
        <f t="shared" si="6"/>
        <v>0</v>
      </c>
      <c r="X5059" s="168">
        <f t="shared" si="7"/>
        <v>0</v>
      </c>
      <c r="Y5059" s="168">
        <f t="shared" si="8"/>
        <v>0</v>
      </c>
      <c r="Z5059" s="168">
        <f t="shared" si="9"/>
        <v>0</v>
      </c>
    </row>
    <row r="5060" ht="15.0" customHeight="1">
      <c r="A5060" s="157" t="s">
        <v>6417</v>
      </c>
      <c r="B5060" s="158" t="s">
        <v>19</v>
      </c>
      <c r="C5060" s="158" t="s">
        <v>6395</v>
      </c>
      <c r="D5060" s="159">
        <v>45495.0</v>
      </c>
      <c r="E5060" s="157" t="s">
        <v>731</v>
      </c>
      <c r="F5060" s="160">
        <v>152422.7</v>
      </c>
      <c r="G5060" s="160">
        <f>'FACP$'!$F5060*0.16</f>
        <v>24387.632</v>
      </c>
      <c r="H5060" s="160">
        <f t="shared" si="124"/>
        <v>176810.332</v>
      </c>
      <c r="I5060" s="160"/>
      <c r="J5060" s="161"/>
      <c r="K5060" s="160"/>
      <c r="L5060" s="160">
        <f>+'FACP$'!$H5060-'FACP$'!$I5060-'FACP$'!$K5060</f>
        <v>176810.332</v>
      </c>
      <c r="M5060" s="162" t="s">
        <v>732</v>
      </c>
      <c r="N5060" s="162" t="s">
        <v>554</v>
      </c>
      <c r="O5060" s="164">
        <v>45569.0</v>
      </c>
      <c r="P5060" s="164">
        <f t="array" ref="P5060">XLOOKUP('FACP$'!$B5060,'perfil de pagos'!$A$4:$A$46,'perfil de pagos'!$B$4:$B$46+'FACP$'!$D5060)</f>
        <v>45505</v>
      </c>
      <c r="Q5060" s="165">
        <f t="shared" si="128"/>
        <v>0</v>
      </c>
      <c r="R5060" s="167"/>
      <c r="S5060" s="167">
        <v>3307.0</v>
      </c>
      <c r="T5060" s="168">
        <f t="shared" si="3"/>
        <v>176810.332</v>
      </c>
      <c r="U5060" s="168">
        <f t="shared" si="4"/>
        <v>0</v>
      </c>
      <c r="V5060" s="168">
        <f t="shared" si="5"/>
        <v>0</v>
      </c>
      <c r="W5060" s="168">
        <f t="shared" si="6"/>
        <v>0</v>
      </c>
      <c r="X5060" s="168">
        <f t="shared" si="7"/>
        <v>0</v>
      </c>
      <c r="Y5060" s="168">
        <f t="shared" si="8"/>
        <v>0</v>
      </c>
      <c r="Z5060" s="168">
        <f t="shared" si="9"/>
        <v>0</v>
      </c>
    </row>
    <row r="5061" ht="15.0" customHeight="1">
      <c r="A5061" s="157" t="s">
        <v>6418</v>
      </c>
      <c r="B5061" s="158" t="s">
        <v>22</v>
      </c>
      <c r="C5061" s="158" t="s">
        <v>6395</v>
      </c>
      <c r="D5061" s="159">
        <v>45495.0</v>
      </c>
      <c r="E5061" s="157" t="s">
        <v>731</v>
      </c>
      <c r="F5061" s="160">
        <v>221121.45</v>
      </c>
      <c r="G5061" s="160">
        <f>'FACP$'!$F5061*0.16</f>
        <v>35379.432</v>
      </c>
      <c r="H5061" s="160">
        <f t="shared" si="124"/>
        <v>256500.882</v>
      </c>
      <c r="I5061" s="160">
        <v>162582.92</v>
      </c>
      <c r="J5061" s="161"/>
      <c r="K5061" s="160"/>
      <c r="L5061" s="160">
        <f>+'FACP$'!$H5061-'FACP$'!$I5061-'FACP$'!$K5061</f>
        <v>93917.962</v>
      </c>
      <c r="M5061" s="162" t="s">
        <v>220</v>
      </c>
      <c r="N5061" s="162" t="s">
        <v>554</v>
      </c>
      <c r="O5061" s="164">
        <v>45567.0</v>
      </c>
      <c r="P5061" s="164">
        <f t="array" ref="P5061">XLOOKUP('FACP$'!$B5061,'perfil de pagos'!$A$4:$A$46,'perfil de pagos'!$B$4:$B$46+'FACP$'!$D5061)</f>
        <v>45505</v>
      </c>
      <c r="Q5061" s="165">
        <f t="shared" si="128"/>
        <v>0</v>
      </c>
      <c r="R5061" s="220" t="s">
        <v>6419</v>
      </c>
      <c r="S5061" s="167" t="s">
        <v>6420</v>
      </c>
      <c r="T5061" s="168">
        <f t="shared" si="3"/>
        <v>93917.962</v>
      </c>
      <c r="U5061" s="168">
        <f t="shared" si="4"/>
        <v>0</v>
      </c>
      <c r="V5061" s="168">
        <f t="shared" si="5"/>
        <v>0</v>
      </c>
      <c r="W5061" s="168">
        <f t="shared" si="6"/>
        <v>0</v>
      </c>
      <c r="X5061" s="168">
        <f t="shared" si="7"/>
        <v>0</v>
      </c>
      <c r="Y5061" s="168">
        <f t="shared" si="8"/>
        <v>0</v>
      </c>
      <c r="Z5061" s="168">
        <f t="shared" si="9"/>
        <v>0</v>
      </c>
    </row>
    <row r="5062" ht="15.0" customHeight="1">
      <c r="A5062" s="157" t="s">
        <v>6421</v>
      </c>
      <c r="B5062" s="158" t="s">
        <v>25</v>
      </c>
      <c r="C5062" s="158" t="s">
        <v>6395</v>
      </c>
      <c r="D5062" s="159">
        <v>45495.0</v>
      </c>
      <c r="E5062" s="157" t="s">
        <v>731</v>
      </c>
      <c r="F5062" s="160">
        <v>40366.17</v>
      </c>
      <c r="G5062" s="160">
        <f>'FACP$'!$F5062*0.16</f>
        <v>6458.5872</v>
      </c>
      <c r="H5062" s="160">
        <f t="shared" si="124"/>
        <v>46824.7572</v>
      </c>
      <c r="I5062" s="160"/>
      <c r="J5062" s="161"/>
      <c r="K5062" s="160"/>
      <c r="L5062" s="160">
        <f>+'FACP$'!$H5062-'FACP$'!$I5062-'FACP$'!$K5062</f>
        <v>46824.7572</v>
      </c>
      <c r="M5062" s="162" t="s">
        <v>4388</v>
      </c>
      <c r="N5062" s="162" t="s">
        <v>554</v>
      </c>
      <c r="O5062" s="164">
        <v>45503.0</v>
      </c>
      <c r="P5062" s="164">
        <f t="array" ref="P5062">XLOOKUP('FACP$'!$B5062,'perfil de pagos'!$A$4:$A$46,'perfil de pagos'!$B$4:$B$46+'FACP$'!$D5062)</f>
        <v>45505</v>
      </c>
      <c r="Q5062" s="165">
        <f t="shared" si="128"/>
        <v>0</v>
      </c>
      <c r="R5062" s="167"/>
      <c r="S5062" s="167">
        <v>3178.0</v>
      </c>
      <c r="T5062" s="168">
        <f t="shared" si="3"/>
        <v>46824.7572</v>
      </c>
      <c r="U5062" s="168">
        <f t="shared" si="4"/>
        <v>0</v>
      </c>
      <c r="V5062" s="168">
        <f t="shared" si="5"/>
        <v>0</v>
      </c>
      <c r="W5062" s="168">
        <f t="shared" si="6"/>
        <v>0</v>
      </c>
      <c r="X5062" s="168">
        <f t="shared" si="7"/>
        <v>0</v>
      </c>
      <c r="Y5062" s="168">
        <f t="shared" si="8"/>
        <v>0</v>
      </c>
      <c r="Z5062" s="168">
        <f t="shared" si="9"/>
        <v>0</v>
      </c>
    </row>
    <row r="5063" ht="15.0" customHeight="1">
      <c r="A5063" s="157" t="s">
        <v>6422</v>
      </c>
      <c r="B5063" s="158" t="s">
        <v>37</v>
      </c>
      <c r="C5063" s="158" t="s">
        <v>6395</v>
      </c>
      <c r="D5063" s="159">
        <v>45495.0</v>
      </c>
      <c r="E5063" s="157" t="s">
        <v>731</v>
      </c>
      <c r="F5063" s="160">
        <v>1283859.84</v>
      </c>
      <c r="G5063" s="160">
        <f>'FACP$'!$F5063*0.16</f>
        <v>205417.5744</v>
      </c>
      <c r="H5063" s="160">
        <f t="shared" si="124"/>
        <v>1489277.414</v>
      </c>
      <c r="I5063" s="160"/>
      <c r="J5063" s="161"/>
      <c r="K5063" s="160"/>
      <c r="L5063" s="160">
        <f>+'FACP$'!$H5063-'FACP$'!$I5063-'FACP$'!$K5063</f>
        <v>1489277.414</v>
      </c>
      <c r="M5063" s="162" t="s">
        <v>116</v>
      </c>
      <c r="N5063" s="162" t="s">
        <v>554</v>
      </c>
      <c r="O5063" s="164">
        <v>45516.0</v>
      </c>
      <c r="P5063" s="164">
        <f t="array" ref="P5063">XLOOKUP('FACP$'!$B5063,'perfil de pagos'!$A$4:$A$46,'perfil de pagos'!$B$4:$B$46+'FACP$'!$D5063)</f>
        <v>45505</v>
      </c>
      <c r="Q5063" s="165">
        <f t="shared" si="128"/>
        <v>0</v>
      </c>
      <c r="R5063" s="167"/>
      <c r="S5063" s="167">
        <v>3194.0</v>
      </c>
      <c r="T5063" s="168">
        <f t="shared" si="3"/>
        <v>1489277.414</v>
      </c>
      <c r="U5063" s="168">
        <f t="shared" si="4"/>
        <v>0</v>
      </c>
      <c r="V5063" s="168">
        <f t="shared" si="5"/>
        <v>0</v>
      </c>
      <c r="W5063" s="168">
        <f t="shared" si="6"/>
        <v>0</v>
      </c>
      <c r="X5063" s="168">
        <f t="shared" si="7"/>
        <v>0</v>
      </c>
      <c r="Y5063" s="168">
        <f t="shared" si="8"/>
        <v>0</v>
      </c>
      <c r="Z5063" s="168">
        <f t="shared" si="9"/>
        <v>0</v>
      </c>
    </row>
    <row r="5064" ht="15.0" customHeight="1">
      <c r="A5064" s="157" t="s">
        <v>6423</v>
      </c>
      <c r="B5064" s="158" t="s">
        <v>29</v>
      </c>
      <c r="C5064" s="158" t="s">
        <v>6395</v>
      </c>
      <c r="D5064" s="159">
        <v>45495.0</v>
      </c>
      <c r="E5064" s="157" t="s">
        <v>731</v>
      </c>
      <c r="F5064" s="160">
        <v>200814.53</v>
      </c>
      <c r="G5064" s="160">
        <f>'FACP$'!$F5064*0.16</f>
        <v>32130.3248</v>
      </c>
      <c r="H5064" s="160">
        <f t="shared" si="124"/>
        <v>232944.8548</v>
      </c>
      <c r="I5064" s="160"/>
      <c r="J5064" s="161"/>
      <c r="K5064" s="160"/>
      <c r="L5064" s="160">
        <f>+'FACP$'!$H5064-'FACP$'!$I5064-'FACP$'!$K5064</f>
        <v>232944.8548</v>
      </c>
      <c r="M5064" s="162" t="s">
        <v>130</v>
      </c>
      <c r="N5064" s="162" t="s">
        <v>554</v>
      </c>
      <c r="O5064" s="164">
        <v>45512.0</v>
      </c>
      <c r="P5064" s="164">
        <f t="array" ref="P5064">XLOOKUP('FACP$'!$B5064,'perfil de pagos'!$A$4:$A$46,'perfil de pagos'!$B$4:$B$46+'FACP$'!$D5064)</f>
        <v>45505</v>
      </c>
      <c r="Q5064" s="165">
        <f t="shared" si="128"/>
        <v>0</v>
      </c>
      <c r="R5064" s="167"/>
      <c r="S5064" s="167">
        <v>3192.0</v>
      </c>
      <c r="T5064" s="168">
        <f t="shared" si="3"/>
        <v>232944.8548</v>
      </c>
      <c r="U5064" s="168">
        <f t="shared" si="4"/>
        <v>0</v>
      </c>
      <c r="V5064" s="168">
        <f t="shared" si="5"/>
        <v>0</v>
      </c>
      <c r="W5064" s="168">
        <f t="shared" si="6"/>
        <v>0</v>
      </c>
      <c r="X5064" s="168">
        <f t="shared" si="7"/>
        <v>0</v>
      </c>
      <c r="Y5064" s="168">
        <f t="shared" si="8"/>
        <v>0</v>
      </c>
      <c r="Z5064" s="168">
        <f t="shared" si="9"/>
        <v>0</v>
      </c>
    </row>
    <row r="5065" ht="15.0" customHeight="1">
      <c r="A5065" s="157" t="s">
        <v>6424</v>
      </c>
      <c r="B5065" s="158" t="s">
        <v>29</v>
      </c>
      <c r="C5065" s="158" t="s">
        <v>6398</v>
      </c>
      <c r="D5065" s="159">
        <v>45495.0</v>
      </c>
      <c r="E5065" s="157" t="s">
        <v>731</v>
      </c>
      <c r="F5065" s="160">
        <v>301751.05</v>
      </c>
      <c r="G5065" s="160">
        <f>'FACP$'!$F5065*0.16</f>
        <v>48280.168</v>
      </c>
      <c r="H5065" s="160">
        <f t="shared" si="124"/>
        <v>350031.218</v>
      </c>
      <c r="I5065" s="160"/>
      <c r="J5065" s="161"/>
      <c r="K5065" s="160"/>
      <c r="L5065" s="160">
        <f>+'FACP$'!$H5065-'FACP$'!$I5065-'FACP$'!$K5065</f>
        <v>350031.218</v>
      </c>
      <c r="M5065" s="162" t="s">
        <v>130</v>
      </c>
      <c r="N5065" s="162" t="s">
        <v>554</v>
      </c>
      <c r="O5065" s="164">
        <v>45509.0</v>
      </c>
      <c r="P5065" s="164">
        <f t="array" ref="P5065">XLOOKUP('FACP$'!$B5065,'perfil de pagos'!$A$4:$A$46,'perfil de pagos'!$B$4:$B$46+'FACP$'!$D5065)</f>
        <v>45505</v>
      </c>
      <c r="Q5065" s="165">
        <f t="shared" si="128"/>
        <v>0</v>
      </c>
      <c r="R5065" s="167"/>
      <c r="S5065" s="167">
        <v>3186.0</v>
      </c>
      <c r="T5065" s="168">
        <f t="shared" si="3"/>
        <v>350031.218</v>
      </c>
      <c r="U5065" s="168">
        <f t="shared" si="4"/>
        <v>0</v>
      </c>
      <c r="V5065" s="168">
        <f t="shared" si="5"/>
        <v>0</v>
      </c>
      <c r="W5065" s="168">
        <f t="shared" si="6"/>
        <v>0</v>
      </c>
      <c r="X5065" s="168">
        <f t="shared" si="7"/>
        <v>0</v>
      </c>
      <c r="Y5065" s="168">
        <f t="shared" si="8"/>
        <v>0</v>
      </c>
      <c r="Z5065" s="168">
        <f t="shared" si="9"/>
        <v>0</v>
      </c>
    </row>
    <row r="5066" ht="15.0" customHeight="1">
      <c r="A5066" s="157" t="s">
        <v>6425</v>
      </c>
      <c r="B5066" s="158" t="s">
        <v>38</v>
      </c>
      <c r="C5066" s="158" t="s">
        <v>6395</v>
      </c>
      <c r="D5066" s="159">
        <v>45496.0</v>
      </c>
      <c r="E5066" s="157" t="s">
        <v>731</v>
      </c>
      <c r="F5066" s="160">
        <v>74442.05</v>
      </c>
      <c r="G5066" s="160">
        <f>'FACP$'!$F5066*0.16</f>
        <v>11910.728</v>
      </c>
      <c r="H5066" s="160">
        <f t="shared" si="124"/>
        <v>86352.778</v>
      </c>
      <c r="I5066" s="160"/>
      <c r="J5066" s="161"/>
      <c r="K5066" s="160"/>
      <c r="L5066" s="160">
        <f>+'FACP$'!$H5066-'FACP$'!$I5066-'FACP$'!$K5066</f>
        <v>86352.778</v>
      </c>
      <c r="M5066" s="162" t="s">
        <v>4654</v>
      </c>
      <c r="N5066" s="162" t="s">
        <v>554</v>
      </c>
      <c r="O5066" s="164">
        <v>45532.0</v>
      </c>
      <c r="P5066" s="164">
        <f t="array" ref="P5066">XLOOKUP('FACP$'!$B5066,'perfil de pagos'!$A$4:$A$46,'perfil de pagos'!$B$4:$B$46+'FACP$'!$D5066)</f>
        <v>45526</v>
      </c>
      <c r="Q5066" s="165">
        <f t="shared" si="128"/>
        <v>0</v>
      </c>
      <c r="R5066" s="167"/>
      <c r="S5066" s="167">
        <v>3234.0</v>
      </c>
      <c r="T5066" s="168">
        <f t="shared" si="3"/>
        <v>86352.778</v>
      </c>
      <c r="U5066" s="168">
        <f t="shared" si="4"/>
        <v>0</v>
      </c>
      <c r="V5066" s="168">
        <f t="shared" si="5"/>
        <v>0</v>
      </c>
      <c r="W5066" s="168">
        <f t="shared" si="6"/>
        <v>0</v>
      </c>
      <c r="X5066" s="168">
        <f t="shared" si="7"/>
        <v>0</v>
      </c>
      <c r="Y5066" s="168">
        <f t="shared" si="8"/>
        <v>0</v>
      </c>
      <c r="Z5066" s="168">
        <f t="shared" si="9"/>
        <v>0</v>
      </c>
    </row>
    <row r="5067" ht="15.0" customHeight="1">
      <c r="A5067" s="157" t="s">
        <v>6426</v>
      </c>
      <c r="B5067" s="158" t="s">
        <v>38</v>
      </c>
      <c r="C5067" s="158" t="s">
        <v>6395</v>
      </c>
      <c r="D5067" s="159">
        <v>45496.0</v>
      </c>
      <c r="E5067" s="157" t="s">
        <v>731</v>
      </c>
      <c r="F5067" s="160">
        <v>46915.11</v>
      </c>
      <c r="G5067" s="160">
        <f>'FACP$'!$F5067*0.16</f>
        <v>7506.4176</v>
      </c>
      <c r="H5067" s="160">
        <f t="shared" si="124"/>
        <v>54421.5276</v>
      </c>
      <c r="I5067" s="160"/>
      <c r="J5067" s="161"/>
      <c r="K5067" s="160"/>
      <c r="L5067" s="160">
        <f>+'FACP$'!$H5067-'FACP$'!$I5067-'FACP$'!$K5067</f>
        <v>54421.5276</v>
      </c>
      <c r="M5067" s="162" t="s">
        <v>4707</v>
      </c>
      <c r="N5067" s="162" t="s">
        <v>554</v>
      </c>
      <c r="O5067" s="164">
        <v>45539.0</v>
      </c>
      <c r="P5067" s="164">
        <f t="array" ref="P5067">XLOOKUP('FACP$'!$B5067,'perfil de pagos'!$A$4:$A$46,'perfil de pagos'!$B$4:$B$46+'FACP$'!$D5067)</f>
        <v>45526</v>
      </c>
      <c r="Q5067" s="165">
        <f t="shared" si="128"/>
        <v>0</v>
      </c>
      <c r="R5067" s="167"/>
      <c r="S5067" s="167">
        <v>3245.0</v>
      </c>
      <c r="T5067" s="168">
        <f t="shared" si="3"/>
        <v>54421.5276</v>
      </c>
      <c r="U5067" s="168">
        <f t="shared" si="4"/>
        <v>0</v>
      </c>
      <c r="V5067" s="168">
        <f t="shared" si="5"/>
        <v>0</v>
      </c>
      <c r="W5067" s="168">
        <f t="shared" si="6"/>
        <v>0</v>
      </c>
      <c r="X5067" s="168">
        <f t="shared" si="7"/>
        <v>0</v>
      </c>
      <c r="Y5067" s="168">
        <f t="shared" si="8"/>
        <v>0</v>
      </c>
      <c r="Z5067" s="168">
        <f t="shared" si="9"/>
        <v>0</v>
      </c>
    </row>
    <row r="5068" ht="15.0" customHeight="1">
      <c r="A5068" s="157" t="s">
        <v>6427</v>
      </c>
      <c r="B5068" s="158" t="s">
        <v>38</v>
      </c>
      <c r="C5068" s="158" t="s">
        <v>6398</v>
      </c>
      <c r="D5068" s="159">
        <v>45496.0</v>
      </c>
      <c r="E5068" s="157" t="s">
        <v>731</v>
      </c>
      <c r="F5068" s="160">
        <v>70128.6</v>
      </c>
      <c r="G5068" s="160">
        <f>'FACP$'!$F5068*0.16</f>
        <v>11220.576</v>
      </c>
      <c r="H5068" s="160">
        <f t="shared" si="124"/>
        <v>81349.176</v>
      </c>
      <c r="I5068" s="160"/>
      <c r="J5068" s="161"/>
      <c r="K5068" s="160"/>
      <c r="L5068" s="160">
        <f>+'FACP$'!$H5068-'FACP$'!$I5068-'FACP$'!$K5068</f>
        <v>81349.176</v>
      </c>
      <c r="M5068" s="162" t="s">
        <v>4707</v>
      </c>
      <c r="N5068" s="162" t="s">
        <v>554</v>
      </c>
      <c r="O5068" s="164">
        <v>45539.0</v>
      </c>
      <c r="P5068" s="164">
        <f t="array" ref="P5068">XLOOKUP('FACP$'!$B5068,'perfil de pagos'!$A$4:$A$46,'perfil de pagos'!$B$4:$B$46+'FACP$'!$D5068)</f>
        <v>45526</v>
      </c>
      <c r="Q5068" s="165">
        <f t="shared" si="128"/>
        <v>0</v>
      </c>
      <c r="R5068" s="167"/>
      <c r="S5068" s="167">
        <v>3245.0</v>
      </c>
      <c r="T5068" s="168">
        <f t="shared" si="3"/>
        <v>81349.176</v>
      </c>
      <c r="U5068" s="168">
        <f t="shared" si="4"/>
        <v>0</v>
      </c>
      <c r="V5068" s="168">
        <f t="shared" si="5"/>
        <v>0</v>
      </c>
      <c r="W5068" s="168">
        <f t="shared" si="6"/>
        <v>0</v>
      </c>
      <c r="X5068" s="168">
        <f t="shared" si="7"/>
        <v>0</v>
      </c>
      <c r="Y5068" s="168">
        <f t="shared" si="8"/>
        <v>0</v>
      </c>
      <c r="Z5068" s="168">
        <f t="shared" si="9"/>
        <v>0</v>
      </c>
    </row>
    <row r="5069" ht="15.0" customHeight="1">
      <c r="A5069" s="157" t="s">
        <v>6428</v>
      </c>
      <c r="B5069" s="158" t="s">
        <v>16</v>
      </c>
      <c r="C5069" s="158" t="s">
        <v>6395</v>
      </c>
      <c r="D5069" s="159">
        <v>45499.0</v>
      </c>
      <c r="E5069" s="157" t="s">
        <v>731</v>
      </c>
      <c r="F5069" s="160">
        <v>204871.98</v>
      </c>
      <c r="G5069" s="160">
        <f>'FACP$'!$F5069*0.16</f>
        <v>32779.5168</v>
      </c>
      <c r="H5069" s="160">
        <f t="shared" si="124"/>
        <v>237651.4968</v>
      </c>
      <c r="I5069" s="160"/>
      <c r="J5069" s="161"/>
      <c r="K5069" s="160"/>
      <c r="L5069" s="160">
        <f>+'FACP$'!$H5069-'FACP$'!$I5069-'FACP$'!$K5069</f>
        <v>237651.4968</v>
      </c>
      <c r="M5069" s="162" t="s">
        <v>985</v>
      </c>
      <c r="N5069" s="162" t="s">
        <v>554</v>
      </c>
      <c r="O5069" s="164">
        <v>45518.0</v>
      </c>
      <c r="P5069" s="164">
        <f t="array" ref="P5069">XLOOKUP('FACP$'!$B5069,'perfil de pagos'!$A$4:$A$46,'perfil de pagos'!$B$4:$B$46+'FACP$'!$D5069)</f>
        <v>45509</v>
      </c>
      <c r="Q5069" s="165">
        <f t="shared" si="128"/>
        <v>0</v>
      </c>
      <c r="R5069" s="167"/>
      <c r="S5069" s="167">
        <v>3200.0</v>
      </c>
      <c r="T5069" s="168">
        <f t="shared" si="3"/>
        <v>237651.4968</v>
      </c>
      <c r="U5069" s="168">
        <f t="shared" si="4"/>
        <v>0</v>
      </c>
      <c r="V5069" s="168">
        <f t="shared" si="5"/>
        <v>0</v>
      </c>
      <c r="W5069" s="168">
        <f t="shared" si="6"/>
        <v>0</v>
      </c>
      <c r="X5069" s="168">
        <f t="shared" si="7"/>
        <v>0</v>
      </c>
      <c r="Y5069" s="168">
        <f t="shared" si="8"/>
        <v>0</v>
      </c>
      <c r="Z5069" s="168">
        <f t="shared" si="9"/>
        <v>0</v>
      </c>
    </row>
    <row r="5070" ht="15.0" customHeight="1">
      <c r="A5070" s="157" t="s">
        <v>6429</v>
      </c>
      <c r="B5070" s="158" t="s">
        <v>16</v>
      </c>
      <c r="C5070" s="158" t="s">
        <v>6398</v>
      </c>
      <c r="D5070" s="159">
        <v>45499.0</v>
      </c>
      <c r="E5070" s="157" t="s">
        <v>731</v>
      </c>
      <c r="F5070" s="160">
        <v>299472.51</v>
      </c>
      <c r="G5070" s="160">
        <f>'FACP$'!$F5070*0.16</f>
        <v>47915.6016</v>
      </c>
      <c r="H5070" s="160">
        <f t="shared" si="124"/>
        <v>347388.1116</v>
      </c>
      <c r="I5070" s="160"/>
      <c r="J5070" s="161"/>
      <c r="K5070" s="160"/>
      <c r="L5070" s="160">
        <f>+'FACP$'!$H5070-'FACP$'!$I5070-'FACP$'!$K5070</f>
        <v>347388.1116</v>
      </c>
      <c r="M5070" s="162" t="s">
        <v>985</v>
      </c>
      <c r="N5070" s="162" t="s">
        <v>554</v>
      </c>
      <c r="O5070" s="164">
        <v>45518.0</v>
      </c>
      <c r="P5070" s="164">
        <f t="array" ref="P5070">XLOOKUP('FACP$'!$B5070,'perfil de pagos'!$A$4:$A$46,'perfil de pagos'!$B$4:$B$46+'FACP$'!$D5070)</f>
        <v>45509</v>
      </c>
      <c r="Q5070" s="165">
        <f t="shared" si="128"/>
        <v>0</v>
      </c>
      <c r="R5070" s="167"/>
      <c r="S5070" s="167">
        <v>3200.0</v>
      </c>
      <c r="T5070" s="168">
        <f t="shared" si="3"/>
        <v>347388.1116</v>
      </c>
      <c r="U5070" s="168">
        <f t="shared" si="4"/>
        <v>0</v>
      </c>
      <c r="V5070" s="168">
        <f t="shared" si="5"/>
        <v>0</v>
      </c>
      <c r="W5070" s="168">
        <f t="shared" si="6"/>
        <v>0</v>
      </c>
      <c r="X5070" s="168">
        <f t="shared" si="7"/>
        <v>0</v>
      </c>
      <c r="Y5070" s="168">
        <f t="shared" si="8"/>
        <v>0</v>
      </c>
      <c r="Z5070" s="168">
        <f t="shared" si="9"/>
        <v>0</v>
      </c>
    </row>
    <row r="5071" ht="15.0" customHeight="1">
      <c r="A5071" s="157" t="s">
        <v>6430</v>
      </c>
      <c r="B5071" s="158" t="s">
        <v>38</v>
      </c>
      <c r="C5071" s="158" t="s">
        <v>6395</v>
      </c>
      <c r="D5071" s="159">
        <v>45499.0</v>
      </c>
      <c r="E5071" s="157" t="s">
        <v>731</v>
      </c>
      <c r="F5071" s="160">
        <v>430544.89</v>
      </c>
      <c r="G5071" s="160">
        <f>'FACP$'!$F5071*0.16</f>
        <v>68887.1824</v>
      </c>
      <c r="H5071" s="160">
        <f t="shared" si="124"/>
        <v>499432.0724</v>
      </c>
      <c r="I5071" s="160"/>
      <c r="J5071" s="161"/>
      <c r="K5071" s="160"/>
      <c r="L5071" s="160">
        <f>+'FACP$'!$H5071-'FACP$'!$I5071-'FACP$'!$K5071</f>
        <v>499432.0724</v>
      </c>
      <c r="M5071" s="162" t="s">
        <v>145</v>
      </c>
      <c r="N5071" s="162" t="s">
        <v>554</v>
      </c>
      <c r="O5071" s="164">
        <v>45539.0</v>
      </c>
      <c r="P5071" s="164">
        <f t="array" ref="P5071">XLOOKUP('FACP$'!$B5071,'perfil de pagos'!$A$4:$A$46,'perfil de pagos'!$B$4:$B$46+'FACP$'!$D5071)</f>
        <v>45529</v>
      </c>
      <c r="Q5071" s="165">
        <f t="shared" si="128"/>
        <v>0</v>
      </c>
      <c r="R5071" s="167"/>
      <c r="S5071" s="167">
        <v>3245.0</v>
      </c>
      <c r="T5071" s="168">
        <f t="shared" si="3"/>
        <v>499432.0724</v>
      </c>
      <c r="U5071" s="168">
        <f t="shared" si="4"/>
        <v>0</v>
      </c>
      <c r="V5071" s="168">
        <f t="shared" si="5"/>
        <v>0</v>
      </c>
      <c r="W5071" s="168">
        <f t="shared" si="6"/>
        <v>0</v>
      </c>
      <c r="X5071" s="168">
        <f t="shared" si="7"/>
        <v>0</v>
      </c>
      <c r="Y5071" s="168">
        <f t="shared" si="8"/>
        <v>0</v>
      </c>
      <c r="Z5071" s="168">
        <f t="shared" si="9"/>
        <v>0</v>
      </c>
    </row>
    <row r="5072" ht="15.0" customHeight="1">
      <c r="A5072" s="157" t="s">
        <v>6431</v>
      </c>
      <c r="B5072" s="158" t="s">
        <v>38</v>
      </c>
      <c r="C5072" s="158" t="s">
        <v>6395</v>
      </c>
      <c r="D5072" s="159">
        <v>45499.0</v>
      </c>
      <c r="E5072" s="157" t="s">
        <v>731</v>
      </c>
      <c r="F5072" s="160">
        <v>201209.14</v>
      </c>
      <c r="G5072" s="160">
        <f>'FACP$'!$F5072*0.16</f>
        <v>32193.4624</v>
      </c>
      <c r="H5072" s="160">
        <f t="shared" si="124"/>
        <v>233402.6024</v>
      </c>
      <c r="I5072" s="160"/>
      <c r="J5072" s="161"/>
      <c r="K5072" s="160"/>
      <c r="L5072" s="160">
        <f>+'FACP$'!$H5072-'FACP$'!$I5072-'FACP$'!$K5072</f>
        <v>233402.6024</v>
      </c>
      <c r="M5072" s="162" t="s">
        <v>642</v>
      </c>
      <c r="N5072" s="162" t="s">
        <v>554</v>
      </c>
      <c r="O5072" s="164">
        <v>45539.0</v>
      </c>
      <c r="P5072" s="164">
        <f t="array" ref="P5072">XLOOKUP('FACP$'!$B5072,'perfil de pagos'!$A$4:$A$46,'perfil de pagos'!$B$4:$B$46+'FACP$'!$D5072)</f>
        <v>45529</v>
      </c>
      <c r="Q5072" s="165">
        <f t="shared" si="128"/>
        <v>0</v>
      </c>
      <c r="R5072" s="167"/>
      <c r="S5072" s="167">
        <v>3245.0</v>
      </c>
      <c r="T5072" s="168">
        <f t="shared" si="3"/>
        <v>233402.6024</v>
      </c>
      <c r="U5072" s="168">
        <f t="shared" si="4"/>
        <v>0</v>
      </c>
      <c r="V5072" s="168">
        <f t="shared" si="5"/>
        <v>0</v>
      </c>
      <c r="W5072" s="168">
        <f t="shared" si="6"/>
        <v>0</v>
      </c>
      <c r="X5072" s="168">
        <f t="shared" si="7"/>
        <v>0</v>
      </c>
      <c r="Y5072" s="168">
        <f t="shared" si="8"/>
        <v>0</v>
      </c>
      <c r="Z5072" s="168">
        <f t="shared" si="9"/>
        <v>0</v>
      </c>
    </row>
    <row r="5073" ht="15.0" customHeight="1">
      <c r="A5073" s="157" t="s">
        <v>6432</v>
      </c>
      <c r="B5073" s="158" t="s">
        <v>27</v>
      </c>
      <c r="C5073" s="158" t="s">
        <v>6433</v>
      </c>
      <c r="D5073" s="159">
        <v>45504.0</v>
      </c>
      <c r="E5073" s="157" t="s">
        <v>731</v>
      </c>
      <c r="F5073" s="160">
        <v>105926.71</v>
      </c>
      <c r="G5073" s="160">
        <f>'FACP$'!$F5073*0.16</f>
        <v>16948.2736</v>
      </c>
      <c r="H5073" s="160">
        <f t="shared" si="124"/>
        <v>122874.9836</v>
      </c>
      <c r="I5073" s="160"/>
      <c r="J5073" s="161"/>
      <c r="K5073" s="160"/>
      <c r="L5073" s="160">
        <f>+'FACP$'!$H5073-'FACP$'!$I5073-'FACP$'!$K5073</f>
        <v>122874.9836</v>
      </c>
      <c r="M5073" s="162" t="s">
        <v>158</v>
      </c>
      <c r="N5073" s="162" t="s">
        <v>554</v>
      </c>
      <c r="O5073" s="164">
        <v>45552.0</v>
      </c>
      <c r="P5073" s="164">
        <f t="array" ref="P5073">XLOOKUP('FACP$'!$B5073,'perfil de pagos'!$A$4:$A$46,'perfil de pagos'!$B$4:$B$46+'FACP$'!$D5073)</f>
        <v>45534</v>
      </c>
      <c r="Q5073" s="165">
        <f t="shared" si="128"/>
        <v>0</v>
      </c>
      <c r="R5073" s="167"/>
      <c r="S5073" s="220">
        <v>3275.0</v>
      </c>
      <c r="T5073" s="168">
        <f t="shared" si="3"/>
        <v>122874.9836</v>
      </c>
      <c r="U5073" s="168">
        <f t="shared" si="4"/>
        <v>0</v>
      </c>
      <c r="V5073" s="168">
        <f t="shared" si="5"/>
        <v>0</v>
      </c>
      <c r="W5073" s="168">
        <f t="shared" si="6"/>
        <v>0</v>
      </c>
      <c r="X5073" s="168">
        <f t="shared" si="7"/>
        <v>0</v>
      </c>
      <c r="Y5073" s="168">
        <f t="shared" si="8"/>
        <v>0</v>
      </c>
      <c r="Z5073" s="168">
        <f t="shared" si="9"/>
        <v>0</v>
      </c>
    </row>
    <row r="5074" ht="15.0" customHeight="1">
      <c r="A5074" s="157" t="s">
        <v>6434</v>
      </c>
      <c r="B5074" s="158" t="s">
        <v>27</v>
      </c>
      <c r="C5074" s="158" t="s">
        <v>6435</v>
      </c>
      <c r="D5074" s="159">
        <v>45504.0</v>
      </c>
      <c r="E5074" s="157" t="s">
        <v>731</v>
      </c>
      <c r="F5074" s="160">
        <v>112229.48</v>
      </c>
      <c r="G5074" s="160">
        <f>'FACP$'!$F5074*0.16</f>
        <v>17956.7168</v>
      </c>
      <c r="H5074" s="160">
        <f t="shared" si="124"/>
        <v>130186.1968</v>
      </c>
      <c r="I5074" s="160"/>
      <c r="J5074" s="161"/>
      <c r="K5074" s="160"/>
      <c r="L5074" s="160">
        <f>+'FACP$'!$H5074-'FACP$'!$I5074-'FACP$'!$K5074</f>
        <v>130186.1968</v>
      </c>
      <c r="M5074" s="162" t="s">
        <v>158</v>
      </c>
      <c r="N5074" s="162" t="s">
        <v>554</v>
      </c>
      <c r="O5074" s="164">
        <v>45552.0</v>
      </c>
      <c r="P5074" s="164">
        <f t="array" ref="P5074">XLOOKUP('FACP$'!$B5074,'perfil de pagos'!$A$4:$A$46,'perfil de pagos'!$B$4:$B$46+'FACP$'!$D5074)</f>
        <v>45534</v>
      </c>
      <c r="Q5074" s="165">
        <f t="shared" si="128"/>
        <v>0</v>
      </c>
      <c r="R5074" s="167"/>
      <c r="S5074" s="220">
        <v>3275.0</v>
      </c>
      <c r="T5074" s="168">
        <f t="shared" si="3"/>
        <v>130186.1968</v>
      </c>
      <c r="U5074" s="168">
        <f t="shared" si="4"/>
        <v>0</v>
      </c>
      <c r="V5074" s="168">
        <f t="shared" si="5"/>
        <v>0</v>
      </c>
      <c r="W5074" s="168">
        <f t="shared" si="6"/>
        <v>0</v>
      </c>
      <c r="X5074" s="168">
        <f t="shared" si="7"/>
        <v>0</v>
      </c>
      <c r="Y5074" s="168">
        <f t="shared" si="8"/>
        <v>0</v>
      </c>
      <c r="Z5074" s="168">
        <f t="shared" si="9"/>
        <v>0</v>
      </c>
    </row>
    <row r="5075" ht="15.0" customHeight="1">
      <c r="A5075" s="157" t="s">
        <v>6436</v>
      </c>
      <c r="B5075" s="158" t="s">
        <v>27</v>
      </c>
      <c r="C5075" s="158" t="s">
        <v>6433</v>
      </c>
      <c r="D5075" s="159">
        <v>45504.0</v>
      </c>
      <c r="E5075" s="157" t="s">
        <v>731</v>
      </c>
      <c r="F5075" s="160">
        <v>203793.89</v>
      </c>
      <c r="G5075" s="160">
        <f>'FACP$'!$F5075*0.16</f>
        <v>32607.0224</v>
      </c>
      <c r="H5075" s="160">
        <f t="shared" si="124"/>
        <v>236400.9124</v>
      </c>
      <c r="I5075" s="160"/>
      <c r="J5075" s="161"/>
      <c r="K5075" s="160"/>
      <c r="L5075" s="160">
        <f>+'FACP$'!$H5075-'FACP$'!$I5075-'FACP$'!$K5075</f>
        <v>236400.9124</v>
      </c>
      <c r="M5075" s="162" t="s">
        <v>151</v>
      </c>
      <c r="N5075" s="162" t="s">
        <v>554</v>
      </c>
      <c r="O5075" s="164">
        <v>45552.0</v>
      </c>
      <c r="P5075" s="164">
        <f t="array" ref="P5075">XLOOKUP('FACP$'!$B5075,'perfil de pagos'!$A$4:$A$46,'perfil de pagos'!$B$4:$B$46+'FACP$'!$D5075)</f>
        <v>45534</v>
      </c>
      <c r="Q5075" s="165">
        <f t="shared" si="128"/>
        <v>0</v>
      </c>
      <c r="R5075" s="167"/>
      <c r="S5075" s="167">
        <v>3276.0</v>
      </c>
      <c r="T5075" s="168">
        <f t="shared" si="3"/>
        <v>236400.9124</v>
      </c>
      <c r="U5075" s="168">
        <f t="shared" si="4"/>
        <v>0</v>
      </c>
      <c r="V5075" s="168">
        <f t="shared" si="5"/>
        <v>0</v>
      </c>
      <c r="W5075" s="168">
        <f t="shared" si="6"/>
        <v>0</v>
      </c>
      <c r="X5075" s="168">
        <f t="shared" si="7"/>
        <v>0</v>
      </c>
      <c r="Y5075" s="168">
        <f t="shared" si="8"/>
        <v>0</v>
      </c>
      <c r="Z5075" s="168">
        <f t="shared" si="9"/>
        <v>0</v>
      </c>
    </row>
    <row r="5076" ht="15.0" customHeight="1">
      <c r="A5076" s="157" t="s">
        <v>6437</v>
      </c>
      <c r="B5076" s="158" t="s">
        <v>27</v>
      </c>
      <c r="C5076" s="158" t="s">
        <v>6435</v>
      </c>
      <c r="D5076" s="159">
        <v>45504.0</v>
      </c>
      <c r="E5076" s="157" t="s">
        <v>731</v>
      </c>
      <c r="F5076" s="160">
        <v>204806.44</v>
      </c>
      <c r="G5076" s="160">
        <f>'FACP$'!$F5076*0.16</f>
        <v>32769.0304</v>
      </c>
      <c r="H5076" s="160">
        <f t="shared" si="124"/>
        <v>237575.4704</v>
      </c>
      <c r="I5076" s="160"/>
      <c r="J5076" s="161"/>
      <c r="K5076" s="160"/>
      <c r="L5076" s="160">
        <f>+'FACP$'!$H5076-'FACP$'!$I5076-'FACP$'!$K5076</f>
        <v>237575.4704</v>
      </c>
      <c r="M5076" s="162" t="s">
        <v>151</v>
      </c>
      <c r="N5076" s="162" t="s">
        <v>554</v>
      </c>
      <c r="O5076" s="164">
        <v>45552.0</v>
      </c>
      <c r="P5076" s="164">
        <f t="array" ref="P5076">XLOOKUP('FACP$'!$B5076,'perfil de pagos'!$A$4:$A$46,'perfil de pagos'!$B$4:$B$46+'FACP$'!$D5076)</f>
        <v>45534</v>
      </c>
      <c r="Q5076" s="165">
        <f t="shared" si="128"/>
        <v>0</v>
      </c>
      <c r="R5076" s="167"/>
      <c r="S5076" s="167">
        <v>3276.0</v>
      </c>
      <c r="T5076" s="168">
        <f t="shared" si="3"/>
        <v>237575.4704</v>
      </c>
      <c r="U5076" s="168">
        <f t="shared" si="4"/>
        <v>0</v>
      </c>
      <c r="V5076" s="168">
        <f t="shared" si="5"/>
        <v>0</v>
      </c>
      <c r="W5076" s="168">
        <f t="shared" si="6"/>
        <v>0</v>
      </c>
      <c r="X5076" s="168">
        <f t="shared" si="7"/>
        <v>0</v>
      </c>
      <c r="Y5076" s="168">
        <f t="shared" si="8"/>
        <v>0</v>
      </c>
      <c r="Z5076" s="168">
        <f t="shared" si="9"/>
        <v>0</v>
      </c>
    </row>
    <row r="5077" ht="15.0" customHeight="1">
      <c r="A5077" s="157" t="s">
        <v>6438</v>
      </c>
      <c r="B5077" s="158" t="s">
        <v>27</v>
      </c>
      <c r="C5077" s="158" t="s">
        <v>6433</v>
      </c>
      <c r="D5077" s="159">
        <v>45504.0</v>
      </c>
      <c r="E5077" s="157" t="s">
        <v>731</v>
      </c>
      <c r="F5077" s="160">
        <v>6035.35</v>
      </c>
      <c r="G5077" s="160">
        <f>'FACP$'!$F5077*0.16</f>
        <v>965.656</v>
      </c>
      <c r="H5077" s="160">
        <f t="shared" si="124"/>
        <v>7001.006</v>
      </c>
      <c r="I5077" s="160"/>
      <c r="J5077" s="161"/>
      <c r="K5077" s="160"/>
      <c r="L5077" s="160">
        <f>+'FACP$'!$H5077-'FACP$'!$I5077-'FACP$'!$K5077</f>
        <v>7001.006</v>
      </c>
      <c r="M5077" s="162" t="s">
        <v>151</v>
      </c>
      <c r="N5077" s="162" t="s">
        <v>554</v>
      </c>
      <c r="O5077" s="164">
        <v>45552.0</v>
      </c>
      <c r="P5077" s="164">
        <f t="array" ref="P5077">XLOOKUP('FACP$'!$B5077,'perfil de pagos'!$A$4:$A$46,'perfil de pagos'!$B$4:$B$46+'FACP$'!$D5077)</f>
        <v>45534</v>
      </c>
      <c r="Q5077" s="165">
        <f t="shared" si="128"/>
        <v>0</v>
      </c>
      <c r="R5077" s="167"/>
      <c r="S5077" s="167">
        <v>3276.0</v>
      </c>
      <c r="T5077" s="168">
        <f t="shared" si="3"/>
        <v>7001.006</v>
      </c>
      <c r="U5077" s="168">
        <f t="shared" si="4"/>
        <v>0</v>
      </c>
      <c r="V5077" s="168">
        <f t="shared" si="5"/>
        <v>0</v>
      </c>
      <c r="W5077" s="168">
        <f t="shared" si="6"/>
        <v>0</v>
      </c>
      <c r="X5077" s="168">
        <f t="shared" si="7"/>
        <v>0</v>
      </c>
      <c r="Y5077" s="168">
        <f t="shared" si="8"/>
        <v>0</v>
      </c>
      <c r="Z5077" s="168">
        <f t="shared" si="9"/>
        <v>0</v>
      </c>
    </row>
    <row r="5078" ht="15.0" customHeight="1">
      <c r="A5078" s="157" t="s">
        <v>6439</v>
      </c>
      <c r="B5078" s="158" t="s">
        <v>27</v>
      </c>
      <c r="C5078" s="158" t="s">
        <v>6435</v>
      </c>
      <c r="D5078" s="159">
        <v>45504.0</v>
      </c>
      <c r="E5078" s="157" t="s">
        <v>731</v>
      </c>
      <c r="F5078" s="160">
        <v>11003.93</v>
      </c>
      <c r="G5078" s="160">
        <f>'FACP$'!$F5078*0.16</f>
        <v>1760.6288</v>
      </c>
      <c r="H5078" s="160">
        <f t="shared" si="124"/>
        <v>12764.5588</v>
      </c>
      <c r="I5078" s="160"/>
      <c r="J5078" s="161"/>
      <c r="K5078" s="160"/>
      <c r="L5078" s="160">
        <f>+'FACP$'!$H5078-'FACP$'!$I5078-'FACP$'!$K5078</f>
        <v>12764.5588</v>
      </c>
      <c r="M5078" s="162" t="s">
        <v>151</v>
      </c>
      <c r="N5078" s="162" t="s">
        <v>554</v>
      </c>
      <c r="O5078" s="164">
        <v>45552.0</v>
      </c>
      <c r="P5078" s="164">
        <f t="array" ref="P5078">XLOOKUP('FACP$'!$B5078,'perfil de pagos'!$A$4:$A$46,'perfil de pagos'!$B$4:$B$46+'FACP$'!$D5078)</f>
        <v>45534</v>
      </c>
      <c r="Q5078" s="165">
        <f t="shared" si="128"/>
        <v>0</v>
      </c>
      <c r="R5078" s="167"/>
      <c r="S5078" s="167">
        <v>3276.0</v>
      </c>
      <c r="T5078" s="168">
        <f t="shared" si="3"/>
        <v>12764.5588</v>
      </c>
      <c r="U5078" s="168">
        <f t="shared" si="4"/>
        <v>0</v>
      </c>
      <c r="V5078" s="168">
        <f t="shared" si="5"/>
        <v>0</v>
      </c>
      <c r="W5078" s="168">
        <f t="shared" si="6"/>
        <v>0</v>
      </c>
      <c r="X5078" s="168">
        <f t="shared" si="7"/>
        <v>0</v>
      </c>
      <c r="Y5078" s="168">
        <f t="shared" si="8"/>
        <v>0</v>
      </c>
      <c r="Z5078" s="168">
        <f t="shared" si="9"/>
        <v>0</v>
      </c>
    </row>
    <row r="5079" ht="15.0" customHeight="1">
      <c r="A5079" s="157" t="s">
        <v>6440</v>
      </c>
      <c r="B5079" s="158" t="s">
        <v>16</v>
      </c>
      <c r="C5079" s="158" t="s">
        <v>6441</v>
      </c>
      <c r="D5079" s="159">
        <v>45505.0</v>
      </c>
      <c r="E5079" s="157" t="s">
        <v>731</v>
      </c>
      <c r="F5079" s="160">
        <v>7478.82</v>
      </c>
      <c r="G5079" s="160">
        <f>'FACP$'!$F5079*0.16</f>
        <v>1196.6112</v>
      </c>
      <c r="H5079" s="160">
        <f t="shared" si="124"/>
        <v>8675.4312</v>
      </c>
      <c r="I5079" s="160"/>
      <c r="J5079" s="161"/>
      <c r="K5079" s="160"/>
      <c r="L5079" s="160">
        <f>+'FACP$'!$H5079-'FACP$'!$I5079-'FACP$'!$K5079</f>
        <v>8675.4312</v>
      </c>
      <c r="M5079" s="162" t="s">
        <v>985</v>
      </c>
      <c r="N5079" s="162" t="s">
        <v>554</v>
      </c>
      <c r="O5079" s="164">
        <v>45518.0</v>
      </c>
      <c r="P5079" s="164">
        <f t="array" ref="P5079">XLOOKUP('FACP$'!$B5079,'perfil de pagos'!$A$4:$A$46,'perfil de pagos'!$B$4:$B$46+'FACP$'!$D5079)</f>
        <v>45515</v>
      </c>
      <c r="Q5079" s="165">
        <f t="shared" si="128"/>
        <v>0</v>
      </c>
      <c r="R5079" s="167"/>
      <c r="S5079" s="167">
        <v>3200.0</v>
      </c>
      <c r="T5079" s="168">
        <f t="shared" si="3"/>
        <v>8675.4312</v>
      </c>
      <c r="U5079" s="168">
        <f t="shared" si="4"/>
        <v>0</v>
      </c>
      <c r="V5079" s="168">
        <f t="shared" si="5"/>
        <v>0</v>
      </c>
      <c r="W5079" s="168">
        <f t="shared" si="6"/>
        <v>0</v>
      </c>
      <c r="X5079" s="168">
        <f t="shared" si="7"/>
        <v>0</v>
      </c>
      <c r="Y5079" s="168">
        <f t="shared" si="8"/>
        <v>0</v>
      </c>
      <c r="Z5079" s="168">
        <f t="shared" si="9"/>
        <v>0</v>
      </c>
    </row>
    <row r="5080" ht="15.0" customHeight="1">
      <c r="A5080" s="157" t="s">
        <v>6442</v>
      </c>
      <c r="B5080" s="158" t="s">
        <v>41</v>
      </c>
      <c r="C5080" s="158" t="s">
        <v>6443</v>
      </c>
      <c r="D5080" s="159">
        <v>45506.0</v>
      </c>
      <c r="E5080" s="157" t="s">
        <v>731</v>
      </c>
      <c r="F5080" s="160">
        <v>474364.69</v>
      </c>
      <c r="G5080" s="160">
        <f>'FACP$'!$F5080*0.16</f>
        <v>75898.3504</v>
      </c>
      <c r="H5080" s="160">
        <f t="shared" si="124"/>
        <v>550263.0404</v>
      </c>
      <c r="I5080" s="160"/>
      <c r="J5080" s="161"/>
      <c r="K5080" s="160"/>
      <c r="L5080" s="160">
        <f>+'FACP$'!$H5080-'FACP$'!$I5080-'FACP$'!$K5080</f>
        <v>550263.0404</v>
      </c>
      <c r="M5080" s="162" t="s">
        <v>121</v>
      </c>
      <c r="N5080" s="162" t="s">
        <v>554</v>
      </c>
      <c r="O5080" s="164">
        <v>45560.0</v>
      </c>
      <c r="P5080" s="164">
        <f t="array" ref="P5080">XLOOKUP('FACP$'!$B5080,'perfil de pagos'!$A$4:$A$46,'perfil de pagos'!$B$4:$B$46+'FACP$'!$D5080)</f>
        <v>45516</v>
      </c>
      <c r="Q5080" s="165">
        <f t="shared" si="128"/>
        <v>0</v>
      </c>
      <c r="R5080" s="167"/>
      <c r="S5080" s="167">
        <v>3290.0</v>
      </c>
      <c r="T5080" s="168">
        <f t="shared" si="3"/>
        <v>550263.0404</v>
      </c>
      <c r="U5080" s="168">
        <f t="shared" si="4"/>
        <v>0</v>
      </c>
      <c r="V5080" s="168">
        <f t="shared" si="5"/>
        <v>0</v>
      </c>
      <c r="W5080" s="168">
        <f t="shared" si="6"/>
        <v>0</v>
      </c>
      <c r="X5080" s="168">
        <f t="shared" si="7"/>
        <v>0</v>
      </c>
      <c r="Y5080" s="168">
        <f t="shared" si="8"/>
        <v>0</v>
      </c>
      <c r="Z5080" s="168">
        <f t="shared" si="9"/>
        <v>0</v>
      </c>
    </row>
    <row r="5081" ht="15.0" customHeight="1">
      <c r="A5081" s="157" t="s">
        <v>6444</v>
      </c>
      <c r="B5081" s="158" t="s">
        <v>35</v>
      </c>
      <c r="C5081" s="158" t="s">
        <v>6443</v>
      </c>
      <c r="D5081" s="159">
        <v>45506.0</v>
      </c>
      <c r="E5081" s="157" t="s">
        <v>731</v>
      </c>
      <c r="F5081" s="160">
        <v>138355.96</v>
      </c>
      <c r="G5081" s="160">
        <f>'FACP$'!$F5081*0.16</f>
        <v>22136.9536</v>
      </c>
      <c r="H5081" s="160">
        <f t="shared" si="124"/>
        <v>160492.9136</v>
      </c>
      <c r="I5081" s="160"/>
      <c r="J5081" s="161"/>
      <c r="K5081" s="160"/>
      <c r="L5081" s="160">
        <f>+'FACP$'!$H5081-'FACP$'!$I5081-'FACP$'!$K5081</f>
        <v>160492.9136</v>
      </c>
      <c r="M5081" s="162" t="s">
        <v>276</v>
      </c>
      <c r="N5081" s="162" t="s">
        <v>554</v>
      </c>
      <c r="O5081" s="164">
        <v>45582.0</v>
      </c>
      <c r="P5081" s="164">
        <f t="array" ref="P5081">XLOOKUP('FACP$'!$B5081,'perfil de pagos'!$A$4:$A$46,'perfil de pagos'!$B$4:$B$46+'FACP$'!$D5081)</f>
        <v>45516</v>
      </c>
      <c r="Q5081" s="165">
        <f t="shared" si="128"/>
        <v>0</v>
      </c>
      <c r="R5081" s="167"/>
      <c r="S5081" s="167">
        <v>3336.0</v>
      </c>
      <c r="T5081" s="168">
        <f t="shared" si="3"/>
        <v>160492.9136</v>
      </c>
      <c r="U5081" s="168">
        <f t="shared" si="4"/>
        <v>0</v>
      </c>
      <c r="V5081" s="168">
        <f t="shared" si="5"/>
        <v>0</v>
      </c>
      <c r="W5081" s="168">
        <f t="shared" si="6"/>
        <v>0</v>
      </c>
      <c r="X5081" s="168">
        <f t="shared" si="7"/>
        <v>0</v>
      </c>
      <c r="Y5081" s="168">
        <f t="shared" si="8"/>
        <v>0</v>
      </c>
      <c r="Z5081" s="168">
        <f t="shared" si="9"/>
        <v>0</v>
      </c>
    </row>
    <row r="5082" ht="15.0" customHeight="1">
      <c r="A5082" s="157" t="s">
        <v>6445</v>
      </c>
      <c r="B5082" s="158" t="s">
        <v>36</v>
      </c>
      <c r="C5082" s="158" t="s">
        <v>6443</v>
      </c>
      <c r="D5082" s="159">
        <v>45506.0</v>
      </c>
      <c r="E5082" s="157" t="s">
        <v>731</v>
      </c>
      <c r="F5082" s="160">
        <v>114067.83</v>
      </c>
      <c r="G5082" s="160">
        <f>'FACP$'!$F5082*0.16</f>
        <v>18250.8528</v>
      </c>
      <c r="H5082" s="160">
        <f t="shared" si="124"/>
        <v>132318.6828</v>
      </c>
      <c r="I5082" s="160"/>
      <c r="J5082" s="161"/>
      <c r="K5082" s="160"/>
      <c r="L5082" s="160">
        <f>+'FACP$'!$H5082-'FACP$'!$I5082-'FACP$'!$K5082</f>
        <v>132318.6828</v>
      </c>
      <c r="M5082" s="162" t="s">
        <v>530</v>
      </c>
      <c r="N5082" s="162" t="s">
        <v>554</v>
      </c>
      <c r="O5082" s="164">
        <v>45518.0</v>
      </c>
      <c r="P5082" s="164">
        <f t="array" ref="P5082">XLOOKUP('FACP$'!$B5082,'perfil de pagos'!$A$4:$A$46,'perfil de pagos'!$B$4:$B$46+'FACP$'!$D5082)</f>
        <v>45516</v>
      </c>
      <c r="Q5082" s="165">
        <f t="shared" si="128"/>
        <v>0</v>
      </c>
      <c r="R5082" s="167"/>
      <c r="S5082" s="167">
        <v>3202.0</v>
      </c>
      <c r="T5082" s="168">
        <f t="shared" si="3"/>
        <v>132318.6828</v>
      </c>
      <c r="U5082" s="168">
        <f t="shared" si="4"/>
        <v>0</v>
      </c>
      <c r="V5082" s="168">
        <f t="shared" si="5"/>
        <v>0</v>
      </c>
      <c r="W5082" s="168">
        <f t="shared" si="6"/>
        <v>0</v>
      </c>
      <c r="X5082" s="168">
        <f t="shared" si="7"/>
        <v>0</v>
      </c>
      <c r="Y5082" s="168">
        <f t="shared" si="8"/>
        <v>0</v>
      </c>
      <c r="Z5082" s="168">
        <f t="shared" si="9"/>
        <v>0</v>
      </c>
    </row>
    <row r="5083" ht="15.0" customHeight="1">
      <c r="A5083" s="157" t="s">
        <v>6446</v>
      </c>
      <c r="B5083" s="158" t="s">
        <v>36</v>
      </c>
      <c r="C5083" s="158" t="s">
        <v>6447</v>
      </c>
      <c r="D5083" s="159">
        <v>45506.0</v>
      </c>
      <c r="E5083" s="157" t="s">
        <v>731</v>
      </c>
      <c r="F5083" s="160">
        <v>75418.97</v>
      </c>
      <c r="G5083" s="160">
        <f>'FACP$'!$F5083*0.16</f>
        <v>12067.0352</v>
      </c>
      <c r="H5083" s="160">
        <f t="shared" si="124"/>
        <v>87486.0052</v>
      </c>
      <c r="I5083" s="160"/>
      <c r="J5083" s="161"/>
      <c r="K5083" s="160"/>
      <c r="L5083" s="160">
        <f>+'FACP$'!$H5083-'FACP$'!$I5083-'FACP$'!$K5083</f>
        <v>87486.0052</v>
      </c>
      <c r="M5083" s="162" t="s">
        <v>530</v>
      </c>
      <c r="N5083" s="162" t="s">
        <v>554</v>
      </c>
      <c r="O5083" s="164">
        <v>45518.0</v>
      </c>
      <c r="P5083" s="164">
        <f t="array" ref="P5083">XLOOKUP('FACP$'!$B5083,'perfil de pagos'!$A$4:$A$46,'perfil de pagos'!$B$4:$B$46+'FACP$'!$D5083)</f>
        <v>45516</v>
      </c>
      <c r="Q5083" s="165">
        <f t="shared" si="128"/>
        <v>0</v>
      </c>
      <c r="R5083" s="167"/>
      <c r="S5083" s="167">
        <v>3201.0</v>
      </c>
      <c r="T5083" s="168">
        <f t="shared" si="3"/>
        <v>87486.0052</v>
      </c>
      <c r="U5083" s="168">
        <f t="shared" si="4"/>
        <v>0</v>
      </c>
      <c r="V5083" s="168">
        <f t="shared" si="5"/>
        <v>0</v>
      </c>
      <c r="W5083" s="168">
        <f t="shared" si="6"/>
        <v>0</v>
      </c>
      <c r="X5083" s="168">
        <f t="shared" si="7"/>
        <v>0</v>
      </c>
      <c r="Y5083" s="168">
        <f t="shared" si="8"/>
        <v>0</v>
      </c>
      <c r="Z5083" s="168">
        <f t="shared" si="9"/>
        <v>0</v>
      </c>
    </row>
    <row r="5084" ht="15.0" customHeight="1">
      <c r="A5084" s="157" t="s">
        <v>6448</v>
      </c>
      <c r="B5084" s="158" t="s">
        <v>36</v>
      </c>
      <c r="C5084" s="158" t="s">
        <v>6443</v>
      </c>
      <c r="D5084" s="159">
        <v>45506.0</v>
      </c>
      <c r="E5084" s="157" t="s">
        <v>731</v>
      </c>
      <c r="F5084" s="160">
        <v>16013.31</v>
      </c>
      <c r="G5084" s="160">
        <f>'FACP$'!$F5084*0.16</f>
        <v>2562.1296</v>
      </c>
      <c r="H5084" s="160">
        <f t="shared" si="124"/>
        <v>18575.4396</v>
      </c>
      <c r="I5084" s="160"/>
      <c r="J5084" s="161"/>
      <c r="K5084" s="160"/>
      <c r="L5084" s="160">
        <f>+'FACP$'!$H5084-'FACP$'!$I5084-'FACP$'!$K5084</f>
        <v>18575.4396</v>
      </c>
      <c r="M5084" s="162" t="s">
        <v>526</v>
      </c>
      <c r="N5084" s="162" t="s">
        <v>554</v>
      </c>
      <c r="O5084" s="164">
        <v>45520.0</v>
      </c>
      <c r="P5084" s="164">
        <f t="array" ref="P5084">XLOOKUP('FACP$'!$B5084,'perfil de pagos'!$A$4:$A$46,'perfil de pagos'!$B$4:$B$46+'FACP$'!$D5084)</f>
        <v>45516</v>
      </c>
      <c r="Q5084" s="165">
        <f t="shared" si="128"/>
        <v>0</v>
      </c>
      <c r="R5084" s="167"/>
      <c r="S5084" s="167">
        <v>3207.0</v>
      </c>
      <c r="T5084" s="168">
        <f t="shared" si="3"/>
        <v>18575.4396</v>
      </c>
      <c r="U5084" s="168">
        <f t="shared" si="4"/>
        <v>0</v>
      </c>
      <c r="V5084" s="168">
        <f t="shared" si="5"/>
        <v>0</v>
      </c>
      <c r="W5084" s="168">
        <f t="shared" si="6"/>
        <v>0</v>
      </c>
      <c r="X5084" s="168">
        <f t="shared" si="7"/>
        <v>0</v>
      </c>
      <c r="Y5084" s="168">
        <f t="shared" si="8"/>
        <v>0</v>
      </c>
      <c r="Z5084" s="168">
        <f t="shared" si="9"/>
        <v>0</v>
      </c>
    </row>
    <row r="5085" ht="15.0" customHeight="1">
      <c r="A5085" s="157" t="s">
        <v>6449</v>
      </c>
      <c r="B5085" s="158" t="s">
        <v>36</v>
      </c>
      <c r="C5085" s="158" t="s">
        <v>6447</v>
      </c>
      <c r="D5085" s="159">
        <v>45506.0</v>
      </c>
      <c r="E5085" s="157" t="s">
        <v>731</v>
      </c>
      <c r="F5085" s="160">
        <v>21285.98</v>
      </c>
      <c r="G5085" s="160">
        <f>'FACP$'!$F5085*0.16</f>
        <v>3405.7568</v>
      </c>
      <c r="H5085" s="160">
        <f t="shared" si="124"/>
        <v>24691.7368</v>
      </c>
      <c r="I5085" s="160"/>
      <c r="J5085" s="161"/>
      <c r="K5085" s="160"/>
      <c r="L5085" s="160">
        <f>+'FACP$'!$H5085-'FACP$'!$I5085-'FACP$'!$K5085</f>
        <v>24691.7368</v>
      </c>
      <c r="M5085" s="162" t="s">
        <v>526</v>
      </c>
      <c r="N5085" s="162" t="s">
        <v>554</v>
      </c>
      <c r="O5085" s="164">
        <v>45523.0</v>
      </c>
      <c r="P5085" s="164">
        <f t="array" ref="P5085">XLOOKUP('FACP$'!$B5085,'perfil de pagos'!$A$4:$A$46,'perfil de pagos'!$B$4:$B$46+'FACP$'!$D5085)</f>
        <v>45516</v>
      </c>
      <c r="Q5085" s="165">
        <f t="shared" si="128"/>
        <v>0</v>
      </c>
      <c r="R5085" s="167"/>
      <c r="S5085" s="167">
        <v>3212.0</v>
      </c>
      <c r="T5085" s="168">
        <f t="shared" si="3"/>
        <v>24691.7368</v>
      </c>
      <c r="U5085" s="168">
        <f t="shared" si="4"/>
        <v>0</v>
      </c>
      <c r="V5085" s="168">
        <f t="shared" si="5"/>
        <v>0</v>
      </c>
      <c r="W5085" s="168">
        <f t="shared" si="6"/>
        <v>0</v>
      </c>
      <c r="X5085" s="168">
        <f t="shared" si="7"/>
        <v>0</v>
      </c>
      <c r="Y5085" s="168">
        <f t="shared" si="8"/>
        <v>0</v>
      </c>
      <c r="Z5085" s="168">
        <f t="shared" si="9"/>
        <v>0</v>
      </c>
      <c r="AA5085" s="96"/>
      <c r="AB5085" s="96"/>
      <c r="AC5085" s="96"/>
    </row>
    <row r="5086" ht="15.0" customHeight="1">
      <c r="A5086" s="157" t="s">
        <v>6450</v>
      </c>
      <c r="B5086" s="158" t="s">
        <v>42</v>
      </c>
      <c r="C5086" s="158" t="s">
        <v>6443</v>
      </c>
      <c r="D5086" s="159">
        <v>45506.0</v>
      </c>
      <c r="E5086" s="157" t="s">
        <v>731</v>
      </c>
      <c r="F5086" s="160">
        <v>37966.19</v>
      </c>
      <c r="G5086" s="160">
        <f>'FACP$'!$F5086*0.16</f>
        <v>6074.5904</v>
      </c>
      <c r="H5086" s="160">
        <f t="shared" si="124"/>
        <v>44040.7804</v>
      </c>
      <c r="I5086" s="160"/>
      <c r="J5086" s="161"/>
      <c r="K5086" s="160"/>
      <c r="L5086" s="160">
        <f>+'FACP$'!$H5086-'FACP$'!$I5086-'FACP$'!$K5086</f>
        <v>44040.7804</v>
      </c>
      <c r="M5086" s="162" t="s">
        <v>42</v>
      </c>
      <c r="N5086" s="162" t="s">
        <v>554</v>
      </c>
      <c r="O5086" s="224">
        <v>45526.0</v>
      </c>
      <c r="P5086" s="164">
        <f t="array" ref="P5086">XLOOKUP('FACP$'!$B5086,'perfil de pagos'!$A$4:$A$46,'perfil de pagos'!$B$4:$B$46+'FACP$'!$D5086)</f>
        <v>45516</v>
      </c>
      <c r="Q5086" s="165">
        <f t="shared" si="128"/>
        <v>0</v>
      </c>
      <c r="R5086" s="167"/>
      <c r="S5086" s="167">
        <v>3224.0</v>
      </c>
      <c r="T5086" s="168">
        <f t="shared" si="3"/>
        <v>44040.7804</v>
      </c>
      <c r="U5086" s="168">
        <f t="shared" si="4"/>
        <v>0</v>
      </c>
      <c r="V5086" s="168">
        <f t="shared" si="5"/>
        <v>0</v>
      </c>
      <c r="W5086" s="168">
        <f t="shared" si="6"/>
        <v>0</v>
      </c>
      <c r="X5086" s="168">
        <f t="shared" si="7"/>
        <v>0</v>
      </c>
      <c r="Y5086" s="168">
        <f t="shared" si="8"/>
        <v>0</v>
      </c>
      <c r="Z5086" s="168">
        <f t="shared" si="9"/>
        <v>0</v>
      </c>
    </row>
    <row r="5087" ht="15.0" customHeight="1">
      <c r="A5087" s="157" t="s">
        <v>6451</v>
      </c>
      <c r="B5087" s="158" t="s">
        <v>43</v>
      </c>
      <c r="C5087" s="158" t="s">
        <v>6443</v>
      </c>
      <c r="D5087" s="159">
        <v>45506.0</v>
      </c>
      <c r="E5087" s="157" t="s">
        <v>731</v>
      </c>
      <c r="F5087" s="160">
        <v>409774.42</v>
      </c>
      <c r="G5087" s="160">
        <f>'FACP$'!$F5087*0.16</f>
        <v>65563.9072</v>
      </c>
      <c r="H5087" s="160">
        <f t="shared" si="124"/>
        <v>475338.3272</v>
      </c>
      <c r="I5087" s="160"/>
      <c r="J5087" s="161">
        <f>'NCP$'!A293</f>
        <v>397</v>
      </c>
      <c r="K5087" s="160">
        <f>'NCP$'!H293</f>
        <v>2504.6952</v>
      </c>
      <c r="L5087" s="160">
        <f>+'FACP$'!$H5087-'FACP$'!$I5087-'FACP$'!$K5087</f>
        <v>472833.632</v>
      </c>
      <c r="M5087" s="162" t="s">
        <v>43</v>
      </c>
      <c r="N5087" s="162" t="s">
        <v>554</v>
      </c>
      <c r="O5087" s="164">
        <v>45541.0</v>
      </c>
      <c r="P5087" s="164">
        <f t="array" ref="P5087">XLOOKUP('FACP$'!$B5087,'perfil de pagos'!$A$4:$A$46,'perfil de pagos'!$B$4:$B$46+'FACP$'!$D5087)</f>
        <v>45531</v>
      </c>
      <c r="Q5087" s="165">
        <f t="shared" si="128"/>
        <v>0</v>
      </c>
      <c r="R5087" s="167"/>
      <c r="S5087" s="167">
        <v>3250.0</v>
      </c>
      <c r="T5087" s="168">
        <f t="shared" si="3"/>
        <v>472833.632</v>
      </c>
      <c r="U5087" s="168">
        <f t="shared" si="4"/>
        <v>0</v>
      </c>
      <c r="V5087" s="168">
        <f t="shared" si="5"/>
        <v>0</v>
      </c>
      <c r="W5087" s="168">
        <f t="shared" si="6"/>
        <v>0</v>
      </c>
      <c r="X5087" s="168">
        <f t="shared" si="7"/>
        <v>0</v>
      </c>
      <c r="Y5087" s="168">
        <f t="shared" si="8"/>
        <v>0</v>
      </c>
      <c r="Z5087" s="168">
        <f t="shared" si="9"/>
        <v>0</v>
      </c>
    </row>
    <row r="5088" ht="15.0" customHeight="1">
      <c r="A5088" s="157" t="s">
        <v>6452</v>
      </c>
      <c r="B5088" s="158" t="s">
        <v>43</v>
      </c>
      <c r="C5088" s="158" t="s">
        <v>6447</v>
      </c>
      <c r="D5088" s="159">
        <v>45506.0</v>
      </c>
      <c r="E5088" s="157" t="s">
        <v>731</v>
      </c>
      <c r="F5088" s="160">
        <v>544157.45</v>
      </c>
      <c r="G5088" s="160">
        <f>'FACP$'!$F5088*0.16</f>
        <v>87065.192</v>
      </c>
      <c r="H5088" s="160">
        <f t="shared" si="124"/>
        <v>631222.642</v>
      </c>
      <c r="I5088" s="160"/>
      <c r="J5088" s="161">
        <f>'NCP$'!A294</f>
        <v>398</v>
      </c>
      <c r="K5088" s="160">
        <f>'NCP$'!H294</f>
        <v>6526.4964</v>
      </c>
      <c r="L5088" s="160">
        <f>+'FACP$'!$H5088-'FACP$'!$I5088-'FACP$'!$K5088</f>
        <v>624696.1456</v>
      </c>
      <c r="M5088" s="162" t="s">
        <v>43</v>
      </c>
      <c r="N5088" s="162" t="s">
        <v>554</v>
      </c>
      <c r="O5088" s="164">
        <v>45541.0</v>
      </c>
      <c r="P5088" s="164">
        <f t="array" ref="P5088">XLOOKUP('FACP$'!$B5088,'perfil de pagos'!$A$4:$A$46,'perfil de pagos'!$B$4:$B$46+'FACP$'!$D5088)</f>
        <v>45531</v>
      </c>
      <c r="Q5088" s="165">
        <f t="shared" si="128"/>
        <v>0</v>
      </c>
      <c r="R5088" s="167"/>
      <c r="S5088" s="167">
        <v>3251.0</v>
      </c>
      <c r="T5088" s="168">
        <f t="shared" si="3"/>
        <v>624696.1456</v>
      </c>
      <c r="U5088" s="168">
        <f t="shared" si="4"/>
        <v>0</v>
      </c>
      <c r="V5088" s="168">
        <f t="shared" si="5"/>
        <v>0</v>
      </c>
      <c r="W5088" s="168">
        <f t="shared" si="6"/>
        <v>0</v>
      </c>
      <c r="X5088" s="168">
        <f t="shared" si="7"/>
        <v>0</v>
      </c>
      <c r="Y5088" s="168">
        <f t="shared" si="8"/>
        <v>0</v>
      </c>
      <c r="Z5088" s="168">
        <f t="shared" si="9"/>
        <v>0</v>
      </c>
    </row>
    <row r="5089" ht="15.0" customHeight="1">
      <c r="A5089" s="157" t="s">
        <v>6453</v>
      </c>
      <c r="B5089" s="158" t="s">
        <v>44</v>
      </c>
      <c r="C5089" s="158" t="s">
        <v>6443</v>
      </c>
      <c r="D5089" s="159">
        <v>45506.0</v>
      </c>
      <c r="E5089" s="157" t="s">
        <v>731</v>
      </c>
      <c r="F5089" s="160">
        <v>18597.51</v>
      </c>
      <c r="G5089" s="160">
        <f>'FACP$'!$F5089*0.16</f>
        <v>2975.6016</v>
      </c>
      <c r="H5089" s="160">
        <f t="shared" si="124"/>
        <v>21573.1116</v>
      </c>
      <c r="I5089" s="160"/>
      <c r="J5089" s="161"/>
      <c r="K5089" s="160"/>
      <c r="L5089" s="160">
        <f>+'FACP$'!$H5089-'FACP$'!$I5089-'FACP$'!$K5089</f>
        <v>21573.1116</v>
      </c>
      <c r="M5089" s="162" t="s">
        <v>361</v>
      </c>
      <c r="N5089" s="162" t="s">
        <v>554</v>
      </c>
      <c r="O5089" s="164">
        <v>45513.0</v>
      </c>
      <c r="P5089" s="164">
        <f t="array" ref="P5089">XLOOKUP('FACP$'!$B5089,'perfil de pagos'!$A$4:$A$46,'perfil de pagos'!$B$4:$B$46+'FACP$'!$D5089)</f>
        <v>45516</v>
      </c>
      <c r="Q5089" s="165">
        <f t="shared" si="128"/>
        <v>0</v>
      </c>
      <c r="R5089" s="167"/>
      <c r="S5089" s="167">
        <v>3193.0</v>
      </c>
      <c r="T5089" s="168">
        <f t="shared" si="3"/>
        <v>21573.1116</v>
      </c>
      <c r="U5089" s="168">
        <f t="shared" si="4"/>
        <v>0</v>
      </c>
      <c r="V5089" s="168">
        <f t="shared" si="5"/>
        <v>0</v>
      </c>
      <c r="W5089" s="168">
        <f t="shared" si="6"/>
        <v>0</v>
      </c>
      <c r="X5089" s="168">
        <f t="shared" si="7"/>
        <v>0</v>
      </c>
      <c r="Y5089" s="168">
        <f t="shared" si="8"/>
        <v>0</v>
      </c>
      <c r="Z5089" s="168">
        <f t="shared" si="9"/>
        <v>0</v>
      </c>
    </row>
    <row r="5090" ht="15.0" customHeight="1">
      <c r="A5090" s="157" t="s">
        <v>6454</v>
      </c>
      <c r="B5090" s="158" t="s">
        <v>38</v>
      </c>
      <c r="C5090" s="158" t="s">
        <v>6443</v>
      </c>
      <c r="D5090" s="159">
        <v>45509.0</v>
      </c>
      <c r="E5090" s="157" t="s">
        <v>731</v>
      </c>
      <c r="F5090" s="160">
        <v>50220.31</v>
      </c>
      <c r="G5090" s="160">
        <f>'FACP$'!$F5090*0.16</f>
        <v>8035.2496</v>
      </c>
      <c r="H5090" s="160">
        <f t="shared" si="124"/>
        <v>58255.5596</v>
      </c>
      <c r="I5090" s="160"/>
      <c r="J5090" s="161"/>
      <c r="K5090" s="160"/>
      <c r="L5090" s="160">
        <f>+'FACP$'!$H5090-'FACP$'!$I5090-'FACP$'!$K5090</f>
        <v>58255.5596</v>
      </c>
      <c r="M5090" s="162" t="s">
        <v>4707</v>
      </c>
      <c r="N5090" s="162" t="s">
        <v>554</v>
      </c>
      <c r="O5090" s="164">
        <v>45546.0</v>
      </c>
      <c r="P5090" s="164">
        <f t="array" ref="P5090">XLOOKUP('FACP$'!$B5090,'perfil de pagos'!$A$4:$A$46,'perfil de pagos'!$B$4:$B$46+'FACP$'!$D5090)</f>
        <v>45539</v>
      </c>
      <c r="Q5090" s="165">
        <f t="shared" si="128"/>
        <v>0</v>
      </c>
      <c r="R5090" s="167"/>
      <c r="S5090" s="167">
        <v>3262.0</v>
      </c>
      <c r="T5090" s="168">
        <f t="shared" si="3"/>
        <v>58255.5596</v>
      </c>
      <c r="U5090" s="168">
        <f t="shared" si="4"/>
        <v>0</v>
      </c>
      <c r="V5090" s="168">
        <f t="shared" si="5"/>
        <v>0</v>
      </c>
      <c r="W5090" s="168">
        <f t="shared" si="6"/>
        <v>0</v>
      </c>
      <c r="X5090" s="168">
        <f t="shared" si="7"/>
        <v>0</v>
      </c>
      <c r="Y5090" s="168">
        <f t="shared" si="8"/>
        <v>0</v>
      </c>
      <c r="Z5090" s="168">
        <f t="shared" si="9"/>
        <v>0</v>
      </c>
    </row>
    <row r="5091" ht="15.0" customHeight="1">
      <c r="A5091" s="157" t="s">
        <v>6455</v>
      </c>
      <c r="B5091" s="158" t="s">
        <v>38</v>
      </c>
      <c r="C5091" s="158" t="s">
        <v>6447</v>
      </c>
      <c r="D5091" s="159">
        <v>45509.0</v>
      </c>
      <c r="E5091" s="157" t="s">
        <v>731</v>
      </c>
      <c r="F5091" s="160">
        <v>52333.37</v>
      </c>
      <c r="G5091" s="160">
        <f>'FACP$'!$F5091*0.16</f>
        <v>8373.3392</v>
      </c>
      <c r="H5091" s="160">
        <f t="shared" si="124"/>
        <v>60706.7092</v>
      </c>
      <c r="I5091" s="160"/>
      <c r="J5091" s="161"/>
      <c r="K5091" s="160"/>
      <c r="L5091" s="160">
        <f>+'FACP$'!$H5091-'FACP$'!$I5091-'FACP$'!$K5091</f>
        <v>60706.7092</v>
      </c>
      <c r="M5091" s="162" t="s">
        <v>4707</v>
      </c>
      <c r="N5091" s="162" t="s">
        <v>554</v>
      </c>
      <c r="O5091" s="164">
        <v>45546.0</v>
      </c>
      <c r="P5091" s="164">
        <f t="array" ref="P5091">XLOOKUP('FACP$'!$B5091,'perfil de pagos'!$A$4:$A$46,'perfil de pagos'!$B$4:$B$46+'FACP$'!$D5091)</f>
        <v>45539</v>
      </c>
      <c r="Q5091" s="165">
        <f t="shared" si="128"/>
        <v>0</v>
      </c>
      <c r="R5091" s="167"/>
      <c r="S5091" s="167">
        <v>3262.0</v>
      </c>
      <c r="T5091" s="168">
        <f t="shared" si="3"/>
        <v>60706.7092</v>
      </c>
      <c r="U5091" s="168">
        <f t="shared" si="4"/>
        <v>0</v>
      </c>
      <c r="V5091" s="168">
        <f t="shared" si="5"/>
        <v>0</v>
      </c>
      <c r="W5091" s="168">
        <f t="shared" si="6"/>
        <v>0</v>
      </c>
      <c r="X5091" s="168">
        <f t="shared" si="7"/>
        <v>0</v>
      </c>
      <c r="Y5091" s="168">
        <f t="shared" si="8"/>
        <v>0</v>
      </c>
      <c r="Z5091" s="168">
        <f t="shared" si="9"/>
        <v>0</v>
      </c>
    </row>
    <row r="5092" ht="15.0" customHeight="1">
      <c r="A5092" s="157" t="s">
        <v>6456</v>
      </c>
      <c r="B5092" s="158" t="s">
        <v>38</v>
      </c>
      <c r="C5092" s="158" t="s">
        <v>6443</v>
      </c>
      <c r="D5092" s="159">
        <v>45509.0</v>
      </c>
      <c r="E5092" s="157" t="s">
        <v>731</v>
      </c>
      <c r="F5092" s="160">
        <v>98373.78</v>
      </c>
      <c r="G5092" s="160">
        <f>'FACP$'!$F5092*0.16</f>
        <v>15739.8048</v>
      </c>
      <c r="H5092" s="160">
        <f t="shared" si="124"/>
        <v>114113.5848</v>
      </c>
      <c r="I5092" s="160"/>
      <c r="J5092" s="161"/>
      <c r="K5092" s="160"/>
      <c r="L5092" s="160">
        <f>+'FACP$'!$H5092-'FACP$'!$I5092-'FACP$'!$K5092</f>
        <v>114113.5848</v>
      </c>
      <c r="M5092" s="162" t="s">
        <v>4654</v>
      </c>
      <c r="N5092" s="162" t="s">
        <v>554</v>
      </c>
      <c r="O5092" s="164">
        <v>45546.0</v>
      </c>
      <c r="P5092" s="164">
        <f t="array" ref="P5092">XLOOKUP('FACP$'!$B5092,'perfil de pagos'!$A$4:$A$46,'perfil de pagos'!$B$4:$B$46+'FACP$'!$D5092)</f>
        <v>45539</v>
      </c>
      <c r="Q5092" s="165">
        <f t="shared" si="128"/>
        <v>0</v>
      </c>
      <c r="R5092" s="167"/>
      <c r="S5092" s="167">
        <v>3262.0</v>
      </c>
      <c r="T5092" s="168">
        <f t="shared" si="3"/>
        <v>114113.5848</v>
      </c>
      <c r="U5092" s="168">
        <f t="shared" si="4"/>
        <v>0</v>
      </c>
      <c r="V5092" s="168">
        <f t="shared" si="5"/>
        <v>0</v>
      </c>
      <c r="W5092" s="168">
        <f t="shared" si="6"/>
        <v>0</v>
      </c>
      <c r="X5092" s="168">
        <f t="shared" si="7"/>
        <v>0</v>
      </c>
      <c r="Y5092" s="168">
        <f t="shared" si="8"/>
        <v>0</v>
      </c>
      <c r="Z5092" s="168">
        <f t="shared" si="9"/>
        <v>0</v>
      </c>
    </row>
    <row r="5093" ht="15.0" customHeight="1">
      <c r="A5093" s="157" t="s">
        <v>6457</v>
      </c>
      <c r="B5093" s="158" t="s">
        <v>48</v>
      </c>
      <c r="C5093" s="158" t="s">
        <v>6458</v>
      </c>
      <c r="D5093" s="159">
        <v>45509.0</v>
      </c>
      <c r="E5093" s="157" t="s">
        <v>731</v>
      </c>
      <c r="F5093" s="160">
        <v>330000.0</v>
      </c>
      <c r="G5093" s="160">
        <f>'FACP$'!$F5093*0.16</f>
        <v>52800</v>
      </c>
      <c r="H5093" s="160">
        <f t="shared" si="124"/>
        <v>382800</v>
      </c>
      <c r="I5093" s="160"/>
      <c r="J5093" s="161"/>
      <c r="K5093" s="160"/>
      <c r="L5093" s="160">
        <f>+'FACP$'!$H5093-'FACP$'!$I5093-'FACP$'!$K5093</f>
        <v>382800</v>
      </c>
      <c r="M5093" s="162" t="s">
        <v>6171</v>
      </c>
      <c r="N5093" s="162" t="s">
        <v>554</v>
      </c>
      <c r="O5093" s="164">
        <v>45517.0</v>
      </c>
      <c r="P5093" s="164">
        <f t="array" ref="P5093">XLOOKUP('FACP$'!$B5093,'perfil de pagos'!$A$4:$A$46,'perfil de pagos'!$B$4:$B$46+'FACP$'!$D5093)</f>
        <v>45514</v>
      </c>
      <c r="Q5093" s="165">
        <f t="shared" si="128"/>
        <v>0</v>
      </c>
      <c r="R5093" s="167"/>
      <c r="S5093" s="167">
        <v>3198.0</v>
      </c>
      <c r="T5093" s="168">
        <f t="shared" si="3"/>
        <v>382800</v>
      </c>
      <c r="U5093" s="168">
        <f t="shared" si="4"/>
        <v>0</v>
      </c>
      <c r="V5093" s="168">
        <f t="shared" si="5"/>
        <v>0</v>
      </c>
      <c r="W5093" s="168">
        <f t="shared" si="6"/>
        <v>0</v>
      </c>
      <c r="X5093" s="168">
        <f t="shared" si="7"/>
        <v>0</v>
      </c>
      <c r="Y5093" s="168">
        <f t="shared" si="8"/>
        <v>0</v>
      </c>
      <c r="Z5093" s="168">
        <f t="shared" si="9"/>
        <v>0</v>
      </c>
    </row>
    <row r="5094" ht="15.0" customHeight="1">
      <c r="A5094" s="157" t="s">
        <v>6459</v>
      </c>
      <c r="B5094" s="158" t="s">
        <v>27</v>
      </c>
      <c r="C5094" s="158" t="s">
        <v>6460</v>
      </c>
      <c r="D5094" s="159">
        <v>45509.0</v>
      </c>
      <c r="E5094" s="157" t="s">
        <v>731</v>
      </c>
      <c r="F5094" s="160">
        <v>46000.0</v>
      </c>
      <c r="G5094" s="160">
        <f>'FACP$'!$F5094*0.16</f>
        <v>7360</v>
      </c>
      <c r="H5094" s="160">
        <f t="shared" si="124"/>
        <v>53360</v>
      </c>
      <c r="I5094" s="160"/>
      <c r="J5094" s="161"/>
      <c r="K5094" s="160"/>
      <c r="L5094" s="160">
        <f>+'FACP$'!$H5094-'FACP$'!$I5094-'FACP$'!$K5094</f>
        <v>53360</v>
      </c>
      <c r="M5094" s="162" t="s">
        <v>5804</v>
      </c>
      <c r="N5094" s="162" t="s">
        <v>554</v>
      </c>
      <c r="O5094" s="164">
        <v>45517.0</v>
      </c>
      <c r="P5094" s="164">
        <f t="array" ref="P5094">XLOOKUP('FACP$'!$B5094,'perfil de pagos'!$A$4:$A$46,'perfil de pagos'!$B$4:$B$46+'FACP$'!$D5094)</f>
        <v>45539</v>
      </c>
      <c r="Q5094" s="165">
        <f t="shared" si="128"/>
        <v>0</v>
      </c>
      <c r="R5094" s="167"/>
      <c r="S5094" s="167"/>
      <c r="T5094" s="168">
        <f t="shared" si="3"/>
        <v>53360</v>
      </c>
      <c r="U5094" s="168">
        <f t="shared" si="4"/>
        <v>0</v>
      </c>
      <c r="V5094" s="168">
        <f t="shared" si="5"/>
        <v>0</v>
      </c>
      <c r="W5094" s="168">
        <f t="shared" si="6"/>
        <v>0</v>
      </c>
      <c r="X5094" s="168">
        <f t="shared" si="7"/>
        <v>0</v>
      </c>
      <c r="Y5094" s="168">
        <f t="shared" si="8"/>
        <v>0</v>
      </c>
      <c r="Z5094" s="168">
        <f t="shared" si="9"/>
        <v>0</v>
      </c>
    </row>
    <row r="5095" ht="15.0" customHeight="1">
      <c r="A5095" s="157" t="s">
        <v>6461</v>
      </c>
      <c r="B5095" s="158" t="s">
        <v>27</v>
      </c>
      <c r="C5095" s="158" t="s">
        <v>6433</v>
      </c>
      <c r="D5095" s="159">
        <v>45510.0</v>
      </c>
      <c r="E5095" s="157" t="s">
        <v>731</v>
      </c>
      <c r="F5095" s="160">
        <v>15125.8</v>
      </c>
      <c r="G5095" s="160">
        <f>'FACP$'!$F5095*0.16</f>
        <v>2420.128</v>
      </c>
      <c r="H5095" s="160">
        <f t="shared" si="124"/>
        <v>17545.928</v>
      </c>
      <c r="I5095" s="160"/>
      <c r="J5095" s="161"/>
      <c r="K5095" s="160"/>
      <c r="L5095" s="160">
        <f>+'FACP$'!$H5095-'FACP$'!$I5095-'FACP$'!$K5095</f>
        <v>17545.928</v>
      </c>
      <c r="M5095" s="162" t="s">
        <v>158</v>
      </c>
      <c r="N5095" s="162" t="s">
        <v>554</v>
      </c>
      <c r="O5095" s="164">
        <v>45552.0</v>
      </c>
      <c r="P5095" s="164">
        <f t="array" ref="P5095">XLOOKUP('FACP$'!$B5095,'perfil de pagos'!$A$4:$A$46,'perfil de pagos'!$B$4:$B$46+'FACP$'!$D5095)</f>
        <v>45540</v>
      </c>
      <c r="Q5095" s="165">
        <f t="shared" si="128"/>
        <v>0</v>
      </c>
      <c r="R5095" s="167"/>
      <c r="S5095" s="220">
        <v>3275.0</v>
      </c>
      <c r="T5095" s="168">
        <f t="shared" si="3"/>
        <v>17545.928</v>
      </c>
      <c r="U5095" s="168">
        <f t="shared" si="4"/>
        <v>0</v>
      </c>
      <c r="V5095" s="168">
        <f t="shared" si="5"/>
        <v>0</v>
      </c>
      <c r="W5095" s="168">
        <f t="shared" si="6"/>
        <v>0</v>
      </c>
      <c r="X5095" s="168">
        <f t="shared" si="7"/>
        <v>0</v>
      </c>
      <c r="Y5095" s="168">
        <f t="shared" si="8"/>
        <v>0</v>
      </c>
      <c r="Z5095" s="168">
        <f t="shared" si="9"/>
        <v>0</v>
      </c>
    </row>
    <row r="5096" ht="15.0" customHeight="1">
      <c r="A5096" s="157" t="s">
        <v>6462</v>
      </c>
      <c r="B5096" s="158" t="s">
        <v>27</v>
      </c>
      <c r="C5096" s="158" t="s">
        <v>6435</v>
      </c>
      <c r="D5096" s="159">
        <v>45510.0</v>
      </c>
      <c r="E5096" s="157" t="s">
        <v>731</v>
      </c>
      <c r="F5096" s="160">
        <v>8710.88</v>
      </c>
      <c r="G5096" s="160">
        <f>'FACP$'!$F5096*0.16</f>
        <v>1393.7408</v>
      </c>
      <c r="H5096" s="160">
        <f t="shared" si="124"/>
        <v>10104.6208</v>
      </c>
      <c r="I5096" s="160"/>
      <c r="J5096" s="161"/>
      <c r="K5096" s="160"/>
      <c r="L5096" s="160">
        <f>+'FACP$'!$H5096-'FACP$'!$I5096-'FACP$'!$K5096</f>
        <v>10104.6208</v>
      </c>
      <c r="M5096" s="162" t="s">
        <v>158</v>
      </c>
      <c r="N5096" s="162" t="s">
        <v>554</v>
      </c>
      <c r="O5096" s="164">
        <v>45552.0</v>
      </c>
      <c r="P5096" s="164">
        <f t="array" ref="P5096">XLOOKUP('FACP$'!$B5096,'perfil de pagos'!$A$4:$A$46,'perfil de pagos'!$B$4:$B$46+'FACP$'!$D5096)</f>
        <v>45540</v>
      </c>
      <c r="Q5096" s="165">
        <f t="shared" si="128"/>
        <v>0</v>
      </c>
      <c r="R5096" s="167"/>
      <c r="S5096" s="220">
        <v>3275.0</v>
      </c>
      <c r="T5096" s="168">
        <f t="shared" si="3"/>
        <v>10104.6208</v>
      </c>
      <c r="U5096" s="168">
        <f t="shared" si="4"/>
        <v>0</v>
      </c>
      <c r="V5096" s="168">
        <f t="shared" si="5"/>
        <v>0</v>
      </c>
      <c r="W5096" s="168">
        <f t="shared" si="6"/>
        <v>0</v>
      </c>
      <c r="X5096" s="168">
        <f t="shared" si="7"/>
        <v>0</v>
      </c>
      <c r="Y5096" s="168">
        <f t="shared" si="8"/>
        <v>0</v>
      </c>
      <c r="Z5096" s="168">
        <f t="shared" si="9"/>
        <v>0</v>
      </c>
    </row>
    <row r="5097" ht="15.0" customHeight="1">
      <c r="A5097" s="157" t="s">
        <v>6463</v>
      </c>
      <c r="B5097" s="158" t="s">
        <v>27</v>
      </c>
      <c r="C5097" s="158" t="s">
        <v>6433</v>
      </c>
      <c r="D5097" s="159">
        <v>45510.0</v>
      </c>
      <c r="E5097" s="157" t="s">
        <v>731</v>
      </c>
      <c r="F5097" s="160">
        <v>40800.6</v>
      </c>
      <c r="G5097" s="160">
        <f>'FACP$'!$F5097*0.16</f>
        <v>6528.096</v>
      </c>
      <c r="H5097" s="160">
        <f t="shared" si="124"/>
        <v>47328.696</v>
      </c>
      <c r="I5097" s="160"/>
      <c r="J5097" s="161"/>
      <c r="K5097" s="160"/>
      <c r="L5097" s="160">
        <f>+'FACP$'!$H5097-'FACP$'!$I5097-'FACP$'!$K5097</f>
        <v>47328.696</v>
      </c>
      <c r="M5097" s="162" t="s">
        <v>151</v>
      </c>
      <c r="N5097" s="162" t="s">
        <v>554</v>
      </c>
      <c r="O5097" s="164">
        <v>45552.0</v>
      </c>
      <c r="P5097" s="164">
        <f t="array" ref="P5097">XLOOKUP('FACP$'!$B5097,'perfil de pagos'!$A$4:$A$46,'perfil de pagos'!$B$4:$B$46+'FACP$'!$D5097)</f>
        <v>45540</v>
      </c>
      <c r="Q5097" s="165">
        <f t="shared" si="128"/>
        <v>0</v>
      </c>
      <c r="R5097" s="167"/>
      <c r="S5097" s="167">
        <v>3276.0</v>
      </c>
      <c r="T5097" s="168">
        <f t="shared" si="3"/>
        <v>47328.696</v>
      </c>
      <c r="U5097" s="168">
        <f t="shared" si="4"/>
        <v>0</v>
      </c>
      <c r="V5097" s="168">
        <f t="shared" si="5"/>
        <v>0</v>
      </c>
      <c r="W5097" s="168">
        <f t="shared" si="6"/>
        <v>0</v>
      </c>
      <c r="X5097" s="168">
        <f t="shared" si="7"/>
        <v>0</v>
      </c>
      <c r="Y5097" s="168">
        <f t="shared" si="8"/>
        <v>0</v>
      </c>
      <c r="Z5097" s="168">
        <f t="shared" si="9"/>
        <v>0</v>
      </c>
    </row>
    <row r="5098" ht="15.0" customHeight="1">
      <c r="A5098" s="157" t="s">
        <v>6464</v>
      </c>
      <c r="B5098" s="158" t="s">
        <v>27</v>
      </c>
      <c r="C5098" s="158" t="s">
        <v>6435</v>
      </c>
      <c r="D5098" s="159">
        <v>45510.0</v>
      </c>
      <c r="E5098" s="157" t="s">
        <v>731</v>
      </c>
      <c r="F5098" s="160">
        <v>17065.36</v>
      </c>
      <c r="G5098" s="160">
        <f>'FACP$'!$F5098*0.16</f>
        <v>2730.4576</v>
      </c>
      <c r="H5098" s="160">
        <f t="shared" si="124"/>
        <v>19795.8176</v>
      </c>
      <c r="I5098" s="160"/>
      <c r="J5098" s="161"/>
      <c r="K5098" s="160"/>
      <c r="L5098" s="160">
        <f>+'FACP$'!$H5098-'FACP$'!$I5098-'FACP$'!$K5098</f>
        <v>19795.8176</v>
      </c>
      <c r="M5098" s="162" t="s">
        <v>151</v>
      </c>
      <c r="N5098" s="162" t="s">
        <v>554</v>
      </c>
      <c r="O5098" s="164">
        <v>45552.0</v>
      </c>
      <c r="P5098" s="164">
        <f t="array" ref="P5098">XLOOKUP('FACP$'!$B5098,'perfil de pagos'!$A$4:$A$46,'perfil de pagos'!$B$4:$B$46+'FACP$'!$D5098)</f>
        <v>45540</v>
      </c>
      <c r="Q5098" s="165">
        <f t="shared" si="128"/>
        <v>0</v>
      </c>
      <c r="R5098" s="167"/>
      <c r="S5098" s="167">
        <v>3276.0</v>
      </c>
      <c r="T5098" s="168">
        <f t="shared" si="3"/>
        <v>19795.8176</v>
      </c>
      <c r="U5098" s="168">
        <f t="shared" si="4"/>
        <v>0</v>
      </c>
      <c r="V5098" s="168">
        <f t="shared" si="5"/>
        <v>0</v>
      </c>
      <c r="W5098" s="168">
        <f t="shared" si="6"/>
        <v>0</v>
      </c>
      <c r="X5098" s="168">
        <f t="shared" si="7"/>
        <v>0</v>
      </c>
      <c r="Y5098" s="168">
        <f t="shared" si="8"/>
        <v>0</v>
      </c>
      <c r="Z5098" s="168">
        <f t="shared" si="9"/>
        <v>0</v>
      </c>
    </row>
    <row r="5099" ht="15.0" customHeight="1">
      <c r="A5099" s="157" t="s">
        <v>6465</v>
      </c>
      <c r="B5099" s="158" t="s">
        <v>27</v>
      </c>
      <c r="C5099" s="158" t="s">
        <v>6433</v>
      </c>
      <c r="D5099" s="159">
        <v>45510.0</v>
      </c>
      <c r="E5099" s="157" t="s">
        <v>731</v>
      </c>
      <c r="F5099" s="160">
        <v>1639.44</v>
      </c>
      <c r="G5099" s="160">
        <f>'FACP$'!$F5099*0.16</f>
        <v>262.3104</v>
      </c>
      <c r="H5099" s="160">
        <f t="shared" si="124"/>
        <v>1901.7504</v>
      </c>
      <c r="I5099" s="160"/>
      <c r="J5099" s="161"/>
      <c r="K5099" s="160"/>
      <c r="L5099" s="160">
        <f>+'FACP$'!$H5099-'FACP$'!$I5099-'FACP$'!$K5099</f>
        <v>1901.7504</v>
      </c>
      <c r="M5099" s="162" t="s">
        <v>151</v>
      </c>
      <c r="N5099" s="162" t="s">
        <v>554</v>
      </c>
      <c r="O5099" s="164">
        <v>45552.0</v>
      </c>
      <c r="P5099" s="164">
        <f t="array" ref="P5099">XLOOKUP('FACP$'!$B5099,'perfil de pagos'!$A$4:$A$46,'perfil de pagos'!$B$4:$B$46+'FACP$'!$D5099)</f>
        <v>45540</v>
      </c>
      <c r="Q5099" s="165">
        <f t="shared" si="128"/>
        <v>0</v>
      </c>
      <c r="R5099" s="167"/>
      <c r="S5099" s="167" t="s">
        <v>6466</v>
      </c>
      <c r="T5099" s="168">
        <f t="shared" si="3"/>
        <v>1901.7504</v>
      </c>
      <c r="U5099" s="168">
        <f t="shared" si="4"/>
        <v>0</v>
      </c>
      <c r="V5099" s="168">
        <f t="shared" si="5"/>
        <v>0</v>
      </c>
      <c r="W5099" s="168">
        <f t="shared" si="6"/>
        <v>0</v>
      </c>
      <c r="X5099" s="168">
        <f t="shared" si="7"/>
        <v>0</v>
      </c>
      <c r="Y5099" s="168">
        <f t="shared" si="8"/>
        <v>0</v>
      </c>
      <c r="Z5099" s="168">
        <f t="shared" si="9"/>
        <v>0</v>
      </c>
    </row>
    <row r="5100" ht="15.0" customHeight="1">
      <c r="A5100" s="157" t="s">
        <v>6467</v>
      </c>
      <c r="B5100" s="158" t="s">
        <v>27</v>
      </c>
      <c r="C5100" s="158" t="s">
        <v>6435</v>
      </c>
      <c r="D5100" s="159">
        <v>45510.0</v>
      </c>
      <c r="E5100" s="157" t="s">
        <v>731</v>
      </c>
      <c r="F5100" s="160">
        <v>718.67</v>
      </c>
      <c r="G5100" s="160">
        <f>'FACP$'!$F5100*0.16</f>
        <v>114.9872</v>
      </c>
      <c r="H5100" s="160">
        <f t="shared" si="124"/>
        <v>833.6572</v>
      </c>
      <c r="I5100" s="160"/>
      <c r="J5100" s="161"/>
      <c r="K5100" s="160"/>
      <c r="L5100" s="160">
        <f>+'FACP$'!$H5100-'FACP$'!$I5100-'FACP$'!$K5100</f>
        <v>833.6572</v>
      </c>
      <c r="M5100" s="162" t="s">
        <v>151</v>
      </c>
      <c r="N5100" s="162" t="s">
        <v>554</v>
      </c>
      <c r="O5100" s="164">
        <v>45554.0</v>
      </c>
      <c r="P5100" s="164">
        <f t="array" ref="P5100">XLOOKUP('FACP$'!$B5100,'perfil de pagos'!$A$4:$A$46,'perfil de pagos'!$B$4:$B$46+'FACP$'!$D5100)</f>
        <v>45540</v>
      </c>
      <c r="Q5100" s="165">
        <f t="shared" si="128"/>
        <v>0</v>
      </c>
      <c r="R5100" s="167"/>
      <c r="S5100" s="167">
        <v>3282.0</v>
      </c>
      <c r="T5100" s="168">
        <f t="shared" si="3"/>
        <v>833.6572</v>
      </c>
      <c r="U5100" s="168">
        <f t="shared" si="4"/>
        <v>0</v>
      </c>
      <c r="V5100" s="168">
        <f t="shared" si="5"/>
        <v>0</v>
      </c>
      <c r="W5100" s="168">
        <f t="shared" si="6"/>
        <v>0</v>
      </c>
      <c r="X5100" s="168">
        <f t="shared" si="7"/>
        <v>0</v>
      </c>
      <c r="Y5100" s="168">
        <f t="shared" si="8"/>
        <v>0</v>
      </c>
      <c r="Z5100" s="168">
        <f t="shared" si="9"/>
        <v>0</v>
      </c>
    </row>
    <row r="5101" ht="15.0" customHeight="1">
      <c r="A5101" s="157" t="s">
        <v>6468</v>
      </c>
      <c r="B5101" s="158" t="s">
        <v>16</v>
      </c>
      <c r="C5101" s="158" t="s">
        <v>6443</v>
      </c>
      <c r="D5101" s="159">
        <v>45512.0</v>
      </c>
      <c r="E5101" s="157" t="s">
        <v>731</v>
      </c>
      <c r="F5101" s="160">
        <v>249299.79</v>
      </c>
      <c r="G5101" s="160">
        <f>'FACP$'!$F5101*0.16</f>
        <v>39887.9664</v>
      </c>
      <c r="H5101" s="160">
        <f t="shared" si="124"/>
        <v>289187.7564</v>
      </c>
      <c r="I5101" s="160"/>
      <c r="J5101" s="161"/>
      <c r="K5101" s="160"/>
      <c r="L5101" s="160">
        <f>+'FACP$'!$H5101-'FACP$'!$I5101-'FACP$'!$K5101</f>
        <v>289187.7564</v>
      </c>
      <c r="M5101" s="162" t="s">
        <v>985</v>
      </c>
      <c r="N5101" s="162" t="s">
        <v>554</v>
      </c>
      <c r="O5101" s="164">
        <v>45544.0</v>
      </c>
      <c r="P5101" s="164">
        <f t="array" ref="P5101">XLOOKUP('FACP$'!$B5101,'perfil de pagos'!$A$4:$A$46,'perfil de pagos'!$B$4:$B$46+'FACP$'!$D5101)</f>
        <v>45522</v>
      </c>
      <c r="Q5101" s="165">
        <f t="shared" si="128"/>
        <v>0</v>
      </c>
      <c r="R5101" s="167"/>
      <c r="S5101" s="167">
        <v>3258.0</v>
      </c>
      <c r="T5101" s="168">
        <f t="shared" si="3"/>
        <v>289187.7564</v>
      </c>
      <c r="U5101" s="168">
        <f t="shared" si="4"/>
        <v>0</v>
      </c>
      <c r="V5101" s="168">
        <f t="shared" si="5"/>
        <v>0</v>
      </c>
      <c r="W5101" s="168">
        <f t="shared" si="6"/>
        <v>0</v>
      </c>
      <c r="X5101" s="168">
        <f t="shared" si="7"/>
        <v>0</v>
      </c>
      <c r="Y5101" s="168">
        <f t="shared" si="8"/>
        <v>0</v>
      </c>
      <c r="Z5101" s="168">
        <f t="shared" si="9"/>
        <v>0</v>
      </c>
    </row>
    <row r="5102" ht="15.0" customHeight="1">
      <c r="A5102" s="157" t="s">
        <v>6469</v>
      </c>
      <c r="B5102" s="158" t="s">
        <v>16</v>
      </c>
      <c r="C5102" s="158" t="s">
        <v>6447</v>
      </c>
      <c r="D5102" s="159">
        <v>45512.0</v>
      </c>
      <c r="E5102" s="157" t="s">
        <v>731</v>
      </c>
      <c r="F5102" s="160">
        <v>444983.2</v>
      </c>
      <c r="G5102" s="160">
        <f>'FACP$'!$F5102*0.16</f>
        <v>71197.312</v>
      </c>
      <c r="H5102" s="160">
        <f t="shared" si="124"/>
        <v>516180.512</v>
      </c>
      <c r="I5102" s="160"/>
      <c r="J5102" s="161"/>
      <c r="K5102" s="160"/>
      <c r="L5102" s="160">
        <f>+'FACP$'!$H5102-'FACP$'!$I5102-'FACP$'!$K5102</f>
        <v>516180.512</v>
      </c>
      <c r="M5102" s="162" t="s">
        <v>985</v>
      </c>
      <c r="N5102" s="162" t="s">
        <v>554</v>
      </c>
      <c r="O5102" s="164">
        <v>45544.0</v>
      </c>
      <c r="P5102" s="164">
        <f t="array" ref="P5102">XLOOKUP('FACP$'!$B5102,'perfil de pagos'!$A$4:$A$46,'perfil de pagos'!$B$4:$B$46+'FACP$'!$D5102)</f>
        <v>45522</v>
      </c>
      <c r="Q5102" s="165">
        <f t="shared" si="128"/>
        <v>0</v>
      </c>
      <c r="R5102" s="167"/>
      <c r="S5102" s="167">
        <v>3258.0</v>
      </c>
      <c r="T5102" s="168">
        <f t="shared" si="3"/>
        <v>516180.512</v>
      </c>
      <c r="U5102" s="168">
        <f t="shared" si="4"/>
        <v>0</v>
      </c>
      <c r="V5102" s="168">
        <f t="shared" si="5"/>
        <v>0</v>
      </c>
      <c r="W5102" s="168">
        <f t="shared" si="6"/>
        <v>0</v>
      </c>
      <c r="X5102" s="168">
        <f t="shared" si="7"/>
        <v>0</v>
      </c>
      <c r="Y5102" s="168">
        <f t="shared" si="8"/>
        <v>0</v>
      </c>
      <c r="Z5102" s="168">
        <f t="shared" si="9"/>
        <v>0</v>
      </c>
    </row>
    <row r="5103" ht="15.0" customHeight="1">
      <c r="A5103" s="157" t="s">
        <v>6470</v>
      </c>
      <c r="B5103" s="158" t="s">
        <v>18</v>
      </c>
      <c r="C5103" s="158" t="s">
        <v>6443</v>
      </c>
      <c r="D5103" s="159">
        <v>45512.0</v>
      </c>
      <c r="E5103" s="157" t="s">
        <v>731</v>
      </c>
      <c r="F5103" s="160">
        <v>72980.5</v>
      </c>
      <c r="G5103" s="160">
        <f>'FACP$'!$F5103*0.16</f>
        <v>11676.88</v>
      </c>
      <c r="H5103" s="160">
        <f t="shared" si="124"/>
        <v>84657.38</v>
      </c>
      <c r="I5103" s="160"/>
      <c r="J5103" s="161"/>
      <c r="K5103" s="160"/>
      <c r="L5103" s="160">
        <f>+'FACP$'!$H5103-'FACP$'!$I5103-'FACP$'!$K5103</f>
        <v>84657.38</v>
      </c>
      <c r="M5103" s="162" t="s">
        <v>586</v>
      </c>
      <c r="N5103" s="162" t="s">
        <v>554</v>
      </c>
      <c r="O5103" s="164">
        <v>45590.0</v>
      </c>
      <c r="P5103" s="164">
        <f t="array" ref="P5103">XLOOKUP('FACP$'!$B5103,'perfil de pagos'!$A$4:$A$46,'perfil de pagos'!$B$4:$B$46+'FACP$'!$D5103)</f>
        <v>45522</v>
      </c>
      <c r="Q5103" s="165">
        <f t="shared" si="128"/>
        <v>0</v>
      </c>
      <c r="R5103" s="167"/>
      <c r="S5103" s="167">
        <v>3351.0</v>
      </c>
      <c r="T5103" s="168">
        <f t="shared" si="3"/>
        <v>84657.38</v>
      </c>
      <c r="U5103" s="168">
        <f t="shared" si="4"/>
        <v>0</v>
      </c>
      <c r="V5103" s="168">
        <f t="shared" si="5"/>
        <v>0</v>
      </c>
      <c r="W5103" s="168">
        <f t="shared" si="6"/>
        <v>0</v>
      </c>
      <c r="X5103" s="168">
        <f t="shared" si="7"/>
        <v>0</v>
      </c>
      <c r="Y5103" s="168">
        <f t="shared" si="8"/>
        <v>0</v>
      </c>
      <c r="Z5103" s="168">
        <f t="shared" si="9"/>
        <v>0</v>
      </c>
    </row>
    <row r="5104" ht="15.0" customHeight="1">
      <c r="A5104" s="157" t="s">
        <v>6471</v>
      </c>
      <c r="B5104" s="158" t="s">
        <v>19</v>
      </c>
      <c r="C5104" s="158" t="s">
        <v>6443</v>
      </c>
      <c r="D5104" s="159">
        <v>45512.0</v>
      </c>
      <c r="E5104" s="157" t="s">
        <v>731</v>
      </c>
      <c r="F5104" s="160">
        <v>175168.41</v>
      </c>
      <c r="G5104" s="160">
        <f>'FACP$'!$F5104*0.16</f>
        <v>28026.9456</v>
      </c>
      <c r="H5104" s="160">
        <f t="shared" si="124"/>
        <v>203195.3556</v>
      </c>
      <c r="I5104" s="160"/>
      <c r="J5104" s="161"/>
      <c r="K5104" s="160"/>
      <c r="L5104" s="160">
        <f>+'FACP$'!$H5104-'FACP$'!$I5104-'FACP$'!$K5104</f>
        <v>203195.3556</v>
      </c>
      <c r="M5104" s="162" t="s">
        <v>732</v>
      </c>
      <c r="N5104" s="162" t="s">
        <v>554</v>
      </c>
      <c r="O5104" s="164">
        <v>45590.0</v>
      </c>
      <c r="P5104" s="164">
        <f t="array" ref="P5104">XLOOKUP('FACP$'!$B5104,'perfil de pagos'!$A$4:$A$46,'perfil de pagos'!$B$4:$B$46+'FACP$'!$D5104)</f>
        <v>45522</v>
      </c>
      <c r="Q5104" s="165">
        <f t="shared" si="128"/>
        <v>0</v>
      </c>
      <c r="R5104" s="167"/>
      <c r="S5104" s="167">
        <v>3351.0</v>
      </c>
      <c r="T5104" s="168">
        <f t="shared" si="3"/>
        <v>203195.3556</v>
      </c>
      <c r="U5104" s="168">
        <f t="shared" si="4"/>
        <v>0</v>
      </c>
      <c r="V5104" s="168">
        <f t="shared" si="5"/>
        <v>0</v>
      </c>
      <c r="W5104" s="168">
        <f t="shared" si="6"/>
        <v>0</v>
      </c>
      <c r="X5104" s="168">
        <f t="shared" si="7"/>
        <v>0</v>
      </c>
      <c r="Y5104" s="168">
        <f t="shared" si="8"/>
        <v>0</v>
      </c>
      <c r="Z5104" s="168">
        <f t="shared" si="9"/>
        <v>0</v>
      </c>
    </row>
    <row r="5105" ht="15.0" customHeight="1">
      <c r="A5105" s="157" t="s">
        <v>6472</v>
      </c>
      <c r="B5105" s="158" t="s">
        <v>25</v>
      </c>
      <c r="C5105" s="158" t="s">
        <v>6443</v>
      </c>
      <c r="D5105" s="159">
        <v>45512.0</v>
      </c>
      <c r="E5105" s="157" t="s">
        <v>731</v>
      </c>
      <c r="F5105" s="160">
        <v>49172.63</v>
      </c>
      <c r="G5105" s="160">
        <f>'FACP$'!$F5105*0.16</f>
        <v>7867.6208</v>
      </c>
      <c r="H5105" s="160">
        <f t="shared" si="124"/>
        <v>57040.2508</v>
      </c>
      <c r="I5105" s="160"/>
      <c r="J5105" s="161"/>
      <c r="K5105" s="160"/>
      <c r="L5105" s="160">
        <f>+'FACP$'!$H5105-'FACP$'!$I5105-'FACP$'!$K5105</f>
        <v>57040.2508</v>
      </c>
      <c r="M5105" s="162" t="s">
        <v>4388</v>
      </c>
      <c r="N5105" s="162" t="s">
        <v>554</v>
      </c>
      <c r="O5105" s="164">
        <v>45532.0</v>
      </c>
      <c r="P5105" s="164">
        <f t="array" ref="P5105">XLOOKUP('FACP$'!$B5105,'perfil de pagos'!$A$4:$A$46,'perfil de pagos'!$B$4:$B$46+'FACP$'!$D5105)</f>
        <v>45522</v>
      </c>
      <c r="Q5105" s="165">
        <f t="shared" si="128"/>
        <v>0</v>
      </c>
      <c r="R5105" s="167"/>
      <c r="S5105" s="171">
        <v>3235.0</v>
      </c>
      <c r="T5105" s="168">
        <f t="shared" si="3"/>
        <v>57040.2508</v>
      </c>
      <c r="U5105" s="168">
        <f t="shared" si="4"/>
        <v>0</v>
      </c>
      <c r="V5105" s="168">
        <f t="shared" si="5"/>
        <v>0</v>
      </c>
      <c r="W5105" s="168">
        <f t="shared" si="6"/>
        <v>0</v>
      </c>
      <c r="X5105" s="168">
        <f t="shared" si="7"/>
        <v>0</v>
      </c>
      <c r="Y5105" s="168">
        <f t="shared" si="8"/>
        <v>0</v>
      </c>
      <c r="Z5105" s="168">
        <f t="shared" si="9"/>
        <v>0</v>
      </c>
    </row>
    <row r="5106" ht="15.0" customHeight="1">
      <c r="A5106" s="157" t="s">
        <v>6473</v>
      </c>
      <c r="B5106" s="158" t="s">
        <v>37</v>
      </c>
      <c r="C5106" s="158" t="s">
        <v>6443</v>
      </c>
      <c r="D5106" s="159">
        <v>45512.0</v>
      </c>
      <c r="E5106" s="157" t="s">
        <v>731</v>
      </c>
      <c r="F5106" s="160">
        <v>1304756.15</v>
      </c>
      <c r="G5106" s="160">
        <f>'FACP$'!$F5106*0.16</f>
        <v>208760.984</v>
      </c>
      <c r="H5106" s="160">
        <f t="shared" si="124"/>
        <v>1513517.134</v>
      </c>
      <c r="I5106" s="160"/>
      <c r="J5106" s="161"/>
      <c r="K5106" s="160"/>
      <c r="L5106" s="160">
        <f>+'FACP$'!$H5106-'FACP$'!$I5106-'FACP$'!$K5106</f>
        <v>1513517.134</v>
      </c>
      <c r="M5106" s="162" t="s">
        <v>116</v>
      </c>
      <c r="N5106" s="162" t="s">
        <v>554</v>
      </c>
      <c r="O5106" s="164">
        <v>45523.0</v>
      </c>
      <c r="P5106" s="164">
        <f t="array" ref="P5106">XLOOKUP('FACP$'!$B5106,'perfil de pagos'!$A$4:$A$46,'perfil de pagos'!$B$4:$B$46+'FACP$'!$D5106)</f>
        <v>45522</v>
      </c>
      <c r="Q5106" s="165">
        <f t="shared" si="128"/>
        <v>0</v>
      </c>
      <c r="R5106" s="167"/>
      <c r="S5106" s="167">
        <v>3214.0</v>
      </c>
      <c r="T5106" s="168">
        <f t="shared" si="3"/>
        <v>1513517.134</v>
      </c>
      <c r="U5106" s="168">
        <f t="shared" si="4"/>
        <v>0</v>
      </c>
      <c r="V5106" s="168">
        <f t="shared" si="5"/>
        <v>0</v>
      </c>
      <c r="W5106" s="168">
        <f t="shared" si="6"/>
        <v>0</v>
      </c>
      <c r="X5106" s="168">
        <f t="shared" si="7"/>
        <v>0</v>
      </c>
      <c r="Y5106" s="168">
        <f t="shared" si="8"/>
        <v>0</v>
      </c>
      <c r="Z5106" s="168">
        <f t="shared" si="9"/>
        <v>0</v>
      </c>
    </row>
    <row r="5107" ht="15.0" customHeight="1">
      <c r="A5107" s="157" t="s">
        <v>6474</v>
      </c>
      <c r="B5107" s="158" t="s">
        <v>29</v>
      </c>
      <c r="C5107" s="158" t="s">
        <v>6443</v>
      </c>
      <c r="D5107" s="159">
        <v>45513.0</v>
      </c>
      <c r="E5107" s="157" t="s">
        <v>731</v>
      </c>
      <c r="F5107" s="160">
        <v>317927.89</v>
      </c>
      <c r="G5107" s="160">
        <f>'FACP$'!$F5107*0.16</f>
        <v>50868.4624</v>
      </c>
      <c r="H5107" s="160">
        <f t="shared" si="124"/>
        <v>368796.3524</v>
      </c>
      <c r="I5107" s="160"/>
      <c r="J5107" s="161"/>
      <c r="K5107" s="160"/>
      <c r="L5107" s="160">
        <f>+'FACP$'!$H5107-'FACP$'!$I5107-'FACP$'!$K5107</f>
        <v>368796.3524</v>
      </c>
      <c r="M5107" s="162" t="s">
        <v>130</v>
      </c>
      <c r="N5107" s="162" t="s">
        <v>554</v>
      </c>
      <c r="O5107" s="164">
        <v>45526.0</v>
      </c>
      <c r="P5107" s="164">
        <f t="array" ref="P5107">XLOOKUP('FACP$'!$B5107,'perfil de pagos'!$A$4:$A$46,'perfil de pagos'!$B$4:$B$46+'FACP$'!$D5107)</f>
        <v>45523</v>
      </c>
      <c r="Q5107" s="165">
        <f t="shared" si="128"/>
        <v>0</v>
      </c>
      <c r="R5107" s="167"/>
      <c r="S5107" s="167">
        <v>3223.0</v>
      </c>
      <c r="T5107" s="168">
        <f t="shared" si="3"/>
        <v>368796.3524</v>
      </c>
      <c r="U5107" s="168">
        <f t="shared" si="4"/>
        <v>0</v>
      </c>
      <c r="V5107" s="168">
        <f t="shared" si="5"/>
        <v>0</v>
      </c>
      <c r="W5107" s="168">
        <f t="shared" si="6"/>
        <v>0</v>
      </c>
      <c r="X5107" s="168">
        <f t="shared" si="7"/>
        <v>0</v>
      </c>
      <c r="Y5107" s="168">
        <f t="shared" si="8"/>
        <v>0</v>
      </c>
      <c r="Z5107" s="168">
        <f t="shared" si="9"/>
        <v>0</v>
      </c>
    </row>
    <row r="5108" ht="15.0" customHeight="1">
      <c r="A5108" s="157" t="s">
        <v>6475</v>
      </c>
      <c r="B5108" s="158" t="s">
        <v>29</v>
      </c>
      <c r="C5108" s="158" t="s">
        <v>6447</v>
      </c>
      <c r="D5108" s="159">
        <v>45513.0</v>
      </c>
      <c r="E5108" s="157" t="s">
        <v>731</v>
      </c>
      <c r="F5108" s="160">
        <v>409885.29</v>
      </c>
      <c r="G5108" s="160">
        <f>'FACP$'!$F5108*0.16</f>
        <v>65581.6464</v>
      </c>
      <c r="H5108" s="160">
        <f t="shared" si="124"/>
        <v>475466.9364</v>
      </c>
      <c r="I5108" s="160"/>
      <c r="J5108" s="161"/>
      <c r="K5108" s="160"/>
      <c r="L5108" s="160">
        <f>+'FACP$'!$H5108-'FACP$'!$I5108-'FACP$'!$K5108</f>
        <v>475466.9364</v>
      </c>
      <c r="M5108" s="162" t="s">
        <v>130</v>
      </c>
      <c r="N5108" s="162" t="s">
        <v>554</v>
      </c>
      <c r="O5108" s="164">
        <v>45526.0</v>
      </c>
      <c r="P5108" s="164">
        <f t="array" ref="P5108">XLOOKUP('FACP$'!$B5108,'perfil de pagos'!$A$4:$A$46,'perfil de pagos'!$B$4:$B$46+'FACP$'!$D5108)</f>
        <v>45523</v>
      </c>
      <c r="Q5108" s="165">
        <f t="shared" si="128"/>
        <v>0</v>
      </c>
      <c r="R5108" s="167"/>
      <c r="S5108" s="167">
        <v>3223.0</v>
      </c>
      <c r="T5108" s="168">
        <f t="shared" si="3"/>
        <v>475466.9364</v>
      </c>
      <c r="U5108" s="168">
        <f t="shared" si="4"/>
        <v>0</v>
      </c>
      <c r="V5108" s="168">
        <f t="shared" si="5"/>
        <v>0</v>
      </c>
      <c r="W5108" s="168">
        <f t="shared" si="6"/>
        <v>0</v>
      </c>
      <c r="X5108" s="168">
        <f t="shared" si="7"/>
        <v>0</v>
      </c>
      <c r="Y5108" s="168">
        <f t="shared" si="8"/>
        <v>0</v>
      </c>
      <c r="Z5108" s="168">
        <f t="shared" si="9"/>
        <v>0</v>
      </c>
    </row>
    <row r="5109" ht="15.0" customHeight="1">
      <c r="A5109" s="157" t="s">
        <v>6476</v>
      </c>
      <c r="B5109" s="158" t="s">
        <v>38</v>
      </c>
      <c r="C5109" s="158" t="s">
        <v>6443</v>
      </c>
      <c r="D5109" s="159">
        <v>45516.0</v>
      </c>
      <c r="E5109" s="157" t="s">
        <v>731</v>
      </c>
      <c r="F5109" s="160">
        <v>144896.78</v>
      </c>
      <c r="G5109" s="160">
        <f>'FACP$'!$F5109*0.16</f>
        <v>23183.4848</v>
      </c>
      <c r="H5109" s="160">
        <f t="shared" si="124"/>
        <v>168080.2648</v>
      </c>
      <c r="I5109" s="160"/>
      <c r="J5109" s="161"/>
      <c r="K5109" s="160"/>
      <c r="L5109" s="160">
        <f>+'FACP$'!$H5109-'FACP$'!$I5109-'FACP$'!$K5109</f>
        <v>168080.2648</v>
      </c>
      <c r="M5109" s="162" t="s">
        <v>642</v>
      </c>
      <c r="N5109" s="162" t="s">
        <v>554</v>
      </c>
      <c r="O5109" s="164">
        <v>45546.0</v>
      </c>
      <c r="P5109" s="164">
        <f t="array" ref="P5109">XLOOKUP('FACP$'!$B5109,'perfil de pagos'!$A$4:$A$46,'perfil de pagos'!$B$4:$B$46+'FACP$'!$D5109)</f>
        <v>45546</v>
      </c>
      <c r="Q5109" s="165">
        <f t="shared" si="128"/>
        <v>0</v>
      </c>
      <c r="R5109" s="167"/>
      <c r="S5109" s="167">
        <v>3262.0</v>
      </c>
      <c r="T5109" s="168">
        <f t="shared" si="3"/>
        <v>168080.2648</v>
      </c>
      <c r="U5109" s="168">
        <f t="shared" si="4"/>
        <v>0</v>
      </c>
      <c r="V5109" s="168">
        <f t="shared" si="5"/>
        <v>0</v>
      </c>
      <c r="W5109" s="168">
        <f t="shared" si="6"/>
        <v>0</v>
      </c>
      <c r="X5109" s="168">
        <f t="shared" si="7"/>
        <v>0</v>
      </c>
      <c r="Y5109" s="168">
        <f t="shared" si="8"/>
        <v>0</v>
      </c>
      <c r="Z5109" s="168">
        <f t="shared" si="9"/>
        <v>0</v>
      </c>
    </row>
    <row r="5110" ht="15.0" customHeight="1">
      <c r="A5110" s="157" t="s">
        <v>6477</v>
      </c>
      <c r="B5110" s="158" t="s">
        <v>38</v>
      </c>
      <c r="C5110" s="158" t="s">
        <v>6443</v>
      </c>
      <c r="D5110" s="159">
        <v>45516.0</v>
      </c>
      <c r="E5110" s="157" t="s">
        <v>731</v>
      </c>
      <c r="F5110" s="160">
        <v>441554.08</v>
      </c>
      <c r="G5110" s="160">
        <f>'FACP$'!$F5110*0.16</f>
        <v>70648.6528</v>
      </c>
      <c r="H5110" s="160">
        <f t="shared" si="124"/>
        <v>512202.7328</v>
      </c>
      <c r="I5110" s="160"/>
      <c r="J5110" s="161"/>
      <c r="K5110" s="160"/>
      <c r="L5110" s="160">
        <f>+'FACP$'!$H5110-'FACP$'!$I5110-'FACP$'!$K5110</f>
        <v>512202.7328</v>
      </c>
      <c r="M5110" s="162" t="s">
        <v>145</v>
      </c>
      <c r="N5110" s="162" t="s">
        <v>554</v>
      </c>
      <c r="O5110" s="164">
        <v>45553.0</v>
      </c>
      <c r="P5110" s="164">
        <f t="array" ref="P5110">XLOOKUP('FACP$'!$B5110,'perfil de pagos'!$A$4:$A$46,'perfil de pagos'!$B$4:$B$46+'FACP$'!$D5110)</f>
        <v>45546</v>
      </c>
      <c r="Q5110" s="165">
        <f t="shared" si="128"/>
        <v>0</v>
      </c>
      <c r="R5110" s="167"/>
      <c r="S5110" s="167">
        <v>3280.0</v>
      </c>
      <c r="T5110" s="168">
        <f t="shared" si="3"/>
        <v>512202.7328</v>
      </c>
      <c r="U5110" s="168">
        <f t="shared" si="4"/>
        <v>0</v>
      </c>
      <c r="V5110" s="168">
        <f t="shared" si="5"/>
        <v>0</v>
      </c>
      <c r="W5110" s="168">
        <f t="shared" si="6"/>
        <v>0</v>
      </c>
      <c r="X5110" s="168">
        <f t="shared" si="7"/>
        <v>0</v>
      </c>
      <c r="Y5110" s="168">
        <f t="shared" si="8"/>
        <v>0</v>
      </c>
      <c r="Z5110" s="168">
        <f t="shared" si="9"/>
        <v>0</v>
      </c>
    </row>
    <row r="5111" ht="15.0" customHeight="1">
      <c r="A5111" s="299" t="s">
        <v>6478</v>
      </c>
      <c r="B5111" s="300" t="s">
        <v>38</v>
      </c>
      <c r="C5111" s="300"/>
      <c r="D5111" s="301">
        <v>45516.0</v>
      </c>
      <c r="E5111" s="299" t="s">
        <v>731</v>
      </c>
      <c r="F5111" s="302"/>
      <c r="G5111" s="302">
        <f>'FACP$'!$F5111*0.16</f>
        <v>0</v>
      </c>
      <c r="H5111" s="302">
        <f t="shared" si="124"/>
        <v>0</v>
      </c>
      <c r="I5111" s="302"/>
      <c r="J5111" s="304"/>
      <c r="K5111" s="302"/>
      <c r="L5111" s="302">
        <f>+'FACP$'!$H5111-'FACP$'!$I5111-'FACP$'!$K5111</f>
        <v>0</v>
      </c>
      <c r="M5111" s="305"/>
      <c r="N5111" s="305" t="s">
        <v>127</v>
      </c>
      <c r="O5111" s="306"/>
      <c r="P5111" s="164">
        <f t="array" ref="P5111">XLOOKUP('FACP$'!$B5111,'perfil de pagos'!$A$4:$A$46,'perfil de pagos'!$B$4:$B$46+'FACP$'!$D5111)</f>
        <v>45546</v>
      </c>
      <c r="Q5111" s="307">
        <f t="shared" si="128"/>
        <v>0</v>
      </c>
      <c r="R5111" s="308"/>
      <c r="S5111" s="308"/>
      <c r="T5111" s="309">
        <f t="shared" si="3"/>
        <v>0</v>
      </c>
      <c r="U5111" s="309">
        <f t="shared" si="4"/>
        <v>0</v>
      </c>
      <c r="V5111" s="309">
        <f t="shared" si="5"/>
        <v>0</v>
      </c>
      <c r="W5111" s="309">
        <f t="shared" si="6"/>
        <v>0</v>
      </c>
      <c r="X5111" s="309">
        <f t="shared" si="7"/>
        <v>0</v>
      </c>
      <c r="Y5111" s="309">
        <f t="shared" si="8"/>
        <v>0</v>
      </c>
      <c r="Z5111" s="309">
        <f t="shared" si="9"/>
        <v>0</v>
      </c>
    </row>
    <row r="5112" ht="15.0" customHeight="1">
      <c r="A5112" s="299" t="s">
        <v>6479</v>
      </c>
      <c r="B5112" s="300" t="s">
        <v>40</v>
      </c>
      <c r="C5112" s="300"/>
      <c r="D5112" s="301">
        <v>45516.0</v>
      </c>
      <c r="E5112" s="299" t="s">
        <v>731</v>
      </c>
      <c r="F5112" s="302"/>
      <c r="G5112" s="302">
        <f>'FACP$'!$F5112*0.16</f>
        <v>0</v>
      </c>
      <c r="H5112" s="302">
        <f t="shared" si="124"/>
        <v>0</v>
      </c>
      <c r="I5112" s="302"/>
      <c r="J5112" s="304"/>
      <c r="K5112" s="302"/>
      <c r="L5112" s="302">
        <f>+'FACP$'!$H5112-'FACP$'!$I5112-'FACP$'!$K5112</f>
        <v>0</v>
      </c>
      <c r="M5112" s="305"/>
      <c r="N5112" s="305" t="s">
        <v>127</v>
      </c>
      <c r="O5112" s="306"/>
      <c r="P5112" s="306">
        <f t="array" ref="P5112">XLOOKUP('FACP$'!$B5112,'perfil de pagos'!$A$4:$A$46,'perfil de pagos'!$B$4:$B$46+'FACP$'!$D5112)</f>
        <v>45546</v>
      </c>
      <c r="Q5112" s="307">
        <f t="shared" si="128"/>
        <v>0</v>
      </c>
      <c r="R5112" s="308"/>
      <c r="S5112" s="308"/>
      <c r="T5112" s="309">
        <f t="shared" si="3"/>
        <v>0</v>
      </c>
      <c r="U5112" s="309">
        <f t="shared" si="4"/>
        <v>0</v>
      </c>
      <c r="V5112" s="309">
        <f t="shared" si="5"/>
        <v>0</v>
      </c>
      <c r="W5112" s="309">
        <f t="shared" si="6"/>
        <v>0</v>
      </c>
      <c r="X5112" s="309">
        <f t="shared" si="7"/>
        <v>0</v>
      </c>
      <c r="Y5112" s="309">
        <f t="shared" si="8"/>
        <v>0</v>
      </c>
      <c r="Z5112" s="309">
        <f t="shared" si="9"/>
        <v>0</v>
      </c>
    </row>
    <row r="5113" ht="15.0" customHeight="1">
      <c r="A5113" s="157" t="s">
        <v>6480</v>
      </c>
      <c r="B5113" s="158" t="s">
        <v>40</v>
      </c>
      <c r="C5113" s="158" t="s">
        <v>6447</v>
      </c>
      <c r="D5113" s="159">
        <v>45516.0</v>
      </c>
      <c r="E5113" s="157" t="s">
        <v>731</v>
      </c>
      <c r="F5113" s="160">
        <v>479934.73</v>
      </c>
      <c r="G5113" s="160">
        <f>'FACP$'!$F5113*0.16</f>
        <v>76789.5568</v>
      </c>
      <c r="H5113" s="160">
        <f t="shared" si="124"/>
        <v>556724.2868</v>
      </c>
      <c r="I5113" s="160"/>
      <c r="J5113" s="161"/>
      <c r="K5113" s="160"/>
      <c r="L5113" s="160">
        <f>+'FACP$'!$H5113-'FACP$'!$I5113-'FACP$'!$K5113</f>
        <v>556724.2868</v>
      </c>
      <c r="M5113" s="162" t="s">
        <v>490</v>
      </c>
      <c r="N5113" s="162" t="s">
        <v>554</v>
      </c>
      <c r="O5113" s="164">
        <v>45527.0</v>
      </c>
      <c r="P5113" s="164">
        <f t="array" ref="P5113">XLOOKUP('FACP$'!$B5113,'perfil de pagos'!$A$4:$A$46,'perfil de pagos'!$B$4:$B$46+'FACP$'!$D5113)</f>
        <v>45546</v>
      </c>
      <c r="Q5113" s="165">
        <f t="shared" si="128"/>
        <v>0</v>
      </c>
      <c r="R5113" s="167"/>
      <c r="S5113" s="167">
        <v>3225.0</v>
      </c>
      <c r="T5113" s="168">
        <f t="shared" si="3"/>
        <v>556724.2868</v>
      </c>
      <c r="U5113" s="168">
        <f t="shared" si="4"/>
        <v>0</v>
      </c>
      <c r="V5113" s="168">
        <f t="shared" si="5"/>
        <v>0</v>
      </c>
      <c r="W5113" s="168">
        <f t="shared" si="6"/>
        <v>0</v>
      </c>
      <c r="X5113" s="168">
        <f t="shared" si="7"/>
        <v>0</v>
      </c>
      <c r="Y5113" s="168">
        <f t="shared" si="8"/>
        <v>0</v>
      </c>
      <c r="Z5113" s="168">
        <f t="shared" si="9"/>
        <v>0</v>
      </c>
    </row>
    <row r="5114" ht="15.0" customHeight="1">
      <c r="A5114" s="157" t="s">
        <v>6481</v>
      </c>
      <c r="B5114" s="158" t="s">
        <v>40</v>
      </c>
      <c r="C5114" s="158" t="s">
        <v>6443</v>
      </c>
      <c r="D5114" s="159">
        <v>45516.0</v>
      </c>
      <c r="E5114" s="157" t="s">
        <v>731</v>
      </c>
      <c r="F5114" s="160">
        <v>470799.34</v>
      </c>
      <c r="G5114" s="160">
        <f>'FACP$'!$F5114*0.16</f>
        <v>75327.8944</v>
      </c>
      <c r="H5114" s="160">
        <f t="shared" si="124"/>
        <v>546127.2344</v>
      </c>
      <c r="I5114" s="160"/>
      <c r="J5114" s="161"/>
      <c r="K5114" s="160"/>
      <c r="L5114" s="160">
        <f>+'FACP$'!$H5114-'FACP$'!$I5114-'FACP$'!$K5114</f>
        <v>546127.2344</v>
      </c>
      <c r="M5114" s="162" t="s">
        <v>490</v>
      </c>
      <c r="N5114" s="162" t="s">
        <v>554</v>
      </c>
      <c r="O5114" s="164">
        <v>45555.0</v>
      </c>
      <c r="P5114" s="164">
        <f t="array" ref="P5114">XLOOKUP('FACP$'!$B5114,'perfil de pagos'!$A$4:$A$46,'perfil de pagos'!$B$4:$B$46+'FACP$'!$D5114)</f>
        <v>45546</v>
      </c>
      <c r="Q5114" s="165">
        <f t="shared" si="128"/>
        <v>0</v>
      </c>
      <c r="R5114" s="167"/>
      <c r="S5114" s="167">
        <v>3283.0</v>
      </c>
      <c r="T5114" s="168">
        <f t="shared" si="3"/>
        <v>546127.2344</v>
      </c>
      <c r="U5114" s="168">
        <f t="shared" si="4"/>
        <v>0</v>
      </c>
      <c r="V5114" s="168">
        <f t="shared" si="5"/>
        <v>0</v>
      </c>
      <c r="W5114" s="168">
        <f t="shared" si="6"/>
        <v>0</v>
      </c>
      <c r="X5114" s="168">
        <f t="shared" si="7"/>
        <v>0</v>
      </c>
      <c r="Y5114" s="168">
        <f t="shared" si="8"/>
        <v>0</v>
      </c>
      <c r="Z5114" s="168">
        <f t="shared" si="9"/>
        <v>0</v>
      </c>
    </row>
    <row r="5115" ht="15.0" customHeight="1">
      <c r="A5115" s="157" t="s">
        <v>6482</v>
      </c>
      <c r="B5115" s="158" t="s">
        <v>15</v>
      </c>
      <c r="C5115" s="158" t="s">
        <v>6483</v>
      </c>
      <c r="D5115" s="159">
        <v>45517.0</v>
      </c>
      <c r="E5115" s="157" t="s">
        <v>731</v>
      </c>
      <c r="F5115" s="160">
        <v>98112.56</v>
      </c>
      <c r="G5115" s="160">
        <f>'FACP$'!$F5115*0.16</f>
        <v>15698.0096</v>
      </c>
      <c r="H5115" s="160">
        <f t="shared" si="124"/>
        <v>113810.5696</v>
      </c>
      <c r="I5115" s="160"/>
      <c r="J5115" s="161"/>
      <c r="K5115" s="160"/>
      <c r="L5115" s="160">
        <f>+'FACP$'!$H5115-'FACP$'!$I5115-'FACP$'!$K5115</f>
        <v>113810.5696</v>
      </c>
      <c r="M5115" s="162" t="s">
        <v>443</v>
      </c>
      <c r="N5115" s="162" t="s">
        <v>554</v>
      </c>
      <c r="O5115" s="164">
        <v>45525.0</v>
      </c>
      <c r="P5115" s="164">
        <f t="array" ref="P5115">XLOOKUP('FACP$'!$B5115,'perfil de pagos'!$A$4:$A$46,'perfil de pagos'!$B$4:$B$46+'FACP$'!$D5115)</f>
        <v>45527</v>
      </c>
      <c r="Q5115" s="165">
        <f t="shared" si="128"/>
        <v>0</v>
      </c>
      <c r="R5115" s="167"/>
      <c r="S5115" s="167">
        <v>3218.0</v>
      </c>
      <c r="T5115" s="168">
        <f t="shared" si="3"/>
        <v>113810.5696</v>
      </c>
      <c r="U5115" s="168">
        <f t="shared" si="4"/>
        <v>0</v>
      </c>
      <c r="V5115" s="168">
        <f t="shared" si="5"/>
        <v>0</v>
      </c>
      <c r="W5115" s="168">
        <f t="shared" si="6"/>
        <v>0</v>
      </c>
      <c r="X5115" s="168">
        <f t="shared" si="7"/>
        <v>0</v>
      </c>
      <c r="Y5115" s="168">
        <f t="shared" si="8"/>
        <v>0</v>
      </c>
      <c r="Z5115" s="168">
        <f t="shared" si="9"/>
        <v>0</v>
      </c>
    </row>
    <row r="5116" ht="15.0" customHeight="1">
      <c r="A5116" s="157" t="s">
        <v>6484</v>
      </c>
      <c r="B5116" s="158" t="s">
        <v>22</v>
      </c>
      <c r="C5116" s="158" t="s">
        <v>6443</v>
      </c>
      <c r="D5116" s="159">
        <v>45520.0</v>
      </c>
      <c r="E5116" s="157" t="s">
        <v>731</v>
      </c>
      <c r="F5116" s="160">
        <v>233308.57</v>
      </c>
      <c r="G5116" s="160">
        <f>'FACP$'!$F5116*0.16</f>
        <v>37329.3712</v>
      </c>
      <c r="H5116" s="160">
        <f t="shared" si="124"/>
        <v>270637.9412</v>
      </c>
      <c r="I5116" s="160">
        <f>81291.82+61979.34</f>
        <v>143271.16</v>
      </c>
      <c r="J5116" s="161"/>
      <c r="K5116" s="160"/>
      <c r="L5116" s="160">
        <f>+'FACP$'!$H5116-'FACP$'!$I5116-'FACP$'!$K5116</f>
        <v>127366.7812</v>
      </c>
      <c r="M5116" s="162" t="s">
        <v>220</v>
      </c>
      <c r="N5116" s="162" t="s">
        <v>554</v>
      </c>
      <c r="O5116" s="164">
        <v>45574.0</v>
      </c>
      <c r="P5116" s="164">
        <f t="array" ref="P5116">XLOOKUP('FACP$'!$B5116,'perfil de pagos'!$A$4:$A$46,'perfil de pagos'!$B$4:$B$46+'FACP$'!$D5116)</f>
        <v>45530</v>
      </c>
      <c r="Q5116" s="165">
        <f t="shared" si="128"/>
        <v>0</v>
      </c>
      <c r="R5116" s="220" t="s">
        <v>6485</v>
      </c>
      <c r="S5116" s="220" t="s">
        <v>6486</v>
      </c>
      <c r="T5116" s="168">
        <f t="shared" si="3"/>
        <v>127366.7812</v>
      </c>
      <c r="U5116" s="168">
        <f t="shared" si="4"/>
        <v>0</v>
      </c>
      <c r="V5116" s="168">
        <f t="shared" si="5"/>
        <v>0</v>
      </c>
      <c r="W5116" s="168">
        <f t="shared" si="6"/>
        <v>0</v>
      </c>
      <c r="X5116" s="168">
        <f t="shared" si="7"/>
        <v>0</v>
      </c>
      <c r="Y5116" s="168">
        <f t="shared" si="8"/>
        <v>0</v>
      </c>
      <c r="Z5116" s="168">
        <f t="shared" si="9"/>
        <v>0</v>
      </c>
    </row>
    <row r="5117" ht="15.0" customHeight="1">
      <c r="A5117" s="157" t="s">
        <v>6487</v>
      </c>
      <c r="B5117" s="158" t="s">
        <v>22</v>
      </c>
      <c r="C5117" s="158" t="s">
        <v>6443</v>
      </c>
      <c r="D5117" s="159">
        <v>45520.0</v>
      </c>
      <c r="E5117" s="157" t="s">
        <v>731</v>
      </c>
      <c r="F5117" s="160">
        <v>40882.32</v>
      </c>
      <c r="G5117" s="160">
        <f>'FACP$'!$F5117*0.16</f>
        <v>6541.1712</v>
      </c>
      <c r="H5117" s="160">
        <f t="shared" si="124"/>
        <v>47423.4912</v>
      </c>
      <c r="I5117" s="160"/>
      <c r="J5117" s="161"/>
      <c r="K5117" s="160"/>
      <c r="L5117" s="160">
        <f>+'FACP$'!$H5117-'FACP$'!$I5117-'FACP$'!$K5117</f>
        <v>47423.4912</v>
      </c>
      <c r="M5117" s="162" t="s">
        <v>6488</v>
      </c>
      <c r="N5117" s="162" t="s">
        <v>554</v>
      </c>
      <c r="O5117" s="164">
        <v>45567.0</v>
      </c>
      <c r="P5117" s="164">
        <f t="array" ref="P5117">XLOOKUP('FACP$'!$B5117,'perfil de pagos'!$A$4:$A$46,'perfil de pagos'!$B$4:$B$46+'FACP$'!$D5117)</f>
        <v>45530</v>
      </c>
      <c r="Q5117" s="165">
        <f t="shared" si="128"/>
        <v>0</v>
      </c>
      <c r="R5117" s="167"/>
      <c r="S5117" s="167">
        <v>3304.0</v>
      </c>
      <c r="T5117" s="168">
        <f t="shared" si="3"/>
        <v>47423.4912</v>
      </c>
      <c r="U5117" s="168">
        <f t="shared" si="4"/>
        <v>0</v>
      </c>
      <c r="V5117" s="168">
        <f t="shared" si="5"/>
        <v>0</v>
      </c>
      <c r="W5117" s="168">
        <f t="shared" si="6"/>
        <v>0</v>
      </c>
      <c r="X5117" s="168">
        <f t="shared" si="7"/>
        <v>0</v>
      </c>
      <c r="Y5117" s="168">
        <f t="shared" si="8"/>
        <v>0</v>
      </c>
      <c r="Z5117" s="168">
        <f t="shared" si="9"/>
        <v>0</v>
      </c>
    </row>
    <row r="5118" ht="15.0" customHeight="1">
      <c r="A5118" s="194" t="s">
        <v>6489</v>
      </c>
      <c r="B5118" s="192" t="s">
        <v>51</v>
      </c>
      <c r="C5118" s="192" t="s">
        <v>6490</v>
      </c>
      <c r="D5118" s="193">
        <v>45523.0</v>
      </c>
      <c r="E5118" s="194" t="s">
        <v>731</v>
      </c>
      <c r="F5118" s="195">
        <v>37505.35</v>
      </c>
      <c r="G5118" s="195">
        <f>'FACP$'!$F5118*0.16</f>
        <v>6000.856</v>
      </c>
      <c r="H5118" s="195">
        <f t="shared" si="124"/>
        <v>43506.206</v>
      </c>
      <c r="I5118" s="195">
        <v>22633.22</v>
      </c>
      <c r="J5118" s="196">
        <f>'NCP$'!A296</f>
        <v>400</v>
      </c>
      <c r="K5118" s="195">
        <f>'NCP$'!H296</f>
        <v>1570.292</v>
      </c>
      <c r="L5118" s="195">
        <f>+'FACP$'!$H5118-'FACP$'!$I5118-'FACP$'!$K5118</f>
        <v>19302.694</v>
      </c>
      <c r="M5118" s="318" t="s">
        <v>519</v>
      </c>
      <c r="N5118" s="318" t="s">
        <v>127</v>
      </c>
      <c r="O5118" s="319"/>
      <c r="P5118" s="319">
        <f t="array" ref="P5118">XLOOKUP('FACP$'!$B5118,'perfil de pagos'!$A$4:$A$46,'perfil de pagos'!$B$4:$B$46+'FACP$'!$D5118)</f>
        <v>45553</v>
      </c>
      <c r="Q5118" s="320">
        <f t="shared" si="128"/>
        <v>0</v>
      </c>
      <c r="R5118" s="321" t="s">
        <v>6491</v>
      </c>
      <c r="S5118" s="321">
        <v>3314.0</v>
      </c>
      <c r="T5118" s="322">
        <f t="shared" si="3"/>
        <v>19302.694</v>
      </c>
      <c r="U5118" s="322">
        <f t="shared" si="4"/>
        <v>0</v>
      </c>
      <c r="V5118" s="322">
        <f t="shared" si="5"/>
        <v>0</v>
      </c>
      <c r="W5118" s="322">
        <f t="shared" si="6"/>
        <v>0</v>
      </c>
      <c r="X5118" s="322">
        <f t="shared" si="7"/>
        <v>0</v>
      </c>
      <c r="Y5118" s="322">
        <f t="shared" si="8"/>
        <v>0</v>
      </c>
      <c r="Z5118" s="322">
        <f t="shared" si="9"/>
        <v>0</v>
      </c>
    </row>
    <row r="5119" ht="15.0" customHeight="1">
      <c r="A5119" s="194" t="s">
        <v>6492</v>
      </c>
      <c r="B5119" s="192" t="s">
        <v>51</v>
      </c>
      <c r="C5119" s="192" t="s">
        <v>933</v>
      </c>
      <c r="D5119" s="193">
        <v>45523.0</v>
      </c>
      <c r="E5119" s="194" t="s">
        <v>731</v>
      </c>
      <c r="F5119" s="195">
        <v>3000.0</v>
      </c>
      <c r="G5119" s="195">
        <f>'FACP$'!$F5119*0.16</f>
        <v>480</v>
      </c>
      <c r="H5119" s="195">
        <f t="shared" si="124"/>
        <v>3480</v>
      </c>
      <c r="I5119" s="195"/>
      <c r="J5119" s="196"/>
      <c r="K5119" s="195"/>
      <c r="L5119" s="195">
        <f>+'FACP$'!$H5119-'FACP$'!$I5119-'FACP$'!$K5119</f>
        <v>3480</v>
      </c>
      <c r="M5119" s="318" t="s">
        <v>519</v>
      </c>
      <c r="N5119" s="318" t="s">
        <v>127</v>
      </c>
      <c r="O5119" s="319"/>
      <c r="P5119" s="319">
        <f t="array" ref="P5119">XLOOKUP('FACP$'!$B5119,'perfil de pagos'!$A$4:$A$46,'perfil de pagos'!$B$4:$B$46+'FACP$'!$D5119)</f>
        <v>45553</v>
      </c>
      <c r="Q5119" s="320">
        <f t="shared" si="128"/>
        <v>0</v>
      </c>
      <c r="R5119" s="321"/>
      <c r="S5119" s="321"/>
      <c r="T5119" s="322">
        <f t="shared" si="3"/>
        <v>3480</v>
      </c>
      <c r="U5119" s="322">
        <f t="shared" si="4"/>
        <v>0</v>
      </c>
      <c r="V5119" s="322">
        <f t="shared" si="5"/>
        <v>0</v>
      </c>
      <c r="W5119" s="322">
        <f t="shared" si="6"/>
        <v>0</v>
      </c>
      <c r="X5119" s="322">
        <f t="shared" si="7"/>
        <v>0</v>
      </c>
      <c r="Y5119" s="322">
        <f t="shared" si="8"/>
        <v>0</v>
      </c>
      <c r="Z5119" s="322">
        <f t="shared" si="9"/>
        <v>0</v>
      </c>
    </row>
    <row r="5120" ht="15.0" customHeight="1">
      <c r="A5120" s="194" t="s">
        <v>6493</v>
      </c>
      <c r="B5120" s="192" t="s">
        <v>51</v>
      </c>
      <c r="C5120" s="192" t="s">
        <v>6490</v>
      </c>
      <c r="D5120" s="193">
        <v>45523.0</v>
      </c>
      <c r="E5120" s="194" t="s">
        <v>731</v>
      </c>
      <c r="F5120" s="195">
        <v>74094.55</v>
      </c>
      <c r="G5120" s="195">
        <f>'FACP$'!$F5120*0.16</f>
        <v>11855.128</v>
      </c>
      <c r="H5120" s="195">
        <f t="shared" si="124"/>
        <v>85949.678</v>
      </c>
      <c r="I5120" s="195"/>
      <c r="J5120" s="196">
        <f>'NCP$'!A295</f>
        <v>399</v>
      </c>
      <c r="K5120" s="195">
        <f>'NCP$'!H295</f>
        <v>5161.594</v>
      </c>
      <c r="L5120" s="195">
        <f>+'FACP$'!$H5120-'FACP$'!$I5120-'FACP$'!$K5120</f>
        <v>80788.084</v>
      </c>
      <c r="M5120" s="318" t="s">
        <v>6494</v>
      </c>
      <c r="N5120" s="318" t="s">
        <v>127</v>
      </c>
      <c r="O5120" s="319"/>
      <c r="P5120" s="319">
        <f t="array" ref="P5120">XLOOKUP('FACP$'!$B5120,'perfil de pagos'!$A$4:$A$46,'perfil de pagos'!$B$4:$B$46+'FACP$'!$D5120)</f>
        <v>45553</v>
      </c>
      <c r="Q5120" s="320">
        <f t="shared" si="128"/>
        <v>0</v>
      </c>
      <c r="R5120" s="321"/>
      <c r="S5120" s="321"/>
      <c r="T5120" s="322">
        <f t="shared" si="3"/>
        <v>80788.084</v>
      </c>
      <c r="U5120" s="322">
        <f t="shared" si="4"/>
        <v>0</v>
      </c>
      <c r="V5120" s="322">
        <f t="shared" si="5"/>
        <v>0</v>
      </c>
      <c r="W5120" s="322">
        <f t="shared" si="6"/>
        <v>0</v>
      </c>
      <c r="X5120" s="322">
        <f t="shared" si="7"/>
        <v>0</v>
      </c>
      <c r="Y5120" s="322">
        <f t="shared" si="8"/>
        <v>0</v>
      </c>
      <c r="Z5120" s="322">
        <f t="shared" si="9"/>
        <v>0</v>
      </c>
    </row>
    <row r="5121" ht="15.0" customHeight="1">
      <c r="A5121" s="194" t="s">
        <v>6495</v>
      </c>
      <c r="B5121" s="192" t="s">
        <v>51</v>
      </c>
      <c r="C5121" s="192" t="s">
        <v>933</v>
      </c>
      <c r="D5121" s="193">
        <v>45523.0</v>
      </c>
      <c r="E5121" s="194" t="s">
        <v>731</v>
      </c>
      <c r="F5121" s="195">
        <v>3000.0</v>
      </c>
      <c r="G5121" s="195">
        <f>'FACP$'!$F5121*0.16</f>
        <v>480</v>
      </c>
      <c r="H5121" s="195">
        <f t="shared" si="124"/>
        <v>3480</v>
      </c>
      <c r="I5121" s="195"/>
      <c r="J5121" s="196"/>
      <c r="K5121" s="195"/>
      <c r="L5121" s="195">
        <f>+'FACP$'!$H5121-'FACP$'!$I5121-'FACP$'!$K5121</f>
        <v>3480</v>
      </c>
      <c r="M5121" s="318" t="s">
        <v>6494</v>
      </c>
      <c r="N5121" s="318" t="s">
        <v>127</v>
      </c>
      <c r="O5121" s="319"/>
      <c r="P5121" s="319">
        <f t="array" ref="P5121">XLOOKUP('FACP$'!$B5121,'perfil de pagos'!$A$4:$A$46,'perfil de pagos'!$B$4:$B$46+'FACP$'!$D5121)</f>
        <v>45553</v>
      </c>
      <c r="Q5121" s="320">
        <f t="shared" si="128"/>
        <v>0</v>
      </c>
      <c r="R5121" s="321"/>
      <c r="S5121" s="321"/>
      <c r="T5121" s="322">
        <f t="shared" si="3"/>
        <v>3480</v>
      </c>
      <c r="U5121" s="322">
        <f t="shared" si="4"/>
        <v>0</v>
      </c>
      <c r="V5121" s="322">
        <f t="shared" si="5"/>
        <v>0</v>
      </c>
      <c r="W5121" s="322">
        <f t="shared" si="6"/>
        <v>0</v>
      </c>
      <c r="X5121" s="322">
        <f t="shared" si="7"/>
        <v>0</v>
      </c>
      <c r="Y5121" s="322">
        <f t="shared" si="8"/>
        <v>0</v>
      </c>
      <c r="Z5121" s="322">
        <f t="shared" si="9"/>
        <v>0</v>
      </c>
    </row>
    <row r="5122" ht="15.0" customHeight="1">
      <c r="A5122" s="194" t="s">
        <v>6496</v>
      </c>
      <c r="B5122" s="192" t="s">
        <v>51</v>
      </c>
      <c r="C5122" s="192" t="s">
        <v>6497</v>
      </c>
      <c r="D5122" s="193">
        <v>45523.0</v>
      </c>
      <c r="E5122" s="194" t="s">
        <v>731</v>
      </c>
      <c r="F5122" s="195">
        <v>24911.52</v>
      </c>
      <c r="G5122" s="195">
        <f>'FACP$'!$F5122*0.16</f>
        <v>3985.8432</v>
      </c>
      <c r="H5122" s="195">
        <f t="shared" si="124"/>
        <v>28897.3632</v>
      </c>
      <c r="I5122" s="195"/>
      <c r="J5122" s="196"/>
      <c r="K5122" s="195"/>
      <c r="L5122" s="195">
        <f>+'FACP$'!$H5122-'FACP$'!$I5122-'FACP$'!$K5122</f>
        <v>28897.3632</v>
      </c>
      <c r="M5122" s="318" t="s">
        <v>519</v>
      </c>
      <c r="N5122" s="318" t="s">
        <v>127</v>
      </c>
      <c r="O5122" s="319"/>
      <c r="P5122" s="319">
        <f t="array" ref="P5122">XLOOKUP('FACP$'!$B5122,'perfil de pagos'!$A$4:$A$46,'perfil de pagos'!$B$4:$B$46+'FACP$'!$D5122)</f>
        <v>45553</v>
      </c>
      <c r="Q5122" s="320">
        <f t="shared" si="128"/>
        <v>0</v>
      </c>
      <c r="R5122" s="321"/>
      <c r="S5122" s="321"/>
      <c r="T5122" s="322">
        <f t="shared" si="3"/>
        <v>28897.3632</v>
      </c>
      <c r="U5122" s="322">
        <f t="shared" si="4"/>
        <v>0</v>
      </c>
      <c r="V5122" s="322">
        <f t="shared" si="5"/>
        <v>0</v>
      </c>
      <c r="W5122" s="322">
        <f t="shared" si="6"/>
        <v>0</v>
      </c>
      <c r="X5122" s="322">
        <f t="shared" si="7"/>
        <v>0</v>
      </c>
      <c r="Y5122" s="322">
        <f t="shared" si="8"/>
        <v>0</v>
      </c>
      <c r="Z5122" s="322">
        <f t="shared" si="9"/>
        <v>0</v>
      </c>
    </row>
    <row r="5123" ht="15.0" customHeight="1">
      <c r="A5123" s="194" t="s">
        <v>6498</v>
      </c>
      <c r="B5123" s="192" t="s">
        <v>51</v>
      </c>
      <c r="C5123" s="192" t="s">
        <v>6497</v>
      </c>
      <c r="D5123" s="193">
        <v>45523.0</v>
      </c>
      <c r="E5123" s="194" t="s">
        <v>731</v>
      </c>
      <c r="F5123" s="195">
        <v>81885.11</v>
      </c>
      <c r="G5123" s="195">
        <f>'FACP$'!$F5123*0.16</f>
        <v>13101.6176</v>
      </c>
      <c r="H5123" s="195">
        <f t="shared" si="124"/>
        <v>94986.7276</v>
      </c>
      <c r="I5123" s="195"/>
      <c r="J5123" s="196"/>
      <c r="K5123" s="195"/>
      <c r="L5123" s="195">
        <f>+'FACP$'!$H5123-'FACP$'!$I5123-'FACP$'!$K5123</f>
        <v>94986.7276</v>
      </c>
      <c r="M5123" s="318" t="s">
        <v>6494</v>
      </c>
      <c r="N5123" s="318" t="s">
        <v>127</v>
      </c>
      <c r="O5123" s="319"/>
      <c r="P5123" s="319">
        <f t="array" ref="P5123">XLOOKUP('FACP$'!$B5123,'perfil de pagos'!$A$4:$A$46,'perfil de pagos'!$B$4:$B$46+'FACP$'!$D5123)</f>
        <v>45553</v>
      </c>
      <c r="Q5123" s="320">
        <f t="shared" si="128"/>
        <v>0</v>
      </c>
      <c r="R5123" s="321"/>
      <c r="S5123" s="321"/>
      <c r="T5123" s="322">
        <f t="shared" si="3"/>
        <v>94986.7276</v>
      </c>
      <c r="U5123" s="322">
        <f t="shared" si="4"/>
        <v>0</v>
      </c>
      <c r="V5123" s="322">
        <f t="shared" si="5"/>
        <v>0</v>
      </c>
      <c r="W5123" s="322">
        <f t="shared" si="6"/>
        <v>0</v>
      </c>
      <c r="X5123" s="322">
        <f t="shared" si="7"/>
        <v>0</v>
      </c>
      <c r="Y5123" s="322">
        <f t="shared" si="8"/>
        <v>0</v>
      </c>
      <c r="Z5123" s="322">
        <f t="shared" si="9"/>
        <v>0</v>
      </c>
    </row>
    <row r="5124" ht="15.0" customHeight="1">
      <c r="A5124" s="157" t="s">
        <v>6499</v>
      </c>
      <c r="B5124" s="158" t="s">
        <v>27</v>
      </c>
      <c r="C5124" s="158" t="s">
        <v>6500</v>
      </c>
      <c r="D5124" s="159">
        <v>45524.0</v>
      </c>
      <c r="E5124" s="157" t="s">
        <v>731</v>
      </c>
      <c r="F5124" s="160">
        <v>135556.38</v>
      </c>
      <c r="G5124" s="160">
        <f>'FACP$'!$F5124*0.16</f>
        <v>21689.0208</v>
      </c>
      <c r="H5124" s="160">
        <f t="shared" si="124"/>
        <v>157245.4008</v>
      </c>
      <c r="I5124" s="160"/>
      <c r="J5124" s="161"/>
      <c r="K5124" s="160"/>
      <c r="L5124" s="160">
        <f>+'FACP$'!$H5124-'FACP$'!$I5124-'FACP$'!$K5124</f>
        <v>157245.4008</v>
      </c>
      <c r="M5124" s="162" t="s">
        <v>158</v>
      </c>
      <c r="N5124" s="162" t="s">
        <v>554</v>
      </c>
      <c r="O5124" s="164">
        <v>45602.0</v>
      </c>
      <c r="P5124" s="164">
        <f t="array" ref="P5124">XLOOKUP('FACP$'!$B5124,'perfil de pagos'!$A$4:$A$46,'perfil de pagos'!$B$4:$B$46+'FACP$'!$D5124)</f>
        <v>45554</v>
      </c>
      <c r="Q5124" s="165">
        <f t="shared" si="128"/>
        <v>0</v>
      </c>
      <c r="R5124" s="167"/>
      <c r="S5124" s="167">
        <v>3379.0</v>
      </c>
      <c r="T5124" s="168">
        <f t="shared" si="3"/>
        <v>157245.4008</v>
      </c>
      <c r="U5124" s="168">
        <f t="shared" si="4"/>
        <v>0</v>
      </c>
      <c r="V5124" s="168">
        <f t="shared" si="5"/>
        <v>0</v>
      </c>
      <c r="W5124" s="168">
        <f t="shared" si="6"/>
        <v>0</v>
      </c>
      <c r="X5124" s="168">
        <f t="shared" si="7"/>
        <v>0</v>
      </c>
      <c r="Y5124" s="168">
        <f t="shared" si="8"/>
        <v>0</v>
      </c>
      <c r="Z5124" s="168">
        <f t="shared" si="9"/>
        <v>0</v>
      </c>
    </row>
    <row r="5125" ht="15.0" customHeight="1">
      <c r="A5125" s="157" t="s">
        <v>6501</v>
      </c>
      <c r="B5125" s="158" t="s">
        <v>27</v>
      </c>
      <c r="C5125" s="158" t="s">
        <v>6502</v>
      </c>
      <c r="D5125" s="159">
        <v>45524.0</v>
      </c>
      <c r="E5125" s="157" t="s">
        <v>731</v>
      </c>
      <c r="F5125" s="160">
        <v>124471.74</v>
      </c>
      <c r="G5125" s="160">
        <f>'FACP$'!$F5125*0.16</f>
        <v>19915.4784</v>
      </c>
      <c r="H5125" s="160">
        <f t="shared" si="124"/>
        <v>144387.2184</v>
      </c>
      <c r="I5125" s="160"/>
      <c r="J5125" s="161"/>
      <c r="K5125" s="160"/>
      <c r="L5125" s="160">
        <f>+'FACP$'!$H5125-'FACP$'!$I5125-'FACP$'!$K5125</f>
        <v>144387.2184</v>
      </c>
      <c r="M5125" s="162" t="s">
        <v>158</v>
      </c>
      <c r="N5125" s="162" t="s">
        <v>554</v>
      </c>
      <c r="O5125" s="164">
        <v>45602.0</v>
      </c>
      <c r="P5125" s="164">
        <f t="array" ref="P5125">XLOOKUP('FACP$'!$B5125,'perfil de pagos'!$A$4:$A$46,'perfil de pagos'!$B$4:$B$46+'FACP$'!$D5125)</f>
        <v>45554</v>
      </c>
      <c r="Q5125" s="165">
        <f t="shared" si="128"/>
        <v>0</v>
      </c>
      <c r="R5125" s="167"/>
      <c r="S5125" s="167">
        <v>3379.0</v>
      </c>
      <c r="T5125" s="168">
        <f t="shared" si="3"/>
        <v>144387.2184</v>
      </c>
      <c r="U5125" s="168">
        <f t="shared" si="4"/>
        <v>0</v>
      </c>
      <c r="V5125" s="168">
        <f t="shared" si="5"/>
        <v>0</v>
      </c>
      <c r="W5125" s="168">
        <f t="shared" si="6"/>
        <v>0</v>
      </c>
      <c r="X5125" s="168">
        <f t="shared" si="7"/>
        <v>0</v>
      </c>
      <c r="Y5125" s="168">
        <f t="shared" si="8"/>
        <v>0</v>
      </c>
      <c r="Z5125" s="168">
        <f t="shared" si="9"/>
        <v>0</v>
      </c>
    </row>
    <row r="5126" ht="15.0" customHeight="1">
      <c r="A5126" s="157" t="s">
        <v>6503</v>
      </c>
      <c r="B5126" s="158" t="s">
        <v>27</v>
      </c>
      <c r="C5126" s="158" t="s">
        <v>6500</v>
      </c>
      <c r="D5126" s="159">
        <v>45524.0</v>
      </c>
      <c r="E5126" s="157" t="s">
        <v>731</v>
      </c>
      <c r="F5126" s="160">
        <v>250927.99</v>
      </c>
      <c r="G5126" s="160">
        <f>'FACP$'!$F5126*0.16</f>
        <v>40148.4784</v>
      </c>
      <c r="H5126" s="160">
        <f t="shared" si="124"/>
        <v>291076.4684</v>
      </c>
      <c r="I5126" s="160"/>
      <c r="J5126" s="161"/>
      <c r="K5126" s="160"/>
      <c r="L5126" s="298">
        <f>+'FACP$'!$H5126-'FACP$'!$I5126-'FACP$'!$K5126</f>
        <v>291076.4684</v>
      </c>
      <c r="M5126" s="162" t="s">
        <v>151</v>
      </c>
      <c r="N5126" s="162" t="s">
        <v>554</v>
      </c>
      <c r="O5126" s="164">
        <v>45602.0</v>
      </c>
      <c r="P5126" s="164">
        <f t="array" ref="P5126">XLOOKUP('FACP$'!$B5126,'perfil de pagos'!$A$4:$A$46,'perfil de pagos'!$B$4:$B$46+'FACP$'!$D5126)</f>
        <v>45554</v>
      </c>
      <c r="Q5126" s="165">
        <f t="shared" si="128"/>
        <v>0</v>
      </c>
      <c r="R5126" s="167"/>
      <c r="S5126" s="167">
        <v>3380.0</v>
      </c>
      <c r="T5126" s="168">
        <f t="shared" si="3"/>
        <v>291076.4684</v>
      </c>
      <c r="U5126" s="168">
        <f t="shared" si="4"/>
        <v>0</v>
      </c>
      <c r="V5126" s="168">
        <f t="shared" si="5"/>
        <v>0</v>
      </c>
      <c r="W5126" s="168">
        <f t="shared" si="6"/>
        <v>0</v>
      </c>
      <c r="X5126" s="168">
        <f t="shared" si="7"/>
        <v>0</v>
      </c>
      <c r="Y5126" s="168">
        <f t="shared" si="8"/>
        <v>0</v>
      </c>
      <c r="Z5126" s="168">
        <f t="shared" si="9"/>
        <v>0</v>
      </c>
    </row>
    <row r="5127" ht="15.0" customHeight="1">
      <c r="A5127" s="157" t="s">
        <v>6504</v>
      </c>
      <c r="B5127" s="158" t="s">
        <v>27</v>
      </c>
      <c r="C5127" s="158" t="s">
        <v>6502</v>
      </c>
      <c r="D5127" s="159">
        <v>45524.0</v>
      </c>
      <c r="E5127" s="157" t="s">
        <v>731</v>
      </c>
      <c r="F5127" s="160">
        <v>213235.84</v>
      </c>
      <c r="G5127" s="160">
        <f>'FACP$'!$F5127*0.16</f>
        <v>34117.7344</v>
      </c>
      <c r="H5127" s="160">
        <f t="shared" si="124"/>
        <v>247353.5744</v>
      </c>
      <c r="I5127" s="160"/>
      <c r="J5127" s="161"/>
      <c r="K5127" s="160"/>
      <c r="L5127" s="298">
        <f>+'FACP$'!$H5127-'FACP$'!$I5127-'FACP$'!$K5127</f>
        <v>247353.5744</v>
      </c>
      <c r="M5127" s="162" t="s">
        <v>151</v>
      </c>
      <c r="N5127" s="162" t="s">
        <v>554</v>
      </c>
      <c r="O5127" s="164">
        <v>45602.0</v>
      </c>
      <c r="P5127" s="164">
        <f t="array" ref="P5127">XLOOKUP('FACP$'!$B5127,'perfil de pagos'!$A$4:$A$46,'perfil de pagos'!$B$4:$B$46+'FACP$'!$D5127)</f>
        <v>45554</v>
      </c>
      <c r="Q5127" s="165">
        <f t="shared" si="128"/>
        <v>0</v>
      </c>
      <c r="R5127" s="167"/>
      <c r="S5127" s="167">
        <v>3380.0</v>
      </c>
      <c r="T5127" s="168">
        <f t="shared" si="3"/>
        <v>247353.5744</v>
      </c>
      <c r="U5127" s="168">
        <f t="shared" si="4"/>
        <v>0</v>
      </c>
      <c r="V5127" s="168">
        <f t="shared" si="5"/>
        <v>0</v>
      </c>
      <c r="W5127" s="168">
        <f t="shared" si="6"/>
        <v>0</v>
      </c>
      <c r="X5127" s="168">
        <f t="shared" si="7"/>
        <v>0</v>
      </c>
      <c r="Y5127" s="168">
        <f t="shared" si="8"/>
        <v>0</v>
      </c>
      <c r="Z5127" s="168">
        <f t="shared" si="9"/>
        <v>0</v>
      </c>
    </row>
    <row r="5128" ht="15.0" customHeight="1">
      <c r="A5128" s="157" t="s">
        <v>6505</v>
      </c>
      <c r="B5128" s="158" t="s">
        <v>27</v>
      </c>
      <c r="C5128" s="158" t="s">
        <v>6500</v>
      </c>
      <c r="D5128" s="159">
        <v>45524.0</v>
      </c>
      <c r="E5128" s="157" t="s">
        <v>731</v>
      </c>
      <c r="F5128" s="160">
        <v>9330.71</v>
      </c>
      <c r="G5128" s="160">
        <f>'FACP$'!$F5128*0.16</f>
        <v>1492.9136</v>
      </c>
      <c r="H5128" s="160">
        <f t="shared" si="124"/>
        <v>10823.6236</v>
      </c>
      <c r="I5128" s="160"/>
      <c r="J5128" s="161"/>
      <c r="K5128" s="160"/>
      <c r="L5128" s="298">
        <f>+'FACP$'!$H5128-'FACP$'!$I5128-'FACP$'!$K5128</f>
        <v>10823.6236</v>
      </c>
      <c r="M5128" s="162" t="s">
        <v>151</v>
      </c>
      <c r="N5128" s="162" t="s">
        <v>554</v>
      </c>
      <c r="O5128" s="164">
        <v>45602.0</v>
      </c>
      <c r="P5128" s="164">
        <f t="array" ref="P5128">XLOOKUP('FACP$'!$B5128,'perfil de pagos'!$A$4:$A$46,'perfil de pagos'!$B$4:$B$46+'FACP$'!$D5128)</f>
        <v>45554</v>
      </c>
      <c r="Q5128" s="165">
        <f t="shared" si="128"/>
        <v>0</v>
      </c>
      <c r="R5128" s="167"/>
      <c r="S5128" s="167">
        <v>3380.0</v>
      </c>
      <c r="T5128" s="168">
        <f t="shared" si="3"/>
        <v>10823.6236</v>
      </c>
      <c r="U5128" s="168">
        <f t="shared" si="4"/>
        <v>0</v>
      </c>
      <c r="V5128" s="168">
        <f t="shared" si="5"/>
        <v>0</v>
      </c>
      <c r="W5128" s="168">
        <f t="shared" si="6"/>
        <v>0</v>
      </c>
      <c r="X5128" s="168">
        <f t="shared" si="7"/>
        <v>0</v>
      </c>
      <c r="Y5128" s="168">
        <f t="shared" si="8"/>
        <v>0</v>
      </c>
      <c r="Z5128" s="168">
        <f t="shared" si="9"/>
        <v>0</v>
      </c>
    </row>
    <row r="5129" ht="15.0" customHeight="1">
      <c r="A5129" s="157" t="s">
        <v>6506</v>
      </c>
      <c r="B5129" s="158" t="s">
        <v>27</v>
      </c>
      <c r="C5129" s="158" t="s">
        <v>6502</v>
      </c>
      <c r="D5129" s="159">
        <v>45524.0</v>
      </c>
      <c r="E5129" s="157" t="s">
        <v>731</v>
      </c>
      <c r="F5129" s="160">
        <v>12405.29</v>
      </c>
      <c r="G5129" s="160">
        <f>'FACP$'!$F5129*0.16</f>
        <v>1984.8464</v>
      </c>
      <c r="H5129" s="160">
        <f t="shared" si="124"/>
        <v>14390.1364</v>
      </c>
      <c r="I5129" s="160"/>
      <c r="J5129" s="161"/>
      <c r="K5129" s="160"/>
      <c r="L5129" s="298">
        <f>+'FACP$'!$H5129-'FACP$'!$I5129-'FACP$'!$K5129</f>
        <v>14390.1364</v>
      </c>
      <c r="M5129" s="162" t="s">
        <v>151</v>
      </c>
      <c r="N5129" s="162" t="s">
        <v>554</v>
      </c>
      <c r="O5129" s="164">
        <v>45602.0</v>
      </c>
      <c r="P5129" s="164">
        <f t="array" ref="P5129">XLOOKUP('FACP$'!$B5129,'perfil de pagos'!$A$4:$A$46,'perfil de pagos'!$B$4:$B$46+'FACP$'!$D5129)</f>
        <v>45554</v>
      </c>
      <c r="Q5129" s="165">
        <f t="shared" si="128"/>
        <v>0</v>
      </c>
      <c r="R5129" s="167"/>
      <c r="S5129" s="167">
        <v>3380.0</v>
      </c>
      <c r="T5129" s="168">
        <f t="shared" si="3"/>
        <v>14390.1364</v>
      </c>
      <c r="U5129" s="168">
        <f t="shared" si="4"/>
        <v>0</v>
      </c>
      <c r="V5129" s="168">
        <f t="shared" si="5"/>
        <v>0</v>
      </c>
      <c r="W5129" s="168">
        <f t="shared" si="6"/>
        <v>0</v>
      </c>
      <c r="X5129" s="168">
        <f t="shared" si="7"/>
        <v>0</v>
      </c>
      <c r="Y5129" s="168">
        <f t="shared" si="8"/>
        <v>0</v>
      </c>
      <c r="Z5129" s="168">
        <f t="shared" si="9"/>
        <v>0</v>
      </c>
    </row>
    <row r="5130" ht="15.0" customHeight="1">
      <c r="A5130" s="157" t="s">
        <v>6507</v>
      </c>
      <c r="B5130" s="158" t="s">
        <v>41</v>
      </c>
      <c r="C5130" s="158" t="s">
        <v>6508</v>
      </c>
      <c r="D5130" s="159">
        <v>45524.0</v>
      </c>
      <c r="E5130" s="157" t="s">
        <v>731</v>
      </c>
      <c r="F5130" s="160">
        <v>457666.2</v>
      </c>
      <c r="G5130" s="160">
        <f>'FACP$'!$F5130*0.16</f>
        <v>73226.592</v>
      </c>
      <c r="H5130" s="160">
        <f t="shared" si="124"/>
        <v>530892.792</v>
      </c>
      <c r="I5130" s="160"/>
      <c r="J5130" s="161"/>
      <c r="K5130" s="160"/>
      <c r="L5130" s="160">
        <f>+'FACP$'!$H5130-'FACP$'!$I5130-'FACP$'!$K5130</f>
        <v>530892.792</v>
      </c>
      <c r="M5130" s="162" t="s">
        <v>121</v>
      </c>
      <c r="N5130" s="162" t="s">
        <v>554</v>
      </c>
      <c r="O5130" s="164">
        <v>45545.0</v>
      </c>
      <c r="P5130" s="164">
        <f t="array" ref="P5130">XLOOKUP('FACP$'!$B5130,'perfil de pagos'!$A$4:$A$46,'perfil de pagos'!$B$4:$B$46+'FACP$'!$D5130)</f>
        <v>45534</v>
      </c>
      <c r="Q5130" s="165">
        <f t="shared" si="128"/>
        <v>0</v>
      </c>
      <c r="R5130" s="167"/>
      <c r="S5130" s="167">
        <v>3315.0</v>
      </c>
      <c r="T5130" s="168">
        <f t="shared" si="3"/>
        <v>530892.792</v>
      </c>
      <c r="U5130" s="168">
        <f t="shared" si="4"/>
        <v>0</v>
      </c>
      <c r="V5130" s="168">
        <f t="shared" si="5"/>
        <v>0</v>
      </c>
      <c r="W5130" s="168">
        <f t="shared" si="6"/>
        <v>0</v>
      </c>
      <c r="X5130" s="168">
        <f t="shared" si="7"/>
        <v>0</v>
      </c>
      <c r="Y5130" s="168">
        <f t="shared" si="8"/>
        <v>0</v>
      </c>
      <c r="Z5130" s="168">
        <f t="shared" si="9"/>
        <v>0</v>
      </c>
    </row>
    <row r="5131" ht="15.0" customHeight="1">
      <c r="A5131" s="157" t="s">
        <v>6509</v>
      </c>
      <c r="B5131" s="158" t="s">
        <v>35</v>
      </c>
      <c r="C5131" s="158" t="s">
        <v>6508</v>
      </c>
      <c r="D5131" s="159">
        <v>45524.0</v>
      </c>
      <c r="E5131" s="157" t="s">
        <v>731</v>
      </c>
      <c r="F5131" s="160">
        <v>79421.2</v>
      </c>
      <c r="G5131" s="160">
        <f>'FACP$'!$F5131*0.16</f>
        <v>12707.392</v>
      </c>
      <c r="H5131" s="160">
        <f t="shared" si="124"/>
        <v>92128.592</v>
      </c>
      <c r="I5131" s="160"/>
      <c r="J5131" s="161"/>
      <c r="K5131" s="160"/>
      <c r="L5131" s="160">
        <f>+'FACP$'!$H5131-'FACP$'!$I5131-'FACP$'!$K5131</f>
        <v>92128.592</v>
      </c>
      <c r="M5131" s="162" t="s">
        <v>276</v>
      </c>
      <c r="N5131" s="162" t="s">
        <v>554</v>
      </c>
      <c r="O5131" s="164">
        <v>45541.0</v>
      </c>
      <c r="P5131" s="164">
        <f t="array" ref="P5131">XLOOKUP('FACP$'!$B5131,'perfil de pagos'!$A$4:$A$46,'perfil de pagos'!$B$4:$B$46+'FACP$'!$D5131)</f>
        <v>45534</v>
      </c>
      <c r="Q5131" s="165">
        <f t="shared" si="128"/>
        <v>0</v>
      </c>
      <c r="R5131" s="167"/>
      <c r="S5131" s="167">
        <v>3254.0</v>
      </c>
      <c r="T5131" s="168">
        <f t="shared" si="3"/>
        <v>92128.592</v>
      </c>
      <c r="U5131" s="168">
        <f t="shared" si="4"/>
        <v>0</v>
      </c>
      <c r="V5131" s="168">
        <f t="shared" si="5"/>
        <v>0</v>
      </c>
      <c r="W5131" s="168">
        <f t="shared" si="6"/>
        <v>0</v>
      </c>
      <c r="X5131" s="168">
        <f t="shared" si="7"/>
        <v>0</v>
      </c>
      <c r="Y5131" s="168">
        <f t="shared" si="8"/>
        <v>0</v>
      </c>
      <c r="Z5131" s="168">
        <f t="shared" si="9"/>
        <v>0</v>
      </c>
    </row>
    <row r="5132" ht="15.0" customHeight="1">
      <c r="A5132" s="157" t="s">
        <v>6510</v>
      </c>
      <c r="B5132" s="158" t="s">
        <v>36</v>
      </c>
      <c r="C5132" s="158" t="s">
        <v>6508</v>
      </c>
      <c r="D5132" s="159">
        <v>45524.0</v>
      </c>
      <c r="E5132" s="157" t="s">
        <v>731</v>
      </c>
      <c r="F5132" s="160">
        <v>104307.7</v>
      </c>
      <c r="G5132" s="160">
        <f>'FACP$'!$F5132*0.16</f>
        <v>16689.232</v>
      </c>
      <c r="H5132" s="160">
        <f t="shared" si="124"/>
        <v>120996.932</v>
      </c>
      <c r="I5132" s="160"/>
      <c r="J5132" s="161"/>
      <c r="K5132" s="160"/>
      <c r="L5132" s="160">
        <f>+'FACP$'!$H5132-'FACP$'!$I5132-'FACP$'!$K5132</f>
        <v>120996.932</v>
      </c>
      <c r="M5132" s="162" t="s">
        <v>530</v>
      </c>
      <c r="N5132" s="162" t="s">
        <v>554</v>
      </c>
      <c r="O5132" s="164">
        <v>45540.0</v>
      </c>
      <c r="P5132" s="164">
        <f t="array" ref="P5132">XLOOKUP('FACP$'!$B5132,'perfil de pagos'!$A$4:$A$46,'perfil de pagos'!$B$4:$B$46+'FACP$'!$D5132)</f>
        <v>45534</v>
      </c>
      <c r="Q5132" s="165">
        <f t="shared" si="128"/>
        <v>0</v>
      </c>
      <c r="R5132" s="167"/>
      <c r="S5132" s="167">
        <v>3247.0</v>
      </c>
      <c r="T5132" s="168">
        <f t="shared" si="3"/>
        <v>120996.932</v>
      </c>
      <c r="U5132" s="168">
        <f t="shared" si="4"/>
        <v>0</v>
      </c>
      <c r="V5132" s="168">
        <f t="shared" si="5"/>
        <v>0</v>
      </c>
      <c r="W5132" s="168">
        <f t="shared" si="6"/>
        <v>0</v>
      </c>
      <c r="X5132" s="168">
        <f t="shared" si="7"/>
        <v>0</v>
      </c>
      <c r="Y5132" s="168">
        <f t="shared" si="8"/>
        <v>0</v>
      </c>
      <c r="Z5132" s="168">
        <f t="shared" si="9"/>
        <v>0</v>
      </c>
    </row>
    <row r="5133" ht="15.0" customHeight="1">
      <c r="A5133" s="157" t="s">
        <v>6511</v>
      </c>
      <c r="B5133" s="158" t="s">
        <v>36</v>
      </c>
      <c r="C5133" s="158" t="s">
        <v>6512</v>
      </c>
      <c r="D5133" s="159">
        <v>45524.0</v>
      </c>
      <c r="E5133" s="157" t="s">
        <v>731</v>
      </c>
      <c r="F5133" s="160">
        <v>84387.04</v>
      </c>
      <c r="G5133" s="160">
        <f>'FACP$'!$F5133*0.16</f>
        <v>13501.9264</v>
      </c>
      <c r="H5133" s="160">
        <f t="shared" si="124"/>
        <v>97888.9664</v>
      </c>
      <c r="I5133" s="160"/>
      <c r="J5133" s="161"/>
      <c r="K5133" s="160"/>
      <c r="L5133" s="160">
        <f>+'FACP$'!$H5133-'FACP$'!$I5133-'FACP$'!$K5133</f>
        <v>97888.9664</v>
      </c>
      <c r="M5133" s="162" t="s">
        <v>530</v>
      </c>
      <c r="N5133" s="162" t="s">
        <v>554</v>
      </c>
      <c r="O5133" s="164">
        <v>45540.0</v>
      </c>
      <c r="P5133" s="164">
        <f t="array" ref="P5133">XLOOKUP('FACP$'!$B5133,'perfil de pagos'!$A$4:$A$46,'perfil de pagos'!$B$4:$B$46+'FACP$'!$D5133)</f>
        <v>45534</v>
      </c>
      <c r="Q5133" s="165">
        <f t="shared" si="128"/>
        <v>0</v>
      </c>
      <c r="R5133" s="167"/>
      <c r="S5133" s="167">
        <v>3246.0</v>
      </c>
      <c r="T5133" s="168">
        <f t="shared" si="3"/>
        <v>97888.9664</v>
      </c>
      <c r="U5133" s="168">
        <f t="shared" si="4"/>
        <v>0</v>
      </c>
      <c r="V5133" s="168">
        <f t="shared" si="5"/>
        <v>0</v>
      </c>
      <c r="W5133" s="168">
        <f t="shared" si="6"/>
        <v>0</v>
      </c>
      <c r="X5133" s="168">
        <f t="shared" si="7"/>
        <v>0</v>
      </c>
      <c r="Y5133" s="168">
        <f t="shared" si="8"/>
        <v>0</v>
      </c>
      <c r="Z5133" s="168">
        <f t="shared" si="9"/>
        <v>0</v>
      </c>
    </row>
    <row r="5134" ht="15.0" customHeight="1">
      <c r="A5134" s="157" t="s">
        <v>6513</v>
      </c>
      <c r="B5134" s="158" t="s">
        <v>36</v>
      </c>
      <c r="C5134" s="158" t="s">
        <v>6508</v>
      </c>
      <c r="D5134" s="159">
        <v>45524.0</v>
      </c>
      <c r="E5134" s="157" t="s">
        <v>731</v>
      </c>
      <c r="F5134" s="160">
        <v>24112.02</v>
      </c>
      <c r="G5134" s="160">
        <f>'FACP$'!$F5134*0.16</f>
        <v>3857.9232</v>
      </c>
      <c r="H5134" s="160">
        <f t="shared" si="124"/>
        <v>27969.9432</v>
      </c>
      <c r="I5134" s="160"/>
      <c r="J5134" s="161"/>
      <c r="K5134" s="160"/>
      <c r="L5134" s="160">
        <f>+'FACP$'!$H5134-'FACP$'!$I5134-'FACP$'!$K5134</f>
        <v>27969.9432</v>
      </c>
      <c r="M5134" s="162" t="s">
        <v>526</v>
      </c>
      <c r="N5134" s="162" t="s">
        <v>554</v>
      </c>
      <c r="O5134" s="164">
        <v>45541.0</v>
      </c>
      <c r="P5134" s="164">
        <f t="array" ref="P5134">XLOOKUP('FACP$'!$B5134,'perfil de pagos'!$A$4:$A$46,'perfil de pagos'!$B$4:$B$46+'FACP$'!$D5134)</f>
        <v>45534</v>
      </c>
      <c r="Q5134" s="165">
        <f t="shared" si="128"/>
        <v>0</v>
      </c>
      <c r="R5134" s="167"/>
      <c r="S5134" s="167">
        <v>3249.0</v>
      </c>
      <c r="T5134" s="168">
        <f t="shared" si="3"/>
        <v>27969.9432</v>
      </c>
      <c r="U5134" s="168">
        <f t="shared" si="4"/>
        <v>0</v>
      </c>
      <c r="V5134" s="168">
        <f t="shared" si="5"/>
        <v>0</v>
      </c>
      <c r="W5134" s="168">
        <f t="shared" si="6"/>
        <v>0</v>
      </c>
      <c r="X5134" s="168">
        <f t="shared" si="7"/>
        <v>0</v>
      </c>
      <c r="Y5134" s="168">
        <f t="shared" si="8"/>
        <v>0</v>
      </c>
      <c r="Z5134" s="168">
        <f t="shared" si="9"/>
        <v>0</v>
      </c>
    </row>
    <row r="5135" ht="15.0" customHeight="1">
      <c r="A5135" s="157" t="s">
        <v>6514</v>
      </c>
      <c r="B5135" s="158" t="s">
        <v>36</v>
      </c>
      <c r="C5135" s="158" t="s">
        <v>6512</v>
      </c>
      <c r="D5135" s="159">
        <v>45524.0</v>
      </c>
      <c r="E5135" s="157" t="s">
        <v>731</v>
      </c>
      <c r="F5135" s="160">
        <v>11493.03</v>
      </c>
      <c r="G5135" s="160">
        <f>'FACP$'!$F5135*0.16</f>
        <v>1838.8848</v>
      </c>
      <c r="H5135" s="160">
        <f t="shared" si="124"/>
        <v>13331.9148</v>
      </c>
      <c r="I5135" s="160"/>
      <c r="J5135" s="161"/>
      <c r="K5135" s="160"/>
      <c r="L5135" s="160">
        <f>+'FACP$'!$H5135-'FACP$'!$I5135-'FACP$'!$K5135</f>
        <v>13331.9148</v>
      </c>
      <c r="M5135" s="162" t="s">
        <v>526</v>
      </c>
      <c r="N5135" s="162" t="s">
        <v>554</v>
      </c>
      <c r="O5135" s="164">
        <v>45541.0</v>
      </c>
      <c r="P5135" s="164">
        <f t="array" ref="P5135">XLOOKUP('FACP$'!$B5135,'perfil de pagos'!$A$4:$A$46,'perfil de pagos'!$B$4:$B$46+'FACP$'!$D5135)</f>
        <v>45534</v>
      </c>
      <c r="Q5135" s="165">
        <f t="shared" si="128"/>
        <v>0</v>
      </c>
      <c r="R5135" s="167"/>
      <c r="S5135" s="167">
        <v>3248.0</v>
      </c>
      <c r="T5135" s="168">
        <f t="shared" si="3"/>
        <v>13331.9148</v>
      </c>
      <c r="U5135" s="168">
        <f t="shared" si="4"/>
        <v>0</v>
      </c>
      <c r="V5135" s="168">
        <f t="shared" si="5"/>
        <v>0</v>
      </c>
      <c r="W5135" s="168">
        <f t="shared" si="6"/>
        <v>0</v>
      </c>
      <c r="X5135" s="168">
        <f t="shared" si="7"/>
        <v>0</v>
      </c>
      <c r="Y5135" s="168">
        <f t="shared" si="8"/>
        <v>0</v>
      </c>
      <c r="Z5135" s="168">
        <f t="shared" si="9"/>
        <v>0</v>
      </c>
    </row>
    <row r="5136" ht="15.0" customHeight="1">
      <c r="A5136" s="157" t="s">
        <v>6515</v>
      </c>
      <c r="B5136" s="158" t="s">
        <v>42</v>
      </c>
      <c r="C5136" s="158" t="s">
        <v>6508</v>
      </c>
      <c r="D5136" s="159">
        <v>45524.0</v>
      </c>
      <c r="E5136" s="157" t="s">
        <v>731</v>
      </c>
      <c r="F5136" s="160">
        <v>33670.53</v>
      </c>
      <c r="G5136" s="160">
        <f>'FACP$'!$F5136*0.16</f>
        <v>5387.2848</v>
      </c>
      <c r="H5136" s="160">
        <f t="shared" si="124"/>
        <v>39057.8148</v>
      </c>
      <c r="I5136" s="160"/>
      <c r="J5136" s="161"/>
      <c r="K5136" s="160"/>
      <c r="L5136" s="160">
        <f>+'FACP$'!$H5136-'FACP$'!$I5136-'FACP$'!$K5136</f>
        <v>39057.8148</v>
      </c>
      <c r="M5136" s="162" t="s">
        <v>42</v>
      </c>
      <c r="N5136" s="162" t="s">
        <v>554</v>
      </c>
      <c r="O5136" s="164">
        <v>45547.0</v>
      </c>
      <c r="P5136" s="164">
        <f t="array" ref="P5136">XLOOKUP('FACP$'!$B5136,'perfil de pagos'!$A$4:$A$46,'perfil de pagos'!$B$4:$B$46+'FACP$'!$D5136)</f>
        <v>45534</v>
      </c>
      <c r="Q5136" s="165">
        <f t="shared" si="128"/>
        <v>0</v>
      </c>
      <c r="R5136" s="167"/>
      <c r="S5136" s="167">
        <v>3263.0</v>
      </c>
      <c r="T5136" s="168">
        <f t="shared" si="3"/>
        <v>39057.8148</v>
      </c>
      <c r="U5136" s="168">
        <f t="shared" si="4"/>
        <v>0</v>
      </c>
      <c r="V5136" s="168">
        <f t="shared" si="5"/>
        <v>0</v>
      </c>
      <c r="W5136" s="168">
        <f t="shared" si="6"/>
        <v>0</v>
      </c>
      <c r="X5136" s="168">
        <f t="shared" si="7"/>
        <v>0</v>
      </c>
      <c r="Y5136" s="168">
        <f t="shared" si="8"/>
        <v>0</v>
      </c>
      <c r="Z5136" s="168">
        <f t="shared" si="9"/>
        <v>0</v>
      </c>
    </row>
    <row r="5137" ht="15.0" customHeight="1">
      <c r="A5137" s="157" t="s">
        <v>6516</v>
      </c>
      <c r="B5137" s="158" t="s">
        <v>44</v>
      </c>
      <c r="C5137" s="158" t="s">
        <v>6508</v>
      </c>
      <c r="D5137" s="159">
        <v>45524.0</v>
      </c>
      <c r="E5137" s="157" t="s">
        <v>731</v>
      </c>
      <c r="F5137" s="160">
        <v>16679.0</v>
      </c>
      <c r="G5137" s="160">
        <f>'FACP$'!$F5137*0.16</f>
        <v>2668.64</v>
      </c>
      <c r="H5137" s="160">
        <f t="shared" si="124"/>
        <v>19347.64</v>
      </c>
      <c r="I5137" s="160"/>
      <c r="J5137" s="161"/>
      <c r="K5137" s="160"/>
      <c r="L5137" s="160">
        <f>+'FACP$'!$H5137-'FACP$'!$I5137-'FACP$'!$K5137</f>
        <v>19347.64</v>
      </c>
      <c r="M5137" s="162" t="s">
        <v>361</v>
      </c>
      <c r="N5137" s="162" t="s">
        <v>554</v>
      </c>
      <c r="O5137" s="164">
        <v>45527.0</v>
      </c>
      <c r="P5137" s="164">
        <f t="array" ref="P5137">XLOOKUP('FACP$'!$B5137,'perfil de pagos'!$A$4:$A$46,'perfil de pagos'!$B$4:$B$46+'FACP$'!$D5137)</f>
        <v>45534</v>
      </c>
      <c r="Q5137" s="165">
        <f t="shared" si="128"/>
        <v>0</v>
      </c>
      <c r="R5137" s="167"/>
      <c r="S5137" s="167">
        <v>3226.0</v>
      </c>
      <c r="T5137" s="168">
        <f t="shared" si="3"/>
        <v>19347.64</v>
      </c>
      <c r="U5137" s="168">
        <f t="shared" si="4"/>
        <v>0</v>
      </c>
      <c r="V5137" s="168">
        <f t="shared" si="5"/>
        <v>0</v>
      </c>
      <c r="W5137" s="168">
        <f t="shared" si="6"/>
        <v>0</v>
      </c>
      <c r="X5137" s="168">
        <f t="shared" si="7"/>
        <v>0</v>
      </c>
      <c r="Y5137" s="168">
        <f t="shared" si="8"/>
        <v>0</v>
      </c>
      <c r="Z5137" s="168">
        <f t="shared" si="9"/>
        <v>0</v>
      </c>
    </row>
    <row r="5138" ht="15.0" customHeight="1">
      <c r="A5138" s="157" t="s">
        <v>6517</v>
      </c>
      <c r="B5138" s="158" t="s">
        <v>43</v>
      </c>
      <c r="C5138" s="158" t="s">
        <v>6508</v>
      </c>
      <c r="D5138" s="159">
        <v>45524.0</v>
      </c>
      <c r="E5138" s="157" t="s">
        <v>731</v>
      </c>
      <c r="F5138" s="160">
        <v>397414.89</v>
      </c>
      <c r="G5138" s="160">
        <f>'FACP$'!$F5138*0.16</f>
        <v>63586.3824</v>
      </c>
      <c r="H5138" s="160">
        <f t="shared" si="124"/>
        <v>461001.2724</v>
      </c>
      <c r="I5138" s="160"/>
      <c r="J5138" s="161"/>
      <c r="K5138" s="160"/>
      <c r="L5138" s="160">
        <f>+'FACP$'!$H5138-'FACP$'!$I5138-'FACP$'!$K5138</f>
        <v>461001.2724</v>
      </c>
      <c r="M5138" s="162" t="s">
        <v>43</v>
      </c>
      <c r="N5138" s="162" t="s">
        <v>554</v>
      </c>
      <c r="O5138" s="164">
        <v>45569.0</v>
      </c>
      <c r="P5138" s="164">
        <f t="array" ref="P5138">XLOOKUP('FACP$'!$B5138,'perfil de pagos'!$A$4:$A$46,'perfil de pagos'!$B$4:$B$46+'FACP$'!$D5138)</f>
        <v>45549</v>
      </c>
      <c r="Q5138" s="165">
        <f t="shared" si="128"/>
        <v>0</v>
      </c>
      <c r="R5138" s="167"/>
      <c r="S5138" s="167">
        <v>3306.0</v>
      </c>
      <c r="T5138" s="168">
        <f t="shared" si="3"/>
        <v>461001.2724</v>
      </c>
      <c r="U5138" s="168">
        <f t="shared" si="4"/>
        <v>0</v>
      </c>
      <c r="V5138" s="168">
        <f t="shared" si="5"/>
        <v>0</v>
      </c>
      <c r="W5138" s="168">
        <f t="shared" si="6"/>
        <v>0</v>
      </c>
      <c r="X5138" s="168">
        <f t="shared" si="7"/>
        <v>0</v>
      </c>
      <c r="Y5138" s="168">
        <f t="shared" si="8"/>
        <v>0</v>
      </c>
      <c r="Z5138" s="168">
        <f t="shared" si="9"/>
        <v>0</v>
      </c>
    </row>
    <row r="5139" ht="15.0" customHeight="1">
      <c r="A5139" s="157" t="s">
        <v>6518</v>
      </c>
      <c r="B5139" s="158" t="s">
        <v>43</v>
      </c>
      <c r="C5139" s="158" t="s">
        <v>6519</v>
      </c>
      <c r="D5139" s="159">
        <v>45524.0</v>
      </c>
      <c r="E5139" s="157" t="s">
        <v>731</v>
      </c>
      <c r="F5139" s="160">
        <v>473974.9</v>
      </c>
      <c r="G5139" s="160">
        <f>'FACP$'!$F5139*0.16</f>
        <v>75835.984</v>
      </c>
      <c r="H5139" s="160">
        <f t="shared" si="124"/>
        <v>549810.884</v>
      </c>
      <c r="I5139" s="160"/>
      <c r="J5139" s="161"/>
      <c r="K5139" s="160"/>
      <c r="L5139" s="160">
        <f>+'FACP$'!$H5139-'FACP$'!$I5139-'FACP$'!$K5139</f>
        <v>549810.884</v>
      </c>
      <c r="M5139" s="162" t="s">
        <v>43</v>
      </c>
      <c r="N5139" s="162" t="s">
        <v>554</v>
      </c>
      <c r="O5139" s="164">
        <v>45555.0</v>
      </c>
      <c r="P5139" s="164">
        <f t="array" ref="P5139">XLOOKUP('FACP$'!$B5139,'perfil de pagos'!$A$4:$A$46,'perfil de pagos'!$B$4:$B$46+'FACP$'!$D5139)</f>
        <v>45549</v>
      </c>
      <c r="Q5139" s="165">
        <f t="shared" si="128"/>
        <v>0</v>
      </c>
      <c r="R5139" s="167"/>
      <c r="S5139" s="220">
        <v>3286.0</v>
      </c>
      <c r="T5139" s="168">
        <f t="shared" si="3"/>
        <v>549810.884</v>
      </c>
      <c r="U5139" s="168">
        <f t="shared" si="4"/>
        <v>0</v>
      </c>
      <c r="V5139" s="168">
        <f t="shared" si="5"/>
        <v>0</v>
      </c>
      <c r="W5139" s="168">
        <f t="shared" si="6"/>
        <v>0</v>
      </c>
      <c r="X5139" s="168">
        <f t="shared" si="7"/>
        <v>0</v>
      </c>
      <c r="Y5139" s="168">
        <f t="shared" si="8"/>
        <v>0</v>
      </c>
      <c r="Z5139" s="168">
        <f t="shared" si="9"/>
        <v>0</v>
      </c>
    </row>
    <row r="5140" ht="15.0" customHeight="1">
      <c r="A5140" s="157" t="s">
        <v>6520</v>
      </c>
      <c r="B5140" s="158" t="s">
        <v>38</v>
      </c>
      <c r="C5140" s="158" t="s">
        <v>6508</v>
      </c>
      <c r="D5140" s="159">
        <v>45524.0</v>
      </c>
      <c r="E5140" s="157" t="s">
        <v>731</v>
      </c>
      <c r="F5140" s="160">
        <v>95494.09</v>
      </c>
      <c r="G5140" s="160">
        <f>'FACP$'!$F5140*0.16</f>
        <v>15279.0544</v>
      </c>
      <c r="H5140" s="160">
        <f t="shared" si="124"/>
        <v>110773.1444</v>
      </c>
      <c r="I5140" s="160"/>
      <c r="J5140" s="161"/>
      <c r="K5140" s="160"/>
      <c r="L5140" s="160">
        <f>+'FACP$'!$H5140-'FACP$'!$I5140-'FACP$'!$K5140</f>
        <v>110773.1444</v>
      </c>
      <c r="M5140" s="162" t="s">
        <v>4654</v>
      </c>
      <c r="N5140" s="162" t="s">
        <v>554</v>
      </c>
      <c r="O5140" s="164">
        <v>45574.0</v>
      </c>
      <c r="P5140" s="164">
        <f t="array" ref="P5140">XLOOKUP('FACP$'!$B5140,'perfil de pagos'!$A$4:$A$46,'perfil de pagos'!$B$4:$B$46+'FACP$'!$D5140)</f>
        <v>45554</v>
      </c>
      <c r="Q5140" s="165">
        <f t="shared" si="128"/>
        <v>0</v>
      </c>
      <c r="R5140" s="167"/>
      <c r="S5140" s="167">
        <v>3310.0</v>
      </c>
      <c r="T5140" s="168">
        <f t="shared" si="3"/>
        <v>110773.1444</v>
      </c>
      <c r="U5140" s="168">
        <f t="shared" si="4"/>
        <v>0</v>
      </c>
      <c r="V5140" s="168">
        <f t="shared" si="5"/>
        <v>0</v>
      </c>
      <c r="W5140" s="168">
        <f t="shared" si="6"/>
        <v>0</v>
      </c>
      <c r="X5140" s="168">
        <f t="shared" si="7"/>
        <v>0</v>
      </c>
      <c r="Y5140" s="168">
        <f t="shared" si="8"/>
        <v>0</v>
      </c>
      <c r="Z5140" s="168">
        <f t="shared" si="9"/>
        <v>0</v>
      </c>
    </row>
    <row r="5141" ht="15.0" customHeight="1">
      <c r="A5141" s="157" t="s">
        <v>6521</v>
      </c>
      <c r="B5141" s="158" t="s">
        <v>38</v>
      </c>
      <c r="C5141" s="158" t="s">
        <v>6508</v>
      </c>
      <c r="D5141" s="159">
        <v>45524.0</v>
      </c>
      <c r="E5141" s="157" t="s">
        <v>731</v>
      </c>
      <c r="F5141" s="160">
        <v>34483.91</v>
      </c>
      <c r="G5141" s="160">
        <f>'FACP$'!$F5141*0.16</f>
        <v>5517.4256</v>
      </c>
      <c r="H5141" s="160">
        <f t="shared" si="124"/>
        <v>40001.3356</v>
      </c>
      <c r="I5141" s="160"/>
      <c r="J5141" s="161"/>
      <c r="K5141" s="160"/>
      <c r="L5141" s="160">
        <f>+'FACP$'!$H5141-'FACP$'!$I5141-'FACP$'!$K5141</f>
        <v>40001.3356</v>
      </c>
      <c r="M5141" s="162" t="s">
        <v>4707</v>
      </c>
      <c r="N5141" s="162" t="s">
        <v>554</v>
      </c>
      <c r="O5141" s="164">
        <v>45574.0</v>
      </c>
      <c r="P5141" s="164">
        <f t="array" ref="P5141">XLOOKUP('FACP$'!$B5141,'perfil de pagos'!$A$4:$A$46,'perfil de pagos'!$B$4:$B$46+'FACP$'!$D5141)</f>
        <v>45554</v>
      </c>
      <c r="Q5141" s="165">
        <f t="shared" si="128"/>
        <v>0</v>
      </c>
      <c r="R5141" s="167"/>
      <c r="S5141" s="167">
        <v>3310.0</v>
      </c>
      <c r="T5141" s="168">
        <f t="shared" si="3"/>
        <v>40001.3356</v>
      </c>
      <c r="U5141" s="168">
        <f t="shared" si="4"/>
        <v>0</v>
      </c>
      <c r="V5141" s="168">
        <f t="shared" si="5"/>
        <v>0</v>
      </c>
      <c r="W5141" s="168">
        <f t="shared" si="6"/>
        <v>0</v>
      </c>
      <c r="X5141" s="168">
        <f t="shared" si="7"/>
        <v>0</v>
      </c>
      <c r="Y5141" s="168">
        <f t="shared" si="8"/>
        <v>0</v>
      </c>
      <c r="Z5141" s="168">
        <f t="shared" si="9"/>
        <v>0</v>
      </c>
    </row>
    <row r="5142" ht="15.0" customHeight="1">
      <c r="A5142" s="157" t="s">
        <v>6522</v>
      </c>
      <c r="B5142" s="158" t="s">
        <v>6523</v>
      </c>
      <c r="C5142" s="158"/>
      <c r="D5142" s="159"/>
      <c r="E5142" s="157" t="s">
        <v>731</v>
      </c>
      <c r="F5142" s="160"/>
      <c r="G5142" s="160">
        <f>'FACP$'!$F5142*0.16</f>
        <v>0</v>
      </c>
      <c r="H5142" s="160">
        <f t="shared" si="124"/>
        <v>0</v>
      </c>
      <c r="I5142" s="160"/>
      <c r="J5142" s="161"/>
      <c r="K5142" s="160"/>
      <c r="L5142" s="160">
        <f>+'FACP$'!$H5142-'FACP$'!$I5142-'FACP$'!$K5142</f>
        <v>0</v>
      </c>
      <c r="M5142" s="162"/>
      <c r="N5142" s="162"/>
      <c r="O5142" s="164"/>
      <c r="P5142" s="164" t="str">
        <f t="array" ref="P5142">XLOOKUP('FACP$'!$B5142,'perfil de pagos'!$A$4:$A$46,'perfil de pagos'!$B$4:$B$46+'FACP$'!$D5142)</f>
        <v>#N/A</v>
      </c>
      <c r="Q5142" s="165" t="str">
        <f t="shared" si="128"/>
        <v>#N/A</v>
      </c>
      <c r="R5142" s="167"/>
      <c r="S5142" s="167"/>
      <c r="T5142" s="168" t="str">
        <f t="shared" si="3"/>
        <v>#N/A</v>
      </c>
      <c r="U5142" s="168" t="str">
        <f t="shared" si="4"/>
        <v>#N/A</v>
      </c>
      <c r="V5142" s="168" t="str">
        <f t="shared" si="5"/>
        <v>#N/A</v>
      </c>
      <c r="W5142" s="168" t="str">
        <f t="shared" si="6"/>
        <v>#N/A</v>
      </c>
      <c r="X5142" s="168" t="str">
        <f t="shared" si="7"/>
        <v>#N/A</v>
      </c>
      <c r="Y5142" s="168" t="str">
        <f t="shared" si="8"/>
        <v>#N/A</v>
      </c>
      <c r="Z5142" s="168" t="str">
        <f t="shared" si="9"/>
        <v>#N/A</v>
      </c>
    </row>
    <row r="5143" ht="15.0" customHeight="1">
      <c r="A5143" s="157" t="s">
        <v>6524</v>
      </c>
      <c r="B5143" s="158" t="s">
        <v>6523</v>
      </c>
      <c r="C5143" s="158"/>
      <c r="D5143" s="159"/>
      <c r="E5143" s="157" t="s">
        <v>731</v>
      </c>
      <c r="F5143" s="160"/>
      <c r="G5143" s="160">
        <f>'FACP$'!$F5143*0.16</f>
        <v>0</v>
      </c>
      <c r="H5143" s="160">
        <f t="shared" si="124"/>
        <v>0</v>
      </c>
      <c r="I5143" s="160"/>
      <c r="J5143" s="161"/>
      <c r="K5143" s="160"/>
      <c r="L5143" s="160">
        <f>+'FACP$'!$H5143-'FACP$'!$I5143-'FACP$'!$K5143</f>
        <v>0</v>
      </c>
      <c r="M5143" s="162"/>
      <c r="N5143" s="162"/>
      <c r="O5143" s="164"/>
      <c r="P5143" s="164" t="str">
        <f t="array" ref="P5143">XLOOKUP('FACP$'!$B5143,'perfil de pagos'!$A$4:$A$46,'perfil de pagos'!$B$4:$B$46+'FACP$'!$D5143)</f>
        <v>#N/A</v>
      </c>
      <c r="Q5143" s="165" t="str">
        <f t="shared" si="128"/>
        <v>#N/A</v>
      </c>
      <c r="R5143" s="167"/>
      <c r="S5143" s="167"/>
      <c r="T5143" s="168" t="str">
        <f t="shared" si="3"/>
        <v>#N/A</v>
      </c>
      <c r="U5143" s="168" t="str">
        <f t="shared" si="4"/>
        <v>#N/A</v>
      </c>
      <c r="V5143" s="168" t="str">
        <f t="shared" si="5"/>
        <v>#N/A</v>
      </c>
      <c r="W5143" s="168" t="str">
        <f t="shared" si="6"/>
        <v>#N/A</v>
      </c>
      <c r="X5143" s="168" t="str">
        <f t="shared" si="7"/>
        <v>#N/A</v>
      </c>
      <c r="Y5143" s="168" t="str">
        <f t="shared" si="8"/>
        <v>#N/A</v>
      </c>
      <c r="Z5143" s="168" t="str">
        <f t="shared" si="9"/>
        <v>#N/A</v>
      </c>
    </row>
    <row r="5144" ht="15.0" customHeight="1">
      <c r="A5144" s="157" t="s">
        <v>6525</v>
      </c>
      <c r="B5144" s="158" t="s">
        <v>40</v>
      </c>
      <c r="C5144" s="158" t="s">
        <v>6508</v>
      </c>
      <c r="D5144" s="159">
        <v>45526.0</v>
      </c>
      <c r="E5144" s="157" t="s">
        <v>731</v>
      </c>
      <c r="F5144" s="160">
        <v>488072.35</v>
      </c>
      <c r="G5144" s="160">
        <f>'FACP$'!$F5144*0.16</f>
        <v>78091.576</v>
      </c>
      <c r="H5144" s="160">
        <f t="shared" si="124"/>
        <v>566163.926</v>
      </c>
      <c r="I5144" s="160"/>
      <c r="J5144" s="161">
        <f>'NCP$'!A297</f>
        <v>404</v>
      </c>
      <c r="K5144" s="160">
        <f>'NCP$'!H297</f>
        <v>173801.2456</v>
      </c>
      <c r="L5144" s="160">
        <f>+'FACP$'!$H5144-'FACP$'!$I5144-'FACP$'!$K5144</f>
        <v>392362.6804</v>
      </c>
      <c r="M5144" s="162" t="s">
        <v>490</v>
      </c>
      <c r="N5144" s="162" t="s">
        <v>554</v>
      </c>
      <c r="O5144" s="164">
        <v>45555.0</v>
      </c>
      <c r="P5144" s="164">
        <f t="array" ref="P5144">XLOOKUP('FACP$'!$B5144,'perfil de pagos'!$A$4:$A$46,'perfil de pagos'!$B$4:$B$46+'FACP$'!$D5144)</f>
        <v>45556</v>
      </c>
      <c r="Q5144" s="165">
        <f t="shared" si="128"/>
        <v>0</v>
      </c>
      <c r="R5144" s="167"/>
      <c r="S5144" s="167">
        <v>3285.0</v>
      </c>
      <c r="T5144" s="168">
        <f t="shared" si="3"/>
        <v>392362.6804</v>
      </c>
      <c r="U5144" s="168">
        <f t="shared" si="4"/>
        <v>0</v>
      </c>
      <c r="V5144" s="168">
        <f t="shared" si="5"/>
        <v>0</v>
      </c>
      <c r="W5144" s="168">
        <f t="shared" si="6"/>
        <v>0</v>
      </c>
      <c r="X5144" s="168">
        <f t="shared" si="7"/>
        <v>0</v>
      </c>
      <c r="Y5144" s="168">
        <f t="shared" si="8"/>
        <v>0</v>
      </c>
      <c r="Z5144" s="168">
        <f t="shared" si="9"/>
        <v>0</v>
      </c>
    </row>
    <row r="5145" ht="15.0" customHeight="1">
      <c r="A5145" s="157" t="s">
        <v>6526</v>
      </c>
      <c r="B5145" s="158" t="s">
        <v>40</v>
      </c>
      <c r="C5145" s="158" t="s">
        <v>6519</v>
      </c>
      <c r="D5145" s="159">
        <v>45526.0</v>
      </c>
      <c r="E5145" s="157" t="s">
        <v>731</v>
      </c>
      <c r="F5145" s="160">
        <v>404039.44</v>
      </c>
      <c r="G5145" s="160">
        <f>'FACP$'!$F5145*0.16</f>
        <v>64646.3104</v>
      </c>
      <c r="H5145" s="160">
        <f t="shared" si="124"/>
        <v>468685.7504</v>
      </c>
      <c r="I5145" s="160"/>
      <c r="J5145" s="161">
        <f>'NCP$'!A298</f>
        <v>405</v>
      </c>
      <c r="K5145" s="160">
        <f>'NCP$'!H298</f>
        <v>155880.684</v>
      </c>
      <c r="L5145" s="160">
        <f>+'FACP$'!$H5145-'FACP$'!$I5145-'FACP$'!$K5145</f>
        <v>312805.0664</v>
      </c>
      <c r="M5145" s="162" t="s">
        <v>490</v>
      </c>
      <c r="N5145" s="162" t="s">
        <v>554</v>
      </c>
      <c r="O5145" s="164">
        <v>45555.0</v>
      </c>
      <c r="P5145" s="164">
        <f t="array" ref="P5145">XLOOKUP('FACP$'!$B5145,'perfil de pagos'!$A$4:$A$46,'perfil de pagos'!$B$4:$B$46+'FACP$'!$D5145)</f>
        <v>45556</v>
      </c>
      <c r="Q5145" s="165">
        <f t="shared" si="128"/>
        <v>0</v>
      </c>
      <c r="R5145" s="167"/>
      <c r="S5145" s="167">
        <v>3284.0</v>
      </c>
      <c r="T5145" s="168">
        <f t="shared" si="3"/>
        <v>312805.0664</v>
      </c>
      <c r="U5145" s="168">
        <f t="shared" si="4"/>
        <v>0</v>
      </c>
      <c r="V5145" s="168">
        <f t="shared" si="5"/>
        <v>0</v>
      </c>
      <c r="W5145" s="168">
        <f t="shared" si="6"/>
        <v>0</v>
      </c>
      <c r="X5145" s="168">
        <f t="shared" si="7"/>
        <v>0</v>
      </c>
      <c r="Y5145" s="168">
        <f t="shared" si="8"/>
        <v>0</v>
      </c>
      <c r="Z5145" s="168">
        <f t="shared" si="9"/>
        <v>0</v>
      </c>
    </row>
    <row r="5146" ht="15.0" customHeight="1">
      <c r="A5146" s="157" t="s">
        <v>6527</v>
      </c>
      <c r="B5146" s="158" t="s">
        <v>49</v>
      </c>
      <c r="C5146" s="158" t="s">
        <v>6508</v>
      </c>
      <c r="D5146" s="159">
        <v>45526.0</v>
      </c>
      <c r="E5146" s="157" t="s">
        <v>731</v>
      </c>
      <c r="F5146" s="160">
        <v>18237.01</v>
      </c>
      <c r="G5146" s="160">
        <f>'FACP$'!$F5146*0.16</f>
        <v>2917.9216</v>
      </c>
      <c r="H5146" s="160">
        <f t="shared" si="124"/>
        <v>21154.9316</v>
      </c>
      <c r="I5146" s="160"/>
      <c r="J5146" s="161"/>
      <c r="K5146" s="160"/>
      <c r="L5146" s="160">
        <f>+'FACP$'!$H5146-'FACP$'!$I5146-'FACP$'!$K5146</f>
        <v>21154.9316</v>
      </c>
      <c r="M5146" s="162" t="s">
        <v>2263</v>
      </c>
      <c r="N5146" s="162" t="s">
        <v>554</v>
      </c>
      <c r="O5146" s="164">
        <v>45541.0</v>
      </c>
      <c r="P5146" s="164">
        <f t="array" ref="P5146">XLOOKUP('FACP$'!$B5146,'perfil de pagos'!$A$4:$A$46,'perfil de pagos'!$B$4:$B$46+'FACP$'!$D5146)</f>
        <v>45536</v>
      </c>
      <c r="Q5146" s="165">
        <f t="shared" si="128"/>
        <v>0</v>
      </c>
      <c r="R5146" s="167"/>
      <c r="S5146" s="167">
        <v>3253.0</v>
      </c>
      <c r="T5146" s="168">
        <f t="shared" si="3"/>
        <v>21154.9316</v>
      </c>
      <c r="U5146" s="168">
        <f t="shared" si="4"/>
        <v>0</v>
      </c>
      <c r="V5146" s="168">
        <f t="shared" si="5"/>
        <v>0</v>
      </c>
      <c r="W5146" s="168">
        <f t="shared" si="6"/>
        <v>0</v>
      </c>
      <c r="X5146" s="168">
        <f t="shared" si="7"/>
        <v>0</v>
      </c>
      <c r="Y5146" s="168">
        <f t="shared" si="8"/>
        <v>0</v>
      </c>
      <c r="Z5146" s="168">
        <f t="shared" si="9"/>
        <v>0</v>
      </c>
    </row>
    <row r="5147" ht="15.0" customHeight="1">
      <c r="A5147" s="157" t="s">
        <v>6528</v>
      </c>
      <c r="B5147" s="158" t="s">
        <v>49</v>
      </c>
      <c r="C5147" s="158" t="s">
        <v>6519</v>
      </c>
      <c r="D5147" s="159">
        <v>45526.0</v>
      </c>
      <c r="E5147" s="157" t="s">
        <v>731</v>
      </c>
      <c r="F5147" s="160">
        <v>10701.07</v>
      </c>
      <c r="G5147" s="160">
        <f>'FACP$'!$F5147*0.16</f>
        <v>1712.1712</v>
      </c>
      <c r="H5147" s="160">
        <f t="shared" si="124"/>
        <v>12413.2412</v>
      </c>
      <c r="I5147" s="160"/>
      <c r="J5147" s="161"/>
      <c r="K5147" s="160"/>
      <c r="L5147" s="160">
        <f>+'FACP$'!$H5147-'FACP$'!$I5147-'FACP$'!$K5147</f>
        <v>12413.2412</v>
      </c>
      <c r="M5147" s="162" t="s">
        <v>2263</v>
      </c>
      <c r="N5147" s="162" t="s">
        <v>554</v>
      </c>
      <c r="O5147" s="164">
        <v>45541.0</v>
      </c>
      <c r="P5147" s="164">
        <f t="array" ref="P5147">XLOOKUP('FACP$'!$B5147,'perfil de pagos'!$A$4:$A$46,'perfil de pagos'!$B$4:$B$46+'FACP$'!$D5147)</f>
        <v>45536</v>
      </c>
      <c r="Q5147" s="165">
        <f t="shared" si="128"/>
        <v>0</v>
      </c>
      <c r="R5147" s="167"/>
      <c r="S5147" s="167">
        <v>3253.0</v>
      </c>
      <c r="T5147" s="168">
        <f t="shared" si="3"/>
        <v>12413.2412</v>
      </c>
      <c r="U5147" s="168">
        <f t="shared" si="4"/>
        <v>0</v>
      </c>
      <c r="V5147" s="168">
        <f t="shared" si="5"/>
        <v>0</v>
      </c>
      <c r="W5147" s="168">
        <f t="shared" si="6"/>
        <v>0</v>
      </c>
      <c r="X5147" s="168">
        <f t="shared" si="7"/>
        <v>0</v>
      </c>
      <c r="Y5147" s="168">
        <f t="shared" si="8"/>
        <v>0</v>
      </c>
      <c r="Z5147" s="168">
        <f t="shared" si="9"/>
        <v>0</v>
      </c>
    </row>
    <row r="5148" ht="15.0" customHeight="1">
      <c r="A5148" s="157" t="s">
        <v>6529</v>
      </c>
      <c r="B5148" s="158" t="s">
        <v>38</v>
      </c>
      <c r="C5148" s="158" t="s">
        <v>6508</v>
      </c>
      <c r="D5148" s="159">
        <v>45526.0</v>
      </c>
      <c r="E5148" s="157" t="s">
        <v>731</v>
      </c>
      <c r="F5148" s="160">
        <v>364173.89</v>
      </c>
      <c r="G5148" s="160">
        <f>'FACP$'!$F5148*0.16</f>
        <v>58267.8224</v>
      </c>
      <c r="H5148" s="160">
        <f t="shared" si="124"/>
        <v>422441.7124</v>
      </c>
      <c r="I5148" s="160"/>
      <c r="J5148" s="161"/>
      <c r="K5148" s="160"/>
      <c r="L5148" s="160">
        <f>+'FACP$'!$H5148-'FACP$'!$I5148-'FACP$'!$K5148</f>
        <v>422441.7124</v>
      </c>
      <c r="M5148" s="162" t="s">
        <v>145</v>
      </c>
      <c r="N5148" s="162" t="s">
        <v>554</v>
      </c>
      <c r="O5148" s="164">
        <v>45574.0</v>
      </c>
      <c r="P5148" s="164">
        <f t="array" ref="P5148">XLOOKUP('FACP$'!$B5148,'perfil de pagos'!$A$4:$A$46,'perfil de pagos'!$B$4:$B$46+'FACP$'!$D5148)</f>
        <v>45556</v>
      </c>
      <c r="Q5148" s="165">
        <f t="shared" si="128"/>
        <v>0</v>
      </c>
      <c r="R5148" s="167"/>
      <c r="S5148" s="167">
        <v>3310.0</v>
      </c>
      <c r="T5148" s="168">
        <f t="shared" si="3"/>
        <v>422441.7124</v>
      </c>
      <c r="U5148" s="168">
        <f t="shared" si="4"/>
        <v>0</v>
      </c>
      <c r="V5148" s="168">
        <f t="shared" si="5"/>
        <v>0</v>
      </c>
      <c r="W5148" s="168">
        <f t="shared" si="6"/>
        <v>0</v>
      </c>
      <c r="X5148" s="168">
        <f t="shared" si="7"/>
        <v>0</v>
      </c>
      <c r="Y5148" s="168">
        <f t="shared" si="8"/>
        <v>0</v>
      </c>
      <c r="Z5148" s="168">
        <f t="shared" si="9"/>
        <v>0</v>
      </c>
    </row>
    <row r="5149" ht="15.0" customHeight="1">
      <c r="A5149" s="157" t="s">
        <v>6530</v>
      </c>
      <c r="B5149" s="158" t="s">
        <v>16</v>
      </c>
      <c r="C5149" s="158" t="s">
        <v>6508</v>
      </c>
      <c r="D5149" s="159">
        <v>45526.0</v>
      </c>
      <c r="E5149" s="157" t="s">
        <v>731</v>
      </c>
      <c r="F5149" s="160">
        <v>247679.73</v>
      </c>
      <c r="G5149" s="160">
        <f>'FACP$'!$F5149*0.16</f>
        <v>39628.7568</v>
      </c>
      <c r="H5149" s="160">
        <f t="shared" si="124"/>
        <v>287308.4868</v>
      </c>
      <c r="I5149" s="160"/>
      <c r="J5149" s="161"/>
      <c r="K5149" s="160"/>
      <c r="L5149" s="160">
        <f>+'FACP$'!$H5149-'FACP$'!$I5149-'FACP$'!$K5149</f>
        <v>287308.4868</v>
      </c>
      <c r="M5149" s="162" t="s">
        <v>985</v>
      </c>
      <c r="N5149" s="162" t="s">
        <v>554</v>
      </c>
      <c r="O5149" s="164">
        <v>45544.0</v>
      </c>
      <c r="P5149" s="164">
        <f t="array" ref="P5149">XLOOKUP('FACP$'!$B5149,'perfil de pagos'!$A$4:$A$46,'perfil de pagos'!$B$4:$B$46+'FACP$'!$D5149)</f>
        <v>45536</v>
      </c>
      <c r="Q5149" s="165">
        <f t="shared" si="128"/>
        <v>0</v>
      </c>
      <c r="R5149" s="167"/>
      <c r="S5149" s="167">
        <v>3258.0</v>
      </c>
      <c r="T5149" s="168">
        <f t="shared" si="3"/>
        <v>287308.4868</v>
      </c>
      <c r="U5149" s="168">
        <f t="shared" si="4"/>
        <v>0</v>
      </c>
      <c r="V5149" s="168">
        <f t="shared" si="5"/>
        <v>0</v>
      </c>
      <c r="W5149" s="168">
        <f t="shared" si="6"/>
        <v>0</v>
      </c>
      <c r="X5149" s="168">
        <f t="shared" si="7"/>
        <v>0</v>
      </c>
      <c r="Y5149" s="168">
        <f t="shared" si="8"/>
        <v>0</v>
      </c>
      <c r="Z5149" s="168">
        <f t="shared" si="9"/>
        <v>0</v>
      </c>
    </row>
    <row r="5150" ht="15.0" customHeight="1">
      <c r="A5150" s="157" t="s">
        <v>6531</v>
      </c>
      <c r="B5150" s="158" t="s">
        <v>16</v>
      </c>
      <c r="C5150" s="158" t="s">
        <v>6519</v>
      </c>
      <c r="D5150" s="159">
        <v>45526.0</v>
      </c>
      <c r="E5150" s="157" t="s">
        <v>731</v>
      </c>
      <c r="F5150" s="160">
        <v>435691.32</v>
      </c>
      <c r="G5150" s="160">
        <f>'FACP$'!$F5150*0.16</f>
        <v>69710.6112</v>
      </c>
      <c r="H5150" s="160">
        <f t="shared" si="124"/>
        <v>505401.9312</v>
      </c>
      <c r="I5150" s="160"/>
      <c r="J5150" s="161"/>
      <c r="K5150" s="160"/>
      <c r="L5150" s="160">
        <f>+'FACP$'!$H5150-'FACP$'!$I5150-'FACP$'!$K5150</f>
        <v>505401.9312</v>
      </c>
      <c r="M5150" s="162" t="s">
        <v>985</v>
      </c>
      <c r="N5150" s="162" t="s">
        <v>554</v>
      </c>
      <c r="O5150" s="164">
        <v>45544.0</v>
      </c>
      <c r="P5150" s="164">
        <f t="array" ref="P5150">XLOOKUP('FACP$'!$B5150,'perfil de pagos'!$A$4:$A$46,'perfil de pagos'!$B$4:$B$46+'FACP$'!$D5150)</f>
        <v>45536</v>
      </c>
      <c r="Q5150" s="165">
        <f t="shared" si="128"/>
        <v>0</v>
      </c>
      <c r="R5150" s="167"/>
      <c r="S5150" s="167">
        <v>3258.0</v>
      </c>
      <c r="T5150" s="168">
        <f t="shared" si="3"/>
        <v>505401.9312</v>
      </c>
      <c r="U5150" s="168">
        <f t="shared" si="4"/>
        <v>0</v>
      </c>
      <c r="V5150" s="168">
        <f t="shared" si="5"/>
        <v>0</v>
      </c>
      <c r="W5150" s="168">
        <f t="shared" si="6"/>
        <v>0</v>
      </c>
      <c r="X5150" s="168">
        <f t="shared" si="7"/>
        <v>0</v>
      </c>
      <c r="Y5150" s="168">
        <f t="shared" si="8"/>
        <v>0</v>
      </c>
      <c r="Z5150" s="168">
        <f t="shared" si="9"/>
        <v>0</v>
      </c>
    </row>
    <row r="5151" ht="15.0" customHeight="1">
      <c r="A5151" s="157" t="s">
        <v>6532</v>
      </c>
      <c r="B5151" s="158" t="s">
        <v>18</v>
      </c>
      <c r="C5151" s="158" t="s">
        <v>6508</v>
      </c>
      <c r="D5151" s="159">
        <v>45526.0</v>
      </c>
      <c r="E5151" s="157" t="s">
        <v>731</v>
      </c>
      <c r="F5151" s="160">
        <v>66812.02</v>
      </c>
      <c r="G5151" s="160">
        <f>'FACP$'!$F5151*0.16</f>
        <v>10689.9232</v>
      </c>
      <c r="H5151" s="160">
        <f t="shared" si="124"/>
        <v>77501.9432</v>
      </c>
      <c r="I5151" s="160"/>
      <c r="J5151" s="161"/>
      <c r="K5151" s="160"/>
      <c r="L5151" s="160">
        <f>+'FACP$'!$H5151-'FACP$'!$I5151-'FACP$'!$K5151</f>
        <v>77501.9432</v>
      </c>
      <c r="M5151" s="162" t="s">
        <v>586</v>
      </c>
      <c r="N5151" s="162" t="s">
        <v>554</v>
      </c>
      <c r="O5151" s="164">
        <v>45590.0</v>
      </c>
      <c r="P5151" s="164">
        <f t="array" ref="P5151">XLOOKUP('FACP$'!$B5151,'perfil de pagos'!$A$4:$A$46,'perfil de pagos'!$B$4:$B$46+'FACP$'!$D5151)</f>
        <v>45536</v>
      </c>
      <c r="Q5151" s="165">
        <f t="shared" si="128"/>
        <v>0</v>
      </c>
      <c r="R5151" s="167"/>
      <c r="S5151" s="167">
        <v>3351.0</v>
      </c>
      <c r="T5151" s="168">
        <f t="shared" si="3"/>
        <v>77501.9432</v>
      </c>
      <c r="U5151" s="168">
        <f t="shared" si="4"/>
        <v>0</v>
      </c>
      <c r="V5151" s="168">
        <f t="shared" si="5"/>
        <v>0</v>
      </c>
      <c r="W5151" s="168">
        <f t="shared" si="6"/>
        <v>0</v>
      </c>
      <c r="X5151" s="168">
        <f t="shared" si="7"/>
        <v>0</v>
      </c>
      <c r="Y5151" s="168">
        <f t="shared" si="8"/>
        <v>0</v>
      </c>
      <c r="Z5151" s="168">
        <f t="shared" si="9"/>
        <v>0</v>
      </c>
    </row>
    <row r="5152" ht="15.0" customHeight="1">
      <c r="A5152" s="157" t="s">
        <v>6533</v>
      </c>
      <c r="B5152" s="158" t="s">
        <v>19</v>
      </c>
      <c r="C5152" s="158" t="s">
        <v>6508</v>
      </c>
      <c r="D5152" s="159">
        <v>45526.0</v>
      </c>
      <c r="E5152" s="157" t="s">
        <v>731</v>
      </c>
      <c r="F5152" s="160">
        <v>148426.11</v>
      </c>
      <c r="G5152" s="160">
        <f>'FACP$'!$F5152*0.16</f>
        <v>23748.1776</v>
      </c>
      <c r="H5152" s="160">
        <f t="shared" si="124"/>
        <v>172174.2876</v>
      </c>
      <c r="I5152" s="160"/>
      <c r="J5152" s="161"/>
      <c r="K5152" s="160"/>
      <c r="L5152" s="160">
        <f>+'FACP$'!$H5152-'FACP$'!$I5152-'FACP$'!$K5152</f>
        <v>172174.2876</v>
      </c>
      <c r="M5152" s="162" t="s">
        <v>732</v>
      </c>
      <c r="N5152" s="162" t="s">
        <v>554</v>
      </c>
      <c r="O5152" s="164">
        <v>45590.0</v>
      </c>
      <c r="P5152" s="164">
        <f t="array" ref="P5152">XLOOKUP('FACP$'!$B5152,'perfil de pagos'!$A$4:$A$46,'perfil de pagos'!$B$4:$B$46+'FACP$'!$D5152)</f>
        <v>45536</v>
      </c>
      <c r="Q5152" s="165">
        <f t="shared" si="128"/>
        <v>0</v>
      </c>
      <c r="R5152" s="167"/>
      <c r="S5152" s="167">
        <v>3351.0</v>
      </c>
      <c r="T5152" s="168">
        <f t="shared" si="3"/>
        <v>172174.2876</v>
      </c>
      <c r="U5152" s="168">
        <f t="shared" si="4"/>
        <v>0</v>
      </c>
      <c r="V5152" s="168">
        <f t="shared" si="5"/>
        <v>0</v>
      </c>
      <c r="W5152" s="168">
        <f t="shared" si="6"/>
        <v>0</v>
      </c>
      <c r="X5152" s="168">
        <f t="shared" si="7"/>
        <v>0</v>
      </c>
      <c r="Y5152" s="168">
        <f t="shared" si="8"/>
        <v>0</v>
      </c>
      <c r="Z5152" s="168">
        <f t="shared" si="9"/>
        <v>0</v>
      </c>
    </row>
    <row r="5153" ht="15.0" customHeight="1">
      <c r="A5153" s="157" t="s">
        <v>6534</v>
      </c>
      <c r="B5153" s="158" t="s">
        <v>25</v>
      </c>
      <c r="C5153" s="158" t="s">
        <v>6508</v>
      </c>
      <c r="D5153" s="159">
        <v>45526.0</v>
      </c>
      <c r="E5153" s="157" t="s">
        <v>731</v>
      </c>
      <c r="F5153" s="160">
        <v>42701.84</v>
      </c>
      <c r="G5153" s="160">
        <f>'FACP$'!$F5153*0.16</f>
        <v>6832.2944</v>
      </c>
      <c r="H5153" s="160">
        <f t="shared" si="124"/>
        <v>49534.1344</v>
      </c>
      <c r="I5153" s="160"/>
      <c r="J5153" s="161"/>
      <c r="K5153" s="160"/>
      <c r="L5153" s="160">
        <f>+'FACP$'!$H5153-'FACP$'!$I5153-'FACP$'!$K5153</f>
        <v>49534.1344</v>
      </c>
      <c r="M5153" s="162" t="s">
        <v>4388</v>
      </c>
      <c r="N5153" s="162" t="s">
        <v>554</v>
      </c>
      <c r="O5153" s="164">
        <v>45575.0</v>
      </c>
      <c r="P5153" s="164">
        <f t="array" ref="P5153">XLOOKUP('FACP$'!$B5153,'perfil de pagos'!$A$4:$A$46,'perfil de pagos'!$B$4:$B$46+'FACP$'!$D5153)</f>
        <v>45536</v>
      </c>
      <c r="Q5153" s="165">
        <f t="shared" si="128"/>
        <v>0</v>
      </c>
      <c r="R5153" s="167"/>
      <c r="S5153" s="167">
        <v>3316.0</v>
      </c>
      <c r="T5153" s="168">
        <f t="shared" si="3"/>
        <v>49534.1344</v>
      </c>
      <c r="U5153" s="168">
        <f t="shared" si="4"/>
        <v>0</v>
      </c>
      <c r="V5153" s="168">
        <f t="shared" si="5"/>
        <v>0</v>
      </c>
      <c r="W5153" s="168">
        <f t="shared" si="6"/>
        <v>0</v>
      </c>
      <c r="X5153" s="168">
        <f t="shared" si="7"/>
        <v>0</v>
      </c>
      <c r="Y5153" s="168">
        <f t="shared" si="8"/>
        <v>0</v>
      </c>
      <c r="Z5153" s="168">
        <f t="shared" si="9"/>
        <v>0</v>
      </c>
    </row>
    <row r="5154" ht="15.0" customHeight="1">
      <c r="A5154" s="157" t="s">
        <v>6535</v>
      </c>
      <c r="B5154" s="158" t="s">
        <v>37</v>
      </c>
      <c r="C5154" s="158" t="s">
        <v>6508</v>
      </c>
      <c r="D5154" s="159">
        <v>45526.0</v>
      </c>
      <c r="E5154" s="157" t="s">
        <v>731</v>
      </c>
      <c r="F5154" s="160">
        <v>1247474.62</v>
      </c>
      <c r="G5154" s="160">
        <f>'FACP$'!$F5154*0.16</f>
        <v>199595.9392</v>
      </c>
      <c r="H5154" s="160">
        <f t="shared" si="124"/>
        <v>1447070.559</v>
      </c>
      <c r="I5154" s="160"/>
      <c r="J5154" s="161"/>
      <c r="K5154" s="160"/>
      <c r="L5154" s="160">
        <f>+'FACP$'!$H5154-'FACP$'!$I5154-'FACP$'!$K5154</f>
        <v>1447070.559</v>
      </c>
      <c r="M5154" s="162" t="s">
        <v>116</v>
      </c>
      <c r="N5154" s="162" t="s">
        <v>554</v>
      </c>
      <c r="O5154" s="164">
        <v>45538.0</v>
      </c>
      <c r="P5154" s="164">
        <f t="array" ref="P5154">XLOOKUP('FACP$'!$B5154,'perfil de pagos'!$A$4:$A$46,'perfil de pagos'!$B$4:$B$46+'FACP$'!$D5154)</f>
        <v>45536</v>
      </c>
      <c r="Q5154" s="165">
        <f t="shared" si="128"/>
        <v>0</v>
      </c>
      <c r="R5154" s="167"/>
      <c r="S5154" s="167"/>
      <c r="T5154" s="168">
        <f t="shared" si="3"/>
        <v>1447070.559</v>
      </c>
      <c r="U5154" s="168">
        <f t="shared" si="4"/>
        <v>0</v>
      </c>
      <c r="V5154" s="168">
        <f t="shared" si="5"/>
        <v>0</v>
      </c>
      <c r="W5154" s="168">
        <f t="shared" si="6"/>
        <v>0</v>
      </c>
      <c r="X5154" s="168">
        <f t="shared" si="7"/>
        <v>0</v>
      </c>
      <c r="Y5154" s="168">
        <f t="shared" si="8"/>
        <v>0</v>
      </c>
      <c r="Z5154" s="168">
        <f t="shared" si="9"/>
        <v>0</v>
      </c>
    </row>
    <row r="5155" ht="15.0" customHeight="1">
      <c r="A5155" s="157" t="s">
        <v>6536</v>
      </c>
      <c r="B5155" s="158" t="s">
        <v>29</v>
      </c>
      <c r="C5155" s="158" t="s">
        <v>6508</v>
      </c>
      <c r="D5155" s="159">
        <v>45526.0</v>
      </c>
      <c r="E5155" s="157" t="s">
        <v>731</v>
      </c>
      <c r="F5155" s="160">
        <v>254631.17</v>
      </c>
      <c r="G5155" s="160">
        <f>'FACP$'!$F5155*0.16</f>
        <v>40740.9872</v>
      </c>
      <c r="H5155" s="160">
        <f t="shared" si="124"/>
        <v>295372.1572</v>
      </c>
      <c r="I5155" s="160"/>
      <c r="J5155" s="161"/>
      <c r="K5155" s="160"/>
      <c r="L5155" s="160">
        <f>+'FACP$'!$H5155-'FACP$'!$I5155-'FACP$'!$K5155</f>
        <v>295372.1572</v>
      </c>
      <c r="M5155" s="162" t="s">
        <v>130</v>
      </c>
      <c r="N5155" s="162" t="s">
        <v>554</v>
      </c>
      <c r="O5155" s="164">
        <v>45533.0</v>
      </c>
      <c r="P5155" s="164">
        <f t="array" ref="P5155">XLOOKUP('FACP$'!$B5155,'perfil de pagos'!$A$4:$A$46,'perfil de pagos'!$B$4:$B$46+'FACP$'!$D5155)</f>
        <v>45536</v>
      </c>
      <c r="Q5155" s="165">
        <f t="shared" si="128"/>
        <v>0</v>
      </c>
      <c r="R5155" s="167"/>
      <c r="S5155" s="167">
        <v>3236.0</v>
      </c>
      <c r="T5155" s="168">
        <f t="shared" si="3"/>
        <v>295372.1572</v>
      </c>
      <c r="U5155" s="168">
        <f t="shared" si="4"/>
        <v>0</v>
      </c>
      <c r="V5155" s="168">
        <f t="shared" si="5"/>
        <v>0</v>
      </c>
      <c r="W5155" s="168">
        <f t="shared" si="6"/>
        <v>0</v>
      </c>
      <c r="X5155" s="168">
        <f t="shared" si="7"/>
        <v>0</v>
      </c>
      <c r="Y5155" s="168">
        <f t="shared" si="8"/>
        <v>0</v>
      </c>
      <c r="Z5155" s="168">
        <f t="shared" si="9"/>
        <v>0</v>
      </c>
    </row>
    <row r="5156" ht="15.0" customHeight="1">
      <c r="A5156" s="157" t="s">
        <v>6537</v>
      </c>
      <c r="B5156" s="158" t="s">
        <v>29</v>
      </c>
      <c r="C5156" s="158" t="s">
        <v>6519</v>
      </c>
      <c r="D5156" s="159">
        <v>45526.0</v>
      </c>
      <c r="E5156" s="157" t="s">
        <v>731</v>
      </c>
      <c r="F5156" s="160">
        <v>440868.99</v>
      </c>
      <c r="G5156" s="160">
        <f>'FACP$'!$F5156*0.16</f>
        <v>70539.0384</v>
      </c>
      <c r="H5156" s="160">
        <f t="shared" si="124"/>
        <v>511408.0284</v>
      </c>
      <c r="I5156" s="160"/>
      <c r="J5156" s="161"/>
      <c r="K5156" s="160"/>
      <c r="L5156" s="160">
        <f>+'FACP$'!$H5156-'FACP$'!$I5156-'FACP$'!$K5156</f>
        <v>511408.0284</v>
      </c>
      <c r="M5156" s="162" t="s">
        <v>130</v>
      </c>
      <c r="N5156" s="162" t="s">
        <v>554</v>
      </c>
      <c r="O5156" s="164">
        <v>45544.0</v>
      </c>
      <c r="P5156" s="164">
        <f t="array" ref="P5156">XLOOKUP('FACP$'!$B5156,'perfil de pagos'!$A$4:$A$46,'perfil de pagos'!$B$4:$B$46+'FACP$'!$D5156)</f>
        <v>45536</v>
      </c>
      <c r="Q5156" s="165">
        <f t="shared" si="128"/>
        <v>0</v>
      </c>
      <c r="R5156" s="167"/>
      <c r="S5156" s="167">
        <v>3257.0</v>
      </c>
      <c r="T5156" s="168">
        <f t="shared" si="3"/>
        <v>511408.0284</v>
      </c>
      <c r="U5156" s="168">
        <f t="shared" si="4"/>
        <v>0</v>
      </c>
      <c r="V5156" s="168">
        <f t="shared" si="5"/>
        <v>0</v>
      </c>
      <c r="W5156" s="168">
        <f t="shared" si="6"/>
        <v>0</v>
      </c>
      <c r="X5156" s="168">
        <f t="shared" si="7"/>
        <v>0</v>
      </c>
      <c r="Y5156" s="168">
        <f t="shared" si="8"/>
        <v>0</v>
      </c>
      <c r="Z5156" s="168">
        <f t="shared" si="9"/>
        <v>0</v>
      </c>
    </row>
    <row r="5157" ht="15.0" customHeight="1">
      <c r="A5157" s="157" t="s">
        <v>6538</v>
      </c>
      <c r="B5157" s="158" t="s">
        <v>27</v>
      </c>
      <c r="C5157" s="158" t="s">
        <v>6539</v>
      </c>
      <c r="D5157" s="159">
        <v>45534.0</v>
      </c>
      <c r="E5157" s="157" t="s">
        <v>731</v>
      </c>
      <c r="F5157" s="160">
        <v>121912.31</v>
      </c>
      <c r="G5157" s="160">
        <f>'FACP$'!$F5157*0.16</f>
        <v>19505.9696</v>
      </c>
      <c r="H5157" s="160">
        <f t="shared" si="124"/>
        <v>141418.2796</v>
      </c>
      <c r="I5157" s="160"/>
      <c r="J5157" s="161"/>
      <c r="K5157" s="160"/>
      <c r="L5157" s="160">
        <f>+'FACP$'!$H5157-'FACP$'!$I5157-'FACP$'!$K5157</f>
        <v>141418.2796</v>
      </c>
      <c r="M5157" s="162" t="s">
        <v>158</v>
      </c>
      <c r="N5157" s="162" t="s">
        <v>554</v>
      </c>
      <c r="O5157" s="164">
        <v>45602.0</v>
      </c>
      <c r="P5157" s="164">
        <f t="array" ref="P5157">XLOOKUP('FACP$'!$B5157,'perfil de pagos'!$A$4:$A$46,'perfil de pagos'!$B$4:$B$46+'FACP$'!$D5157)</f>
        <v>45564</v>
      </c>
      <c r="Q5157" s="165">
        <f t="shared" si="128"/>
        <v>0</v>
      </c>
      <c r="R5157" s="167"/>
      <c r="S5157" s="167">
        <v>3379.0</v>
      </c>
      <c r="T5157" s="168">
        <f t="shared" si="3"/>
        <v>141418.2796</v>
      </c>
      <c r="U5157" s="168">
        <f t="shared" si="4"/>
        <v>0</v>
      </c>
      <c r="V5157" s="168">
        <f t="shared" si="5"/>
        <v>0</v>
      </c>
      <c r="W5157" s="168">
        <f t="shared" si="6"/>
        <v>0</v>
      </c>
      <c r="X5157" s="168">
        <f t="shared" si="7"/>
        <v>0</v>
      </c>
      <c r="Y5157" s="168">
        <f t="shared" si="8"/>
        <v>0</v>
      </c>
      <c r="Z5157" s="168">
        <f t="shared" si="9"/>
        <v>0</v>
      </c>
    </row>
    <row r="5158" ht="15.0" customHeight="1">
      <c r="A5158" s="157" t="s">
        <v>6540</v>
      </c>
      <c r="B5158" s="158" t="s">
        <v>27</v>
      </c>
      <c r="C5158" s="158" t="s">
        <v>6541</v>
      </c>
      <c r="D5158" s="159">
        <v>45534.0</v>
      </c>
      <c r="E5158" s="157" t="s">
        <v>731</v>
      </c>
      <c r="F5158" s="160">
        <v>112029.01</v>
      </c>
      <c r="G5158" s="160">
        <f>'FACP$'!$F5158*0.16</f>
        <v>17924.6416</v>
      </c>
      <c r="H5158" s="160">
        <f t="shared" si="124"/>
        <v>129953.6516</v>
      </c>
      <c r="I5158" s="160"/>
      <c r="J5158" s="161"/>
      <c r="K5158" s="160"/>
      <c r="L5158" s="160">
        <f>+'FACP$'!$H5158-'FACP$'!$I5158-'FACP$'!$K5158</f>
        <v>129953.6516</v>
      </c>
      <c r="M5158" s="162" t="s">
        <v>158</v>
      </c>
      <c r="N5158" s="162" t="s">
        <v>554</v>
      </c>
      <c r="O5158" s="164">
        <v>45602.0</v>
      </c>
      <c r="P5158" s="164">
        <f t="array" ref="P5158">XLOOKUP('FACP$'!$B5158,'perfil de pagos'!$A$4:$A$46,'perfil de pagos'!$B$4:$B$46+'FACP$'!$D5158)</f>
        <v>45564</v>
      </c>
      <c r="Q5158" s="165">
        <f t="shared" si="128"/>
        <v>0</v>
      </c>
      <c r="R5158" s="167"/>
      <c r="S5158" s="167">
        <v>3379.0</v>
      </c>
      <c r="T5158" s="168">
        <f t="shared" si="3"/>
        <v>129953.6516</v>
      </c>
      <c r="U5158" s="168">
        <f t="shared" si="4"/>
        <v>0</v>
      </c>
      <c r="V5158" s="168">
        <f t="shared" si="5"/>
        <v>0</v>
      </c>
      <c r="W5158" s="168">
        <f t="shared" si="6"/>
        <v>0</v>
      </c>
      <c r="X5158" s="168">
        <f t="shared" si="7"/>
        <v>0</v>
      </c>
      <c r="Y5158" s="168">
        <f t="shared" si="8"/>
        <v>0</v>
      </c>
      <c r="Z5158" s="168">
        <f t="shared" si="9"/>
        <v>0</v>
      </c>
    </row>
    <row r="5159" ht="15.0" customHeight="1">
      <c r="A5159" s="157" t="s">
        <v>6542</v>
      </c>
      <c r="B5159" s="158" t="s">
        <v>27</v>
      </c>
      <c r="C5159" s="158" t="s">
        <v>6539</v>
      </c>
      <c r="D5159" s="159">
        <v>45534.0</v>
      </c>
      <c r="E5159" s="157" t="s">
        <v>731</v>
      </c>
      <c r="F5159" s="160">
        <v>235614.53</v>
      </c>
      <c r="G5159" s="160">
        <f>'FACP$'!$F5159*0.16</f>
        <v>37698.3248</v>
      </c>
      <c r="H5159" s="160">
        <f t="shared" si="124"/>
        <v>273312.8548</v>
      </c>
      <c r="I5159" s="160"/>
      <c r="J5159" s="161"/>
      <c r="K5159" s="160"/>
      <c r="L5159" s="298">
        <f>+'FACP$'!$H5159-'FACP$'!$I5159-'FACP$'!$K5159</f>
        <v>273312.8548</v>
      </c>
      <c r="M5159" s="162" t="s">
        <v>151</v>
      </c>
      <c r="N5159" s="162" t="s">
        <v>554</v>
      </c>
      <c r="O5159" s="164">
        <v>45602.0</v>
      </c>
      <c r="P5159" s="164">
        <f t="array" ref="P5159">XLOOKUP('FACP$'!$B5159,'perfil de pagos'!$A$4:$A$46,'perfil de pagos'!$B$4:$B$46+'FACP$'!$D5159)</f>
        <v>45564</v>
      </c>
      <c r="Q5159" s="165">
        <f t="shared" si="128"/>
        <v>0</v>
      </c>
      <c r="R5159" s="167"/>
      <c r="S5159" s="167">
        <v>3380.0</v>
      </c>
      <c r="T5159" s="168">
        <f t="shared" si="3"/>
        <v>273312.8548</v>
      </c>
      <c r="U5159" s="168">
        <f t="shared" si="4"/>
        <v>0</v>
      </c>
      <c r="V5159" s="168">
        <f t="shared" si="5"/>
        <v>0</v>
      </c>
      <c r="W5159" s="168">
        <f t="shared" si="6"/>
        <v>0</v>
      </c>
      <c r="X5159" s="168">
        <f t="shared" si="7"/>
        <v>0</v>
      </c>
      <c r="Y5159" s="168">
        <f t="shared" si="8"/>
        <v>0</v>
      </c>
      <c r="Z5159" s="168">
        <f t="shared" si="9"/>
        <v>0</v>
      </c>
    </row>
    <row r="5160" ht="15.0" customHeight="1">
      <c r="A5160" s="157" t="s">
        <v>6543</v>
      </c>
      <c r="B5160" s="158" t="s">
        <v>27</v>
      </c>
      <c r="C5160" s="158" t="s">
        <v>6541</v>
      </c>
      <c r="D5160" s="159">
        <v>45534.0</v>
      </c>
      <c r="E5160" s="157" t="s">
        <v>731</v>
      </c>
      <c r="F5160" s="160">
        <v>193819.82</v>
      </c>
      <c r="G5160" s="160">
        <f>'FACP$'!$F5160*0.16</f>
        <v>31011.1712</v>
      </c>
      <c r="H5160" s="160">
        <f t="shared" si="124"/>
        <v>224830.9912</v>
      </c>
      <c r="I5160" s="160"/>
      <c r="J5160" s="161"/>
      <c r="K5160" s="160"/>
      <c r="L5160" s="298">
        <f>+'FACP$'!$H5160-'FACP$'!$I5160-'FACP$'!$K5160</f>
        <v>224830.9912</v>
      </c>
      <c r="M5160" s="162" t="s">
        <v>151</v>
      </c>
      <c r="N5160" s="162" t="s">
        <v>554</v>
      </c>
      <c r="O5160" s="164">
        <v>45602.0</v>
      </c>
      <c r="P5160" s="164">
        <f t="array" ref="P5160">XLOOKUP('FACP$'!$B5160,'perfil de pagos'!$A$4:$A$46,'perfil de pagos'!$B$4:$B$46+'FACP$'!$D5160)</f>
        <v>45564</v>
      </c>
      <c r="Q5160" s="165">
        <f t="shared" si="128"/>
        <v>0</v>
      </c>
      <c r="R5160" s="167"/>
      <c r="S5160" s="167">
        <v>3380.0</v>
      </c>
      <c r="T5160" s="168">
        <f t="shared" si="3"/>
        <v>224830.9912</v>
      </c>
      <c r="U5160" s="168">
        <f t="shared" si="4"/>
        <v>0</v>
      </c>
      <c r="V5160" s="168">
        <f t="shared" si="5"/>
        <v>0</v>
      </c>
      <c r="W5160" s="168">
        <f t="shared" si="6"/>
        <v>0</v>
      </c>
      <c r="X5160" s="168">
        <f t="shared" si="7"/>
        <v>0</v>
      </c>
      <c r="Y5160" s="168">
        <f t="shared" si="8"/>
        <v>0</v>
      </c>
      <c r="Z5160" s="168">
        <f t="shared" si="9"/>
        <v>0</v>
      </c>
    </row>
    <row r="5161" ht="15.0" customHeight="1">
      <c r="A5161" s="157" t="s">
        <v>6544</v>
      </c>
      <c r="B5161" s="158" t="s">
        <v>27</v>
      </c>
      <c r="C5161" s="158" t="s">
        <v>6539</v>
      </c>
      <c r="D5161" s="159">
        <v>45534.0</v>
      </c>
      <c r="E5161" s="157" t="s">
        <v>731</v>
      </c>
      <c r="F5161" s="160">
        <v>7392.32</v>
      </c>
      <c r="G5161" s="160">
        <f>'FACP$'!$F5161*0.16</f>
        <v>1182.7712</v>
      </c>
      <c r="H5161" s="160">
        <f t="shared" si="124"/>
        <v>8575.0912</v>
      </c>
      <c r="I5161" s="160"/>
      <c r="J5161" s="161"/>
      <c r="K5161" s="160"/>
      <c r="L5161" s="298">
        <f>+'FACP$'!$H5161-'FACP$'!$I5161-'FACP$'!$K5161</f>
        <v>8575.0912</v>
      </c>
      <c r="M5161" s="162" t="s">
        <v>151</v>
      </c>
      <c r="N5161" s="162" t="s">
        <v>554</v>
      </c>
      <c r="O5161" s="164">
        <v>45602.0</v>
      </c>
      <c r="P5161" s="164">
        <f t="array" ref="P5161">XLOOKUP('FACP$'!$B5161,'perfil de pagos'!$A$4:$A$46,'perfil de pagos'!$B$4:$B$46+'FACP$'!$D5161)</f>
        <v>45564</v>
      </c>
      <c r="Q5161" s="165">
        <f t="shared" si="128"/>
        <v>0</v>
      </c>
      <c r="R5161" s="167"/>
      <c r="S5161" s="167">
        <v>3380.0</v>
      </c>
      <c r="T5161" s="168">
        <f t="shared" si="3"/>
        <v>8575.0912</v>
      </c>
      <c r="U5161" s="168">
        <f t="shared" si="4"/>
        <v>0</v>
      </c>
      <c r="V5161" s="168">
        <f t="shared" si="5"/>
        <v>0</v>
      </c>
      <c r="W5161" s="168">
        <f t="shared" si="6"/>
        <v>0</v>
      </c>
      <c r="X5161" s="168">
        <f t="shared" si="7"/>
        <v>0</v>
      </c>
      <c r="Y5161" s="168">
        <f t="shared" si="8"/>
        <v>0</v>
      </c>
      <c r="Z5161" s="168">
        <f t="shared" si="9"/>
        <v>0</v>
      </c>
    </row>
    <row r="5162" ht="15.0" customHeight="1">
      <c r="A5162" s="157" t="s">
        <v>6545</v>
      </c>
      <c r="B5162" s="158" t="s">
        <v>27</v>
      </c>
      <c r="C5162" s="158" t="s">
        <v>6541</v>
      </c>
      <c r="D5162" s="159">
        <v>45534.0</v>
      </c>
      <c r="E5162" s="157" t="s">
        <v>731</v>
      </c>
      <c r="F5162" s="160">
        <v>9888.0</v>
      </c>
      <c r="G5162" s="160">
        <f>'FACP$'!$F5162*0.16</f>
        <v>1582.08</v>
      </c>
      <c r="H5162" s="160">
        <f t="shared" si="124"/>
        <v>11470.08</v>
      </c>
      <c r="I5162" s="160"/>
      <c r="J5162" s="161"/>
      <c r="K5162" s="160"/>
      <c r="L5162" s="298">
        <f>+'FACP$'!$H5162-'FACP$'!$I5162-'FACP$'!$K5162</f>
        <v>11470.08</v>
      </c>
      <c r="M5162" s="162" t="s">
        <v>151</v>
      </c>
      <c r="N5162" s="162" t="s">
        <v>554</v>
      </c>
      <c r="O5162" s="164">
        <v>45602.0</v>
      </c>
      <c r="P5162" s="164">
        <f t="array" ref="P5162">XLOOKUP('FACP$'!$B5162,'perfil de pagos'!$A$4:$A$46,'perfil de pagos'!$B$4:$B$46+'FACP$'!$D5162)</f>
        <v>45564</v>
      </c>
      <c r="Q5162" s="165">
        <f t="shared" si="128"/>
        <v>0</v>
      </c>
      <c r="R5162" s="167"/>
      <c r="S5162" s="167">
        <v>3380.0</v>
      </c>
      <c r="T5162" s="168">
        <f t="shared" si="3"/>
        <v>11470.08</v>
      </c>
      <c r="U5162" s="168">
        <f t="shared" si="4"/>
        <v>0</v>
      </c>
      <c r="V5162" s="168">
        <f t="shared" si="5"/>
        <v>0</v>
      </c>
      <c r="W5162" s="168">
        <f t="shared" si="6"/>
        <v>0</v>
      </c>
      <c r="X5162" s="168">
        <f t="shared" si="7"/>
        <v>0</v>
      </c>
      <c r="Y5162" s="168">
        <f t="shared" si="8"/>
        <v>0</v>
      </c>
      <c r="Z5162" s="168">
        <f t="shared" si="9"/>
        <v>0</v>
      </c>
    </row>
    <row r="5163" ht="15.0" customHeight="1">
      <c r="A5163" s="157" t="s">
        <v>6546</v>
      </c>
      <c r="B5163" s="158" t="s">
        <v>27</v>
      </c>
      <c r="C5163" s="158" t="s">
        <v>6547</v>
      </c>
      <c r="D5163" s="159">
        <v>45537.0</v>
      </c>
      <c r="E5163" s="157" t="s">
        <v>731</v>
      </c>
      <c r="F5163" s="160">
        <v>46000.0</v>
      </c>
      <c r="G5163" s="160">
        <f>'FACP$'!$F5163*0.16</f>
        <v>7360</v>
      </c>
      <c r="H5163" s="160">
        <f t="shared" si="124"/>
        <v>53360</v>
      </c>
      <c r="I5163" s="160"/>
      <c r="J5163" s="161"/>
      <c r="K5163" s="160"/>
      <c r="L5163" s="160">
        <f>+'FACP$'!$H5163-'FACP$'!$I5163-'FACP$'!$K5163</f>
        <v>53360</v>
      </c>
      <c r="M5163" s="162" t="s">
        <v>5804</v>
      </c>
      <c r="N5163" s="162" t="s">
        <v>554</v>
      </c>
      <c r="O5163" s="164">
        <v>45545.0</v>
      </c>
      <c r="P5163" s="164">
        <f t="array" ref="P5163">XLOOKUP('FACP$'!$B5163,'perfil de pagos'!$A$4:$A$46,'perfil de pagos'!$B$4:$B$46+'FACP$'!$D5163)</f>
        <v>45567</v>
      </c>
      <c r="Q5163" s="165">
        <f t="shared" si="128"/>
        <v>0</v>
      </c>
      <c r="R5163" s="167"/>
      <c r="S5163" s="167"/>
      <c r="T5163" s="168">
        <f t="shared" si="3"/>
        <v>53360</v>
      </c>
      <c r="U5163" s="168">
        <f t="shared" si="4"/>
        <v>0</v>
      </c>
      <c r="V5163" s="168">
        <f t="shared" si="5"/>
        <v>0</v>
      </c>
      <c r="W5163" s="168">
        <f t="shared" si="6"/>
        <v>0</v>
      </c>
      <c r="X5163" s="168">
        <f t="shared" si="7"/>
        <v>0</v>
      </c>
      <c r="Y5163" s="168">
        <f t="shared" si="8"/>
        <v>0</v>
      </c>
      <c r="Z5163" s="168">
        <f t="shared" si="9"/>
        <v>0</v>
      </c>
    </row>
    <row r="5164" ht="15.0" customHeight="1">
      <c r="A5164" s="157" t="s">
        <v>6548</v>
      </c>
      <c r="B5164" s="158" t="s">
        <v>48</v>
      </c>
      <c r="C5164" s="158" t="s">
        <v>6549</v>
      </c>
      <c r="D5164" s="159">
        <v>45537.0</v>
      </c>
      <c r="E5164" s="157" t="s">
        <v>731</v>
      </c>
      <c r="F5164" s="160">
        <v>141118.41</v>
      </c>
      <c r="G5164" s="160">
        <f>'FACP$'!$F5164*0.16</f>
        <v>22578.9456</v>
      </c>
      <c r="H5164" s="160">
        <f t="shared" si="124"/>
        <v>163697.3556</v>
      </c>
      <c r="I5164" s="160"/>
      <c r="J5164" s="161"/>
      <c r="K5164" s="160"/>
      <c r="L5164" s="160">
        <f>+'FACP$'!$H5164-'FACP$'!$I5164-'FACP$'!$K5164</f>
        <v>163697.3556</v>
      </c>
      <c r="M5164" s="162" t="s">
        <v>6171</v>
      </c>
      <c r="N5164" s="162" t="s">
        <v>554</v>
      </c>
      <c r="O5164" s="164">
        <v>45545.0</v>
      </c>
      <c r="P5164" s="164">
        <f t="array" ref="P5164">XLOOKUP('FACP$'!$B5164,'perfil de pagos'!$A$4:$A$46,'perfil de pagos'!$B$4:$B$46+'FACP$'!$D5164)</f>
        <v>45542</v>
      </c>
      <c r="Q5164" s="165">
        <f t="shared" si="128"/>
        <v>0</v>
      </c>
      <c r="R5164" s="167"/>
      <c r="S5164" s="167">
        <v>3259.0</v>
      </c>
      <c r="T5164" s="168">
        <f t="shared" si="3"/>
        <v>163697.3556</v>
      </c>
      <c r="U5164" s="168">
        <f t="shared" si="4"/>
        <v>0</v>
      </c>
      <c r="V5164" s="168">
        <f t="shared" si="5"/>
        <v>0</v>
      </c>
      <c r="W5164" s="168">
        <f t="shared" si="6"/>
        <v>0</v>
      </c>
      <c r="X5164" s="168">
        <f t="shared" si="7"/>
        <v>0</v>
      </c>
      <c r="Y5164" s="168">
        <f t="shared" si="8"/>
        <v>0</v>
      </c>
      <c r="Z5164" s="168">
        <f t="shared" si="9"/>
        <v>0</v>
      </c>
    </row>
    <row r="5165" ht="15.0" customHeight="1">
      <c r="A5165" s="157" t="s">
        <v>6550</v>
      </c>
      <c r="B5165" s="158" t="s">
        <v>49</v>
      </c>
      <c r="C5165" s="158" t="s">
        <v>6551</v>
      </c>
      <c r="D5165" s="159">
        <v>45538.0</v>
      </c>
      <c r="E5165" s="157" t="s">
        <v>731</v>
      </c>
      <c r="F5165" s="160">
        <v>89737.44</v>
      </c>
      <c r="G5165" s="160">
        <f>'FACP$'!$F5165*0.16</f>
        <v>14357.9904</v>
      </c>
      <c r="H5165" s="160">
        <f t="shared" si="124"/>
        <v>104095.4304</v>
      </c>
      <c r="I5165" s="160"/>
      <c r="J5165" s="161"/>
      <c r="K5165" s="160"/>
      <c r="L5165" s="160">
        <f>+'FACP$'!$H5165-'FACP$'!$I5165-'FACP$'!$K5165</f>
        <v>104095.4304</v>
      </c>
      <c r="M5165" s="162" t="s">
        <v>2263</v>
      </c>
      <c r="N5165" s="162" t="s">
        <v>554</v>
      </c>
      <c r="O5165" s="164">
        <v>45580.0</v>
      </c>
      <c r="P5165" s="164">
        <f t="array" ref="P5165">XLOOKUP('FACP$'!$B5165,'perfil de pagos'!$A$4:$A$46,'perfil de pagos'!$B$4:$B$46+'FACP$'!$D5165)</f>
        <v>45548</v>
      </c>
      <c r="Q5165" s="165">
        <f t="shared" si="128"/>
        <v>0</v>
      </c>
      <c r="R5165" s="167"/>
      <c r="S5165" s="167">
        <v>3324.0</v>
      </c>
      <c r="T5165" s="168">
        <f t="shared" si="3"/>
        <v>104095.4304</v>
      </c>
      <c r="U5165" s="168">
        <f t="shared" si="4"/>
        <v>0</v>
      </c>
      <c r="V5165" s="168">
        <f t="shared" si="5"/>
        <v>0</v>
      </c>
      <c r="W5165" s="168">
        <f t="shared" si="6"/>
        <v>0</v>
      </c>
      <c r="X5165" s="168">
        <f t="shared" si="7"/>
        <v>0</v>
      </c>
      <c r="Y5165" s="168">
        <f t="shared" si="8"/>
        <v>0</v>
      </c>
      <c r="Z5165" s="168">
        <f t="shared" si="9"/>
        <v>0</v>
      </c>
    </row>
    <row r="5166" ht="15.0" customHeight="1">
      <c r="A5166" s="157" t="s">
        <v>6552</v>
      </c>
      <c r="B5166" s="158" t="s">
        <v>49</v>
      </c>
      <c r="C5166" s="158" t="s">
        <v>6553</v>
      </c>
      <c r="D5166" s="159">
        <v>45538.0</v>
      </c>
      <c r="E5166" s="157" t="s">
        <v>731</v>
      </c>
      <c r="F5166" s="160">
        <v>40768.59</v>
      </c>
      <c r="G5166" s="160">
        <f>'FACP$'!$F5166*0.16</f>
        <v>6522.9744</v>
      </c>
      <c r="H5166" s="160">
        <f t="shared" si="124"/>
        <v>47291.5644</v>
      </c>
      <c r="I5166" s="160"/>
      <c r="J5166" s="161"/>
      <c r="K5166" s="160"/>
      <c r="L5166" s="160">
        <f>+'FACP$'!$H5166-'FACP$'!$I5166-'FACP$'!$K5166</f>
        <v>47291.5644</v>
      </c>
      <c r="M5166" s="162" t="s">
        <v>2263</v>
      </c>
      <c r="N5166" s="162" t="s">
        <v>554</v>
      </c>
      <c r="O5166" s="164">
        <v>45607.0</v>
      </c>
      <c r="P5166" s="164">
        <f t="array" ref="P5166">XLOOKUP('FACP$'!$B5166,'perfil de pagos'!$A$4:$A$46,'perfil de pagos'!$B$4:$B$46+'FACP$'!$D5166)</f>
        <v>45548</v>
      </c>
      <c r="Q5166" s="165">
        <f t="shared" si="128"/>
        <v>0</v>
      </c>
      <c r="R5166" s="167"/>
      <c r="S5166" s="167">
        <v>3387.0</v>
      </c>
      <c r="T5166" s="168">
        <f t="shared" si="3"/>
        <v>47291.5644</v>
      </c>
      <c r="U5166" s="168">
        <f t="shared" si="4"/>
        <v>0</v>
      </c>
      <c r="V5166" s="168">
        <f t="shared" si="5"/>
        <v>0</v>
      </c>
      <c r="W5166" s="168">
        <f t="shared" si="6"/>
        <v>0</v>
      </c>
      <c r="X5166" s="168">
        <f t="shared" si="7"/>
        <v>0</v>
      </c>
      <c r="Y5166" s="168">
        <f t="shared" si="8"/>
        <v>0</v>
      </c>
      <c r="Z5166" s="168">
        <f t="shared" si="9"/>
        <v>0</v>
      </c>
    </row>
    <row r="5167" ht="15.0" customHeight="1">
      <c r="A5167" s="157" t="s">
        <v>6554</v>
      </c>
      <c r="B5167" s="158" t="s">
        <v>41</v>
      </c>
      <c r="C5167" s="158" t="s">
        <v>6551</v>
      </c>
      <c r="D5167" s="159">
        <v>45538.0</v>
      </c>
      <c r="E5167" s="157" t="s">
        <v>731</v>
      </c>
      <c r="F5167" s="160">
        <v>561414.02</v>
      </c>
      <c r="G5167" s="160">
        <f>'FACP$'!$F5167*0.16</f>
        <v>89826.2432</v>
      </c>
      <c r="H5167" s="160">
        <f t="shared" si="124"/>
        <v>651240.2632</v>
      </c>
      <c r="I5167" s="160"/>
      <c r="J5167" s="161"/>
      <c r="K5167" s="160"/>
      <c r="L5167" s="160">
        <f>+'FACP$'!$H5167-'FACP$'!$I5167-'FACP$'!$K5167</f>
        <v>651240.2632</v>
      </c>
      <c r="M5167" s="162" t="s">
        <v>121</v>
      </c>
      <c r="N5167" s="162" t="s">
        <v>554</v>
      </c>
      <c r="O5167" s="164">
        <v>45581.0</v>
      </c>
      <c r="P5167" s="164">
        <f t="array" ref="P5167">XLOOKUP('FACP$'!$B5167,'perfil de pagos'!$A$4:$A$46,'perfil de pagos'!$B$4:$B$46+'FACP$'!$D5167)</f>
        <v>45548</v>
      </c>
      <c r="Q5167" s="165">
        <f t="shared" si="128"/>
        <v>0</v>
      </c>
      <c r="R5167" s="167"/>
      <c r="S5167" s="167">
        <v>3321.0</v>
      </c>
      <c r="T5167" s="168">
        <f t="shared" si="3"/>
        <v>651240.2632</v>
      </c>
      <c r="U5167" s="168">
        <f t="shared" si="4"/>
        <v>0</v>
      </c>
      <c r="V5167" s="168">
        <f t="shared" si="5"/>
        <v>0</v>
      </c>
      <c r="W5167" s="168">
        <f t="shared" si="6"/>
        <v>0</v>
      </c>
      <c r="X5167" s="168">
        <f t="shared" si="7"/>
        <v>0</v>
      </c>
      <c r="Y5167" s="168">
        <f t="shared" si="8"/>
        <v>0</v>
      </c>
      <c r="Z5167" s="168">
        <f t="shared" si="9"/>
        <v>0</v>
      </c>
    </row>
    <row r="5168" ht="15.0" customHeight="1">
      <c r="A5168" s="157" t="s">
        <v>6555</v>
      </c>
      <c r="B5168" s="158" t="s">
        <v>35</v>
      </c>
      <c r="C5168" s="158" t="s">
        <v>6551</v>
      </c>
      <c r="D5168" s="159">
        <v>45538.0</v>
      </c>
      <c r="E5168" s="157" t="s">
        <v>731</v>
      </c>
      <c r="F5168" s="160">
        <v>31349.89</v>
      </c>
      <c r="G5168" s="160">
        <f>'FACP$'!$F5168*0.16</f>
        <v>5015.9824</v>
      </c>
      <c r="H5168" s="160">
        <f t="shared" si="124"/>
        <v>36365.8724</v>
      </c>
      <c r="I5168" s="160"/>
      <c r="J5168" s="161"/>
      <c r="K5168" s="160"/>
      <c r="L5168" s="160">
        <f>+'FACP$'!$H5168-'FACP$'!$I5168-'FACP$'!$K5168</f>
        <v>36365.8724</v>
      </c>
      <c r="M5168" s="162" t="s">
        <v>276</v>
      </c>
      <c r="N5168" s="162" t="s">
        <v>554</v>
      </c>
      <c r="O5168" s="164">
        <v>45594.0</v>
      </c>
      <c r="P5168" s="164">
        <f t="array" ref="P5168">XLOOKUP('FACP$'!$B5168,'perfil de pagos'!$A$4:$A$46,'perfil de pagos'!$B$4:$B$46+'FACP$'!$D5168)</f>
        <v>45548</v>
      </c>
      <c r="Q5168" s="165">
        <f t="shared" si="128"/>
        <v>0</v>
      </c>
      <c r="R5168" s="167"/>
      <c r="S5168" s="167">
        <v>3354.0</v>
      </c>
      <c r="T5168" s="168">
        <f t="shared" si="3"/>
        <v>36365.8724</v>
      </c>
      <c r="U5168" s="168">
        <f t="shared" si="4"/>
        <v>0</v>
      </c>
      <c r="V5168" s="168">
        <f t="shared" si="5"/>
        <v>0</v>
      </c>
      <c r="W5168" s="168">
        <f t="shared" si="6"/>
        <v>0</v>
      </c>
      <c r="X5168" s="168">
        <f t="shared" si="7"/>
        <v>0</v>
      </c>
      <c r="Y5168" s="168">
        <f t="shared" si="8"/>
        <v>0</v>
      </c>
      <c r="Z5168" s="168">
        <f t="shared" si="9"/>
        <v>0</v>
      </c>
    </row>
    <row r="5169" ht="15.0" customHeight="1">
      <c r="A5169" s="157" t="s">
        <v>6556</v>
      </c>
      <c r="B5169" s="158" t="s">
        <v>36</v>
      </c>
      <c r="C5169" s="158" t="s">
        <v>6551</v>
      </c>
      <c r="D5169" s="159">
        <v>45538.0</v>
      </c>
      <c r="E5169" s="157" t="s">
        <v>731</v>
      </c>
      <c r="F5169" s="160">
        <v>111924.68</v>
      </c>
      <c r="G5169" s="160">
        <f>'FACP$'!$F5169*0.16</f>
        <v>17907.9488</v>
      </c>
      <c r="H5169" s="160">
        <f t="shared" si="124"/>
        <v>129832.6288</v>
      </c>
      <c r="I5169" s="160"/>
      <c r="J5169" s="161"/>
      <c r="K5169" s="160"/>
      <c r="L5169" s="160">
        <f>+'FACP$'!$H5169-'FACP$'!$I5169-'FACP$'!$K5169</f>
        <v>129832.6288</v>
      </c>
      <c r="M5169" s="162" t="s">
        <v>530</v>
      </c>
      <c r="N5169" s="162" t="s">
        <v>554</v>
      </c>
      <c r="O5169" s="164">
        <v>45548.0</v>
      </c>
      <c r="P5169" s="164">
        <f t="array" ref="P5169">XLOOKUP('FACP$'!$B5169,'perfil de pagos'!$A$4:$A$46,'perfil de pagos'!$B$4:$B$46+'FACP$'!$D5169)</f>
        <v>45548</v>
      </c>
      <c r="Q5169" s="165">
        <f t="shared" si="128"/>
        <v>0</v>
      </c>
      <c r="R5169" s="167"/>
      <c r="S5169" s="167">
        <v>3266.0</v>
      </c>
      <c r="T5169" s="168">
        <f t="shared" si="3"/>
        <v>129832.6288</v>
      </c>
      <c r="U5169" s="168">
        <f t="shared" si="4"/>
        <v>0</v>
      </c>
      <c r="V5169" s="168">
        <f t="shared" si="5"/>
        <v>0</v>
      </c>
      <c r="W5169" s="168">
        <f t="shared" si="6"/>
        <v>0</v>
      </c>
      <c r="X5169" s="168">
        <f t="shared" si="7"/>
        <v>0</v>
      </c>
      <c r="Y5169" s="168">
        <f t="shared" si="8"/>
        <v>0</v>
      </c>
      <c r="Z5169" s="168">
        <f t="shared" si="9"/>
        <v>0</v>
      </c>
    </row>
    <row r="5170" ht="15.0" customHeight="1">
      <c r="A5170" s="157" t="s">
        <v>6557</v>
      </c>
      <c r="B5170" s="158" t="s">
        <v>36</v>
      </c>
      <c r="C5170" s="158" t="s">
        <v>6553</v>
      </c>
      <c r="D5170" s="159">
        <v>45538.0</v>
      </c>
      <c r="E5170" s="157" t="s">
        <v>731</v>
      </c>
      <c r="F5170" s="160">
        <v>81833.0</v>
      </c>
      <c r="G5170" s="160">
        <f>'FACP$'!$F5170*0.16</f>
        <v>13093.28</v>
      </c>
      <c r="H5170" s="160">
        <f t="shared" si="124"/>
        <v>94926.28</v>
      </c>
      <c r="I5170" s="160"/>
      <c r="J5170" s="161"/>
      <c r="K5170" s="160"/>
      <c r="L5170" s="160">
        <f>+'FACP$'!$H5170-'FACP$'!$I5170-'FACP$'!$K5170</f>
        <v>94926.28</v>
      </c>
      <c r="M5170" s="162" t="s">
        <v>530</v>
      </c>
      <c r="N5170" s="162" t="s">
        <v>554</v>
      </c>
      <c r="O5170" s="164">
        <v>45548.0</v>
      </c>
      <c r="P5170" s="164">
        <f t="array" ref="P5170">XLOOKUP('FACP$'!$B5170,'perfil de pagos'!$A$4:$A$46,'perfil de pagos'!$B$4:$B$46+'FACP$'!$D5170)</f>
        <v>45548</v>
      </c>
      <c r="Q5170" s="165">
        <f t="shared" si="128"/>
        <v>0</v>
      </c>
      <c r="R5170" s="167"/>
      <c r="S5170" s="167">
        <v>3265.0</v>
      </c>
      <c r="T5170" s="168">
        <f t="shared" si="3"/>
        <v>94926.28</v>
      </c>
      <c r="U5170" s="168">
        <f t="shared" si="4"/>
        <v>0</v>
      </c>
      <c r="V5170" s="168">
        <f t="shared" si="5"/>
        <v>0</v>
      </c>
      <c r="W5170" s="168">
        <f t="shared" si="6"/>
        <v>0</v>
      </c>
      <c r="X5170" s="168">
        <f t="shared" si="7"/>
        <v>0</v>
      </c>
      <c r="Y5170" s="168">
        <f t="shared" si="8"/>
        <v>0</v>
      </c>
      <c r="Z5170" s="168">
        <f t="shared" si="9"/>
        <v>0</v>
      </c>
    </row>
    <row r="5171" ht="15.0" customHeight="1">
      <c r="A5171" s="157" t="s">
        <v>6558</v>
      </c>
      <c r="B5171" s="158" t="s">
        <v>36</v>
      </c>
      <c r="C5171" s="158" t="s">
        <v>6551</v>
      </c>
      <c r="D5171" s="159">
        <v>45538.0</v>
      </c>
      <c r="E5171" s="157" t="s">
        <v>731</v>
      </c>
      <c r="F5171" s="160">
        <v>52656.2</v>
      </c>
      <c r="G5171" s="160">
        <f>'FACP$'!$F5171*0.16</f>
        <v>8424.992</v>
      </c>
      <c r="H5171" s="160">
        <f t="shared" si="124"/>
        <v>61081.192</v>
      </c>
      <c r="I5171" s="160"/>
      <c r="J5171" s="161"/>
      <c r="K5171" s="160"/>
      <c r="L5171" s="160">
        <f>+'FACP$'!$H5171-'FACP$'!$I5171-'FACP$'!$K5171</f>
        <v>61081.192</v>
      </c>
      <c r="M5171" s="162" t="s">
        <v>526</v>
      </c>
      <c r="N5171" s="162" t="s">
        <v>554</v>
      </c>
      <c r="O5171" s="164">
        <v>45548.0</v>
      </c>
      <c r="P5171" s="164">
        <f t="array" ref="P5171">XLOOKUP('FACP$'!$B5171,'perfil de pagos'!$A$4:$A$46,'perfil de pagos'!$B$4:$B$46+'FACP$'!$D5171)</f>
        <v>45548</v>
      </c>
      <c r="Q5171" s="165">
        <f t="shared" si="128"/>
        <v>0</v>
      </c>
      <c r="R5171" s="167"/>
      <c r="S5171" s="167">
        <v>3271.0</v>
      </c>
      <c r="T5171" s="168">
        <f t="shared" si="3"/>
        <v>61081.192</v>
      </c>
      <c r="U5171" s="168">
        <f t="shared" si="4"/>
        <v>0</v>
      </c>
      <c r="V5171" s="168">
        <f t="shared" si="5"/>
        <v>0</v>
      </c>
      <c r="W5171" s="168">
        <f t="shared" si="6"/>
        <v>0</v>
      </c>
      <c r="X5171" s="168">
        <f t="shared" si="7"/>
        <v>0</v>
      </c>
      <c r="Y5171" s="168">
        <f t="shared" si="8"/>
        <v>0</v>
      </c>
      <c r="Z5171" s="168">
        <f t="shared" si="9"/>
        <v>0</v>
      </c>
    </row>
    <row r="5172" ht="15.0" customHeight="1">
      <c r="A5172" s="157" t="s">
        <v>6559</v>
      </c>
      <c r="B5172" s="158" t="s">
        <v>36</v>
      </c>
      <c r="C5172" s="158" t="s">
        <v>6553</v>
      </c>
      <c r="D5172" s="159">
        <v>45538.0</v>
      </c>
      <c r="E5172" s="157" t="s">
        <v>731</v>
      </c>
      <c r="F5172" s="160">
        <v>45909.0</v>
      </c>
      <c r="G5172" s="160">
        <f>'FACP$'!$F5172*0.16</f>
        <v>7345.44</v>
      </c>
      <c r="H5172" s="160">
        <f t="shared" si="124"/>
        <v>53254.44</v>
      </c>
      <c r="I5172" s="160"/>
      <c r="J5172" s="161"/>
      <c r="K5172" s="160"/>
      <c r="L5172" s="160">
        <f>+'FACP$'!$H5172-'FACP$'!$I5172-'FACP$'!$K5172</f>
        <v>53254.44</v>
      </c>
      <c r="M5172" s="162" t="s">
        <v>526</v>
      </c>
      <c r="N5172" s="162" t="s">
        <v>554</v>
      </c>
      <c r="O5172" s="164">
        <v>45548.0</v>
      </c>
      <c r="P5172" s="164">
        <f t="array" ref="P5172">XLOOKUP('FACP$'!$B5172,'perfil de pagos'!$A$4:$A$46,'perfil de pagos'!$B$4:$B$46+'FACP$'!$D5172)</f>
        <v>45548</v>
      </c>
      <c r="Q5172" s="165">
        <f t="shared" si="128"/>
        <v>0</v>
      </c>
      <c r="R5172" s="167"/>
      <c r="S5172" s="167">
        <v>3272.0</v>
      </c>
      <c r="T5172" s="168">
        <f t="shared" si="3"/>
        <v>53254.44</v>
      </c>
      <c r="U5172" s="168">
        <f t="shared" si="4"/>
        <v>0</v>
      </c>
      <c r="V5172" s="168">
        <f t="shared" si="5"/>
        <v>0</v>
      </c>
      <c r="W5172" s="168">
        <f t="shared" si="6"/>
        <v>0</v>
      </c>
      <c r="X5172" s="168">
        <f t="shared" si="7"/>
        <v>0</v>
      </c>
      <c r="Y5172" s="168">
        <f t="shared" si="8"/>
        <v>0</v>
      </c>
      <c r="Z5172" s="168">
        <f t="shared" si="9"/>
        <v>0</v>
      </c>
    </row>
    <row r="5173" ht="15.0" customHeight="1">
      <c r="A5173" s="157" t="s">
        <v>6560</v>
      </c>
      <c r="B5173" s="158" t="s">
        <v>42</v>
      </c>
      <c r="C5173" s="158" t="s">
        <v>6551</v>
      </c>
      <c r="D5173" s="159">
        <v>45538.0</v>
      </c>
      <c r="E5173" s="157" t="s">
        <v>731</v>
      </c>
      <c r="F5173" s="160">
        <v>38773.91</v>
      </c>
      <c r="G5173" s="160">
        <f>'FACP$'!$F5173*0.16</f>
        <v>6203.8256</v>
      </c>
      <c r="H5173" s="160">
        <f t="shared" si="124"/>
        <v>44977.7356</v>
      </c>
      <c r="I5173" s="160"/>
      <c r="J5173" s="161"/>
      <c r="K5173" s="160"/>
      <c r="L5173" s="160">
        <f>+'FACP$'!$H5173-'FACP$'!$I5173-'FACP$'!$K5173</f>
        <v>44977.7356</v>
      </c>
      <c r="M5173" s="162" t="s">
        <v>42</v>
      </c>
      <c r="N5173" s="162" t="s">
        <v>554</v>
      </c>
      <c r="O5173" s="164">
        <v>45561.0</v>
      </c>
      <c r="P5173" s="164">
        <f t="array" ref="P5173">XLOOKUP('FACP$'!$B5173,'perfil de pagos'!$A$4:$A$46,'perfil de pagos'!$B$4:$B$46+'FACP$'!$D5173)</f>
        <v>45548</v>
      </c>
      <c r="Q5173" s="165">
        <f t="shared" si="128"/>
        <v>0</v>
      </c>
      <c r="R5173" s="167"/>
      <c r="S5173" s="167">
        <v>3292.0</v>
      </c>
      <c r="T5173" s="168">
        <f t="shared" si="3"/>
        <v>44977.7356</v>
      </c>
      <c r="U5173" s="168">
        <f t="shared" si="4"/>
        <v>0</v>
      </c>
      <c r="V5173" s="168">
        <f t="shared" si="5"/>
        <v>0</v>
      </c>
      <c r="W5173" s="168">
        <f t="shared" si="6"/>
        <v>0</v>
      </c>
      <c r="X5173" s="168">
        <f t="shared" si="7"/>
        <v>0</v>
      </c>
      <c r="Y5173" s="168">
        <f t="shared" si="8"/>
        <v>0</v>
      </c>
      <c r="Z5173" s="168">
        <f t="shared" si="9"/>
        <v>0</v>
      </c>
    </row>
    <row r="5174" ht="15.0" customHeight="1">
      <c r="A5174" s="157" t="s">
        <v>6561</v>
      </c>
      <c r="B5174" s="158" t="s">
        <v>43</v>
      </c>
      <c r="C5174" s="158" t="s">
        <v>6551</v>
      </c>
      <c r="D5174" s="159">
        <v>45538.0</v>
      </c>
      <c r="E5174" s="157" t="s">
        <v>731</v>
      </c>
      <c r="F5174" s="160">
        <v>370846.13</v>
      </c>
      <c r="G5174" s="160">
        <f>'FACP$'!$F5174*0.16</f>
        <v>59335.3808</v>
      </c>
      <c r="H5174" s="160">
        <f t="shared" si="124"/>
        <v>430181.5108</v>
      </c>
      <c r="I5174" s="160"/>
      <c r="J5174" s="161"/>
      <c r="K5174" s="160"/>
      <c r="L5174" s="160">
        <f>+'FACP$'!$H5174-'FACP$'!$I5174-'FACP$'!$K5174</f>
        <v>430181.5108</v>
      </c>
      <c r="M5174" s="162" t="s">
        <v>43</v>
      </c>
      <c r="N5174" s="162" t="s">
        <v>554</v>
      </c>
      <c r="O5174" s="164">
        <v>45583.0</v>
      </c>
      <c r="P5174" s="164">
        <f t="array" ref="P5174">XLOOKUP('FACP$'!$B5174,'perfil de pagos'!$A$4:$A$46,'perfil de pagos'!$B$4:$B$46+'FACP$'!$D5174)</f>
        <v>45563</v>
      </c>
      <c r="Q5174" s="165">
        <f t="shared" si="128"/>
        <v>0</v>
      </c>
      <c r="R5174" s="167"/>
      <c r="S5174" s="167">
        <v>3341.0</v>
      </c>
      <c r="T5174" s="168">
        <f t="shared" si="3"/>
        <v>430181.5108</v>
      </c>
      <c r="U5174" s="168">
        <f t="shared" si="4"/>
        <v>0</v>
      </c>
      <c r="V5174" s="168">
        <f t="shared" si="5"/>
        <v>0</v>
      </c>
      <c r="W5174" s="168">
        <f t="shared" si="6"/>
        <v>0</v>
      </c>
      <c r="X5174" s="168">
        <f t="shared" si="7"/>
        <v>0</v>
      </c>
      <c r="Y5174" s="168">
        <f t="shared" si="8"/>
        <v>0</v>
      </c>
      <c r="Z5174" s="168">
        <f t="shared" si="9"/>
        <v>0</v>
      </c>
    </row>
    <row r="5175" ht="15.0" customHeight="1">
      <c r="A5175" s="157" t="s">
        <v>6562</v>
      </c>
      <c r="B5175" s="158" t="s">
        <v>43</v>
      </c>
      <c r="C5175" s="158" t="s">
        <v>6553</v>
      </c>
      <c r="D5175" s="159">
        <v>45538.0</v>
      </c>
      <c r="E5175" s="157" t="s">
        <v>731</v>
      </c>
      <c r="F5175" s="160">
        <v>439239.96</v>
      </c>
      <c r="G5175" s="160">
        <f>'FACP$'!$F5175*0.16</f>
        <v>70278.3936</v>
      </c>
      <c r="H5175" s="160">
        <f t="shared" si="124"/>
        <v>509518.3536</v>
      </c>
      <c r="I5175" s="160"/>
      <c r="J5175" s="161"/>
      <c r="K5175" s="160"/>
      <c r="L5175" s="160">
        <f>+'FACP$'!$H5175-'FACP$'!$I5175-'FACP$'!$K5175</f>
        <v>509518.3536</v>
      </c>
      <c r="M5175" s="162" t="s">
        <v>43</v>
      </c>
      <c r="N5175" s="162" t="s">
        <v>554</v>
      </c>
      <c r="O5175" s="164">
        <v>45583.0</v>
      </c>
      <c r="P5175" s="164">
        <f t="array" ref="P5175">XLOOKUP('FACP$'!$B5175,'perfil de pagos'!$A$4:$A$46,'perfil de pagos'!$B$4:$B$46+'FACP$'!$D5175)</f>
        <v>45563</v>
      </c>
      <c r="Q5175" s="165">
        <f t="shared" si="128"/>
        <v>0</v>
      </c>
      <c r="R5175" s="167"/>
      <c r="S5175" s="167">
        <v>3340.0</v>
      </c>
      <c r="T5175" s="168">
        <f t="shared" si="3"/>
        <v>509518.3536</v>
      </c>
      <c r="U5175" s="168">
        <f t="shared" si="4"/>
        <v>0</v>
      </c>
      <c r="V5175" s="168">
        <f t="shared" si="5"/>
        <v>0</v>
      </c>
      <c r="W5175" s="168">
        <f t="shared" si="6"/>
        <v>0</v>
      </c>
      <c r="X5175" s="168">
        <f t="shared" si="7"/>
        <v>0</v>
      </c>
      <c r="Y5175" s="168">
        <f t="shared" si="8"/>
        <v>0</v>
      </c>
      <c r="Z5175" s="168">
        <f t="shared" si="9"/>
        <v>0</v>
      </c>
    </row>
    <row r="5176" ht="15.0" customHeight="1">
      <c r="A5176" s="157" t="s">
        <v>6563</v>
      </c>
      <c r="B5176" s="158" t="s">
        <v>44</v>
      </c>
      <c r="C5176" s="158" t="s">
        <v>6551</v>
      </c>
      <c r="D5176" s="159">
        <v>45538.0</v>
      </c>
      <c r="E5176" s="157" t="s">
        <v>731</v>
      </c>
      <c r="F5176" s="160">
        <v>19902.21</v>
      </c>
      <c r="G5176" s="160">
        <f>'FACP$'!$F5176*0.16</f>
        <v>3184.3536</v>
      </c>
      <c r="H5176" s="160">
        <f t="shared" si="124"/>
        <v>23086.5636</v>
      </c>
      <c r="I5176" s="160"/>
      <c r="J5176" s="161"/>
      <c r="K5176" s="160"/>
      <c r="L5176" s="160">
        <f>+'FACP$'!$H5176-'FACP$'!$I5176-'FACP$'!$K5176</f>
        <v>23086.5636</v>
      </c>
      <c r="M5176" s="162" t="s">
        <v>361</v>
      </c>
      <c r="N5176" s="162" t="s">
        <v>554</v>
      </c>
      <c r="O5176" s="164">
        <v>45548.0</v>
      </c>
      <c r="P5176" s="164">
        <f t="array" ref="P5176">XLOOKUP('FACP$'!$B5176,'perfil de pagos'!$A$4:$A$46,'perfil de pagos'!$B$4:$B$46+'FACP$'!$D5176)</f>
        <v>45548</v>
      </c>
      <c r="Q5176" s="165">
        <f t="shared" si="128"/>
        <v>0</v>
      </c>
      <c r="R5176" s="167"/>
      <c r="S5176" s="167">
        <v>3267.0</v>
      </c>
      <c r="T5176" s="168">
        <f t="shared" si="3"/>
        <v>23086.5636</v>
      </c>
      <c r="U5176" s="168">
        <f t="shared" si="4"/>
        <v>0</v>
      </c>
      <c r="V5176" s="168">
        <f t="shared" si="5"/>
        <v>0</v>
      </c>
      <c r="W5176" s="168">
        <f t="shared" si="6"/>
        <v>0</v>
      </c>
      <c r="X5176" s="168">
        <f t="shared" si="7"/>
        <v>0</v>
      </c>
      <c r="Y5176" s="168">
        <f t="shared" si="8"/>
        <v>0</v>
      </c>
      <c r="Z5176" s="168">
        <f t="shared" si="9"/>
        <v>0</v>
      </c>
    </row>
    <row r="5177" ht="15.0" customHeight="1">
      <c r="A5177" s="157" t="s">
        <v>6564</v>
      </c>
      <c r="B5177" s="158" t="s">
        <v>38</v>
      </c>
      <c r="C5177" s="158" t="s">
        <v>6551</v>
      </c>
      <c r="D5177" s="159">
        <v>45538.0</v>
      </c>
      <c r="E5177" s="157" t="s">
        <v>731</v>
      </c>
      <c r="F5177" s="160">
        <v>141557.64</v>
      </c>
      <c r="G5177" s="160">
        <f>'FACP$'!$F5177*0.16</f>
        <v>22649.2224</v>
      </c>
      <c r="H5177" s="160">
        <f t="shared" si="124"/>
        <v>164206.8624</v>
      </c>
      <c r="I5177" s="160"/>
      <c r="J5177" s="161"/>
      <c r="K5177" s="160"/>
      <c r="L5177" s="160">
        <f>+'FACP$'!$H5177-'FACP$'!$I5177-'FACP$'!$K5177</f>
        <v>164206.8624</v>
      </c>
      <c r="M5177" s="162" t="s">
        <v>4654</v>
      </c>
      <c r="N5177" s="162" t="s">
        <v>554</v>
      </c>
      <c r="O5177" s="164">
        <v>45581.0</v>
      </c>
      <c r="P5177" s="164">
        <f t="array" ref="P5177">XLOOKUP('FACP$'!$B5177,'perfil de pagos'!$A$4:$A$46,'perfil de pagos'!$B$4:$B$46+'FACP$'!$D5177)</f>
        <v>45568</v>
      </c>
      <c r="Q5177" s="165">
        <f t="shared" si="128"/>
        <v>0</v>
      </c>
      <c r="R5177" s="167"/>
      <c r="S5177" s="167">
        <v>3327.0</v>
      </c>
      <c r="T5177" s="168">
        <f t="shared" si="3"/>
        <v>164206.8624</v>
      </c>
      <c r="U5177" s="168">
        <f t="shared" si="4"/>
        <v>0</v>
      </c>
      <c r="V5177" s="168">
        <f t="shared" si="5"/>
        <v>0</v>
      </c>
      <c r="W5177" s="168">
        <f t="shared" si="6"/>
        <v>0</v>
      </c>
      <c r="X5177" s="168">
        <f t="shared" si="7"/>
        <v>0</v>
      </c>
      <c r="Y5177" s="168">
        <f t="shared" si="8"/>
        <v>0</v>
      </c>
      <c r="Z5177" s="168">
        <f t="shared" si="9"/>
        <v>0</v>
      </c>
    </row>
    <row r="5178" ht="15.0" customHeight="1">
      <c r="A5178" s="157" t="s">
        <v>6565</v>
      </c>
      <c r="B5178" s="158" t="s">
        <v>16</v>
      </c>
      <c r="C5178" s="158" t="s">
        <v>6551</v>
      </c>
      <c r="D5178" s="159">
        <v>45538.0</v>
      </c>
      <c r="E5178" s="157" t="s">
        <v>731</v>
      </c>
      <c r="F5178" s="160">
        <v>300231.31</v>
      </c>
      <c r="G5178" s="160">
        <f>'FACP$'!$F5178*0.16</f>
        <v>48037.0096</v>
      </c>
      <c r="H5178" s="160">
        <f t="shared" si="124"/>
        <v>348268.3196</v>
      </c>
      <c r="I5178" s="160"/>
      <c r="J5178" s="161"/>
      <c r="K5178" s="160"/>
      <c r="L5178" s="160">
        <f>+'FACP$'!$H5178-'FACP$'!$I5178-'FACP$'!$K5178</f>
        <v>348268.3196</v>
      </c>
      <c r="M5178" s="162" t="s">
        <v>985</v>
      </c>
      <c r="N5178" s="162" t="s">
        <v>554</v>
      </c>
      <c r="O5178" s="164">
        <v>45553.0</v>
      </c>
      <c r="P5178" s="164">
        <f t="array" ref="P5178">XLOOKUP('FACP$'!$B5178,'perfil de pagos'!$A$4:$A$46,'perfil de pagos'!$B$4:$B$46+'FACP$'!$D5178)</f>
        <v>45548</v>
      </c>
      <c r="Q5178" s="165">
        <f t="shared" si="128"/>
        <v>0</v>
      </c>
      <c r="R5178" s="167"/>
      <c r="S5178" s="167">
        <v>3281.0</v>
      </c>
      <c r="T5178" s="168">
        <f t="shared" si="3"/>
        <v>348268.3196</v>
      </c>
      <c r="U5178" s="168">
        <f t="shared" si="4"/>
        <v>0</v>
      </c>
      <c r="V5178" s="168">
        <f t="shared" si="5"/>
        <v>0</v>
      </c>
      <c r="W5178" s="168">
        <f t="shared" si="6"/>
        <v>0</v>
      </c>
      <c r="X5178" s="168">
        <f t="shared" si="7"/>
        <v>0</v>
      </c>
      <c r="Y5178" s="168">
        <f t="shared" si="8"/>
        <v>0</v>
      </c>
      <c r="Z5178" s="168">
        <f t="shared" si="9"/>
        <v>0</v>
      </c>
    </row>
    <row r="5179" ht="15.0" customHeight="1">
      <c r="A5179" s="157" t="s">
        <v>6566</v>
      </c>
      <c r="B5179" s="158" t="s">
        <v>16</v>
      </c>
      <c r="C5179" s="158" t="s">
        <v>6553</v>
      </c>
      <c r="D5179" s="159">
        <v>45538.0</v>
      </c>
      <c r="E5179" s="157" t="s">
        <v>731</v>
      </c>
      <c r="F5179" s="160">
        <v>541738.25</v>
      </c>
      <c r="G5179" s="160">
        <f>'FACP$'!$F5179*0.16</f>
        <v>86678.12</v>
      </c>
      <c r="H5179" s="160">
        <f t="shared" si="124"/>
        <v>628416.37</v>
      </c>
      <c r="I5179" s="160"/>
      <c r="J5179" s="161"/>
      <c r="K5179" s="160"/>
      <c r="L5179" s="160">
        <f>+'FACP$'!$H5179-'FACP$'!$I5179-'FACP$'!$K5179</f>
        <v>628416.37</v>
      </c>
      <c r="M5179" s="162" t="s">
        <v>985</v>
      </c>
      <c r="N5179" s="162" t="s">
        <v>554</v>
      </c>
      <c r="O5179" s="164">
        <v>45553.0</v>
      </c>
      <c r="P5179" s="164">
        <f t="array" ref="P5179">XLOOKUP('FACP$'!$B5179,'perfil de pagos'!$A$4:$A$46,'perfil de pagos'!$B$4:$B$46+'FACP$'!$D5179)</f>
        <v>45548</v>
      </c>
      <c r="Q5179" s="165">
        <f t="shared" si="128"/>
        <v>0</v>
      </c>
      <c r="R5179" s="167"/>
      <c r="S5179" s="167">
        <v>3281.0</v>
      </c>
      <c r="T5179" s="168">
        <f t="shared" si="3"/>
        <v>628416.37</v>
      </c>
      <c r="U5179" s="168">
        <f t="shared" si="4"/>
        <v>0</v>
      </c>
      <c r="V5179" s="168">
        <f t="shared" si="5"/>
        <v>0</v>
      </c>
      <c r="W5179" s="168">
        <f t="shared" si="6"/>
        <v>0</v>
      </c>
      <c r="X5179" s="168">
        <f t="shared" si="7"/>
        <v>0</v>
      </c>
      <c r="Y5179" s="168">
        <f t="shared" si="8"/>
        <v>0</v>
      </c>
      <c r="Z5179" s="168">
        <f t="shared" si="9"/>
        <v>0</v>
      </c>
    </row>
    <row r="5180" ht="15.0" customHeight="1">
      <c r="A5180" s="157" t="s">
        <v>6567</v>
      </c>
      <c r="B5180" s="158" t="s">
        <v>18</v>
      </c>
      <c r="C5180" s="158" t="s">
        <v>6551</v>
      </c>
      <c r="D5180" s="159">
        <v>45538.0</v>
      </c>
      <c r="E5180" s="157" t="s">
        <v>731</v>
      </c>
      <c r="F5180" s="160">
        <v>80519.67</v>
      </c>
      <c r="G5180" s="160">
        <f>'FACP$'!$F5180*0.16</f>
        <v>12883.1472</v>
      </c>
      <c r="H5180" s="160">
        <f t="shared" si="124"/>
        <v>93402.8172</v>
      </c>
      <c r="I5180" s="160"/>
      <c r="J5180" s="161"/>
      <c r="K5180" s="160"/>
      <c r="L5180" s="160">
        <f>+'FACP$'!$H5180-'FACP$'!$I5180-'FACP$'!$K5180</f>
        <v>93402.8172</v>
      </c>
      <c r="M5180" s="162" t="s">
        <v>586</v>
      </c>
      <c r="N5180" s="162" t="s">
        <v>554</v>
      </c>
      <c r="O5180" s="164">
        <v>45590.0</v>
      </c>
      <c r="P5180" s="164">
        <f t="array" ref="P5180">XLOOKUP('FACP$'!$B5180,'perfil de pagos'!$A$4:$A$46,'perfil de pagos'!$B$4:$B$46+'FACP$'!$D5180)</f>
        <v>45548</v>
      </c>
      <c r="Q5180" s="165">
        <f t="shared" si="128"/>
        <v>0</v>
      </c>
      <c r="R5180" s="167"/>
      <c r="S5180" s="167">
        <v>3351.0</v>
      </c>
      <c r="T5180" s="168">
        <f t="shared" si="3"/>
        <v>93402.8172</v>
      </c>
      <c r="U5180" s="168">
        <f t="shared" si="4"/>
        <v>0</v>
      </c>
      <c r="V5180" s="168">
        <f t="shared" si="5"/>
        <v>0</v>
      </c>
      <c r="W5180" s="168">
        <f t="shared" si="6"/>
        <v>0</v>
      </c>
      <c r="X5180" s="168">
        <f t="shared" si="7"/>
        <v>0</v>
      </c>
      <c r="Y5180" s="168">
        <f t="shared" si="8"/>
        <v>0</v>
      </c>
      <c r="Z5180" s="168">
        <f t="shared" si="9"/>
        <v>0</v>
      </c>
    </row>
    <row r="5181" ht="15.0" customHeight="1">
      <c r="A5181" s="157" t="s">
        <v>6568</v>
      </c>
      <c r="B5181" s="158" t="s">
        <v>19</v>
      </c>
      <c r="C5181" s="158" t="s">
        <v>6551</v>
      </c>
      <c r="D5181" s="159">
        <v>45538.0</v>
      </c>
      <c r="E5181" s="157" t="s">
        <v>731</v>
      </c>
      <c r="F5181" s="160">
        <v>184059.2</v>
      </c>
      <c r="G5181" s="160">
        <f>'FACP$'!$F5181*0.16</f>
        <v>29449.472</v>
      </c>
      <c r="H5181" s="160">
        <f t="shared" si="124"/>
        <v>213508.672</v>
      </c>
      <c r="I5181" s="160"/>
      <c r="J5181" s="161"/>
      <c r="K5181" s="160"/>
      <c r="L5181" s="160">
        <f>+'FACP$'!$H5181-'FACP$'!$I5181-'FACP$'!$K5181</f>
        <v>213508.672</v>
      </c>
      <c r="M5181" s="162" t="s">
        <v>732</v>
      </c>
      <c r="N5181" s="162" t="s">
        <v>554</v>
      </c>
      <c r="O5181" s="164">
        <v>45590.0</v>
      </c>
      <c r="P5181" s="164">
        <f t="array" ref="P5181">XLOOKUP('FACP$'!$B5181,'perfil de pagos'!$A$4:$A$46,'perfil de pagos'!$B$4:$B$46+'FACP$'!$D5181)</f>
        <v>45548</v>
      </c>
      <c r="Q5181" s="165">
        <f t="shared" si="128"/>
        <v>0</v>
      </c>
      <c r="R5181" s="167"/>
      <c r="S5181" s="167">
        <v>3351.0</v>
      </c>
      <c r="T5181" s="168">
        <f t="shared" si="3"/>
        <v>213508.672</v>
      </c>
      <c r="U5181" s="168">
        <f t="shared" si="4"/>
        <v>0</v>
      </c>
      <c r="V5181" s="168">
        <f t="shared" si="5"/>
        <v>0</v>
      </c>
      <c r="W5181" s="168">
        <f t="shared" si="6"/>
        <v>0</v>
      </c>
      <c r="X5181" s="168">
        <f t="shared" si="7"/>
        <v>0</v>
      </c>
      <c r="Y5181" s="168">
        <f t="shared" si="8"/>
        <v>0</v>
      </c>
      <c r="Z5181" s="168">
        <f t="shared" si="9"/>
        <v>0</v>
      </c>
    </row>
    <row r="5182" ht="15.0" customHeight="1">
      <c r="A5182" s="157" t="s">
        <v>6569</v>
      </c>
      <c r="B5182" s="158" t="s">
        <v>25</v>
      </c>
      <c r="C5182" s="158" t="s">
        <v>6551</v>
      </c>
      <c r="D5182" s="159">
        <v>45538.0</v>
      </c>
      <c r="E5182" s="157" t="s">
        <v>731</v>
      </c>
      <c r="F5182" s="160">
        <v>53772.21</v>
      </c>
      <c r="G5182" s="160">
        <f>'FACP$'!$F5182*0.16</f>
        <v>8603.5536</v>
      </c>
      <c r="H5182" s="160">
        <f t="shared" si="124"/>
        <v>62375.7636</v>
      </c>
      <c r="I5182" s="160"/>
      <c r="J5182" s="161"/>
      <c r="K5182" s="160"/>
      <c r="L5182" s="160">
        <f>+'FACP$'!$H5182-'FACP$'!$I5182-'FACP$'!$K5182</f>
        <v>62375.7636</v>
      </c>
      <c r="M5182" s="162" t="s">
        <v>4388</v>
      </c>
      <c r="N5182" s="162" t="s">
        <v>554</v>
      </c>
      <c r="O5182" s="164">
        <v>45581.0</v>
      </c>
      <c r="P5182" s="164">
        <f t="array" ref="P5182">XLOOKUP('FACP$'!$B5182,'perfil de pagos'!$A$4:$A$46,'perfil de pagos'!$B$4:$B$46+'FACP$'!$D5182)</f>
        <v>45548</v>
      </c>
      <c r="Q5182" s="165">
        <f t="shared" si="128"/>
        <v>0</v>
      </c>
      <c r="R5182" s="167"/>
      <c r="S5182" s="167">
        <v>3329.0</v>
      </c>
      <c r="T5182" s="168">
        <f t="shared" si="3"/>
        <v>62375.7636</v>
      </c>
      <c r="U5182" s="168">
        <f t="shared" si="4"/>
        <v>0</v>
      </c>
      <c r="V5182" s="168">
        <f t="shared" si="5"/>
        <v>0</v>
      </c>
      <c r="W5182" s="168">
        <f t="shared" si="6"/>
        <v>0</v>
      </c>
      <c r="X5182" s="168">
        <f t="shared" si="7"/>
        <v>0</v>
      </c>
      <c r="Y5182" s="168">
        <f t="shared" si="8"/>
        <v>0</v>
      </c>
      <c r="Z5182" s="168">
        <f t="shared" si="9"/>
        <v>0</v>
      </c>
    </row>
    <row r="5183" ht="15.0" customHeight="1">
      <c r="A5183" s="157" t="s">
        <v>6570</v>
      </c>
      <c r="B5183" s="158" t="s">
        <v>37</v>
      </c>
      <c r="C5183" s="158" t="s">
        <v>6551</v>
      </c>
      <c r="D5183" s="159">
        <v>45538.0</v>
      </c>
      <c r="E5183" s="157" t="s">
        <v>731</v>
      </c>
      <c r="F5183" s="160">
        <v>1436715.77</v>
      </c>
      <c r="G5183" s="160">
        <f>'FACP$'!$F5183*0.16</f>
        <v>229874.5232</v>
      </c>
      <c r="H5183" s="160">
        <f t="shared" si="124"/>
        <v>1666590.293</v>
      </c>
      <c r="I5183" s="160"/>
      <c r="J5183" s="161"/>
      <c r="K5183" s="160"/>
      <c r="L5183" s="160">
        <f>+'FACP$'!$H5183-'FACP$'!$I5183-'FACP$'!$K5183</f>
        <v>1666590.293</v>
      </c>
      <c r="M5183" s="162" t="s">
        <v>116</v>
      </c>
      <c r="N5183" s="162" t="s">
        <v>554</v>
      </c>
      <c r="O5183" s="164">
        <v>45552.0</v>
      </c>
      <c r="P5183" s="164">
        <f t="array" ref="P5183">XLOOKUP('FACP$'!$B5183,'perfil de pagos'!$A$4:$A$46,'perfil de pagos'!$B$4:$B$46+'FACP$'!$D5183)</f>
        <v>45548</v>
      </c>
      <c r="Q5183" s="165">
        <f t="shared" si="128"/>
        <v>0</v>
      </c>
      <c r="R5183" s="167"/>
      <c r="S5183" s="167">
        <v>3277.0</v>
      </c>
      <c r="T5183" s="168">
        <f t="shared" si="3"/>
        <v>1666590.293</v>
      </c>
      <c r="U5183" s="168">
        <f t="shared" si="4"/>
        <v>0</v>
      </c>
      <c r="V5183" s="168">
        <f t="shared" si="5"/>
        <v>0</v>
      </c>
      <c r="W5183" s="168">
        <f t="shared" si="6"/>
        <v>0</v>
      </c>
      <c r="X5183" s="168">
        <f t="shared" si="7"/>
        <v>0</v>
      </c>
      <c r="Y5183" s="168">
        <f t="shared" si="8"/>
        <v>0</v>
      </c>
      <c r="Z5183" s="168">
        <f t="shared" si="9"/>
        <v>0</v>
      </c>
    </row>
    <row r="5184" ht="15.0" customHeight="1">
      <c r="A5184" s="157" t="s">
        <v>6571</v>
      </c>
      <c r="B5184" s="158" t="s">
        <v>29</v>
      </c>
      <c r="C5184" s="158" t="s">
        <v>6551</v>
      </c>
      <c r="D5184" s="159">
        <v>45538.0</v>
      </c>
      <c r="E5184" s="157" t="s">
        <v>731</v>
      </c>
      <c r="F5184" s="160">
        <v>326519.74</v>
      </c>
      <c r="G5184" s="160">
        <f>'FACP$'!$F5184*0.16</f>
        <v>52243.1584</v>
      </c>
      <c r="H5184" s="160">
        <f t="shared" si="124"/>
        <v>378762.8984</v>
      </c>
      <c r="I5184" s="160"/>
      <c r="J5184" s="161"/>
      <c r="K5184" s="160"/>
      <c r="L5184" s="160">
        <f>+'FACP$'!$H5184-'FACP$'!$I5184-'FACP$'!$K5184</f>
        <v>378762.8984</v>
      </c>
      <c r="M5184" s="162" t="s">
        <v>130</v>
      </c>
      <c r="N5184" s="162" t="s">
        <v>554</v>
      </c>
      <c r="O5184" s="164">
        <v>45547.0</v>
      </c>
      <c r="P5184" s="164">
        <f t="array" ref="P5184">XLOOKUP('FACP$'!$B5184,'perfil de pagos'!$A$4:$A$46,'perfil de pagos'!$B$4:$B$46+'FACP$'!$D5184)</f>
        <v>45548</v>
      </c>
      <c r="Q5184" s="165">
        <f t="shared" si="128"/>
        <v>0</v>
      </c>
      <c r="R5184" s="167"/>
      <c r="S5184" s="167">
        <v>3264.0</v>
      </c>
      <c r="T5184" s="168">
        <f t="shared" si="3"/>
        <v>378762.8984</v>
      </c>
      <c r="U5184" s="168">
        <f t="shared" si="4"/>
        <v>0</v>
      </c>
      <c r="V5184" s="168">
        <f t="shared" si="5"/>
        <v>0</v>
      </c>
      <c r="W5184" s="168">
        <f t="shared" si="6"/>
        <v>0</v>
      </c>
      <c r="X5184" s="168">
        <f t="shared" si="7"/>
        <v>0</v>
      </c>
      <c r="Y5184" s="168">
        <f t="shared" si="8"/>
        <v>0</v>
      </c>
      <c r="Z5184" s="168">
        <f t="shared" si="9"/>
        <v>0</v>
      </c>
    </row>
    <row r="5185" ht="15.0" customHeight="1">
      <c r="A5185" s="157" t="s">
        <v>6572</v>
      </c>
      <c r="B5185" s="158" t="s">
        <v>29</v>
      </c>
      <c r="C5185" s="158" t="s">
        <v>6553</v>
      </c>
      <c r="D5185" s="159">
        <v>45538.0</v>
      </c>
      <c r="E5185" s="157" t="s">
        <v>731</v>
      </c>
      <c r="F5185" s="160">
        <v>584438.24</v>
      </c>
      <c r="G5185" s="160">
        <f>'FACP$'!$F5185*0.16</f>
        <v>93510.1184</v>
      </c>
      <c r="H5185" s="160">
        <f t="shared" si="124"/>
        <v>677948.3584</v>
      </c>
      <c r="I5185" s="160"/>
      <c r="J5185" s="161"/>
      <c r="K5185" s="160"/>
      <c r="L5185" s="160">
        <f>+'FACP$'!$H5185-'FACP$'!$I5185-'FACP$'!$K5185</f>
        <v>677948.3584</v>
      </c>
      <c r="M5185" s="162" t="s">
        <v>130</v>
      </c>
      <c r="N5185" s="162" t="s">
        <v>554</v>
      </c>
      <c r="O5185" s="164">
        <v>45552.0</v>
      </c>
      <c r="P5185" s="164">
        <f t="array" ref="P5185">XLOOKUP('FACP$'!$B5185,'perfil de pagos'!$A$4:$A$46,'perfil de pagos'!$B$4:$B$46+'FACP$'!$D5185)</f>
        <v>45548</v>
      </c>
      <c r="Q5185" s="165">
        <f t="shared" si="128"/>
        <v>0</v>
      </c>
      <c r="R5185" s="167"/>
      <c r="S5185" s="167">
        <v>3274.0</v>
      </c>
      <c r="T5185" s="168">
        <f t="shared" si="3"/>
        <v>677948.3584</v>
      </c>
      <c r="U5185" s="168">
        <f t="shared" si="4"/>
        <v>0</v>
      </c>
      <c r="V5185" s="168">
        <f t="shared" si="5"/>
        <v>0</v>
      </c>
      <c r="W5185" s="168">
        <f t="shared" si="6"/>
        <v>0</v>
      </c>
      <c r="X5185" s="168">
        <f t="shared" si="7"/>
        <v>0</v>
      </c>
      <c r="Y5185" s="168">
        <f t="shared" si="8"/>
        <v>0</v>
      </c>
      <c r="Z5185" s="168">
        <f t="shared" si="9"/>
        <v>0</v>
      </c>
    </row>
    <row r="5186" ht="15.0" customHeight="1">
      <c r="A5186" s="157" t="s">
        <v>6573</v>
      </c>
      <c r="B5186" s="158" t="s">
        <v>38</v>
      </c>
      <c r="C5186" s="158" t="s">
        <v>6551</v>
      </c>
      <c r="D5186" s="159">
        <v>45540.0</v>
      </c>
      <c r="E5186" s="157" t="s">
        <v>731</v>
      </c>
      <c r="F5186" s="160">
        <v>463245.79</v>
      </c>
      <c r="G5186" s="160">
        <f>'FACP$'!$F5186*0.16</f>
        <v>74119.3264</v>
      </c>
      <c r="H5186" s="160">
        <f t="shared" si="124"/>
        <v>537365.1164</v>
      </c>
      <c r="I5186" s="160"/>
      <c r="J5186" s="161"/>
      <c r="K5186" s="160"/>
      <c r="L5186" s="160">
        <f>+'FACP$'!$H5186-'FACP$'!$I5186-'FACP$'!$K5186</f>
        <v>537365.1164</v>
      </c>
      <c r="M5186" s="162" t="s">
        <v>145</v>
      </c>
      <c r="N5186" s="162" t="s">
        <v>554</v>
      </c>
      <c r="O5186" s="164">
        <v>45581.0</v>
      </c>
      <c r="P5186" s="164">
        <f t="array" ref="P5186">XLOOKUP('FACP$'!$B5186,'perfil de pagos'!$A$4:$A$46,'perfil de pagos'!$B$4:$B$46+'FACP$'!$D5186)</f>
        <v>45570</v>
      </c>
      <c r="Q5186" s="165">
        <f t="shared" si="128"/>
        <v>0</v>
      </c>
      <c r="R5186" s="167"/>
      <c r="S5186" s="167">
        <v>3327.0</v>
      </c>
      <c r="T5186" s="168">
        <f t="shared" si="3"/>
        <v>537365.1164</v>
      </c>
      <c r="U5186" s="168">
        <f t="shared" si="4"/>
        <v>0</v>
      </c>
      <c r="V5186" s="168">
        <f t="shared" si="5"/>
        <v>0</v>
      </c>
      <c r="W5186" s="168">
        <f t="shared" si="6"/>
        <v>0</v>
      </c>
      <c r="X5186" s="168">
        <f t="shared" si="7"/>
        <v>0</v>
      </c>
      <c r="Y5186" s="168">
        <f t="shared" si="8"/>
        <v>0</v>
      </c>
      <c r="Z5186" s="168">
        <f t="shared" si="9"/>
        <v>0</v>
      </c>
    </row>
    <row r="5187" ht="15.0" customHeight="1">
      <c r="A5187" s="299" t="s">
        <v>6574</v>
      </c>
      <c r="B5187" s="300" t="s">
        <v>51</v>
      </c>
      <c r="C5187" s="300"/>
      <c r="D5187" s="301">
        <v>45540.0</v>
      </c>
      <c r="E5187" s="299" t="s">
        <v>731</v>
      </c>
      <c r="F5187" s="302"/>
      <c r="G5187" s="302">
        <f>'FACP$'!$F5187*0.16</f>
        <v>0</v>
      </c>
      <c r="H5187" s="302">
        <f t="shared" si="124"/>
        <v>0</v>
      </c>
      <c r="I5187" s="302"/>
      <c r="J5187" s="304"/>
      <c r="K5187" s="302"/>
      <c r="L5187" s="302">
        <f>+'FACP$'!$H5187-'FACP$'!$I5187-'FACP$'!$K5187</f>
        <v>0</v>
      </c>
      <c r="M5187" s="305"/>
      <c r="N5187" s="305" t="s">
        <v>127</v>
      </c>
      <c r="O5187" s="306"/>
      <c r="P5187" s="306">
        <f t="array" ref="P5187">XLOOKUP('FACP$'!$B5187,'perfil de pagos'!$A$4:$A$46,'perfil de pagos'!$B$4:$B$46+'FACP$'!$D5187)</f>
        <v>45570</v>
      </c>
      <c r="Q5187" s="307">
        <f t="shared" si="128"/>
        <v>0</v>
      </c>
      <c r="R5187" s="308"/>
      <c r="S5187" s="308"/>
      <c r="T5187" s="309">
        <f t="shared" si="3"/>
        <v>0</v>
      </c>
      <c r="U5187" s="309">
        <f t="shared" si="4"/>
        <v>0</v>
      </c>
      <c r="V5187" s="309">
        <f t="shared" si="5"/>
        <v>0</v>
      </c>
      <c r="W5187" s="309">
        <f t="shared" si="6"/>
        <v>0</v>
      </c>
      <c r="X5187" s="309">
        <f t="shared" si="7"/>
        <v>0</v>
      </c>
      <c r="Y5187" s="309">
        <f t="shared" si="8"/>
        <v>0</v>
      </c>
      <c r="Z5187" s="309">
        <f t="shared" si="9"/>
        <v>0</v>
      </c>
    </row>
    <row r="5188" ht="15.0" customHeight="1">
      <c r="A5188" s="194" t="s">
        <v>6575</v>
      </c>
      <c r="B5188" s="192" t="s">
        <v>51</v>
      </c>
      <c r="C5188" s="192" t="s">
        <v>6576</v>
      </c>
      <c r="D5188" s="193">
        <v>45541.0</v>
      </c>
      <c r="E5188" s="194" t="s">
        <v>731</v>
      </c>
      <c r="F5188" s="195">
        <v>425852.23</v>
      </c>
      <c r="G5188" s="195">
        <f>'FACP$'!$F5188*0.16</f>
        <v>68136.3568</v>
      </c>
      <c r="H5188" s="195">
        <f t="shared" si="124"/>
        <v>493988.5868</v>
      </c>
      <c r="I5188" s="195"/>
      <c r="J5188" s="196"/>
      <c r="K5188" s="195"/>
      <c r="L5188" s="195">
        <f>+'FACP$'!$H5188-'FACP$'!$I5188-'FACP$'!$K5188</f>
        <v>493988.5868</v>
      </c>
      <c r="M5188" s="318" t="s">
        <v>6494</v>
      </c>
      <c r="N5188" s="318" t="s">
        <v>127</v>
      </c>
      <c r="O5188" s="319"/>
      <c r="P5188" s="319">
        <f t="array" ref="P5188">XLOOKUP('FACP$'!$B5188,'perfil de pagos'!$A$4:$A$46,'perfil de pagos'!$B$4:$B$46+'FACP$'!$D5188)</f>
        <v>45571</v>
      </c>
      <c r="Q5188" s="320">
        <f t="shared" si="128"/>
        <v>0</v>
      </c>
      <c r="R5188" s="321"/>
      <c r="S5188" s="321"/>
      <c r="T5188" s="322">
        <f t="shared" si="3"/>
        <v>493988.5868</v>
      </c>
      <c r="U5188" s="322">
        <f t="shared" si="4"/>
        <v>0</v>
      </c>
      <c r="V5188" s="322">
        <f t="shared" si="5"/>
        <v>0</v>
      </c>
      <c r="W5188" s="322">
        <f t="shared" si="6"/>
        <v>0</v>
      </c>
      <c r="X5188" s="322">
        <f t="shared" si="7"/>
        <v>0</v>
      </c>
      <c r="Y5188" s="322">
        <f t="shared" si="8"/>
        <v>0</v>
      </c>
      <c r="Z5188" s="322">
        <f t="shared" si="9"/>
        <v>0</v>
      </c>
    </row>
    <row r="5189" ht="15.0" customHeight="1">
      <c r="A5189" s="194" t="s">
        <v>6577</v>
      </c>
      <c r="B5189" s="192" t="s">
        <v>51</v>
      </c>
      <c r="C5189" s="192" t="s">
        <v>6576</v>
      </c>
      <c r="D5189" s="193">
        <v>45541.0</v>
      </c>
      <c r="E5189" s="194" t="s">
        <v>731</v>
      </c>
      <c r="F5189" s="195">
        <v>530477.15</v>
      </c>
      <c r="G5189" s="195">
        <f>'FACP$'!$F5189*0.16</f>
        <v>84876.344</v>
      </c>
      <c r="H5189" s="195">
        <f t="shared" si="124"/>
        <v>615353.494</v>
      </c>
      <c r="I5189" s="195"/>
      <c r="J5189" s="196"/>
      <c r="K5189" s="195"/>
      <c r="L5189" s="195">
        <f>+'FACP$'!$H5189-'FACP$'!$I5189-'FACP$'!$K5189</f>
        <v>615353.494</v>
      </c>
      <c r="M5189" s="318" t="s">
        <v>519</v>
      </c>
      <c r="N5189" s="318" t="s">
        <v>127</v>
      </c>
      <c r="O5189" s="319"/>
      <c r="P5189" s="319">
        <f t="array" ref="P5189">XLOOKUP('FACP$'!$B5189,'perfil de pagos'!$A$4:$A$46,'perfil de pagos'!$B$4:$B$46+'FACP$'!$D5189)</f>
        <v>45571</v>
      </c>
      <c r="Q5189" s="320">
        <f t="shared" si="128"/>
        <v>0</v>
      </c>
      <c r="R5189" s="321"/>
      <c r="S5189" s="321"/>
      <c r="T5189" s="322">
        <f t="shared" si="3"/>
        <v>615353.494</v>
      </c>
      <c r="U5189" s="322">
        <f t="shared" si="4"/>
        <v>0</v>
      </c>
      <c r="V5189" s="322">
        <f t="shared" si="5"/>
        <v>0</v>
      </c>
      <c r="W5189" s="322">
        <f t="shared" si="6"/>
        <v>0</v>
      </c>
      <c r="X5189" s="322">
        <f t="shared" si="7"/>
        <v>0</v>
      </c>
      <c r="Y5189" s="322">
        <f t="shared" si="8"/>
        <v>0</v>
      </c>
      <c r="Z5189" s="322">
        <f t="shared" si="9"/>
        <v>0</v>
      </c>
    </row>
    <row r="5190" ht="15.0" customHeight="1">
      <c r="A5190" s="157" t="s">
        <v>6578</v>
      </c>
      <c r="B5190" s="158" t="s">
        <v>40</v>
      </c>
      <c r="C5190" s="158" t="s">
        <v>6551</v>
      </c>
      <c r="D5190" s="159">
        <v>45541.0</v>
      </c>
      <c r="E5190" s="157" t="s">
        <v>731</v>
      </c>
      <c r="F5190" s="160">
        <v>381590.07</v>
      </c>
      <c r="G5190" s="160">
        <f>'FACP$'!$F5190*0.16</f>
        <v>61054.4112</v>
      </c>
      <c r="H5190" s="160">
        <f t="shared" si="124"/>
        <v>442644.4812</v>
      </c>
      <c r="I5190" s="160"/>
      <c r="J5190" s="161"/>
      <c r="K5190" s="160"/>
      <c r="L5190" s="160">
        <f>+'FACP$'!$H5190-'FACP$'!$I5190-'FACP$'!$K5190</f>
        <v>442644.4812</v>
      </c>
      <c r="M5190" s="162" t="s">
        <v>490</v>
      </c>
      <c r="N5190" s="162" t="s">
        <v>554</v>
      </c>
      <c r="O5190" s="164">
        <v>45569.0</v>
      </c>
      <c r="P5190" s="164">
        <f t="array" ref="P5190">XLOOKUP('FACP$'!$B5190,'perfil de pagos'!$A$4:$A$46,'perfil de pagos'!$B$4:$B$46+'FACP$'!$D5190)</f>
        <v>45571</v>
      </c>
      <c r="Q5190" s="165">
        <f t="shared" si="128"/>
        <v>0</v>
      </c>
      <c r="R5190" s="167"/>
      <c r="S5190" s="167">
        <v>3302.0</v>
      </c>
      <c r="T5190" s="168">
        <f t="shared" si="3"/>
        <v>442644.4812</v>
      </c>
      <c r="U5190" s="168">
        <f t="shared" si="4"/>
        <v>0</v>
      </c>
      <c r="V5190" s="168">
        <f t="shared" si="5"/>
        <v>0</v>
      </c>
      <c r="W5190" s="168">
        <f t="shared" si="6"/>
        <v>0</v>
      </c>
      <c r="X5190" s="168">
        <f t="shared" si="7"/>
        <v>0</v>
      </c>
      <c r="Y5190" s="168">
        <f t="shared" si="8"/>
        <v>0</v>
      </c>
      <c r="Z5190" s="168">
        <f t="shared" si="9"/>
        <v>0</v>
      </c>
    </row>
    <row r="5191" ht="15.0" customHeight="1">
      <c r="A5191" s="157" t="s">
        <v>6579</v>
      </c>
      <c r="B5191" s="158" t="s">
        <v>40</v>
      </c>
      <c r="C5191" s="158" t="s">
        <v>6553</v>
      </c>
      <c r="D5191" s="159">
        <v>45541.0</v>
      </c>
      <c r="E5191" s="157" t="s">
        <v>731</v>
      </c>
      <c r="F5191" s="160">
        <v>342610.06</v>
      </c>
      <c r="G5191" s="160">
        <f>'FACP$'!$F5191*0.16</f>
        <v>54817.6096</v>
      </c>
      <c r="H5191" s="160">
        <f t="shared" si="124"/>
        <v>397427.6696</v>
      </c>
      <c r="I5191" s="160"/>
      <c r="J5191" s="161"/>
      <c r="K5191" s="160"/>
      <c r="L5191" s="160">
        <f>+'FACP$'!$H5191-'FACP$'!$I5191-'FACP$'!$K5191</f>
        <v>397427.6696</v>
      </c>
      <c r="M5191" s="162" t="s">
        <v>490</v>
      </c>
      <c r="N5191" s="162" t="s">
        <v>554</v>
      </c>
      <c r="O5191" s="164">
        <v>45586.0</v>
      </c>
      <c r="P5191" s="164">
        <f t="array" ref="P5191">XLOOKUP('FACP$'!$B5191,'perfil de pagos'!$A$4:$A$46,'perfil de pagos'!$B$4:$B$46+'FACP$'!$D5191)</f>
        <v>45571</v>
      </c>
      <c r="Q5191" s="165">
        <f t="shared" si="128"/>
        <v>0</v>
      </c>
      <c r="R5191" s="167"/>
      <c r="S5191" s="167">
        <v>3342.0</v>
      </c>
      <c r="T5191" s="168">
        <f t="shared" si="3"/>
        <v>397427.6696</v>
      </c>
      <c r="U5191" s="168">
        <f t="shared" si="4"/>
        <v>0</v>
      </c>
      <c r="V5191" s="168">
        <f t="shared" si="5"/>
        <v>0</v>
      </c>
      <c r="W5191" s="168">
        <f t="shared" si="6"/>
        <v>0</v>
      </c>
      <c r="X5191" s="168">
        <f t="shared" si="7"/>
        <v>0</v>
      </c>
      <c r="Y5191" s="168">
        <f t="shared" si="8"/>
        <v>0</v>
      </c>
      <c r="Z5191" s="168">
        <f t="shared" si="9"/>
        <v>0</v>
      </c>
    </row>
    <row r="5192" ht="15.0" customHeight="1">
      <c r="A5192" s="157" t="s">
        <v>6580</v>
      </c>
      <c r="B5192" s="158" t="s">
        <v>27</v>
      </c>
      <c r="C5192" s="158" t="s">
        <v>6539</v>
      </c>
      <c r="D5192" s="159">
        <v>45544.0</v>
      </c>
      <c r="E5192" s="157" t="s">
        <v>731</v>
      </c>
      <c r="F5192" s="160">
        <v>17438.43</v>
      </c>
      <c r="G5192" s="160">
        <f>'FACP$'!$F5192*0.16</f>
        <v>2790.1488</v>
      </c>
      <c r="H5192" s="160">
        <f t="shared" si="124"/>
        <v>20228.5788</v>
      </c>
      <c r="I5192" s="160"/>
      <c r="J5192" s="161"/>
      <c r="K5192" s="160"/>
      <c r="L5192" s="160">
        <f>+'FACP$'!$H5192-'FACP$'!$I5192-'FACP$'!$K5192</f>
        <v>20228.5788</v>
      </c>
      <c r="M5192" s="162" t="s">
        <v>158</v>
      </c>
      <c r="N5192" s="162" t="s">
        <v>554</v>
      </c>
      <c r="O5192" s="164">
        <v>45602.0</v>
      </c>
      <c r="P5192" s="164">
        <f t="array" ref="P5192">XLOOKUP('FACP$'!$B5192,'perfil de pagos'!$A$4:$A$46,'perfil de pagos'!$B$4:$B$46+'FACP$'!$D5192)</f>
        <v>45574</v>
      </c>
      <c r="Q5192" s="165">
        <f t="shared" si="128"/>
        <v>0</v>
      </c>
      <c r="R5192" s="167"/>
      <c r="S5192" s="167">
        <v>3379.0</v>
      </c>
      <c r="T5192" s="168">
        <f t="shared" si="3"/>
        <v>20228.5788</v>
      </c>
      <c r="U5192" s="168">
        <f t="shared" si="4"/>
        <v>0</v>
      </c>
      <c r="V5192" s="168">
        <f t="shared" si="5"/>
        <v>0</v>
      </c>
      <c r="W5192" s="168">
        <f t="shared" si="6"/>
        <v>0</v>
      </c>
      <c r="X5192" s="168">
        <f t="shared" si="7"/>
        <v>0</v>
      </c>
      <c r="Y5192" s="168">
        <f t="shared" si="8"/>
        <v>0</v>
      </c>
      <c r="Z5192" s="168">
        <f t="shared" si="9"/>
        <v>0</v>
      </c>
    </row>
    <row r="5193" ht="15.0" customHeight="1">
      <c r="A5193" s="157" t="s">
        <v>6581</v>
      </c>
      <c r="B5193" s="158" t="s">
        <v>27</v>
      </c>
      <c r="C5193" s="158" t="s">
        <v>6541</v>
      </c>
      <c r="D5193" s="159">
        <v>45544.0</v>
      </c>
      <c r="E5193" s="157" t="s">
        <v>731</v>
      </c>
      <c r="F5193" s="160">
        <v>17783.13</v>
      </c>
      <c r="G5193" s="160">
        <f>'FACP$'!$F5193*0.16</f>
        <v>2845.3008</v>
      </c>
      <c r="H5193" s="160">
        <f t="shared" si="124"/>
        <v>20628.4308</v>
      </c>
      <c r="I5193" s="160"/>
      <c r="J5193" s="161"/>
      <c r="K5193" s="160"/>
      <c r="L5193" s="160">
        <f>+'FACP$'!$H5193-'FACP$'!$I5193-'FACP$'!$K5193</f>
        <v>20628.4308</v>
      </c>
      <c r="M5193" s="162" t="s">
        <v>158</v>
      </c>
      <c r="N5193" s="162" t="s">
        <v>554</v>
      </c>
      <c r="O5193" s="164">
        <v>45602.0</v>
      </c>
      <c r="P5193" s="164">
        <f t="array" ref="P5193">XLOOKUP('FACP$'!$B5193,'perfil de pagos'!$A$4:$A$46,'perfil de pagos'!$B$4:$B$46+'FACP$'!$D5193)</f>
        <v>45574</v>
      </c>
      <c r="Q5193" s="165">
        <f t="shared" si="128"/>
        <v>0</v>
      </c>
      <c r="R5193" s="167"/>
      <c r="S5193" s="167">
        <v>3379.0</v>
      </c>
      <c r="T5193" s="168">
        <f t="shared" si="3"/>
        <v>20628.4308</v>
      </c>
      <c r="U5193" s="168">
        <f t="shared" si="4"/>
        <v>0</v>
      </c>
      <c r="V5193" s="168">
        <f t="shared" si="5"/>
        <v>0</v>
      </c>
      <c r="W5193" s="168">
        <f t="shared" si="6"/>
        <v>0</v>
      </c>
      <c r="X5193" s="168">
        <f t="shared" si="7"/>
        <v>0</v>
      </c>
      <c r="Y5193" s="168">
        <f t="shared" si="8"/>
        <v>0</v>
      </c>
      <c r="Z5193" s="168">
        <f t="shared" si="9"/>
        <v>0</v>
      </c>
    </row>
    <row r="5194" ht="15.0" customHeight="1">
      <c r="A5194" s="157" t="s">
        <v>6582</v>
      </c>
      <c r="B5194" s="158" t="s">
        <v>27</v>
      </c>
      <c r="C5194" s="158" t="s">
        <v>6539</v>
      </c>
      <c r="D5194" s="159">
        <v>45544.0</v>
      </c>
      <c r="E5194" s="157" t="s">
        <v>731</v>
      </c>
      <c r="F5194" s="160">
        <v>27070.65</v>
      </c>
      <c r="G5194" s="160">
        <f>'FACP$'!$F5194*0.16</f>
        <v>4331.304</v>
      </c>
      <c r="H5194" s="160">
        <f t="shared" si="124"/>
        <v>31401.954</v>
      </c>
      <c r="I5194" s="160"/>
      <c r="J5194" s="161"/>
      <c r="K5194" s="160"/>
      <c r="L5194" s="298">
        <f>+'FACP$'!$H5194-'FACP$'!$I5194-'FACP$'!$K5194</f>
        <v>31401.954</v>
      </c>
      <c r="M5194" s="162" t="s">
        <v>151</v>
      </c>
      <c r="N5194" s="162" t="s">
        <v>554</v>
      </c>
      <c r="O5194" s="164">
        <v>45602.0</v>
      </c>
      <c r="P5194" s="164">
        <f t="array" ref="P5194">XLOOKUP('FACP$'!$B5194,'perfil de pagos'!$A$4:$A$46,'perfil de pagos'!$B$4:$B$46+'FACP$'!$D5194)</f>
        <v>45574</v>
      </c>
      <c r="Q5194" s="165">
        <f t="shared" si="128"/>
        <v>0</v>
      </c>
      <c r="R5194" s="167"/>
      <c r="S5194" s="167">
        <v>3380.0</v>
      </c>
      <c r="T5194" s="168">
        <f t="shared" si="3"/>
        <v>31401.954</v>
      </c>
      <c r="U5194" s="168">
        <f t="shared" si="4"/>
        <v>0</v>
      </c>
      <c r="V5194" s="168">
        <f t="shared" si="5"/>
        <v>0</v>
      </c>
      <c r="W5194" s="168">
        <f t="shared" si="6"/>
        <v>0</v>
      </c>
      <c r="X5194" s="168">
        <f t="shared" si="7"/>
        <v>0</v>
      </c>
      <c r="Y5194" s="168">
        <f t="shared" si="8"/>
        <v>0</v>
      </c>
      <c r="Z5194" s="168">
        <f t="shared" si="9"/>
        <v>0</v>
      </c>
    </row>
    <row r="5195" ht="15.0" customHeight="1">
      <c r="A5195" s="157" t="s">
        <v>6583</v>
      </c>
      <c r="B5195" s="158" t="s">
        <v>27</v>
      </c>
      <c r="C5195" s="158" t="s">
        <v>6541</v>
      </c>
      <c r="D5195" s="159">
        <v>45544.0</v>
      </c>
      <c r="E5195" s="157" t="s">
        <v>731</v>
      </c>
      <c r="F5195" s="160">
        <v>20674.99</v>
      </c>
      <c r="G5195" s="160">
        <f>'FACP$'!$F5195*0.16</f>
        <v>3307.9984</v>
      </c>
      <c r="H5195" s="160">
        <f t="shared" si="124"/>
        <v>23982.9884</v>
      </c>
      <c r="I5195" s="160"/>
      <c r="J5195" s="161"/>
      <c r="K5195" s="160"/>
      <c r="L5195" s="298">
        <f>+'FACP$'!$H5195-'FACP$'!$I5195-'FACP$'!$K5195</f>
        <v>23982.9884</v>
      </c>
      <c r="M5195" s="162" t="s">
        <v>151</v>
      </c>
      <c r="N5195" s="162" t="s">
        <v>554</v>
      </c>
      <c r="O5195" s="164">
        <v>45602.0</v>
      </c>
      <c r="P5195" s="164">
        <f t="array" ref="P5195">XLOOKUP('FACP$'!$B5195,'perfil de pagos'!$A$4:$A$46,'perfil de pagos'!$B$4:$B$46+'FACP$'!$D5195)</f>
        <v>45574</v>
      </c>
      <c r="Q5195" s="165">
        <f t="shared" si="128"/>
        <v>0</v>
      </c>
      <c r="R5195" s="167"/>
      <c r="S5195" s="167">
        <v>3380.0</v>
      </c>
      <c r="T5195" s="168">
        <f t="shared" si="3"/>
        <v>23982.9884</v>
      </c>
      <c r="U5195" s="168">
        <f t="shared" si="4"/>
        <v>0</v>
      </c>
      <c r="V5195" s="168">
        <f t="shared" si="5"/>
        <v>0</v>
      </c>
      <c r="W5195" s="168">
        <f t="shared" si="6"/>
        <v>0</v>
      </c>
      <c r="X5195" s="168">
        <f t="shared" si="7"/>
        <v>0</v>
      </c>
      <c r="Y5195" s="168">
        <f t="shared" si="8"/>
        <v>0</v>
      </c>
      <c r="Z5195" s="168">
        <f t="shared" si="9"/>
        <v>0</v>
      </c>
    </row>
    <row r="5196" ht="15.0" customHeight="1">
      <c r="A5196" s="157" t="s">
        <v>6584</v>
      </c>
      <c r="B5196" s="158" t="s">
        <v>27</v>
      </c>
      <c r="C5196" s="158" t="s">
        <v>6539</v>
      </c>
      <c r="D5196" s="159">
        <v>45544.0</v>
      </c>
      <c r="E5196" s="157" t="s">
        <v>731</v>
      </c>
      <c r="F5196" s="160">
        <v>760.21</v>
      </c>
      <c r="G5196" s="160">
        <f>'FACP$'!$F5196*0.16</f>
        <v>121.6336</v>
      </c>
      <c r="H5196" s="160">
        <f t="shared" si="124"/>
        <v>881.8436</v>
      </c>
      <c r="I5196" s="160"/>
      <c r="J5196" s="161"/>
      <c r="K5196" s="160"/>
      <c r="L5196" s="298">
        <f>+'FACP$'!$H5196-'FACP$'!$I5196-'FACP$'!$K5196</f>
        <v>881.8436</v>
      </c>
      <c r="M5196" s="162" t="s">
        <v>151</v>
      </c>
      <c r="N5196" s="162" t="s">
        <v>554</v>
      </c>
      <c r="O5196" s="164">
        <v>45602.0</v>
      </c>
      <c r="P5196" s="164">
        <f t="array" ref="P5196">XLOOKUP('FACP$'!$B5196,'perfil de pagos'!$A$4:$A$46,'perfil de pagos'!$B$4:$B$46+'FACP$'!$D5196)</f>
        <v>45574</v>
      </c>
      <c r="Q5196" s="165">
        <f t="shared" si="128"/>
        <v>0</v>
      </c>
      <c r="R5196" s="167"/>
      <c r="S5196" s="167">
        <v>3380.0</v>
      </c>
      <c r="T5196" s="168">
        <f t="shared" si="3"/>
        <v>881.8436</v>
      </c>
      <c r="U5196" s="168">
        <f t="shared" si="4"/>
        <v>0</v>
      </c>
      <c r="V5196" s="168">
        <f t="shared" si="5"/>
        <v>0</v>
      </c>
      <c r="W5196" s="168">
        <f t="shared" si="6"/>
        <v>0</v>
      </c>
      <c r="X5196" s="168">
        <f t="shared" si="7"/>
        <v>0</v>
      </c>
      <c r="Y5196" s="168">
        <f t="shared" si="8"/>
        <v>0</v>
      </c>
      <c r="Z5196" s="168">
        <f t="shared" si="9"/>
        <v>0</v>
      </c>
    </row>
    <row r="5197" ht="15.0" customHeight="1">
      <c r="A5197" s="157" t="s">
        <v>6585</v>
      </c>
      <c r="B5197" s="158" t="s">
        <v>27</v>
      </c>
      <c r="C5197" s="158" t="s">
        <v>6541</v>
      </c>
      <c r="D5197" s="159">
        <v>45544.0</v>
      </c>
      <c r="E5197" s="157" t="s">
        <v>731</v>
      </c>
      <c r="F5197" s="160">
        <v>1088.05</v>
      </c>
      <c r="G5197" s="160">
        <f>'FACP$'!$F5197*0.16</f>
        <v>174.088</v>
      </c>
      <c r="H5197" s="160">
        <f t="shared" si="124"/>
        <v>1262.138</v>
      </c>
      <c r="I5197" s="160"/>
      <c r="J5197" s="161"/>
      <c r="K5197" s="160"/>
      <c r="L5197" s="298">
        <f>+'FACP$'!$H5197-'FACP$'!$I5197-'FACP$'!$K5197</f>
        <v>1262.138</v>
      </c>
      <c r="M5197" s="162" t="s">
        <v>151</v>
      </c>
      <c r="N5197" s="162" t="s">
        <v>554</v>
      </c>
      <c r="O5197" s="164">
        <v>45602.0</v>
      </c>
      <c r="P5197" s="164">
        <f t="array" ref="P5197">XLOOKUP('FACP$'!$B5197,'perfil de pagos'!$A$4:$A$46,'perfil de pagos'!$B$4:$B$46+'FACP$'!$D5197)</f>
        <v>45574</v>
      </c>
      <c r="Q5197" s="165">
        <f t="shared" si="128"/>
        <v>0</v>
      </c>
      <c r="R5197" s="167"/>
      <c r="S5197" s="167">
        <v>3380.0</v>
      </c>
      <c r="T5197" s="168">
        <f t="shared" si="3"/>
        <v>1262.138</v>
      </c>
      <c r="U5197" s="168">
        <f t="shared" si="4"/>
        <v>0</v>
      </c>
      <c r="V5197" s="168">
        <f t="shared" si="5"/>
        <v>0</v>
      </c>
      <c r="W5197" s="168">
        <f t="shared" si="6"/>
        <v>0</v>
      </c>
      <c r="X5197" s="168">
        <f t="shared" si="7"/>
        <v>0</v>
      </c>
      <c r="Y5197" s="168">
        <f t="shared" si="8"/>
        <v>0</v>
      </c>
      <c r="Z5197" s="168">
        <f t="shared" si="9"/>
        <v>0</v>
      </c>
    </row>
    <row r="5198" ht="15.0" customHeight="1">
      <c r="A5198" s="194" t="s">
        <v>6586</v>
      </c>
      <c r="B5198" s="192" t="s">
        <v>51</v>
      </c>
      <c r="C5198" s="192" t="s">
        <v>6587</v>
      </c>
      <c r="D5198" s="193">
        <v>45548.0</v>
      </c>
      <c r="E5198" s="194" t="s">
        <v>731</v>
      </c>
      <c r="F5198" s="195">
        <v>987707.59</v>
      </c>
      <c r="G5198" s="195">
        <f>'FACP$'!$F5198*0.16</f>
        <v>158033.2144</v>
      </c>
      <c r="H5198" s="195">
        <f t="shared" si="124"/>
        <v>1145740.804</v>
      </c>
      <c r="I5198" s="195"/>
      <c r="J5198" s="196"/>
      <c r="K5198" s="195"/>
      <c r="L5198" s="195">
        <f>+'FACP$'!$H5198-'FACP$'!$I5198-'FACP$'!$K5198</f>
        <v>1145740.804</v>
      </c>
      <c r="M5198" s="318" t="s">
        <v>6588</v>
      </c>
      <c r="N5198" s="318" t="s">
        <v>127</v>
      </c>
      <c r="O5198" s="319"/>
      <c r="P5198" s="319">
        <f t="array" ref="P5198">XLOOKUP('FACP$'!$B5198,'perfil de pagos'!$A$4:$A$46,'perfil de pagos'!$B$4:$B$46+'FACP$'!$D5198)</f>
        <v>45578</v>
      </c>
      <c r="Q5198" s="320">
        <f t="shared" si="128"/>
        <v>0</v>
      </c>
      <c r="R5198" s="321"/>
      <c r="S5198" s="321"/>
      <c r="T5198" s="322">
        <f t="shared" si="3"/>
        <v>1145740.804</v>
      </c>
      <c r="U5198" s="322">
        <f t="shared" si="4"/>
        <v>0</v>
      </c>
      <c r="V5198" s="322">
        <f t="shared" si="5"/>
        <v>0</v>
      </c>
      <c r="W5198" s="322">
        <f t="shared" si="6"/>
        <v>0</v>
      </c>
      <c r="X5198" s="322">
        <f t="shared" si="7"/>
        <v>0</v>
      </c>
      <c r="Y5198" s="322">
        <f t="shared" si="8"/>
        <v>0</v>
      </c>
      <c r="Z5198" s="322">
        <f t="shared" si="9"/>
        <v>0</v>
      </c>
    </row>
    <row r="5199" ht="15.0" customHeight="1">
      <c r="A5199" s="157" t="s">
        <v>6589</v>
      </c>
      <c r="B5199" s="158" t="s">
        <v>49</v>
      </c>
      <c r="C5199" s="158" t="s">
        <v>6590</v>
      </c>
      <c r="D5199" s="159">
        <v>45553.0</v>
      </c>
      <c r="E5199" s="157" t="s">
        <v>731</v>
      </c>
      <c r="F5199" s="160">
        <v>125202.58</v>
      </c>
      <c r="G5199" s="160">
        <f>'FACP$'!$F5199*0.16</f>
        <v>20032.4128</v>
      </c>
      <c r="H5199" s="160">
        <f t="shared" si="124"/>
        <v>145234.9928</v>
      </c>
      <c r="I5199" s="160"/>
      <c r="J5199" s="161"/>
      <c r="K5199" s="160"/>
      <c r="L5199" s="160">
        <f>+'FACP$'!$H5199-'FACP$'!$I5199-'FACP$'!$K5199</f>
        <v>145234.9928</v>
      </c>
      <c r="M5199" s="162" t="s">
        <v>2263</v>
      </c>
      <c r="N5199" s="162" t="s">
        <v>554</v>
      </c>
      <c r="O5199" s="164">
        <v>45615.0</v>
      </c>
      <c r="P5199" s="164">
        <f t="array" ref="P5199">XLOOKUP('FACP$'!$B5199,'perfil de pagos'!$A$4:$A$46,'perfil de pagos'!$B$4:$B$46+'FACP$'!$D5199)</f>
        <v>45563</v>
      </c>
      <c r="Q5199" s="165">
        <f t="shared" si="128"/>
        <v>0</v>
      </c>
      <c r="R5199" s="167"/>
      <c r="S5199" s="167">
        <v>3402.0</v>
      </c>
      <c r="T5199" s="168">
        <f t="shared" si="3"/>
        <v>145234.9928</v>
      </c>
      <c r="U5199" s="168">
        <f t="shared" si="4"/>
        <v>0</v>
      </c>
      <c r="V5199" s="168">
        <f t="shared" si="5"/>
        <v>0</v>
      </c>
      <c r="W5199" s="168">
        <f t="shared" si="6"/>
        <v>0</v>
      </c>
      <c r="X5199" s="168">
        <f t="shared" si="7"/>
        <v>0</v>
      </c>
      <c r="Y5199" s="168">
        <f t="shared" si="8"/>
        <v>0</v>
      </c>
      <c r="Z5199" s="168">
        <f t="shared" si="9"/>
        <v>0</v>
      </c>
    </row>
    <row r="5200" ht="15.0" customHeight="1">
      <c r="A5200" s="157" t="s">
        <v>6591</v>
      </c>
      <c r="B5200" s="158" t="s">
        <v>49</v>
      </c>
      <c r="C5200" s="158" t="s">
        <v>6592</v>
      </c>
      <c r="D5200" s="159">
        <v>45553.0</v>
      </c>
      <c r="E5200" s="157" t="s">
        <v>731</v>
      </c>
      <c r="F5200" s="160">
        <v>49659.08</v>
      </c>
      <c r="G5200" s="160">
        <f>'FACP$'!$F5200*0.16</f>
        <v>7945.4528</v>
      </c>
      <c r="H5200" s="160">
        <f t="shared" si="124"/>
        <v>57604.5328</v>
      </c>
      <c r="I5200" s="160"/>
      <c r="J5200" s="161"/>
      <c r="K5200" s="160"/>
      <c r="L5200" s="160">
        <f>+'FACP$'!$H5200-'FACP$'!$I5200-'FACP$'!$K5200</f>
        <v>57604.5328</v>
      </c>
      <c r="M5200" s="162" t="s">
        <v>2263</v>
      </c>
      <c r="N5200" s="162" t="s">
        <v>554</v>
      </c>
      <c r="O5200" s="164">
        <v>45625.0</v>
      </c>
      <c r="P5200" s="164">
        <f t="array" ref="P5200">XLOOKUP('FACP$'!$B5200,'perfil de pagos'!$A$4:$A$46,'perfil de pagos'!$B$4:$B$46+'FACP$'!$D5200)</f>
        <v>45563</v>
      </c>
      <c r="Q5200" s="165">
        <f t="shared" si="128"/>
        <v>0</v>
      </c>
      <c r="R5200" s="167"/>
      <c r="S5200" s="167">
        <v>3442.0</v>
      </c>
      <c r="T5200" s="168">
        <f t="shared" si="3"/>
        <v>57604.5328</v>
      </c>
      <c r="U5200" s="168">
        <f t="shared" si="4"/>
        <v>0</v>
      </c>
      <c r="V5200" s="168">
        <f t="shared" si="5"/>
        <v>0</v>
      </c>
      <c r="W5200" s="168">
        <f t="shared" si="6"/>
        <v>0</v>
      </c>
      <c r="X5200" s="168">
        <f t="shared" si="7"/>
        <v>0</v>
      </c>
      <c r="Y5200" s="168">
        <f t="shared" si="8"/>
        <v>0</v>
      </c>
      <c r="Z5200" s="168">
        <f t="shared" si="9"/>
        <v>0</v>
      </c>
    </row>
    <row r="5201" ht="15.0" customHeight="1">
      <c r="A5201" s="157" t="s">
        <v>6593</v>
      </c>
      <c r="B5201" s="158" t="s">
        <v>41</v>
      </c>
      <c r="C5201" s="158" t="s">
        <v>6590</v>
      </c>
      <c r="D5201" s="159">
        <v>45553.0</v>
      </c>
      <c r="E5201" s="157" t="s">
        <v>731</v>
      </c>
      <c r="F5201" s="160">
        <v>532283.22</v>
      </c>
      <c r="G5201" s="160">
        <f>'FACP$'!$F5201*0.16</f>
        <v>85165.3152</v>
      </c>
      <c r="H5201" s="160">
        <f t="shared" si="124"/>
        <v>617448.5352</v>
      </c>
      <c r="I5201" s="160"/>
      <c r="J5201" s="161"/>
      <c r="K5201" s="160"/>
      <c r="L5201" s="160">
        <f>+'FACP$'!$H5201-'FACP$'!$I5201-'FACP$'!$K5201</f>
        <v>617448.5352</v>
      </c>
      <c r="M5201" s="162" t="s">
        <v>121</v>
      </c>
      <c r="N5201" s="162" t="s">
        <v>554</v>
      </c>
      <c r="O5201" s="164">
        <v>45595.0</v>
      </c>
      <c r="P5201" s="164">
        <f t="array" ref="P5201">XLOOKUP('FACP$'!$B5201,'perfil de pagos'!$A$4:$A$46,'perfil de pagos'!$B$4:$B$46+'FACP$'!$D5201)</f>
        <v>45563</v>
      </c>
      <c r="Q5201" s="165">
        <f t="shared" si="128"/>
        <v>0</v>
      </c>
      <c r="R5201" s="167"/>
      <c r="S5201" s="167">
        <v>3365.0</v>
      </c>
      <c r="T5201" s="168">
        <f t="shared" si="3"/>
        <v>617448.5352</v>
      </c>
      <c r="U5201" s="168">
        <f t="shared" si="4"/>
        <v>0</v>
      </c>
      <c r="V5201" s="168">
        <f t="shared" si="5"/>
        <v>0</v>
      </c>
      <c r="W5201" s="168">
        <f t="shared" si="6"/>
        <v>0</v>
      </c>
      <c r="X5201" s="168">
        <f t="shared" si="7"/>
        <v>0</v>
      </c>
      <c r="Y5201" s="168">
        <f t="shared" si="8"/>
        <v>0</v>
      </c>
      <c r="Z5201" s="168">
        <f t="shared" si="9"/>
        <v>0</v>
      </c>
    </row>
    <row r="5202" ht="15.0" customHeight="1">
      <c r="A5202" s="157" t="s">
        <v>6594</v>
      </c>
      <c r="B5202" s="158" t="s">
        <v>35</v>
      </c>
      <c r="C5202" s="158" t="s">
        <v>6590</v>
      </c>
      <c r="D5202" s="159">
        <v>45553.0</v>
      </c>
      <c r="E5202" s="157" t="s">
        <v>731</v>
      </c>
      <c r="F5202" s="160">
        <v>29371.42</v>
      </c>
      <c r="G5202" s="160">
        <f>'FACP$'!$F5202*0.16</f>
        <v>4699.4272</v>
      </c>
      <c r="H5202" s="160">
        <f t="shared" si="124"/>
        <v>34070.8472</v>
      </c>
      <c r="I5202" s="160"/>
      <c r="J5202" s="161"/>
      <c r="K5202" s="160"/>
      <c r="L5202" s="160">
        <f>+'FACP$'!$H5202-'FACP$'!$I5202-'FACP$'!$K5202</f>
        <v>34070.8472</v>
      </c>
      <c r="M5202" s="162" t="s">
        <v>276</v>
      </c>
      <c r="N5202" s="162" t="s">
        <v>554</v>
      </c>
      <c r="O5202" s="164">
        <v>45594.0</v>
      </c>
      <c r="P5202" s="164">
        <f t="array" ref="P5202">XLOOKUP('FACP$'!$B5202,'perfil de pagos'!$A$4:$A$46,'perfil de pagos'!$B$4:$B$46+'FACP$'!$D5202)</f>
        <v>45563</v>
      </c>
      <c r="Q5202" s="165">
        <f t="shared" si="128"/>
        <v>0</v>
      </c>
      <c r="R5202" s="167"/>
      <c r="S5202" s="167">
        <v>3354.0</v>
      </c>
      <c r="T5202" s="168">
        <f t="shared" si="3"/>
        <v>34070.8472</v>
      </c>
      <c r="U5202" s="168">
        <f t="shared" si="4"/>
        <v>0</v>
      </c>
      <c r="V5202" s="168">
        <f t="shared" si="5"/>
        <v>0</v>
      </c>
      <c r="W5202" s="168">
        <f t="shared" si="6"/>
        <v>0</v>
      </c>
      <c r="X5202" s="168">
        <f t="shared" si="7"/>
        <v>0</v>
      </c>
      <c r="Y5202" s="168">
        <f t="shared" si="8"/>
        <v>0</v>
      </c>
      <c r="Z5202" s="168">
        <f t="shared" si="9"/>
        <v>0</v>
      </c>
    </row>
    <row r="5203" ht="15.0" customHeight="1">
      <c r="A5203" s="157" t="s">
        <v>6595</v>
      </c>
      <c r="B5203" s="158" t="s">
        <v>42</v>
      </c>
      <c r="C5203" s="158" t="s">
        <v>6590</v>
      </c>
      <c r="D5203" s="159">
        <v>45553.0</v>
      </c>
      <c r="E5203" s="157" t="s">
        <v>731</v>
      </c>
      <c r="F5203" s="160">
        <v>35433.25</v>
      </c>
      <c r="G5203" s="160">
        <f>'FACP$'!$F5203*0.16</f>
        <v>5669.32</v>
      </c>
      <c r="H5203" s="160">
        <f t="shared" si="124"/>
        <v>41102.57</v>
      </c>
      <c r="I5203" s="160"/>
      <c r="J5203" s="161"/>
      <c r="K5203" s="160"/>
      <c r="L5203" s="160">
        <f>+'FACP$'!$H5203-'FACP$'!$I5203-'FACP$'!$K5203</f>
        <v>41102.57</v>
      </c>
      <c r="M5203" s="162" t="s">
        <v>42</v>
      </c>
      <c r="N5203" s="162" t="s">
        <v>554</v>
      </c>
      <c r="O5203" s="164">
        <v>45568.0</v>
      </c>
      <c r="P5203" s="164">
        <f t="array" ref="P5203">XLOOKUP('FACP$'!$B5203,'perfil de pagos'!$A$4:$A$46,'perfil de pagos'!$B$4:$B$46+'FACP$'!$D5203)</f>
        <v>45563</v>
      </c>
      <c r="Q5203" s="165">
        <f t="shared" si="128"/>
        <v>0</v>
      </c>
      <c r="R5203" s="167"/>
      <c r="S5203" s="167">
        <v>3301.0</v>
      </c>
      <c r="T5203" s="168">
        <f t="shared" si="3"/>
        <v>41102.57</v>
      </c>
      <c r="U5203" s="168">
        <f t="shared" si="4"/>
        <v>0</v>
      </c>
      <c r="V5203" s="168">
        <f t="shared" si="5"/>
        <v>0</v>
      </c>
      <c r="W5203" s="168">
        <f t="shared" si="6"/>
        <v>0</v>
      </c>
      <c r="X5203" s="168">
        <f t="shared" si="7"/>
        <v>0</v>
      </c>
      <c r="Y5203" s="168">
        <f t="shared" si="8"/>
        <v>0</v>
      </c>
      <c r="Z5203" s="168">
        <f t="shared" si="9"/>
        <v>0</v>
      </c>
    </row>
    <row r="5204" ht="15.0" customHeight="1">
      <c r="A5204" s="157" t="s">
        <v>6596</v>
      </c>
      <c r="B5204" s="158" t="s">
        <v>43</v>
      </c>
      <c r="C5204" s="158" t="s">
        <v>6590</v>
      </c>
      <c r="D5204" s="159">
        <v>45553.0</v>
      </c>
      <c r="E5204" s="157" t="s">
        <v>731</v>
      </c>
      <c r="F5204" s="160">
        <v>218498.23</v>
      </c>
      <c r="G5204" s="160">
        <f>'FACP$'!$F5204*0.16</f>
        <v>34959.7168</v>
      </c>
      <c r="H5204" s="160">
        <f t="shared" si="124"/>
        <v>253457.9468</v>
      </c>
      <c r="I5204" s="160"/>
      <c r="J5204" s="161"/>
      <c r="K5204" s="160"/>
      <c r="L5204" s="160">
        <f>+'FACP$'!$H5204-'FACP$'!$I5204-'FACP$'!$K5204</f>
        <v>253457.9468</v>
      </c>
      <c r="M5204" s="162" t="s">
        <v>43</v>
      </c>
      <c r="N5204" s="162" t="s">
        <v>554</v>
      </c>
      <c r="O5204" s="164">
        <v>45625.0</v>
      </c>
      <c r="P5204" s="164">
        <f t="array" ref="P5204">XLOOKUP('FACP$'!$B5204,'perfil de pagos'!$A$4:$A$46,'perfil de pagos'!$B$4:$B$46+'FACP$'!$D5204)</f>
        <v>45578</v>
      </c>
      <c r="Q5204" s="165">
        <f t="shared" si="128"/>
        <v>0</v>
      </c>
      <c r="R5204" s="167"/>
      <c r="S5204" s="167">
        <v>3431.0</v>
      </c>
      <c r="T5204" s="168">
        <f t="shared" si="3"/>
        <v>253457.9468</v>
      </c>
      <c r="U5204" s="168">
        <f t="shared" si="4"/>
        <v>0</v>
      </c>
      <c r="V5204" s="168">
        <f t="shared" si="5"/>
        <v>0</v>
      </c>
      <c r="W5204" s="168">
        <f t="shared" si="6"/>
        <v>0</v>
      </c>
      <c r="X5204" s="168">
        <f t="shared" si="7"/>
        <v>0</v>
      </c>
      <c r="Y5204" s="168">
        <f t="shared" si="8"/>
        <v>0</v>
      </c>
      <c r="Z5204" s="168">
        <f t="shared" si="9"/>
        <v>0</v>
      </c>
    </row>
    <row r="5205" ht="15.0" customHeight="1">
      <c r="A5205" s="157" t="s">
        <v>6597</v>
      </c>
      <c r="B5205" s="158" t="s">
        <v>43</v>
      </c>
      <c r="C5205" s="158" t="s">
        <v>6592</v>
      </c>
      <c r="D5205" s="159">
        <v>45553.0</v>
      </c>
      <c r="E5205" s="157" t="s">
        <v>731</v>
      </c>
      <c r="F5205" s="160">
        <v>240692.52</v>
      </c>
      <c r="G5205" s="160">
        <f>'FACP$'!$F5205*0.16</f>
        <v>38510.8032</v>
      </c>
      <c r="H5205" s="160">
        <f t="shared" si="124"/>
        <v>279203.3232</v>
      </c>
      <c r="I5205" s="160"/>
      <c r="J5205" s="161"/>
      <c r="K5205" s="160"/>
      <c r="L5205" s="160">
        <f>+'FACP$'!$H5205-'FACP$'!$I5205-'FACP$'!$K5205</f>
        <v>279203.3232</v>
      </c>
      <c r="M5205" s="162" t="s">
        <v>43</v>
      </c>
      <c r="N5205" s="162" t="s">
        <v>554</v>
      </c>
      <c r="O5205" s="164">
        <v>45625.0</v>
      </c>
      <c r="P5205" s="164">
        <f t="array" ref="P5205">XLOOKUP('FACP$'!$B5205,'perfil de pagos'!$A$4:$A$46,'perfil de pagos'!$B$4:$B$46+'FACP$'!$D5205)</f>
        <v>45578</v>
      </c>
      <c r="Q5205" s="165">
        <f t="shared" si="128"/>
        <v>0</v>
      </c>
      <c r="R5205" s="167"/>
      <c r="S5205" s="167">
        <v>3432.0</v>
      </c>
      <c r="T5205" s="168">
        <f t="shared" si="3"/>
        <v>279203.3232</v>
      </c>
      <c r="U5205" s="168">
        <f t="shared" si="4"/>
        <v>0</v>
      </c>
      <c r="V5205" s="168">
        <f t="shared" si="5"/>
        <v>0</v>
      </c>
      <c r="W5205" s="168">
        <f t="shared" si="6"/>
        <v>0</v>
      </c>
      <c r="X5205" s="168">
        <f t="shared" si="7"/>
        <v>0</v>
      </c>
      <c r="Y5205" s="168">
        <f t="shared" si="8"/>
        <v>0</v>
      </c>
      <c r="Z5205" s="168">
        <f t="shared" si="9"/>
        <v>0</v>
      </c>
    </row>
    <row r="5206" ht="15.0" customHeight="1">
      <c r="A5206" s="157" t="s">
        <v>6598</v>
      </c>
      <c r="B5206" s="158" t="s">
        <v>44</v>
      </c>
      <c r="C5206" s="158" t="s">
        <v>6590</v>
      </c>
      <c r="D5206" s="159">
        <v>45553.0</v>
      </c>
      <c r="E5206" s="157" t="s">
        <v>731</v>
      </c>
      <c r="F5206" s="160">
        <v>17407.7</v>
      </c>
      <c r="G5206" s="160">
        <f>'FACP$'!$F5206*0.16</f>
        <v>2785.232</v>
      </c>
      <c r="H5206" s="160">
        <f t="shared" si="124"/>
        <v>20192.932</v>
      </c>
      <c r="I5206" s="160"/>
      <c r="J5206" s="161"/>
      <c r="K5206" s="160"/>
      <c r="L5206" s="160">
        <f>+'FACP$'!$H5206-'FACP$'!$I5206-'FACP$'!$K5206</f>
        <v>20192.932</v>
      </c>
      <c r="M5206" s="162" t="s">
        <v>361</v>
      </c>
      <c r="N5206" s="162" t="s">
        <v>554</v>
      </c>
      <c r="O5206" s="164">
        <v>45562.0</v>
      </c>
      <c r="P5206" s="164">
        <f t="array" ref="P5206">XLOOKUP('FACP$'!$B5206,'perfil de pagos'!$A$4:$A$46,'perfil de pagos'!$B$4:$B$46+'FACP$'!$D5206)</f>
        <v>45563</v>
      </c>
      <c r="Q5206" s="165">
        <f t="shared" si="128"/>
        <v>0</v>
      </c>
      <c r="R5206" s="167"/>
      <c r="S5206" s="167">
        <v>3293.0</v>
      </c>
      <c r="T5206" s="168">
        <f t="shared" si="3"/>
        <v>20192.932</v>
      </c>
      <c r="U5206" s="168">
        <f t="shared" si="4"/>
        <v>0</v>
      </c>
      <c r="V5206" s="168">
        <f t="shared" si="5"/>
        <v>0</v>
      </c>
      <c r="W5206" s="168">
        <f t="shared" si="6"/>
        <v>0</v>
      </c>
      <c r="X5206" s="168">
        <f t="shared" si="7"/>
        <v>0</v>
      </c>
      <c r="Y5206" s="168">
        <f t="shared" si="8"/>
        <v>0</v>
      </c>
      <c r="Z5206" s="168">
        <f t="shared" si="9"/>
        <v>0</v>
      </c>
    </row>
    <row r="5207" ht="15.0" customHeight="1">
      <c r="A5207" s="157" t="s">
        <v>6599</v>
      </c>
      <c r="B5207" s="158" t="s">
        <v>38</v>
      </c>
      <c r="C5207" s="158" t="s">
        <v>6590</v>
      </c>
      <c r="D5207" s="159">
        <v>45553.0</v>
      </c>
      <c r="E5207" s="157" t="s">
        <v>731</v>
      </c>
      <c r="F5207" s="160">
        <v>83942.07</v>
      </c>
      <c r="G5207" s="160">
        <f>'FACP$'!$F5207*0.16</f>
        <v>13430.7312</v>
      </c>
      <c r="H5207" s="160">
        <f t="shared" si="124"/>
        <v>97372.8012</v>
      </c>
      <c r="I5207" s="160"/>
      <c r="J5207" s="161"/>
      <c r="K5207" s="160"/>
      <c r="L5207" s="160">
        <f>+'FACP$'!$H5207-'FACP$'!$I5207-'FACP$'!$K5207</f>
        <v>97372.8012</v>
      </c>
      <c r="M5207" s="162" t="s">
        <v>4654</v>
      </c>
      <c r="N5207" s="162" t="s">
        <v>554</v>
      </c>
      <c r="O5207" s="164">
        <v>45595.0</v>
      </c>
      <c r="P5207" s="164">
        <f t="array" ref="P5207">XLOOKUP('FACP$'!$B5207,'perfil de pagos'!$A$4:$A$46,'perfil de pagos'!$B$4:$B$46+'FACP$'!$D5207)</f>
        <v>45583</v>
      </c>
      <c r="Q5207" s="165">
        <f t="shared" si="128"/>
        <v>0</v>
      </c>
      <c r="R5207" s="167"/>
      <c r="S5207" s="167">
        <v>3363.0</v>
      </c>
      <c r="T5207" s="168">
        <f t="shared" si="3"/>
        <v>97372.8012</v>
      </c>
      <c r="U5207" s="168">
        <f t="shared" si="4"/>
        <v>0</v>
      </c>
      <c r="V5207" s="168">
        <f t="shared" si="5"/>
        <v>0</v>
      </c>
      <c r="W5207" s="168">
        <f t="shared" si="6"/>
        <v>0</v>
      </c>
      <c r="X5207" s="168">
        <f t="shared" si="7"/>
        <v>0</v>
      </c>
      <c r="Y5207" s="168">
        <f t="shared" si="8"/>
        <v>0</v>
      </c>
      <c r="Z5207" s="168">
        <f t="shared" si="9"/>
        <v>0</v>
      </c>
    </row>
    <row r="5208" ht="15.0" customHeight="1">
      <c r="A5208" s="157" t="s">
        <v>6600</v>
      </c>
      <c r="B5208" s="158" t="s">
        <v>36</v>
      </c>
      <c r="C5208" s="158" t="s">
        <v>6590</v>
      </c>
      <c r="D5208" s="159">
        <v>45553.0</v>
      </c>
      <c r="E5208" s="157" t="s">
        <v>731</v>
      </c>
      <c r="F5208" s="160">
        <v>45895.83</v>
      </c>
      <c r="G5208" s="160">
        <f>'FACP$'!$F5208*0.16</f>
        <v>7343.3328</v>
      </c>
      <c r="H5208" s="160">
        <f t="shared" si="124"/>
        <v>53239.1628</v>
      </c>
      <c r="I5208" s="160"/>
      <c r="J5208" s="161"/>
      <c r="K5208" s="160"/>
      <c r="L5208" s="160">
        <f>+'FACP$'!$H5208-'FACP$'!$I5208-'FACP$'!$K5208</f>
        <v>53239.1628</v>
      </c>
      <c r="M5208" s="162" t="s">
        <v>526</v>
      </c>
      <c r="N5208" s="162" t="s">
        <v>554</v>
      </c>
      <c r="O5208" s="164">
        <v>45565.0</v>
      </c>
      <c r="P5208" s="164">
        <f t="array" ref="P5208">XLOOKUP('FACP$'!$B5208,'perfil de pagos'!$A$4:$A$46,'perfil de pagos'!$B$4:$B$46+'FACP$'!$D5208)</f>
        <v>45563</v>
      </c>
      <c r="Q5208" s="165">
        <f t="shared" si="128"/>
        <v>0</v>
      </c>
      <c r="R5208" s="167"/>
      <c r="S5208" s="167"/>
      <c r="T5208" s="168">
        <f t="shared" si="3"/>
        <v>53239.1628</v>
      </c>
      <c r="U5208" s="168">
        <f t="shared" si="4"/>
        <v>0</v>
      </c>
      <c r="V5208" s="168">
        <f t="shared" si="5"/>
        <v>0</v>
      </c>
      <c r="W5208" s="168">
        <f t="shared" si="6"/>
        <v>0</v>
      </c>
      <c r="X5208" s="168">
        <f t="shared" si="7"/>
        <v>0</v>
      </c>
      <c r="Y5208" s="168">
        <f t="shared" si="8"/>
        <v>0</v>
      </c>
      <c r="Z5208" s="168">
        <f t="shared" si="9"/>
        <v>0</v>
      </c>
    </row>
    <row r="5209" ht="15.0" customHeight="1">
      <c r="A5209" s="157" t="s">
        <v>6601</v>
      </c>
      <c r="B5209" s="158" t="s">
        <v>36</v>
      </c>
      <c r="C5209" s="158" t="s">
        <v>6592</v>
      </c>
      <c r="D5209" s="159">
        <v>45553.0</v>
      </c>
      <c r="E5209" s="157" t="s">
        <v>731</v>
      </c>
      <c r="F5209" s="160">
        <v>42003.25</v>
      </c>
      <c r="G5209" s="160">
        <f>'FACP$'!$F5209*0.16</f>
        <v>6720.52</v>
      </c>
      <c r="H5209" s="160">
        <f t="shared" si="124"/>
        <v>48723.77</v>
      </c>
      <c r="I5209" s="160"/>
      <c r="J5209" s="161"/>
      <c r="K5209" s="160"/>
      <c r="L5209" s="160">
        <f>+'FACP$'!$H5209-'FACP$'!$I5209-'FACP$'!$K5209</f>
        <v>48723.77</v>
      </c>
      <c r="M5209" s="162" t="s">
        <v>526</v>
      </c>
      <c r="N5209" s="162" t="s">
        <v>554</v>
      </c>
      <c r="O5209" s="164">
        <v>45565.0</v>
      </c>
      <c r="P5209" s="164">
        <f t="array" ref="P5209">XLOOKUP('FACP$'!$B5209,'perfil de pagos'!$A$4:$A$46,'perfil de pagos'!$B$4:$B$46+'FACP$'!$D5209)</f>
        <v>45563</v>
      </c>
      <c r="Q5209" s="165">
        <f t="shared" si="128"/>
        <v>0</v>
      </c>
      <c r="R5209" s="167"/>
      <c r="S5209" s="167"/>
      <c r="T5209" s="168">
        <f t="shared" si="3"/>
        <v>48723.77</v>
      </c>
      <c r="U5209" s="168">
        <f t="shared" si="4"/>
        <v>0</v>
      </c>
      <c r="V5209" s="168">
        <f t="shared" si="5"/>
        <v>0</v>
      </c>
      <c r="W5209" s="168">
        <f t="shared" si="6"/>
        <v>0</v>
      </c>
      <c r="X5209" s="168">
        <f t="shared" si="7"/>
        <v>0</v>
      </c>
      <c r="Y5209" s="168">
        <f t="shared" si="8"/>
        <v>0</v>
      </c>
      <c r="Z5209" s="168">
        <f t="shared" si="9"/>
        <v>0</v>
      </c>
    </row>
    <row r="5210" ht="15.0" customHeight="1">
      <c r="A5210" s="157" t="s">
        <v>6602</v>
      </c>
      <c r="B5210" s="158" t="s">
        <v>36</v>
      </c>
      <c r="C5210" s="158" t="s">
        <v>6590</v>
      </c>
      <c r="D5210" s="159">
        <v>45553.0</v>
      </c>
      <c r="E5210" s="157" t="s">
        <v>731</v>
      </c>
      <c r="F5210" s="160">
        <v>105387.17</v>
      </c>
      <c r="G5210" s="160">
        <f>'FACP$'!$F5210*0.16</f>
        <v>16861.9472</v>
      </c>
      <c r="H5210" s="160">
        <f t="shared" si="124"/>
        <v>122249.1172</v>
      </c>
      <c r="I5210" s="160"/>
      <c r="J5210" s="161"/>
      <c r="K5210" s="160"/>
      <c r="L5210" s="160">
        <f>+'FACP$'!$H5210-'FACP$'!$I5210-'FACP$'!$K5210</f>
        <v>122249.1172</v>
      </c>
      <c r="M5210" s="162" t="s">
        <v>530</v>
      </c>
      <c r="N5210" s="162" t="s">
        <v>554</v>
      </c>
      <c r="O5210" s="164">
        <v>45574.0</v>
      </c>
      <c r="P5210" s="164">
        <f t="array" ref="P5210">XLOOKUP('FACP$'!$B5210,'perfil de pagos'!$A$4:$A$46,'perfil de pagos'!$B$4:$B$46+'FACP$'!$D5210)</f>
        <v>45563</v>
      </c>
      <c r="Q5210" s="165">
        <f t="shared" si="128"/>
        <v>0</v>
      </c>
      <c r="R5210" s="167"/>
      <c r="S5210" s="167">
        <v>3309.0</v>
      </c>
      <c r="T5210" s="168">
        <f t="shared" si="3"/>
        <v>122249.1172</v>
      </c>
      <c r="U5210" s="168">
        <f t="shared" si="4"/>
        <v>0</v>
      </c>
      <c r="V5210" s="168">
        <f t="shared" si="5"/>
        <v>0</v>
      </c>
      <c r="W5210" s="168">
        <f t="shared" si="6"/>
        <v>0</v>
      </c>
      <c r="X5210" s="168">
        <f t="shared" si="7"/>
        <v>0</v>
      </c>
      <c r="Y5210" s="168">
        <f t="shared" si="8"/>
        <v>0</v>
      </c>
      <c r="Z5210" s="168">
        <f t="shared" si="9"/>
        <v>0</v>
      </c>
    </row>
    <row r="5211" ht="15.0" customHeight="1">
      <c r="A5211" s="157" t="s">
        <v>6603</v>
      </c>
      <c r="B5211" s="158" t="s">
        <v>36</v>
      </c>
      <c r="C5211" s="158" t="s">
        <v>6592</v>
      </c>
      <c r="D5211" s="159">
        <v>45553.0</v>
      </c>
      <c r="E5211" s="157" t="s">
        <v>731</v>
      </c>
      <c r="F5211" s="160">
        <v>92577.0</v>
      </c>
      <c r="G5211" s="160">
        <f>'FACP$'!$F5211*0.16</f>
        <v>14812.32</v>
      </c>
      <c r="H5211" s="160">
        <f t="shared" si="124"/>
        <v>107389.32</v>
      </c>
      <c r="I5211" s="160"/>
      <c r="J5211" s="161"/>
      <c r="K5211" s="160"/>
      <c r="L5211" s="160">
        <f>+'FACP$'!$H5211-'FACP$'!$I5211-'FACP$'!$K5211</f>
        <v>107389.32</v>
      </c>
      <c r="M5211" s="162" t="s">
        <v>530</v>
      </c>
      <c r="N5211" s="162" t="s">
        <v>554</v>
      </c>
      <c r="O5211" s="164">
        <v>45574.0</v>
      </c>
      <c r="P5211" s="164">
        <f t="array" ref="P5211">XLOOKUP('FACP$'!$B5211,'perfil de pagos'!$A$4:$A$46,'perfil de pagos'!$B$4:$B$46+'FACP$'!$D5211)</f>
        <v>45563</v>
      </c>
      <c r="Q5211" s="165">
        <f t="shared" si="128"/>
        <v>0</v>
      </c>
      <c r="R5211" s="167"/>
      <c r="S5211" s="167">
        <v>3308.0</v>
      </c>
      <c r="T5211" s="168">
        <f t="shared" si="3"/>
        <v>107389.32</v>
      </c>
      <c r="U5211" s="168">
        <f t="shared" si="4"/>
        <v>0</v>
      </c>
      <c r="V5211" s="168">
        <f t="shared" si="5"/>
        <v>0</v>
      </c>
      <c r="W5211" s="168">
        <f t="shared" si="6"/>
        <v>0</v>
      </c>
      <c r="X5211" s="168">
        <f t="shared" si="7"/>
        <v>0</v>
      </c>
      <c r="Y5211" s="168">
        <f t="shared" si="8"/>
        <v>0</v>
      </c>
      <c r="Z5211" s="168">
        <f t="shared" si="9"/>
        <v>0</v>
      </c>
    </row>
    <row r="5212" ht="15.0" customHeight="1">
      <c r="A5212" s="157" t="s">
        <v>6604</v>
      </c>
      <c r="B5212" s="158" t="s">
        <v>27</v>
      </c>
      <c r="C5212" s="158" t="s">
        <v>6605</v>
      </c>
      <c r="D5212" s="159">
        <v>45553.0</v>
      </c>
      <c r="E5212" s="157" t="s">
        <v>731</v>
      </c>
      <c r="F5212" s="160">
        <v>130339.76</v>
      </c>
      <c r="G5212" s="160">
        <f>'FACP$'!$F5212*0.16</f>
        <v>20854.3616</v>
      </c>
      <c r="H5212" s="160">
        <f t="shared" si="124"/>
        <v>151194.1216</v>
      </c>
      <c r="I5212" s="160"/>
      <c r="J5212" s="161"/>
      <c r="K5212" s="160"/>
      <c r="L5212" s="160">
        <f>+'FACP$'!$H5212-'FACP$'!$I5212-'FACP$'!$K5212</f>
        <v>151194.1216</v>
      </c>
      <c r="M5212" s="162" t="s">
        <v>158</v>
      </c>
      <c r="N5212" s="162" t="s">
        <v>554</v>
      </c>
      <c r="O5212" s="164">
        <v>45625.0</v>
      </c>
      <c r="P5212" s="164">
        <f t="array" ref="P5212">XLOOKUP('FACP$'!$B5212,'perfil de pagos'!$A$4:$A$46,'perfil de pagos'!$B$4:$B$46+'FACP$'!$D5212)</f>
        <v>45583</v>
      </c>
      <c r="Q5212" s="165">
        <f t="shared" si="128"/>
        <v>0</v>
      </c>
      <c r="R5212" s="167"/>
      <c r="S5212" s="167">
        <v>3433.0</v>
      </c>
      <c r="T5212" s="168">
        <f t="shared" si="3"/>
        <v>151194.1216</v>
      </c>
      <c r="U5212" s="168">
        <f t="shared" si="4"/>
        <v>0</v>
      </c>
      <c r="V5212" s="168">
        <f t="shared" si="5"/>
        <v>0</v>
      </c>
      <c r="W5212" s="168">
        <f t="shared" si="6"/>
        <v>0</v>
      </c>
      <c r="X5212" s="168">
        <f t="shared" si="7"/>
        <v>0</v>
      </c>
      <c r="Y5212" s="168">
        <f t="shared" si="8"/>
        <v>0</v>
      </c>
      <c r="Z5212" s="168">
        <f t="shared" si="9"/>
        <v>0</v>
      </c>
    </row>
    <row r="5213" ht="15.0" customHeight="1">
      <c r="A5213" s="157" t="s">
        <v>6606</v>
      </c>
      <c r="B5213" s="158" t="s">
        <v>27</v>
      </c>
      <c r="C5213" s="158" t="s">
        <v>6607</v>
      </c>
      <c r="D5213" s="159">
        <v>45553.0</v>
      </c>
      <c r="E5213" s="157" t="s">
        <v>731</v>
      </c>
      <c r="F5213" s="160">
        <v>110989.86</v>
      </c>
      <c r="G5213" s="160">
        <f>'FACP$'!$F5213*0.16</f>
        <v>17758.3776</v>
      </c>
      <c r="H5213" s="160">
        <f t="shared" si="124"/>
        <v>128748.2376</v>
      </c>
      <c r="I5213" s="160"/>
      <c r="J5213" s="161"/>
      <c r="K5213" s="160"/>
      <c r="L5213" s="160">
        <f>+'FACP$'!$H5213-'FACP$'!$I5213-'FACP$'!$K5213</f>
        <v>128748.2376</v>
      </c>
      <c r="M5213" s="162" t="s">
        <v>158</v>
      </c>
      <c r="N5213" s="162" t="s">
        <v>554</v>
      </c>
      <c r="O5213" s="164">
        <v>45625.0</v>
      </c>
      <c r="P5213" s="164">
        <f t="array" ref="P5213">XLOOKUP('FACP$'!$B5213,'perfil de pagos'!$A$4:$A$46,'perfil de pagos'!$B$4:$B$46+'FACP$'!$D5213)</f>
        <v>45583</v>
      </c>
      <c r="Q5213" s="165">
        <f t="shared" si="128"/>
        <v>0</v>
      </c>
      <c r="R5213" s="167"/>
      <c r="S5213" s="167">
        <v>3433.0</v>
      </c>
      <c r="T5213" s="168">
        <f t="shared" si="3"/>
        <v>128748.2376</v>
      </c>
      <c r="U5213" s="168">
        <f t="shared" si="4"/>
        <v>0</v>
      </c>
      <c r="V5213" s="168">
        <f t="shared" si="5"/>
        <v>0</v>
      </c>
      <c r="W5213" s="168">
        <f t="shared" si="6"/>
        <v>0</v>
      </c>
      <c r="X5213" s="168">
        <f t="shared" si="7"/>
        <v>0</v>
      </c>
      <c r="Y5213" s="168">
        <f t="shared" si="8"/>
        <v>0</v>
      </c>
      <c r="Z5213" s="168">
        <f t="shared" si="9"/>
        <v>0</v>
      </c>
      <c r="AA5213" s="96"/>
      <c r="AB5213" s="96"/>
      <c r="AC5213" s="96"/>
    </row>
    <row r="5214" ht="15.0" customHeight="1">
      <c r="A5214" s="157" t="s">
        <v>6608</v>
      </c>
      <c r="B5214" s="158" t="s">
        <v>27</v>
      </c>
      <c r="C5214" s="158" t="s">
        <v>6605</v>
      </c>
      <c r="D5214" s="159">
        <v>45553.0</v>
      </c>
      <c r="E5214" s="157" t="s">
        <v>731</v>
      </c>
      <c r="F5214" s="160">
        <v>241185.37</v>
      </c>
      <c r="G5214" s="160">
        <f>'FACP$'!$F5214*0.16</f>
        <v>38589.6592</v>
      </c>
      <c r="H5214" s="160">
        <f t="shared" si="124"/>
        <v>279775.0292</v>
      </c>
      <c r="I5214" s="160"/>
      <c r="J5214" s="161"/>
      <c r="K5214" s="160"/>
      <c r="L5214" s="160">
        <f>+'FACP$'!$H5214-'FACP$'!$I5214-'FACP$'!$K5214</f>
        <v>279775.0292</v>
      </c>
      <c r="M5214" s="162" t="s">
        <v>151</v>
      </c>
      <c r="N5214" s="162" t="s">
        <v>554</v>
      </c>
      <c r="O5214" s="164">
        <v>45625.0</v>
      </c>
      <c r="P5214" s="164">
        <f t="array" ref="P5214">XLOOKUP('FACP$'!$B5214,'perfil de pagos'!$A$4:$A$46,'perfil de pagos'!$B$4:$B$46+'FACP$'!$D5214)</f>
        <v>45583</v>
      </c>
      <c r="Q5214" s="165">
        <f t="shared" si="128"/>
        <v>0</v>
      </c>
      <c r="R5214" s="167"/>
      <c r="S5214" s="167">
        <v>3434.0</v>
      </c>
      <c r="T5214" s="168">
        <f t="shared" si="3"/>
        <v>279775.0292</v>
      </c>
      <c r="U5214" s="168">
        <f t="shared" si="4"/>
        <v>0</v>
      </c>
      <c r="V5214" s="168">
        <f t="shared" si="5"/>
        <v>0</v>
      </c>
      <c r="W5214" s="168">
        <f t="shared" si="6"/>
        <v>0</v>
      </c>
      <c r="X5214" s="168">
        <f t="shared" si="7"/>
        <v>0</v>
      </c>
      <c r="Y5214" s="168">
        <f t="shared" si="8"/>
        <v>0</v>
      </c>
      <c r="Z5214" s="168">
        <f t="shared" si="9"/>
        <v>0</v>
      </c>
      <c r="AA5214" s="96"/>
      <c r="AB5214" s="96"/>
      <c r="AC5214" s="96"/>
    </row>
    <row r="5215" ht="15.0" customHeight="1">
      <c r="A5215" s="157" t="s">
        <v>6609</v>
      </c>
      <c r="B5215" s="158" t="s">
        <v>27</v>
      </c>
      <c r="C5215" s="158" t="s">
        <v>6607</v>
      </c>
      <c r="D5215" s="159">
        <v>45553.0</v>
      </c>
      <c r="E5215" s="157" t="s">
        <v>731</v>
      </c>
      <c r="F5215" s="160">
        <v>197279.75</v>
      </c>
      <c r="G5215" s="160">
        <f>'FACP$'!$F5215*0.16</f>
        <v>31564.76</v>
      </c>
      <c r="H5215" s="160">
        <f t="shared" si="124"/>
        <v>228844.51</v>
      </c>
      <c r="I5215" s="160"/>
      <c r="J5215" s="161"/>
      <c r="K5215" s="160"/>
      <c r="L5215" s="160">
        <f>+'FACP$'!$H5215-'FACP$'!$I5215-'FACP$'!$K5215</f>
        <v>228844.51</v>
      </c>
      <c r="M5215" s="162" t="s">
        <v>151</v>
      </c>
      <c r="N5215" s="162" t="s">
        <v>554</v>
      </c>
      <c r="O5215" s="164">
        <v>45625.0</v>
      </c>
      <c r="P5215" s="164">
        <f t="array" ref="P5215">XLOOKUP('FACP$'!$B5215,'perfil de pagos'!$A$4:$A$46,'perfil de pagos'!$B$4:$B$46+'FACP$'!$D5215)</f>
        <v>45583</v>
      </c>
      <c r="Q5215" s="165">
        <f t="shared" si="128"/>
        <v>0</v>
      </c>
      <c r="R5215" s="167"/>
      <c r="S5215" s="167">
        <v>3434.0</v>
      </c>
      <c r="T5215" s="168">
        <f t="shared" si="3"/>
        <v>228844.51</v>
      </c>
      <c r="U5215" s="168">
        <f t="shared" si="4"/>
        <v>0</v>
      </c>
      <c r="V5215" s="168">
        <f t="shared" si="5"/>
        <v>0</v>
      </c>
      <c r="W5215" s="168">
        <f t="shared" si="6"/>
        <v>0</v>
      </c>
      <c r="X5215" s="168">
        <f t="shared" si="7"/>
        <v>0</v>
      </c>
      <c r="Y5215" s="168">
        <f t="shared" si="8"/>
        <v>0</v>
      </c>
      <c r="Z5215" s="168">
        <f t="shared" si="9"/>
        <v>0</v>
      </c>
    </row>
    <row r="5216" ht="15.0" customHeight="1">
      <c r="A5216" s="157" t="s">
        <v>6610</v>
      </c>
      <c r="B5216" s="158" t="s">
        <v>16</v>
      </c>
      <c r="C5216" s="158" t="s">
        <v>6590</v>
      </c>
      <c r="D5216" s="159">
        <v>45565.0</v>
      </c>
      <c r="E5216" s="157" t="s">
        <v>731</v>
      </c>
      <c r="F5216" s="160">
        <v>257277.07</v>
      </c>
      <c r="G5216" s="160">
        <f>'FACP$'!$F5216*0.16</f>
        <v>41164.3312</v>
      </c>
      <c r="H5216" s="160">
        <f t="shared" si="124"/>
        <v>298441.4012</v>
      </c>
      <c r="I5216" s="160"/>
      <c r="J5216" s="161"/>
      <c r="K5216" s="160"/>
      <c r="L5216" s="160">
        <f>+'FACP$'!$H5216-'FACP$'!$I5216-'FACP$'!$K5216</f>
        <v>298441.4012</v>
      </c>
      <c r="M5216" s="162" t="s">
        <v>985</v>
      </c>
      <c r="N5216" s="162" t="s">
        <v>554</v>
      </c>
      <c r="O5216" s="164">
        <v>45581.0</v>
      </c>
      <c r="P5216" s="164">
        <f t="array" ref="P5216">XLOOKUP('FACP$'!$B5216,'perfil de pagos'!$A$4:$A$46,'perfil de pagos'!$B$4:$B$46+'FACP$'!$D5216)</f>
        <v>45575</v>
      </c>
      <c r="Q5216" s="165">
        <f t="shared" si="128"/>
        <v>0</v>
      </c>
      <c r="R5216" s="167"/>
      <c r="S5216" s="167">
        <v>3330.0</v>
      </c>
      <c r="T5216" s="168">
        <f t="shared" si="3"/>
        <v>298441.4012</v>
      </c>
      <c r="U5216" s="168">
        <f t="shared" si="4"/>
        <v>0</v>
      </c>
      <c r="V5216" s="168">
        <f t="shared" si="5"/>
        <v>0</v>
      </c>
      <c r="W5216" s="168">
        <f t="shared" si="6"/>
        <v>0</v>
      </c>
      <c r="X5216" s="168">
        <f t="shared" si="7"/>
        <v>0</v>
      </c>
      <c r="Y5216" s="168">
        <f t="shared" si="8"/>
        <v>0</v>
      </c>
      <c r="Z5216" s="168">
        <f t="shared" si="9"/>
        <v>0</v>
      </c>
    </row>
    <row r="5217" ht="15.0" customHeight="1">
      <c r="A5217" s="157" t="s">
        <v>6611</v>
      </c>
      <c r="B5217" s="158" t="s">
        <v>16</v>
      </c>
      <c r="C5217" s="158" t="s">
        <v>6592</v>
      </c>
      <c r="D5217" s="159">
        <v>45565.0</v>
      </c>
      <c r="E5217" s="157" t="s">
        <v>731</v>
      </c>
      <c r="F5217" s="160">
        <v>439500.02</v>
      </c>
      <c r="G5217" s="160">
        <f>'FACP$'!$F5217*0.16</f>
        <v>70320.0032</v>
      </c>
      <c r="H5217" s="160">
        <f t="shared" si="124"/>
        <v>509820.0232</v>
      </c>
      <c r="I5217" s="160"/>
      <c r="J5217" s="161"/>
      <c r="K5217" s="160"/>
      <c r="L5217" s="160">
        <f>+'FACP$'!$H5217-'FACP$'!$I5217-'FACP$'!$K5217</f>
        <v>509820.0232</v>
      </c>
      <c r="M5217" s="162" t="s">
        <v>985</v>
      </c>
      <c r="N5217" s="162" t="s">
        <v>554</v>
      </c>
      <c r="O5217" s="164">
        <v>45581.0</v>
      </c>
      <c r="P5217" s="164">
        <f t="array" ref="P5217">XLOOKUP('FACP$'!$B5217,'perfil de pagos'!$A$4:$A$46,'perfil de pagos'!$B$4:$B$46+'FACP$'!$D5217)</f>
        <v>45575</v>
      </c>
      <c r="Q5217" s="165">
        <f t="shared" si="128"/>
        <v>0</v>
      </c>
      <c r="R5217" s="167"/>
      <c r="S5217" s="167">
        <v>3330.0</v>
      </c>
      <c r="T5217" s="168">
        <f t="shared" si="3"/>
        <v>509820.0232</v>
      </c>
      <c r="U5217" s="168">
        <f t="shared" si="4"/>
        <v>0</v>
      </c>
      <c r="V5217" s="168">
        <f t="shared" si="5"/>
        <v>0</v>
      </c>
      <c r="W5217" s="168">
        <f t="shared" si="6"/>
        <v>0</v>
      </c>
      <c r="X5217" s="168">
        <f t="shared" si="7"/>
        <v>0</v>
      </c>
      <c r="Y5217" s="168">
        <f t="shared" si="8"/>
        <v>0</v>
      </c>
      <c r="Z5217" s="168">
        <f t="shared" si="9"/>
        <v>0</v>
      </c>
    </row>
    <row r="5218" ht="15.0" customHeight="1">
      <c r="A5218" s="157" t="s">
        <v>6612</v>
      </c>
      <c r="B5218" s="158" t="s">
        <v>18</v>
      </c>
      <c r="C5218" s="158" t="s">
        <v>6590</v>
      </c>
      <c r="D5218" s="159">
        <v>45565.0</v>
      </c>
      <c r="E5218" s="157" t="s">
        <v>731</v>
      </c>
      <c r="F5218" s="160">
        <v>70739.42</v>
      </c>
      <c r="G5218" s="160">
        <f>'FACP$'!$F5218*0.16</f>
        <v>11318.3072</v>
      </c>
      <c r="H5218" s="160">
        <f t="shared" si="124"/>
        <v>82057.7272</v>
      </c>
      <c r="I5218" s="160"/>
      <c r="J5218" s="161"/>
      <c r="K5218" s="160"/>
      <c r="L5218" s="160">
        <f>+'FACP$'!$H5218-'FACP$'!$I5218-'FACP$'!$K5218</f>
        <v>82057.7272</v>
      </c>
      <c r="M5218" s="162" t="s">
        <v>586</v>
      </c>
      <c r="N5218" s="162" t="s">
        <v>554</v>
      </c>
      <c r="O5218" s="164">
        <v>45590.0</v>
      </c>
      <c r="P5218" s="164">
        <f t="array" ref="P5218">XLOOKUP('FACP$'!$B5218,'perfil de pagos'!$A$4:$A$46,'perfil de pagos'!$B$4:$B$46+'FACP$'!$D5218)</f>
        <v>45575</v>
      </c>
      <c r="Q5218" s="165">
        <f t="shared" si="128"/>
        <v>0</v>
      </c>
      <c r="R5218" s="167"/>
      <c r="S5218" s="167">
        <v>3351.0</v>
      </c>
      <c r="T5218" s="168">
        <f t="shared" si="3"/>
        <v>82057.7272</v>
      </c>
      <c r="U5218" s="168">
        <f t="shared" si="4"/>
        <v>0</v>
      </c>
      <c r="V5218" s="168">
        <f t="shared" si="5"/>
        <v>0</v>
      </c>
      <c r="W5218" s="168">
        <f t="shared" si="6"/>
        <v>0</v>
      </c>
      <c r="X5218" s="168">
        <f t="shared" si="7"/>
        <v>0</v>
      </c>
      <c r="Y5218" s="168">
        <f t="shared" si="8"/>
        <v>0</v>
      </c>
      <c r="Z5218" s="168">
        <f t="shared" si="9"/>
        <v>0</v>
      </c>
    </row>
    <row r="5219" ht="15.0" customHeight="1">
      <c r="A5219" s="157" t="s">
        <v>6613</v>
      </c>
      <c r="B5219" s="158" t="s">
        <v>19</v>
      </c>
      <c r="C5219" s="158" t="s">
        <v>6590</v>
      </c>
      <c r="D5219" s="159">
        <v>45565.0</v>
      </c>
      <c r="E5219" s="157" t="s">
        <v>731</v>
      </c>
      <c r="F5219" s="160">
        <v>153661.46</v>
      </c>
      <c r="G5219" s="160">
        <f>'FACP$'!$F5219*0.16</f>
        <v>24585.8336</v>
      </c>
      <c r="H5219" s="160">
        <f t="shared" si="124"/>
        <v>178247.2936</v>
      </c>
      <c r="I5219" s="160"/>
      <c r="J5219" s="161"/>
      <c r="K5219" s="160"/>
      <c r="L5219" s="160">
        <f>+'FACP$'!$H5219-'FACP$'!$I5219-'FACP$'!$K5219</f>
        <v>178247.2936</v>
      </c>
      <c r="M5219" s="162" t="s">
        <v>732</v>
      </c>
      <c r="N5219" s="162" t="s">
        <v>554</v>
      </c>
      <c r="O5219" s="164">
        <v>45590.0</v>
      </c>
      <c r="P5219" s="164">
        <f t="array" ref="P5219">XLOOKUP('FACP$'!$B5219,'perfil de pagos'!$A$4:$A$46,'perfil de pagos'!$B$4:$B$46+'FACP$'!$D5219)</f>
        <v>45575</v>
      </c>
      <c r="Q5219" s="165">
        <f t="shared" si="128"/>
        <v>0</v>
      </c>
      <c r="R5219" s="167"/>
      <c r="S5219" s="167">
        <v>3351.0</v>
      </c>
      <c r="T5219" s="168">
        <f t="shared" si="3"/>
        <v>178247.2936</v>
      </c>
      <c r="U5219" s="168">
        <f t="shared" si="4"/>
        <v>0</v>
      </c>
      <c r="V5219" s="168">
        <f t="shared" si="5"/>
        <v>0</v>
      </c>
      <c r="W5219" s="168">
        <f t="shared" si="6"/>
        <v>0</v>
      </c>
      <c r="X5219" s="168">
        <f t="shared" si="7"/>
        <v>0</v>
      </c>
      <c r="Y5219" s="168">
        <f t="shared" si="8"/>
        <v>0</v>
      </c>
      <c r="Z5219" s="168">
        <f t="shared" si="9"/>
        <v>0</v>
      </c>
    </row>
    <row r="5220" ht="15.0" customHeight="1">
      <c r="A5220" s="157" t="s">
        <v>6614</v>
      </c>
      <c r="B5220" s="158" t="s">
        <v>25</v>
      </c>
      <c r="C5220" s="158" t="s">
        <v>6590</v>
      </c>
      <c r="D5220" s="159">
        <v>45565.0</v>
      </c>
      <c r="E5220" s="157" t="s">
        <v>731</v>
      </c>
      <c r="F5220" s="160">
        <v>45984.56</v>
      </c>
      <c r="G5220" s="160">
        <f>'FACP$'!$F5220*0.16</f>
        <v>7357.5296</v>
      </c>
      <c r="H5220" s="160">
        <f t="shared" si="124"/>
        <v>53342.0896</v>
      </c>
      <c r="I5220" s="160"/>
      <c r="J5220" s="161"/>
      <c r="K5220" s="160"/>
      <c r="L5220" s="160">
        <f>+'FACP$'!$H5220-'FACP$'!$I5220-'FACP$'!$K5220</f>
        <v>53342.0896</v>
      </c>
      <c r="M5220" s="162" t="s">
        <v>4388</v>
      </c>
      <c r="N5220" s="162" t="s">
        <v>554</v>
      </c>
      <c r="O5220" s="164">
        <v>45596.0</v>
      </c>
      <c r="P5220" s="164">
        <f t="array" ref="P5220">XLOOKUP('FACP$'!$B5220,'perfil de pagos'!$A$4:$A$46,'perfil de pagos'!$B$4:$B$46+'FACP$'!$D5220)</f>
        <v>45575</v>
      </c>
      <c r="Q5220" s="165">
        <f t="shared" si="128"/>
        <v>0</v>
      </c>
      <c r="R5220" s="167"/>
      <c r="S5220" s="167">
        <v>3369.0</v>
      </c>
      <c r="T5220" s="168">
        <f t="shared" si="3"/>
        <v>53342.0896</v>
      </c>
      <c r="U5220" s="168">
        <f t="shared" si="4"/>
        <v>0</v>
      </c>
      <c r="V5220" s="168">
        <f t="shared" si="5"/>
        <v>0</v>
      </c>
      <c r="W5220" s="168">
        <f t="shared" si="6"/>
        <v>0</v>
      </c>
      <c r="X5220" s="168">
        <f t="shared" si="7"/>
        <v>0</v>
      </c>
      <c r="Y5220" s="168">
        <f t="shared" si="8"/>
        <v>0</v>
      </c>
      <c r="Z5220" s="168">
        <f t="shared" si="9"/>
        <v>0</v>
      </c>
      <c r="AA5220" s="72"/>
      <c r="AB5220" s="72"/>
      <c r="AC5220" s="72"/>
    </row>
    <row r="5221" ht="15.0" customHeight="1">
      <c r="A5221" s="157" t="s">
        <v>6615</v>
      </c>
      <c r="B5221" s="158" t="s">
        <v>37</v>
      </c>
      <c r="C5221" s="158" t="s">
        <v>6590</v>
      </c>
      <c r="D5221" s="159">
        <v>45565.0</v>
      </c>
      <c r="E5221" s="157" t="s">
        <v>731</v>
      </c>
      <c r="F5221" s="160">
        <v>1345506.84</v>
      </c>
      <c r="G5221" s="160">
        <f>'FACP$'!$F5221*0.16</f>
        <v>215281.0944</v>
      </c>
      <c r="H5221" s="160">
        <f t="shared" si="124"/>
        <v>1560787.934</v>
      </c>
      <c r="I5221" s="160"/>
      <c r="J5221" s="161"/>
      <c r="K5221" s="160"/>
      <c r="L5221" s="160">
        <f>+'FACP$'!$H5221-'FACP$'!$I5221-'FACP$'!$K5221</f>
        <v>1560787.934</v>
      </c>
      <c r="M5221" s="162" t="s">
        <v>116</v>
      </c>
      <c r="N5221" s="162" t="s">
        <v>554</v>
      </c>
      <c r="O5221" s="164">
        <v>45579.0</v>
      </c>
      <c r="P5221" s="164">
        <f t="array" ref="P5221">XLOOKUP('FACP$'!$B5221,'perfil de pagos'!$A$4:$A$46,'perfil de pagos'!$B$4:$B$46+'FACP$'!$D5221)</f>
        <v>45575</v>
      </c>
      <c r="Q5221" s="165">
        <f t="shared" si="128"/>
        <v>0</v>
      </c>
      <c r="R5221" s="167"/>
      <c r="S5221" s="220">
        <v>3323.0</v>
      </c>
      <c r="T5221" s="168">
        <f t="shared" si="3"/>
        <v>1560787.934</v>
      </c>
      <c r="U5221" s="168">
        <f t="shared" si="4"/>
        <v>0</v>
      </c>
      <c r="V5221" s="168">
        <f t="shared" si="5"/>
        <v>0</v>
      </c>
      <c r="W5221" s="168">
        <f t="shared" si="6"/>
        <v>0</v>
      </c>
      <c r="X5221" s="168">
        <f t="shared" si="7"/>
        <v>0</v>
      </c>
      <c r="Y5221" s="168">
        <f t="shared" si="8"/>
        <v>0</v>
      </c>
      <c r="Z5221" s="168">
        <f t="shared" si="9"/>
        <v>0</v>
      </c>
      <c r="AA5221" s="72"/>
      <c r="AB5221" s="72"/>
      <c r="AC5221" s="72"/>
    </row>
    <row r="5222" ht="15.0" customHeight="1">
      <c r="A5222" s="157" t="s">
        <v>6616</v>
      </c>
      <c r="B5222" s="158" t="s">
        <v>29</v>
      </c>
      <c r="C5222" s="158" t="s">
        <v>6590</v>
      </c>
      <c r="D5222" s="159">
        <v>45565.0</v>
      </c>
      <c r="E5222" s="157" t="s">
        <v>731</v>
      </c>
      <c r="F5222" s="160">
        <v>262842.08</v>
      </c>
      <c r="G5222" s="160">
        <f>'FACP$'!$F5222*0.16</f>
        <v>42054.7328</v>
      </c>
      <c r="H5222" s="160">
        <f t="shared" si="124"/>
        <v>304896.8128</v>
      </c>
      <c r="I5222" s="160"/>
      <c r="J5222" s="161"/>
      <c r="K5222" s="160"/>
      <c r="L5222" s="160">
        <f>+'FACP$'!$H5222-'FACP$'!$I5222-'FACP$'!$K5222</f>
        <v>304896.8128</v>
      </c>
      <c r="M5222" s="162" t="s">
        <v>130</v>
      </c>
      <c r="N5222" s="162" t="s">
        <v>554</v>
      </c>
      <c r="O5222" s="164">
        <v>45580.0</v>
      </c>
      <c r="P5222" s="164">
        <f t="array" ref="P5222">XLOOKUP('FACP$'!$B5222,'perfil de pagos'!$A$4:$A$46,'perfil de pagos'!$B$4:$B$46+'FACP$'!$D5222)</f>
        <v>45575</v>
      </c>
      <c r="Q5222" s="165">
        <f t="shared" si="128"/>
        <v>0</v>
      </c>
      <c r="R5222" s="167"/>
      <c r="S5222" s="167">
        <v>3325.0</v>
      </c>
      <c r="T5222" s="168">
        <f t="shared" si="3"/>
        <v>304896.8128</v>
      </c>
      <c r="U5222" s="168">
        <f t="shared" si="4"/>
        <v>0</v>
      </c>
      <c r="V5222" s="168">
        <f t="shared" si="5"/>
        <v>0</v>
      </c>
      <c r="W5222" s="168">
        <f t="shared" si="6"/>
        <v>0</v>
      </c>
      <c r="X5222" s="168">
        <f t="shared" si="7"/>
        <v>0</v>
      </c>
      <c r="Y5222" s="168">
        <f t="shared" si="8"/>
        <v>0</v>
      </c>
      <c r="Z5222" s="168">
        <f t="shared" si="9"/>
        <v>0</v>
      </c>
      <c r="AA5222" s="72"/>
      <c r="AB5222" s="72"/>
      <c r="AC5222" s="72"/>
    </row>
    <row r="5223" ht="15.0" customHeight="1">
      <c r="A5223" s="157" t="s">
        <v>6617</v>
      </c>
      <c r="B5223" s="158" t="s">
        <v>29</v>
      </c>
      <c r="C5223" s="158" t="s">
        <v>6592</v>
      </c>
      <c r="D5223" s="159">
        <v>45565.0</v>
      </c>
      <c r="E5223" s="157" t="s">
        <v>731</v>
      </c>
      <c r="F5223" s="160">
        <v>446997.84</v>
      </c>
      <c r="G5223" s="160">
        <f>'FACP$'!$F5223*0.16</f>
        <v>71519.6544</v>
      </c>
      <c r="H5223" s="160">
        <f t="shared" si="124"/>
        <v>518517.4944</v>
      </c>
      <c r="I5223" s="160"/>
      <c r="J5223" s="161"/>
      <c r="K5223" s="160"/>
      <c r="L5223" s="160">
        <f>+'FACP$'!$H5223-'FACP$'!$I5223-'FACP$'!$K5223</f>
        <v>518517.4944</v>
      </c>
      <c r="M5223" s="162" t="s">
        <v>130</v>
      </c>
      <c r="N5223" s="162" t="s">
        <v>554</v>
      </c>
      <c r="O5223" s="164">
        <v>45579.0</v>
      </c>
      <c r="P5223" s="164">
        <f t="array" ref="P5223">XLOOKUP('FACP$'!$B5223,'perfil de pagos'!$A$4:$A$46,'perfil de pagos'!$B$4:$B$46+'FACP$'!$D5223)</f>
        <v>45575</v>
      </c>
      <c r="Q5223" s="165">
        <f t="shared" si="128"/>
        <v>0</v>
      </c>
      <c r="R5223" s="167"/>
      <c r="S5223" s="167">
        <v>3321.0</v>
      </c>
      <c r="T5223" s="168">
        <f t="shared" si="3"/>
        <v>518517.4944</v>
      </c>
      <c r="U5223" s="168">
        <f t="shared" si="4"/>
        <v>0</v>
      </c>
      <c r="V5223" s="168">
        <f t="shared" si="5"/>
        <v>0</v>
      </c>
      <c r="W5223" s="168">
        <f t="shared" si="6"/>
        <v>0</v>
      </c>
      <c r="X5223" s="168">
        <f t="shared" si="7"/>
        <v>0</v>
      </c>
      <c r="Y5223" s="168">
        <f t="shared" si="8"/>
        <v>0</v>
      </c>
      <c r="Z5223" s="168">
        <f t="shared" si="9"/>
        <v>0</v>
      </c>
      <c r="AA5223" s="72"/>
      <c r="AB5223" s="72"/>
      <c r="AC5223" s="72"/>
    </row>
    <row r="5224" ht="15.0" customHeight="1">
      <c r="A5224" s="157" t="s">
        <v>6618</v>
      </c>
      <c r="B5224" s="158" t="s">
        <v>40</v>
      </c>
      <c r="C5224" s="158" t="s">
        <v>6590</v>
      </c>
      <c r="D5224" s="159">
        <v>45565.0</v>
      </c>
      <c r="E5224" s="157" t="s">
        <v>731</v>
      </c>
      <c r="F5224" s="160">
        <v>361300.77</v>
      </c>
      <c r="G5224" s="160">
        <f>'FACP$'!$F5224*0.16</f>
        <v>57808.1232</v>
      </c>
      <c r="H5224" s="160">
        <f t="shared" si="124"/>
        <v>419108.8932</v>
      </c>
      <c r="I5224" s="160"/>
      <c r="J5224" s="161"/>
      <c r="K5224" s="160"/>
      <c r="L5224" s="160">
        <f>+'FACP$'!$H5224-'FACP$'!$I5224-'FACP$'!$K5224</f>
        <v>419108.8932</v>
      </c>
      <c r="M5224" s="162" t="s">
        <v>490</v>
      </c>
      <c r="N5224" s="162" t="s">
        <v>554</v>
      </c>
      <c r="O5224" s="164">
        <v>45602.0</v>
      </c>
      <c r="P5224" s="164">
        <f t="array" ref="P5224">XLOOKUP('FACP$'!$B5224,'perfil de pagos'!$A$4:$A$46,'perfil de pagos'!$B$4:$B$46+'FACP$'!$D5224)</f>
        <v>45595</v>
      </c>
      <c r="Q5224" s="165">
        <f t="shared" si="128"/>
        <v>0</v>
      </c>
      <c r="R5224" s="167"/>
      <c r="S5224" s="167">
        <v>3378.0</v>
      </c>
      <c r="T5224" s="168">
        <f t="shared" si="3"/>
        <v>419108.8932</v>
      </c>
      <c r="U5224" s="168">
        <f t="shared" si="4"/>
        <v>0</v>
      </c>
      <c r="V5224" s="168">
        <f t="shared" si="5"/>
        <v>0</v>
      </c>
      <c r="W5224" s="168">
        <f t="shared" si="6"/>
        <v>0</v>
      </c>
      <c r="X5224" s="168">
        <f t="shared" si="7"/>
        <v>0</v>
      </c>
      <c r="Y5224" s="168">
        <f t="shared" si="8"/>
        <v>0</v>
      </c>
      <c r="Z5224" s="168">
        <f t="shared" si="9"/>
        <v>0</v>
      </c>
      <c r="AA5224" s="72"/>
      <c r="AB5224" s="72"/>
      <c r="AC5224" s="72"/>
    </row>
    <row r="5225" ht="15.0" customHeight="1">
      <c r="A5225" s="157" t="s">
        <v>6619</v>
      </c>
      <c r="B5225" s="158" t="s">
        <v>40</v>
      </c>
      <c r="C5225" s="158" t="s">
        <v>6592</v>
      </c>
      <c r="D5225" s="159">
        <v>45565.0</v>
      </c>
      <c r="E5225" s="157" t="s">
        <v>731</v>
      </c>
      <c r="F5225" s="160">
        <v>343910.18</v>
      </c>
      <c r="G5225" s="160">
        <f>'FACP$'!$F5225*0.16</f>
        <v>55025.6288</v>
      </c>
      <c r="H5225" s="160">
        <f t="shared" si="124"/>
        <v>398935.8088</v>
      </c>
      <c r="I5225" s="160"/>
      <c r="J5225" s="161"/>
      <c r="K5225" s="160"/>
      <c r="L5225" s="160">
        <f>+'FACP$'!$H5225-'FACP$'!$I5225-'FACP$'!$K5225</f>
        <v>398935.8088</v>
      </c>
      <c r="M5225" s="162" t="s">
        <v>490</v>
      </c>
      <c r="N5225" s="162" t="s">
        <v>554</v>
      </c>
      <c r="O5225" s="164">
        <v>45586.0</v>
      </c>
      <c r="P5225" s="164">
        <f t="array" ref="P5225">XLOOKUP('FACP$'!$B5225,'perfil de pagos'!$A$4:$A$46,'perfil de pagos'!$B$4:$B$46+'FACP$'!$D5225)</f>
        <v>45595</v>
      </c>
      <c r="Q5225" s="165">
        <f t="shared" si="128"/>
        <v>0</v>
      </c>
      <c r="R5225" s="167"/>
      <c r="S5225" s="167">
        <v>3342.0</v>
      </c>
      <c r="T5225" s="168">
        <f t="shared" si="3"/>
        <v>398935.8088</v>
      </c>
      <c r="U5225" s="168">
        <f t="shared" si="4"/>
        <v>0</v>
      </c>
      <c r="V5225" s="168">
        <f t="shared" si="5"/>
        <v>0</v>
      </c>
      <c r="W5225" s="168">
        <f t="shared" si="6"/>
        <v>0</v>
      </c>
      <c r="X5225" s="168">
        <f t="shared" si="7"/>
        <v>0</v>
      </c>
      <c r="Y5225" s="168">
        <f t="shared" si="8"/>
        <v>0</v>
      </c>
      <c r="Z5225" s="168">
        <f t="shared" si="9"/>
        <v>0</v>
      </c>
      <c r="AA5225" s="72"/>
      <c r="AB5225" s="72"/>
      <c r="AC5225" s="72"/>
    </row>
    <row r="5226" ht="15.0" customHeight="1">
      <c r="A5226" s="157" t="s">
        <v>6620</v>
      </c>
      <c r="B5226" s="158" t="s">
        <v>27</v>
      </c>
      <c r="C5226" s="158" t="s">
        <v>6621</v>
      </c>
      <c r="D5226" s="159">
        <v>45565.0</v>
      </c>
      <c r="E5226" s="157" t="s">
        <v>731</v>
      </c>
      <c r="F5226" s="160">
        <v>143837.18</v>
      </c>
      <c r="G5226" s="160">
        <f>'FACP$'!$F5226*0.16</f>
        <v>23013.9488</v>
      </c>
      <c r="H5226" s="160">
        <f t="shared" si="124"/>
        <v>166851.1288</v>
      </c>
      <c r="I5226" s="160"/>
      <c r="J5226" s="161"/>
      <c r="K5226" s="160"/>
      <c r="L5226" s="172">
        <f>+'FACP$'!$H5226-'FACP$'!$I5226-'FACP$'!$K5226</f>
        <v>166851.1288</v>
      </c>
      <c r="M5226" s="162" t="s">
        <v>158</v>
      </c>
      <c r="N5226" s="162" t="s">
        <v>554</v>
      </c>
      <c r="O5226" s="164">
        <v>45652.0</v>
      </c>
      <c r="P5226" s="164">
        <f t="array" ref="P5226">XLOOKUP('FACP$'!$B5226,'perfil de pagos'!$A$4:$A$46,'perfil de pagos'!$B$4:$B$46+'FACP$'!$D5226)</f>
        <v>45595</v>
      </c>
      <c r="Q5226" s="165">
        <f t="shared" si="128"/>
        <v>0</v>
      </c>
      <c r="R5226" s="167"/>
      <c r="S5226" s="167"/>
      <c r="T5226" s="168">
        <f t="shared" si="3"/>
        <v>166851.1288</v>
      </c>
      <c r="U5226" s="168">
        <f t="shared" si="4"/>
        <v>0</v>
      </c>
      <c r="V5226" s="168">
        <f t="shared" si="5"/>
        <v>0</v>
      </c>
      <c r="W5226" s="168">
        <f t="shared" si="6"/>
        <v>0</v>
      </c>
      <c r="X5226" s="168">
        <f t="shared" si="7"/>
        <v>0</v>
      </c>
      <c r="Y5226" s="168">
        <f t="shared" si="8"/>
        <v>0</v>
      </c>
      <c r="Z5226" s="168">
        <f t="shared" si="9"/>
        <v>0</v>
      </c>
    </row>
    <row r="5227" ht="15.0" customHeight="1">
      <c r="A5227" s="157" t="s">
        <v>6622</v>
      </c>
      <c r="B5227" s="158" t="s">
        <v>27</v>
      </c>
      <c r="C5227" s="158" t="s">
        <v>6623</v>
      </c>
      <c r="D5227" s="159">
        <v>45565.0</v>
      </c>
      <c r="E5227" s="157" t="s">
        <v>731</v>
      </c>
      <c r="F5227" s="160">
        <v>119285.67</v>
      </c>
      <c r="G5227" s="160">
        <f>'FACP$'!$F5227*0.16</f>
        <v>19085.7072</v>
      </c>
      <c r="H5227" s="160">
        <f t="shared" si="124"/>
        <v>138371.3772</v>
      </c>
      <c r="I5227" s="160"/>
      <c r="J5227" s="161"/>
      <c r="K5227" s="160"/>
      <c r="L5227" s="172">
        <f>+'FACP$'!$H5227-'FACP$'!$I5227-'FACP$'!$K5227</f>
        <v>138371.3772</v>
      </c>
      <c r="M5227" s="162" t="s">
        <v>158</v>
      </c>
      <c r="N5227" s="162" t="s">
        <v>554</v>
      </c>
      <c r="O5227" s="164">
        <v>45652.0</v>
      </c>
      <c r="P5227" s="164">
        <f t="array" ref="P5227">XLOOKUP('FACP$'!$B5227,'perfil de pagos'!$A$4:$A$46,'perfil de pagos'!$B$4:$B$46+'FACP$'!$D5227)</f>
        <v>45595</v>
      </c>
      <c r="Q5227" s="165">
        <f t="shared" si="128"/>
        <v>0</v>
      </c>
      <c r="R5227" s="167"/>
      <c r="S5227" s="167"/>
      <c r="T5227" s="168">
        <f t="shared" si="3"/>
        <v>138371.3772</v>
      </c>
      <c r="U5227" s="168">
        <f t="shared" si="4"/>
        <v>0</v>
      </c>
      <c r="V5227" s="168">
        <f t="shared" si="5"/>
        <v>0</v>
      </c>
      <c r="W5227" s="168">
        <f t="shared" si="6"/>
        <v>0</v>
      </c>
      <c r="X5227" s="168">
        <f t="shared" si="7"/>
        <v>0</v>
      </c>
      <c r="Y5227" s="168">
        <f t="shared" si="8"/>
        <v>0</v>
      </c>
      <c r="Z5227" s="168">
        <f t="shared" si="9"/>
        <v>0</v>
      </c>
    </row>
    <row r="5228" ht="15.0" customHeight="1">
      <c r="A5228" s="157" t="s">
        <v>6624</v>
      </c>
      <c r="B5228" s="158" t="s">
        <v>27</v>
      </c>
      <c r="C5228" s="158" t="s">
        <v>6621</v>
      </c>
      <c r="D5228" s="159">
        <v>45565.0</v>
      </c>
      <c r="E5228" s="157" t="s">
        <v>731</v>
      </c>
      <c r="F5228" s="160">
        <v>266751.5</v>
      </c>
      <c r="G5228" s="160">
        <f>'FACP$'!$F5228*0.16</f>
        <v>42680.24</v>
      </c>
      <c r="H5228" s="160">
        <f t="shared" si="124"/>
        <v>309431.74</v>
      </c>
      <c r="I5228" s="160"/>
      <c r="J5228" s="161"/>
      <c r="K5228" s="160"/>
      <c r="L5228" s="160">
        <f>+'FACP$'!$H5228-'FACP$'!$I5228-'FACP$'!$K5228</f>
        <v>309431.74</v>
      </c>
      <c r="M5228" s="162" t="s">
        <v>151</v>
      </c>
      <c r="N5228" s="162" t="s">
        <v>554</v>
      </c>
      <c r="O5228" s="164">
        <v>45652.0</v>
      </c>
      <c r="P5228" s="164">
        <f t="array" ref="P5228">XLOOKUP('FACP$'!$B5228,'perfil de pagos'!$A$4:$A$46,'perfil de pagos'!$B$4:$B$46+'FACP$'!$D5228)</f>
        <v>45595</v>
      </c>
      <c r="Q5228" s="165">
        <f t="shared" si="128"/>
        <v>0</v>
      </c>
      <c r="R5228" s="167"/>
      <c r="S5228" s="167"/>
      <c r="T5228" s="168">
        <f t="shared" si="3"/>
        <v>309431.74</v>
      </c>
      <c r="U5228" s="168">
        <f t="shared" si="4"/>
        <v>0</v>
      </c>
      <c r="V5228" s="168">
        <f t="shared" si="5"/>
        <v>0</v>
      </c>
      <c r="W5228" s="168">
        <f t="shared" si="6"/>
        <v>0</v>
      </c>
      <c r="X5228" s="168">
        <f t="shared" si="7"/>
        <v>0</v>
      </c>
      <c r="Y5228" s="168">
        <f t="shared" si="8"/>
        <v>0</v>
      </c>
      <c r="Z5228" s="168">
        <f t="shared" si="9"/>
        <v>0</v>
      </c>
    </row>
    <row r="5229" ht="15.0" customHeight="1">
      <c r="A5229" s="157" t="s">
        <v>6625</v>
      </c>
      <c r="B5229" s="158" t="s">
        <v>27</v>
      </c>
      <c r="C5229" s="158" t="s">
        <v>6623</v>
      </c>
      <c r="D5229" s="159">
        <v>45565.0</v>
      </c>
      <c r="E5229" s="157" t="s">
        <v>731</v>
      </c>
      <c r="F5229" s="160">
        <v>207962.52</v>
      </c>
      <c r="G5229" s="160">
        <f>'FACP$'!$F5229*0.16</f>
        <v>33274.0032</v>
      </c>
      <c r="H5229" s="160">
        <f t="shared" si="124"/>
        <v>241236.5232</v>
      </c>
      <c r="I5229" s="160"/>
      <c r="J5229" s="161"/>
      <c r="K5229" s="160"/>
      <c r="L5229" s="160">
        <f>+'FACP$'!$H5229-'FACP$'!$I5229-'FACP$'!$K5229</f>
        <v>241236.5232</v>
      </c>
      <c r="M5229" s="162" t="s">
        <v>151</v>
      </c>
      <c r="N5229" s="162" t="s">
        <v>554</v>
      </c>
      <c r="O5229" s="164">
        <v>45652.0</v>
      </c>
      <c r="P5229" s="164">
        <f t="array" ref="P5229">XLOOKUP('FACP$'!$B5229,'perfil de pagos'!$A$4:$A$46,'perfil de pagos'!$B$4:$B$46+'FACP$'!$D5229)</f>
        <v>45595</v>
      </c>
      <c r="Q5229" s="165">
        <f t="shared" si="128"/>
        <v>0</v>
      </c>
      <c r="R5229" s="167"/>
      <c r="S5229" s="167"/>
      <c r="T5229" s="168">
        <f t="shared" si="3"/>
        <v>241236.5232</v>
      </c>
      <c r="U5229" s="168">
        <f t="shared" si="4"/>
        <v>0</v>
      </c>
      <c r="V5229" s="168">
        <f t="shared" si="5"/>
        <v>0</v>
      </c>
      <c r="W5229" s="168">
        <f t="shared" si="6"/>
        <v>0</v>
      </c>
      <c r="X5229" s="168">
        <f t="shared" si="7"/>
        <v>0</v>
      </c>
      <c r="Y5229" s="168">
        <f t="shared" si="8"/>
        <v>0</v>
      </c>
      <c r="Z5229" s="168">
        <f t="shared" si="9"/>
        <v>0</v>
      </c>
    </row>
    <row r="5230" ht="15.0" customHeight="1">
      <c r="A5230" s="157" t="s">
        <v>6626</v>
      </c>
      <c r="B5230" s="158" t="s">
        <v>49</v>
      </c>
      <c r="C5230" s="158" t="s">
        <v>6627</v>
      </c>
      <c r="D5230" s="159">
        <v>45568.0</v>
      </c>
      <c r="E5230" s="157" t="s">
        <v>731</v>
      </c>
      <c r="F5230" s="160">
        <v>54652.16</v>
      </c>
      <c r="G5230" s="160">
        <f>'FACP$'!$F5230*0.16</f>
        <v>8744.3456</v>
      </c>
      <c r="H5230" s="160">
        <f t="shared" si="124"/>
        <v>63396.5056</v>
      </c>
      <c r="I5230" s="160"/>
      <c r="J5230" s="161"/>
      <c r="K5230" s="160"/>
      <c r="L5230" s="160">
        <f>+'FACP$'!$H5230-'FACP$'!$I5230-'FACP$'!$K5230</f>
        <v>63396.5056</v>
      </c>
      <c r="M5230" s="162" t="s">
        <v>2263</v>
      </c>
      <c r="N5230" s="162" t="s">
        <v>554</v>
      </c>
      <c r="O5230" s="164">
        <v>45625.0</v>
      </c>
      <c r="P5230" s="164">
        <f t="array" ref="P5230">XLOOKUP('FACP$'!$B5230,'perfil de pagos'!$A$4:$A$46,'perfil de pagos'!$B$4:$B$46+'FACP$'!$D5230)</f>
        <v>45578</v>
      </c>
      <c r="Q5230" s="165">
        <f t="shared" si="128"/>
        <v>0</v>
      </c>
      <c r="R5230" s="167"/>
      <c r="S5230" s="167">
        <v>3442.0</v>
      </c>
      <c r="T5230" s="168">
        <f t="shared" si="3"/>
        <v>63396.5056</v>
      </c>
      <c r="U5230" s="168">
        <f t="shared" si="4"/>
        <v>0</v>
      </c>
      <c r="V5230" s="168">
        <f t="shared" si="5"/>
        <v>0</v>
      </c>
      <c r="W5230" s="168">
        <f t="shared" si="6"/>
        <v>0</v>
      </c>
      <c r="X5230" s="168">
        <f t="shared" si="7"/>
        <v>0</v>
      </c>
      <c r="Y5230" s="168">
        <f t="shared" si="8"/>
        <v>0</v>
      </c>
      <c r="Z5230" s="168">
        <f t="shared" si="9"/>
        <v>0</v>
      </c>
    </row>
    <row r="5231" ht="15.0" customHeight="1">
      <c r="A5231" s="157" t="s">
        <v>6628</v>
      </c>
      <c r="B5231" s="158" t="s">
        <v>49</v>
      </c>
      <c r="C5231" s="158" t="s">
        <v>6629</v>
      </c>
      <c r="D5231" s="159">
        <v>45568.0</v>
      </c>
      <c r="E5231" s="157" t="s">
        <v>731</v>
      </c>
      <c r="F5231" s="160">
        <v>29629.87</v>
      </c>
      <c r="G5231" s="160">
        <f>'FACP$'!$F5231*0.16</f>
        <v>4740.7792</v>
      </c>
      <c r="H5231" s="160">
        <f t="shared" si="124"/>
        <v>34370.6492</v>
      </c>
      <c r="I5231" s="160"/>
      <c r="J5231" s="161"/>
      <c r="K5231" s="160"/>
      <c r="L5231" s="160">
        <f>+'FACP$'!$H5231-'FACP$'!$I5231-'FACP$'!$K5231</f>
        <v>34370.6492</v>
      </c>
      <c r="M5231" s="162" t="s">
        <v>2263</v>
      </c>
      <c r="N5231" s="162" t="s">
        <v>554</v>
      </c>
      <c r="O5231" s="164">
        <v>45597.0</v>
      </c>
      <c r="P5231" s="164">
        <f t="array" ref="P5231">XLOOKUP('FACP$'!$B5231,'perfil de pagos'!$A$4:$A$46,'perfil de pagos'!$B$4:$B$46+'FACP$'!$D5231)</f>
        <v>45578</v>
      </c>
      <c r="Q5231" s="165">
        <f t="shared" si="128"/>
        <v>0</v>
      </c>
      <c r="R5231" s="167"/>
      <c r="S5231" s="167">
        <v>3372.0</v>
      </c>
      <c r="T5231" s="168">
        <f t="shared" si="3"/>
        <v>34370.6492</v>
      </c>
      <c r="U5231" s="168">
        <f t="shared" si="4"/>
        <v>0</v>
      </c>
      <c r="V5231" s="168">
        <f t="shared" si="5"/>
        <v>0</v>
      </c>
      <c r="W5231" s="168">
        <f t="shared" si="6"/>
        <v>0</v>
      </c>
      <c r="X5231" s="168">
        <f t="shared" si="7"/>
        <v>0</v>
      </c>
      <c r="Y5231" s="168">
        <f t="shared" si="8"/>
        <v>0</v>
      </c>
      <c r="Z5231" s="168">
        <f t="shared" si="9"/>
        <v>0</v>
      </c>
    </row>
    <row r="5232" ht="15.0" customHeight="1">
      <c r="A5232" s="157" t="s">
        <v>6630</v>
      </c>
      <c r="B5232" s="158" t="s">
        <v>41</v>
      </c>
      <c r="C5232" s="158" t="s">
        <v>6627</v>
      </c>
      <c r="D5232" s="159">
        <v>45568.0</v>
      </c>
      <c r="E5232" s="157" t="s">
        <v>731</v>
      </c>
      <c r="F5232" s="160">
        <v>866669.78</v>
      </c>
      <c r="G5232" s="160">
        <f>'FACP$'!$F5232*0.16</f>
        <v>138667.1648</v>
      </c>
      <c r="H5232" s="160">
        <f t="shared" si="124"/>
        <v>1005336.945</v>
      </c>
      <c r="I5232" s="160"/>
      <c r="J5232" s="161"/>
      <c r="K5232" s="160"/>
      <c r="L5232" s="160">
        <f>+'FACP$'!$H5232-'FACP$'!$I5232-'FACP$'!$K5232</f>
        <v>1005336.945</v>
      </c>
      <c r="M5232" s="162" t="s">
        <v>121</v>
      </c>
      <c r="N5232" s="162" t="s">
        <v>554</v>
      </c>
      <c r="O5232" s="164">
        <v>45608.0</v>
      </c>
      <c r="P5232" s="164">
        <f t="array" ref="P5232">XLOOKUP('FACP$'!$B5232,'perfil de pagos'!$A$4:$A$46,'perfil de pagos'!$B$4:$B$46+'FACP$'!$D5232)</f>
        <v>45578</v>
      </c>
      <c r="Q5232" s="165">
        <f t="shared" si="128"/>
        <v>0</v>
      </c>
      <c r="R5232" s="167"/>
      <c r="S5232" s="167">
        <v>3389.0</v>
      </c>
      <c r="T5232" s="168">
        <f t="shared" si="3"/>
        <v>1005336.945</v>
      </c>
      <c r="U5232" s="168">
        <f t="shared" si="4"/>
        <v>0</v>
      </c>
      <c r="V5232" s="168">
        <f t="shared" si="5"/>
        <v>0</v>
      </c>
      <c r="W5232" s="168">
        <f t="shared" si="6"/>
        <v>0</v>
      </c>
      <c r="X5232" s="168">
        <f t="shared" si="7"/>
        <v>0</v>
      </c>
      <c r="Y5232" s="168">
        <f t="shared" si="8"/>
        <v>0</v>
      </c>
      <c r="Z5232" s="168">
        <f t="shared" si="9"/>
        <v>0</v>
      </c>
    </row>
    <row r="5233" ht="15.0" customHeight="1">
      <c r="A5233" s="157" t="s">
        <v>6631</v>
      </c>
      <c r="B5233" s="158" t="s">
        <v>35</v>
      </c>
      <c r="C5233" s="158" t="s">
        <v>6627</v>
      </c>
      <c r="D5233" s="159">
        <v>45568.0</v>
      </c>
      <c r="E5233" s="157" t="s">
        <v>731</v>
      </c>
      <c r="F5233" s="160">
        <v>41097.89</v>
      </c>
      <c r="G5233" s="160">
        <f>'FACP$'!$F5233*0.16</f>
        <v>6575.6624</v>
      </c>
      <c r="H5233" s="160">
        <f t="shared" si="124"/>
        <v>47673.5524</v>
      </c>
      <c r="I5233" s="160"/>
      <c r="J5233" s="161"/>
      <c r="K5233" s="160"/>
      <c r="L5233" s="160">
        <f>+'FACP$'!$H5233-'FACP$'!$I5233-'FACP$'!$K5233</f>
        <v>47673.5524</v>
      </c>
      <c r="M5233" s="162" t="s">
        <v>276</v>
      </c>
      <c r="N5233" s="162" t="s">
        <v>554</v>
      </c>
      <c r="O5233" s="164">
        <v>45594.0</v>
      </c>
      <c r="P5233" s="164">
        <f t="array" ref="P5233">XLOOKUP('FACP$'!$B5233,'perfil de pagos'!$A$4:$A$46,'perfil de pagos'!$B$4:$B$46+'FACP$'!$D5233)</f>
        <v>45578</v>
      </c>
      <c r="Q5233" s="165">
        <f t="shared" si="128"/>
        <v>0</v>
      </c>
      <c r="R5233" s="167"/>
      <c r="S5233" s="167">
        <v>3354.0</v>
      </c>
      <c r="T5233" s="168">
        <f t="shared" si="3"/>
        <v>47673.5524</v>
      </c>
      <c r="U5233" s="168">
        <f t="shared" si="4"/>
        <v>0</v>
      </c>
      <c r="V5233" s="168">
        <f t="shared" si="5"/>
        <v>0</v>
      </c>
      <c r="W5233" s="168">
        <f t="shared" si="6"/>
        <v>0</v>
      </c>
      <c r="X5233" s="168">
        <f t="shared" si="7"/>
        <v>0</v>
      </c>
      <c r="Y5233" s="168">
        <f t="shared" si="8"/>
        <v>0</v>
      </c>
      <c r="Z5233" s="168">
        <f t="shared" si="9"/>
        <v>0</v>
      </c>
    </row>
    <row r="5234" ht="15.0" customHeight="1">
      <c r="A5234" s="157" t="s">
        <v>6632</v>
      </c>
      <c r="B5234" s="158" t="s">
        <v>36</v>
      </c>
      <c r="C5234" s="158" t="s">
        <v>6627</v>
      </c>
      <c r="D5234" s="159">
        <v>45568.0</v>
      </c>
      <c r="E5234" s="157" t="s">
        <v>731</v>
      </c>
      <c r="F5234" s="160">
        <v>114171.84</v>
      </c>
      <c r="G5234" s="160">
        <f>'FACP$'!$F5234*0.16</f>
        <v>18267.4944</v>
      </c>
      <c r="H5234" s="160">
        <f t="shared" si="124"/>
        <v>132439.3344</v>
      </c>
      <c r="I5234" s="160"/>
      <c r="J5234" s="161"/>
      <c r="K5234" s="160"/>
      <c r="L5234" s="160">
        <f>+'FACP$'!$H5234-'FACP$'!$I5234-'FACP$'!$K5234</f>
        <v>132439.3344</v>
      </c>
      <c r="M5234" s="162" t="s">
        <v>530</v>
      </c>
      <c r="N5234" s="162" t="s">
        <v>554</v>
      </c>
      <c r="O5234" s="164">
        <v>45582.0</v>
      </c>
      <c r="P5234" s="164">
        <f t="array" ref="P5234">XLOOKUP('FACP$'!$B5234,'perfil de pagos'!$A$4:$A$46,'perfil de pagos'!$B$4:$B$46+'FACP$'!$D5234)</f>
        <v>45578</v>
      </c>
      <c r="Q5234" s="165">
        <f t="shared" si="128"/>
        <v>0</v>
      </c>
      <c r="R5234" s="167"/>
      <c r="S5234" s="167">
        <v>3333.0</v>
      </c>
      <c r="T5234" s="168">
        <f t="shared" si="3"/>
        <v>132439.3344</v>
      </c>
      <c r="U5234" s="168">
        <f t="shared" si="4"/>
        <v>0</v>
      </c>
      <c r="V5234" s="168">
        <f t="shared" si="5"/>
        <v>0</v>
      </c>
      <c r="W5234" s="168">
        <f t="shared" si="6"/>
        <v>0</v>
      </c>
      <c r="X5234" s="168">
        <f t="shared" si="7"/>
        <v>0</v>
      </c>
      <c r="Y5234" s="168">
        <f t="shared" si="8"/>
        <v>0</v>
      </c>
      <c r="Z5234" s="168">
        <f t="shared" si="9"/>
        <v>0</v>
      </c>
    </row>
    <row r="5235" ht="15.0" customHeight="1">
      <c r="A5235" s="157" t="s">
        <v>6633</v>
      </c>
      <c r="B5235" s="158" t="s">
        <v>36</v>
      </c>
      <c r="C5235" s="158" t="s">
        <v>6629</v>
      </c>
      <c r="D5235" s="159">
        <v>45568.0</v>
      </c>
      <c r="E5235" s="157" t="s">
        <v>731</v>
      </c>
      <c r="F5235" s="160">
        <v>70406.0</v>
      </c>
      <c r="G5235" s="160">
        <f>'FACP$'!$F5235*0.16</f>
        <v>11264.96</v>
      </c>
      <c r="H5235" s="160">
        <f t="shared" si="124"/>
        <v>81670.96</v>
      </c>
      <c r="I5235" s="160"/>
      <c r="J5235" s="161"/>
      <c r="K5235" s="160"/>
      <c r="L5235" s="160">
        <f>+'FACP$'!$H5235-'FACP$'!$I5235-'FACP$'!$K5235</f>
        <v>81670.96</v>
      </c>
      <c r="M5235" s="162" t="s">
        <v>530</v>
      </c>
      <c r="N5235" s="162" t="s">
        <v>554</v>
      </c>
      <c r="O5235" s="164">
        <v>45582.0</v>
      </c>
      <c r="P5235" s="164">
        <f t="array" ref="P5235">XLOOKUP('FACP$'!$B5235,'perfil de pagos'!$A$4:$A$46,'perfil de pagos'!$B$4:$B$46+'FACP$'!$D5235)</f>
        <v>45578</v>
      </c>
      <c r="Q5235" s="165">
        <f t="shared" si="128"/>
        <v>0</v>
      </c>
      <c r="R5235" s="167"/>
      <c r="S5235" s="167">
        <v>3332.0</v>
      </c>
      <c r="T5235" s="168">
        <f t="shared" si="3"/>
        <v>81670.96</v>
      </c>
      <c r="U5235" s="168">
        <f t="shared" si="4"/>
        <v>0</v>
      </c>
      <c r="V5235" s="168">
        <f t="shared" si="5"/>
        <v>0</v>
      </c>
      <c r="W5235" s="168">
        <f t="shared" si="6"/>
        <v>0</v>
      </c>
      <c r="X5235" s="168">
        <f t="shared" si="7"/>
        <v>0</v>
      </c>
      <c r="Y5235" s="168">
        <f t="shared" si="8"/>
        <v>0</v>
      </c>
      <c r="Z5235" s="168">
        <f t="shared" si="9"/>
        <v>0</v>
      </c>
    </row>
    <row r="5236" ht="15.0" customHeight="1">
      <c r="A5236" s="157" t="s">
        <v>6634</v>
      </c>
      <c r="B5236" s="158" t="s">
        <v>36</v>
      </c>
      <c r="C5236" s="158" t="s">
        <v>6627</v>
      </c>
      <c r="D5236" s="159">
        <v>45568.0</v>
      </c>
      <c r="E5236" s="157" t="s">
        <v>731</v>
      </c>
      <c r="F5236" s="160">
        <v>48150.05</v>
      </c>
      <c r="G5236" s="160">
        <f>'FACP$'!$F5236*0.16</f>
        <v>7704.008</v>
      </c>
      <c r="H5236" s="160">
        <f t="shared" si="124"/>
        <v>55854.058</v>
      </c>
      <c r="I5236" s="160"/>
      <c r="J5236" s="161"/>
      <c r="K5236" s="160"/>
      <c r="L5236" s="160">
        <f>+'FACP$'!$H5236-'FACP$'!$I5236-'FACP$'!$K5236</f>
        <v>55854.058</v>
      </c>
      <c r="M5236" s="162" t="s">
        <v>526</v>
      </c>
      <c r="N5236" s="162" t="s">
        <v>554</v>
      </c>
      <c r="O5236" s="164">
        <v>45582.0</v>
      </c>
      <c r="P5236" s="164">
        <f t="array" ref="P5236">XLOOKUP('FACP$'!$B5236,'perfil de pagos'!$A$4:$A$46,'perfil de pagos'!$B$4:$B$46+'FACP$'!$D5236)</f>
        <v>45578</v>
      </c>
      <c r="Q5236" s="165">
        <f t="shared" si="128"/>
        <v>0</v>
      </c>
      <c r="R5236" s="167"/>
      <c r="S5236" s="167">
        <v>3334.0</v>
      </c>
      <c r="T5236" s="168">
        <f t="shared" si="3"/>
        <v>55854.058</v>
      </c>
      <c r="U5236" s="168">
        <f t="shared" si="4"/>
        <v>0</v>
      </c>
      <c r="V5236" s="168">
        <f t="shared" si="5"/>
        <v>0</v>
      </c>
      <c r="W5236" s="168">
        <f t="shared" si="6"/>
        <v>0</v>
      </c>
      <c r="X5236" s="168">
        <f t="shared" si="7"/>
        <v>0</v>
      </c>
      <c r="Y5236" s="168">
        <f t="shared" si="8"/>
        <v>0</v>
      </c>
      <c r="Z5236" s="168">
        <f t="shared" si="9"/>
        <v>0</v>
      </c>
    </row>
    <row r="5237" ht="15.0" customHeight="1">
      <c r="A5237" s="157" t="s">
        <v>6635</v>
      </c>
      <c r="B5237" s="158" t="s">
        <v>36</v>
      </c>
      <c r="C5237" s="158" t="s">
        <v>6629</v>
      </c>
      <c r="D5237" s="159">
        <v>45568.0</v>
      </c>
      <c r="E5237" s="157" t="s">
        <v>731</v>
      </c>
      <c r="F5237" s="160">
        <v>44631.5</v>
      </c>
      <c r="G5237" s="160">
        <f>'FACP$'!$F5237*0.16</f>
        <v>7141.04</v>
      </c>
      <c r="H5237" s="160">
        <f t="shared" si="124"/>
        <v>51772.54</v>
      </c>
      <c r="I5237" s="160"/>
      <c r="J5237" s="161"/>
      <c r="K5237" s="160"/>
      <c r="L5237" s="160">
        <f>+'FACP$'!$H5237-'FACP$'!$I5237-'FACP$'!$K5237</f>
        <v>51772.54</v>
      </c>
      <c r="M5237" s="162" t="s">
        <v>526</v>
      </c>
      <c r="N5237" s="162" t="s">
        <v>554</v>
      </c>
      <c r="O5237" s="164">
        <v>45596.0</v>
      </c>
      <c r="P5237" s="164">
        <f t="array" ref="P5237">XLOOKUP('FACP$'!$B5237,'perfil de pagos'!$A$4:$A$46,'perfil de pagos'!$B$4:$B$46+'FACP$'!$D5237)</f>
        <v>45578</v>
      </c>
      <c r="Q5237" s="165">
        <f t="shared" si="128"/>
        <v>0</v>
      </c>
      <c r="R5237" s="167"/>
      <c r="S5237" s="167">
        <v>3366.0</v>
      </c>
      <c r="T5237" s="168">
        <f t="shared" si="3"/>
        <v>51772.54</v>
      </c>
      <c r="U5237" s="168">
        <f t="shared" si="4"/>
        <v>0</v>
      </c>
      <c r="V5237" s="168">
        <f t="shared" si="5"/>
        <v>0</v>
      </c>
      <c r="W5237" s="168">
        <f t="shared" si="6"/>
        <v>0</v>
      </c>
      <c r="X5237" s="168">
        <f t="shared" si="7"/>
        <v>0</v>
      </c>
      <c r="Y5237" s="168">
        <f t="shared" si="8"/>
        <v>0</v>
      </c>
      <c r="Z5237" s="168">
        <f t="shared" si="9"/>
        <v>0</v>
      </c>
    </row>
    <row r="5238" ht="15.0" customHeight="1">
      <c r="A5238" s="157" t="s">
        <v>6636</v>
      </c>
      <c r="B5238" s="158" t="s">
        <v>42</v>
      </c>
      <c r="C5238" s="158" t="s">
        <v>6627</v>
      </c>
      <c r="D5238" s="159">
        <v>45568.0</v>
      </c>
      <c r="E5238" s="157" t="s">
        <v>731</v>
      </c>
      <c r="F5238" s="160">
        <v>46162.83</v>
      </c>
      <c r="G5238" s="160">
        <f>'FACP$'!$F5238*0.16</f>
        <v>7386.0528</v>
      </c>
      <c r="H5238" s="160">
        <f t="shared" si="124"/>
        <v>53548.8828</v>
      </c>
      <c r="I5238" s="160"/>
      <c r="J5238" s="161"/>
      <c r="K5238" s="160"/>
      <c r="L5238" s="160">
        <f>+'FACP$'!$H5238-'FACP$'!$I5238-'FACP$'!$K5238</f>
        <v>53548.8828</v>
      </c>
      <c r="M5238" s="162" t="s">
        <v>42</v>
      </c>
      <c r="N5238" s="162" t="s">
        <v>554</v>
      </c>
      <c r="O5238" s="164">
        <v>45589.0</v>
      </c>
      <c r="P5238" s="164">
        <f t="array" ref="P5238">XLOOKUP('FACP$'!$B5238,'perfil de pagos'!$A$4:$A$46,'perfil de pagos'!$B$4:$B$46+'FACP$'!$D5238)</f>
        <v>45578</v>
      </c>
      <c r="Q5238" s="165">
        <f t="shared" si="128"/>
        <v>0</v>
      </c>
      <c r="R5238" s="167"/>
      <c r="S5238" s="167">
        <v>3346.0</v>
      </c>
      <c r="T5238" s="168">
        <f t="shared" si="3"/>
        <v>53548.8828</v>
      </c>
      <c r="U5238" s="168">
        <f t="shared" si="4"/>
        <v>0</v>
      </c>
      <c r="V5238" s="168">
        <f t="shared" si="5"/>
        <v>0</v>
      </c>
      <c r="W5238" s="168">
        <f t="shared" si="6"/>
        <v>0</v>
      </c>
      <c r="X5238" s="168">
        <f t="shared" si="7"/>
        <v>0</v>
      </c>
      <c r="Y5238" s="168">
        <f t="shared" si="8"/>
        <v>0</v>
      </c>
      <c r="Z5238" s="168">
        <f t="shared" si="9"/>
        <v>0</v>
      </c>
    </row>
    <row r="5239" ht="15.0" customHeight="1">
      <c r="A5239" s="157" t="s">
        <v>6637</v>
      </c>
      <c r="B5239" s="158" t="s">
        <v>44</v>
      </c>
      <c r="C5239" s="158" t="s">
        <v>6627</v>
      </c>
      <c r="D5239" s="159">
        <v>45568.0</v>
      </c>
      <c r="E5239" s="157" t="s">
        <v>731</v>
      </c>
      <c r="F5239" s="160">
        <v>44215.11</v>
      </c>
      <c r="G5239" s="160">
        <f>'FACP$'!$F5239*0.16</f>
        <v>7074.4176</v>
      </c>
      <c r="H5239" s="160">
        <f t="shared" si="124"/>
        <v>51289.5276</v>
      </c>
      <c r="I5239" s="160"/>
      <c r="J5239" s="161"/>
      <c r="K5239" s="160"/>
      <c r="L5239" s="160">
        <f>+'FACP$'!$H5239-'FACP$'!$I5239-'FACP$'!$K5239</f>
        <v>51289.5276</v>
      </c>
      <c r="M5239" s="162" t="s">
        <v>361</v>
      </c>
      <c r="N5239" s="162" t="s">
        <v>554</v>
      </c>
      <c r="O5239" s="164">
        <v>45576.0</v>
      </c>
      <c r="P5239" s="164">
        <f t="array" ref="P5239">XLOOKUP('FACP$'!$B5239,'perfil de pagos'!$A$4:$A$46,'perfil de pagos'!$B$4:$B$46+'FACP$'!$D5239)</f>
        <v>45578</v>
      </c>
      <c r="Q5239" s="165">
        <f t="shared" si="128"/>
        <v>0</v>
      </c>
      <c r="R5239" s="167"/>
      <c r="S5239" s="167">
        <v>3317.0</v>
      </c>
      <c r="T5239" s="168">
        <f t="shared" si="3"/>
        <v>51289.5276</v>
      </c>
      <c r="U5239" s="168">
        <f t="shared" si="4"/>
        <v>0</v>
      </c>
      <c r="V5239" s="168">
        <f t="shared" si="5"/>
        <v>0</v>
      </c>
      <c r="W5239" s="168">
        <f t="shared" si="6"/>
        <v>0</v>
      </c>
      <c r="X5239" s="168">
        <f t="shared" si="7"/>
        <v>0</v>
      </c>
      <c r="Y5239" s="168">
        <f t="shared" si="8"/>
        <v>0</v>
      </c>
      <c r="Z5239" s="168">
        <f t="shared" si="9"/>
        <v>0</v>
      </c>
    </row>
    <row r="5240" ht="15.0" customHeight="1">
      <c r="A5240" s="157" t="s">
        <v>6638</v>
      </c>
      <c r="B5240" s="158" t="s">
        <v>6639</v>
      </c>
      <c r="C5240" s="158" t="s">
        <v>6640</v>
      </c>
      <c r="D5240" s="159"/>
      <c r="E5240" s="157" t="s">
        <v>731</v>
      </c>
      <c r="F5240" s="160"/>
      <c r="G5240" s="160">
        <f>'FACP$'!$F5240*0.16</f>
        <v>0</v>
      </c>
      <c r="H5240" s="160">
        <f t="shared" si="124"/>
        <v>0</v>
      </c>
      <c r="I5240" s="160"/>
      <c r="J5240" s="161"/>
      <c r="K5240" s="160"/>
      <c r="L5240" s="160">
        <f>+'FACP$'!$H5240-'FACP$'!$I5240-'FACP$'!$K5240</f>
        <v>0</v>
      </c>
      <c r="M5240" s="162"/>
      <c r="N5240" s="162"/>
      <c r="O5240" s="164"/>
      <c r="P5240" s="164" t="str">
        <f t="array" ref="P5240">XLOOKUP('FACP$'!$B5240,'perfil de pagos'!$A$4:$A$46,'perfil de pagos'!$B$4:$B$46+'FACP$'!$D5240)</f>
        <v>#N/A</v>
      </c>
      <c r="Q5240" s="165" t="str">
        <f t="shared" si="128"/>
        <v>#N/A</v>
      </c>
      <c r="R5240" s="167"/>
      <c r="S5240" s="167"/>
      <c r="T5240" s="168" t="str">
        <f t="shared" si="3"/>
        <v>#N/A</v>
      </c>
      <c r="U5240" s="168" t="str">
        <f t="shared" si="4"/>
        <v>#N/A</v>
      </c>
      <c r="V5240" s="168" t="str">
        <f t="shared" si="5"/>
        <v>#N/A</v>
      </c>
      <c r="W5240" s="168" t="str">
        <f t="shared" si="6"/>
        <v>#N/A</v>
      </c>
      <c r="X5240" s="168" t="str">
        <f t="shared" si="7"/>
        <v>#N/A</v>
      </c>
      <c r="Y5240" s="168" t="str">
        <f t="shared" si="8"/>
        <v>#N/A</v>
      </c>
      <c r="Z5240" s="168" t="str">
        <f t="shared" si="9"/>
        <v>#N/A</v>
      </c>
    </row>
    <row r="5241" ht="15.0" customHeight="1">
      <c r="A5241" s="194" t="s">
        <v>6641</v>
      </c>
      <c r="B5241" s="192" t="s">
        <v>51</v>
      </c>
      <c r="C5241" s="192" t="s">
        <v>6642</v>
      </c>
      <c r="D5241" s="193">
        <v>45572.0</v>
      </c>
      <c r="E5241" s="194" t="s">
        <v>731</v>
      </c>
      <c r="F5241" s="195">
        <v>1047580.5</v>
      </c>
      <c r="G5241" s="195">
        <f>'FACP$'!$F5241*0.16</f>
        <v>167612.88</v>
      </c>
      <c r="H5241" s="195">
        <f t="shared" si="124"/>
        <v>1215193.38</v>
      </c>
      <c r="I5241" s="195"/>
      <c r="J5241" s="196"/>
      <c r="K5241" s="195"/>
      <c r="L5241" s="195">
        <f>+'FACP$'!$H5241-'FACP$'!$I5241-'FACP$'!$K5241</f>
        <v>1215193.38</v>
      </c>
      <c r="M5241" s="318" t="s">
        <v>6494</v>
      </c>
      <c r="N5241" s="318" t="s">
        <v>127</v>
      </c>
      <c r="O5241" s="319"/>
      <c r="P5241" s="319">
        <f t="array" ref="P5241">XLOOKUP('FACP$'!$B5241,'perfil de pagos'!$A$4:$A$46,'perfil de pagos'!$B$4:$B$46+'FACP$'!$D5241)</f>
        <v>45602</v>
      </c>
      <c r="Q5241" s="320">
        <f t="shared" si="128"/>
        <v>0</v>
      </c>
      <c r="R5241" s="321"/>
      <c r="S5241" s="321"/>
      <c r="T5241" s="322">
        <f t="shared" si="3"/>
        <v>1215193.38</v>
      </c>
      <c r="U5241" s="322">
        <f t="shared" si="4"/>
        <v>0</v>
      </c>
      <c r="V5241" s="322">
        <f t="shared" si="5"/>
        <v>0</v>
      </c>
      <c r="W5241" s="322">
        <f t="shared" si="6"/>
        <v>0</v>
      </c>
      <c r="X5241" s="322">
        <f t="shared" si="7"/>
        <v>0</v>
      </c>
      <c r="Y5241" s="322">
        <f t="shared" si="8"/>
        <v>0</v>
      </c>
      <c r="Z5241" s="322">
        <f t="shared" si="9"/>
        <v>0</v>
      </c>
    </row>
    <row r="5242" ht="15.0" customHeight="1">
      <c r="A5242" s="194" t="s">
        <v>6643</v>
      </c>
      <c r="B5242" s="192" t="s">
        <v>51</v>
      </c>
      <c r="C5242" s="192" t="s">
        <v>6642</v>
      </c>
      <c r="D5242" s="193">
        <v>45572.0</v>
      </c>
      <c r="E5242" s="194" t="s">
        <v>731</v>
      </c>
      <c r="F5242" s="195">
        <v>682255.81</v>
      </c>
      <c r="G5242" s="195">
        <f>'FACP$'!$F5242*0.16</f>
        <v>109160.9296</v>
      </c>
      <c r="H5242" s="195">
        <f t="shared" si="124"/>
        <v>791416.7396</v>
      </c>
      <c r="I5242" s="195"/>
      <c r="J5242" s="196"/>
      <c r="K5242" s="195"/>
      <c r="L5242" s="195">
        <f>+'FACP$'!$H5242-'FACP$'!$I5242-'FACP$'!$K5242</f>
        <v>791416.7396</v>
      </c>
      <c r="M5242" s="318" t="s">
        <v>519</v>
      </c>
      <c r="N5242" s="318" t="s">
        <v>127</v>
      </c>
      <c r="O5242" s="319"/>
      <c r="P5242" s="319">
        <f t="array" ref="P5242">XLOOKUP('FACP$'!$B5242,'perfil de pagos'!$A$4:$A$46,'perfil de pagos'!$B$4:$B$46+'FACP$'!$D5242)</f>
        <v>45602</v>
      </c>
      <c r="Q5242" s="320">
        <f t="shared" si="128"/>
        <v>0</v>
      </c>
      <c r="R5242" s="321"/>
      <c r="S5242" s="321"/>
      <c r="T5242" s="322">
        <f t="shared" si="3"/>
        <v>791416.7396</v>
      </c>
      <c r="U5242" s="322">
        <f t="shared" si="4"/>
        <v>0</v>
      </c>
      <c r="V5242" s="322">
        <f t="shared" si="5"/>
        <v>0</v>
      </c>
      <c r="W5242" s="322">
        <f t="shared" si="6"/>
        <v>0</v>
      </c>
      <c r="X5242" s="322">
        <f t="shared" si="7"/>
        <v>0</v>
      </c>
      <c r="Y5242" s="322">
        <f t="shared" si="8"/>
        <v>0</v>
      </c>
      <c r="Z5242" s="322">
        <f t="shared" si="9"/>
        <v>0</v>
      </c>
    </row>
    <row r="5243" ht="15.0" customHeight="1">
      <c r="A5243" s="157" t="s">
        <v>6644</v>
      </c>
      <c r="B5243" s="158" t="s">
        <v>27</v>
      </c>
      <c r="C5243" s="158" t="s">
        <v>6621</v>
      </c>
      <c r="D5243" s="159">
        <v>45572.0</v>
      </c>
      <c r="E5243" s="157" t="s">
        <v>731</v>
      </c>
      <c r="F5243" s="160">
        <v>17758.76</v>
      </c>
      <c r="G5243" s="160">
        <f>'FACP$'!$F5243*0.16</f>
        <v>2841.4016</v>
      </c>
      <c r="H5243" s="160">
        <f t="shared" si="124"/>
        <v>20600.1616</v>
      </c>
      <c r="I5243" s="160"/>
      <c r="J5243" s="161"/>
      <c r="K5243" s="160"/>
      <c r="L5243" s="160">
        <f>+'FACP$'!$H5243-'FACP$'!$I5243-'FACP$'!$K5243</f>
        <v>20600.1616</v>
      </c>
      <c r="M5243" s="162" t="s">
        <v>158</v>
      </c>
      <c r="N5243" s="162" t="s">
        <v>554</v>
      </c>
      <c r="O5243" s="164">
        <v>45625.0</v>
      </c>
      <c r="P5243" s="164">
        <f t="array" ref="P5243">XLOOKUP('FACP$'!$B5243,'perfil de pagos'!$A$4:$A$46,'perfil de pagos'!$B$4:$B$46+'FACP$'!$D5243)</f>
        <v>45602</v>
      </c>
      <c r="Q5243" s="165">
        <f t="shared" si="128"/>
        <v>0</v>
      </c>
      <c r="R5243" s="167"/>
      <c r="S5243" s="167">
        <v>3433.0</v>
      </c>
      <c r="T5243" s="168">
        <f t="shared" si="3"/>
        <v>20600.1616</v>
      </c>
      <c r="U5243" s="168">
        <f t="shared" si="4"/>
        <v>0</v>
      </c>
      <c r="V5243" s="168">
        <f t="shared" si="5"/>
        <v>0</v>
      </c>
      <c r="W5243" s="168">
        <f t="shared" si="6"/>
        <v>0</v>
      </c>
      <c r="X5243" s="168">
        <f t="shared" si="7"/>
        <v>0</v>
      </c>
      <c r="Y5243" s="168">
        <f t="shared" si="8"/>
        <v>0</v>
      </c>
      <c r="Z5243" s="168">
        <f t="shared" si="9"/>
        <v>0</v>
      </c>
    </row>
    <row r="5244" ht="15.0" customHeight="1">
      <c r="A5244" s="157" t="s">
        <v>6645</v>
      </c>
      <c r="B5244" s="158" t="s">
        <v>27</v>
      </c>
      <c r="C5244" s="158" t="s">
        <v>6623</v>
      </c>
      <c r="D5244" s="159">
        <v>45572.0</v>
      </c>
      <c r="E5244" s="157" t="s">
        <v>731</v>
      </c>
      <c r="F5244" s="160">
        <v>8243.58</v>
      </c>
      <c r="G5244" s="160">
        <f>'FACP$'!$F5244*0.16</f>
        <v>1318.9728</v>
      </c>
      <c r="H5244" s="160">
        <f t="shared" si="124"/>
        <v>9562.5528</v>
      </c>
      <c r="I5244" s="160"/>
      <c r="J5244" s="161"/>
      <c r="K5244" s="160"/>
      <c r="L5244" s="160">
        <f>+'FACP$'!$H5244-'FACP$'!$I5244-'FACP$'!$K5244</f>
        <v>9562.5528</v>
      </c>
      <c r="M5244" s="162" t="s">
        <v>158</v>
      </c>
      <c r="N5244" s="162" t="s">
        <v>554</v>
      </c>
      <c r="O5244" s="164">
        <v>45625.0</v>
      </c>
      <c r="P5244" s="164">
        <f t="array" ref="P5244">XLOOKUP('FACP$'!$B5244,'perfil de pagos'!$A$4:$A$46,'perfil de pagos'!$B$4:$B$46+'FACP$'!$D5244)</f>
        <v>45602</v>
      </c>
      <c r="Q5244" s="165">
        <f t="shared" si="128"/>
        <v>0</v>
      </c>
      <c r="R5244" s="167"/>
      <c r="S5244" s="167">
        <v>3433.0</v>
      </c>
      <c r="T5244" s="168">
        <f t="shared" si="3"/>
        <v>9562.5528</v>
      </c>
      <c r="U5244" s="168">
        <f t="shared" si="4"/>
        <v>0</v>
      </c>
      <c r="V5244" s="168">
        <f t="shared" si="5"/>
        <v>0</v>
      </c>
      <c r="W5244" s="168">
        <f t="shared" si="6"/>
        <v>0</v>
      </c>
      <c r="X5244" s="168">
        <f t="shared" si="7"/>
        <v>0</v>
      </c>
      <c r="Y5244" s="168">
        <f t="shared" si="8"/>
        <v>0</v>
      </c>
      <c r="Z5244" s="168">
        <f t="shared" si="9"/>
        <v>0</v>
      </c>
    </row>
    <row r="5245" ht="15.0" customHeight="1">
      <c r="A5245" s="157" t="s">
        <v>6646</v>
      </c>
      <c r="B5245" s="158" t="s">
        <v>27</v>
      </c>
      <c r="C5245" s="158" t="s">
        <v>6621</v>
      </c>
      <c r="D5245" s="159">
        <v>45572.0</v>
      </c>
      <c r="E5245" s="157" t="s">
        <v>731</v>
      </c>
      <c r="F5245" s="160">
        <v>28088.32</v>
      </c>
      <c r="G5245" s="160">
        <f>'FACP$'!$F5245*0.16</f>
        <v>4494.1312</v>
      </c>
      <c r="H5245" s="160">
        <f t="shared" si="124"/>
        <v>32582.4512</v>
      </c>
      <c r="I5245" s="160"/>
      <c r="J5245" s="161"/>
      <c r="K5245" s="160"/>
      <c r="L5245" s="160">
        <f>+'FACP$'!$H5245-'FACP$'!$I5245-'FACP$'!$K5245</f>
        <v>32582.4512</v>
      </c>
      <c r="M5245" s="162" t="s">
        <v>151</v>
      </c>
      <c r="N5245" s="162" t="s">
        <v>554</v>
      </c>
      <c r="O5245" s="164">
        <v>45625.0</v>
      </c>
      <c r="P5245" s="164">
        <f t="array" ref="P5245">XLOOKUP('FACP$'!$B5245,'perfil de pagos'!$A$4:$A$46,'perfil de pagos'!$B$4:$B$46+'FACP$'!$D5245)</f>
        <v>45602</v>
      </c>
      <c r="Q5245" s="165">
        <f t="shared" si="128"/>
        <v>0</v>
      </c>
      <c r="R5245" s="167"/>
      <c r="S5245" s="167">
        <v>3434.0</v>
      </c>
      <c r="T5245" s="168">
        <f t="shared" si="3"/>
        <v>32582.4512</v>
      </c>
      <c r="U5245" s="168">
        <f t="shared" si="4"/>
        <v>0</v>
      </c>
      <c r="V5245" s="168">
        <f t="shared" si="5"/>
        <v>0</v>
      </c>
      <c r="W5245" s="168">
        <f t="shared" si="6"/>
        <v>0</v>
      </c>
      <c r="X5245" s="168">
        <f t="shared" si="7"/>
        <v>0</v>
      </c>
      <c r="Y5245" s="168">
        <f t="shared" si="8"/>
        <v>0</v>
      </c>
      <c r="Z5245" s="168">
        <f t="shared" si="9"/>
        <v>0</v>
      </c>
    </row>
    <row r="5246" ht="15.0" customHeight="1">
      <c r="A5246" s="157" t="s">
        <v>6647</v>
      </c>
      <c r="B5246" s="158" t="s">
        <v>27</v>
      </c>
      <c r="C5246" s="158" t="s">
        <v>6623</v>
      </c>
      <c r="D5246" s="159">
        <v>45572.0</v>
      </c>
      <c r="E5246" s="157" t="s">
        <v>731</v>
      </c>
      <c r="F5246" s="160">
        <v>7915.95</v>
      </c>
      <c r="G5246" s="160">
        <f>'FACP$'!$F5246*0.16</f>
        <v>1266.552</v>
      </c>
      <c r="H5246" s="160">
        <f t="shared" si="124"/>
        <v>9182.502</v>
      </c>
      <c r="I5246" s="160"/>
      <c r="J5246" s="161"/>
      <c r="K5246" s="160"/>
      <c r="L5246" s="160">
        <f>+'FACP$'!$H5246-'FACP$'!$I5246-'FACP$'!$K5246</f>
        <v>9182.502</v>
      </c>
      <c r="M5246" s="162" t="s">
        <v>151</v>
      </c>
      <c r="N5246" s="162" t="s">
        <v>554</v>
      </c>
      <c r="O5246" s="164">
        <v>45625.0</v>
      </c>
      <c r="P5246" s="164">
        <f t="array" ref="P5246">XLOOKUP('FACP$'!$B5246,'perfil de pagos'!$A$4:$A$46,'perfil de pagos'!$B$4:$B$46+'FACP$'!$D5246)</f>
        <v>45602</v>
      </c>
      <c r="Q5246" s="165">
        <f t="shared" si="128"/>
        <v>0</v>
      </c>
      <c r="R5246" s="167"/>
      <c r="S5246" s="167">
        <v>3434.0</v>
      </c>
      <c r="T5246" s="168">
        <f t="shared" si="3"/>
        <v>9182.502</v>
      </c>
      <c r="U5246" s="168">
        <f t="shared" si="4"/>
        <v>0</v>
      </c>
      <c r="V5246" s="168">
        <f t="shared" si="5"/>
        <v>0</v>
      </c>
      <c r="W5246" s="168">
        <f t="shared" si="6"/>
        <v>0</v>
      </c>
      <c r="X5246" s="168">
        <f t="shared" si="7"/>
        <v>0</v>
      </c>
      <c r="Y5246" s="168">
        <f t="shared" si="8"/>
        <v>0</v>
      </c>
      <c r="Z5246" s="168">
        <f t="shared" si="9"/>
        <v>0</v>
      </c>
    </row>
    <row r="5247" ht="15.0" customHeight="1">
      <c r="A5247" s="157" t="s">
        <v>6648</v>
      </c>
      <c r="B5247" s="158" t="s">
        <v>38</v>
      </c>
      <c r="C5247" s="158" t="s">
        <v>6590</v>
      </c>
      <c r="D5247" s="159">
        <v>45572.0</v>
      </c>
      <c r="E5247" s="157" t="s">
        <v>731</v>
      </c>
      <c r="F5247" s="160">
        <v>443481.51</v>
      </c>
      <c r="G5247" s="160">
        <f>'FACP$'!$F5247*0.16</f>
        <v>70957.0416</v>
      </c>
      <c r="H5247" s="160">
        <f t="shared" si="124"/>
        <v>514438.5516</v>
      </c>
      <c r="I5247" s="160"/>
      <c r="J5247" s="161"/>
      <c r="K5247" s="160"/>
      <c r="L5247" s="160">
        <f>+'FACP$'!$H5247-'FACP$'!$I5247-'FACP$'!$K5247</f>
        <v>514438.5516</v>
      </c>
      <c r="M5247" s="162" t="s">
        <v>145</v>
      </c>
      <c r="N5247" s="162" t="s">
        <v>554</v>
      </c>
      <c r="O5247" s="164">
        <v>45595.0</v>
      </c>
      <c r="P5247" s="164">
        <f t="array" ref="P5247">XLOOKUP('FACP$'!$B5247,'perfil de pagos'!$A$4:$A$46,'perfil de pagos'!$B$4:$B$46+'FACP$'!$D5247)</f>
        <v>45602</v>
      </c>
      <c r="Q5247" s="165">
        <f t="shared" si="128"/>
        <v>0</v>
      </c>
      <c r="R5247" s="167"/>
      <c r="S5247" s="167">
        <v>3363.0</v>
      </c>
      <c r="T5247" s="168">
        <f t="shared" si="3"/>
        <v>514438.5516</v>
      </c>
      <c r="U5247" s="168">
        <f t="shared" si="4"/>
        <v>0</v>
      </c>
      <c r="V5247" s="168">
        <f t="shared" si="5"/>
        <v>0</v>
      </c>
      <c r="W5247" s="168">
        <f t="shared" si="6"/>
        <v>0</v>
      </c>
      <c r="X5247" s="168">
        <f t="shared" si="7"/>
        <v>0</v>
      </c>
      <c r="Y5247" s="168">
        <f t="shared" si="8"/>
        <v>0</v>
      </c>
      <c r="Z5247" s="168">
        <f t="shared" si="9"/>
        <v>0</v>
      </c>
    </row>
    <row r="5248" ht="15.0" customHeight="1">
      <c r="A5248" s="157" t="s">
        <v>6649</v>
      </c>
      <c r="B5248" s="158" t="s">
        <v>27</v>
      </c>
      <c r="C5248" s="158" t="s">
        <v>6650</v>
      </c>
      <c r="D5248" s="159">
        <v>45572.0</v>
      </c>
      <c r="E5248" s="157" t="s">
        <v>731</v>
      </c>
      <c r="F5248" s="160">
        <v>46000.0</v>
      </c>
      <c r="G5248" s="160">
        <f>'FACP$'!$F5248*0.16</f>
        <v>7360</v>
      </c>
      <c r="H5248" s="160">
        <f t="shared" si="124"/>
        <v>53360</v>
      </c>
      <c r="I5248" s="160"/>
      <c r="J5248" s="161"/>
      <c r="K5248" s="160"/>
      <c r="L5248" s="160">
        <f>+'FACP$'!$H5248-'FACP$'!$I5248-'FACP$'!$K5248</f>
        <v>53360</v>
      </c>
      <c r="M5248" s="162" t="s">
        <v>5804</v>
      </c>
      <c r="N5248" s="162" t="s">
        <v>554</v>
      </c>
      <c r="O5248" s="164">
        <v>45587.0</v>
      </c>
      <c r="P5248" s="164">
        <f t="array" ref="P5248">XLOOKUP('FACP$'!$B5248,'perfil de pagos'!$A$4:$A$46,'perfil de pagos'!$B$4:$B$46+'FACP$'!$D5248)</f>
        <v>45602</v>
      </c>
      <c r="Q5248" s="165">
        <f t="shared" si="128"/>
        <v>0</v>
      </c>
      <c r="R5248" s="167"/>
      <c r="S5248" s="167"/>
      <c r="T5248" s="168">
        <f t="shared" si="3"/>
        <v>53360</v>
      </c>
      <c r="U5248" s="168">
        <f t="shared" si="4"/>
        <v>0</v>
      </c>
      <c r="V5248" s="168">
        <f t="shared" si="5"/>
        <v>0</v>
      </c>
      <c r="W5248" s="168">
        <f t="shared" si="6"/>
        <v>0</v>
      </c>
      <c r="X5248" s="168">
        <f t="shared" si="7"/>
        <v>0</v>
      </c>
      <c r="Y5248" s="168">
        <f t="shared" si="8"/>
        <v>0</v>
      </c>
      <c r="Z5248" s="168">
        <f t="shared" si="9"/>
        <v>0</v>
      </c>
    </row>
    <row r="5249" ht="15.0" customHeight="1">
      <c r="A5249" s="157" t="s">
        <v>6651</v>
      </c>
      <c r="B5249" s="158" t="s">
        <v>38</v>
      </c>
      <c r="C5249" s="158" t="s">
        <v>6627</v>
      </c>
      <c r="D5249" s="159">
        <v>45574.0</v>
      </c>
      <c r="E5249" s="157" t="s">
        <v>731</v>
      </c>
      <c r="F5249" s="160">
        <v>113408.96</v>
      </c>
      <c r="G5249" s="160">
        <f>'FACP$'!$F5249*0.16</f>
        <v>18145.4336</v>
      </c>
      <c r="H5249" s="160">
        <f t="shared" si="124"/>
        <v>131554.3936</v>
      </c>
      <c r="I5249" s="160"/>
      <c r="J5249" s="161"/>
      <c r="K5249" s="160"/>
      <c r="L5249" s="160">
        <f>+'FACP$'!$H5249-'FACP$'!$I5249-'FACP$'!$K5249</f>
        <v>131554.3936</v>
      </c>
      <c r="M5249" s="162" t="s">
        <v>4654</v>
      </c>
      <c r="N5249" s="162" t="s">
        <v>554</v>
      </c>
      <c r="O5249" s="164">
        <v>45595.0</v>
      </c>
      <c r="P5249" s="164">
        <f t="array" ref="P5249">XLOOKUP('FACP$'!$B5249,'perfil de pagos'!$A$4:$A$46,'perfil de pagos'!$B$4:$B$46+'FACP$'!$D5249)</f>
        <v>45604</v>
      </c>
      <c r="Q5249" s="165">
        <f t="shared" si="128"/>
        <v>0</v>
      </c>
      <c r="R5249" s="167"/>
      <c r="S5249" s="167">
        <v>3363.0</v>
      </c>
      <c r="T5249" s="168">
        <f t="shared" si="3"/>
        <v>131554.3936</v>
      </c>
      <c r="U5249" s="168">
        <f t="shared" si="4"/>
        <v>0</v>
      </c>
      <c r="V5249" s="168">
        <f t="shared" si="5"/>
        <v>0</v>
      </c>
      <c r="W5249" s="168">
        <f t="shared" si="6"/>
        <v>0</v>
      </c>
      <c r="X5249" s="168">
        <f t="shared" si="7"/>
        <v>0</v>
      </c>
      <c r="Y5249" s="168">
        <f t="shared" si="8"/>
        <v>0</v>
      </c>
      <c r="Z5249" s="168">
        <f t="shared" si="9"/>
        <v>0</v>
      </c>
    </row>
    <row r="5250" ht="15.0" customHeight="1">
      <c r="A5250" s="157" t="s">
        <v>6652</v>
      </c>
      <c r="B5250" s="158" t="s">
        <v>16</v>
      </c>
      <c r="C5250" s="158" t="s">
        <v>6627</v>
      </c>
      <c r="D5250" s="159">
        <v>45574.0</v>
      </c>
      <c r="E5250" s="157" t="s">
        <v>731</v>
      </c>
      <c r="F5250" s="160">
        <v>324614.51</v>
      </c>
      <c r="G5250" s="160">
        <f>'FACP$'!$F5250*0.16</f>
        <v>51938.3216</v>
      </c>
      <c r="H5250" s="160">
        <f t="shared" si="124"/>
        <v>376552.8316</v>
      </c>
      <c r="I5250" s="160"/>
      <c r="J5250" s="161"/>
      <c r="K5250" s="160"/>
      <c r="L5250" s="160">
        <f>+'FACP$'!$H5250-'FACP$'!$I5250-'FACP$'!$K5250</f>
        <v>376552.8316</v>
      </c>
      <c r="M5250" s="162" t="s">
        <v>985</v>
      </c>
      <c r="N5250" s="162" t="s">
        <v>554</v>
      </c>
      <c r="O5250" s="164">
        <v>45581.0</v>
      </c>
      <c r="P5250" s="164">
        <f t="array" ref="P5250">XLOOKUP('FACP$'!$B5250,'perfil de pagos'!$A$4:$A$46,'perfil de pagos'!$B$4:$B$46+'FACP$'!$D5250)</f>
        <v>45584</v>
      </c>
      <c r="Q5250" s="165">
        <f t="shared" si="128"/>
        <v>0</v>
      </c>
      <c r="R5250" s="167"/>
      <c r="S5250" s="167">
        <v>3328.0</v>
      </c>
      <c r="T5250" s="168">
        <f t="shared" si="3"/>
        <v>376552.8316</v>
      </c>
      <c r="U5250" s="168">
        <f t="shared" si="4"/>
        <v>0</v>
      </c>
      <c r="V5250" s="168">
        <f t="shared" si="5"/>
        <v>0</v>
      </c>
      <c r="W5250" s="168">
        <f t="shared" si="6"/>
        <v>0</v>
      </c>
      <c r="X5250" s="168">
        <f t="shared" si="7"/>
        <v>0</v>
      </c>
      <c r="Y5250" s="168">
        <f t="shared" si="8"/>
        <v>0</v>
      </c>
      <c r="Z5250" s="168">
        <f t="shared" si="9"/>
        <v>0</v>
      </c>
    </row>
    <row r="5251" ht="15.0" customHeight="1">
      <c r="A5251" s="157" t="s">
        <v>6653</v>
      </c>
      <c r="B5251" s="158" t="s">
        <v>16</v>
      </c>
      <c r="C5251" s="158" t="s">
        <v>6629</v>
      </c>
      <c r="D5251" s="159">
        <v>45574.0</v>
      </c>
      <c r="E5251" s="157" t="s">
        <v>731</v>
      </c>
      <c r="F5251" s="160">
        <v>517195.76</v>
      </c>
      <c r="G5251" s="160">
        <f>'FACP$'!$F5251*0.16</f>
        <v>82751.3216</v>
      </c>
      <c r="H5251" s="160">
        <f t="shared" si="124"/>
        <v>599947.0816</v>
      </c>
      <c r="I5251" s="160"/>
      <c r="J5251" s="161"/>
      <c r="K5251" s="160"/>
      <c r="L5251" s="160">
        <f>+'FACP$'!$H5251-'FACP$'!$I5251-'FACP$'!$K5251</f>
        <v>599947.0816</v>
      </c>
      <c r="M5251" s="162" t="s">
        <v>985</v>
      </c>
      <c r="N5251" s="162" t="s">
        <v>554</v>
      </c>
      <c r="O5251" s="164">
        <v>45581.0</v>
      </c>
      <c r="P5251" s="164">
        <f t="array" ref="P5251">XLOOKUP('FACP$'!$B5251,'perfil de pagos'!$A$4:$A$46,'perfil de pagos'!$B$4:$B$46+'FACP$'!$D5251)</f>
        <v>45584</v>
      </c>
      <c r="Q5251" s="165">
        <f t="shared" si="128"/>
        <v>0</v>
      </c>
      <c r="R5251" s="167"/>
      <c r="S5251" s="167">
        <v>3328.0</v>
      </c>
      <c r="T5251" s="168">
        <f t="shared" si="3"/>
        <v>599947.0816</v>
      </c>
      <c r="U5251" s="168">
        <f t="shared" si="4"/>
        <v>0</v>
      </c>
      <c r="V5251" s="168">
        <f t="shared" si="5"/>
        <v>0</v>
      </c>
      <c r="W5251" s="168">
        <f t="shared" si="6"/>
        <v>0</v>
      </c>
      <c r="X5251" s="168">
        <f t="shared" si="7"/>
        <v>0</v>
      </c>
      <c r="Y5251" s="168">
        <f t="shared" si="8"/>
        <v>0</v>
      </c>
      <c r="Z5251" s="168">
        <f t="shared" si="9"/>
        <v>0</v>
      </c>
    </row>
    <row r="5252" ht="15.0" customHeight="1">
      <c r="A5252" s="157" t="s">
        <v>6654</v>
      </c>
      <c r="B5252" s="158" t="s">
        <v>18</v>
      </c>
      <c r="C5252" s="158" t="s">
        <v>6627</v>
      </c>
      <c r="D5252" s="159">
        <v>45574.0</v>
      </c>
      <c r="E5252" s="157" t="s">
        <v>731</v>
      </c>
      <c r="F5252" s="160">
        <v>83553.38</v>
      </c>
      <c r="G5252" s="160">
        <f>'FACP$'!$F5252*0.16</f>
        <v>13368.5408</v>
      </c>
      <c r="H5252" s="160">
        <f t="shared" si="124"/>
        <v>96921.9208</v>
      </c>
      <c r="I5252" s="160"/>
      <c r="J5252" s="161"/>
      <c r="K5252" s="160"/>
      <c r="L5252" s="160">
        <f>+'FACP$'!$H5252-'FACP$'!$I5252-'FACP$'!$K5252</f>
        <v>96921.9208</v>
      </c>
      <c r="M5252" s="162" t="s">
        <v>586</v>
      </c>
      <c r="N5252" s="162" t="s">
        <v>554</v>
      </c>
      <c r="O5252" s="164">
        <v>45590.0</v>
      </c>
      <c r="P5252" s="164">
        <f t="array" ref="P5252">XLOOKUP('FACP$'!$B5252,'perfil de pagos'!$A$4:$A$46,'perfil de pagos'!$B$4:$B$46+'FACP$'!$D5252)</f>
        <v>45584</v>
      </c>
      <c r="Q5252" s="165">
        <f t="shared" si="128"/>
        <v>0</v>
      </c>
      <c r="R5252" s="167"/>
      <c r="S5252" s="167">
        <v>3351.0</v>
      </c>
      <c r="T5252" s="168">
        <f t="shared" si="3"/>
        <v>96921.9208</v>
      </c>
      <c r="U5252" s="168">
        <f t="shared" si="4"/>
        <v>0</v>
      </c>
      <c r="V5252" s="168">
        <f t="shared" si="5"/>
        <v>0</v>
      </c>
      <c r="W5252" s="168">
        <f t="shared" si="6"/>
        <v>0</v>
      </c>
      <c r="X5252" s="168">
        <f t="shared" si="7"/>
        <v>0</v>
      </c>
      <c r="Y5252" s="168">
        <f t="shared" si="8"/>
        <v>0</v>
      </c>
      <c r="Z5252" s="168">
        <f t="shared" si="9"/>
        <v>0</v>
      </c>
    </row>
    <row r="5253" ht="15.0" customHeight="1">
      <c r="A5253" s="157" t="s">
        <v>6655</v>
      </c>
      <c r="B5253" s="158" t="s">
        <v>19</v>
      </c>
      <c r="C5253" s="158" t="s">
        <v>6627</v>
      </c>
      <c r="D5253" s="159">
        <v>45574.0</v>
      </c>
      <c r="E5253" s="157" t="s">
        <v>731</v>
      </c>
      <c r="F5253" s="160">
        <v>180047.09</v>
      </c>
      <c r="G5253" s="160">
        <f>'FACP$'!$F5253*0.16</f>
        <v>28807.5344</v>
      </c>
      <c r="H5253" s="160">
        <f t="shared" si="124"/>
        <v>208854.6244</v>
      </c>
      <c r="I5253" s="160"/>
      <c r="J5253" s="161"/>
      <c r="K5253" s="160"/>
      <c r="L5253" s="160">
        <f>+'FACP$'!$H5253-'FACP$'!$I5253-'FACP$'!$K5253</f>
        <v>208854.6244</v>
      </c>
      <c r="M5253" s="162" t="s">
        <v>732</v>
      </c>
      <c r="N5253" s="162" t="s">
        <v>554</v>
      </c>
      <c r="O5253" s="164">
        <v>45590.0</v>
      </c>
      <c r="P5253" s="164">
        <f t="array" ref="P5253">XLOOKUP('FACP$'!$B5253,'perfil de pagos'!$A$4:$A$46,'perfil de pagos'!$B$4:$B$46+'FACP$'!$D5253)</f>
        <v>45584</v>
      </c>
      <c r="Q5253" s="165">
        <f t="shared" si="128"/>
        <v>0</v>
      </c>
      <c r="R5253" s="167"/>
      <c r="S5253" s="167">
        <v>3351.0</v>
      </c>
      <c r="T5253" s="168">
        <f t="shared" si="3"/>
        <v>208854.6244</v>
      </c>
      <c r="U5253" s="168">
        <f t="shared" si="4"/>
        <v>0</v>
      </c>
      <c r="V5253" s="168">
        <f t="shared" si="5"/>
        <v>0</v>
      </c>
      <c r="W5253" s="168">
        <f t="shared" si="6"/>
        <v>0</v>
      </c>
      <c r="X5253" s="168">
        <f t="shared" si="7"/>
        <v>0</v>
      </c>
      <c r="Y5253" s="168">
        <f t="shared" si="8"/>
        <v>0</v>
      </c>
      <c r="Z5253" s="168">
        <f t="shared" si="9"/>
        <v>0</v>
      </c>
    </row>
    <row r="5254" ht="15.0" customHeight="1">
      <c r="A5254" s="157" t="s">
        <v>6656</v>
      </c>
      <c r="B5254" s="158" t="s">
        <v>25</v>
      </c>
      <c r="C5254" s="158" t="s">
        <v>6627</v>
      </c>
      <c r="D5254" s="159">
        <v>45574.0</v>
      </c>
      <c r="E5254" s="157" t="s">
        <v>731</v>
      </c>
      <c r="F5254" s="160">
        <v>59314.67</v>
      </c>
      <c r="G5254" s="160">
        <f>'FACP$'!$F5254*0.16</f>
        <v>9490.3472</v>
      </c>
      <c r="H5254" s="160">
        <f t="shared" si="124"/>
        <v>68805.0172</v>
      </c>
      <c r="I5254" s="160"/>
      <c r="J5254" s="161"/>
      <c r="K5254" s="160"/>
      <c r="L5254" s="160">
        <f>+'FACP$'!$H5254-'FACP$'!$I5254-'FACP$'!$K5254</f>
        <v>68805.0172</v>
      </c>
      <c r="M5254" s="162" t="s">
        <v>4388</v>
      </c>
      <c r="N5254" s="162" t="s">
        <v>554</v>
      </c>
      <c r="O5254" s="164">
        <v>45596.0</v>
      </c>
      <c r="P5254" s="164">
        <f t="array" ref="P5254">XLOOKUP('FACP$'!$B5254,'perfil de pagos'!$A$4:$A$46,'perfil de pagos'!$B$4:$B$46+'FACP$'!$D5254)</f>
        <v>45584</v>
      </c>
      <c r="Q5254" s="165">
        <f t="shared" si="128"/>
        <v>0</v>
      </c>
      <c r="R5254" s="167"/>
      <c r="S5254" s="167">
        <v>3369.0</v>
      </c>
      <c r="T5254" s="168">
        <f t="shared" si="3"/>
        <v>68805.0172</v>
      </c>
      <c r="U5254" s="168">
        <f t="shared" si="4"/>
        <v>0</v>
      </c>
      <c r="V5254" s="168">
        <f t="shared" si="5"/>
        <v>0</v>
      </c>
      <c r="W5254" s="168">
        <f t="shared" si="6"/>
        <v>0</v>
      </c>
      <c r="X5254" s="168">
        <f t="shared" si="7"/>
        <v>0</v>
      </c>
      <c r="Y5254" s="168">
        <f t="shared" si="8"/>
        <v>0</v>
      </c>
      <c r="Z5254" s="168">
        <f t="shared" si="9"/>
        <v>0</v>
      </c>
    </row>
    <row r="5255" ht="15.0" customHeight="1">
      <c r="A5255" s="157" t="s">
        <v>6657</v>
      </c>
      <c r="B5255" s="158" t="s">
        <v>37</v>
      </c>
      <c r="C5255" s="158" t="s">
        <v>6627</v>
      </c>
      <c r="D5255" s="159">
        <v>45574.0</v>
      </c>
      <c r="E5255" s="157" t="s">
        <v>731</v>
      </c>
      <c r="F5255" s="160">
        <v>1514915.95</v>
      </c>
      <c r="G5255" s="160">
        <f>'FACP$'!$F5255*0.16</f>
        <v>242386.552</v>
      </c>
      <c r="H5255" s="160">
        <f t="shared" si="124"/>
        <v>1757302.502</v>
      </c>
      <c r="I5255" s="160"/>
      <c r="J5255" s="161"/>
      <c r="K5255" s="160"/>
      <c r="L5255" s="160">
        <f>+'FACP$'!$H5255-'FACP$'!$I5255-'FACP$'!$K5255</f>
        <v>1757302.502</v>
      </c>
      <c r="M5255" s="162" t="s">
        <v>116</v>
      </c>
      <c r="N5255" s="162" t="s">
        <v>554</v>
      </c>
      <c r="O5255" s="164">
        <v>45586.0</v>
      </c>
      <c r="P5255" s="164">
        <f t="array" ref="P5255">XLOOKUP('FACP$'!$B5255,'perfil de pagos'!$A$4:$A$46,'perfil de pagos'!$B$4:$B$46+'FACP$'!$D5255)</f>
        <v>45584</v>
      </c>
      <c r="Q5255" s="165">
        <f t="shared" si="128"/>
        <v>0</v>
      </c>
      <c r="R5255" s="167"/>
      <c r="S5255" s="167">
        <v>3343.0</v>
      </c>
      <c r="T5255" s="168">
        <f t="shared" si="3"/>
        <v>1757302.502</v>
      </c>
      <c r="U5255" s="168">
        <f t="shared" si="4"/>
        <v>0</v>
      </c>
      <c r="V5255" s="168">
        <f t="shared" si="5"/>
        <v>0</v>
      </c>
      <c r="W5255" s="168">
        <f t="shared" si="6"/>
        <v>0</v>
      </c>
      <c r="X5255" s="168">
        <f t="shared" si="7"/>
        <v>0</v>
      </c>
      <c r="Y5255" s="168">
        <f t="shared" si="8"/>
        <v>0</v>
      </c>
      <c r="Z5255" s="168">
        <f t="shared" si="9"/>
        <v>0</v>
      </c>
    </row>
    <row r="5256" ht="15.0" customHeight="1">
      <c r="A5256" s="157" t="s">
        <v>6658</v>
      </c>
      <c r="B5256" s="158" t="s">
        <v>29</v>
      </c>
      <c r="C5256" s="158" t="s">
        <v>6627</v>
      </c>
      <c r="D5256" s="159">
        <v>45574.0</v>
      </c>
      <c r="E5256" s="157" t="s">
        <v>731</v>
      </c>
      <c r="F5256" s="160">
        <v>277817.14</v>
      </c>
      <c r="G5256" s="160">
        <f>'FACP$'!$F5256*0.16</f>
        <v>44450.7424</v>
      </c>
      <c r="H5256" s="160">
        <f t="shared" si="124"/>
        <v>322267.8824</v>
      </c>
      <c r="I5256" s="160"/>
      <c r="J5256" s="161"/>
      <c r="K5256" s="160"/>
      <c r="L5256" s="160">
        <f>+'FACP$'!$H5256-'FACP$'!$I5256-'FACP$'!$K5256</f>
        <v>322267.8824</v>
      </c>
      <c r="M5256" s="162" t="s">
        <v>130</v>
      </c>
      <c r="N5256" s="162" t="s">
        <v>554</v>
      </c>
      <c r="O5256" s="164">
        <v>45582.0</v>
      </c>
      <c r="P5256" s="164">
        <f t="array" ref="P5256">XLOOKUP('FACP$'!$B5256,'perfil de pagos'!$A$4:$A$46,'perfil de pagos'!$B$4:$B$46+'FACP$'!$D5256)</f>
        <v>45584</v>
      </c>
      <c r="Q5256" s="165">
        <f t="shared" si="128"/>
        <v>0</v>
      </c>
      <c r="R5256" s="167"/>
      <c r="S5256" s="167">
        <v>3335.0</v>
      </c>
      <c r="T5256" s="168">
        <f t="shared" si="3"/>
        <v>322267.8824</v>
      </c>
      <c r="U5256" s="168">
        <f t="shared" si="4"/>
        <v>0</v>
      </c>
      <c r="V5256" s="168">
        <f t="shared" si="5"/>
        <v>0</v>
      </c>
      <c r="W5256" s="168">
        <f t="shared" si="6"/>
        <v>0</v>
      </c>
      <c r="X5256" s="168">
        <f t="shared" si="7"/>
        <v>0</v>
      </c>
      <c r="Y5256" s="168">
        <f t="shared" si="8"/>
        <v>0</v>
      </c>
      <c r="Z5256" s="168">
        <f t="shared" si="9"/>
        <v>0</v>
      </c>
    </row>
    <row r="5257" ht="15.0" customHeight="1">
      <c r="A5257" s="157" t="s">
        <v>6659</v>
      </c>
      <c r="B5257" s="158" t="s">
        <v>29</v>
      </c>
      <c r="C5257" s="158" t="s">
        <v>6629</v>
      </c>
      <c r="D5257" s="159">
        <v>45574.0</v>
      </c>
      <c r="E5257" s="157" t="s">
        <v>731</v>
      </c>
      <c r="F5257" s="160">
        <v>434342.99</v>
      </c>
      <c r="G5257" s="160">
        <f>'FACP$'!$F5257*0.16</f>
        <v>69494.8784</v>
      </c>
      <c r="H5257" s="160">
        <f t="shared" si="124"/>
        <v>503837.8684</v>
      </c>
      <c r="I5257" s="160"/>
      <c r="J5257" s="161"/>
      <c r="K5257" s="160"/>
      <c r="L5257" s="160">
        <f>+'FACP$'!$H5257-'FACP$'!$I5257-'FACP$'!$K5257</f>
        <v>503837.8684</v>
      </c>
      <c r="M5257" s="162" t="s">
        <v>130</v>
      </c>
      <c r="N5257" s="162" t="s">
        <v>554</v>
      </c>
      <c r="O5257" s="164">
        <v>45593.0</v>
      </c>
      <c r="P5257" s="164">
        <f t="array" ref="P5257">XLOOKUP('FACP$'!$B5257,'perfil de pagos'!$A$4:$A$46,'perfil de pagos'!$B$4:$B$46+'FACP$'!$D5257)</f>
        <v>45584</v>
      </c>
      <c r="Q5257" s="165">
        <f t="shared" si="128"/>
        <v>0</v>
      </c>
      <c r="R5257" s="167"/>
      <c r="S5257" s="167">
        <v>3352.0</v>
      </c>
      <c r="T5257" s="168">
        <f t="shared" si="3"/>
        <v>503837.8684</v>
      </c>
      <c r="U5257" s="168">
        <f t="shared" si="4"/>
        <v>0</v>
      </c>
      <c r="V5257" s="168">
        <f t="shared" si="5"/>
        <v>0</v>
      </c>
      <c r="W5257" s="168">
        <f t="shared" si="6"/>
        <v>0</v>
      </c>
      <c r="X5257" s="168">
        <f t="shared" si="7"/>
        <v>0</v>
      </c>
      <c r="Y5257" s="168">
        <f t="shared" si="8"/>
        <v>0</v>
      </c>
      <c r="Z5257" s="168">
        <f t="shared" si="9"/>
        <v>0</v>
      </c>
    </row>
    <row r="5258" ht="15.0" customHeight="1">
      <c r="A5258" s="157" t="s">
        <v>6660</v>
      </c>
      <c r="B5258" s="158" t="s">
        <v>40</v>
      </c>
      <c r="C5258" s="158" t="s">
        <v>6627</v>
      </c>
      <c r="D5258" s="159">
        <v>45574.0</v>
      </c>
      <c r="E5258" s="157" t="s">
        <v>731</v>
      </c>
      <c r="F5258" s="160">
        <v>430772.33</v>
      </c>
      <c r="G5258" s="160">
        <f>'FACP$'!$F5258*0.16</f>
        <v>68923.5728</v>
      </c>
      <c r="H5258" s="160">
        <f t="shared" si="124"/>
        <v>499695.9028</v>
      </c>
      <c r="I5258" s="160"/>
      <c r="J5258" s="161"/>
      <c r="K5258" s="160"/>
      <c r="L5258" s="160">
        <f>+'FACP$'!$H5258-'FACP$'!$I5258-'FACP$'!$K5258</f>
        <v>499695.9028</v>
      </c>
      <c r="M5258" s="162" t="s">
        <v>490</v>
      </c>
      <c r="N5258" s="162" t="s">
        <v>554</v>
      </c>
      <c r="O5258" s="164">
        <v>45611.0</v>
      </c>
      <c r="P5258" s="164">
        <f t="array" ref="P5258">XLOOKUP('FACP$'!$B5258,'perfil de pagos'!$A$4:$A$46,'perfil de pagos'!$B$4:$B$46+'FACP$'!$D5258)</f>
        <v>45604</v>
      </c>
      <c r="Q5258" s="165">
        <f t="shared" si="128"/>
        <v>0</v>
      </c>
      <c r="R5258" s="167"/>
      <c r="S5258" s="167">
        <v>3399.0</v>
      </c>
      <c r="T5258" s="168">
        <f t="shared" si="3"/>
        <v>499695.9028</v>
      </c>
      <c r="U5258" s="168">
        <f t="shared" si="4"/>
        <v>0</v>
      </c>
      <c r="V5258" s="168">
        <f t="shared" si="5"/>
        <v>0</v>
      </c>
      <c r="W5258" s="168">
        <f t="shared" si="6"/>
        <v>0</v>
      </c>
      <c r="X5258" s="168">
        <f t="shared" si="7"/>
        <v>0</v>
      </c>
      <c r="Y5258" s="168">
        <f t="shared" si="8"/>
        <v>0</v>
      </c>
      <c r="Z5258" s="168">
        <f t="shared" si="9"/>
        <v>0</v>
      </c>
    </row>
    <row r="5259" ht="15.0" customHeight="1">
      <c r="A5259" s="157" t="s">
        <v>6661</v>
      </c>
      <c r="B5259" s="158" t="s">
        <v>40</v>
      </c>
      <c r="C5259" s="158" t="s">
        <v>6629</v>
      </c>
      <c r="D5259" s="159">
        <v>45574.0</v>
      </c>
      <c r="E5259" s="157" t="s">
        <v>731</v>
      </c>
      <c r="F5259" s="160">
        <v>390230.5</v>
      </c>
      <c r="G5259" s="160">
        <f>'FACP$'!$F5259*0.16</f>
        <v>62436.88</v>
      </c>
      <c r="H5259" s="160">
        <f t="shared" si="124"/>
        <v>452667.38</v>
      </c>
      <c r="I5259" s="160"/>
      <c r="J5259" s="161"/>
      <c r="K5259" s="160"/>
      <c r="L5259" s="160">
        <f>+'FACP$'!$H5259-'FACP$'!$I5259-'FACP$'!$K5259</f>
        <v>452667.38</v>
      </c>
      <c r="M5259" s="162" t="s">
        <v>490</v>
      </c>
      <c r="N5259" s="162" t="s">
        <v>554</v>
      </c>
      <c r="O5259" s="164">
        <v>45602.0</v>
      </c>
      <c r="P5259" s="164">
        <f t="array" ref="P5259">XLOOKUP('FACP$'!$B5259,'perfil de pagos'!$A$4:$A$46,'perfil de pagos'!$B$4:$B$46+'FACP$'!$D5259)</f>
        <v>45604</v>
      </c>
      <c r="Q5259" s="165">
        <f t="shared" si="128"/>
        <v>0</v>
      </c>
      <c r="R5259" s="167"/>
      <c r="S5259" s="167">
        <v>3378.0</v>
      </c>
      <c r="T5259" s="168">
        <f t="shared" si="3"/>
        <v>452667.38</v>
      </c>
      <c r="U5259" s="168">
        <f t="shared" si="4"/>
        <v>0</v>
      </c>
      <c r="V5259" s="168">
        <f t="shared" si="5"/>
        <v>0</v>
      </c>
      <c r="W5259" s="168">
        <f t="shared" si="6"/>
        <v>0</v>
      </c>
      <c r="X5259" s="168">
        <f t="shared" si="7"/>
        <v>0</v>
      </c>
      <c r="Y5259" s="168">
        <f t="shared" si="8"/>
        <v>0</v>
      </c>
      <c r="Z5259" s="168">
        <f t="shared" si="9"/>
        <v>0</v>
      </c>
    </row>
    <row r="5260" ht="15.0" customHeight="1">
      <c r="A5260" s="157" t="s">
        <v>6662</v>
      </c>
      <c r="B5260" s="158" t="s">
        <v>38</v>
      </c>
      <c r="C5260" s="158" t="s">
        <v>6627</v>
      </c>
      <c r="D5260" s="159">
        <v>45575.0</v>
      </c>
      <c r="E5260" s="157" t="s">
        <v>731</v>
      </c>
      <c r="F5260" s="160">
        <v>454993.7</v>
      </c>
      <c r="G5260" s="160">
        <f>'FACP$'!$F5260*0.16</f>
        <v>72798.992</v>
      </c>
      <c r="H5260" s="160">
        <f t="shared" si="124"/>
        <v>527792.692</v>
      </c>
      <c r="I5260" s="160"/>
      <c r="J5260" s="161"/>
      <c r="K5260" s="160"/>
      <c r="L5260" s="160">
        <f>+'FACP$'!$H5260-'FACP$'!$I5260-'FACP$'!$K5260</f>
        <v>527792.692</v>
      </c>
      <c r="M5260" s="162" t="s">
        <v>145</v>
      </c>
      <c r="N5260" s="162" t="s">
        <v>554</v>
      </c>
      <c r="O5260" s="164">
        <v>45602.0</v>
      </c>
      <c r="P5260" s="164">
        <f t="array" ref="P5260">XLOOKUP('FACP$'!$B5260,'perfil de pagos'!$A$4:$A$46,'perfil de pagos'!$B$4:$B$46+'FACP$'!$D5260)</f>
        <v>45605</v>
      </c>
      <c r="Q5260" s="165">
        <f t="shared" si="128"/>
        <v>0</v>
      </c>
      <c r="R5260" s="167"/>
      <c r="S5260" s="167">
        <v>3377.0</v>
      </c>
      <c r="T5260" s="168">
        <f t="shared" si="3"/>
        <v>527792.692</v>
      </c>
      <c r="U5260" s="168">
        <f t="shared" si="4"/>
        <v>0</v>
      </c>
      <c r="V5260" s="168">
        <f t="shared" si="5"/>
        <v>0</v>
      </c>
      <c r="W5260" s="168">
        <f t="shared" si="6"/>
        <v>0</v>
      </c>
      <c r="X5260" s="168">
        <f t="shared" si="7"/>
        <v>0</v>
      </c>
      <c r="Y5260" s="168">
        <f t="shared" si="8"/>
        <v>0</v>
      </c>
      <c r="Z5260" s="168">
        <f t="shared" si="9"/>
        <v>0</v>
      </c>
    </row>
    <row r="5261" ht="15.0" customHeight="1">
      <c r="A5261" s="157" t="s">
        <v>6663</v>
      </c>
      <c r="B5261" s="158" t="s">
        <v>41</v>
      </c>
      <c r="C5261" s="158" t="s">
        <v>6664</v>
      </c>
      <c r="D5261" s="159">
        <v>45582.0</v>
      </c>
      <c r="E5261" s="157" t="s">
        <v>731</v>
      </c>
      <c r="F5261" s="160">
        <v>1218005.87</v>
      </c>
      <c r="G5261" s="160">
        <f>'FACP$'!$F5261*0.16</f>
        <v>194880.9392</v>
      </c>
      <c r="H5261" s="160">
        <f t="shared" si="124"/>
        <v>1412886.809</v>
      </c>
      <c r="I5261" s="160"/>
      <c r="J5261" s="161"/>
      <c r="K5261" s="160"/>
      <c r="L5261" s="160">
        <f>+'FACP$'!$H5261-'FACP$'!$I5261-'FACP$'!$K5261</f>
        <v>1412886.809</v>
      </c>
      <c r="M5261" s="162" t="s">
        <v>121</v>
      </c>
      <c r="N5261" s="162" t="s">
        <v>554</v>
      </c>
      <c r="O5261" s="164">
        <v>45623.0</v>
      </c>
      <c r="P5261" s="164">
        <f t="array" ref="P5261">XLOOKUP('FACP$'!$B5261,'perfil de pagos'!$A$4:$A$46,'perfil de pagos'!$B$4:$B$46+'FACP$'!$D5261)</f>
        <v>45592</v>
      </c>
      <c r="Q5261" s="165">
        <f t="shared" si="128"/>
        <v>0</v>
      </c>
      <c r="R5261" s="167"/>
      <c r="S5261" s="167">
        <v>3430.0</v>
      </c>
      <c r="T5261" s="168">
        <f t="shared" si="3"/>
        <v>1412886.809</v>
      </c>
      <c r="U5261" s="168">
        <f t="shared" si="4"/>
        <v>0</v>
      </c>
      <c r="V5261" s="168">
        <f t="shared" si="5"/>
        <v>0</v>
      </c>
      <c r="W5261" s="168">
        <f t="shared" si="6"/>
        <v>0</v>
      </c>
      <c r="X5261" s="168">
        <f t="shared" si="7"/>
        <v>0</v>
      </c>
      <c r="Y5261" s="168">
        <f t="shared" si="8"/>
        <v>0</v>
      </c>
      <c r="Z5261" s="168">
        <f t="shared" si="9"/>
        <v>0</v>
      </c>
    </row>
    <row r="5262" ht="15.0" customHeight="1">
      <c r="A5262" s="157" t="s">
        <v>6665</v>
      </c>
      <c r="B5262" s="158" t="s">
        <v>35</v>
      </c>
      <c r="C5262" s="158" t="s">
        <v>6664</v>
      </c>
      <c r="D5262" s="159">
        <v>45582.0</v>
      </c>
      <c r="E5262" s="157" t="s">
        <v>731</v>
      </c>
      <c r="F5262" s="160">
        <v>119796.22</v>
      </c>
      <c r="G5262" s="160">
        <f>'FACP$'!$F5262*0.16</f>
        <v>19167.3952</v>
      </c>
      <c r="H5262" s="160">
        <f t="shared" si="124"/>
        <v>138963.6152</v>
      </c>
      <c r="I5262" s="160"/>
      <c r="J5262" s="161"/>
      <c r="K5262" s="160"/>
      <c r="L5262" s="160">
        <f>+'FACP$'!$H5262-'FACP$'!$I5262-'FACP$'!$K5262</f>
        <v>138963.6152</v>
      </c>
      <c r="M5262" s="162" t="s">
        <v>276</v>
      </c>
      <c r="N5262" s="162" t="s">
        <v>554</v>
      </c>
      <c r="O5262" s="164">
        <v>45618.0</v>
      </c>
      <c r="P5262" s="164">
        <f t="array" ref="P5262">XLOOKUP('FACP$'!$B5262,'perfil de pagos'!$A$4:$A$46,'perfil de pagos'!$B$4:$B$46+'FACP$'!$D5262)</f>
        <v>45592</v>
      </c>
      <c r="Q5262" s="165">
        <f t="shared" si="128"/>
        <v>0</v>
      </c>
      <c r="R5262" s="167"/>
      <c r="S5262" s="167">
        <v>3414.0</v>
      </c>
      <c r="T5262" s="168">
        <f t="shared" si="3"/>
        <v>138963.6152</v>
      </c>
      <c r="U5262" s="168">
        <f t="shared" si="4"/>
        <v>0</v>
      </c>
      <c r="V5262" s="168">
        <f t="shared" si="5"/>
        <v>0</v>
      </c>
      <c r="W5262" s="168">
        <f t="shared" si="6"/>
        <v>0</v>
      </c>
      <c r="X5262" s="168">
        <f t="shared" si="7"/>
        <v>0</v>
      </c>
      <c r="Y5262" s="168">
        <f t="shared" si="8"/>
        <v>0</v>
      </c>
      <c r="Z5262" s="168">
        <f t="shared" si="9"/>
        <v>0</v>
      </c>
    </row>
    <row r="5263" ht="15.0" customHeight="1">
      <c r="A5263" s="157" t="s">
        <v>6666</v>
      </c>
      <c r="B5263" s="158" t="s">
        <v>36</v>
      </c>
      <c r="C5263" s="158" t="s">
        <v>6664</v>
      </c>
      <c r="D5263" s="159">
        <v>45582.0</v>
      </c>
      <c r="E5263" s="157" t="s">
        <v>731</v>
      </c>
      <c r="F5263" s="160">
        <v>80042.45</v>
      </c>
      <c r="G5263" s="160">
        <f>'FACP$'!$F5263*0.16</f>
        <v>12806.792</v>
      </c>
      <c r="H5263" s="160">
        <f t="shared" si="124"/>
        <v>92849.242</v>
      </c>
      <c r="I5263" s="160"/>
      <c r="J5263" s="161"/>
      <c r="K5263" s="160"/>
      <c r="L5263" s="160">
        <f>+'FACP$'!$H5263-'FACP$'!$I5263-'FACP$'!$K5263</f>
        <v>92849.242</v>
      </c>
      <c r="M5263" s="162" t="s">
        <v>530</v>
      </c>
      <c r="N5263" s="162" t="s">
        <v>554</v>
      </c>
      <c r="O5263" s="164">
        <v>45596.0</v>
      </c>
      <c r="P5263" s="164">
        <f t="array" ref="P5263">XLOOKUP('FACP$'!$B5263,'perfil de pagos'!$A$4:$A$46,'perfil de pagos'!$B$4:$B$46+'FACP$'!$D5263)</f>
        <v>45592</v>
      </c>
      <c r="Q5263" s="165">
        <f t="shared" si="128"/>
        <v>0</v>
      </c>
      <c r="R5263" s="167"/>
      <c r="S5263" s="167">
        <v>3367.0</v>
      </c>
      <c r="T5263" s="168">
        <f t="shared" si="3"/>
        <v>92849.242</v>
      </c>
      <c r="U5263" s="168">
        <f t="shared" si="4"/>
        <v>0</v>
      </c>
      <c r="V5263" s="168">
        <f t="shared" si="5"/>
        <v>0</v>
      </c>
      <c r="W5263" s="168">
        <f t="shared" si="6"/>
        <v>0</v>
      </c>
      <c r="X5263" s="168">
        <f t="shared" si="7"/>
        <v>0</v>
      </c>
      <c r="Y5263" s="168">
        <f t="shared" si="8"/>
        <v>0</v>
      </c>
      <c r="Z5263" s="168">
        <f t="shared" si="9"/>
        <v>0</v>
      </c>
    </row>
    <row r="5264" ht="15.0" customHeight="1">
      <c r="A5264" s="157" t="s">
        <v>6667</v>
      </c>
      <c r="B5264" s="158" t="s">
        <v>36</v>
      </c>
      <c r="C5264" s="158" t="s">
        <v>6668</v>
      </c>
      <c r="D5264" s="159">
        <v>45582.0</v>
      </c>
      <c r="E5264" s="157" t="s">
        <v>731</v>
      </c>
      <c r="F5264" s="160">
        <v>63268.0</v>
      </c>
      <c r="G5264" s="160">
        <f>'FACP$'!$F5264*0.16</f>
        <v>10122.88</v>
      </c>
      <c r="H5264" s="160">
        <f t="shared" si="124"/>
        <v>73390.88</v>
      </c>
      <c r="I5264" s="160"/>
      <c r="J5264" s="161"/>
      <c r="K5264" s="160"/>
      <c r="L5264" s="160">
        <f>+'FACP$'!$H5264-'FACP$'!$I5264-'FACP$'!$K5264</f>
        <v>73390.88</v>
      </c>
      <c r="M5264" s="162" t="s">
        <v>530</v>
      </c>
      <c r="N5264" s="162" t="s">
        <v>554</v>
      </c>
      <c r="O5264" s="164">
        <v>45596.0</v>
      </c>
      <c r="P5264" s="164">
        <f t="array" ref="P5264">XLOOKUP('FACP$'!$B5264,'perfil de pagos'!$A$4:$A$46,'perfil de pagos'!$B$4:$B$46+'FACP$'!$D5264)</f>
        <v>45592</v>
      </c>
      <c r="Q5264" s="165">
        <f t="shared" si="128"/>
        <v>0</v>
      </c>
      <c r="R5264" s="167"/>
      <c r="S5264" s="167">
        <v>3368.0</v>
      </c>
      <c r="T5264" s="168">
        <f t="shared" si="3"/>
        <v>73390.88</v>
      </c>
      <c r="U5264" s="168">
        <f t="shared" si="4"/>
        <v>0</v>
      </c>
      <c r="V5264" s="168">
        <f t="shared" si="5"/>
        <v>0</v>
      </c>
      <c r="W5264" s="168">
        <f t="shared" si="6"/>
        <v>0</v>
      </c>
      <c r="X5264" s="168">
        <f t="shared" si="7"/>
        <v>0</v>
      </c>
      <c r="Y5264" s="168">
        <f t="shared" si="8"/>
        <v>0</v>
      </c>
      <c r="Z5264" s="168">
        <f t="shared" si="9"/>
        <v>0</v>
      </c>
    </row>
    <row r="5265" ht="15.0" customHeight="1">
      <c r="A5265" s="157" t="s">
        <v>6669</v>
      </c>
      <c r="B5265" s="158" t="s">
        <v>36</v>
      </c>
      <c r="C5265" s="158" t="s">
        <v>6664</v>
      </c>
      <c r="D5265" s="159">
        <v>45582.0</v>
      </c>
      <c r="E5265" s="157" t="s">
        <v>731</v>
      </c>
      <c r="F5265" s="160">
        <v>77486.73</v>
      </c>
      <c r="G5265" s="160">
        <f>'FACP$'!$F5265*0.16</f>
        <v>12397.8768</v>
      </c>
      <c r="H5265" s="160">
        <f t="shared" si="124"/>
        <v>89884.6068</v>
      </c>
      <c r="I5265" s="160">
        <v>38743.27</v>
      </c>
      <c r="J5265" s="161">
        <f>'NCP$'!A303</f>
        <v>410</v>
      </c>
      <c r="K5265" s="160">
        <f>'NCP$'!H303</f>
        <v>19123.4004</v>
      </c>
      <c r="L5265" s="160">
        <f>+'FACP$'!$H5265-'FACP$'!$I5265-'FACP$'!$K5265</f>
        <v>32017.9364</v>
      </c>
      <c r="M5265" s="162" t="s">
        <v>526</v>
      </c>
      <c r="N5265" s="162" t="s">
        <v>554</v>
      </c>
      <c r="O5265" s="164">
        <v>45625.0</v>
      </c>
      <c r="P5265" s="164">
        <f t="array" ref="P5265">XLOOKUP('FACP$'!$B5265,'perfil de pagos'!$A$4:$A$46,'perfil de pagos'!$B$4:$B$46+'FACP$'!$D5265)</f>
        <v>45592</v>
      </c>
      <c r="Q5265" s="165">
        <f t="shared" si="128"/>
        <v>0</v>
      </c>
      <c r="R5265" s="220" t="s">
        <v>6670</v>
      </c>
      <c r="S5265" s="220" t="s">
        <v>6671</v>
      </c>
      <c r="T5265" s="168">
        <f t="shared" si="3"/>
        <v>32017.9364</v>
      </c>
      <c r="U5265" s="168">
        <f t="shared" si="4"/>
        <v>0</v>
      </c>
      <c r="V5265" s="168">
        <f t="shared" si="5"/>
        <v>0</v>
      </c>
      <c r="W5265" s="168">
        <f t="shared" si="6"/>
        <v>0</v>
      </c>
      <c r="X5265" s="168">
        <f t="shared" si="7"/>
        <v>0</v>
      </c>
      <c r="Y5265" s="168">
        <f t="shared" si="8"/>
        <v>0</v>
      </c>
      <c r="Z5265" s="168">
        <f t="shared" si="9"/>
        <v>0</v>
      </c>
    </row>
    <row r="5266" ht="15.0" customHeight="1">
      <c r="A5266" s="157" t="s">
        <v>6672</v>
      </c>
      <c r="B5266" s="158" t="s">
        <v>36</v>
      </c>
      <c r="C5266" s="158" t="s">
        <v>6668</v>
      </c>
      <c r="D5266" s="159">
        <v>45582.0</v>
      </c>
      <c r="E5266" s="157" t="s">
        <v>731</v>
      </c>
      <c r="F5266" s="160">
        <v>90802.85</v>
      </c>
      <c r="G5266" s="160">
        <f>'FACP$'!$F5266*0.16</f>
        <v>14528.456</v>
      </c>
      <c r="H5266" s="160">
        <f t="shared" si="124"/>
        <v>105331.306</v>
      </c>
      <c r="I5266" s="160"/>
      <c r="J5266" s="161">
        <f>'NCP$'!A304</f>
        <v>411</v>
      </c>
      <c r="K5266" s="160">
        <f>'NCP$'!H304</f>
        <v>51078.86</v>
      </c>
      <c r="L5266" s="160">
        <f>+'FACP$'!$H5266-'FACP$'!$I5266-'FACP$'!$K5266</f>
        <v>54252.446</v>
      </c>
      <c r="M5266" s="162" t="s">
        <v>526</v>
      </c>
      <c r="N5266" s="162" t="s">
        <v>554</v>
      </c>
      <c r="O5266" s="164">
        <v>45615.0</v>
      </c>
      <c r="P5266" s="164">
        <f t="array" ref="P5266">XLOOKUP('FACP$'!$B5266,'perfil de pagos'!$A$4:$A$46,'perfil de pagos'!$B$4:$B$46+'FACP$'!$D5266)</f>
        <v>45592</v>
      </c>
      <c r="Q5266" s="165">
        <f t="shared" si="128"/>
        <v>0</v>
      </c>
      <c r="R5266" s="167"/>
      <c r="S5266" s="167">
        <v>3400.0</v>
      </c>
      <c r="T5266" s="168">
        <f t="shared" si="3"/>
        <v>54252.446</v>
      </c>
      <c r="U5266" s="168">
        <f t="shared" si="4"/>
        <v>0</v>
      </c>
      <c r="V5266" s="168">
        <f t="shared" si="5"/>
        <v>0</v>
      </c>
      <c r="W5266" s="168">
        <f t="shared" si="6"/>
        <v>0</v>
      </c>
      <c r="X5266" s="168">
        <f t="shared" si="7"/>
        <v>0</v>
      </c>
      <c r="Y5266" s="168">
        <f t="shared" si="8"/>
        <v>0</v>
      </c>
      <c r="Z5266" s="168">
        <f t="shared" si="9"/>
        <v>0</v>
      </c>
    </row>
    <row r="5267" ht="15.0" customHeight="1">
      <c r="A5267" s="157" t="s">
        <v>6673</v>
      </c>
      <c r="B5267" s="158" t="s">
        <v>42</v>
      </c>
      <c r="C5267" s="158" t="s">
        <v>6664</v>
      </c>
      <c r="D5267" s="159">
        <v>45582.0</v>
      </c>
      <c r="E5267" s="157" t="s">
        <v>731</v>
      </c>
      <c r="F5267" s="160">
        <v>154640.5</v>
      </c>
      <c r="G5267" s="160">
        <f>'FACP$'!$F5267*0.16</f>
        <v>24742.48</v>
      </c>
      <c r="H5267" s="160">
        <f t="shared" si="124"/>
        <v>179382.98</v>
      </c>
      <c r="I5267" s="160"/>
      <c r="J5267" s="161"/>
      <c r="K5267" s="160"/>
      <c r="L5267" s="160">
        <f>+'FACP$'!$H5267-'FACP$'!$I5267-'FACP$'!$K5267</f>
        <v>179382.98</v>
      </c>
      <c r="M5267" s="162" t="s">
        <v>42</v>
      </c>
      <c r="N5267" s="162" t="s">
        <v>554</v>
      </c>
      <c r="O5267" s="164">
        <v>45603.0</v>
      </c>
      <c r="P5267" s="164">
        <f t="array" ref="P5267">XLOOKUP('FACP$'!$B5267,'perfil de pagos'!$A$4:$A$46,'perfil de pagos'!$B$4:$B$46+'FACP$'!$D5267)</f>
        <v>45592</v>
      </c>
      <c r="Q5267" s="165">
        <f t="shared" si="128"/>
        <v>0</v>
      </c>
      <c r="R5267" s="167"/>
      <c r="S5267" s="167">
        <v>3381.0</v>
      </c>
      <c r="T5267" s="168">
        <f t="shared" si="3"/>
        <v>179382.98</v>
      </c>
      <c r="U5267" s="168">
        <f t="shared" si="4"/>
        <v>0</v>
      </c>
      <c r="V5267" s="168">
        <f t="shared" si="5"/>
        <v>0</v>
      </c>
      <c r="W5267" s="168">
        <f t="shared" si="6"/>
        <v>0</v>
      </c>
      <c r="X5267" s="168">
        <f t="shared" si="7"/>
        <v>0</v>
      </c>
      <c r="Y5267" s="168">
        <f t="shared" si="8"/>
        <v>0</v>
      </c>
      <c r="Z5267" s="168">
        <f t="shared" si="9"/>
        <v>0</v>
      </c>
    </row>
    <row r="5268" ht="15.0" customHeight="1">
      <c r="A5268" s="157" t="s">
        <v>6674</v>
      </c>
      <c r="B5268" s="158" t="s">
        <v>44</v>
      </c>
      <c r="C5268" s="158" t="s">
        <v>6664</v>
      </c>
      <c r="D5268" s="159">
        <v>45582.0</v>
      </c>
      <c r="E5268" s="157" t="s">
        <v>731</v>
      </c>
      <c r="F5268" s="160">
        <v>48171.37</v>
      </c>
      <c r="G5268" s="160">
        <f>'FACP$'!$F5268*0.16</f>
        <v>7707.4192</v>
      </c>
      <c r="H5268" s="160">
        <f t="shared" si="124"/>
        <v>55878.7892</v>
      </c>
      <c r="I5268" s="160"/>
      <c r="J5268" s="161"/>
      <c r="K5268" s="160"/>
      <c r="L5268" s="160">
        <f>+'FACP$'!$H5268-'FACP$'!$I5268-'FACP$'!$K5268</f>
        <v>55878.7892</v>
      </c>
      <c r="M5268" s="162" t="s">
        <v>361</v>
      </c>
      <c r="N5268" s="162" t="s">
        <v>554</v>
      </c>
      <c r="O5268" s="164">
        <v>45594.0</v>
      </c>
      <c r="P5268" s="164">
        <f t="array" ref="P5268">XLOOKUP('FACP$'!$B5268,'perfil de pagos'!$A$4:$A$46,'perfil de pagos'!$B$4:$B$46+'FACP$'!$D5268)</f>
        <v>45592</v>
      </c>
      <c r="Q5268" s="165">
        <f t="shared" si="128"/>
        <v>0</v>
      </c>
      <c r="R5268" s="167"/>
      <c r="S5268" s="167">
        <v>3355.0</v>
      </c>
      <c r="T5268" s="168">
        <f t="shared" si="3"/>
        <v>55878.7892</v>
      </c>
      <c r="U5268" s="168">
        <f t="shared" si="4"/>
        <v>0</v>
      </c>
      <c r="V5268" s="168">
        <f t="shared" si="5"/>
        <v>0</v>
      </c>
      <c r="W5268" s="168">
        <f t="shared" si="6"/>
        <v>0</v>
      </c>
      <c r="X5268" s="168">
        <f t="shared" si="7"/>
        <v>0</v>
      </c>
      <c r="Y5268" s="168">
        <f t="shared" si="8"/>
        <v>0</v>
      </c>
      <c r="Z5268" s="168">
        <f t="shared" si="9"/>
        <v>0</v>
      </c>
    </row>
    <row r="5269" ht="15.0" customHeight="1">
      <c r="A5269" s="157" t="s">
        <v>6675</v>
      </c>
      <c r="B5269" s="158" t="s">
        <v>27</v>
      </c>
      <c r="C5269" s="158" t="s">
        <v>6664</v>
      </c>
      <c r="D5269" s="159">
        <v>45586.0</v>
      </c>
      <c r="E5269" s="157" t="s">
        <v>731</v>
      </c>
      <c r="F5269" s="160">
        <v>165664.83</v>
      </c>
      <c r="G5269" s="160">
        <f>'FACP$'!$F5269*0.16</f>
        <v>26506.3728</v>
      </c>
      <c r="H5269" s="160">
        <f t="shared" si="124"/>
        <v>192171.2028</v>
      </c>
      <c r="I5269" s="160">
        <v>2000.0</v>
      </c>
      <c r="J5269" s="161"/>
      <c r="K5269" s="160"/>
      <c r="L5269" s="160">
        <f>+'FACP$'!$H5269-'FACP$'!$I5269-'FACP$'!$K5269</f>
        <v>190171.2028</v>
      </c>
      <c r="M5269" s="162" t="s">
        <v>158</v>
      </c>
      <c r="N5269" s="162" t="s">
        <v>554</v>
      </c>
      <c r="O5269" s="164">
        <v>45674.0</v>
      </c>
      <c r="P5269" s="164">
        <f t="array" ref="P5269">XLOOKUP('FACP$'!$B5269,'perfil de pagos'!$A$4:$A$46,'perfil de pagos'!$B$4:$B$46+'FACP$'!$D5269)</f>
        <v>45616</v>
      </c>
      <c r="Q5269" s="165">
        <f t="shared" si="128"/>
        <v>0</v>
      </c>
      <c r="R5269" s="220" t="s">
        <v>6676</v>
      </c>
      <c r="S5269" s="167">
        <v>3554.0</v>
      </c>
      <c r="T5269" s="168">
        <f t="shared" si="3"/>
        <v>190171.2028</v>
      </c>
      <c r="U5269" s="168">
        <f t="shared" si="4"/>
        <v>0</v>
      </c>
      <c r="V5269" s="168">
        <f t="shared" si="5"/>
        <v>0</v>
      </c>
      <c r="W5269" s="168">
        <f t="shared" si="6"/>
        <v>0</v>
      </c>
      <c r="X5269" s="168">
        <f t="shared" si="7"/>
        <v>0</v>
      </c>
      <c r="Y5269" s="168">
        <f t="shared" si="8"/>
        <v>0</v>
      </c>
      <c r="Z5269" s="168">
        <f t="shared" si="9"/>
        <v>0</v>
      </c>
    </row>
    <row r="5270" ht="15.0" customHeight="1">
      <c r="A5270" s="157" t="s">
        <v>6677</v>
      </c>
      <c r="B5270" s="158" t="s">
        <v>27</v>
      </c>
      <c r="C5270" s="158" t="s">
        <v>6668</v>
      </c>
      <c r="D5270" s="159">
        <v>45586.0</v>
      </c>
      <c r="E5270" s="157" t="s">
        <v>731</v>
      </c>
      <c r="F5270" s="160">
        <v>125633.69</v>
      </c>
      <c r="G5270" s="160">
        <f>'FACP$'!$F5270*0.16</f>
        <v>20101.3904</v>
      </c>
      <c r="H5270" s="160">
        <f t="shared" si="124"/>
        <v>145735.0804</v>
      </c>
      <c r="I5270" s="160"/>
      <c r="J5270" s="161"/>
      <c r="K5270" s="160"/>
      <c r="L5270" s="160">
        <f>+'FACP$'!$H5270-'FACP$'!$I5270-'FACP$'!$K5270</f>
        <v>145735.0804</v>
      </c>
      <c r="M5270" s="162" t="s">
        <v>158</v>
      </c>
      <c r="N5270" s="162" t="s">
        <v>554</v>
      </c>
      <c r="O5270" s="164">
        <v>45674.0</v>
      </c>
      <c r="P5270" s="164">
        <f t="array" ref="P5270">XLOOKUP('FACP$'!$B5270,'perfil de pagos'!$A$4:$A$46,'perfil de pagos'!$B$4:$B$46+'FACP$'!$D5270)</f>
        <v>45616</v>
      </c>
      <c r="Q5270" s="165">
        <f t="shared" si="128"/>
        <v>0</v>
      </c>
      <c r="R5270" s="167"/>
      <c r="S5270" s="167">
        <v>3554.0</v>
      </c>
      <c r="T5270" s="168">
        <f t="shared" si="3"/>
        <v>145735.0804</v>
      </c>
      <c r="U5270" s="168">
        <f t="shared" si="4"/>
        <v>0</v>
      </c>
      <c r="V5270" s="168">
        <f t="shared" si="5"/>
        <v>0</v>
      </c>
      <c r="W5270" s="168">
        <f t="shared" si="6"/>
        <v>0</v>
      </c>
      <c r="X5270" s="168">
        <f t="shared" si="7"/>
        <v>0</v>
      </c>
      <c r="Y5270" s="168">
        <f t="shared" si="8"/>
        <v>0</v>
      </c>
      <c r="Z5270" s="168">
        <f t="shared" si="9"/>
        <v>0</v>
      </c>
    </row>
    <row r="5271" ht="15.0" customHeight="1">
      <c r="A5271" s="157" t="s">
        <v>6678</v>
      </c>
      <c r="B5271" s="158" t="s">
        <v>27</v>
      </c>
      <c r="C5271" s="158" t="s">
        <v>6664</v>
      </c>
      <c r="D5271" s="159">
        <v>45586.0</v>
      </c>
      <c r="E5271" s="157" t="s">
        <v>731</v>
      </c>
      <c r="F5271" s="160">
        <v>303722.93</v>
      </c>
      <c r="G5271" s="160">
        <f>'FACP$'!$F5271*0.16</f>
        <v>48595.6688</v>
      </c>
      <c r="H5271" s="160">
        <f t="shared" si="124"/>
        <v>352318.5988</v>
      </c>
      <c r="I5271" s="160"/>
      <c r="J5271" s="161"/>
      <c r="K5271" s="160"/>
      <c r="L5271" s="160">
        <f>+'FACP$'!$H5271-'FACP$'!$I5271-'FACP$'!$K5271</f>
        <v>352318.5988</v>
      </c>
      <c r="M5271" s="162" t="s">
        <v>151</v>
      </c>
      <c r="N5271" s="162" t="s">
        <v>554</v>
      </c>
      <c r="O5271" s="164">
        <v>45674.0</v>
      </c>
      <c r="P5271" s="164">
        <f t="array" ref="P5271">XLOOKUP('FACP$'!$B5271,'perfil de pagos'!$A$4:$A$46,'perfil de pagos'!$B$4:$B$46+'FACP$'!$D5271)</f>
        <v>45616</v>
      </c>
      <c r="Q5271" s="165">
        <f t="shared" si="128"/>
        <v>0</v>
      </c>
      <c r="R5271" s="167"/>
      <c r="S5271" s="167">
        <v>3555.0</v>
      </c>
      <c r="T5271" s="168">
        <f t="shared" si="3"/>
        <v>352318.5988</v>
      </c>
      <c r="U5271" s="168">
        <f t="shared" si="4"/>
        <v>0</v>
      </c>
      <c r="V5271" s="168">
        <f t="shared" si="5"/>
        <v>0</v>
      </c>
      <c r="W5271" s="168">
        <f t="shared" si="6"/>
        <v>0</v>
      </c>
      <c r="X5271" s="168">
        <f t="shared" si="7"/>
        <v>0</v>
      </c>
      <c r="Y5271" s="168">
        <f t="shared" si="8"/>
        <v>0</v>
      </c>
      <c r="Z5271" s="168">
        <f t="shared" si="9"/>
        <v>0</v>
      </c>
    </row>
    <row r="5272" ht="15.0" customHeight="1">
      <c r="A5272" s="157" t="s">
        <v>6679</v>
      </c>
      <c r="B5272" s="158" t="s">
        <v>27</v>
      </c>
      <c r="C5272" s="158" t="s">
        <v>6668</v>
      </c>
      <c r="D5272" s="159">
        <v>45586.0</v>
      </c>
      <c r="E5272" s="157" t="s">
        <v>731</v>
      </c>
      <c r="F5272" s="160">
        <v>214872.91</v>
      </c>
      <c r="G5272" s="160">
        <f>'FACP$'!$F5272*0.16</f>
        <v>34379.6656</v>
      </c>
      <c r="H5272" s="160">
        <f t="shared" si="124"/>
        <v>249252.5756</v>
      </c>
      <c r="I5272" s="160"/>
      <c r="J5272" s="161"/>
      <c r="K5272" s="160"/>
      <c r="L5272" s="160">
        <f>+'FACP$'!$H5272-'FACP$'!$I5272-'FACP$'!$K5272</f>
        <v>249252.5756</v>
      </c>
      <c r="M5272" s="162" t="s">
        <v>151</v>
      </c>
      <c r="N5272" s="162" t="s">
        <v>554</v>
      </c>
      <c r="O5272" s="164">
        <v>45674.0</v>
      </c>
      <c r="P5272" s="164">
        <f t="array" ref="P5272">XLOOKUP('FACP$'!$B5272,'perfil de pagos'!$A$4:$A$46,'perfil de pagos'!$B$4:$B$46+'FACP$'!$D5272)</f>
        <v>45616</v>
      </c>
      <c r="Q5272" s="165">
        <f t="shared" si="128"/>
        <v>0</v>
      </c>
      <c r="R5272" s="167"/>
      <c r="S5272" s="167">
        <v>3555.0</v>
      </c>
      <c r="T5272" s="168">
        <f t="shared" si="3"/>
        <v>249252.5756</v>
      </c>
      <c r="U5272" s="168">
        <f t="shared" si="4"/>
        <v>0</v>
      </c>
      <c r="V5272" s="168">
        <f t="shared" si="5"/>
        <v>0</v>
      </c>
      <c r="W5272" s="168">
        <f t="shared" si="6"/>
        <v>0</v>
      </c>
      <c r="X5272" s="168">
        <f t="shared" si="7"/>
        <v>0</v>
      </c>
      <c r="Y5272" s="168">
        <f t="shared" si="8"/>
        <v>0</v>
      </c>
      <c r="Z5272" s="168">
        <f t="shared" si="9"/>
        <v>0</v>
      </c>
    </row>
    <row r="5273" ht="15.0" customHeight="1">
      <c r="A5273" s="157" t="s">
        <v>6680</v>
      </c>
      <c r="B5273" s="158" t="s">
        <v>38</v>
      </c>
      <c r="C5273" s="158" t="s">
        <v>6664</v>
      </c>
      <c r="D5273" s="159">
        <v>45586.0</v>
      </c>
      <c r="E5273" s="157" t="s">
        <v>731</v>
      </c>
      <c r="F5273" s="160">
        <v>77836.23</v>
      </c>
      <c r="G5273" s="160">
        <f>'FACP$'!$F5273*0.16</f>
        <v>12453.7968</v>
      </c>
      <c r="H5273" s="160">
        <f t="shared" si="124"/>
        <v>90290.0268</v>
      </c>
      <c r="I5273" s="160"/>
      <c r="J5273" s="161"/>
      <c r="K5273" s="160"/>
      <c r="L5273" s="160">
        <f>+'FACP$'!$H5273-'FACP$'!$I5273-'FACP$'!$K5273</f>
        <v>90290.0268</v>
      </c>
      <c r="M5273" s="162" t="s">
        <v>4654</v>
      </c>
      <c r="N5273" s="162" t="s">
        <v>554</v>
      </c>
      <c r="O5273" s="164">
        <v>45616.0</v>
      </c>
      <c r="P5273" s="164">
        <f t="array" ref="P5273">XLOOKUP('FACP$'!$B5273,'perfil de pagos'!$A$4:$A$46,'perfil de pagos'!$B$4:$B$46+'FACP$'!$D5273)</f>
        <v>45616</v>
      </c>
      <c r="Q5273" s="165">
        <f t="shared" si="128"/>
        <v>0</v>
      </c>
      <c r="R5273" s="167"/>
      <c r="S5273" s="167">
        <v>3409.0</v>
      </c>
      <c r="T5273" s="168">
        <f t="shared" si="3"/>
        <v>90290.0268</v>
      </c>
      <c r="U5273" s="168">
        <f t="shared" si="4"/>
        <v>0</v>
      </c>
      <c r="V5273" s="168">
        <f t="shared" si="5"/>
        <v>0</v>
      </c>
      <c r="W5273" s="168">
        <f t="shared" si="6"/>
        <v>0</v>
      </c>
      <c r="X5273" s="168">
        <f t="shared" si="7"/>
        <v>0</v>
      </c>
      <c r="Y5273" s="168">
        <f t="shared" si="8"/>
        <v>0</v>
      </c>
      <c r="Z5273" s="168">
        <f t="shared" si="9"/>
        <v>0</v>
      </c>
    </row>
    <row r="5274" ht="15.0" customHeight="1">
      <c r="A5274" s="157" t="s">
        <v>6681</v>
      </c>
      <c r="B5274" s="158" t="s">
        <v>16</v>
      </c>
      <c r="C5274" s="158" t="s">
        <v>6664</v>
      </c>
      <c r="D5274" s="159">
        <v>45587.0</v>
      </c>
      <c r="E5274" s="157" t="s">
        <v>731</v>
      </c>
      <c r="F5274" s="160">
        <v>294315.86</v>
      </c>
      <c r="G5274" s="160">
        <f>'FACP$'!$F5274*0.16</f>
        <v>47090.5376</v>
      </c>
      <c r="H5274" s="160">
        <f t="shared" si="124"/>
        <v>341406.3976</v>
      </c>
      <c r="I5274" s="160"/>
      <c r="J5274" s="161"/>
      <c r="K5274" s="160"/>
      <c r="L5274" s="160">
        <f>+'FACP$'!$H5274-'FACP$'!$I5274-'FACP$'!$K5274</f>
        <v>341406.3976</v>
      </c>
      <c r="M5274" s="162" t="s">
        <v>985</v>
      </c>
      <c r="N5274" s="162" t="s">
        <v>554</v>
      </c>
      <c r="O5274" s="164">
        <v>45604.0</v>
      </c>
      <c r="P5274" s="164">
        <f t="array" ref="P5274">XLOOKUP('FACP$'!$B5274,'perfil de pagos'!$A$4:$A$46,'perfil de pagos'!$B$4:$B$46+'FACP$'!$D5274)</f>
        <v>45597</v>
      </c>
      <c r="Q5274" s="165">
        <f t="shared" si="128"/>
        <v>0</v>
      </c>
      <c r="R5274" s="167"/>
      <c r="S5274" s="167">
        <v>3386.0</v>
      </c>
      <c r="T5274" s="168">
        <f t="shared" si="3"/>
        <v>341406.3976</v>
      </c>
      <c r="U5274" s="168">
        <f t="shared" si="4"/>
        <v>0</v>
      </c>
      <c r="V5274" s="168">
        <f t="shared" si="5"/>
        <v>0</v>
      </c>
      <c r="W5274" s="168">
        <f t="shared" si="6"/>
        <v>0</v>
      </c>
      <c r="X5274" s="168">
        <f t="shared" si="7"/>
        <v>0</v>
      </c>
      <c r="Y5274" s="168">
        <f t="shared" si="8"/>
        <v>0</v>
      </c>
      <c r="Z5274" s="168">
        <f t="shared" si="9"/>
        <v>0</v>
      </c>
    </row>
    <row r="5275" ht="15.0" customHeight="1">
      <c r="A5275" s="157" t="s">
        <v>6682</v>
      </c>
      <c r="B5275" s="158" t="s">
        <v>16</v>
      </c>
      <c r="C5275" s="158" t="s">
        <v>6664</v>
      </c>
      <c r="D5275" s="159">
        <v>45587.0</v>
      </c>
      <c r="E5275" s="157" t="s">
        <v>731</v>
      </c>
      <c r="F5275" s="160">
        <v>432709.32</v>
      </c>
      <c r="G5275" s="160">
        <f>'FACP$'!$F5275*0.16</f>
        <v>69233.4912</v>
      </c>
      <c r="H5275" s="160">
        <f t="shared" si="124"/>
        <v>501942.8112</v>
      </c>
      <c r="I5275" s="160"/>
      <c r="J5275" s="161"/>
      <c r="K5275" s="160"/>
      <c r="L5275" s="160">
        <f>+'FACP$'!$H5275-'FACP$'!$I5275-'FACP$'!$K5275</f>
        <v>501942.8112</v>
      </c>
      <c r="M5275" s="162" t="s">
        <v>985</v>
      </c>
      <c r="N5275" s="162" t="s">
        <v>554</v>
      </c>
      <c r="O5275" s="164">
        <v>45604.0</v>
      </c>
      <c r="P5275" s="164">
        <f t="array" ref="P5275">XLOOKUP('FACP$'!$B5275,'perfil de pagos'!$A$4:$A$46,'perfil de pagos'!$B$4:$B$46+'FACP$'!$D5275)</f>
        <v>45597</v>
      </c>
      <c r="Q5275" s="165">
        <f t="shared" si="128"/>
        <v>0</v>
      </c>
      <c r="R5275" s="167"/>
      <c r="S5275" s="167">
        <v>3386.0</v>
      </c>
      <c r="T5275" s="168">
        <f t="shared" si="3"/>
        <v>501942.8112</v>
      </c>
      <c r="U5275" s="168">
        <f t="shared" si="4"/>
        <v>0</v>
      </c>
      <c r="V5275" s="168">
        <f t="shared" si="5"/>
        <v>0</v>
      </c>
      <c r="W5275" s="168">
        <f t="shared" si="6"/>
        <v>0</v>
      </c>
      <c r="X5275" s="168">
        <f t="shared" si="7"/>
        <v>0</v>
      </c>
      <c r="Y5275" s="168">
        <f t="shared" si="8"/>
        <v>0</v>
      </c>
      <c r="Z5275" s="168">
        <f t="shared" si="9"/>
        <v>0</v>
      </c>
    </row>
    <row r="5276" ht="15.0" customHeight="1">
      <c r="A5276" s="157" t="s">
        <v>6683</v>
      </c>
      <c r="B5276" s="158" t="s">
        <v>18</v>
      </c>
      <c r="C5276" s="158" t="s">
        <v>6664</v>
      </c>
      <c r="D5276" s="159">
        <v>45587.0</v>
      </c>
      <c r="E5276" s="157" t="s">
        <v>731</v>
      </c>
      <c r="F5276" s="160">
        <v>82233.96</v>
      </c>
      <c r="G5276" s="160">
        <f>'FACP$'!$F5276*0.16</f>
        <v>13157.4336</v>
      </c>
      <c r="H5276" s="160">
        <f t="shared" si="124"/>
        <v>95391.3936</v>
      </c>
      <c r="I5276" s="160"/>
      <c r="J5276" s="161"/>
      <c r="K5276" s="160"/>
      <c r="L5276" s="160">
        <f>+'FACP$'!$H5276-'FACP$'!$I5276-'FACP$'!$K5276</f>
        <v>95391.3936</v>
      </c>
      <c r="M5276" s="162" t="s">
        <v>586</v>
      </c>
      <c r="N5276" s="162" t="s">
        <v>554</v>
      </c>
      <c r="O5276" s="164">
        <v>45623.0</v>
      </c>
      <c r="P5276" s="164">
        <f t="array" ref="P5276">XLOOKUP('FACP$'!$B5276,'perfil de pagos'!$A$4:$A$46,'perfil de pagos'!$B$4:$B$46+'FACP$'!$D5276)</f>
        <v>45597</v>
      </c>
      <c r="Q5276" s="165">
        <f t="shared" si="128"/>
        <v>0</v>
      </c>
      <c r="R5276" s="167"/>
      <c r="S5276" s="167">
        <v>3428.0</v>
      </c>
      <c r="T5276" s="168">
        <f t="shared" si="3"/>
        <v>95391.3936</v>
      </c>
      <c r="U5276" s="168">
        <f t="shared" si="4"/>
        <v>0</v>
      </c>
      <c r="V5276" s="168">
        <f t="shared" si="5"/>
        <v>0</v>
      </c>
      <c r="W5276" s="168">
        <f t="shared" si="6"/>
        <v>0</v>
      </c>
      <c r="X5276" s="168">
        <f t="shared" si="7"/>
        <v>0</v>
      </c>
      <c r="Y5276" s="168">
        <f t="shared" si="8"/>
        <v>0</v>
      </c>
      <c r="Z5276" s="168">
        <f t="shared" si="9"/>
        <v>0</v>
      </c>
    </row>
    <row r="5277" ht="15.0" customHeight="1">
      <c r="A5277" s="157" t="s">
        <v>6684</v>
      </c>
      <c r="B5277" s="158" t="s">
        <v>19</v>
      </c>
      <c r="C5277" s="158" t="s">
        <v>6664</v>
      </c>
      <c r="D5277" s="159">
        <v>45587.0</v>
      </c>
      <c r="E5277" s="157" t="s">
        <v>731</v>
      </c>
      <c r="F5277" s="160">
        <v>157627.4</v>
      </c>
      <c r="G5277" s="160">
        <f>'FACP$'!$F5277*0.16</f>
        <v>25220.384</v>
      </c>
      <c r="H5277" s="160">
        <f t="shared" si="124"/>
        <v>182847.784</v>
      </c>
      <c r="I5277" s="160"/>
      <c r="J5277" s="161"/>
      <c r="K5277" s="160"/>
      <c r="L5277" s="160">
        <f>+'FACP$'!$H5277-'FACP$'!$I5277-'FACP$'!$K5277</f>
        <v>182847.784</v>
      </c>
      <c r="M5277" s="162" t="s">
        <v>732</v>
      </c>
      <c r="N5277" s="162" t="s">
        <v>554</v>
      </c>
      <c r="O5277" s="164">
        <v>45623.0</v>
      </c>
      <c r="P5277" s="164">
        <f t="array" ref="P5277">XLOOKUP('FACP$'!$B5277,'perfil de pagos'!$A$4:$A$46,'perfil de pagos'!$B$4:$B$46+'FACP$'!$D5277)</f>
        <v>45597</v>
      </c>
      <c r="Q5277" s="165">
        <f t="shared" si="128"/>
        <v>0</v>
      </c>
      <c r="R5277" s="167"/>
      <c r="S5277" s="167">
        <v>3428.0</v>
      </c>
      <c r="T5277" s="168">
        <f t="shared" si="3"/>
        <v>182847.784</v>
      </c>
      <c r="U5277" s="168">
        <f t="shared" si="4"/>
        <v>0</v>
      </c>
      <c r="V5277" s="168">
        <f t="shared" si="5"/>
        <v>0</v>
      </c>
      <c r="W5277" s="168">
        <f t="shared" si="6"/>
        <v>0</v>
      </c>
      <c r="X5277" s="168">
        <f t="shared" si="7"/>
        <v>0</v>
      </c>
      <c r="Y5277" s="168">
        <f t="shared" si="8"/>
        <v>0</v>
      </c>
      <c r="Z5277" s="168">
        <f t="shared" si="9"/>
        <v>0</v>
      </c>
    </row>
    <row r="5278" ht="15.0" customHeight="1">
      <c r="A5278" s="157" t="s">
        <v>6685</v>
      </c>
      <c r="B5278" s="158" t="s">
        <v>25</v>
      </c>
      <c r="C5278" s="158" t="s">
        <v>6664</v>
      </c>
      <c r="D5278" s="159">
        <v>45587.0</v>
      </c>
      <c r="E5278" s="157" t="s">
        <v>731</v>
      </c>
      <c r="F5278" s="160">
        <v>54791.77</v>
      </c>
      <c r="G5278" s="160">
        <f>'FACP$'!$F5278*0.16</f>
        <v>8766.6832</v>
      </c>
      <c r="H5278" s="160">
        <f t="shared" si="124"/>
        <v>63558.4532</v>
      </c>
      <c r="I5278" s="160"/>
      <c r="J5278" s="161"/>
      <c r="K5278" s="160"/>
      <c r="L5278" s="160">
        <f>+'FACP$'!$H5278-'FACP$'!$I5278-'FACP$'!$K5278</f>
        <v>63558.4532</v>
      </c>
      <c r="M5278" s="162" t="s">
        <v>4388</v>
      </c>
      <c r="N5278" s="162" t="s">
        <v>554</v>
      </c>
      <c r="O5278" s="164">
        <v>45603.0</v>
      </c>
      <c r="P5278" s="164">
        <f t="array" ref="P5278">XLOOKUP('FACP$'!$B5278,'perfil de pagos'!$A$4:$A$46,'perfil de pagos'!$B$4:$B$46+'FACP$'!$D5278)</f>
        <v>45597</v>
      </c>
      <c r="Q5278" s="165">
        <f t="shared" si="128"/>
        <v>0</v>
      </c>
      <c r="R5278" s="167"/>
      <c r="S5278" s="167">
        <v>3382.0</v>
      </c>
      <c r="T5278" s="168">
        <f t="shared" si="3"/>
        <v>63558.4532</v>
      </c>
      <c r="U5278" s="168">
        <f t="shared" si="4"/>
        <v>0</v>
      </c>
      <c r="V5278" s="168">
        <f t="shared" si="5"/>
        <v>0</v>
      </c>
      <c r="W5278" s="168">
        <f t="shared" si="6"/>
        <v>0</v>
      </c>
      <c r="X5278" s="168">
        <f t="shared" si="7"/>
        <v>0</v>
      </c>
      <c r="Y5278" s="168">
        <f t="shared" si="8"/>
        <v>0</v>
      </c>
      <c r="Z5278" s="168">
        <f t="shared" si="9"/>
        <v>0</v>
      </c>
    </row>
    <row r="5279" ht="15.0" customHeight="1">
      <c r="A5279" s="157" t="s">
        <v>6686</v>
      </c>
      <c r="B5279" s="158" t="s">
        <v>37</v>
      </c>
      <c r="C5279" s="158" t="s">
        <v>6664</v>
      </c>
      <c r="D5279" s="159">
        <v>45587.0</v>
      </c>
      <c r="E5279" s="157" t="s">
        <v>731</v>
      </c>
      <c r="F5279" s="160">
        <v>1506334.87</v>
      </c>
      <c r="G5279" s="160">
        <f>'FACP$'!$F5279*0.16</f>
        <v>241013.5792</v>
      </c>
      <c r="H5279" s="160">
        <f t="shared" si="124"/>
        <v>1747348.449</v>
      </c>
      <c r="I5279" s="160"/>
      <c r="J5279" s="161"/>
      <c r="K5279" s="160"/>
      <c r="L5279" s="160">
        <f>+'FACP$'!$H5279-'FACP$'!$I5279-'FACP$'!$K5279</f>
        <v>1747348.449</v>
      </c>
      <c r="M5279" s="162" t="s">
        <v>116</v>
      </c>
      <c r="N5279" s="162" t="s">
        <v>554</v>
      </c>
      <c r="O5279" s="164">
        <v>45600.0</v>
      </c>
      <c r="P5279" s="164">
        <f t="array" ref="P5279">XLOOKUP('FACP$'!$B5279,'perfil de pagos'!$A$4:$A$46,'perfil de pagos'!$B$4:$B$46+'FACP$'!$D5279)</f>
        <v>45597</v>
      </c>
      <c r="Q5279" s="165">
        <f t="shared" si="128"/>
        <v>0</v>
      </c>
      <c r="R5279" s="167"/>
      <c r="S5279" s="167">
        <v>3374.0</v>
      </c>
      <c r="T5279" s="168">
        <f t="shared" si="3"/>
        <v>1747348.449</v>
      </c>
      <c r="U5279" s="168">
        <f t="shared" si="4"/>
        <v>0</v>
      </c>
      <c r="V5279" s="168">
        <f t="shared" si="5"/>
        <v>0</v>
      </c>
      <c r="W5279" s="168">
        <f t="shared" si="6"/>
        <v>0</v>
      </c>
      <c r="X5279" s="168">
        <f t="shared" si="7"/>
        <v>0</v>
      </c>
      <c r="Y5279" s="168">
        <f t="shared" si="8"/>
        <v>0</v>
      </c>
      <c r="Z5279" s="168">
        <f t="shared" si="9"/>
        <v>0</v>
      </c>
    </row>
    <row r="5280" ht="15.0" customHeight="1">
      <c r="A5280" s="157" t="s">
        <v>6687</v>
      </c>
      <c r="B5280" s="158" t="s">
        <v>29</v>
      </c>
      <c r="C5280" s="158" t="s">
        <v>6664</v>
      </c>
      <c r="D5280" s="159">
        <v>45587.0</v>
      </c>
      <c r="E5280" s="157" t="s">
        <v>731</v>
      </c>
      <c r="F5280" s="160">
        <v>316513.51</v>
      </c>
      <c r="G5280" s="160">
        <f>'FACP$'!$F5280*0.16</f>
        <v>50642.1616</v>
      </c>
      <c r="H5280" s="160">
        <f t="shared" si="124"/>
        <v>367155.6716</v>
      </c>
      <c r="I5280" s="160"/>
      <c r="J5280" s="161"/>
      <c r="K5280" s="160"/>
      <c r="L5280" s="160">
        <f>+'FACP$'!$H5280-'FACP$'!$I5280-'FACP$'!$K5280</f>
        <v>367155.6716</v>
      </c>
      <c r="M5280" s="162" t="s">
        <v>130</v>
      </c>
      <c r="N5280" s="162" t="s">
        <v>554</v>
      </c>
      <c r="O5280" s="164">
        <v>45607.0</v>
      </c>
      <c r="P5280" s="164">
        <f t="array" ref="P5280">XLOOKUP('FACP$'!$B5280,'perfil de pagos'!$A$4:$A$46,'perfil de pagos'!$B$4:$B$46+'FACP$'!$D5280)</f>
        <v>45597</v>
      </c>
      <c r="Q5280" s="165">
        <f t="shared" si="128"/>
        <v>0</v>
      </c>
      <c r="R5280" s="167"/>
      <c r="S5280" s="167">
        <v>3388.0</v>
      </c>
      <c r="T5280" s="168">
        <f t="shared" si="3"/>
        <v>367155.6716</v>
      </c>
      <c r="U5280" s="168">
        <f t="shared" si="4"/>
        <v>0</v>
      </c>
      <c r="V5280" s="168">
        <f t="shared" si="5"/>
        <v>0</v>
      </c>
      <c r="W5280" s="168">
        <f t="shared" si="6"/>
        <v>0</v>
      </c>
      <c r="X5280" s="168">
        <f t="shared" si="7"/>
        <v>0</v>
      </c>
      <c r="Y5280" s="168">
        <f t="shared" si="8"/>
        <v>0</v>
      </c>
      <c r="Z5280" s="168">
        <f t="shared" si="9"/>
        <v>0</v>
      </c>
    </row>
    <row r="5281" ht="15.0" customHeight="1">
      <c r="A5281" s="157" t="s">
        <v>6688</v>
      </c>
      <c r="B5281" s="158" t="s">
        <v>29</v>
      </c>
      <c r="C5281" s="158" t="s">
        <v>6668</v>
      </c>
      <c r="D5281" s="159">
        <v>45587.0</v>
      </c>
      <c r="E5281" s="157" t="s">
        <v>731</v>
      </c>
      <c r="F5281" s="160">
        <v>480977.05</v>
      </c>
      <c r="G5281" s="160">
        <f>'FACP$'!$F5281*0.16</f>
        <v>76956.328</v>
      </c>
      <c r="H5281" s="160">
        <f t="shared" si="124"/>
        <v>557933.378</v>
      </c>
      <c r="I5281" s="160"/>
      <c r="J5281" s="161"/>
      <c r="K5281" s="160"/>
      <c r="L5281" s="160">
        <f>+'FACP$'!$H5281-'FACP$'!$I5281-'FACP$'!$K5281</f>
        <v>557933.378</v>
      </c>
      <c r="M5281" s="162" t="s">
        <v>130</v>
      </c>
      <c r="N5281" s="162" t="s">
        <v>554</v>
      </c>
      <c r="O5281" s="164">
        <v>45610.0</v>
      </c>
      <c r="P5281" s="164">
        <f t="array" ref="P5281">XLOOKUP('FACP$'!$B5281,'perfil de pagos'!$A$4:$A$46,'perfil de pagos'!$B$4:$B$46+'FACP$'!$D5281)</f>
        <v>45597</v>
      </c>
      <c r="Q5281" s="165">
        <f t="shared" si="128"/>
        <v>0</v>
      </c>
      <c r="R5281" s="167"/>
      <c r="S5281" s="167">
        <v>3396.0</v>
      </c>
      <c r="T5281" s="168">
        <f t="shared" si="3"/>
        <v>557933.378</v>
      </c>
      <c r="U5281" s="168">
        <f t="shared" si="4"/>
        <v>0</v>
      </c>
      <c r="V5281" s="168">
        <f t="shared" si="5"/>
        <v>0</v>
      </c>
      <c r="W5281" s="168">
        <f t="shared" si="6"/>
        <v>0</v>
      </c>
      <c r="X5281" s="168">
        <f t="shared" si="7"/>
        <v>0</v>
      </c>
      <c r="Y5281" s="168">
        <f t="shared" si="8"/>
        <v>0</v>
      </c>
      <c r="Z5281" s="168">
        <f t="shared" si="9"/>
        <v>0</v>
      </c>
    </row>
    <row r="5282" ht="15.0" customHeight="1">
      <c r="A5282" s="157" t="s">
        <v>6689</v>
      </c>
      <c r="B5282" s="158" t="s">
        <v>40</v>
      </c>
      <c r="C5282" s="158" t="s">
        <v>6664</v>
      </c>
      <c r="D5282" s="159">
        <v>45587.0</v>
      </c>
      <c r="E5282" s="157" t="s">
        <v>731</v>
      </c>
      <c r="F5282" s="160">
        <v>288078.18</v>
      </c>
      <c r="G5282" s="160">
        <f>'FACP$'!$F5282*0.16</f>
        <v>46092.5088</v>
      </c>
      <c r="H5282" s="160">
        <f t="shared" si="124"/>
        <v>334170.6888</v>
      </c>
      <c r="I5282" s="160"/>
      <c r="J5282" s="161"/>
      <c r="K5282" s="160"/>
      <c r="L5282" s="160">
        <f>+'FACP$'!$H5282-'FACP$'!$I5282-'FACP$'!$K5282</f>
        <v>334170.6888</v>
      </c>
      <c r="M5282" s="162" t="s">
        <v>490</v>
      </c>
      <c r="N5282" s="162" t="s">
        <v>554</v>
      </c>
      <c r="O5282" s="164">
        <v>45618.0</v>
      </c>
      <c r="P5282" s="164">
        <f t="array" ref="P5282">XLOOKUP('FACP$'!$B5282,'perfil de pagos'!$A$4:$A$46,'perfil de pagos'!$B$4:$B$46+'FACP$'!$D5282)</f>
        <v>45617</v>
      </c>
      <c r="Q5282" s="165">
        <f t="shared" si="128"/>
        <v>0</v>
      </c>
      <c r="R5282" s="167"/>
      <c r="S5282" s="167">
        <v>3415.0</v>
      </c>
      <c r="T5282" s="168">
        <f t="shared" si="3"/>
        <v>334170.6888</v>
      </c>
      <c r="U5282" s="168">
        <f t="shared" si="4"/>
        <v>0</v>
      </c>
      <c r="V5282" s="168">
        <f t="shared" si="5"/>
        <v>0</v>
      </c>
      <c r="W5282" s="168">
        <f t="shared" si="6"/>
        <v>0</v>
      </c>
      <c r="X5282" s="168">
        <f t="shared" si="7"/>
        <v>0</v>
      </c>
      <c r="Y5282" s="168">
        <f t="shared" si="8"/>
        <v>0</v>
      </c>
      <c r="Z5282" s="168">
        <f t="shared" si="9"/>
        <v>0</v>
      </c>
    </row>
    <row r="5283" ht="15.0" customHeight="1">
      <c r="A5283" s="157" t="s">
        <v>6690</v>
      </c>
      <c r="B5283" s="158" t="s">
        <v>40</v>
      </c>
      <c r="C5283" s="158" t="s">
        <v>6668</v>
      </c>
      <c r="D5283" s="159">
        <v>45587.0</v>
      </c>
      <c r="E5283" s="157" t="s">
        <v>731</v>
      </c>
      <c r="F5283" s="160">
        <v>243765.01</v>
      </c>
      <c r="G5283" s="160">
        <f>'FACP$'!$F5283*0.16</f>
        <v>39002.4016</v>
      </c>
      <c r="H5283" s="160">
        <f t="shared" si="124"/>
        <v>282767.4116</v>
      </c>
      <c r="I5283" s="160"/>
      <c r="J5283" s="161"/>
      <c r="K5283" s="160"/>
      <c r="L5283" s="160">
        <f>+'FACP$'!$H5283-'FACP$'!$I5283-'FACP$'!$K5283</f>
        <v>282767.4116</v>
      </c>
      <c r="M5283" s="162" t="s">
        <v>490</v>
      </c>
      <c r="N5283" s="162" t="s">
        <v>554</v>
      </c>
      <c r="O5283" s="164">
        <v>45618.0</v>
      </c>
      <c r="P5283" s="164">
        <f t="array" ref="P5283">XLOOKUP('FACP$'!$B5283,'perfil de pagos'!$A$4:$A$46,'perfil de pagos'!$B$4:$B$46+'FACP$'!$D5283)</f>
        <v>45617</v>
      </c>
      <c r="Q5283" s="165">
        <f t="shared" si="128"/>
        <v>0</v>
      </c>
      <c r="R5283" s="167"/>
      <c r="S5283" s="167">
        <v>3415.0</v>
      </c>
      <c r="T5283" s="168">
        <f t="shared" si="3"/>
        <v>282767.4116</v>
      </c>
      <c r="U5283" s="168">
        <f t="shared" si="4"/>
        <v>0</v>
      </c>
      <c r="V5283" s="168">
        <f t="shared" si="5"/>
        <v>0</v>
      </c>
      <c r="W5283" s="168">
        <f t="shared" si="6"/>
        <v>0</v>
      </c>
      <c r="X5283" s="168">
        <f t="shared" si="7"/>
        <v>0</v>
      </c>
      <c r="Y5283" s="168">
        <f t="shared" si="8"/>
        <v>0</v>
      </c>
      <c r="Z5283" s="168">
        <f t="shared" si="9"/>
        <v>0</v>
      </c>
    </row>
    <row r="5284" ht="15.0" customHeight="1">
      <c r="A5284" s="157" t="s">
        <v>6691</v>
      </c>
      <c r="B5284" s="158" t="s">
        <v>22</v>
      </c>
      <c r="C5284" s="158" t="s">
        <v>6692</v>
      </c>
      <c r="D5284" s="159">
        <v>45523.0</v>
      </c>
      <c r="E5284" s="157" t="s">
        <v>731</v>
      </c>
      <c r="F5284" s="160">
        <v>27949.84</v>
      </c>
      <c r="G5284" s="160">
        <f>'FACP$'!$F5284*0.16</f>
        <v>4471.9744</v>
      </c>
      <c r="H5284" s="160">
        <f t="shared" si="124"/>
        <v>32421.8144</v>
      </c>
      <c r="I5284" s="160">
        <v>22633.22</v>
      </c>
      <c r="J5284" s="161"/>
      <c r="K5284" s="160"/>
      <c r="L5284" s="160">
        <f>+'FACP$'!$H5284-'FACP$'!$I5284-'FACP$'!$K5284</f>
        <v>9788.5944</v>
      </c>
      <c r="M5284" s="162" t="s">
        <v>6693</v>
      </c>
      <c r="N5284" s="162" t="s">
        <v>554</v>
      </c>
      <c r="O5284" s="164">
        <v>45593.0</v>
      </c>
      <c r="P5284" s="164">
        <f t="array" ref="P5284">XLOOKUP('FACP$'!$B5284,'perfil de pagos'!$A$4:$A$46,'perfil de pagos'!$B$4:$B$46+'FACP$'!$D5284)</f>
        <v>45533</v>
      </c>
      <c r="Q5284" s="165">
        <f t="shared" si="128"/>
        <v>0</v>
      </c>
      <c r="R5284" s="167"/>
      <c r="S5284" s="167">
        <v>3353.0</v>
      </c>
      <c r="T5284" s="168">
        <f t="shared" si="3"/>
        <v>9788.5944</v>
      </c>
      <c r="U5284" s="168">
        <f t="shared" si="4"/>
        <v>0</v>
      </c>
      <c r="V5284" s="168">
        <f t="shared" si="5"/>
        <v>0</v>
      </c>
      <c r="W5284" s="168">
        <f t="shared" si="6"/>
        <v>0</v>
      </c>
      <c r="X5284" s="168">
        <f t="shared" si="7"/>
        <v>0</v>
      </c>
      <c r="Y5284" s="168">
        <f t="shared" si="8"/>
        <v>0</v>
      </c>
      <c r="Z5284" s="168">
        <f t="shared" si="9"/>
        <v>0</v>
      </c>
    </row>
    <row r="5285" ht="15.0" customHeight="1">
      <c r="A5285" s="157" t="s">
        <v>6694</v>
      </c>
      <c r="B5285" s="158" t="s">
        <v>22</v>
      </c>
      <c r="C5285" s="158" t="s">
        <v>6692</v>
      </c>
      <c r="D5285" s="159">
        <v>45523.0</v>
      </c>
      <c r="E5285" s="157" t="s">
        <v>731</v>
      </c>
      <c r="F5285" s="160">
        <v>42664.31</v>
      </c>
      <c r="G5285" s="160">
        <f>'FACP$'!$F5285*0.16</f>
        <v>6826.2896</v>
      </c>
      <c r="H5285" s="160">
        <f t="shared" si="124"/>
        <v>49490.5996</v>
      </c>
      <c r="I5285" s="160"/>
      <c r="J5285" s="161"/>
      <c r="K5285" s="160"/>
      <c r="L5285" s="160">
        <f>+'FACP$'!$H5285-'FACP$'!$I5285-'FACP$'!$K5285</f>
        <v>49490.5996</v>
      </c>
      <c r="M5285" s="162" t="s">
        <v>6695</v>
      </c>
      <c r="N5285" s="162" t="s">
        <v>554</v>
      </c>
      <c r="O5285" s="164">
        <v>45593.0</v>
      </c>
      <c r="P5285" s="164">
        <f t="array" ref="P5285">XLOOKUP('FACP$'!$B5285,'perfil de pagos'!$A$4:$A$46,'perfil de pagos'!$B$4:$B$46+'FACP$'!$D5285)</f>
        <v>45533</v>
      </c>
      <c r="Q5285" s="165">
        <f t="shared" si="128"/>
        <v>0</v>
      </c>
      <c r="R5285" s="167"/>
      <c r="S5285" s="167">
        <v>3353.0</v>
      </c>
      <c r="T5285" s="168">
        <f t="shared" si="3"/>
        <v>49490.5996</v>
      </c>
      <c r="U5285" s="168">
        <f t="shared" si="4"/>
        <v>0</v>
      </c>
      <c r="V5285" s="168">
        <f t="shared" si="5"/>
        <v>0</v>
      </c>
      <c r="W5285" s="168">
        <f t="shared" si="6"/>
        <v>0</v>
      </c>
      <c r="X5285" s="168">
        <f t="shared" si="7"/>
        <v>0</v>
      </c>
      <c r="Y5285" s="168">
        <f t="shared" si="8"/>
        <v>0</v>
      </c>
      <c r="Z5285" s="168">
        <f t="shared" si="9"/>
        <v>0</v>
      </c>
    </row>
    <row r="5286" ht="15.0" customHeight="1">
      <c r="A5286" s="157" t="s">
        <v>6696</v>
      </c>
      <c r="B5286" s="158" t="s">
        <v>22</v>
      </c>
      <c r="C5286" s="158" t="s">
        <v>6697</v>
      </c>
      <c r="D5286" s="159">
        <v>45541.0</v>
      </c>
      <c r="E5286" s="157" t="s">
        <v>731</v>
      </c>
      <c r="F5286" s="160">
        <v>324599.41</v>
      </c>
      <c r="G5286" s="160">
        <f>'FACP$'!$F5286*0.16</f>
        <v>51935.9056</v>
      </c>
      <c r="H5286" s="160">
        <f t="shared" si="124"/>
        <v>376535.3156</v>
      </c>
      <c r="I5286" s="160">
        <v>190720.81</v>
      </c>
      <c r="J5286" s="161"/>
      <c r="K5286" s="160"/>
      <c r="L5286" s="160">
        <f>+'FACP$'!$H5286-'FACP$'!$I5286-'FACP$'!$K5286</f>
        <v>185814.5056</v>
      </c>
      <c r="M5286" s="162" t="s">
        <v>6693</v>
      </c>
      <c r="N5286" s="162" t="s">
        <v>554</v>
      </c>
      <c r="O5286" s="164">
        <v>45595.0</v>
      </c>
      <c r="P5286" s="164">
        <f t="array" ref="P5286">XLOOKUP('FACP$'!$B5286,'perfil de pagos'!$A$4:$A$46,'perfil de pagos'!$B$4:$B$46+'FACP$'!$D5286)</f>
        <v>45551</v>
      </c>
      <c r="Q5286" s="165">
        <f t="shared" si="128"/>
        <v>0</v>
      </c>
      <c r="R5286" s="220" t="s">
        <v>6698</v>
      </c>
      <c r="S5286" s="167" t="s">
        <v>6699</v>
      </c>
      <c r="T5286" s="168">
        <f t="shared" si="3"/>
        <v>185814.5056</v>
      </c>
      <c r="U5286" s="168">
        <f t="shared" si="4"/>
        <v>0</v>
      </c>
      <c r="V5286" s="168">
        <f t="shared" si="5"/>
        <v>0</v>
      </c>
      <c r="W5286" s="168">
        <f t="shared" si="6"/>
        <v>0</v>
      </c>
      <c r="X5286" s="168">
        <f t="shared" si="7"/>
        <v>0</v>
      </c>
      <c r="Y5286" s="168">
        <f t="shared" si="8"/>
        <v>0</v>
      </c>
      <c r="Z5286" s="168">
        <f t="shared" si="9"/>
        <v>0</v>
      </c>
    </row>
    <row r="5287" ht="15.0" customHeight="1">
      <c r="A5287" s="157" t="s">
        <v>6700</v>
      </c>
      <c r="B5287" s="158" t="s">
        <v>22</v>
      </c>
      <c r="C5287" s="158" t="s">
        <v>6697</v>
      </c>
      <c r="D5287" s="159">
        <v>45541.0</v>
      </c>
      <c r="E5287" s="157" t="s">
        <v>731</v>
      </c>
      <c r="F5287" s="160">
        <v>321390.13</v>
      </c>
      <c r="G5287" s="160">
        <f>'FACP$'!$F5287*0.16</f>
        <v>51422.4208</v>
      </c>
      <c r="H5287" s="160">
        <f t="shared" si="124"/>
        <v>372812.5508</v>
      </c>
      <c r="I5287" s="160">
        <f>64185.49+250000</f>
        <v>314185.49</v>
      </c>
      <c r="J5287" s="161"/>
      <c r="K5287" s="160"/>
      <c r="L5287" s="160">
        <f>+'FACP$'!$H5287-'FACP$'!$I5287-'FACP$'!$K5287</f>
        <v>58627.0608</v>
      </c>
      <c r="M5287" s="162" t="s">
        <v>6695</v>
      </c>
      <c r="N5287" s="162" t="s">
        <v>554</v>
      </c>
      <c r="O5287" s="164">
        <v>45611.0</v>
      </c>
      <c r="P5287" s="164">
        <f t="array" ref="P5287">XLOOKUP('FACP$'!$B5287,'perfil de pagos'!$A$4:$A$46,'perfil de pagos'!$B$4:$B$46+'FACP$'!$D5287)</f>
        <v>45551</v>
      </c>
      <c r="Q5287" s="165">
        <f t="shared" si="128"/>
        <v>0</v>
      </c>
      <c r="R5287" s="167" t="s">
        <v>6701</v>
      </c>
      <c r="S5287" s="167" t="s">
        <v>6702</v>
      </c>
      <c r="T5287" s="168">
        <f t="shared" si="3"/>
        <v>58627.0608</v>
      </c>
      <c r="U5287" s="168">
        <f t="shared" si="4"/>
        <v>0</v>
      </c>
      <c r="V5287" s="168">
        <f t="shared" si="5"/>
        <v>0</v>
      </c>
      <c r="W5287" s="168">
        <f t="shared" si="6"/>
        <v>0</v>
      </c>
      <c r="X5287" s="168">
        <f t="shared" si="7"/>
        <v>0</v>
      </c>
      <c r="Y5287" s="168">
        <f t="shared" si="8"/>
        <v>0</v>
      </c>
      <c r="Z5287" s="168">
        <f t="shared" si="9"/>
        <v>0</v>
      </c>
    </row>
    <row r="5288" ht="15.0" customHeight="1">
      <c r="A5288" s="157" t="s">
        <v>6703</v>
      </c>
      <c r="B5288" s="158" t="s">
        <v>22</v>
      </c>
      <c r="C5288" s="158" t="s">
        <v>6704</v>
      </c>
      <c r="D5288" s="159">
        <v>45572.0</v>
      </c>
      <c r="E5288" s="157" t="s">
        <v>731</v>
      </c>
      <c r="F5288" s="160">
        <v>279239.05</v>
      </c>
      <c r="G5288" s="160">
        <f>'FACP$'!$F5288*0.16</f>
        <v>44678.248</v>
      </c>
      <c r="H5288" s="160">
        <f t="shared" si="124"/>
        <v>323917.298</v>
      </c>
      <c r="I5288" s="160"/>
      <c r="J5288" s="161"/>
      <c r="K5288" s="160"/>
      <c r="L5288" s="160">
        <f>+'FACP$'!$H5288-'FACP$'!$I5288-'FACP$'!$K5288</f>
        <v>323917.298</v>
      </c>
      <c r="M5288" s="162" t="s">
        <v>6695</v>
      </c>
      <c r="N5288" s="162" t="s">
        <v>554</v>
      </c>
      <c r="O5288" s="164">
        <v>45611.0</v>
      </c>
      <c r="P5288" s="164">
        <f t="array" ref="P5288">XLOOKUP('FACP$'!$B5288,'perfil de pagos'!$A$4:$A$46,'perfil de pagos'!$B$4:$B$46+'FACP$'!$D5288)</f>
        <v>45582</v>
      </c>
      <c r="Q5288" s="165">
        <f t="shared" si="128"/>
        <v>0</v>
      </c>
      <c r="R5288" s="167"/>
      <c r="S5288" s="167">
        <v>3397.0</v>
      </c>
      <c r="T5288" s="168">
        <f t="shared" si="3"/>
        <v>323917.298</v>
      </c>
      <c r="U5288" s="168">
        <f t="shared" si="4"/>
        <v>0</v>
      </c>
      <c r="V5288" s="168">
        <f t="shared" si="5"/>
        <v>0</v>
      </c>
      <c r="W5288" s="168">
        <f t="shared" si="6"/>
        <v>0</v>
      </c>
      <c r="X5288" s="168">
        <f t="shared" si="7"/>
        <v>0</v>
      </c>
      <c r="Y5288" s="168">
        <f t="shared" si="8"/>
        <v>0</v>
      </c>
      <c r="Z5288" s="168">
        <f t="shared" si="9"/>
        <v>0</v>
      </c>
    </row>
    <row r="5289" ht="15.0" customHeight="1">
      <c r="A5289" s="157" t="s">
        <v>6705</v>
      </c>
      <c r="B5289" s="158" t="s">
        <v>22</v>
      </c>
      <c r="C5289" s="158" t="s">
        <v>6704</v>
      </c>
      <c r="D5289" s="159">
        <v>45572.0</v>
      </c>
      <c r="E5289" s="157" t="s">
        <v>731</v>
      </c>
      <c r="F5289" s="160">
        <v>298198.23</v>
      </c>
      <c r="G5289" s="160">
        <f>'FACP$'!$F5289*0.16</f>
        <v>47711.7168</v>
      </c>
      <c r="H5289" s="160">
        <f t="shared" si="124"/>
        <v>345909.9468</v>
      </c>
      <c r="I5289" s="160">
        <v>200000.0</v>
      </c>
      <c r="J5289" s="161"/>
      <c r="K5289" s="160"/>
      <c r="L5289" s="160">
        <f>+'FACP$'!$H5289-'FACP$'!$I5289-'FACP$'!$K5289</f>
        <v>145909.9468</v>
      </c>
      <c r="M5289" s="162" t="s">
        <v>6693</v>
      </c>
      <c r="N5289" s="162" t="s">
        <v>554</v>
      </c>
      <c r="O5289" s="164">
        <v>45635.0</v>
      </c>
      <c r="P5289" s="164">
        <f t="array" ref="P5289">XLOOKUP('FACP$'!$B5289,'perfil de pagos'!$A$4:$A$46,'perfil de pagos'!$B$4:$B$46+'FACP$'!$D5289)</f>
        <v>45582</v>
      </c>
      <c r="Q5289" s="165">
        <f t="shared" si="128"/>
        <v>0</v>
      </c>
      <c r="R5289" s="220" t="s">
        <v>6706</v>
      </c>
      <c r="S5289" s="167" t="s">
        <v>6707</v>
      </c>
      <c r="T5289" s="168">
        <f t="shared" si="3"/>
        <v>145909.9468</v>
      </c>
      <c r="U5289" s="168">
        <f t="shared" si="4"/>
        <v>0</v>
      </c>
      <c r="V5289" s="168">
        <f t="shared" si="5"/>
        <v>0</v>
      </c>
      <c r="W5289" s="168">
        <f t="shared" si="6"/>
        <v>0</v>
      </c>
      <c r="X5289" s="168">
        <f t="shared" si="7"/>
        <v>0</v>
      </c>
      <c r="Y5289" s="168">
        <f t="shared" si="8"/>
        <v>0</v>
      </c>
      <c r="Z5289" s="168">
        <f t="shared" si="9"/>
        <v>0</v>
      </c>
      <c r="AA5289" s="96"/>
      <c r="AB5289" s="96"/>
      <c r="AC5289" s="96"/>
    </row>
    <row r="5290" ht="15.0" customHeight="1">
      <c r="A5290" s="157" t="s">
        <v>6708</v>
      </c>
      <c r="B5290" s="158" t="s">
        <v>38</v>
      </c>
      <c r="C5290" s="158" t="s">
        <v>6664</v>
      </c>
      <c r="D5290" s="159">
        <v>45594.0</v>
      </c>
      <c r="E5290" s="157" t="s">
        <v>731</v>
      </c>
      <c r="F5290" s="160">
        <v>445563.08</v>
      </c>
      <c r="G5290" s="160">
        <f>'FACP$'!$F5290*0.16</f>
        <v>71290.0928</v>
      </c>
      <c r="H5290" s="160">
        <f t="shared" si="124"/>
        <v>516853.1728</v>
      </c>
      <c r="I5290" s="160"/>
      <c r="J5290" s="161"/>
      <c r="K5290" s="160"/>
      <c r="L5290" s="160">
        <f>+'FACP$'!$H5290-'FACP$'!$I5290-'FACP$'!$K5290</f>
        <v>516853.1728</v>
      </c>
      <c r="M5290" s="162" t="s">
        <v>145</v>
      </c>
      <c r="N5290" s="162" t="s">
        <v>554</v>
      </c>
      <c r="O5290" s="164">
        <v>45616.0</v>
      </c>
      <c r="P5290" s="164">
        <f t="array" ref="P5290">XLOOKUP('FACP$'!$B5290,'perfil de pagos'!$A$4:$A$46,'perfil de pagos'!$B$4:$B$46+'FACP$'!$D5290)</f>
        <v>45624</v>
      </c>
      <c r="Q5290" s="165">
        <f t="shared" si="128"/>
        <v>0</v>
      </c>
      <c r="R5290" s="167"/>
      <c r="S5290" s="167">
        <v>3409.0</v>
      </c>
      <c r="T5290" s="168">
        <f t="shared" si="3"/>
        <v>516853.1728</v>
      </c>
      <c r="U5290" s="168">
        <f t="shared" si="4"/>
        <v>0</v>
      </c>
      <c r="V5290" s="168">
        <f t="shared" si="5"/>
        <v>0</v>
      </c>
      <c r="W5290" s="168">
        <f t="shared" si="6"/>
        <v>0</v>
      </c>
      <c r="X5290" s="168">
        <f t="shared" si="7"/>
        <v>0</v>
      </c>
      <c r="Y5290" s="168">
        <f t="shared" si="8"/>
        <v>0</v>
      </c>
      <c r="Z5290" s="168">
        <f t="shared" si="9"/>
        <v>0</v>
      </c>
      <c r="AA5290" s="72"/>
      <c r="AB5290" s="72"/>
      <c r="AC5290" s="72"/>
    </row>
    <row r="5291" ht="15.0" customHeight="1">
      <c r="A5291" s="157" t="s">
        <v>6709</v>
      </c>
      <c r="B5291" s="158" t="s">
        <v>32</v>
      </c>
      <c r="C5291" s="158" t="s">
        <v>6664</v>
      </c>
      <c r="D5291" s="159">
        <v>45590.0</v>
      </c>
      <c r="E5291" s="157" t="s">
        <v>731</v>
      </c>
      <c r="F5291" s="160">
        <v>39986.16</v>
      </c>
      <c r="G5291" s="160">
        <f>'FACP$'!$F5291*0.16</f>
        <v>6397.7856</v>
      </c>
      <c r="H5291" s="160">
        <f t="shared" si="124"/>
        <v>46383.9456</v>
      </c>
      <c r="I5291" s="160"/>
      <c r="J5291" s="161"/>
      <c r="K5291" s="160"/>
      <c r="L5291" s="160">
        <f>+'FACP$'!$H5291-'FACP$'!$I5291-'FACP$'!$K5291</f>
        <v>46383.9456</v>
      </c>
      <c r="M5291" s="162" t="s">
        <v>395</v>
      </c>
      <c r="N5291" s="162" t="s">
        <v>554</v>
      </c>
      <c r="O5291" s="164">
        <v>45597.0</v>
      </c>
      <c r="P5291" s="164">
        <f t="array" ref="P5291">XLOOKUP('FACP$'!$B5291,'perfil de pagos'!$A$4:$A$46,'perfil de pagos'!$B$4:$B$46+'FACP$'!$D5291)</f>
        <v>45600</v>
      </c>
      <c r="Q5291" s="165">
        <f t="shared" si="128"/>
        <v>0</v>
      </c>
      <c r="R5291" s="167"/>
      <c r="S5291" s="167">
        <v>3373.0</v>
      </c>
      <c r="T5291" s="168">
        <f t="shared" si="3"/>
        <v>46383.9456</v>
      </c>
      <c r="U5291" s="168">
        <f t="shared" si="4"/>
        <v>0</v>
      </c>
      <c r="V5291" s="168">
        <f t="shared" si="5"/>
        <v>0</v>
      </c>
      <c r="W5291" s="168">
        <f t="shared" si="6"/>
        <v>0</v>
      </c>
      <c r="X5291" s="168">
        <f t="shared" si="7"/>
        <v>0</v>
      </c>
      <c r="Y5291" s="168">
        <f t="shared" si="8"/>
        <v>0</v>
      </c>
      <c r="Z5291" s="168">
        <f t="shared" si="9"/>
        <v>0</v>
      </c>
      <c r="AA5291" s="72"/>
      <c r="AB5291" s="72"/>
      <c r="AC5291" s="72"/>
    </row>
    <row r="5292" ht="15.0" customHeight="1">
      <c r="A5292" s="157" t="s">
        <v>6710</v>
      </c>
      <c r="B5292" s="158" t="s">
        <v>32</v>
      </c>
      <c r="C5292" s="158" t="s">
        <v>6711</v>
      </c>
      <c r="D5292" s="159">
        <v>45590.0</v>
      </c>
      <c r="E5292" s="157" t="s">
        <v>731</v>
      </c>
      <c r="F5292" s="160">
        <v>17414.52</v>
      </c>
      <c r="G5292" s="160">
        <f>'FACP$'!$F5292*0.16</f>
        <v>2786.3232</v>
      </c>
      <c r="H5292" s="160">
        <f t="shared" si="124"/>
        <v>20200.8432</v>
      </c>
      <c r="I5292" s="160"/>
      <c r="J5292" s="161"/>
      <c r="K5292" s="160"/>
      <c r="L5292" s="160">
        <f>+'FACP$'!$H5292-'FACP$'!$I5292-'FACP$'!$K5292</f>
        <v>20200.8432</v>
      </c>
      <c r="M5292" s="162" t="s">
        <v>395</v>
      </c>
      <c r="N5292" s="162" t="s">
        <v>554</v>
      </c>
      <c r="O5292" s="164">
        <v>45597.0</v>
      </c>
      <c r="P5292" s="164">
        <f t="array" ref="P5292">XLOOKUP('FACP$'!$B5292,'perfil de pagos'!$A$4:$A$46,'perfil de pagos'!$B$4:$B$46+'FACP$'!$D5292)</f>
        <v>45600</v>
      </c>
      <c r="Q5292" s="165">
        <f t="shared" si="128"/>
        <v>0</v>
      </c>
      <c r="R5292" s="167"/>
      <c r="S5292" s="167">
        <v>3373.0</v>
      </c>
      <c r="T5292" s="168">
        <f t="shared" si="3"/>
        <v>20200.8432</v>
      </c>
      <c r="U5292" s="168">
        <f t="shared" si="4"/>
        <v>0</v>
      </c>
      <c r="V5292" s="168">
        <f t="shared" si="5"/>
        <v>0</v>
      </c>
      <c r="W5292" s="168">
        <f t="shared" si="6"/>
        <v>0</v>
      </c>
      <c r="X5292" s="168">
        <f t="shared" si="7"/>
        <v>0</v>
      </c>
      <c r="Y5292" s="168">
        <f t="shared" si="8"/>
        <v>0</v>
      </c>
      <c r="Z5292" s="168">
        <f t="shared" si="9"/>
        <v>0</v>
      </c>
    </row>
    <row r="5293" ht="15.0" customHeight="1">
      <c r="A5293" s="157" t="s">
        <v>6712</v>
      </c>
      <c r="B5293" s="158" t="s">
        <v>27</v>
      </c>
      <c r="C5293" s="158" t="s">
        <v>6664</v>
      </c>
      <c r="D5293" s="159">
        <v>45596.0</v>
      </c>
      <c r="E5293" s="157" t="s">
        <v>731</v>
      </c>
      <c r="F5293" s="160">
        <v>3330.0</v>
      </c>
      <c r="G5293" s="160">
        <f>'FACP$'!$F5293*0.16</f>
        <v>532.8</v>
      </c>
      <c r="H5293" s="160">
        <f t="shared" si="124"/>
        <v>3862.8</v>
      </c>
      <c r="I5293" s="160"/>
      <c r="J5293" s="161"/>
      <c r="K5293" s="160"/>
      <c r="L5293" s="160">
        <f>+'FACP$'!$H5293-'FACP$'!$I5293-'FACP$'!$K5293</f>
        <v>3862.8</v>
      </c>
      <c r="M5293" s="162" t="s">
        <v>158</v>
      </c>
      <c r="N5293" s="162" t="s">
        <v>554</v>
      </c>
      <c r="O5293" s="164">
        <v>45674.0</v>
      </c>
      <c r="P5293" s="164">
        <f t="array" ref="P5293">XLOOKUP('FACP$'!$B5293,'perfil de pagos'!$A$4:$A$46,'perfil de pagos'!$B$4:$B$46+'FACP$'!$D5293)</f>
        <v>45626</v>
      </c>
      <c r="Q5293" s="165">
        <f t="shared" si="128"/>
        <v>0</v>
      </c>
      <c r="R5293" s="167"/>
      <c r="S5293" s="167">
        <v>3554.0</v>
      </c>
      <c r="T5293" s="168">
        <f t="shared" si="3"/>
        <v>3862.8</v>
      </c>
      <c r="U5293" s="168">
        <f t="shared" si="4"/>
        <v>0</v>
      </c>
      <c r="V5293" s="168">
        <f t="shared" si="5"/>
        <v>0</v>
      </c>
      <c r="W5293" s="168">
        <f t="shared" si="6"/>
        <v>0</v>
      </c>
      <c r="X5293" s="168">
        <f t="shared" si="7"/>
        <v>0</v>
      </c>
      <c r="Y5293" s="168">
        <f t="shared" si="8"/>
        <v>0</v>
      </c>
      <c r="Z5293" s="168">
        <f t="shared" si="9"/>
        <v>0</v>
      </c>
    </row>
    <row r="5294" ht="15.0" customHeight="1">
      <c r="A5294" s="157" t="s">
        <v>6713</v>
      </c>
      <c r="B5294" s="158" t="s">
        <v>27</v>
      </c>
      <c r="C5294" s="158" t="s">
        <v>6668</v>
      </c>
      <c r="D5294" s="159">
        <v>45596.0</v>
      </c>
      <c r="E5294" s="157" t="s">
        <v>731</v>
      </c>
      <c r="F5294" s="160">
        <v>2188.46</v>
      </c>
      <c r="G5294" s="160">
        <f>'FACP$'!$F5294*0.16</f>
        <v>350.1536</v>
      </c>
      <c r="H5294" s="160">
        <f t="shared" si="124"/>
        <v>2538.6136</v>
      </c>
      <c r="I5294" s="160"/>
      <c r="J5294" s="161"/>
      <c r="K5294" s="160"/>
      <c r="L5294" s="160">
        <f>+'FACP$'!$H5294-'FACP$'!$I5294-'FACP$'!$K5294</f>
        <v>2538.6136</v>
      </c>
      <c r="M5294" s="162" t="s">
        <v>158</v>
      </c>
      <c r="N5294" s="162" t="s">
        <v>554</v>
      </c>
      <c r="O5294" s="164">
        <v>45674.0</v>
      </c>
      <c r="P5294" s="164">
        <f t="array" ref="P5294">XLOOKUP('FACP$'!$B5294,'perfil de pagos'!$A$4:$A$46,'perfil de pagos'!$B$4:$B$46+'FACP$'!$D5294)</f>
        <v>45626</v>
      </c>
      <c r="Q5294" s="165">
        <f t="shared" si="128"/>
        <v>0</v>
      </c>
      <c r="R5294" s="167"/>
      <c r="S5294" s="167">
        <v>3554.0</v>
      </c>
      <c r="T5294" s="168">
        <f t="shared" si="3"/>
        <v>2538.6136</v>
      </c>
      <c r="U5294" s="168">
        <f t="shared" si="4"/>
        <v>0</v>
      </c>
      <c r="V5294" s="168">
        <f t="shared" si="5"/>
        <v>0</v>
      </c>
      <c r="W5294" s="168">
        <f t="shared" si="6"/>
        <v>0</v>
      </c>
      <c r="X5294" s="168">
        <f t="shared" si="7"/>
        <v>0</v>
      </c>
      <c r="Y5294" s="168">
        <f t="shared" si="8"/>
        <v>0</v>
      </c>
      <c r="Z5294" s="168">
        <f t="shared" si="9"/>
        <v>0</v>
      </c>
    </row>
    <row r="5295" ht="15.0" customHeight="1">
      <c r="A5295" s="157" t="s">
        <v>6714</v>
      </c>
      <c r="B5295" s="158" t="s">
        <v>27</v>
      </c>
      <c r="C5295" s="158" t="s">
        <v>6715</v>
      </c>
      <c r="D5295" s="159">
        <v>45596.0</v>
      </c>
      <c r="E5295" s="157" t="s">
        <v>731</v>
      </c>
      <c r="F5295" s="160">
        <v>285720.37</v>
      </c>
      <c r="G5295" s="160">
        <f>'FACP$'!$F5295*0.16</f>
        <v>45715.2592</v>
      </c>
      <c r="H5295" s="160">
        <f t="shared" si="124"/>
        <v>331435.6292</v>
      </c>
      <c r="I5295" s="160"/>
      <c r="J5295" s="161"/>
      <c r="K5295" s="160"/>
      <c r="L5295" s="160">
        <f>+'FACP$'!$H5295-'FACP$'!$I5295-'FACP$'!$K5295</f>
        <v>331435.6292</v>
      </c>
      <c r="M5295" s="162" t="s">
        <v>151</v>
      </c>
      <c r="N5295" s="162" t="s">
        <v>554</v>
      </c>
      <c r="O5295" s="164">
        <v>45674.0</v>
      </c>
      <c r="P5295" s="164">
        <f t="array" ref="P5295">XLOOKUP('FACP$'!$B5295,'perfil de pagos'!$A$4:$A$46,'perfil de pagos'!$B$4:$B$46+'FACP$'!$D5295)</f>
        <v>45626</v>
      </c>
      <c r="Q5295" s="165">
        <f t="shared" si="128"/>
        <v>0</v>
      </c>
      <c r="R5295" s="167"/>
      <c r="S5295" s="167">
        <v>3555.0</v>
      </c>
      <c r="T5295" s="168">
        <f t="shared" si="3"/>
        <v>331435.6292</v>
      </c>
      <c r="U5295" s="168">
        <f t="shared" si="4"/>
        <v>0</v>
      </c>
      <c r="V5295" s="168">
        <f t="shared" si="5"/>
        <v>0</v>
      </c>
      <c r="W5295" s="168">
        <f t="shared" si="6"/>
        <v>0</v>
      </c>
      <c r="X5295" s="168">
        <f t="shared" si="7"/>
        <v>0</v>
      </c>
      <c r="Y5295" s="168">
        <f t="shared" si="8"/>
        <v>0</v>
      </c>
      <c r="Z5295" s="168">
        <f t="shared" si="9"/>
        <v>0</v>
      </c>
    </row>
    <row r="5296" ht="15.0" customHeight="1">
      <c r="A5296" s="157" t="s">
        <v>6716</v>
      </c>
      <c r="B5296" s="158" t="s">
        <v>27</v>
      </c>
      <c r="C5296" s="158" t="s">
        <v>6717</v>
      </c>
      <c r="D5296" s="159">
        <v>45596.0</v>
      </c>
      <c r="E5296" s="157" t="s">
        <v>731</v>
      </c>
      <c r="F5296" s="160">
        <v>246200.61</v>
      </c>
      <c r="G5296" s="160">
        <f>'FACP$'!$F5296*0.16</f>
        <v>39392.0976</v>
      </c>
      <c r="H5296" s="160">
        <f t="shared" si="124"/>
        <v>285592.7076</v>
      </c>
      <c r="I5296" s="160"/>
      <c r="J5296" s="161"/>
      <c r="K5296" s="160"/>
      <c r="L5296" s="160">
        <f>+'FACP$'!$H5296-'FACP$'!$I5296-'FACP$'!$K5296</f>
        <v>285592.7076</v>
      </c>
      <c r="M5296" s="162" t="s">
        <v>151</v>
      </c>
      <c r="N5296" s="162" t="s">
        <v>554</v>
      </c>
      <c r="O5296" s="164">
        <v>45674.0</v>
      </c>
      <c r="P5296" s="164">
        <f t="array" ref="P5296">XLOOKUP('FACP$'!$B5296,'perfil de pagos'!$A$4:$A$46,'perfil de pagos'!$B$4:$B$46+'FACP$'!$D5296)</f>
        <v>45626</v>
      </c>
      <c r="Q5296" s="165">
        <f t="shared" si="128"/>
        <v>0</v>
      </c>
      <c r="R5296" s="167"/>
      <c r="S5296" s="167">
        <v>3555.0</v>
      </c>
      <c r="T5296" s="168">
        <f t="shared" si="3"/>
        <v>285592.7076</v>
      </c>
      <c r="U5296" s="168">
        <f t="shared" si="4"/>
        <v>0</v>
      </c>
      <c r="V5296" s="168">
        <f t="shared" si="5"/>
        <v>0</v>
      </c>
      <c r="W5296" s="168">
        <f t="shared" si="6"/>
        <v>0</v>
      </c>
      <c r="X5296" s="168">
        <f t="shared" si="7"/>
        <v>0</v>
      </c>
      <c r="Y5296" s="168">
        <f t="shared" si="8"/>
        <v>0</v>
      </c>
      <c r="Z5296" s="168">
        <f t="shared" si="9"/>
        <v>0</v>
      </c>
    </row>
    <row r="5297" ht="15.0" customHeight="1">
      <c r="A5297" s="157" t="s">
        <v>6718</v>
      </c>
      <c r="B5297" s="158" t="s">
        <v>27</v>
      </c>
      <c r="C5297" s="158" t="s">
        <v>6715</v>
      </c>
      <c r="D5297" s="159">
        <v>45596.0</v>
      </c>
      <c r="E5297" s="157" t="s">
        <v>731</v>
      </c>
      <c r="F5297" s="160">
        <v>125764.24</v>
      </c>
      <c r="G5297" s="160">
        <f>'FACP$'!$F5297*0.16</f>
        <v>20122.2784</v>
      </c>
      <c r="H5297" s="160">
        <f t="shared" si="124"/>
        <v>145886.5184</v>
      </c>
      <c r="I5297" s="160"/>
      <c r="J5297" s="161"/>
      <c r="K5297" s="160"/>
      <c r="L5297" s="160">
        <f>+'FACP$'!$H5297-'FACP$'!$I5297-'FACP$'!$K5297</f>
        <v>145886.5184</v>
      </c>
      <c r="M5297" s="162" t="s">
        <v>158</v>
      </c>
      <c r="N5297" s="162" t="s">
        <v>554</v>
      </c>
      <c r="O5297" s="164">
        <v>45674.0</v>
      </c>
      <c r="P5297" s="164">
        <f t="array" ref="P5297">XLOOKUP('FACP$'!$B5297,'perfil de pagos'!$A$4:$A$46,'perfil de pagos'!$B$4:$B$46+'FACP$'!$D5297)</f>
        <v>45626</v>
      </c>
      <c r="Q5297" s="165">
        <f t="shared" si="128"/>
        <v>0</v>
      </c>
      <c r="R5297" s="167"/>
      <c r="S5297" s="167">
        <v>3554.0</v>
      </c>
      <c r="T5297" s="168">
        <f t="shared" si="3"/>
        <v>145886.5184</v>
      </c>
      <c r="U5297" s="168">
        <f t="shared" si="4"/>
        <v>0</v>
      </c>
      <c r="V5297" s="168">
        <f t="shared" si="5"/>
        <v>0</v>
      </c>
      <c r="W5297" s="168">
        <f t="shared" si="6"/>
        <v>0</v>
      </c>
      <c r="X5297" s="168">
        <f t="shared" si="7"/>
        <v>0</v>
      </c>
      <c r="Y5297" s="168">
        <f t="shared" si="8"/>
        <v>0</v>
      </c>
      <c r="Z5297" s="168">
        <f t="shared" si="9"/>
        <v>0</v>
      </c>
    </row>
    <row r="5298" ht="15.0" customHeight="1">
      <c r="A5298" s="157" t="s">
        <v>6719</v>
      </c>
      <c r="B5298" s="158" t="s">
        <v>27</v>
      </c>
      <c r="C5298" s="158" t="s">
        <v>6717</v>
      </c>
      <c r="D5298" s="159">
        <v>45596.0</v>
      </c>
      <c r="E5298" s="157" t="s">
        <v>731</v>
      </c>
      <c r="F5298" s="160">
        <v>113468.79</v>
      </c>
      <c r="G5298" s="160">
        <f>'FACP$'!$F5298*0.16</f>
        <v>18155.0064</v>
      </c>
      <c r="H5298" s="160">
        <f t="shared" si="124"/>
        <v>131623.7964</v>
      </c>
      <c r="I5298" s="160"/>
      <c r="J5298" s="161"/>
      <c r="K5298" s="160"/>
      <c r="L5298" s="160">
        <f>+'FACP$'!$H5298-'FACP$'!$I5298-'FACP$'!$K5298</f>
        <v>131623.7964</v>
      </c>
      <c r="M5298" s="162" t="s">
        <v>158</v>
      </c>
      <c r="N5298" s="162" t="s">
        <v>554</v>
      </c>
      <c r="O5298" s="164">
        <v>45674.0</v>
      </c>
      <c r="P5298" s="164">
        <f t="array" ref="P5298">XLOOKUP('FACP$'!$B5298,'perfil de pagos'!$A$4:$A$46,'perfil de pagos'!$B$4:$B$46+'FACP$'!$D5298)</f>
        <v>45626</v>
      </c>
      <c r="Q5298" s="165">
        <f t="shared" si="128"/>
        <v>0</v>
      </c>
      <c r="R5298" s="167"/>
      <c r="S5298" s="167">
        <v>3554.0</v>
      </c>
      <c r="T5298" s="168">
        <f t="shared" si="3"/>
        <v>131623.7964</v>
      </c>
      <c r="U5298" s="168">
        <f t="shared" si="4"/>
        <v>0</v>
      </c>
      <c r="V5298" s="168">
        <f t="shared" si="5"/>
        <v>0</v>
      </c>
      <c r="W5298" s="168">
        <f t="shared" si="6"/>
        <v>0</v>
      </c>
      <c r="X5298" s="168">
        <f t="shared" si="7"/>
        <v>0</v>
      </c>
      <c r="Y5298" s="168">
        <f t="shared" si="8"/>
        <v>0</v>
      </c>
      <c r="Z5298" s="168">
        <f t="shared" si="9"/>
        <v>0</v>
      </c>
    </row>
    <row r="5299" ht="15.0" customHeight="1">
      <c r="A5299" s="157" t="s">
        <v>6720</v>
      </c>
      <c r="B5299" s="158" t="s">
        <v>27</v>
      </c>
      <c r="C5299" s="158" t="s">
        <v>6721</v>
      </c>
      <c r="D5299" s="159">
        <v>45600.0</v>
      </c>
      <c r="E5299" s="157" t="s">
        <v>731</v>
      </c>
      <c r="F5299" s="160">
        <v>46000.0</v>
      </c>
      <c r="G5299" s="160">
        <f>'FACP$'!$F5299*0.16</f>
        <v>7360</v>
      </c>
      <c r="H5299" s="160">
        <f t="shared" si="124"/>
        <v>53360</v>
      </c>
      <c r="I5299" s="160"/>
      <c r="J5299" s="161"/>
      <c r="K5299" s="160"/>
      <c r="L5299" s="160">
        <f>+'FACP$'!$H5299-'FACP$'!$I5299-'FACP$'!$K5299</f>
        <v>53360</v>
      </c>
      <c r="M5299" s="162" t="s">
        <v>5804</v>
      </c>
      <c r="N5299" s="162" t="s">
        <v>554</v>
      </c>
      <c r="O5299" s="164">
        <v>45622.0</v>
      </c>
      <c r="P5299" s="164">
        <f t="array" ref="P5299">XLOOKUP('FACP$'!$B5299,'perfil de pagos'!$A$4:$A$46,'perfil de pagos'!$B$4:$B$46+'FACP$'!$D5299)</f>
        <v>45630</v>
      </c>
      <c r="Q5299" s="165">
        <f t="shared" si="128"/>
        <v>0</v>
      </c>
      <c r="R5299" s="167"/>
      <c r="S5299" s="167"/>
      <c r="T5299" s="168">
        <f t="shared" si="3"/>
        <v>53360</v>
      </c>
      <c r="U5299" s="168">
        <f t="shared" si="4"/>
        <v>0</v>
      </c>
      <c r="V5299" s="168">
        <f t="shared" si="5"/>
        <v>0</v>
      </c>
      <c r="W5299" s="168">
        <f t="shared" si="6"/>
        <v>0</v>
      </c>
      <c r="X5299" s="168">
        <f t="shared" si="7"/>
        <v>0</v>
      </c>
      <c r="Y5299" s="168">
        <f t="shared" si="8"/>
        <v>0</v>
      </c>
      <c r="Z5299" s="168">
        <f t="shared" si="9"/>
        <v>0</v>
      </c>
    </row>
    <row r="5300" ht="15.0" customHeight="1">
      <c r="A5300" s="157" t="s">
        <v>6722</v>
      </c>
      <c r="B5300" s="158" t="s">
        <v>41</v>
      </c>
      <c r="C5300" s="158" t="s">
        <v>6723</v>
      </c>
      <c r="D5300" s="159">
        <v>45601.0</v>
      </c>
      <c r="E5300" s="157" t="s">
        <v>731</v>
      </c>
      <c r="F5300" s="160">
        <v>1273582.93</v>
      </c>
      <c r="G5300" s="160">
        <f>'FACP$'!$F5300*0.16</f>
        <v>203773.2688</v>
      </c>
      <c r="H5300" s="160">
        <f t="shared" si="124"/>
        <v>1477356.199</v>
      </c>
      <c r="I5300" s="160"/>
      <c r="J5300" s="161"/>
      <c r="K5300" s="160"/>
      <c r="L5300" s="160">
        <f>+'FACP$'!$H5300-'FACP$'!$I5300-'FACP$'!$K5300</f>
        <v>1477356.199</v>
      </c>
      <c r="M5300" s="162" t="s">
        <v>121</v>
      </c>
      <c r="N5300" s="162" t="s">
        <v>554</v>
      </c>
      <c r="O5300" s="164">
        <v>45646.0</v>
      </c>
      <c r="P5300" s="164">
        <f t="array" ref="P5300">XLOOKUP('FACP$'!$B5300,'perfil de pagos'!$A$4:$A$46,'perfil de pagos'!$B$4:$B$46+'FACP$'!$D5300)</f>
        <v>45611</v>
      </c>
      <c r="Q5300" s="165">
        <f t="shared" si="128"/>
        <v>0</v>
      </c>
      <c r="R5300" s="167"/>
      <c r="S5300" s="167"/>
      <c r="T5300" s="168">
        <f t="shared" si="3"/>
        <v>1477356.199</v>
      </c>
      <c r="U5300" s="168">
        <f t="shared" si="4"/>
        <v>0</v>
      </c>
      <c r="V5300" s="168">
        <f t="shared" si="5"/>
        <v>0</v>
      </c>
      <c r="W5300" s="168">
        <f t="shared" si="6"/>
        <v>0</v>
      </c>
      <c r="X5300" s="168">
        <f t="shared" si="7"/>
        <v>0</v>
      </c>
      <c r="Y5300" s="168">
        <f t="shared" si="8"/>
        <v>0</v>
      </c>
      <c r="Z5300" s="168">
        <f t="shared" si="9"/>
        <v>0</v>
      </c>
      <c r="AA5300" s="72"/>
      <c r="AB5300" s="72"/>
      <c r="AC5300" s="72"/>
    </row>
    <row r="5301" ht="15.0" customHeight="1">
      <c r="A5301" s="157" t="s">
        <v>6724</v>
      </c>
      <c r="B5301" s="158" t="s">
        <v>35</v>
      </c>
      <c r="C5301" s="158" t="s">
        <v>6723</v>
      </c>
      <c r="D5301" s="159">
        <v>45601.0</v>
      </c>
      <c r="E5301" s="157" t="s">
        <v>731</v>
      </c>
      <c r="F5301" s="160">
        <v>185978.67</v>
      </c>
      <c r="G5301" s="160">
        <f>'FACP$'!$F5301*0.16</f>
        <v>29756.5872</v>
      </c>
      <c r="H5301" s="160">
        <f t="shared" si="124"/>
        <v>215735.2572</v>
      </c>
      <c r="I5301" s="160"/>
      <c r="J5301" s="161"/>
      <c r="K5301" s="160"/>
      <c r="L5301" s="160">
        <f>+'FACP$'!$H5301-'FACP$'!$I5301-'FACP$'!$K5301</f>
        <v>215735.2572</v>
      </c>
      <c r="M5301" s="162" t="s">
        <v>276</v>
      </c>
      <c r="N5301" s="162" t="s">
        <v>554</v>
      </c>
      <c r="O5301" s="164">
        <v>45635.0</v>
      </c>
      <c r="P5301" s="164">
        <f t="array" ref="P5301">XLOOKUP('FACP$'!$B5301,'perfil de pagos'!$A$4:$A$46,'perfil de pagos'!$B$4:$B$46+'FACP$'!$D5301)</f>
        <v>45611</v>
      </c>
      <c r="Q5301" s="165">
        <f t="shared" si="128"/>
        <v>0</v>
      </c>
      <c r="R5301" s="167"/>
      <c r="S5301" s="167">
        <v>3460.0</v>
      </c>
      <c r="T5301" s="168">
        <f t="shared" si="3"/>
        <v>215735.2572</v>
      </c>
      <c r="U5301" s="168">
        <f t="shared" si="4"/>
        <v>0</v>
      </c>
      <c r="V5301" s="168">
        <f t="shared" si="5"/>
        <v>0</v>
      </c>
      <c r="W5301" s="168">
        <f t="shared" si="6"/>
        <v>0</v>
      </c>
      <c r="X5301" s="168">
        <f t="shared" si="7"/>
        <v>0</v>
      </c>
      <c r="Y5301" s="168">
        <f t="shared" si="8"/>
        <v>0</v>
      </c>
      <c r="Z5301" s="168">
        <f t="shared" si="9"/>
        <v>0</v>
      </c>
    </row>
    <row r="5302" ht="15.0" customHeight="1">
      <c r="A5302" s="157" t="s">
        <v>6725</v>
      </c>
      <c r="B5302" s="158" t="s">
        <v>36</v>
      </c>
      <c r="C5302" s="158" t="s">
        <v>6723</v>
      </c>
      <c r="D5302" s="159">
        <v>45601.0</v>
      </c>
      <c r="E5302" s="157" t="s">
        <v>731</v>
      </c>
      <c r="F5302" s="160">
        <v>62659.0</v>
      </c>
      <c r="G5302" s="160">
        <f>'FACP$'!$F5302*0.16</f>
        <v>10025.44</v>
      </c>
      <c r="H5302" s="160">
        <f t="shared" si="124"/>
        <v>72684.44</v>
      </c>
      <c r="I5302" s="160"/>
      <c r="J5302" s="161">
        <f>'NCP$'!A306</f>
        <v>413</v>
      </c>
      <c r="K5302" s="160">
        <f>'NCP$'!H306</f>
        <v>1405.7924</v>
      </c>
      <c r="L5302" s="160">
        <f>+'FACP$'!$H5302-'FACP$'!$I5302-'FACP$'!$K5302</f>
        <v>71278.6476</v>
      </c>
      <c r="M5302" s="162" t="s">
        <v>530</v>
      </c>
      <c r="N5302" s="162" t="s">
        <v>554</v>
      </c>
      <c r="O5302" s="164">
        <v>45617.0</v>
      </c>
      <c r="P5302" s="164">
        <f t="array" ref="P5302">XLOOKUP('FACP$'!$B5302,'perfil de pagos'!$A$4:$A$46,'perfil de pagos'!$B$4:$B$46+'FACP$'!$D5302)</f>
        <v>45611</v>
      </c>
      <c r="Q5302" s="165">
        <f t="shared" si="128"/>
        <v>0</v>
      </c>
      <c r="R5302" s="167"/>
      <c r="S5302" s="167">
        <v>3410.0</v>
      </c>
      <c r="T5302" s="168">
        <f t="shared" si="3"/>
        <v>71278.6476</v>
      </c>
      <c r="U5302" s="168">
        <f t="shared" si="4"/>
        <v>0</v>
      </c>
      <c r="V5302" s="168">
        <f t="shared" si="5"/>
        <v>0</v>
      </c>
      <c r="W5302" s="168">
        <f t="shared" si="6"/>
        <v>0</v>
      </c>
      <c r="X5302" s="168">
        <f t="shared" si="7"/>
        <v>0</v>
      </c>
      <c r="Y5302" s="168">
        <f t="shared" si="8"/>
        <v>0</v>
      </c>
      <c r="Z5302" s="168">
        <f t="shared" si="9"/>
        <v>0</v>
      </c>
    </row>
    <row r="5303" ht="15.0" customHeight="1">
      <c r="A5303" s="157" t="s">
        <v>6726</v>
      </c>
      <c r="B5303" s="158" t="s">
        <v>36</v>
      </c>
      <c r="C5303" s="158" t="s">
        <v>6727</v>
      </c>
      <c r="D5303" s="159">
        <v>45601.0</v>
      </c>
      <c r="E5303" s="157" t="s">
        <v>731</v>
      </c>
      <c r="F5303" s="160">
        <v>94740.0</v>
      </c>
      <c r="G5303" s="160">
        <f>'FACP$'!$F5303*0.16</f>
        <v>15158.4</v>
      </c>
      <c r="H5303" s="160">
        <f t="shared" si="124"/>
        <v>109898.4</v>
      </c>
      <c r="I5303" s="160"/>
      <c r="J5303" s="161">
        <f>'NCP$'!A307</f>
        <v>414</v>
      </c>
      <c r="K5303" s="160">
        <f>'NCP$'!H307</f>
        <v>5164.32</v>
      </c>
      <c r="L5303" s="160">
        <f>+'FACP$'!$H5303-'FACP$'!$I5303-'FACP$'!$K5303</f>
        <v>104734.08</v>
      </c>
      <c r="M5303" s="162" t="s">
        <v>530</v>
      </c>
      <c r="N5303" s="162" t="s">
        <v>554</v>
      </c>
      <c r="O5303" s="164">
        <v>45617.0</v>
      </c>
      <c r="P5303" s="164">
        <f t="array" ref="P5303">XLOOKUP('FACP$'!$B5303,'perfil de pagos'!$A$4:$A$46,'perfil de pagos'!$B$4:$B$46+'FACP$'!$D5303)</f>
        <v>45611</v>
      </c>
      <c r="Q5303" s="165">
        <f t="shared" si="128"/>
        <v>0</v>
      </c>
      <c r="R5303" s="167"/>
      <c r="S5303" s="167">
        <v>3411.0</v>
      </c>
      <c r="T5303" s="168">
        <f t="shared" si="3"/>
        <v>104734.08</v>
      </c>
      <c r="U5303" s="168">
        <f t="shared" si="4"/>
        <v>0</v>
      </c>
      <c r="V5303" s="168">
        <f t="shared" si="5"/>
        <v>0</v>
      </c>
      <c r="W5303" s="168">
        <f t="shared" si="6"/>
        <v>0</v>
      </c>
      <c r="X5303" s="168">
        <f t="shared" si="7"/>
        <v>0</v>
      </c>
      <c r="Y5303" s="168">
        <f t="shared" si="8"/>
        <v>0</v>
      </c>
      <c r="Z5303" s="168">
        <f t="shared" si="9"/>
        <v>0</v>
      </c>
    </row>
    <row r="5304" ht="15.0" customHeight="1">
      <c r="A5304" s="299" t="s">
        <v>6728</v>
      </c>
      <c r="B5304" s="300" t="s">
        <v>36</v>
      </c>
      <c r="C5304" s="300" t="s">
        <v>6723</v>
      </c>
      <c r="D5304" s="301">
        <v>45601.0</v>
      </c>
      <c r="E5304" s="299" t="s">
        <v>731</v>
      </c>
      <c r="F5304" s="302">
        <v>35953.67</v>
      </c>
      <c r="G5304" s="302">
        <f>'FACP$'!$F5304*0.16</f>
        <v>5752.5872</v>
      </c>
      <c r="H5304" s="302">
        <f t="shared" si="124"/>
        <v>41706.2572</v>
      </c>
      <c r="I5304" s="302"/>
      <c r="J5304" s="304"/>
      <c r="K5304" s="302"/>
      <c r="L5304" s="302">
        <f>+'FACP$'!$H5304-'FACP$'!$I5304-'FACP$'!$K5304</f>
        <v>41706.2572</v>
      </c>
      <c r="M5304" s="305" t="s">
        <v>526</v>
      </c>
      <c r="N5304" s="305" t="s">
        <v>127</v>
      </c>
      <c r="O5304" s="306"/>
      <c r="P5304" s="306">
        <f t="array" ref="P5304">XLOOKUP('FACP$'!$B5304,'perfil de pagos'!$A$4:$A$46,'perfil de pagos'!$B$4:$B$46+'FACP$'!$D5304)</f>
        <v>45611</v>
      </c>
      <c r="Q5304" s="307">
        <f t="shared" si="128"/>
        <v>0</v>
      </c>
      <c r="R5304" s="308"/>
      <c r="S5304" s="308"/>
      <c r="T5304" s="309">
        <f t="shared" si="3"/>
        <v>41706.2572</v>
      </c>
      <c r="U5304" s="309">
        <f t="shared" si="4"/>
        <v>0</v>
      </c>
      <c r="V5304" s="309">
        <f t="shared" si="5"/>
        <v>0</v>
      </c>
      <c r="W5304" s="309">
        <f t="shared" si="6"/>
        <v>0</v>
      </c>
      <c r="X5304" s="309">
        <f t="shared" si="7"/>
        <v>0</v>
      </c>
      <c r="Y5304" s="309">
        <f t="shared" si="8"/>
        <v>0</v>
      </c>
      <c r="Z5304" s="309">
        <f t="shared" si="9"/>
        <v>0</v>
      </c>
    </row>
    <row r="5305" ht="15.0" customHeight="1">
      <c r="A5305" s="157" t="s">
        <v>6729</v>
      </c>
      <c r="B5305" s="158" t="s">
        <v>36</v>
      </c>
      <c r="C5305" s="158" t="s">
        <v>6727</v>
      </c>
      <c r="D5305" s="159">
        <v>45601.0</v>
      </c>
      <c r="E5305" s="157" t="s">
        <v>731</v>
      </c>
      <c r="F5305" s="160">
        <v>52303.15</v>
      </c>
      <c r="G5305" s="160">
        <f>'FACP$'!$F5305*0.16</f>
        <v>8368.504</v>
      </c>
      <c r="H5305" s="160">
        <f t="shared" si="124"/>
        <v>60671.654</v>
      </c>
      <c r="I5305" s="160"/>
      <c r="J5305" s="161"/>
      <c r="K5305" s="160"/>
      <c r="L5305" s="160">
        <f>+'FACP$'!$H5305-'FACP$'!$I5305-'FACP$'!$K5305</f>
        <v>60671.654</v>
      </c>
      <c r="M5305" s="162" t="s">
        <v>526</v>
      </c>
      <c r="N5305" s="162" t="s">
        <v>554</v>
      </c>
      <c r="O5305" s="164">
        <v>45643.0</v>
      </c>
      <c r="P5305" s="164">
        <f t="array" ref="P5305">XLOOKUP('FACP$'!$B5305,'perfil de pagos'!$A$4:$A$46,'perfil de pagos'!$B$4:$B$46+'FACP$'!$D5305)</f>
        <v>45611</v>
      </c>
      <c r="Q5305" s="165">
        <f t="shared" si="128"/>
        <v>0</v>
      </c>
      <c r="R5305" s="167"/>
      <c r="S5305" s="167"/>
      <c r="T5305" s="168">
        <f t="shared" si="3"/>
        <v>60671.654</v>
      </c>
      <c r="U5305" s="168">
        <f t="shared" si="4"/>
        <v>0</v>
      </c>
      <c r="V5305" s="168">
        <f t="shared" si="5"/>
        <v>0</v>
      </c>
      <c r="W5305" s="168">
        <f t="shared" si="6"/>
        <v>0</v>
      </c>
      <c r="X5305" s="168">
        <f t="shared" si="7"/>
        <v>0</v>
      </c>
      <c r="Y5305" s="168">
        <f t="shared" si="8"/>
        <v>0</v>
      </c>
      <c r="Z5305" s="168">
        <f t="shared" si="9"/>
        <v>0</v>
      </c>
    </row>
    <row r="5306" ht="15.0" customHeight="1">
      <c r="A5306" s="157" t="s">
        <v>6730</v>
      </c>
      <c r="B5306" s="158" t="s">
        <v>42</v>
      </c>
      <c r="C5306" s="158" t="s">
        <v>6723</v>
      </c>
      <c r="D5306" s="159">
        <v>45601.0</v>
      </c>
      <c r="E5306" s="157" t="s">
        <v>731</v>
      </c>
      <c r="F5306" s="160">
        <v>166950.51</v>
      </c>
      <c r="G5306" s="160">
        <f>'FACP$'!$F5306*0.16</f>
        <v>26712.0816</v>
      </c>
      <c r="H5306" s="160">
        <f t="shared" si="124"/>
        <v>193662.5916</v>
      </c>
      <c r="I5306" s="160"/>
      <c r="J5306" s="161"/>
      <c r="K5306" s="160"/>
      <c r="L5306" s="160">
        <f>+'FACP$'!$H5306-'FACP$'!$I5306-'FACP$'!$K5306</f>
        <v>193662.5916</v>
      </c>
      <c r="M5306" s="162" t="s">
        <v>42</v>
      </c>
      <c r="N5306" s="162" t="s">
        <v>554</v>
      </c>
      <c r="O5306" s="164">
        <v>45617.0</v>
      </c>
      <c r="P5306" s="164">
        <f t="array" ref="P5306">XLOOKUP('FACP$'!$B5306,'perfil de pagos'!$A$4:$A$46,'perfil de pagos'!$B$4:$B$46+'FACP$'!$D5306)</f>
        <v>45611</v>
      </c>
      <c r="Q5306" s="165">
        <f t="shared" si="128"/>
        <v>0</v>
      </c>
      <c r="R5306" s="167"/>
      <c r="S5306" s="167">
        <v>3412.0</v>
      </c>
      <c r="T5306" s="168">
        <f t="shared" si="3"/>
        <v>193662.5916</v>
      </c>
      <c r="U5306" s="168">
        <f t="shared" si="4"/>
        <v>0</v>
      </c>
      <c r="V5306" s="168">
        <f t="shared" si="5"/>
        <v>0</v>
      </c>
      <c r="W5306" s="168">
        <f t="shared" si="6"/>
        <v>0</v>
      </c>
      <c r="X5306" s="168">
        <f t="shared" si="7"/>
        <v>0</v>
      </c>
      <c r="Y5306" s="168">
        <f t="shared" si="8"/>
        <v>0</v>
      </c>
      <c r="Z5306" s="168">
        <f t="shared" si="9"/>
        <v>0</v>
      </c>
    </row>
    <row r="5307" ht="15.0" customHeight="1">
      <c r="A5307" s="157" t="s">
        <v>6731</v>
      </c>
      <c r="B5307" s="158" t="s">
        <v>44</v>
      </c>
      <c r="C5307" s="158" t="s">
        <v>6723</v>
      </c>
      <c r="D5307" s="159">
        <v>45601.0</v>
      </c>
      <c r="E5307" s="157" t="s">
        <v>731</v>
      </c>
      <c r="F5307" s="160">
        <v>40422.25</v>
      </c>
      <c r="G5307" s="160">
        <f>'FACP$'!$F5307*0.16</f>
        <v>6467.56</v>
      </c>
      <c r="H5307" s="160">
        <f t="shared" si="124"/>
        <v>46889.81</v>
      </c>
      <c r="I5307" s="160"/>
      <c r="J5307" s="161"/>
      <c r="K5307" s="160"/>
      <c r="L5307" s="160">
        <f>+'FACP$'!$H5307-'FACP$'!$I5307-'FACP$'!$K5307</f>
        <v>46889.81</v>
      </c>
      <c r="M5307" s="162" t="s">
        <v>361</v>
      </c>
      <c r="N5307" s="162" t="s">
        <v>554</v>
      </c>
      <c r="O5307" s="164">
        <v>45611.0</v>
      </c>
      <c r="P5307" s="164">
        <f t="array" ref="P5307">XLOOKUP('FACP$'!$B5307,'perfil de pagos'!$A$4:$A$46,'perfil de pagos'!$B$4:$B$46+'FACP$'!$D5307)</f>
        <v>45611</v>
      </c>
      <c r="Q5307" s="165">
        <f t="shared" si="128"/>
        <v>0</v>
      </c>
      <c r="R5307" s="167"/>
      <c r="S5307" s="167">
        <v>3398.0</v>
      </c>
      <c r="T5307" s="168">
        <f t="shared" si="3"/>
        <v>46889.81</v>
      </c>
      <c r="U5307" s="168">
        <f t="shared" si="4"/>
        <v>0</v>
      </c>
      <c r="V5307" s="168">
        <f t="shared" si="5"/>
        <v>0</v>
      </c>
      <c r="W5307" s="168">
        <f t="shared" si="6"/>
        <v>0</v>
      </c>
      <c r="X5307" s="168">
        <f t="shared" si="7"/>
        <v>0</v>
      </c>
      <c r="Y5307" s="168">
        <f t="shared" si="8"/>
        <v>0</v>
      </c>
      <c r="Z5307" s="168">
        <f t="shared" si="9"/>
        <v>0</v>
      </c>
    </row>
    <row r="5308" ht="15.0" customHeight="1">
      <c r="A5308" s="157" t="s">
        <v>6732</v>
      </c>
      <c r="B5308" s="158" t="s">
        <v>32</v>
      </c>
      <c r="C5308" s="158" t="s">
        <v>6723</v>
      </c>
      <c r="D5308" s="159">
        <v>45602.0</v>
      </c>
      <c r="E5308" s="157" t="s">
        <v>731</v>
      </c>
      <c r="F5308" s="160">
        <v>85210.25</v>
      </c>
      <c r="G5308" s="160">
        <f>'FACP$'!$F5308*0.16</f>
        <v>13633.64</v>
      </c>
      <c r="H5308" s="160">
        <f t="shared" si="124"/>
        <v>98843.89</v>
      </c>
      <c r="I5308" s="160"/>
      <c r="J5308" s="161"/>
      <c r="K5308" s="160"/>
      <c r="L5308" s="160">
        <f>+'FACP$'!$H5308-'FACP$'!$I5308-'FACP$'!$K5308</f>
        <v>98843.89</v>
      </c>
      <c r="M5308" s="162" t="s">
        <v>395</v>
      </c>
      <c r="N5308" s="162" t="s">
        <v>554</v>
      </c>
      <c r="O5308" s="164">
        <v>45618.0</v>
      </c>
      <c r="P5308" s="164">
        <f t="array" ref="P5308">XLOOKUP('FACP$'!$B5308,'perfil de pagos'!$A$4:$A$46,'perfil de pagos'!$B$4:$B$46+'FACP$'!$D5308)</f>
        <v>45612</v>
      </c>
      <c r="Q5308" s="165">
        <f t="shared" si="128"/>
        <v>0</v>
      </c>
      <c r="R5308" s="167"/>
      <c r="S5308" s="167">
        <v>3416.0</v>
      </c>
      <c r="T5308" s="168">
        <f t="shared" si="3"/>
        <v>98843.89</v>
      </c>
      <c r="U5308" s="168">
        <f t="shared" si="4"/>
        <v>0</v>
      </c>
      <c r="V5308" s="168">
        <f t="shared" si="5"/>
        <v>0</v>
      </c>
      <c r="W5308" s="168">
        <f t="shared" si="6"/>
        <v>0</v>
      </c>
      <c r="X5308" s="168">
        <f t="shared" si="7"/>
        <v>0</v>
      </c>
      <c r="Y5308" s="168">
        <f t="shared" si="8"/>
        <v>0</v>
      </c>
      <c r="Z5308" s="168">
        <f t="shared" si="9"/>
        <v>0</v>
      </c>
    </row>
    <row r="5309" ht="15.0" customHeight="1">
      <c r="A5309" s="157" t="s">
        <v>6733</v>
      </c>
      <c r="B5309" s="158" t="s">
        <v>32</v>
      </c>
      <c r="C5309" s="158" t="s">
        <v>6727</v>
      </c>
      <c r="D5309" s="159">
        <v>45602.0</v>
      </c>
      <c r="E5309" s="157" t="s">
        <v>731</v>
      </c>
      <c r="F5309" s="160">
        <v>253159.02</v>
      </c>
      <c r="G5309" s="160">
        <f>'FACP$'!$F5309*0.16</f>
        <v>40505.4432</v>
      </c>
      <c r="H5309" s="160">
        <f t="shared" si="124"/>
        <v>293664.4632</v>
      </c>
      <c r="I5309" s="160"/>
      <c r="J5309" s="161"/>
      <c r="K5309" s="160"/>
      <c r="L5309" s="160">
        <f>+'FACP$'!$H5309-'FACP$'!$I5309-'FACP$'!$K5309</f>
        <v>293664.4632</v>
      </c>
      <c r="M5309" s="162" t="s">
        <v>395</v>
      </c>
      <c r="N5309" s="162" t="s">
        <v>554</v>
      </c>
      <c r="O5309" s="164">
        <v>45618.0</v>
      </c>
      <c r="P5309" s="164">
        <f t="array" ref="P5309">XLOOKUP('FACP$'!$B5309,'perfil de pagos'!$A$4:$A$46,'perfil de pagos'!$B$4:$B$46+'FACP$'!$D5309)</f>
        <v>45612</v>
      </c>
      <c r="Q5309" s="165">
        <f t="shared" si="128"/>
        <v>0</v>
      </c>
      <c r="R5309" s="167"/>
      <c r="S5309" s="167">
        <v>3416.0</v>
      </c>
      <c r="T5309" s="168">
        <f t="shared" si="3"/>
        <v>293664.4632</v>
      </c>
      <c r="U5309" s="168">
        <f t="shared" si="4"/>
        <v>0</v>
      </c>
      <c r="V5309" s="168">
        <f t="shared" si="5"/>
        <v>0</v>
      </c>
      <c r="W5309" s="168">
        <f t="shared" si="6"/>
        <v>0</v>
      </c>
      <c r="X5309" s="168">
        <f t="shared" si="7"/>
        <v>0</v>
      </c>
      <c r="Y5309" s="168">
        <f t="shared" si="8"/>
        <v>0</v>
      </c>
      <c r="Z5309" s="168">
        <f t="shared" si="9"/>
        <v>0</v>
      </c>
    </row>
    <row r="5310" ht="15.0" customHeight="1">
      <c r="A5310" s="157" t="s">
        <v>6734</v>
      </c>
      <c r="B5310" s="158" t="s">
        <v>32</v>
      </c>
      <c r="C5310" s="158" t="s">
        <v>6723</v>
      </c>
      <c r="D5310" s="159">
        <v>45602.0</v>
      </c>
      <c r="E5310" s="157" t="s">
        <v>731</v>
      </c>
      <c r="F5310" s="160">
        <v>118566.25</v>
      </c>
      <c r="G5310" s="160">
        <f>'FACP$'!$F5310*0.16</f>
        <v>18970.6</v>
      </c>
      <c r="H5310" s="160">
        <f t="shared" si="124"/>
        <v>137536.85</v>
      </c>
      <c r="I5310" s="160"/>
      <c r="J5310" s="161"/>
      <c r="K5310" s="160"/>
      <c r="L5310" s="160">
        <f>+'FACP$'!$H5310-'FACP$'!$I5310-'FACP$'!$K5310</f>
        <v>137536.85</v>
      </c>
      <c r="M5310" s="162" t="s">
        <v>395</v>
      </c>
      <c r="N5310" s="162" t="s">
        <v>554</v>
      </c>
      <c r="O5310" s="164">
        <v>45618.0</v>
      </c>
      <c r="P5310" s="164">
        <f t="array" ref="P5310">XLOOKUP('FACP$'!$B5310,'perfil de pagos'!$A$4:$A$46,'perfil de pagos'!$B$4:$B$46+'FACP$'!$D5310)</f>
        <v>45612</v>
      </c>
      <c r="Q5310" s="165">
        <f t="shared" si="128"/>
        <v>0</v>
      </c>
      <c r="R5310" s="167"/>
      <c r="S5310" s="167">
        <v>3416.0</v>
      </c>
      <c r="T5310" s="168">
        <f t="shared" si="3"/>
        <v>137536.85</v>
      </c>
      <c r="U5310" s="168">
        <f t="shared" si="4"/>
        <v>0</v>
      </c>
      <c r="V5310" s="168">
        <f t="shared" si="5"/>
        <v>0</v>
      </c>
      <c r="W5310" s="168">
        <f t="shared" si="6"/>
        <v>0</v>
      </c>
      <c r="X5310" s="168">
        <f t="shared" si="7"/>
        <v>0</v>
      </c>
      <c r="Y5310" s="168">
        <f t="shared" si="8"/>
        <v>0</v>
      </c>
      <c r="Z5310" s="168">
        <f t="shared" si="9"/>
        <v>0</v>
      </c>
    </row>
    <row r="5311" ht="15.0" customHeight="1">
      <c r="A5311" s="157" t="s">
        <v>6735</v>
      </c>
      <c r="B5311" s="158" t="s">
        <v>32</v>
      </c>
      <c r="C5311" s="158" t="s">
        <v>6727</v>
      </c>
      <c r="D5311" s="159">
        <v>45602.0</v>
      </c>
      <c r="E5311" s="157" t="s">
        <v>731</v>
      </c>
      <c r="F5311" s="160">
        <v>283688.92</v>
      </c>
      <c r="G5311" s="160">
        <f>'FACP$'!$F5311*0.16</f>
        <v>45390.2272</v>
      </c>
      <c r="H5311" s="160">
        <f t="shared" si="124"/>
        <v>329079.1472</v>
      </c>
      <c r="I5311" s="160"/>
      <c r="J5311" s="161"/>
      <c r="K5311" s="160"/>
      <c r="L5311" s="160">
        <f>+'FACP$'!$H5311-'FACP$'!$I5311-'FACP$'!$K5311</f>
        <v>329079.1472</v>
      </c>
      <c r="M5311" s="162" t="s">
        <v>395</v>
      </c>
      <c r="N5311" s="162" t="s">
        <v>554</v>
      </c>
      <c r="O5311" s="164">
        <v>45628.0</v>
      </c>
      <c r="P5311" s="164">
        <f t="array" ref="P5311">XLOOKUP('FACP$'!$B5311,'perfil de pagos'!$A$4:$A$46,'perfil de pagos'!$B$4:$B$46+'FACP$'!$D5311)</f>
        <v>45612</v>
      </c>
      <c r="Q5311" s="165">
        <f t="shared" si="128"/>
        <v>0</v>
      </c>
      <c r="R5311" s="167"/>
      <c r="S5311" s="167">
        <v>3449.0</v>
      </c>
      <c r="T5311" s="168">
        <f t="shared" si="3"/>
        <v>329079.1472</v>
      </c>
      <c r="U5311" s="168">
        <f t="shared" si="4"/>
        <v>0</v>
      </c>
      <c r="V5311" s="168">
        <f t="shared" si="5"/>
        <v>0</v>
      </c>
      <c r="W5311" s="168">
        <f t="shared" si="6"/>
        <v>0</v>
      </c>
      <c r="X5311" s="168">
        <f t="shared" si="7"/>
        <v>0</v>
      </c>
      <c r="Y5311" s="168">
        <f t="shared" si="8"/>
        <v>0</v>
      </c>
      <c r="Z5311" s="168">
        <f t="shared" si="9"/>
        <v>0</v>
      </c>
    </row>
    <row r="5312" ht="15.0" customHeight="1">
      <c r="A5312" s="157" t="s">
        <v>6736</v>
      </c>
      <c r="B5312" s="158" t="s">
        <v>38</v>
      </c>
      <c r="C5312" s="158" t="s">
        <v>6723</v>
      </c>
      <c r="D5312" s="159">
        <v>45602.0</v>
      </c>
      <c r="E5312" s="157" t="s">
        <v>731</v>
      </c>
      <c r="F5312" s="160">
        <v>102635.28</v>
      </c>
      <c r="G5312" s="160">
        <f>'FACP$'!$F5312*0.16</f>
        <v>16421.6448</v>
      </c>
      <c r="H5312" s="160">
        <f t="shared" si="124"/>
        <v>119056.9248</v>
      </c>
      <c r="I5312" s="160"/>
      <c r="J5312" s="161"/>
      <c r="K5312" s="160"/>
      <c r="L5312" s="160">
        <f>+'FACP$'!$H5312-'FACP$'!$I5312-'FACP$'!$K5312</f>
        <v>119056.9248</v>
      </c>
      <c r="M5312" s="162" t="s">
        <v>4654</v>
      </c>
      <c r="N5312" s="162" t="s">
        <v>554</v>
      </c>
      <c r="O5312" s="164">
        <v>45616.0</v>
      </c>
      <c r="P5312" s="164">
        <f t="array" ref="P5312">XLOOKUP('FACP$'!$B5312,'perfil de pagos'!$A$4:$A$46,'perfil de pagos'!$B$4:$B$46+'FACP$'!$D5312)</f>
        <v>45632</v>
      </c>
      <c r="Q5312" s="165">
        <f t="shared" si="128"/>
        <v>0</v>
      </c>
      <c r="R5312" s="167"/>
      <c r="S5312" s="167">
        <v>3409.0</v>
      </c>
      <c r="T5312" s="168">
        <f t="shared" si="3"/>
        <v>119056.9248</v>
      </c>
      <c r="U5312" s="168">
        <f t="shared" si="4"/>
        <v>0</v>
      </c>
      <c r="V5312" s="168">
        <f t="shared" si="5"/>
        <v>0</v>
      </c>
      <c r="W5312" s="168">
        <f t="shared" si="6"/>
        <v>0</v>
      </c>
      <c r="X5312" s="168">
        <f t="shared" si="7"/>
        <v>0</v>
      </c>
      <c r="Y5312" s="168">
        <f t="shared" si="8"/>
        <v>0</v>
      </c>
      <c r="Z5312" s="168">
        <f t="shared" si="9"/>
        <v>0</v>
      </c>
    </row>
    <row r="5313" ht="15.0" customHeight="1">
      <c r="A5313" s="157" t="s">
        <v>6737</v>
      </c>
      <c r="B5313" s="158" t="s">
        <v>22</v>
      </c>
      <c r="C5313" s="158" t="s">
        <v>6738</v>
      </c>
      <c r="D5313" s="159">
        <v>45604.0</v>
      </c>
      <c r="E5313" s="157" t="s">
        <v>731</v>
      </c>
      <c r="F5313" s="160">
        <v>8604.0</v>
      </c>
      <c r="G5313" s="160">
        <f>'FACP$'!$F5313*0.16</f>
        <v>1376.64</v>
      </c>
      <c r="H5313" s="160">
        <f t="shared" si="124"/>
        <v>9980.64</v>
      </c>
      <c r="I5313" s="160"/>
      <c r="J5313" s="161"/>
      <c r="K5313" s="160"/>
      <c r="L5313" s="160">
        <f>+'FACP$'!$H5313-'FACP$'!$I5313-'FACP$'!$K5313</f>
        <v>9980.64</v>
      </c>
      <c r="M5313" s="162" t="s">
        <v>220</v>
      </c>
      <c r="N5313" s="162" t="s">
        <v>554</v>
      </c>
      <c r="O5313" s="164">
        <v>45635.0</v>
      </c>
      <c r="P5313" s="164">
        <f t="array" ref="P5313">XLOOKUP('FACP$'!$B5313,'perfil de pagos'!$A$4:$A$46,'perfil de pagos'!$B$4:$B$46+'FACP$'!$D5313)</f>
        <v>45614</v>
      </c>
      <c r="Q5313" s="165">
        <f t="shared" si="128"/>
        <v>0</v>
      </c>
      <c r="R5313" s="167"/>
      <c r="S5313" s="167">
        <v>3461.0</v>
      </c>
      <c r="T5313" s="168">
        <f t="shared" si="3"/>
        <v>9980.64</v>
      </c>
      <c r="U5313" s="168">
        <f t="shared" si="4"/>
        <v>0</v>
      </c>
      <c r="V5313" s="168">
        <f t="shared" si="5"/>
        <v>0</v>
      </c>
      <c r="W5313" s="168">
        <f t="shared" si="6"/>
        <v>0</v>
      </c>
      <c r="X5313" s="168">
        <f t="shared" si="7"/>
        <v>0</v>
      </c>
      <c r="Y5313" s="168">
        <f t="shared" si="8"/>
        <v>0</v>
      </c>
      <c r="Z5313" s="168">
        <f t="shared" si="9"/>
        <v>0</v>
      </c>
    </row>
    <row r="5314" ht="15.0" customHeight="1">
      <c r="A5314" s="157" t="s">
        <v>6739</v>
      </c>
      <c r="B5314" s="158" t="s">
        <v>16</v>
      </c>
      <c r="C5314" s="158" t="s">
        <v>6723</v>
      </c>
      <c r="D5314" s="159">
        <v>45607.0</v>
      </c>
      <c r="E5314" s="157" t="s">
        <v>731</v>
      </c>
      <c r="F5314" s="160">
        <v>299696.29</v>
      </c>
      <c r="G5314" s="160">
        <f>'FACP$'!$F5314*0.16</f>
        <v>47951.4064</v>
      </c>
      <c r="H5314" s="160">
        <f t="shared" si="124"/>
        <v>347647.6964</v>
      </c>
      <c r="I5314" s="160"/>
      <c r="J5314" s="161"/>
      <c r="K5314" s="160"/>
      <c r="L5314" s="160">
        <f>+'FACP$'!$H5314-'FACP$'!$I5314-'FACP$'!$K5314</f>
        <v>347647.6964</v>
      </c>
      <c r="M5314" s="162" t="s">
        <v>985</v>
      </c>
      <c r="N5314" s="162" t="s">
        <v>554</v>
      </c>
      <c r="O5314" s="164">
        <v>45623.0</v>
      </c>
      <c r="P5314" s="164">
        <f t="array" ref="P5314">XLOOKUP('FACP$'!$B5314,'perfil de pagos'!$A$4:$A$46,'perfil de pagos'!$B$4:$B$46+'FACP$'!$D5314)</f>
        <v>45617</v>
      </c>
      <c r="Q5314" s="165">
        <f t="shared" si="128"/>
        <v>0</v>
      </c>
      <c r="R5314" s="167"/>
      <c r="S5314" s="167">
        <v>3427.0</v>
      </c>
      <c r="T5314" s="168">
        <f t="shared" si="3"/>
        <v>347647.6964</v>
      </c>
      <c r="U5314" s="168">
        <f t="shared" si="4"/>
        <v>0</v>
      </c>
      <c r="V5314" s="168">
        <f t="shared" si="5"/>
        <v>0</v>
      </c>
      <c r="W5314" s="168">
        <f t="shared" si="6"/>
        <v>0</v>
      </c>
      <c r="X5314" s="168">
        <f t="shared" si="7"/>
        <v>0</v>
      </c>
      <c r="Y5314" s="168">
        <f t="shared" si="8"/>
        <v>0</v>
      </c>
      <c r="Z5314" s="168">
        <f t="shared" si="9"/>
        <v>0</v>
      </c>
    </row>
    <row r="5315" ht="15.0" customHeight="1">
      <c r="A5315" s="157" t="s">
        <v>6740</v>
      </c>
      <c r="B5315" s="158" t="s">
        <v>16</v>
      </c>
      <c r="C5315" s="158" t="s">
        <v>6727</v>
      </c>
      <c r="D5315" s="159">
        <v>45607.0</v>
      </c>
      <c r="E5315" s="157" t="s">
        <v>731</v>
      </c>
      <c r="F5315" s="160">
        <v>499411.99</v>
      </c>
      <c r="G5315" s="160">
        <f>'FACP$'!$F5315*0.16</f>
        <v>79905.9184</v>
      </c>
      <c r="H5315" s="160">
        <f t="shared" si="124"/>
        <v>579317.9084</v>
      </c>
      <c r="I5315" s="160"/>
      <c r="J5315" s="161"/>
      <c r="K5315" s="160"/>
      <c r="L5315" s="160">
        <f>+'FACP$'!$H5315-'FACP$'!$I5315-'FACP$'!$K5315</f>
        <v>579317.9084</v>
      </c>
      <c r="M5315" s="162" t="s">
        <v>985</v>
      </c>
      <c r="N5315" s="162" t="s">
        <v>554</v>
      </c>
      <c r="O5315" s="164">
        <v>45623.0</v>
      </c>
      <c r="P5315" s="164">
        <f t="array" ref="P5315">XLOOKUP('FACP$'!$B5315,'perfil de pagos'!$A$4:$A$46,'perfil de pagos'!$B$4:$B$46+'FACP$'!$D5315)</f>
        <v>45617</v>
      </c>
      <c r="Q5315" s="165">
        <f t="shared" si="128"/>
        <v>0</v>
      </c>
      <c r="R5315" s="167"/>
      <c r="S5315" s="167">
        <v>3427.0</v>
      </c>
      <c r="T5315" s="168">
        <f t="shared" si="3"/>
        <v>579317.9084</v>
      </c>
      <c r="U5315" s="168">
        <f t="shared" si="4"/>
        <v>0</v>
      </c>
      <c r="V5315" s="168">
        <f t="shared" si="5"/>
        <v>0</v>
      </c>
      <c r="W5315" s="168">
        <f t="shared" si="6"/>
        <v>0</v>
      </c>
      <c r="X5315" s="168">
        <f t="shared" si="7"/>
        <v>0</v>
      </c>
      <c r="Y5315" s="168">
        <f t="shared" si="8"/>
        <v>0</v>
      </c>
      <c r="Z5315" s="168">
        <f t="shared" si="9"/>
        <v>0</v>
      </c>
    </row>
    <row r="5316" ht="15.0" customHeight="1">
      <c r="A5316" s="157" t="s">
        <v>6741</v>
      </c>
      <c r="B5316" s="158" t="s">
        <v>18</v>
      </c>
      <c r="C5316" s="158" t="s">
        <v>6723</v>
      </c>
      <c r="D5316" s="159">
        <v>45607.0</v>
      </c>
      <c r="E5316" s="157" t="s">
        <v>731</v>
      </c>
      <c r="F5316" s="160">
        <v>85007.65</v>
      </c>
      <c r="G5316" s="160">
        <f>'FACP$'!$F5316*0.16</f>
        <v>13601.224</v>
      </c>
      <c r="H5316" s="160">
        <f t="shared" si="124"/>
        <v>98608.874</v>
      </c>
      <c r="I5316" s="160"/>
      <c r="J5316" s="161"/>
      <c r="K5316" s="160"/>
      <c r="L5316" s="160">
        <f>+'FACP$'!$H5316-'FACP$'!$I5316-'FACP$'!$K5316</f>
        <v>98608.874</v>
      </c>
      <c r="M5316" s="162" t="s">
        <v>586</v>
      </c>
      <c r="N5316" s="162" t="s">
        <v>554</v>
      </c>
      <c r="O5316" s="164">
        <v>45623.0</v>
      </c>
      <c r="P5316" s="164">
        <f t="array" ref="P5316">XLOOKUP('FACP$'!$B5316,'perfil de pagos'!$A$4:$A$46,'perfil de pagos'!$B$4:$B$46+'FACP$'!$D5316)</f>
        <v>45617</v>
      </c>
      <c r="Q5316" s="165">
        <f t="shared" si="128"/>
        <v>0</v>
      </c>
      <c r="R5316" s="167"/>
      <c r="S5316" s="167">
        <v>3428.0</v>
      </c>
      <c r="T5316" s="168">
        <f t="shared" si="3"/>
        <v>98608.874</v>
      </c>
      <c r="U5316" s="168">
        <f t="shared" si="4"/>
        <v>0</v>
      </c>
      <c r="V5316" s="168">
        <f t="shared" si="5"/>
        <v>0</v>
      </c>
      <c r="W5316" s="168">
        <f t="shared" si="6"/>
        <v>0</v>
      </c>
      <c r="X5316" s="168">
        <f t="shared" si="7"/>
        <v>0</v>
      </c>
      <c r="Y5316" s="168">
        <f t="shared" si="8"/>
        <v>0</v>
      </c>
      <c r="Z5316" s="168">
        <f t="shared" si="9"/>
        <v>0</v>
      </c>
    </row>
    <row r="5317" ht="15.0" customHeight="1">
      <c r="A5317" s="157" t="s">
        <v>6742</v>
      </c>
      <c r="B5317" s="158" t="s">
        <v>19</v>
      </c>
      <c r="C5317" s="158" t="s">
        <v>6723</v>
      </c>
      <c r="D5317" s="159">
        <v>45607.0</v>
      </c>
      <c r="E5317" s="157" t="s">
        <v>731</v>
      </c>
      <c r="F5317" s="160">
        <v>170216.55</v>
      </c>
      <c r="G5317" s="160">
        <f>'FACP$'!$F5317*0.16</f>
        <v>27234.648</v>
      </c>
      <c r="H5317" s="160">
        <f t="shared" si="124"/>
        <v>197451.198</v>
      </c>
      <c r="I5317" s="160"/>
      <c r="J5317" s="161"/>
      <c r="K5317" s="160"/>
      <c r="L5317" s="160">
        <f>+'FACP$'!$H5317-'FACP$'!$I5317-'FACP$'!$K5317</f>
        <v>197451.198</v>
      </c>
      <c r="M5317" s="162" t="s">
        <v>732</v>
      </c>
      <c r="N5317" s="162" t="s">
        <v>554</v>
      </c>
      <c r="O5317" s="164">
        <v>45623.0</v>
      </c>
      <c r="P5317" s="164">
        <f t="array" ref="P5317">XLOOKUP('FACP$'!$B5317,'perfil de pagos'!$A$4:$A$46,'perfil de pagos'!$B$4:$B$46+'FACP$'!$D5317)</f>
        <v>45617</v>
      </c>
      <c r="Q5317" s="165">
        <f t="shared" si="128"/>
        <v>0</v>
      </c>
      <c r="R5317" s="167"/>
      <c r="S5317" s="167">
        <v>3428.0</v>
      </c>
      <c r="T5317" s="168">
        <f t="shared" si="3"/>
        <v>197451.198</v>
      </c>
      <c r="U5317" s="168">
        <f t="shared" si="4"/>
        <v>0</v>
      </c>
      <c r="V5317" s="168">
        <f t="shared" si="5"/>
        <v>0</v>
      </c>
      <c r="W5317" s="168">
        <f t="shared" si="6"/>
        <v>0</v>
      </c>
      <c r="X5317" s="168">
        <f t="shared" si="7"/>
        <v>0</v>
      </c>
      <c r="Y5317" s="168">
        <f t="shared" si="8"/>
        <v>0</v>
      </c>
      <c r="Z5317" s="168">
        <f t="shared" si="9"/>
        <v>0</v>
      </c>
    </row>
    <row r="5318" ht="15.0" customHeight="1">
      <c r="A5318" s="157" t="s">
        <v>6743</v>
      </c>
      <c r="B5318" s="158" t="s">
        <v>25</v>
      </c>
      <c r="C5318" s="158" t="s">
        <v>6723</v>
      </c>
      <c r="D5318" s="159">
        <v>45607.0</v>
      </c>
      <c r="E5318" s="157" t="s">
        <v>731</v>
      </c>
      <c r="F5318" s="160">
        <v>65028.86</v>
      </c>
      <c r="G5318" s="160">
        <f>'FACP$'!$F5318*0.16</f>
        <v>10404.6176</v>
      </c>
      <c r="H5318" s="160">
        <f t="shared" si="124"/>
        <v>75433.4776</v>
      </c>
      <c r="I5318" s="160"/>
      <c r="J5318" s="161"/>
      <c r="K5318" s="160"/>
      <c r="L5318" s="160">
        <f>+'FACP$'!$H5318-'FACP$'!$I5318-'FACP$'!$K5318</f>
        <v>75433.4776</v>
      </c>
      <c r="M5318" s="162" t="s">
        <v>4388</v>
      </c>
      <c r="N5318" s="162" t="s">
        <v>554</v>
      </c>
      <c r="O5318" s="164">
        <v>45623.0</v>
      </c>
      <c r="P5318" s="164">
        <f t="array" ref="P5318">XLOOKUP('FACP$'!$B5318,'perfil de pagos'!$A$4:$A$46,'perfil de pagos'!$B$4:$B$46+'FACP$'!$D5318)</f>
        <v>45617</v>
      </c>
      <c r="Q5318" s="165">
        <f t="shared" si="128"/>
        <v>0</v>
      </c>
      <c r="R5318" s="167"/>
      <c r="S5318" s="167">
        <v>3429.0</v>
      </c>
      <c r="T5318" s="168">
        <f t="shared" si="3"/>
        <v>75433.4776</v>
      </c>
      <c r="U5318" s="168">
        <f t="shared" si="4"/>
        <v>0</v>
      </c>
      <c r="V5318" s="168">
        <f t="shared" si="5"/>
        <v>0</v>
      </c>
      <c r="W5318" s="168">
        <f t="shared" si="6"/>
        <v>0</v>
      </c>
      <c r="X5318" s="168">
        <f t="shared" si="7"/>
        <v>0</v>
      </c>
      <c r="Y5318" s="168">
        <f t="shared" si="8"/>
        <v>0</v>
      </c>
      <c r="Z5318" s="168">
        <f t="shared" si="9"/>
        <v>0</v>
      </c>
    </row>
    <row r="5319" ht="15.0" customHeight="1">
      <c r="A5319" s="157" t="s">
        <v>6744</v>
      </c>
      <c r="B5319" s="158" t="s">
        <v>37</v>
      </c>
      <c r="C5319" s="158" t="s">
        <v>6723</v>
      </c>
      <c r="D5319" s="159">
        <v>45607.0</v>
      </c>
      <c r="E5319" s="157" t="s">
        <v>731</v>
      </c>
      <c r="F5319" s="160">
        <v>1477197.21</v>
      </c>
      <c r="G5319" s="160">
        <f>'FACP$'!$F5319*0.16</f>
        <v>236351.5536</v>
      </c>
      <c r="H5319" s="160">
        <f t="shared" si="124"/>
        <v>1713548.764</v>
      </c>
      <c r="I5319" s="160"/>
      <c r="J5319" s="161"/>
      <c r="K5319" s="160"/>
      <c r="L5319" s="160">
        <f>+'FACP$'!$H5319-'FACP$'!$I5319-'FACP$'!$K5319</f>
        <v>1713548.764</v>
      </c>
      <c r="M5319" s="162" t="s">
        <v>116</v>
      </c>
      <c r="N5319" s="162" t="s">
        <v>554</v>
      </c>
      <c r="O5319" s="164">
        <v>45621.0</v>
      </c>
      <c r="P5319" s="164">
        <f t="array" ref="P5319">XLOOKUP('FACP$'!$B5319,'perfil de pagos'!$A$4:$A$46,'perfil de pagos'!$B$4:$B$46+'FACP$'!$D5319)</f>
        <v>45617</v>
      </c>
      <c r="Q5319" s="165">
        <f t="shared" si="128"/>
        <v>0</v>
      </c>
      <c r="R5319" s="167"/>
      <c r="S5319" s="167"/>
      <c r="T5319" s="168">
        <f t="shared" si="3"/>
        <v>1713548.764</v>
      </c>
      <c r="U5319" s="168">
        <f t="shared" si="4"/>
        <v>0</v>
      </c>
      <c r="V5319" s="168">
        <f t="shared" si="5"/>
        <v>0</v>
      </c>
      <c r="W5319" s="168">
        <f t="shared" si="6"/>
        <v>0</v>
      </c>
      <c r="X5319" s="168">
        <f t="shared" si="7"/>
        <v>0</v>
      </c>
      <c r="Y5319" s="168">
        <f t="shared" si="8"/>
        <v>0</v>
      </c>
      <c r="Z5319" s="168">
        <f t="shared" si="9"/>
        <v>0</v>
      </c>
    </row>
    <row r="5320" ht="15.0" customHeight="1">
      <c r="A5320" s="157" t="s">
        <v>6745</v>
      </c>
      <c r="B5320" s="158" t="s">
        <v>29</v>
      </c>
      <c r="C5320" s="158" t="s">
        <v>6723</v>
      </c>
      <c r="D5320" s="159">
        <v>45607.0</v>
      </c>
      <c r="E5320" s="157" t="s">
        <v>731</v>
      </c>
      <c r="F5320" s="160">
        <v>315767.22</v>
      </c>
      <c r="G5320" s="160">
        <f>'FACP$'!$F5320*0.16</f>
        <v>50522.7552</v>
      </c>
      <c r="H5320" s="160">
        <f t="shared" si="124"/>
        <v>366289.9752</v>
      </c>
      <c r="I5320" s="160"/>
      <c r="J5320" s="161"/>
      <c r="K5320" s="160"/>
      <c r="L5320" s="160">
        <f>+'FACP$'!$H5320-'FACP$'!$I5320-'FACP$'!$K5320</f>
        <v>366289.9752</v>
      </c>
      <c r="M5320" s="162" t="s">
        <v>130</v>
      </c>
      <c r="N5320" s="162" t="s">
        <v>554</v>
      </c>
      <c r="O5320" s="164">
        <v>45639.0</v>
      </c>
      <c r="P5320" s="164">
        <f t="array" ref="P5320">XLOOKUP('FACP$'!$B5320,'perfil de pagos'!$A$4:$A$46,'perfil de pagos'!$B$4:$B$46+'FACP$'!$D5320)</f>
        <v>45617</v>
      </c>
      <c r="Q5320" s="165">
        <f t="shared" si="128"/>
        <v>0</v>
      </c>
      <c r="R5320" s="167"/>
      <c r="S5320" s="167"/>
      <c r="T5320" s="168">
        <f t="shared" si="3"/>
        <v>366289.9752</v>
      </c>
      <c r="U5320" s="168">
        <f t="shared" si="4"/>
        <v>0</v>
      </c>
      <c r="V5320" s="168">
        <f t="shared" si="5"/>
        <v>0</v>
      </c>
      <c r="W5320" s="168">
        <f t="shared" si="6"/>
        <v>0</v>
      </c>
      <c r="X5320" s="168">
        <f t="shared" si="7"/>
        <v>0</v>
      </c>
      <c r="Y5320" s="168">
        <f t="shared" si="8"/>
        <v>0</v>
      </c>
      <c r="Z5320" s="168">
        <f t="shared" si="9"/>
        <v>0</v>
      </c>
    </row>
    <row r="5321" ht="15.0" customHeight="1">
      <c r="A5321" s="157" t="s">
        <v>6746</v>
      </c>
      <c r="B5321" s="158" t="s">
        <v>29</v>
      </c>
      <c r="C5321" s="158" t="s">
        <v>6727</v>
      </c>
      <c r="D5321" s="159">
        <v>45607.0</v>
      </c>
      <c r="E5321" s="157" t="s">
        <v>731</v>
      </c>
      <c r="F5321" s="160">
        <v>557645.11</v>
      </c>
      <c r="G5321" s="160">
        <f>'FACP$'!$F5321*0.16</f>
        <v>89223.2176</v>
      </c>
      <c r="H5321" s="160">
        <f t="shared" si="124"/>
        <v>646868.3276</v>
      </c>
      <c r="I5321" s="160"/>
      <c r="J5321" s="161"/>
      <c r="K5321" s="160"/>
      <c r="L5321" s="160">
        <f>+'FACP$'!$H5321-'FACP$'!$I5321-'FACP$'!$K5321</f>
        <v>646868.3276</v>
      </c>
      <c r="M5321" s="162" t="s">
        <v>130</v>
      </c>
      <c r="N5321" s="162" t="s">
        <v>554</v>
      </c>
      <c r="O5321" s="164">
        <v>45621.0</v>
      </c>
      <c r="P5321" s="164">
        <f t="array" ref="P5321">XLOOKUP('FACP$'!$B5321,'perfil de pagos'!$A$4:$A$46,'perfil de pagos'!$B$4:$B$46+'FACP$'!$D5321)</f>
        <v>45617</v>
      </c>
      <c r="Q5321" s="165">
        <f t="shared" si="128"/>
        <v>0</v>
      </c>
      <c r="R5321" s="167"/>
      <c r="S5321" s="167"/>
      <c r="T5321" s="168">
        <f t="shared" si="3"/>
        <v>646868.3276</v>
      </c>
      <c r="U5321" s="168">
        <f t="shared" si="4"/>
        <v>0</v>
      </c>
      <c r="V5321" s="168">
        <f t="shared" si="5"/>
        <v>0</v>
      </c>
      <c r="W5321" s="168">
        <f t="shared" si="6"/>
        <v>0</v>
      </c>
      <c r="X5321" s="168">
        <f t="shared" si="7"/>
        <v>0</v>
      </c>
      <c r="Y5321" s="168">
        <f t="shared" si="8"/>
        <v>0</v>
      </c>
      <c r="Z5321" s="168">
        <f t="shared" si="9"/>
        <v>0</v>
      </c>
    </row>
    <row r="5322" ht="15.0" customHeight="1">
      <c r="A5322" s="157" t="s">
        <v>6747</v>
      </c>
      <c r="B5322" s="158" t="s">
        <v>40</v>
      </c>
      <c r="C5322" s="158" t="s">
        <v>6723</v>
      </c>
      <c r="D5322" s="159">
        <v>45607.0</v>
      </c>
      <c r="E5322" s="157" t="s">
        <v>731</v>
      </c>
      <c r="F5322" s="160">
        <v>371778.71</v>
      </c>
      <c r="G5322" s="160">
        <f>'FACP$'!$F5322*0.16</f>
        <v>59484.5936</v>
      </c>
      <c r="H5322" s="160">
        <f t="shared" si="124"/>
        <v>431263.3036</v>
      </c>
      <c r="I5322" s="160"/>
      <c r="J5322" s="161"/>
      <c r="K5322" s="160"/>
      <c r="L5322" s="160">
        <f>+'FACP$'!$H5322-'FACP$'!$I5322-'FACP$'!$K5322</f>
        <v>431263.3036</v>
      </c>
      <c r="M5322" s="162" t="s">
        <v>490</v>
      </c>
      <c r="N5322" s="162" t="s">
        <v>554</v>
      </c>
      <c r="O5322" s="164">
        <v>45632.0</v>
      </c>
      <c r="P5322" s="164">
        <f t="array" ref="P5322">XLOOKUP('FACP$'!$B5322,'perfil de pagos'!$A$4:$A$46,'perfil de pagos'!$B$4:$B$46+'FACP$'!$D5322)</f>
        <v>45637</v>
      </c>
      <c r="Q5322" s="165">
        <f t="shared" si="128"/>
        <v>0</v>
      </c>
      <c r="R5322" s="167"/>
      <c r="S5322" s="167">
        <v>3454.0</v>
      </c>
      <c r="T5322" s="168">
        <f t="shared" si="3"/>
        <v>431263.3036</v>
      </c>
      <c r="U5322" s="168">
        <f t="shared" si="4"/>
        <v>0</v>
      </c>
      <c r="V5322" s="168">
        <f t="shared" si="5"/>
        <v>0</v>
      </c>
      <c r="W5322" s="168">
        <f t="shared" si="6"/>
        <v>0</v>
      </c>
      <c r="X5322" s="168">
        <f t="shared" si="7"/>
        <v>0</v>
      </c>
      <c r="Y5322" s="168">
        <f t="shared" si="8"/>
        <v>0</v>
      </c>
      <c r="Z5322" s="168">
        <f t="shared" si="9"/>
        <v>0</v>
      </c>
    </row>
    <row r="5323" ht="15.0" customHeight="1">
      <c r="A5323" s="157" t="s">
        <v>6748</v>
      </c>
      <c r="B5323" s="158" t="s">
        <v>40</v>
      </c>
      <c r="C5323" s="158" t="s">
        <v>6727</v>
      </c>
      <c r="D5323" s="159">
        <v>45607.0</v>
      </c>
      <c r="E5323" s="157" t="s">
        <v>731</v>
      </c>
      <c r="F5323" s="160">
        <v>295460.44</v>
      </c>
      <c r="G5323" s="160">
        <f>'FACP$'!$F5323*0.16</f>
        <v>47273.6704</v>
      </c>
      <c r="H5323" s="160">
        <f t="shared" si="124"/>
        <v>342734.1104</v>
      </c>
      <c r="I5323" s="160"/>
      <c r="J5323" s="161"/>
      <c r="K5323" s="160"/>
      <c r="L5323" s="160">
        <f>+'FACP$'!$H5323-'FACP$'!$I5323-'FACP$'!$K5323</f>
        <v>342734.1104</v>
      </c>
      <c r="M5323" s="162" t="s">
        <v>490</v>
      </c>
      <c r="N5323" s="162" t="s">
        <v>554</v>
      </c>
      <c r="O5323" s="164">
        <v>45632.0</v>
      </c>
      <c r="P5323" s="164">
        <f t="array" ref="P5323">XLOOKUP('FACP$'!$B5323,'perfil de pagos'!$A$4:$A$46,'perfil de pagos'!$B$4:$B$46+'FACP$'!$D5323)</f>
        <v>45637</v>
      </c>
      <c r="Q5323" s="165">
        <f t="shared" si="128"/>
        <v>0</v>
      </c>
      <c r="R5323" s="167"/>
      <c r="S5323" s="167">
        <v>3455.0</v>
      </c>
      <c r="T5323" s="168">
        <f t="shared" si="3"/>
        <v>342734.1104</v>
      </c>
      <c r="U5323" s="168">
        <f t="shared" si="4"/>
        <v>0</v>
      </c>
      <c r="V5323" s="168">
        <f t="shared" si="5"/>
        <v>0</v>
      </c>
      <c r="W5323" s="168">
        <f t="shared" si="6"/>
        <v>0</v>
      </c>
      <c r="X5323" s="168">
        <f t="shared" si="7"/>
        <v>0</v>
      </c>
      <c r="Y5323" s="168">
        <f t="shared" si="8"/>
        <v>0</v>
      </c>
      <c r="Z5323" s="168">
        <f t="shared" si="9"/>
        <v>0</v>
      </c>
    </row>
    <row r="5324" ht="15.0" customHeight="1">
      <c r="A5324" s="299" t="s">
        <v>6749</v>
      </c>
      <c r="B5324" s="300" t="s">
        <v>38</v>
      </c>
      <c r="C5324" s="300" t="s">
        <v>6723</v>
      </c>
      <c r="D5324" s="301">
        <v>45607.0</v>
      </c>
      <c r="E5324" s="299" t="s">
        <v>731</v>
      </c>
      <c r="F5324" s="302">
        <v>445563.08</v>
      </c>
      <c r="G5324" s="302">
        <f>'FACP$'!$F5324*0.16</f>
        <v>71290.0928</v>
      </c>
      <c r="H5324" s="302">
        <f t="shared" si="124"/>
        <v>516853.1728</v>
      </c>
      <c r="I5324" s="302"/>
      <c r="J5324" s="304"/>
      <c r="K5324" s="302"/>
      <c r="L5324" s="302">
        <f>+'FACP$'!$H5324-'FACP$'!$I5324-'FACP$'!$K5324</f>
        <v>516853.1728</v>
      </c>
      <c r="M5324" s="305" t="s">
        <v>145</v>
      </c>
      <c r="N5324" s="305" t="s">
        <v>127</v>
      </c>
      <c r="O5324" s="306"/>
      <c r="P5324" s="306">
        <f t="array" ref="P5324">XLOOKUP('FACP$'!$B5324,'perfil de pagos'!$A$4:$A$46,'perfil de pagos'!$B$4:$B$46+'FACP$'!$D5324)</f>
        <v>45637</v>
      </c>
      <c r="Q5324" s="307">
        <f t="shared" si="128"/>
        <v>0</v>
      </c>
      <c r="R5324" s="308"/>
      <c r="S5324" s="308"/>
      <c r="T5324" s="309">
        <f t="shared" si="3"/>
        <v>516853.1728</v>
      </c>
      <c r="U5324" s="309">
        <f t="shared" si="4"/>
        <v>0</v>
      </c>
      <c r="V5324" s="309">
        <f t="shared" si="5"/>
        <v>0</v>
      </c>
      <c r="W5324" s="309">
        <f t="shared" si="6"/>
        <v>0</v>
      </c>
      <c r="X5324" s="309">
        <f t="shared" si="7"/>
        <v>0</v>
      </c>
      <c r="Y5324" s="309">
        <f t="shared" si="8"/>
        <v>0</v>
      </c>
      <c r="Z5324" s="309">
        <f t="shared" si="9"/>
        <v>0</v>
      </c>
    </row>
    <row r="5325" ht="15.0" customHeight="1">
      <c r="A5325" s="157" t="s">
        <v>6750</v>
      </c>
      <c r="B5325" s="158" t="s">
        <v>22</v>
      </c>
      <c r="C5325" s="158" t="s">
        <v>6751</v>
      </c>
      <c r="D5325" s="159">
        <v>45607.0</v>
      </c>
      <c r="E5325" s="157" t="s">
        <v>731</v>
      </c>
      <c r="F5325" s="160">
        <v>317228.19</v>
      </c>
      <c r="G5325" s="160">
        <f>'FACP$'!$F5325*0.16</f>
        <v>50756.5104</v>
      </c>
      <c r="H5325" s="160">
        <f t="shared" si="124"/>
        <v>367984.7004</v>
      </c>
      <c r="I5325" s="160">
        <v>144109.41</v>
      </c>
      <c r="J5325" s="161"/>
      <c r="K5325" s="160"/>
      <c r="L5325" s="160">
        <f>+'FACP$'!$H5325-'FACP$'!$I5325-'FACP$'!$K5325</f>
        <v>223875.2904</v>
      </c>
      <c r="M5325" s="162" t="s">
        <v>6695</v>
      </c>
      <c r="N5325" s="162" t="s">
        <v>554</v>
      </c>
      <c r="O5325" s="164">
        <v>45643.0</v>
      </c>
      <c r="P5325" s="164">
        <f t="array" ref="P5325">XLOOKUP('FACP$'!$B5325,'perfil de pagos'!$A$4:$A$46,'perfil de pagos'!$B$4:$B$46+'FACP$'!$D5325)</f>
        <v>45617</v>
      </c>
      <c r="Q5325" s="165">
        <f t="shared" si="128"/>
        <v>0</v>
      </c>
      <c r="R5325" s="220" t="s">
        <v>6752</v>
      </c>
      <c r="S5325" s="167">
        <v>3461.0</v>
      </c>
      <c r="T5325" s="168">
        <f t="shared" si="3"/>
        <v>223875.2904</v>
      </c>
      <c r="U5325" s="168">
        <f t="shared" si="4"/>
        <v>0</v>
      </c>
      <c r="V5325" s="168">
        <f t="shared" si="5"/>
        <v>0</v>
      </c>
      <c r="W5325" s="168">
        <f t="shared" si="6"/>
        <v>0</v>
      </c>
      <c r="X5325" s="168">
        <f t="shared" si="7"/>
        <v>0</v>
      </c>
      <c r="Y5325" s="168">
        <f t="shared" si="8"/>
        <v>0</v>
      </c>
      <c r="Z5325" s="168">
        <f t="shared" si="9"/>
        <v>0</v>
      </c>
    </row>
    <row r="5326" ht="15.0" customHeight="1">
      <c r="A5326" s="157" t="s">
        <v>6753</v>
      </c>
      <c r="B5326" s="158" t="s">
        <v>22</v>
      </c>
      <c r="C5326" s="158" t="s">
        <v>6751</v>
      </c>
      <c r="D5326" s="159">
        <v>45607.0</v>
      </c>
      <c r="E5326" s="157" t="s">
        <v>731</v>
      </c>
      <c r="F5326" s="160">
        <v>331042.63</v>
      </c>
      <c r="G5326" s="160">
        <f>'FACP$'!$F5326*0.16</f>
        <v>52966.8208</v>
      </c>
      <c r="H5326" s="160">
        <f t="shared" si="124"/>
        <v>384009.4508</v>
      </c>
      <c r="I5326" s="160">
        <f>76124.71+200000</f>
        <v>276124.71</v>
      </c>
      <c r="J5326" s="161"/>
      <c r="K5326" s="160"/>
      <c r="L5326" s="160">
        <f>+'FACP$'!$H5326-'FACP$'!$I5326-'FACP$'!$K5326</f>
        <v>107884.7408</v>
      </c>
      <c r="M5326" s="162" t="s">
        <v>6693</v>
      </c>
      <c r="N5326" s="162" t="s">
        <v>554</v>
      </c>
      <c r="O5326" s="164">
        <v>45688.0</v>
      </c>
      <c r="P5326" s="164">
        <f t="array" ref="P5326">XLOOKUP('FACP$'!$B5326,'perfil de pagos'!$A$4:$A$46,'perfil de pagos'!$B$4:$B$46+'FACP$'!$D5326)</f>
        <v>45617</v>
      </c>
      <c r="Q5326" s="165">
        <f t="shared" si="128"/>
        <v>0</v>
      </c>
      <c r="R5326" s="220" t="s">
        <v>6754</v>
      </c>
      <c r="S5326" s="167"/>
      <c r="T5326" s="168">
        <f t="shared" si="3"/>
        <v>107884.7408</v>
      </c>
      <c r="U5326" s="168">
        <f t="shared" si="4"/>
        <v>0</v>
      </c>
      <c r="V5326" s="168">
        <f t="shared" si="5"/>
        <v>0</v>
      </c>
      <c r="W5326" s="168">
        <f t="shared" si="6"/>
        <v>0</v>
      </c>
      <c r="X5326" s="168">
        <f t="shared" si="7"/>
        <v>0</v>
      </c>
      <c r="Y5326" s="168">
        <f t="shared" si="8"/>
        <v>0</v>
      </c>
      <c r="Z5326" s="168">
        <f t="shared" si="9"/>
        <v>0</v>
      </c>
    </row>
    <row r="5327" ht="15.0" customHeight="1">
      <c r="A5327" s="157" t="s">
        <v>6755</v>
      </c>
      <c r="B5327" s="158" t="s">
        <v>38</v>
      </c>
      <c r="C5327" s="158" t="s">
        <v>6723</v>
      </c>
      <c r="D5327" s="159">
        <v>45608.0</v>
      </c>
      <c r="E5327" s="157" t="s">
        <v>731</v>
      </c>
      <c r="F5327" s="160">
        <v>466905.07</v>
      </c>
      <c r="G5327" s="160">
        <f>'FACP$'!$F5327*0.16</f>
        <v>74704.8112</v>
      </c>
      <c r="H5327" s="160">
        <f t="shared" si="124"/>
        <v>541609.8812</v>
      </c>
      <c r="I5327" s="160"/>
      <c r="J5327" s="161"/>
      <c r="K5327" s="160"/>
      <c r="L5327" s="160">
        <f>+'FACP$'!$H5327-'FACP$'!$I5327-'FACP$'!$K5327</f>
        <v>541609.8812</v>
      </c>
      <c r="M5327" s="162" t="s">
        <v>145</v>
      </c>
      <c r="N5327" s="162" t="s">
        <v>554</v>
      </c>
      <c r="O5327" s="164">
        <v>45630.0</v>
      </c>
      <c r="P5327" s="164">
        <f t="array" ref="P5327">XLOOKUP('FACP$'!$B5327,'perfil de pagos'!$A$4:$A$46,'perfil de pagos'!$B$4:$B$46+'FACP$'!$D5327)</f>
        <v>45638</v>
      </c>
      <c r="Q5327" s="165">
        <f t="shared" si="128"/>
        <v>0</v>
      </c>
      <c r="R5327" s="167"/>
      <c r="S5327" s="167">
        <v>3452.0</v>
      </c>
      <c r="T5327" s="168">
        <f t="shared" si="3"/>
        <v>541609.8812</v>
      </c>
      <c r="U5327" s="168">
        <f t="shared" si="4"/>
        <v>0</v>
      </c>
      <c r="V5327" s="168">
        <f t="shared" si="5"/>
        <v>0</v>
      </c>
      <c r="W5327" s="168">
        <f t="shared" si="6"/>
        <v>0</v>
      </c>
      <c r="X5327" s="168">
        <f t="shared" si="7"/>
        <v>0</v>
      </c>
      <c r="Y5327" s="168">
        <f t="shared" si="8"/>
        <v>0</v>
      </c>
      <c r="Z5327" s="168">
        <f t="shared" si="9"/>
        <v>0</v>
      </c>
    </row>
    <row r="5328" ht="15.0" customHeight="1">
      <c r="A5328" s="157" t="s">
        <v>6756</v>
      </c>
      <c r="B5328" s="158" t="s">
        <v>27</v>
      </c>
      <c r="C5328" s="158" t="s">
        <v>6723</v>
      </c>
      <c r="D5328" s="159">
        <v>45608.0</v>
      </c>
      <c r="E5328" s="157" t="s">
        <v>731</v>
      </c>
      <c r="F5328" s="160">
        <v>8717.84</v>
      </c>
      <c r="G5328" s="160">
        <f>'FACP$'!$F5328*0.16</f>
        <v>1394.8544</v>
      </c>
      <c r="H5328" s="160">
        <f t="shared" si="124"/>
        <v>10112.6944</v>
      </c>
      <c r="I5328" s="160"/>
      <c r="J5328" s="161"/>
      <c r="K5328" s="160"/>
      <c r="L5328" s="160">
        <f>+'FACP$'!$H5328-'FACP$'!$I5328-'FACP$'!$K5328</f>
        <v>10112.6944</v>
      </c>
      <c r="M5328" s="162" t="s">
        <v>158</v>
      </c>
      <c r="N5328" s="162" t="s">
        <v>554</v>
      </c>
      <c r="O5328" s="164">
        <v>45705.0</v>
      </c>
      <c r="P5328" s="164">
        <f t="array" ref="P5328">XLOOKUP('FACP$'!$B5328,'perfil de pagos'!$A$4:$A$46,'perfil de pagos'!$B$4:$B$46+'FACP$'!$D5328)</f>
        <v>45638</v>
      </c>
      <c r="Q5328" s="165">
        <f t="shared" si="128"/>
        <v>0</v>
      </c>
      <c r="R5328" s="167"/>
      <c r="S5328" s="167">
        <v>3616.0</v>
      </c>
      <c r="T5328" s="168">
        <f t="shared" si="3"/>
        <v>10112.6944</v>
      </c>
      <c r="U5328" s="168">
        <f t="shared" si="4"/>
        <v>0</v>
      </c>
      <c r="V5328" s="168">
        <f t="shared" si="5"/>
        <v>0</v>
      </c>
      <c r="W5328" s="168">
        <f t="shared" si="6"/>
        <v>0</v>
      </c>
      <c r="X5328" s="168">
        <f t="shared" si="7"/>
        <v>0</v>
      </c>
      <c r="Y5328" s="168">
        <f t="shared" si="8"/>
        <v>0</v>
      </c>
      <c r="Z5328" s="168">
        <f t="shared" si="9"/>
        <v>0</v>
      </c>
    </row>
    <row r="5329" ht="15.0" customHeight="1">
      <c r="A5329" s="157" t="s">
        <v>6757</v>
      </c>
      <c r="B5329" s="158" t="s">
        <v>27</v>
      </c>
      <c r="C5329" s="158" t="s">
        <v>6727</v>
      </c>
      <c r="D5329" s="159">
        <v>45608.0</v>
      </c>
      <c r="E5329" s="157" t="s">
        <v>731</v>
      </c>
      <c r="F5329" s="160">
        <v>7594.5</v>
      </c>
      <c r="G5329" s="160">
        <f>'FACP$'!$F5329*0.16</f>
        <v>1215.12</v>
      </c>
      <c r="H5329" s="160">
        <f t="shared" si="124"/>
        <v>8809.62</v>
      </c>
      <c r="I5329" s="160"/>
      <c r="J5329" s="161"/>
      <c r="K5329" s="160"/>
      <c r="L5329" s="160">
        <f>+'FACP$'!$H5329-'FACP$'!$I5329-'FACP$'!$K5329</f>
        <v>8809.62</v>
      </c>
      <c r="M5329" s="162" t="s">
        <v>158</v>
      </c>
      <c r="N5329" s="162" t="s">
        <v>554</v>
      </c>
      <c r="O5329" s="164">
        <v>45705.0</v>
      </c>
      <c r="P5329" s="164">
        <f t="array" ref="P5329">XLOOKUP('FACP$'!$B5329,'perfil de pagos'!$A$4:$A$46,'perfil de pagos'!$B$4:$B$46+'FACP$'!$D5329)</f>
        <v>45638</v>
      </c>
      <c r="Q5329" s="165">
        <f t="shared" si="128"/>
        <v>0</v>
      </c>
      <c r="R5329" s="167"/>
      <c r="S5329" s="167">
        <v>3616.0</v>
      </c>
      <c r="T5329" s="168">
        <f t="shared" si="3"/>
        <v>8809.62</v>
      </c>
      <c r="U5329" s="168">
        <f t="shared" si="4"/>
        <v>0</v>
      </c>
      <c r="V5329" s="168">
        <f t="shared" si="5"/>
        <v>0</v>
      </c>
      <c r="W5329" s="168">
        <f t="shared" si="6"/>
        <v>0</v>
      </c>
      <c r="X5329" s="168">
        <f t="shared" si="7"/>
        <v>0</v>
      </c>
      <c r="Y5329" s="168">
        <f t="shared" si="8"/>
        <v>0</v>
      </c>
      <c r="Z5329" s="168">
        <f t="shared" si="9"/>
        <v>0</v>
      </c>
    </row>
    <row r="5330" ht="15.0" customHeight="1">
      <c r="A5330" s="157" t="s">
        <v>6758</v>
      </c>
      <c r="B5330" s="158" t="s">
        <v>27</v>
      </c>
      <c r="C5330" s="158" t="s">
        <v>6723</v>
      </c>
      <c r="D5330" s="159">
        <v>45608.0</v>
      </c>
      <c r="E5330" s="157" t="s">
        <v>731</v>
      </c>
      <c r="F5330" s="160">
        <v>42197.55</v>
      </c>
      <c r="G5330" s="160">
        <f>'FACP$'!$F5330*0.16</f>
        <v>6751.608</v>
      </c>
      <c r="H5330" s="160">
        <f t="shared" si="124"/>
        <v>48949.158</v>
      </c>
      <c r="I5330" s="160"/>
      <c r="J5330" s="161"/>
      <c r="K5330" s="160"/>
      <c r="L5330" s="160">
        <f>+'FACP$'!$H5330-'FACP$'!$I5330-'FACP$'!$K5330</f>
        <v>48949.158</v>
      </c>
      <c r="M5330" s="162" t="s">
        <v>151</v>
      </c>
      <c r="N5330" s="162" t="s">
        <v>554</v>
      </c>
      <c r="O5330" s="164">
        <v>45705.0</v>
      </c>
      <c r="P5330" s="164">
        <f t="array" ref="P5330">XLOOKUP('FACP$'!$B5330,'perfil de pagos'!$A$4:$A$46,'perfil de pagos'!$B$4:$B$46+'FACP$'!$D5330)</f>
        <v>45638</v>
      </c>
      <c r="Q5330" s="165">
        <f t="shared" si="128"/>
        <v>0</v>
      </c>
      <c r="R5330" s="167"/>
      <c r="S5330" s="167">
        <v>3615.0</v>
      </c>
      <c r="T5330" s="168">
        <f t="shared" si="3"/>
        <v>48949.158</v>
      </c>
      <c r="U5330" s="168">
        <f t="shared" si="4"/>
        <v>0</v>
      </c>
      <c r="V5330" s="168">
        <f t="shared" si="5"/>
        <v>0</v>
      </c>
      <c r="W5330" s="168">
        <f t="shared" si="6"/>
        <v>0</v>
      </c>
      <c r="X5330" s="168">
        <f t="shared" si="7"/>
        <v>0</v>
      </c>
      <c r="Y5330" s="168">
        <f t="shared" si="8"/>
        <v>0</v>
      </c>
      <c r="Z5330" s="168">
        <f t="shared" si="9"/>
        <v>0</v>
      </c>
    </row>
    <row r="5331" ht="15.0" customHeight="1">
      <c r="A5331" s="157" t="s">
        <v>6759</v>
      </c>
      <c r="B5331" s="158" t="s">
        <v>27</v>
      </c>
      <c r="C5331" s="158" t="s">
        <v>6727</v>
      </c>
      <c r="D5331" s="159">
        <v>45608.0</v>
      </c>
      <c r="E5331" s="157" t="s">
        <v>731</v>
      </c>
      <c r="F5331" s="160">
        <v>9350.01</v>
      </c>
      <c r="G5331" s="160">
        <f>'FACP$'!$F5331*0.16</f>
        <v>1496.0016</v>
      </c>
      <c r="H5331" s="160">
        <f t="shared" si="124"/>
        <v>10846.0116</v>
      </c>
      <c r="I5331" s="160"/>
      <c r="J5331" s="161"/>
      <c r="K5331" s="160"/>
      <c r="L5331" s="160">
        <f>+'FACP$'!$H5331-'FACP$'!$I5331-'FACP$'!$K5331</f>
        <v>10846.0116</v>
      </c>
      <c r="M5331" s="162" t="s">
        <v>151</v>
      </c>
      <c r="N5331" s="162" t="s">
        <v>554</v>
      </c>
      <c r="O5331" s="164">
        <v>45705.0</v>
      </c>
      <c r="P5331" s="164">
        <f t="array" ref="P5331">XLOOKUP('FACP$'!$B5331,'perfil de pagos'!$A$4:$A$46,'perfil de pagos'!$B$4:$B$46+'FACP$'!$D5331)</f>
        <v>45638</v>
      </c>
      <c r="Q5331" s="165">
        <f t="shared" si="128"/>
        <v>0</v>
      </c>
      <c r="R5331" s="167"/>
      <c r="S5331" s="167">
        <v>3615.0</v>
      </c>
      <c r="T5331" s="168">
        <f t="shared" si="3"/>
        <v>10846.0116</v>
      </c>
      <c r="U5331" s="168">
        <f t="shared" si="4"/>
        <v>0</v>
      </c>
      <c r="V5331" s="168">
        <f t="shared" si="5"/>
        <v>0</v>
      </c>
      <c r="W5331" s="168">
        <f t="shared" si="6"/>
        <v>0</v>
      </c>
      <c r="X5331" s="168">
        <f t="shared" si="7"/>
        <v>0</v>
      </c>
      <c r="Y5331" s="168">
        <f t="shared" si="8"/>
        <v>0</v>
      </c>
      <c r="Z5331" s="168">
        <f t="shared" si="9"/>
        <v>0</v>
      </c>
    </row>
    <row r="5332" ht="15.0" customHeight="1">
      <c r="A5332" s="157" t="s">
        <v>6760</v>
      </c>
      <c r="B5332" s="158" t="s">
        <v>27</v>
      </c>
      <c r="C5332" s="158" t="s">
        <v>6723</v>
      </c>
      <c r="D5332" s="159">
        <v>45608.0</v>
      </c>
      <c r="E5332" s="157" t="s">
        <v>731</v>
      </c>
      <c r="F5332" s="160">
        <v>43023.49</v>
      </c>
      <c r="G5332" s="160">
        <f>'FACP$'!$F5332*0.16</f>
        <v>6883.7584</v>
      </c>
      <c r="H5332" s="160">
        <f t="shared" si="124"/>
        <v>49907.2484</v>
      </c>
      <c r="I5332" s="160"/>
      <c r="J5332" s="161"/>
      <c r="K5332" s="160"/>
      <c r="L5332" s="160">
        <f>+'FACP$'!$H5332-'FACP$'!$I5332-'FACP$'!$K5332</f>
        <v>49907.2484</v>
      </c>
      <c r="M5332" s="162" t="s">
        <v>151</v>
      </c>
      <c r="N5332" s="162" t="s">
        <v>554</v>
      </c>
      <c r="O5332" s="164">
        <v>45705.0</v>
      </c>
      <c r="P5332" s="164">
        <f t="array" ref="P5332">XLOOKUP('FACP$'!$B5332,'perfil de pagos'!$A$4:$A$46,'perfil de pagos'!$B$4:$B$46+'FACP$'!$D5332)</f>
        <v>45638</v>
      </c>
      <c r="Q5332" s="165">
        <f t="shared" si="128"/>
        <v>0</v>
      </c>
      <c r="R5332" s="167"/>
      <c r="S5332" s="167">
        <v>3615.0</v>
      </c>
      <c r="T5332" s="168">
        <f t="shared" si="3"/>
        <v>49907.2484</v>
      </c>
      <c r="U5332" s="168">
        <f t="shared" si="4"/>
        <v>0</v>
      </c>
      <c r="V5332" s="168">
        <f t="shared" si="5"/>
        <v>0</v>
      </c>
      <c r="W5332" s="168">
        <f t="shared" si="6"/>
        <v>0</v>
      </c>
      <c r="X5332" s="168">
        <f t="shared" si="7"/>
        <v>0</v>
      </c>
      <c r="Y5332" s="168">
        <f t="shared" si="8"/>
        <v>0</v>
      </c>
      <c r="Z5332" s="168">
        <f t="shared" si="9"/>
        <v>0</v>
      </c>
    </row>
    <row r="5333" ht="15.0" customHeight="1">
      <c r="A5333" s="157" t="s">
        <v>6761</v>
      </c>
      <c r="B5333" s="158" t="s">
        <v>27</v>
      </c>
      <c r="C5333" s="158" t="s">
        <v>6727</v>
      </c>
      <c r="D5333" s="159">
        <v>45608.0</v>
      </c>
      <c r="E5333" s="157" t="s">
        <v>731</v>
      </c>
      <c r="F5333" s="160">
        <v>58412.95</v>
      </c>
      <c r="G5333" s="160">
        <f>'FACP$'!$F5333*0.16</f>
        <v>9346.072</v>
      </c>
      <c r="H5333" s="160">
        <f t="shared" si="124"/>
        <v>67759.022</v>
      </c>
      <c r="I5333" s="160"/>
      <c r="J5333" s="161"/>
      <c r="K5333" s="160"/>
      <c r="L5333" s="160">
        <f>+'FACP$'!$H5333-'FACP$'!$I5333-'FACP$'!$K5333</f>
        <v>67759.022</v>
      </c>
      <c r="M5333" s="162" t="s">
        <v>151</v>
      </c>
      <c r="N5333" s="162" t="s">
        <v>554</v>
      </c>
      <c r="O5333" s="164">
        <v>45705.0</v>
      </c>
      <c r="P5333" s="164">
        <f t="array" ref="P5333">XLOOKUP('FACP$'!$B5333,'perfil de pagos'!$A$4:$A$46,'perfil de pagos'!$B$4:$B$46+'FACP$'!$D5333)</f>
        <v>45638</v>
      </c>
      <c r="Q5333" s="165">
        <f t="shared" si="128"/>
        <v>0</v>
      </c>
      <c r="R5333" s="167"/>
      <c r="S5333" s="167">
        <v>3615.0</v>
      </c>
      <c r="T5333" s="168">
        <f t="shared" si="3"/>
        <v>67759.022</v>
      </c>
      <c r="U5333" s="168">
        <f t="shared" si="4"/>
        <v>0</v>
      </c>
      <c r="V5333" s="168">
        <f t="shared" si="5"/>
        <v>0</v>
      </c>
      <c r="W5333" s="168">
        <f t="shared" si="6"/>
        <v>0</v>
      </c>
      <c r="X5333" s="168">
        <f t="shared" si="7"/>
        <v>0</v>
      </c>
      <c r="Y5333" s="168">
        <f t="shared" si="8"/>
        <v>0</v>
      </c>
      <c r="Z5333" s="168">
        <f t="shared" si="9"/>
        <v>0</v>
      </c>
    </row>
    <row r="5334" ht="15.0" customHeight="1">
      <c r="A5334" s="157" t="s">
        <v>6762</v>
      </c>
      <c r="B5334" s="158" t="s">
        <v>36</v>
      </c>
      <c r="C5334" s="158" t="s">
        <v>6723</v>
      </c>
      <c r="D5334" s="159">
        <v>45609.0</v>
      </c>
      <c r="E5334" s="157" t="s">
        <v>731</v>
      </c>
      <c r="F5334" s="160">
        <v>31283.44</v>
      </c>
      <c r="G5334" s="160">
        <f>'FACP$'!$F5334*0.16</f>
        <v>5005.3504</v>
      </c>
      <c r="H5334" s="160">
        <f t="shared" si="124"/>
        <v>36288.7904</v>
      </c>
      <c r="I5334" s="160">
        <v>578.54</v>
      </c>
      <c r="J5334" s="161"/>
      <c r="K5334" s="160"/>
      <c r="L5334" s="160">
        <f>+'FACP$'!$H5334-'FACP$'!$I5334-'FACP$'!$K5334</f>
        <v>35710.2504</v>
      </c>
      <c r="M5334" s="162" t="s">
        <v>526</v>
      </c>
      <c r="N5334" s="162" t="s">
        <v>554</v>
      </c>
      <c r="O5334" s="164">
        <v>45643.0</v>
      </c>
      <c r="P5334" s="164">
        <f t="array" ref="P5334">XLOOKUP('FACP$'!$B5334,'perfil de pagos'!$A$4:$A$46,'perfil de pagos'!$B$4:$B$46+'FACP$'!$D5334)</f>
        <v>45619</v>
      </c>
      <c r="Q5334" s="165">
        <f t="shared" si="128"/>
        <v>0</v>
      </c>
      <c r="R5334" s="167"/>
      <c r="S5334" s="167"/>
      <c r="T5334" s="168">
        <f t="shared" si="3"/>
        <v>35710.2504</v>
      </c>
      <c r="U5334" s="168">
        <f t="shared" si="4"/>
        <v>0</v>
      </c>
      <c r="V5334" s="168">
        <f t="shared" si="5"/>
        <v>0</v>
      </c>
      <c r="W5334" s="168">
        <f t="shared" si="6"/>
        <v>0</v>
      </c>
      <c r="X5334" s="168">
        <f t="shared" si="7"/>
        <v>0</v>
      </c>
      <c r="Y5334" s="168">
        <f t="shared" si="8"/>
        <v>0</v>
      </c>
      <c r="Z5334" s="168">
        <f t="shared" si="9"/>
        <v>0</v>
      </c>
    </row>
    <row r="5335" ht="15.0" customHeight="1">
      <c r="A5335" s="157" t="s">
        <v>6763</v>
      </c>
      <c r="B5335" s="158" t="s">
        <v>32</v>
      </c>
      <c r="C5335" s="158" t="s">
        <v>6764</v>
      </c>
      <c r="D5335" s="159">
        <v>45615.0</v>
      </c>
      <c r="E5335" s="157" t="s">
        <v>731</v>
      </c>
      <c r="F5335" s="160">
        <v>66699.2</v>
      </c>
      <c r="G5335" s="160">
        <f>'FACP$'!$F5335*0.16</f>
        <v>10671.872</v>
      </c>
      <c r="H5335" s="160">
        <f t="shared" si="124"/>
        <v>77371.072</v>
      </c>
      <c r="I5335" s="160"/>
      <c r="J5335" s="161"/>
      <c r="K5335" s="160"/>
      <c r="L5335" s="160">
        <f>+'FACP$'!$H5335-'FACP$'!$I5335-'FACP$'!$K5335</f>
        <v>77371.072</v>
      </c>
      <c r="M5335" s="162" t="s">
        <v>395</v>
      </c>
      <c r="N5335" s="162" t="s">
        <v>554</v>
      </c>
      <c r="O5335" s="164">
        <v>45639.0</v>
      </c>
      <c r="P5335" s="164">
        <f t="array" ref="P5335">XLOOKUP('FACP$'!$B5335,'perfil de pagos'!$A$4:$A$46,'perfil de pagos'!$B$4:$B$46+'FACP$'!$D5335)</f>
        <v>45625</v>
      </c>
      <c r="Q5335" s="165">
        <f t="shared" si="128"/>
        <v>0</v>
      </c>
      <c r="R5335" s="167"/>
      <c r="S5335" s="167"/>
      <c r="T5335" s="168">
        <f t="shared" si="3"/>
        <v>77371.072</v>
      </c>
      <c r="U5335" s="168">
        <f t="shared" si="4"/>
        <v>0</v>
      </c>
      <c r="V5335" s="168">
        <f t="shared" si="5"/>
        <v>0</v>
      </c>
      <c r="W5335" s="168">
        <f t="shared" si="6"/>
        <v>0</v>
      </c>
      <c r="X5335" s="168">
        <f t="shared" si="7"/>
        <v>0</v>
      </c>
      <c r="Y5335" s="168">
        <f t="shared" si="8"/>
        <v>0</v>
      </c>
      <c r="Z5335" s="168">
        <f t="shared" si="9"/>
        <v>0</v>
      </c>
    </row>
    <row r="5336" ht="15.0" customHeight="1">
      <c r="A5336" s="157" t="s">
        <v>6765</v>
      </c>
      <c r="B5336" s="158" t="s">
        <v>32</v>
      </c>
      <c r="C5336" s="158" t="s">
        <v>6766</v>
      </c>
      <c r="D5336" s="159">
        <v>45615.0</v>
      </c>
      <c r="E5336" s="157" t="s">
        <v>731</v>
      </c>
      <c r="F5336" s="160">
        <v>183028.31</v>
      </c>
      <c r="G5336" s="160">
        <f>'FACP$'!$F5336*0.16</f>
        <v>29284.5296</v>
      </c>
      <c r="H5336" s="160">
        <f t="shared" si="124"/>
        <v>212312.8396</v>
      </c>
      <c r="I5336" s="160"/>
      <c r="J5336" s="161"/>
      <c r="K5336" s="160"/>
      <c r="L5336" s="160">
        <f>+'FACP$'!$H5336-'FACP$'!$I5336-'FACP$'!$K5336</f>
        <v>212312.8396</v>
      </c>
      <c r="M5336" s="162" t="s">
        <v>395</v>
      </c>
      <c r="N5336" s="162" t="s">
        <v>554</v>
      </c>
      <c r="O5336" s="164">
        <v>45639.0</v>
      </c>
      <c r="P5336" s="164">
        <f t="array" ref="P5336">XLOOKUP('FACP$'!$B5336,'perfil de pagos'!$A$4:$A$46,'perfil de pagos'!$B$4:$B$46+'FACP$'!$D5336)</f>
        <v>45625</v>
      </c>
      <c r="Q5336" s="165">
        <f t="shared" si="128"/>
        <v>0</v>
      </c>
      <c r="R5336" s="167"/>
      <c r="S5336" s="167"/>
      <c r="T5336" s="168">
        <f t="shared" si="3"/>
        <v>212312.8396</v>
      </c>
      <c r="U5336" s="168">
        <f t="shared" si="4"/>
        <v>0</v>
      </c>
      <c r="V5336" s="168">
        <f t="shared" si="5"/>
        <v>0</v>
      </c>
      <c r="W5336" s="168">
        <f t="shared" si="6"/>
        <v>0</v>
      </c>
      <c r="X5336" s="168">
        <f t="shared" si="7"/>
        <v>0</v>
      </c>
      <c r="Y5336" s="168">
        <f t="shared" si="8"/>
        <v>0</v>
      </c>
      <c r="Z5336" s="168">
        <f t="shared" si="9"/>
        <v>0</v>
      </c>
    </row>
    <row r="5337" ht="15.0" customHeight="1">
      <c r="A5337" s="157" t="s">
        <v>6767</v>
      </c>
      <c r="B5337" s="158" t="s">
        <v>41</v>
      </c>
      <c r="C5337" s="158" t="s">
        <v>6764</v>
      </c>
      <c r="D5337" s="159">
        <v>45615.0</v>
      </c>
      <c r="E5337" s="157" t="s">
        <v>731</v>
      </c>
      <c r="F5337" s="160">
        <v>909891.12</v>
      </c>
      <c r="G5337" s="160">
        <f>'FACP$'!$F5337*0.16</f>
        <v>145582.5792</v>
      </c>
      <c r="H5337" s="160">
        <f t="shared" si="124"/>
        <v>1055473.699</v>
      </c>
      <c r="I5337" s="160"/>
      <c r="J5337" s="161"/>
      <c r="K5337" s="160"/>
      <c r="L5337" s="160">
        <f>+'FACP$'!$H5337-'FACP$'!$I5337-'FACP$'!$K5337</f>
        <v>1055473.699</v>
      </c>
      <c r="M5337" s="162" t="s">
        <v>121</v>
      </c>
      <c r="N5337" s="162" t="s">
        <v>554</v>
      </c>
      <c r="O5337" s="164">
        <v>45657.0</v>
      </c>
      <c r="P5337" s="164">
        <f t="array" ref="P5337">XLOOKUP('FACP$'!$B5337,'perfil de pagos'!$A$4:$A$46,'perfil de pagos'!$B$4:$B$46+'FACP$'!$D5337)</f>
        <v>45625</v>
      </c>
      <c r="Q5337" s="165">
        <f t="shared" si="128"/>
        <v>0</v>
      </c>
      <c r="R5337" s="167"/>
      <c r="S5337" s="167"/>
      <c r="T5337" s="168">
        <f t="shared" si="3"/>
        <v>1055473.699</v>
      </c>
      <c r="U5337" s="168">
        <f t="shared" si="4"/>
        <v>0</v>
      </c>
      <c r="V5337" s="168">
        <f t="shared" si="5"/>
        <v>0</v>
      </c>
      <c r="W5337" s="168">
        <f t="shared" si="6"/>
        <v>0</v>
      </c>
      <c r="X5337" s="168">
        <f t="shared" si="7"/>
        <v>0</v>
      </c>
      <c r="Y5337" s="168">
        <f t="shared" si="8"/>
        <v>0</v>
      </c>
      <c r="Z5337" s="168">
        <f t="shared" si="9"/>
        <v>0</v>
      </c>
    </row>
    <row r="5338" ht="15.0" customHeight="1">
      <c r="A5338" s="157" t="s">
        <v>6768</v>
      </c>
      <c r="B5338" s="158" t="s">
        <v>35</v>
      </c>
      <c r="C5338" s="158" t="s">
        <v>6764</v>
      </c>
      <c r="D5338" s="159">
        <v>45615.0</v>
      </c>
      <c r="E5338" s="157" t="s">
        <v>731</v>
      </c>
      <c r="F5338" s="160">
        <v>131253.3</v>
      </c>
      <c r="G5338" s="160">
        <f>'FACP$'!$F5338*0.16</f>
        <v>21000.528</v>
      </c>
      <c r="H5338" s="160">
        <f t="shared" si="124"/>
        <v>152253.828</v>
      </c>
      <c r="I5338" s="160"/>
      <c r="J5338" s="161"/>
      <c r="K5338" s="160"/>
      <c r="L5338" s="160">
        <f>+'FACP$'!$H5338-'FACP$'!$I5338-'FACP$'!$K5338</f>
        <v>152253.828</v>
      </c>
      <c r="M5338" s="162" t="s">
        <v>276</v>
      </c>
      <c r="N5338" s="162" t="s">
        <v>554</v>
      </c>
      <c r="O5338" s="164">
        <v>45642.0</v>
      </c>
      <c r="P5338" s="164">
        <f t="array" ref="P5338">XLOOKUP('FACP$'!$B5338,'perfil de pagos'!$A$4:$A$46,'perfil de pagos'!$B$4:$B$46+'FACP$'!$D5338)</f>
        <v>45625</v>
      </c>
      <c r="Q5338" s="165">
        <f t="shared" si="128"/>
        <v>0</v>
      </c>
      <c r="R5338" s="167"/>
      <c r="S5338" s="167"/>
      <c r="T5338" s="168">
        <f t="shared" si="3"/>
        <v>152253.828</v>
      </c>
      <c r="U5338" s="168">
        <f t="shared" si="4"/>
        <v>0</v>
      </c>
      <c r="V5338" s="168">
        <f t="shared" si="5"/>
        <v>0</v>
      </c>
      <c r="W5338" s="168">
        <f t="shared" si="6"/>
        <v>0</v>
      </c>
      <c r="X5338" s="168">
        <f t="shared" si="7"/>
        <v>0</v>
      </c>
      <c r="Y5338" s="168">
        <f t="shared" si="8"/>
        <v>0</v>
      </c>
      <c r="Z5338" s="168">
        <f t="shared" si="9"/>
        <v>0</v>
      </c>
    </row>
    <row r="5339" ht="15.0" customHeight="1">
      <c r="A5339" s="157" t="s">
        <v>6769</v>
      </c>
      <c r="B5339" s="158" t="s">
        <v>36</v>
      </c>
      <c r="C5339" s="158" t="s">
        <v>6764</v>
      </c>
      <c r="D5339" s="159">
        <v>45615.0</v>
      </c>
      <c r="E5339" s="157" t="s">
        <v>731</v>
      </c>
      <c r="F5339" s="160">
        <v>47276.24</v>
      </c>
      <c r="G5339" s="160">
        <f>'FACP$'!$F5339*0.16</f>
        <v>7564.1984</v>
      </c>
      <c r="H5339" s="160">
        <f t="shared" si="124"/>
        <v>54840.4384</v>
      </c>
      <c r="I5339" s="160"/>
      <c r="J5339" s="161"/>
      <c r="K5339" s="160"/>
      <c r="L5339" s="160">
        <f>+'FACP$'!$H5339-'FACP$'!$I5339-'FACP$'!$K5339</f>
        <v>54840.4384</v>
      </c>
      <c r="M5339" s="162" t="s">
        <v>530</v>
      </c>
      <c r="N5339" s="162" t="s">
        <v>554</v>
      </c>
      <c r="O5339" s="164">
        <v>45625.0</v>
      </c>
      <c r="P5339" s="164">
        <f t="array" ref="P5339">XLOOKUP('FACP$'!$B5339,'perfil de pagos'!$A$4:$A$46,'perfil de pagos'!$B$4:$B$46+'FACP$'!$D5339)</f>
        <v>45625</v>
      </c>
      <c r="Q5339" s="165">
        <f t="shared" si="128"/>
        <v>0</v>
      </c>
      <c r="R5339" s="167"/>
      <c r="S5339" s="171">
        <v>3444.0</v>
      </c>
      <c r="T5339" s="168">
        <f t="shared" si="3"/>
        <v>54840.4384</v>
      </c>
      <c r="U5339" s="168">
        <f t="shared" si="4"/>
        <v>0</v>
      </c>
      <c r="V5339" s="168">
        <f t="shared" si="5"/>
        <v>0</v>
      </c>
      <c r="W5339" s="168">
        <f t="shared" si="6"/>
        <v>0</v>
      </c>
      <c r="X5339" s="168">
        <f t="shared" si="7"/>
        <v>0</v>
      </c>
      <c r="Y5339" s="168">
        <f t="shared" si="8"/>
        <v>0</v>
      </c>
      <c r="Z5339" s="168">
        <f t="shared" si="9"/>
        <v>0</v>
      </c>
    </row>
    <row r="5340" ht="15.0" customHeight="1">
      <c r="A5340" s="157" t="s">
        <v>6770</v>
      </c>
      <c r="B5340" s="158" t="s">
        <v>36</v>
      </c>
      <c r="C5340" s="158" t="s">
        <v>6766</v>
      </c>
      <c r="D5340" s="159">
        <v>45615.0</v>
      </c>
      <c r="E5340" s="157" t="s">
        <v>731</v>
      </c>
      <c r="F5340" s="160">
        <v>73645.0</v>
      </c>
      <c r="G5340" s="160">
        <f>'FACP$'!$F5340*0.16</f>
        <v>11783.2</v>
      </c>
      <c r="H5340" s="160">
        <f t="shared" si="124"/>
        <v>85428.2</v>
      </c>
      <c r="I5340" s="160"/>
      <c r="J5340" s="161"/>
      <c r="K5340" s="160"/>
      <c r="L5340" s="160">
        <f>+'FACP$'!$H5340-'FACP$'!$I5340-'FACP$'!$K5340</f>
        <v>85428.2</v>
      </c>
      <c r="M5340" s="162" t="s">
        <v>530</v>
      </c>
      <c r="N5340" s="162" t="s">
        <v>554</v>
      </c>
      <c r="O5340" s="164">
        <v>45625.0</v>
      </c>
      <c r="P5340" s="164">
        <f t="array" ref="P5340">XLOOKUP('FACP$'!$B5340,'perfil de pagos'!$A$4:$A$46,'perfil de pagos'!$B$4:$B$46+'FACP$'!$D5340)</f>
        <v>45625</v>
      </c>
      <c r="Q5340" s="165">
        <f t="shared" si="128"/>
        <v>0</v>
      </c>
      <c r="R5340" s="167"/>
      <c r="S5340" s="167">
        <v>3443.0</v>
      </c>
      <c r="T5340" s="168">
        <f t="shared" si="3"/>
        <v>85428.2</v>
      </c>
      <c r="U5340" s="168">
        <f t="shared" si="4"/>
        <v>0</v>
      </c>
      <c r="V5340" s="168">
        <f t="shared" si="5"/>
        <v>0</v>
      </c>
      <c r="W5340" s="168">
        <f t="shared" si="6"/>
        <v>0</v>
      </c>
      <c r="X5340" s="168">
        <f t="shared" si="7"/>
        <v>0</v>
      </c>
      <c r="Y5340" s="168">
        <f t="shared" si="8"/>
        <v>0</v>
      </c>
      <c r="Z5340" s="168">
        <f t="shared" si="9"/>
        <v>0</v>
      </c>
    </row>
    <row r="5341" ht="15.0" customHeight="1">
      <c r="A5341" s="157" t="s">
        <v>6771</v>
      </c>
      <c r="B5341" s="158" t="s">
        <v>36</v>
      </c>
      <c r="C5341" s="158" t="s">
        <v>6764</v>
      </c>
      <c r="D5341" s="159">
        <v>45615.0</v>
      </c>
      <c r="E5341" s="157" t="s">
        <v>731</v>
      </c>
      <c r="F5341" s="160">
        <v>24884.93</v>
      </c>
      <c r="G5341" s="160">
        <f>'FACP$'!$F5341*0.16</f>
        <v>3981.5888</v>
      </c>
      <c r="H5341" s="160">
        <f t="shared" si="124"/>
        <v>28866.5188</v>
      </c>
      <c r="I5341" s="160"/>
      <c r="J5341" s="161">
        <f>'NCP$'!A308</f>
        <v>415</v>
      </c>
      <c r="K5341" s="160">
        <f>'NCP$'!H308</f>
        <v>578.6544</v>
      </c>
      <c r="L5341" s="160">
        <f>+'FACP$'!$H5341-'FACP$'!$I5341-'FACP$'!$K5341</f>
        <v>28287.8644</v>
      </c>
      <c r="M5341" s="162" t="s">
        <v>526</v>
      </c>
      <c r="N5341" s="162" t="s">
        <v>554</v>
      </c>
      <c r="O5341" s="164">
        <v>45626.0</v>
      </c>
      <c r="P5341" s="164">
        <f t="array" ref="P5341">XLOOKUP('FACP$'!$B5341,'perfil de pagos'!$A$4:$A$46,'perfil de pagos'!$B$4:$B$46+'FACP$'!$D5341)</f>
        <v>45625</v>
      </c>
      <c r="Q5341" s="165">
        <f t="shared" si="128"/>
        <v>0</v>
      </c>
      <c r="R5341" s="167"/>
      <c r="S5341" s="167">
        <v>3446.0</v>
      </c>
      <c r="T5341" s="168">
        <f t="shared" si="3"/>
        <v>28287.8644</v>
      </c>
      <c r="U5341" s="168">
        <f t="shared" si="4"/>
        <v>0</v>
      </c>
      <c r="V5341" s="168">
        <f t="shared" si="5"/>
        <v>0</v>
      </c>
      <c r="W5341" s="168">
        <f t="shared" si="6"/>
        <v>0</v>
      </c>
      <c r="X5341" s="168">
        <f t="shared" si="7"/>
        <v>0</v>
      </c>
      <c r="Y5341" s="168">
        <f t="shared" si="8"/>
        <v>0</v>
      </c>
      <c r="Z5341" s="168">
        <f t="shared" si="9"/>
        <v>0</v>
      </c>
    </row>
    <row r="5342" ht="15.0" customHeight="1">
      <c r="A5342" s="157" t="s">
        <v>6772</v>
      </c>
      <c r="B5342" s="158" t="s">
        <v>36</v>
      </c>
      <c r="C5342" s="158" t="s">
        <v>6766</v>
      </c>
      <c r="D5342" s="159">
        <v>45615.0</v>
      </c>
      <c r="E5342" s="157" t="s">
        <v>731</v>
      </c>
      <c r="F5342" s="160">
        <v>44080.65</v>
      </c>
      <c r="G5342" s="160">
        <f>'FACP$'!$F5342*0.16</f>
        <v>7052.904</v>
      </c>
      <c r="H5342" s="160">
        <f t="shared" si="124"/>
        <v>51133.554</v>
      </c>
      <c r="I5342" s="160"/>
      <c r="J5342" s="161">
        <f>'NCP$'!A309</f>
        <v>416</v>
      </c>
      <c r="K5342" s="160">
        <f>'NCP$'!H309</f>
        <v>3080.206</v>
      </c>
      <c r="L5342" s="160">
        <f>+'FACP$'!$H5342-'FACP$'!$I5342-'FACP$'!$K5342</f>
        <v>48053.348</v>
      </c>
      <c r="M5342" s="162" t="s">
        <v>526</v>
      </c>
      <c r="N5342" s="162" t="s">
        <v>554</v>
      </c>
      <c r="O5342" s="164">
        <v>45643.0</v>
      </c>
      <c r="P5342" s="164">
        <f t="array" ref="P5342">XLOOKUP('FACP$'!$B5342,'perfil de pagos'!$A$4:$A$46,'perfil de pagos'!$B$4:$B$46+'FACP$'!$D5342)</f>
        <v>45625</v>
      </c>
      <c r="Q5342" s="165">
        <f t="shared" si="128"/>
        <v>0</v>
      </c>
      <c r="R5342" s="167"/>
      <c r="S5342" s="167"/>
      <c r="T5342" s="168">
        <f t="shared" si="3"/>
        <v>48053.348</v>
      </c>
      <c r="U5342" s="168">
        <f t="shared" si="4"/>
        <v>0</v>
      </c>
      <c r="V5342" s="168">
        <f t="shared" si="5"/>
        <v>0</v>
      </c>
      <c r="W5342" s="168">
        <f t="shared" si="6"/>
        <v>0</v>
      </c>
      <c r="X5342" s="168">
        <f t="shared" si="7"/>
        <v>0</v>
      </c>
      <c r="Y5342" s="168">
        <f t="shared" si="8"/>
        <v>0</v>
      </c>
      <c r="Z5342" s="168">
        <f t="shared" si="9"/>
        <v>0</v>
      </c>
    </row>
    <row r="5343" ht="15.0" customHeight="1">
      <c r="A5343" s="157" t="s">
        <v>6773</v>
      </c>
      <c r="B5343" s="158" t="s">
        <v>42</v>
      </c>
      <c r="C5343" s="158" t="s">
        <v>6764</v>
      </c>
      <c r="D5343" s="159">
        <v>45615.0</v>
      </c>
      <c r="E5343" s="157" t="s">
        <v>731</v>
      </c>
      <c r="F5343" s="160">
        <v>122412.54</v>
      </c>
      <c r="G5343" s="160">
        <f>'FACP$'!$F5343*0.16</f>
        <v>19586.0064</v>
      </c>
      <c r="H5343" s="160">
        <f t="shared" si="124"/>
        <v>141998.5464</v>
      </c>
      <c r="I5343" s="160"/>
      <c r="J5343" s="161"/>
      <c r="K5343" s="160"/>
      <c r="L5343" s="160">
        <f>+'FACP$'!$H5343-'FACP$'!$I5343-'FACP$'!$K5343</f>
        <v>141998.5464</v>
      </c>
      <c r="M5343" s="162" t="s">
        <v>42</v>
      </c>
      <c r="N5343" s="162" t="s">
        <v>554</v>
      </c>
      <c r="O5343" s="164">
        <v>45645.0</v>
      </c>
      <c r="P5343" s="164">
        <f t="array" ref="P5343">XLOOKUP('FACP$'!$B5343,'perfil de pagos'!$A$4:$A$46,'perfil de pagos'!$B$4:$B$46+'FACP$'!$D5343)</f>
        <v>45625</v>
      </c>
      <c r="Q5343" s="165">
        <f t="shared" si="128"/>
        <v>0</v>
      </c>
      <c r="R5343" s="167"/>
      <c r="S5343" s="167"/>
      <c r="T5343" s="168">
        <f t="shared" si="3"/>
        <v>141998.5464</v>
      </c>
      <c r="U5343" s="168">
        <f t="shared" si="4"/>
        <v>0</v>
      </c>
      <c r="V5343" s="168">
        <f t="shared" si="5"/>
        <v>0</v>
      </c>
      <c r="W5343" s="168">
        <f t="shared" si="6"/>
        <v>0</v>
      </c>
      <c r="X5343" s="168">
        <f t="shared" si="7"/>
        <v>0</v>
      </c>
      <c r="Y5343" s="168">
        <f t="shared" si="8"/>
        <v>0</v>
      </c>
      <c r="Z5343" s="168">
        <f t="shared" si="9"/>
        <v>0</v>
      </c>
      <c r="AA5343" s="72"/>
      <c r="AB5343" s="72"/>
      <c r="AC5343" s="72"/>
    </row>
    <row r="5344" ht="15.0" customHeight="1">
      <c r="A5344" s="157" t="s">
        <v>6774</v>
      </c>
      <c r="B5344" s="158" t="s">
        <v>44</v>
      </c>
      <c r="C5344" s="158" t="s">
        <v>6764</v>
      </c>
      <c r="D5344" s="159">
        <v>45615.0</v>
      </c>
      <c r="E5344" s="157" t="s">
        <v>731</v>
      </c>
      <c r="F5344" s="160">
        <v>120783.53</v>
      </c>
      <c r="G5344" s="160">
        <f>'FACP$'!$F5344*0.16</f>
        <v>19325.3648</v>
      </c>
      <c r="H5344" s="160">
        <f t="shared" si="124"/>
        <v>140108.8948</v>
      </c>
      <c r="I5344" s="160"/>
      <c r="J5344" s="161"/>
      <c r="K5344" s="160"/>
      <c r="L5344" s="160">
        <f>+'FACP$'!$H5344-'FACP$'!$I5344-'FACP$'!$K5344</f>
        <v>140108.8948</v>
      </c>
      <c r="M5344" s="162" t="s">
        <v>361</v>
      </c>
      <c r="N5344" s="162" t="s">
        <v>554</v>
      </c>
      <c r="O5344" s="164">
        <v>45625.0</v>
      </c>
      <c r="P5344" s="164">
        <f t="array" ref="P5344">XLOOKUP('FACP$'!$B5344,'perfil de pagos'!$A$4:$A$46,'perfil de pagos'!$B$4:$B$46+'FACP$'!$D5344)</f>
        <v>45625</v>
      </c>
      <c r="Q5344" s="165">
        <f t="shared" si="128"/>
        <v>0</v>
      </c>
      <c r="R5344" s="167"/>
      <c r="S5344" s="167">
        <v>3435.0</v>
      </c>
      <c r="T5344" s="168">
        <f t="shared" si="3"/>
        <v>140108.8948</v>
      </c>
      <c r="U5344" s="168">
        <f t="shared" si="4"/>
        <v>0</v>
      </c>
      <c r="V5344" s="168">
        <f t="shared" si="5"/>
        <v>0</v>
      </c>
      <c r="W5344" s="168">
        <f t="shared" si="6"/>
        <v>0</v>
      </c>
      <c r="X5344" s="168">
        <f t="shared" si="7"/>
        <v>0</v>
      </c>
      <c r="Y5344" s="168">
        <f t="shared" si="8"/>
        <v>0</v>
      </c>
      <c r="Z5344" s="168">
        <f t="shared" si="9"/>
        <v>0</v>
      </c>
      <c r="AA5344" s="72"/>
      <c r="AB5344" s="72"/>
      <c r="AC5344" s="72"/>
    </row>
    <row r="5345" ht="15.0" customHeight="1">
      <c r="A5345" s="157" t="s">
        <v>6775</v>
      </c>
      <c r="B5345" s="158" t="s">
        <v>27</v>
      </c>
      <c r="C5345" s="158" t="s">
        <v>6764</v>
      </c>
      <c r="D5345" s="159">
        <v>45618.0</v>
      </c>
      <c r="E5345" s="157" t="s">
        <v>731</v>
      </c>
      <c r="F5345" s="160">
        <v>119342.9</v>
      </c>
      <c r="G5345" s="160">
        <f>'FACP$'!$F5345*0.16</f>
        <v>19094.864</v>
      </c>
      <c r="H5345" s="160">
        <f t="shared" si="124"/>
        <v>138437.764</v>
      </c>
      <c r="I5345" s="160"/>
      <c r="J5345" s="161"/>
      <c r="K5345" s="160"/>
      <c r="L5345" s="160">
        <f>+'FACP$'!$H5345-'FACP$'!$I5345-'FACP$'!$K5345</f>
        <v>138437.764</v>
      </c>
      <c r="M5345" s="162" t="s">
        <v>158</v>
      </c>
      <c r="N5345" s="162" t="s">
        <v>554</v>
      </c>
      <c r="O5345" s="164">
        <v>45705.0</v>
      </c>
      <c r="P5345" s="164">
        <f t="array" ref="P5345">XLOOKUP('FACP$'!$B5345,'perfil de pagos'!$A$4:$A$46,'perfil de pagos'!$B$4:$B$46+'FACP$'!$D5345)</f>
        <v>45648</v>
      </c>
      <c r="Q5345" s="165">
        <f t="shared" si="128"/>
        <v>0</v>
      </c>
      <c r="R5345" s="167"/>
      <c r="S5345" s="167">
        <v>3616.0</v>
      </c>
      <c r="T5345" s="168">
        <f t="shared" si="3"/>
        <v>138437.764</v>
      </c>
      <c r="U5345" s="168">
        <f t="shared" si="4"/>
        <v>0</v>
      </c>
      <c r="V5345" s="168">
        <f t="shared" si="5"/>
        <v>0</v>
      </c>
      <c r="W5345" s="168">
        <f t="shared" si="6"/>
        <v>0</v>
      </c>
      <c r="X5345" s="168">
        <f t="shared" si="7"/>
        <v>0</v>
      </c>
      <c r="Y5345" s="168">
        <f t="shared" si="8"/>
        <v>0</v>
      </c>
      <c r="Z5345" s="168">
        <f t="shared" si="9"/>
        <v>0</v>
      </c>
    </row>
    <row r="5346" ht="15.0" customHeight="1">
      <c r="A5346" s="157" t="s">
        <v>6776</v>
      </c>
      <c r="B5346" s="158" t="s">
        <v>27</v>
      </c>
      <c r="C5346" s="158" t="s">
        <v>6766</v>
      </c>
      <c r="D5346" s="159">
        <v>45618.0</v>
      </c>
      <c r="E5346" s="157" t="s">
        <v>731</v>
      </c>
      <c r="F5346" s="160">
        <v>117640.17</v>
      </c>
      <c r="G5346" s="160">
        <f>'FACP$'!$F5346*0.16</f>
        <v>18822.4272</v>
      </c>
      <c r="H5346" s="160">
        <f t="shared" si="124"/>
        <v>136462.5972</v>
      </c>
      <c r="I5346" s="160"/>
      <c r="J5346" s="161"/>
      <c r="K5346" s="160"/>
      <c r="L5346" s="160">
        <f>+'FACP$'!$H5346-'FACP$'!$I5346-'FACP$'!$K5346</f>
        <v>136462.5972</v>
      </c>
      <c r="M5346" s="162" t="s">
        <v>158</v>
      </c>
      <c r="N5346" s="162" t="s">
        <v>554</v>
      </c>
      <c r="O5346" s="164">
        <v>45705.0</v>
      </c>
      <c r="P5346" s="164">
        <f t="array" ref="P5346">XLOOKUP('FACP$'!$B5346,'perfil de pagos'!$A$4:$A$46,'perfil de pagos'!$B$4:$B$46+'FACP$'!$D5346)</f>
        <v>45648</v>
      </c>
      <c r="Q5346" s="165">
        <f t="shared" si="128"/>
        <v>0</v>
      </c>
      <c r="R5346" s="167"/>
      <c r="S5346" s="167">
        <v>3616.0</v>
      </c>
      <c r="T5346" s="168">
        <f t="shared" si="3"/>
        <v>136462.5972</v>
      </c>
      <c r="U5346" s="168">
        <f t="shared" si="4"/>
        <v>0</v>
      </c>
      <c r="V5346" s="168">
        <f t="shared" si="5"/>
        <v>0</v>
      </c>
      <c r="W5346" s="168">
        <f t="shared" si="6"/>
        <v>0</v>
      </c>
      <c r="X5346" s="168">
        <f t="shared" si="7"/>
        <v>0</v>
      </c>
      <c r="Y5346" s="168">
        <f t="shared" si="8"/>
        <v>0</v>
      </c>
      <c r="Z5346" s="168">
        <f t="shared" si="9"/>
        <v>0</v>
      </c>
    </row>
    <row r="5347" ht="15.0" customHeight="1">
      <c r="A5347" s="157" t="s">
        <v>6777</v>
      </c>
      <c r="B5347" s="158" t="s">
        <v>27</v>
      </c>
      <c r="C5347" s="158" t="s">
        <v>6764</v>
      </c>
      <c r="D5347" s="159">
        <v>45618.0</v>
      </c>
      <c r="E5347" s="157" t="s">
        <v>731</v>
      </c>
      <c r="F5347" s="160">
        <v>257550.93</v>
      </c>
      <c r="G5347" s="160">
        <f>'FACP$'!$F5347*0.16</f>
        <v>41208.1488</v>
      </c>
      <c r="H5347" s="160">
        <f t="shared" si="124"/>
        <v>298759.0788</v>
      </c>
      <c r="I5347" s="160"/>
      <c r="J5347" s="161"/>
      <c r="K5347" s="160"/>
      <c r="L5347" s="160">
        <f>+'FACP$'!$H5347-'FACP$'!$I5347-'FACP$'!$K5347</f>
        <v>298759.0788</v>
      </c>
      <c r="M5347" s="162" t="s">
        <v>151</v>
      </c>
      <c r="N5347" s="162" t="s">
        <v>554</v>
      </c>
      <c r="O5347" s="164">
        <v>45705.0</v>
      </c>
      <c r="P5347" s="164">
        <f t="array" ref="P5347">XLOOKUP('FACP$'!$B5347,'perfil de pagos'!$A$4:$A$46,'perfil de pagos'!$B$4:$B$46+'FACP$'!$D5347)</f>
        <v>45648</v>
      </c>
      <c r="Q5347" s="165">
        <f t="shared" si="128"/>
        <v>0</v>
      </c>
      <c r="R5347" s="167"/>
      <c r="S5347" s="167">
        <v>3615.0</v>
      </c>
      <c r="T5347" s="168">
        <f t="shared" si="3"/>
        <v>298759.0788</v>
      </c>
      <c r="U5347" s="168">
        <f t="shared" si="4"/>
        <v>0</v>
      </c>
      <c r="V5347" s="168">
        <f t="shared" si="5"/>
        <v>0</v>
      </c>
      <c r="W5347" s="168">
        <f t="shared" si="6"/>
        <v>0</v>
      </c>
      <c r="X5347" s="168">
        <f t="shared" si="7"/>
        <v>0</v>
      </c>
      <c r="Y5347" s="168">
        <f t="shared" si="8"/>
        <v>0</v>
      </c>
      <c r="Z5347" s="168">
        <f t="shared" si="9"/>
        <v>0</v>
      </c>
    </row>
    <row r="5348" ht="15.0" customHeight="1">
      <c r="A5348" s="157" t="s">
        <v>6778</v>
      </c>
      <c r="B5348" s="158" t="s">
        <v>27</v>
      </c>
      <c r="C5348" s="158" t="s">
        <v>6766</v>
      </c>
      <c r="D5348" s="159">
        <v>45618.0</v>
      </c>
      <c r="E5348" s="157" t="s">
        <v>731</v>
      </c>
      <c r="F5348" s="160">
        <v>225434.6</v>
      </c>
      <c r="G5348" s="160">
        <f>'FACP$'!$F5348*0.16</f>
        <v>36069.536</v>
      </c>
      <c r="H5348" s="160">
        <f t="shared" si="124"/>
        <v>261504.136</v>
      </c>
      <c r="I5348" s="160"/>
      <c r="J5348" s="161"/>
      <c r="K5348" s="160"/>
      <c r="L5348" s="211">
        <f>+'FACP$'!$H5348-'FACP$'!$I5348-'FACP$'!$K5348</f>
        <v>261504.136</v>
      </c>
      <c r="M5348" s="162" t="s">
        <v>151</v>
      </c>
      <c r="N5348" s="162" t="s">
        <v>554</v>
      </c>
      <c r="O5348" s="164">
        <v>45735.0</v>
      </c>
      <c r="P5348" s="164">
        <f t="array" ref="P5348">XLOOKUP('FACP$'!$B5348,'perfil de pagos'!$A$4:$A$46,'perfil de pagos'!$B$4:$B$46+'FACP$'!$D5348)</f>
        <v>45648</v>
      </c>
      <c r="Q5348" s="165">
        <f t="shared" si="128"/>
        <v>0</v>
      </c>
      <c r="R5348" s="167"/>
      <c r="S5348" s="167">
        <v>3693.0</v>
      </c>
      <c r="T5348" s="168">
        <f t="shared" si="3"/>
        <v>261504.136</v>
      </c>
      <c r="U5348" s="168">
        <f t="shared" si="4"/>
        <v>0</v>
      </c>
      <c r="V5348" s="168">
        <f t="shared" si="5"/>
        <v>0</v>
      </c>
      <c r="W5348" s="168">
        <f t="shared" si="6"/>
        <v>0</v>
      </c>
      <c r="X5348" s="168">
        <f t="shared" si="7"/>
        <v>0</v>
      </c>
      <c r="Y5348" s="168">
        <f t="shared" si="8"/>
        <v>0</v>
      </c>
      <c r="Z5348" s="168">
        <f t="shared" si="9"/>
        <v>0</v>
      </c>
    </row>
    <row r="5349" ht="15.0" customHeight="1">
      <c r="A5349" s="157" t="s">
        <v>6779</v>
      </c>
      <c r="B5349" s="158" t="s">
        <v>27</v>
      </c>
      <c r="C5349" s="158" t="s">
        <v>6764</v>
      </c>
      <c r="D5349" s="159">
        <v>45618.0</v>
      </c>
      <c r="E5349" s="157" t="s">
        <v>731</v>
      </c>
      <c r="F5349" s="160">
        <v>13058.21</v>
      </c>
      <c r="G5349" s="160">
        <f>'FACP$'!$F5349*0.16</f>
        <v>2089.3136</v>
      </c>
      <c r="H5349" s="160">
        <f t="shared" si="124"/>
        <v>15147.5236</v>
      </c>
      <c r="I5349" s="160"/>
      <c r="J5349" s="161"/>
      <c r="K5349" s="160"/>
      <c r="L5349" s="160">
        <f>+'FACP$'!$H5349-'FACP$'!$I5349-'FACP$'!$K5349</f>
        <v>15147.5236</v>
      </c>
      <c r="M5349" s="162" t="s">
        <v>151</v>
      </c>
      <c r="N5349" s="162" t="s">
        <v>554</v>
      </c>
      <c r="O5349" s="164">
        <v>45705.0</v>
      </c>
      <c r="P5349" s="164">
        <f t="array" ref="P5349">XLOOKUP('FACP$'!$B5349,'perfil de pagos'!$A$4:$A$46,'perfil de pagos'!$B$4:$B$46+'FACP$'!$D5349)</f>
        <v>45648</v>
      </c>
      <c r="Q5349" s="165">
        <f t="shared" si="128"/>
        <v>0</v>
      </c>
      <c r="R5349" s="167"/>
      <c r="S5349" s="167">
        <v>3615.0</v>
      </c>
      <c r="T5349" s="168">
        <f t="shared" si="3"/>
        <v>15147.5236</v>
      </c>
      <c r="U5349" s="168">
        <f t="shared" si="4"/>
        <v>0</v>
      </c>
      <c r="V5349" s="168">
        <f t="shared" si="5"/>
        <v>0</v>
      </c>
      <c r="W5349" s="168">
        <f t="shared" si="6"/>
        <v>0</v>
      </c>
      <c r="X5349" s="168">
        <f t="shared" si="7"/>
        <v>0</v>
      </c>
      <c r="Y5349" s="168">
        <f t="shared" si="8"/>
        <v>0</v>
      </c>
      <c r="Z5349" s="168">
        <f t="shared" si="9"/>
        <v>0</v>
      </c>
    </row>
    <row r="5350" ht="15.0" customHeight="1">
      <c r="A5350" s="157" t="s">
        <v>6780</v>
      </c>
      <c r="B5350" s="158" t="s">
        <v>27</v>
      </c>
      <c r="C5350" s="158" t="s">
        <v>6766</v>
      </c>
      <c r="D5350" s="159">
        <v>45618.0</v>
      </c>
      <c r="E5350" s="157" t="s">
        <v>731</v>
      </c>
      <c r="F5350" s="160">
        <v>18943.77</v>
      </c>
      <c r="G5350" s="160">
        <f>'FACP$'!$F5350*0.16</f>
        <v>3031.0032</v>
      </c>
      <c r="H5350" s="160">
        <f t="shared" si="124"/>
        <v>21974.7732</v>
      </c>
      <c r="I5350" s="160"/>
      <c r="J5350" s="161"/>
      <c r="K5350" s="160"/>
      <c r="L5350" s="160">
        <f>+'FACP$'!$H5350-'FACP$'!$I5350-'FACP$'!$K5350</f>
        <v>21974.7732</v>
      </c>
      <c r="M5350" s="162" t="s">
        <v>151</v>
      </c>
      <c r="N5350" s="162" t="s">
        <v>554</v>
      </c>
      <c r="O5350" s="164">
        <v>45705.0</v>
      </c>
      <c r="P5350" s="164">
        <f t="array" ref="P5350">XLOOKUP('FACP$'!$B5350,'perfil de pagos'!$A$4:$A$46,'perfil de pagos'!$B$4:$B$46+'FACP$'!$D5350)</f>
        <v>45648</v>
      </c>
      <c r="Q5350" s="165">
        <f t="shared" si="128"/>
        <v>0</v>
      </c>
      <c r="R5350" s="167"/>
      <c r="S5350" s="167">
        <v>3615.0</v>
      </c>
      <c r="T5350" s="168">
        <f t="shared" si="3"/>
        <v>21974.7732</v>
      </c>
      <c r="U5350" s="168">
        <f t="shared" si="4"/>
        <v>0</v>
      </c>
      <c r="V5350" s="168">
        <f t="shared" si="5"/>
        <v>0</v>
      </c>
      <c r="W5350" s="168">
        <f t="shared" si="6"/>
        <v>0</v>
      </c>
      <c r="X5350" s="168">
        <f t="shared" si="7"/>
        <v>0</v>
      </c>
      <c r="Y5350" s="168">
        <f t="shared" si="8"/>
        <v>0</v>
      </c>
      <c r="Z5350" s="168">
        <f t="shared" si="9"/>
        <v>0</v>
      </c>
    </row>
    <row r="5351" ht="15.0" customHeight="1">
      <c r="A5351" s="157" t="s">
        <v>6781</v>
      </c>
      <c r="B5351" s="158" t="s">
        <v>38</v>
      </c>
      <c r="C5351" s="158" t="s">
        <v>6764</v>
      </c>
      <c r="D5351" s="159">
        <v>45621.0</v>
      </c>
      <c r="E5351" s="157" t="s">
        <v>731</v>
      </c>
      <c r="F5351" s="160">
        <v>65486.29</v>
      </c>
      <c r="G5351" s="160">
        <f>'FACP$'!$F5351*0.16</f>
        <v>10477.8064</v>
      </c>
      <c r="H5351" s="160">
        <f t="shared" si="124"/>
        <v>75964.0964</v>
      </c>
      <c r="I5351" s="160"/>
      <c r="J5351" s="161"/>
      <c r="K5351" s="160"/>
      <c r="L5351" s="160">
        <f>+'FACP$'!$H5351-'FACP$'!$I5351-'FACP$'!$K5351</f>
        <v>75964.0964</v>
      </c>
      <c r="M5351" s="162" t="s">
        <v>4654</v>
      </c>
      <c r="N5351" s="162" t="s">
        <v>554</v>
      </c>
      <c r="O5351" s="164">
        <v>45637.0</v>
      </c>
      <c r="P5351" s="164">
        <f t="array" ref="P5351">XLOOKUP('FACP$'!$B5351,'perfil de pagos'!$A$4:$A$46,'perfil de pagos'!$B$4:$B$46+'FACP$'!$D5351)</f>
        <v>45651</v>
      </c>
      <c r="Q5351" s="165">
        <f t="shared" si="128"/>
        <v>0</v>
      </c>
      <c r="R5351" s="167"/>
      <c r="S5351" s="167"/>
      <c r="T5351" s="168">
        <f t="shared" si="3"/>
        <v>75964.0964</v>
      </c>
      <c r="U5351" s="168">
        <f t="shared" si="4"/>
        <v>0</v>
      </c>
      <c r="V5351" s="168">
        <f t="shared" si="5"/>
        <v>0</v>
      </c>
      <c r="W5351" s="168">
        <f t="shared" si="6"/>
        <v>0</v>
      </c>
      <c r="X5351" s="168">
        <f t="shared" si="7"/>
        <v>0</v>
      </c>
      <c r="Y5351" s="168">
        <f t="shared" si="8"/>
        <v>0</v>
      </c>
      <c r="Z5351" s="168">
        <f t="shared" si="9"/>
        <v>0</v>
      </c>
    </row>
    <row r="5352" ht="15.0" customHeight="1">
      <c r="A5352" s="157" t="s">
        <v>6782</v>
      </c>
      <c r="B5352" s="158" t="s">
        <v>16</v>
      </c>
      <c r="C5352" s="158" t="s">
        <v>6764</v>
      </c>
      <c r="D5352" s="159">
        <v>45621.0</v>
      </c>
      <c r="E5352" s="157" t="s">
        <v>731</v>
      </c>
      <c r="F5352" s="160">
        <v>220734.15</v>
      </c>
      <c r="G5352" s="160">
        <f>'FACP$'!$F5352*0.16</f>
        <v>35317.464</v>
      </c>
      <c r="H5352" s="160">
        <f t="shared" si="124"/>
        <v>256051.614</v>
      </c>
      <c r="I5352" s="160"/>
      <c r="J5352" s="161"/>
      <c r="K5352" s="160"/>
      <c r="L5352" s="231">
        <f>+'FACP$'!$H5352-'FACP$'!$I5352-'FACP$'!$K5352</f>
        <v>256051.614</v>
      </c>
      <c r="M5352" s="162" t="s">
        <v>985</v>
      </c>
      <c r="N5352" s="162" t="s">
        <v>554</v>
      </c>
      <c r="O5352" s="164">
        <v>45632.0</v>
      </c>
      <c r="P5352" s="164">
        <f t="array" ref="P5352">XLOOKUP('FACP$'!$B5352,'perfil de pagos'!$A$4:$A$46,'perfil de pagos'!$B$4:$B$46+'FACP$'!$D5352)</f>
        <v>45631</v>
      </c>
      <c r="Q5352" s="165">
        <f t="shared" si="128"/>
        <v>0</v>
      </c>
      <c r="R5352" s="167"/>
      <c r="S5352" s="167">
        <v>3453.0</v>
      </c>
      <c r="T5352" s="168">
        <f t="shared" si="3"/>
        <v>256051.614</v>
      </c>
      <c r="U5352" s="168">
        <f t="shared" si="4"/>
        <v>0</v>
      </c>
      <c r="V5352" s="168">
        <f t="shared" si="5"/>
        <v>0</v>
      </c>
      <c r="W5352" s="168">
        <f t="shared" si="6"/>
        <v>0</v>
      </c>
      <c r="X5352" s="168">
        <f t="shared" si="7"/>
        <v>0</v>
      </c>
      <c r="Y5352" s="168">
        <f t="shared" si="8"/>
        <v>0</v>
      </c>
      <c r="Z5352" s="168">
        <f t="shared" si="9"/>
        <v>0</v>
      </c>
    </row>
    <row r="5353" ht="15.0" customHeight="1">
      <c r="A5353" s="157" t="s">
        <v>6783</v>
      </c>
      <c r="B5353" s="158" t="s">
        <v>16</v>
      </c>
      <c r="C5353" s="158" t="s">
        <v>6766</v>
      </c>
      <c r="D5353" s="159">
        <v>45621.0</v>
      </c>
      <c r="E5353" s="157" t="s">
        <v>731</v>
      </c>
      <c r="F5353" s="160">
        <v>389047.06</v>
      </c>
      <c r="G5353" s="160">
        <f>'FACP$'!$F5353*0.16</f>
        <v>62247.5296</v>
      </c>
      <c r="H5353" s="160">
        <f t="shared" si="124"/>
        <v>451294.5896</v>
      </c>
      <c r="I5353" s="160"/>
      <c r="J5353" s="161"/>
      <c r="K5353" s="160"/>
      <c r="L5353" s="231">
        <f>+'FACP$'!$H5353-'FACP$'!$I5353-'FACP$'!$K5353</f>
        <v>451294.5896</v>
      </c>
      <c r="M5353" s="162" t="s">
        <v>985</v>
      </c>
      <c r="N5353" s="162" t="s">
        <v>554</v>
      </c>
      <c r="O5353" s="164">
        <v>45632.0</v>
      </c>
      <c r="P5353" s="164">
        <f t="array" ref="P5353">XLOOKUP('FACP$'!$B5353,'perfil de pagos'!$A$4:$A$46,'perfil de pagos'!$B$4:$B$46+'FACP$'!$D5353)</f>
        <v>45631</v>
      </c>
      <c r="Q5353" s="165">
        <f t="shared" si="128"/>
        <v>0</v>
      </c>
      <c r="R5353" s="167"/>
      <c r="S5353" s="167">
        <v>3453.0</v>
      </c>
      <c r="T5353" s="168">
        <f t="shared" si="3"/>
        <v>451294.5896</v>
      </c>
      <c r="U5353" s="168">
        <f t="shared" si="4"/>
        <v>0</v>
      </c>
      <c r="V5353" s="168">
        <f t="shared" si="5"/>
        <v>0</v>
      </c>
      <c r="W5353" s="168">
        <f t="shared" si="6"/>
        <v>0</v>
      </c>
      <c r="X5353" s="168">
        <f t="shared" si="7"/>
        <v>0</v>
      </c>
      <c r="Y5353" s="168">
        <f t="shared" si="8"/>
        <v>0</v>
      </c>
      <c r="Z5353" s="168">
        <f t="shared" si="9"/>
        <v>0</v>
      </c>
    </row>
    <row r="5354" ht="15.0" customHeight="1">
      <c r="A5354" s="157" t="s">
        <v>6784</v>
      </c>
      <c r="B5354" s="158" t="s">
        <v>18</v>
      </c>
      <c r="C5354" s="158" t="s">
        <v>6764</v>
      </c>
      <c r="D5354" s="159">
        <v>45621.0</v>
      </c>
      <c r="E5354" s="157" t="s">
        <v>731</v>
      </c>
      <c r="F5354" s="160">
        <v>61988.91</v>
      </c>
      <c r="G5354" s="160">
        <f>'FACP$'!$F5354*0.16</f>
        <v>9918.2256</v>
      </c>
      <c r="H5354" s="160">
        <f t="shared" si="124"/>
        <v>71907.1356</v>
      </c>
      <c r="I5354" s="160"/>
      <c r="J5354" s="161"/>
      <c r="K5354" s="160"/>
      <c r="L5354" s="160">
        <f>+'FACP$'!$H5354-'FACP$'!$I5354-'FACP$'!$K5354</f>
        <v>71907.1356</v>
      </c>
      <c r="M5354" s="162" t="s">
        <v>586</v>
      </c>
      <c r="N5354" s="162" t="s">
        <v>554</v>
      </c>
      <c r="O5354" s="164">
        <v>45650.0</v>
      </c>
      <c r="P5354" s="164">
        <f t="array" ref="P5354">XLOOKUP('FACP$'!$B5354,'perfil de pagos'!$A$4:$A$46,'perfil de pagos'!$B$4:$B$46+'FACP$'!$D5354)</f>
        <v>45631</v>
      </c>
      <c r="Q5354" s="165">
        <f t="shared" si="128"/>
        <v>0</v>
      </c>
      <c r="R5354" s="167"/>
      <c r="S5354" s="167"/>
      <c r="T5354" s="168">
        <f t="shared" si="3"/>
        <v>71907.1356</v>
      </c>
      <c r="U5354" s="168">
        <f t="shared" si="4"/>
        <v>0</v>
      </c>
      <c r="V5354" s="168">
        <f t="shared" si="5"/>
        <v>0</v>
      </c>
      <c r="W5354" s="168">
        <f t="shared" si="6"/>
        <v>0</v>
      </c>
      <c r="X5354" s="168">
        <f t="shared" si="7"/>
        <v>0</v>
      </c>
      <c r="Y5354" s="168">
        <f t="shared" si="8"/>
        <v>0</v>
      </c>
      <c r="Z5354" s="168">
        <f t="shared" si="9"/>
        <v>0</v>
      </c>
    </row>
    <row r="5355" ht="15.0" customHeight="1">
      <c r="A5355" s="157" t="s">
        <v>6785</v>
      </c>
      <c r="B5355" s="158" t="s">
        <v>19</v>
      </c>
      <c r="C5355" s="158" t="s">
        <v>6764</v>
      </c>
      <c r="D5355" s="159">
        <v>45621.0</v>
      </c>
      <c r="E5355" s="157" t="s">
        <v>731</v>
      </c>
      <c r="F5355" s="160">
        <v>131559.88</v>
      </c>
      <c r="G5355" s="160">
        <f>'FACP$'!$F5355*0.16</f>
        <v>21049.5808</v>
      </c>
      <c r="H5355" s="160">
        <f t="shared" si="124"/>
        <v>152609.4608</v>
      </c>
      <c r="I5355" s="160"/>
      <c r="J5355" s="161"/>
      <c r="K5355" s="160"/>
      <c r="L5355" s="160">
        <f>+'FACP$'!$H5355-'FACP$'!$I5355-'FACP$'!$K5355</f>
        <v>152609.4608</v>
      </c>
      <c r="M5355" s="162" t="s">
        <v>732</v>
      </c>
      <c r="N5355" s="162" t="s">
        <v>554</v>
      </c>
      <c r="O5355" s="164">
        <v>45650.0</v>
      </c>
      <c r="P5355" s="164">
        <f t="array" ref="P5355">XLOOKUP('FACP$'!$B5355,'perfil de pagos'!$A$4:$A$46,'perfil de pagos'!$B$4:$B$46+'FACP$'!$D5355)</f>
        <v>45631</v>
      </c>
      <c r="Q5355" s="165">
        <f t="shared" si="128"/>
        <v>0</v>
      </c>
      <c r="R5355" s="167"/>
      <c r="S5355" s="167"/>
      <c r="T5355" s="168">
        <f t="shared" si="3"/>
        <v>152609.4608</v>
      </c>
      <c r="U5355" s="168">
        <f t="shared" si="4"/>
        <v>0</v>
      </c>
      <c r="V5355" s="168">
        <f t="shared" si="5"/>
        <v>0</v>
      </c>
      <c r="W5355" s="168">
        <f t="shared" si="6"/>
        <v>0</v>
      </c>
      <c r="X5355" s="168">
        <f t="shared" si="7"/>
        <v>0</v>
      </c>
      <c r="Y5355" s="168">
        <f t="shared" si="8"/>
        <v>0</v>
      </c>
      <c r="Z5355" s="168">
        <f t="shared" si="9"/>
        <v>0</v>
      </c>
    </row>
    <row r="5356" ht="15.0" customHeight="1">
      <c r="A5356" s="157" t="s">
        <v>6786</v>
      </c>
      <c r="B5356" s="158" t="s">
        <v>25</v>
      </c>
      <c r="C5356" s="158" t="s">
        <v>6764</v>
      </c>
      <c r="D5356" s="159">
        <v>45621.0</v>
      </c>
      <c r="E5356" s="157" t="s">
        <v>731</v>
      </c>
      <c r="F5356" s="160">
        <v>48165.27</v>
      </c>
      <c r="G5356" s="160">
        <f>'FACP$'!$F5356*0.16</f>
        <v>7706.4432</v>
      </c>
      <c r="H5356" s="160">
        <f t="shared" si="124"/>
        <v>55871.7132</v>
      </c>
      <c r="I5356" s="160"/>
      <c r="J5356" s="161"/>
      <c r="K5356" s="160"/>
      <c r="L5356" s="160">
        <f>+'FACP$'!$H5356-'FACP$'!$I5356-'FACP$'!$K5356</f>
        <v>55871.7132</v>
      </c>
      <c r="M5356" s="162" t="s">
        <v>4388</v>
      </c>
      <c r="N5356" s="162" t="s">
        <v>554</v>
      </c>
      <c r="O5356" s="164">
        <v>45628.0</v>
      </c>
      <c r="P5356" s="164">
        <f t="array" ref="P5356">XLOOKUP('FACP$'!$B5356,'perfil de pagos'!$A$4:$A$46,'perfil de pagos'!$B$4:$B$46+'FACP$'!$D5356)</f>
        <v>45631</v>
      </c>
      <c r="Q5356" s="165">
        <f t="shared" si="128"/>
        <v>0</v>
      </c>
      <c r="R5356" s="167"/>
      <c r="S5356" s="167">
        <v>3448.0</v>
      </c>
      <c r="T5356" s="168">
        <f t="shared" si="3"/>
        <v>55871.7132</v>
      </c>
      <c r="U5356" s="168">
        <f t="shared" si="4"/>
        <v>0</v>
      </c>
      <c r="V5356" s="168">
        <f t="shared" si="5"/>
        <v>0</v>
      </c>
      <c r="W5356" s="168">
        <f t="shared" si="6"/>
        <v>0</v>
      </c>
      <c r="X5356" s="168">
        <f t="shared" si="7"/>
        <v>0</v>
      </c>
      <c r="Y5356" s="168">
        <f t="shared" si="8"/>
        <v>0</v>
      </c>
      <c r="Z5356" s="168">
        <f t="shared" si="9"/>
        <v>0</v>
      </c>
    </row>
    <row r="5357" ht="15.0" customHeight="1">
      <c r="A5357" s="157" t="s">
        <v>6787</v>
      </c>
      <c r="B5357" s="158" t="s">
        <v>37</v>
      </c>
      <c r="C5357" s="158" t="s">
        <v>6764</v>
      </c>
      <c r="D5357" s="159">
        <v>45621.0</v>
      </c>
      <c r="E5357" s="157" t="s">
        <v>731</v>
      </c>
      <c r="F5357" s="160">
        <v>1222294.25</v>
      </c>
      <c r="G5357" s="160">
        <f>'FACP$'!$F5357*0.16</f>
        <v>195567.08</v>
      </c>
      <c r="H5357" s="160">
        <f t="shared" si="124"/>
        <v>1417861.33</v>
      </c>
      <c r="I5357" s="160"/>
      <c r="J5357" s="161"/>
      <c r="K5357" s="160"/>
      <c r="L5357" s="160">
        <f>+'FACP$'!$H5357-'FACP$'!$I5357-'FACP$'!$K5357</f>
        <v>1417861.33</v>
      </c>
      <c r="M5357" s="162" t="s">
        <v>116</v>
      </c>
      <c r="N5357" s="162" t="s">
        <v>554</v>
      </c>
      <c r="O5357" s="164">
        <v>45628.0</v>
      </c>
      <c r="P5357" s="164">
        <f t="array" ref="P5357">XLOOKUP('FACP$'!$B5357,'perfil de pagos'!$A$4:$A$46,'perfil de pagos'!$B$4:$B$46+'FACP$'!$D5357)</f>
        <v>45631</v>
      </c>
      <c r="Q5357" s="165">
        <f t="shared" si="128"/>
        <v>0</v>
      </c>
      <c r="R5357" s="167"/>
      <c r="S5357" s="171">
        <v>3450.0</v>
      </c>
      <c r="T5357" s="168">
        <f t="shared" si="3"/>
        <v>1417861.33</v>
      </c>
      <c r="U5357" s="168">
        <f t="shared" si="4"/>
        <v>0</v>
      </c>
      <c r="V5357" s="168">
        <f t="shared" si="5"/>
        <v>0</v>
      </c>
      <c r="W5357" s="168">
        <f t="shared" si="6"/>
        <v>0</v>
      </c>
      <c r="X5357" s="168">
        <f t="shared" si="7"/>
        <v>0</v>
      </c>
      <c r="Y5357" s="168">
        <f t="shared" si="8"/>
        <v>0</v>
      </c>
      <c r="Z5357" s="168">
        <f t="shared" si="9"/>
        <v>0</v>
      </c>
    </row>
    <row r="5358" ht="15.0" customHeight="1">
      <c r="A5358" s="157" t="s">
        <v>6788</v>
      </c>
      <c r="B5358" s="158" t="s">
        <v>29</v>
      </c>
      <c r="C5358" s="158" t="s">
        <v>6764</v>
      </c>
      <c r="D5358" s="159">
        <v>45621.0</v>
      </c>
      <c r="E5358" s="157" t="s">
        <v>731</v>
      </c>
      <c r="F5358" s="160">
        <v>226899.05</v>
      </c>
      <c r="G5358" s="160">
        <f>'FACP$'!$F5358*0.16</f>
        <v>36303.848</v>
      </c>
      <c r="H5358" s="160">
        <f t="shared" si="124"/>
        <v>263202.898</v>
      </c>
      <c r="I5358" s="160"/>
      <c r="J5358" s="161"/>
      <c r="K5358" s="160"/>
      <c r="L5358" s="160">
        <f>+'FACP$'!$H5358-'FACP$'!$I5358-'FACP$'!$K5358</f>
        <v>263202.898</v>
      </c>
      <c r="M5358" s="162" t="s">
        <v>130</v>
      </c>
      <c r="N5358" s="162" t="s">
        <v>554</v>
      </c>
      <c r="O5358" s="164">
        <v>45639.0</v>
      </c>
      <c r="P5358" s="164">
        <f t="array" ref="P5358">XLOOKUP('FACP$'!$B5358,'perfil de pagos'!$A$4:$A$46,'perfil de pagos'!$B$4:$B$46+'FACP$'!$D5358)</f>
        <v>45631</v>
      </c>
      <c r="Q5358" s="165">
        <f t="shared" si="128"/>
        <v>0</v>
      </c>
      <c r="R5358" s="167"/>
      <c r="S5358" s="167"/>
      <c r="T5358" s="168">
        <f t="shared" si="3"/>
        <v>263202.898</v>
      </c>
      <c r="U5358" s="168">
        <f t="shared" si="4"/>
        <v>0</v>
      </c>
      <c r="V5358" s="168">
        <f t="shared" si="5"/>
        <v>0</v>
      </c>
      <c r="W5358" s="168">
        <f t="shared" si="6"/>
        <v>0</v>
      </c>
      <c r="X5358" s="168">
        <f t="shared" si="7"/>
        <v>0</v>
      </c>
      <c r="Y5358" s="168">
        <f t="shared" si="8"/>
        <v>0</v>
      </c>
      <c r="Z5358" s="168">
        <f t="shared" si="9"/>
        <v>0</v>
      </c>
    </row>
    <row r="5359" ht="15.0" customHeight="1">
      <c r="A5359" s="157" t="s">
        <v>6789</v>
      </c>
      <c r="B5359" s="158" t="s">
        <v>29</v>
      </c>
      <c r="C5359" s="158" t="s">
        <v>6766</v>
      </c>
      <c r="D5359" s="159">
        <v>45621.0</v>
      </c>
      <c r="E5359" s="157" t="s">
        <v>731</v>
      </c>
      <c r="F5359" s="160">
        <v>463703.08</v>
      </c>
      <c r="G5359" s="160">
        <f>'FACP$'!$F5359*0.16</f>
        <v>74192.4928</v>
      </c>
      <c r="H5359" s="160">
        <f t="shared" si="124"/>
        <v>537895.5728</v>
      </c>
      <c r="I5359" s="160"/>
      <c r="J5359" s="161"/>
      <c r="K5359" s="160"/>
      <c r="L5359" s="160">
        <f>+'FACP$'!$H5359-'FACP$'!$I5359-'FACP$'!$K5359</f>
        <v>537895.5728</v>
      </c>
      <c r="M5359" s="162" t="s">
        <v>130</v>
      </c>
      <c r="N5359" s="162" t="s">
        <v>554</v>
      </c>
      <c r="O5359" s="164">
        <v>45645.0</v>
      </c>
      <c r="P5359" s="164">
        <f t="array" ref="P5359">XLOOKUP('FACP$'!$B5359,'perfil de pagos'!$A$4:$A$46,'perfil de pagos'!$B$4:$B$46+'FACP$'!$D5359)</f>
        <v>45631</v>
      </c>
      <c r="Q5359" s="165">
        <f t="shared" si="128"/>
        <v>0</v>
      </c>
      <c r="R5359" s="167"/>
      <c r="S5359" s="167"/>
      <c r="T5359" s="168">
        <f t="shared" si="3"/>
        <v>537895.5728</v>
      </c>
      <c r="U5359" s="168">
        <f t="shared" si="4"/>
        <v>0</v>
      </c>
      <c r="V5359" s="168">
        <f t="shared" si="5"/>
        <v>0</v>
      </c>
      <c r="W5359" s="168">
        <f t="shared" si="6"/>
        <v>0</v>
      </c>
      <c r="X5359" s="168">
        <f t="shared" si="7"/>
        <v>0</v>
      </c>
      <c r="Y5359" s="168">
        <f t="shared" si="8"/>
        <v>0</v>
      </c>
      <c r="Z5359" s="168">
        <f t="shared" si="9"/>
        <v>0</v>
      </c>
    </row>
    <row r="5360" ht="15.0" customHeight="1">
      <c r="A5360" s="157" t="s">
        <v>6790</v>
      </c>
      <c r="B5360" s="158" t="s">
        <v>40</v>
      </c>
      <c r="C5360" s="158" t="s">
        <v>6764</v>
      </c>
      <c r="D5360" s="159">
        <v>45621.0</v>
      </c>
      <c r="E5360" s="157" t="s">
        <v>731</v>
      </c>
      <c r="F5360" s="160">
        <v>214105.5</v>
      </c>
      <c r="G5360" s="160">
        <f>'FACP$'!$F5360*0.16</f>
        <v>34256.88</v>
      </c>
      <c r="H5360" s="160">
        <f t="shared" si="124"/>
        <v>248362.38</v>
      </c>
      <c r="I5360" s="160"/>
      <c r="J5360" s="161"/>
      <c r="K5360" s="160"/>
      <c r="L5360" s="160">
        <f>+'FACP$'!$H5360-'FACP$'!$I5360-'FACP$'!$K5360</f>
        <v>248362.38</v>
      </c>
      <c r="M5360" s="162" t="s">
        <v>490</v>
      </c>
      <c r="N5360" s="162" t="s">
        <v>554</v>
      </c>
      <c r="O5360" s="164">
        <v>45645.0</v>
      </c>
      <c r="P5360" s="164">
        <f t="array" ref="P5360">XLOOKUP('FACP$'!$B5360,'perfil de pagos'!$A$4:$A$46,'perfil de pagos'!$B$4:$B$46+'FACP$'!$D5360)</f>
        <v>45651</v>
      </c>
      <c r="Q5360" s="165">
        <f t="shared" si="128"/>
        <v>0</v>
      </c>
      <c r="R5360" s="167"/>
      <c r="S5360" s="167"/>
      <c r="T5360" s="168">
        <f t="shared" si="3"/>
        <v>248362.38</v>
      </c>
      <c r="U5360" s="168">
        <f t="shared" si="4"/>
        <v>0</v>
      </c>
      <c r="V5360" s="168">
        <f t="shared" si="5"/>
        <v>0</v>
      </c>
      <c r="W5360" s="168">
        <f t="shared" si="6"/>
        <v>0</v>
      </c>
      <c r="X5360" s="168">
        <f t="shared" si="7"/>
        <v>0</v>
      </c>
      <c r="Y5360" s="168">
        <f t="shared" si="8"/>
        <v>0</v>
      </c>
      <c r="Z5360" s="168">
        <f t="shared" si="9"/>
        <v>0</v>
      </c>
    </row>
    <row r="5361" ht="15.0" customHeight="1">
      <c r="A5361" s="157" t="s">
        <v>6791</v>
      </c>
      <c r="B5361" s="158" t="s">
        <v>40</v>
      </c>
      <c r="C5361" s="158" t="s">
        <v>6766</v>
      </c>
      <c r="D5361" s="159">
        <v>45621.0</v>
      </c>
      <c r="E5361" s="157" t="s">
        <v>731</v>
      </c>
      <c r="F5361" s="160">
        <v>225690.31</v>
      </c>
      <c r="G5361" s="160">
        <f>'FACP$'!$F5361*0.16</f>
        <v>36110.4496</v>
      </c>
      <c r="H5361" s="160">
        <f t="shared" si="124"/>
        <v>261800.7596</v>
      </c>
      <c r="I5361" s="160"/>
      <c r="J5361" s="161"/>
      <c r="K5361" s="160"/>
      <c r="L5361" s="160">
        <f>+'FACP$'!$H5361-'FACP$'!$I5361-'FACP$'!$K5361</f>
        <v>261800.7596</v>
      </c>
      <c r="M5361" s="162" t="s">
        <v>490</v>
      </c>
      <c r="N5361" s="162" t="s">
        <v>554</v>
      </c>
      <c r="O5361" s="164">
        <v>45645.0</v>
      </c>
      <c r="P5361" s="164">
        <f t="array" ref="P5361">XLOOKUP('FACP$'!$B5361,'perfil de pagos'!$A$4:$A$46,'perfil de pagos'!$B$4:$B$46+'FACP$'!$D5361)</f>
        <v>45651</v>
      </c>
      <c r="Q5361" s="165">
        <f t="shared" si="128"/>
        <v>0</v>
      </c>
      <c r="R5361" s="167"/>
      <c r="S5361" s="167"/>
      <c r="T5361" s="168">
        <f t="shared" si="3"/>
        <v>261800.7596</v>
      </c>
      <c r="U5361" s="168">
        <f t="shared" si="4"/>
        <v>0</v>
      </c>
      <c r="V5361" s="168">
        <f t="shared" si="5"/>
        <v>0</v>
      </c>
      <c r="W5361" s="168">
        <f t="shared" si="6"/>
        <v>0</v>
      </c>
      <c r="X5361" s="168">
        <f t="shared" si="7"/>
        <v>0</v>
      </c>
      <c r="Y5361" s="168">
        <f t="shared" si="8"/>
        <v>0</v>
      </c>
      <c r="Z5361" s="168">
        <f t="shared" si="9"/>
        <v>0</v>
      </c>
    </row>
    <row r="5362" ht="15.0" customHeight="1">
      <c r="A5362" s="157" t="s">
        <v>6792</v>
      </c>
      <c r="B5362" s="158" t="s">
        <v>38</v>
      </c>
      <c r="C5362" s="158" t="s">
        <v>6764</v>
      </c>
      <c r="D5362" s="159">
        <v>45622.0</v>
      </c>
      <c r="E5362" s="157" t="s">
        <v>731</v>
      </c>
      <c r="F5362" s="160">
        <v>415272.72</v>
      </c>
      <c r="G5362" s="160">
        <f>'FACP$'!$F5362*0.16</f>
        <v>66443.6352</v>
      </c>
      <c r="H5362" s="160">
        <f t="shared" si="124"/>
        <v>481716.3552</v>
      </c>
      <c r="I5362" s="160"/>
      <c r="J5362" s="161"/>
      <c r="K5362" s="160"/>
      <c r="L5362" s="160">
        <f>+'FACP$'!$H5362-'FACP$'!$I5362-'FACP$'!$K5362</f>
        <v>481716.3552</v>
      </c>
      <c r="M5362" s="162" t="s">
        <v>145</v>
      </c>
      <c r="N5362" s="162" t="s">
        <v>554</v>
      </c>
      <c r="O5362" s="164">
        <v>45644.0</v>
      </c>
      <c r="P5362" s="164">
        <f t="array" ref="P5362">XLOOKUP('FACP$'!$B5362,'perfil de pagos'!$A$4:$A$46,'perfil de pagos'!$B$4:$B$46+'FACP$'!$D5362)</f>
        <v>45652</v>
      </c>
      <c r="Q5362" s="165">
        <f t="shared" si="128"/>
        <v>0</v>
      </c>
      <c r="R5362" s="167"/>
      <c r="S5362" s="167"/>
      <c r="T5362" s="168">
        <f t="shared" si="3"/>
        <v>481716.3552</v>
      </c>
      <c r="U5362" s="168">
        <f t="shared" si="4"/>
        <v>0</v>
      </c>
      <c r="V5362" s="168">
        <f t="shared" si="5"/>
        <v>0</v>
      </c>
      <c r="W5362" s="168">
        <f t="shared" si="6"/>
        <v>0</v>
      </c>
      <c r="X5362" s="168">
        <f t="shared" si="7"/>
        <v>0</v>
      </c>
      <c r="Y5362" s="168">
        <f t="shared" si="8"/>
        <v>0</v>
      </c>
      <c r="Z5362" s="168">
        <f t="shared" si="9"/>
        <v>0</v>
      </c>
    </row>
    <row r="5363" ht="15.0" customHeight="1">
      <c r="A5363" s="157" t="s">
        <v>6793</v>
      </c>
      <c r="B5363" s="158" t="s">
        <v>27</v>
      </c>
      <c r="C5363" s="158" t="s">
        <v>6794</v>
      </c>
      <c r="D5363" s="159">
        <v>45625.0</v>
      </c>
      <c r="E5363" s="157" t="s">
        <v>731</v>
      </c>
      <c r="F5363" s="160">
        <v>165340.78</v>
      </c>
      <c r="G5363" s="160">
        <f>'FACP$'!$F5363*0.16</f>
        <v>26454.5248</v>
      </c>
      <c r="H5363" s="160">
        <f t="shared" si="124"/>
        <v>191795.3048</v>
      </c>
      <c r="I5363" s="160"/>
      <c r="J5363" s="161"/>
      <c r="K5363" s="160"/>
      <c r="L5363" s="211">
        <f>+'FACP$'!$H5363-'FACP$'!$I5363-'FACP$'!$K5363</f>
        <v>191795.3048</v>
      </c>
      <c r="M5363" s="162" t="s">
        <v>151</v>
      </c>
      <c r="N5363" s="162" t="s">
        <v>554</v>
      </c>
      <c r="O5363" s="164">
        <v>45735.0</v>
      </c>
      <c r="P5363" s="164">
        <f t="array" ref="P5363">XLOOKUP('FACP$'!$B5363,'perfil de pagos'!$A$4:$A$46,'perfil de pagos'!$B$4:$B$46+'FACP$'!$D5363)</f>
        <v>45655</v>
      </c>
      <c r="Q5363" s="165">
        <f t="shared" si="128"/>
        <v>0</v>
      </c>
      <c r="R5363" s="167"/>
      <c r="S5363" s="220">
        <v>3693.0</v>
      </c>
      <c r="T5363" s="168">
        <f t="shared" si="3"/>
        <v>191795.3048</v>
      </c>
      <c r="U5363" s="168">
        <f t="shared" si="4"/>
        <v>0</v>
      </c>
      <c r="V5363" s="168">
        <f t="shared" si="5"/>
        <v>0</v>
      </c>
      <c r="W5363" s="168">
        <f t="shared" si="6"/>
        <v>0</v>
      </c>
      <c r="X5363" s="168">
        <f t="shared" si="7"/>
        <v>0</v>
      </c>
      <c r="Y5363" s="168">
        <f t="shared" si="8"/>
        <v>0</v>
      </c>
      <c r="Z5363" s="168">
        <f t="shared" si="9"/>
        <v>0</v>
      </c>
    </row>
    <row r="5364" ht="15.0" customHeight="1">
      <c r="A5364" s="157" t="s">
        <v>6795</v>
      </c>
      <c r="B5364" s="158" t="s">
        <v>27</v>
      </c>
      <c r="C5364" s="158" t="s">
        <v>6796</v>
      </c>
      <c r="D5364" s="159">
        <v>45625.0</v>
      </c>
      <c r="E5364" s="157" t="s">
        <v>731</v>
      </c>
      <c r="F5364" s="160">
        <v>141264.74</v>
      </c>
      <c r="G5364" s="160">
        <f>'FACP$'!$F5364*0.16</f>
        <v>22602.3584</v>
      </c>
      <c r="H5364" s="160">
        <f t="shared" si="124"/>
        <v>163867.0984</v>
      </c>
      <c r="I5364" s="160"/>
      <c r="J5364" s="161"/>
      <c r="K5364" s="160"/>
      <c r="L5364" s="211">
        <f>+'FACP$'!$H5364-'FACP$'!$I5364-'FACP$'!$K5364</f>
        <v>163867.0984</v>
      </c>
      <c r="M5364" s="162" t="s">
        <v>151</v>
      </c>
      <c r="N5364" s="162" t="s">
        <v>554</v>
      </c>
      <c r="O5364" s="164">
        <v>45735.0</v>
      </c>
      <c r="P5364" s="164">
        <f t="array" ref="P5364">XLOOKUP('FACP$'!$B5364,'perfil de pagos'!$A$4:$A$46,'perfil de pagos'!$B$4:$B$46+'FACP$'!$D5364)</f>
        <v>45655</v>
      </c>
      <c r="Q5364" s="165">
        <f t="shared" si="128"/>
        <v>0</v>
      </c>
      <c r="R5364" s="167"/>
      <c r="S5364" s="167">
        <v>3693.0</v>
      </c>
      <c r="T5364" s="168">
        <f t="shared" si="3"/>
        <v>163867.0984</v>
      </c>
      <c r="U5364" s="168">
        <f t="shared" si="4"/>
        <v>0</v>
      </c>
      <c r="V5364" s="168">
        <f t="shared" si="5"/>
        <v>0</v>
      </c>
      <c r="W5364" s="168">
        <f t="shared" si="6"/>
        <v>0</v>
      </c>
      <c r="X5364" s="168">
        <f t="shared" si="7"/>
        <v>0</v>
      </c>
      <c r="Y5364" s="168">
        <f t="shared" si="8"/>
        <v>0</v>
      </c>
      <c r="Z5364" s="168">
        <f t="shared" si="9"/>
        <v>0</v>
      </c>
    </row>
    <row r="5365" ht="15.0" customHeight="1">
      <c r="A5365" s="157" t="s">
        <v>6797</v>
      </c>
      <c r="B5365" s="158" t="s">
        <v>27</v>
      </c>
      <c r="C5365" s="158" t="s">
        <v>6794</v>
      </c>
      <c r="D5365" s="159">
        <v>45625.0</v>
      </c>
      <c r="E5365" s="157" t="s">
        <v>731</v>
      </c>
      <c r="F5365" s="160">
        <v>11903.53</v>
      </c>
      <c r="G5365" s="160">
        <f>'FACP$'!$F5365*0.16</f>
        <v>1904.5648</v>
      </c>
      <c r="H5365" s="160">
        <f t="shared" si="124"/>
        <v>13808.0948</v>
      </c>
      <c r="I5365" s="160"/>
      <c r="J5365" s="161"/>
      <c r="K5365" s="160"/>
      <c r="L5365" s="211">
        <f>+'FACP$'!$H5365-'FACP$'!$I5365-'FACP$'!$K5365</f>
        <v>13808.0948</v>
      </c>
      <c r="M5365" s="162" t="s">
        <v>151</v>
      </c>
      <c r="N5365" s="162" t="s">
        <v>554</v>
      </c>
      <c r="O5365" s="164">
        <v>45735.0</v>
      </c>
      <c r="P5365" s="164">
        <f t="array" ref="P5365">XLOOKUP('FACP$'!$B5365,'perfil de pagos'!$A$4:$A$46,'perfil de pagos'!$B$4:$B$46+'FACP$'!$D5365)</f>
        <v>45655</v>
      </c>
      <c r="Q5365" s="165">
        <f t="shared" si="128"/>
        <v>0</v>
      </c>
      <c r="R5365" s="167"/>
      <c r="S5365" s="167">
        <v>3693.0</v>
      </c>
      <c r="T5365" s="168">
        <f t="shared" si="3"/>
        <v>13808.0948</v>
      </c>
      <c r="U5365" s="168">
        <f t="shared" si="4"/>
        <v>0</v>
      </c>
      <c r="V5365" s="168">
        <f t="shared" si="5"/>
        <v>0</v>
      </c>
      <c r="W5365" s="168">
        <f t="shared" si="6"/>
        <v>0</v>
      </c>
      <c r="X5365" s="168">
        <f t="shared" si="7"/>
        <v>0</v>
      </c>
      <c r="Y5365" s="168">
        <f t="shared" si="8"/>
        <v>0</v>
      </c>
      <c r="Z5365" s="168">
        <f t="shared" si="9"/>
        <v>0</v>
      </c>
    </row>
    <row r="5366" ht="15.0" customHeight="1">
      <c r="A5366" s="157" t="s">
        <v>6798</v>
      </c>
      <c r="B5366" s="158" t="s">
        <v>27</v>
      </c>
      <c r="C5366" s="158" t="s">
        <v>6796</v>
      </c>
      <c r="D5366" s="159">
        <v>45625.0</v>
      </c>
      <c r="E5366" s="157" t="s">
        <v>731</v>
      </c>
      <c r="F5366" s="160">
        <v>17615.94</v>
      </c>
      <c r="G5366" s="160">
        <f>'FACP$'!$F5366*0.16</f>
        <v>2818.5504</v>
      </c>
      <c r="H5366" s="160">
        <f t="shared" si="124"/>
        <v>20434.4904</v>
      </c>
      <c r="I5366" s="160"/>
      <c r="J5366" s="161"/>
      <c r="K5366" s="160"/>
      <c r="L5366" s="211">
        <f>+'FACP$'!$H5366-'FACP$'!$I5366-'FACP$'!$K5366</f>
        <v>20434.4904</v>
      </c>
      <c r="M5366" s="162" t="s">
        <v>151</v>
      </c>
      <c r="N5366" s="162" t="s">
        <v>554</v>
      </c>
      <c r="O5366" s="164">
        <v>45735.0</v>
      </c>
      <c r="P5366" s="164">
        <f t="array" ref="P5366">XLOOKUP('FACP$'!$B5366,'perfil de pagos'!$A$4:$A$46,'perfil de pagos'!$B$4:$B$46+'FACP$'!$D5366)</f>
        <v>45655</v>
      </c>
      <c r="Q5366" s="165">
        <f t="shared" si="128"/>
        <v>0</v>
      </c>
      <c r="R5366" s="167"/>
      <c r="S5366" s="167">
        <v>3693.0</v>
      </c>
      <c r="T5366" s="168">
        <f t="shared" si="3"/>
        <v>20434.4904</v>
      </c>
      <c r="U5366" s="168">
        <f t="shared" si="4"/>
        <v>0</v>
      </c>
      <c r="V5366" s="168">
        <f t="shared" si="5"/>
        <v>0</v>
      </c>
      <c r="W5366" s="168">
        <f t="shared" si="6"/>
        <v>0</v>
      </c>
      <c r="X5366" s="168">
        <f t="shared" si="7"/>
        <v>0</v>
      </c>
      <c r="Y5366" s="168">
        <f t="shared" si="8"/>
        <v>0</v>
      </c>
      <c r="Z5366" s="168">
        <f t="shared" si="9"/>
        <v>0</v>
      </c>
    </row>
    <row r="5367" ht="15.0" customHeight="1">
      <c r="A5367" s="157" t="s">
        <v>6799</v>
      </c>
      <c r="B5367" s="158" t="s">
        <v>27</v>
      </c>
      <c r="C5367" s="158" t="s">
        <v>6794</v>
      </c>
      <c r="D5367" s="159">
        <v>45625.0</v>
      </c>
      <c r="E5367" s="157" t="s">
        <v>731</v>
      </c>
      <c r="F5367" s="160">
        <v>97496.35</v>
      </c>
      <c r="G5367" s="160">
        <f>'FACP$'!$F5367*0.16</f>
        <v>15599.416</v>
      </c>
      <c r="H5367" s="160">
        <f t="shared" si="124"/>
        <v>113095.766</v>
      </c>
      <c r="I5367" s="160"/>
      <c r="J5367" s="161"/>
      <c r="K5367" s="160"/>
      <c r="L5367" s="211">
        <f>+'FACP$'!$H5367-'FACP$'!$I5367-'FACP$'!$K5367</f>
        <v>113095.766</v>
      </c>
      <c r="M5367" s="162" t="s">
        <v>158</v>
      </c>
      <c r="N5367" s="162" t="s">
        <v>554</v>
      </c>
      <c r="O5367" s="164">
        <v>45735.0</v>
      </c>
      <c r="P5367" s="164">
        <f t="array" ref="P5367">XLOOKUP('FACP$'!$B5367,'perfil de pagos'!$A$4:$A$46,'perfil de pagos'!$B$4:$B$46+'FACP$'!$D5367)</f>
        <v>45655</v>
      </c>
      <c r="Q5367" s="165">
        <f t="shared" si="128"/>
        <v>0</v>
      </c>
      <c r="R5367" s="167"/>
      <c r="S5367" s="167"/>
      <c r="T5367" s="168">
        <f t="shared" si="3"/>
        <v>113095.766</v>
      </c>
      <c r="U5367" s="168">
        <f t="shared" si="4"/>
        <v>0</v>
      </c>
      <c r="V5367" s="168">
        <f t="shared" si="5"/>
        <v>0</v>
      </c>
      <c r="W5367" s="168">
        <f t="shared" si="6"/>
        <v>0</v>
      </c>
      <c r="X5367" s="168">
        <f t="shared" si="7"/>
        <v>0</v>
      </c>
      <c r="Y5367" s="168">
        <f t="shared" si="8"/>
        <v>0</v>
      </c>
      <c r="Z5367" s="168">
        <f t="shared" si="9"/>
        <v>0</v>
      </c>
    </row>
    <row r="5368" ht="15.0" customHeight="1">
      <c r="A5368" s="157" t="s">
        <v>6800</v>
      </c>
      <c r="B5368" s="158" t="s">
        <v>27</v>
      </c>
      <c r="C5368" s="158" t="s">
        <v>6796</v>
      </c>
      <c r="D5368" s="159">
        <v>45625.0</v>
      </c>
      <c r="E5368" s="157" t="s">
        <v>731</v>
      </c>
      <c r="F5368" s="160">
        <v>96470.6</v>
      </c>
      <c r="G5368" s="160">
        <f>'FACP$'!$F5368*0.16</f>
        <v>15435.296</v>
      </c>
      <c r="H5368" s="160">
        <f t="shared" si="124"/>
        <v>111905.896</v>
      </c>
      <c r="I5368" s="160"/>
      <c r="J5368" s="161"/>
      <c r="K5368" s="160"/>
      <c r="L5368" s="211">
        <f>+'FACP$'!$H5368-'FACP$'!$I5368-'FACP$'!$K5368</f>
        <v>111905.896</v>
      </c>
      <c r="M5368" s="162" t="s">
        <v>158</v>
      </c>
      <c r="N5368" s="162" t="s">
        <v>554</v>
      </c>
      <c r="O5368" s="164">
        <v>45735.0</v>
      </c>
      <c r="P5368" s="164">
        <f t="array" ref="P5368">XLOOKUP('FACP$'!$B5368,'perfil de pagos'!$A$4:$A$46,'perfil de pagos'!$B$4:$B$46+'FACP$'!$D5368)</f>
        <v>45655</v>
      </c>
      <c r="Q5368" s="165">
        <f t="shared" si="128"/>
        <v>0</v>
      </c>
      <c r="R5368" s="167"/>
      <c r="S5368" s="167"/>
      <c r="T5368" s="168">
        <f t="shared" si="3"/>
        <v>111905.896</v>
      </c>
      <c r="U5368" s="168">
        <f t="shared" si="4"/>
        <v>0</v>
      </c>
      <c r="V5368" s="168">
        <f t="shared" si="5"/>
        <v>0</v>
      </c>
      <c r="W5368" s="168">
        <f t="shared" si="6"/>
        <v>0</v>
      </c>
      <c r="X5368" s="168">
        <f t="shared" si="7"/>
        <v>0</v>
      </c>
      <c r="Y5368" s="168">
        <f t="shared" si="8"/>
        <v>0</v>
      </c>
      <c r="Z5368" s="168">
        <f t="shared" si="9"/>
        <v>0</v>
      </c>
    </row>
    <row r="5369" ht="15.0" customHeight="1">
      <c r="A5369" s="157" t="s">
        <v>6801</v>
      </c>
      <c r="B5369" s="158" t="s">
        <v>32</v>
      </c>
      <c r="C5369" s="158" t="s">
        <v>6802</v>
      </c>
      <c r="D5369" s="159">
        <v>45629.0</v>
      </c>
      <c r="E5369" s="157" t="s">
        <v>731</v>
      </c>
      <c r="F5369" s="160">
        <v>81651.37</v>
      </c>
      <c r="G5369" s="160">
        <f>'FACP$'!$F5369*0.16</f>
        <v>13064.2192</v>
      </c>
      <c r="H5369" s="160">
        <f t="shared" si="124"/>
        <v>94715.5892</v>
      </c>
      <c r="I5369" s="160"/>
      <c r="J5369" s="161"/>
      <c r="K5369" s="160"/>
      <c r="L5369" s="160">
        <f>+'FACP$'!$H5369-'FACP$'!$I5369-'FACP$'!$K5369</f>
        <v>94715.5892</v>
      </c>
      <c r="M5369" s="162" t="s">
        <v>395</v>
      </c>
      <c r="N5369" s="162" t="s">
        <v>554</v>
      </c>
      <c r="O5369" s="164">
        <v>45668.0</v>
      </c>
      <c r="P5369" s="164">
        <f t="array" ref="P5369">XLOOKUP('FACP$'!$B5369,'perfil de pagos'!$A$4:$A$46,'perfil de pagos'!$B$4:$B$46+'FACP$'!$D5369)</f>
        <v>45639</v>
      </c>
      <c r="Q5369" s="165">
        <f t="shared" si="128"/>
        <v>0</v>
      </c>
      <c r="R5369" s="167"/>
      <c r="S5369" s="167">
        <v>3544.0</v>
      </c>
      <c r="T5369" s="168">
        <f t="shared" si="3"/>
        <v>94715.5892</v>
      </c>
      <c r="U5369" s="168">
        <f t="shared" si="4"/>
        <v>0</v>
      </c>
      <c r="V5369" s="168">
        <f t="shared" si="5"/>
        <v>0</v>
      </c>
      <c r="W5369" s="168">
        <f t="shared" si="6"/>
        <v>0</v>
      </c>
      <c r="X5369" s="168">
        <f t="shared" si="7"/>
        <v>0</v>
      </c>
      <c r="Y5369" s="168">
        <f t="shared" si="8"/>
        <v>0</v>
      </c>
      <c r="Z5369" s="168">
        <f t="shared" si="9"/>
        <v>0</v>
      </c>
    </row>
    <row r="5370" ht="15.0" customHeight="1">
      <c r="A5370" s="157" t="s">
        <v>6803</v>
      </c>
      <c r="B5370" s="158" t="s">
        <v>32</v>
      </c>
      <c r="C5370" s="158" t="s">
        <v>6804</v>
      </c>
      <c r="D5370" s="159">
        <v>45629.0</v>
      </c>
      <c r="E5370" s="157" t="s">
        <v>731</v>
      </c>
      <c r="F5370" s="160">
        <v>208652.62</v>
      </c>
      <c r="G5370" s="160">
        <f>'FACP$'!$F5370*0.16</f>
        <v>33384.4192</v>
      </c>
      <c r="H5370" s="160">
        <f t="shared" si="124"/>
        <v>242037.0392</v>
      </c>
      <c r="I5370" s="160"/>
      <c r="J5370" s="161"/>
      <c r="K5370" s="160"/>
      <c r="L5370" s="160">
        <f>+'FACP$'!$H5370-'FACP$'!$I5370-'FACP$'!$K5370</f>
        <v>242037.0392</v>
      </c>
      <c r="M5370" s="162" t="s">
        <v>395</v>
      </c>
      <c r="N5370" s="162" t="s">
        <v>554</v>
      </c>
      <c r="O5370" s="164">
        <v>45667.0</v>
      </c>
      <c r="P5370" s="164">
        <f t="array" ref="P5370">XLOOKUP('FACP$'!$B5370,'perfil de pagos'!$A$4:$A$46,'perfil de pagos'!$B$4:$B$46+'FACP$'!$D5370)</f>
        <v>45639</v>
      </c>
      <c r="Q5370" s="165">
        <f t="shared" si="128"/>
        <v>0</v>
      </c>
      <c r="R5370" s="167"/>
      <c r="S5370" s="167">
        <v>3537.0</v>
      </c>
      <c r="T5370" s="168">
        <f t="shared" si="3"/>
        <v>242037.0392</v>
      </c>
      <c r="U5370" s="168">
        <f t="shared" si="4"/>
        <v>0</v>
      </c>
      <c r="V5370" s="168">
        <f t="shared" si="5"/>
        <v>0</v>
      </c>
      <c r="W5370" s="168">
        <f t="shared" si="6"/>
        <v>0</v>
      </c>
      <c r="X5370" s="168">
        <f t="shared" si="7"/>
        <v>0</v>
      </c>
      <c r="Y5370" s="168">
        <f t="shared" si="8"/>
        <v>0</v>
      </c>
      <c r="Z5370" s="168">
        <f t="shared" si="9"/>
        <v>0</v>
      </c>
    </row>
    <row r="5371" ht="15.0" customHeight="1">
      <c r="A5371" s="157" t="s">
        <v>6805</v>
      </c>
      <c r="B5371" s="158" t="s">
        <v>49</v>
      </c>
      <c r="C5371" s="158" t="s">
        <v>6802</v>
      </c>
      <c r="D5371" s="159">
        <v>45629.0</v>
      </c>
      <c r="E5371" s="157" t="s">
        <v>731</v>
      </c>
      <c r="F5371" s="160">
        <v>23350.29</v>
      </c>
      <c r="G5371" s="160">
        <f>'FACP$'!$F5371*0.16</f>
        <v>3736.0464</v>
      </c>
      <c r="H5371" s="160">
        <f t="shared" si="124"/>
        <v>27086.3364</v>
      </c>
      <c r="I5371" s="160"/>
      <c r="J5371" s="161"/>
      <c r="K5371" s="160"/>
      <c r="L5371" s="160">
        <f>+'FACP$'!$H5371-'FACP$'!$I5371-'FACP$'!$K5371</f>
        <v>27086.3364</v>
      </c>
      <c r="M5371" s="162" t="s">
        <v>2263</v>
      </c>
      <c r="N5371" s="162" t="s">
        <v>554</v>
      </c>
      <c r="O5371" s="164">
        <v>45702.0</v>
      </c>
      <c r="P5371" s="164">
        <f t="array" ref="P5371">XLOOKUP('FACP$'!$B5371,'perfil de pagos'!$A$4:$A$46,'perfil de pagos'!$B$4:$B$46+'FACP$'!$D5371)</f>
        <v>45639</v>
      </c>
      <c r="Q5371" s="165">
        <f t="shared" si="128"/>
        <v>0</v>
      </c>
      <c r="R5371" s="167"/>
      <c r="S5371" s="167">
        <v>3613.0</v>
      </c>
      <c r="T5371" s="168">
        <f t="shared" si="3"/>
        <v>27086.3364</v>
      </c>
      <c r="U5371" s="168">
        <f t="shared" si="4"/>
        <v>0</v>
      </c>
      <c r="V5371" s="168">
        <f t="shared" si="5"/>
        <v>0</v>
      </c>
      <c r="W5371" s="168">
        <f t="shared" si="6"/>
        <v>0</v>
      </c>
      <c r="X5371" s="168">
        <f t="shared" si="7"/>
        <v>0</v>
      </c>
      <c r="Y5371" s="168">
        <f t="shared" si="8"/>
        <v>0</v>
      </c>
      <c r="Z5371" s="168">
        <f t="shared" si="9"/>
        <v>0</v>
      </c>
    </row>
    <row r="5372" ht="15.0" customHeight="1">
      <c r="A5372" s="157" t="s">
        <v>6806</v>
      </c>
      <c r="B5372" s="158" t="s">
        <v>49</v>
      </c>
      <c r="C5372" s="158" t="s">
        <v>6804</v>
      </c>
      <c r="D5372" s="159">
        <v>45629.0</v>
      </c>
      <c r="E5372" s="157" t="s">
        <v>731</v>
      </c>
      <c r="F5372" s="160">
        <v>13460.8</v>
      </c>
      <c r="G5372" s="160">
        <f>'FACP$'!$F5372*0.16</f>
        <v>2153.728</v>
      </c>
      <c r="H5372" s="160">
        <f t="shared" si="124"/>
        <v>15614.528</v>
      </c>
      <c r="I5372" s="160"/>
      <c r="J5372" s="161"/>
      <c r="K5372" s="160"/>
      <c r="L5372" s="160">
        <f>+'FACP$'!$H5372-'FACP$'!$I5372-'FACP$'!$K5372</f>
        <v>15614.528</v>
      </c>
      <c r="M5372" s="162" t="s">
        <v>2263</v>
      </c>
      <c r="N5372" s="162" t="s">
        <v>554</v>
      </c>
      <c r="O5372" s="164">
        <v>45709.0</v>
      </c>
      <c r="P5372" s="164">
        <f t="array" ref="P5372">XLOOKUP('FACP$'!$B5372,'perfil de pagos'!$A$4:$A$46,'perfil de pagos'!$B$4:$B$46+'FACP$'!$D5372)</f>
        <v>45639</v>
      </c>
      <c r="Q5372" s="165">
        <f t="shared" si="128"/>
        <v>0</v>
      </c>
      <c r="R5372" s="167"/>
      <c r="S5372" s="167">
        <v>3638.0</v>
      </c>
      <c r="T5372" s="168">
        <f t="shared" si="3"/>
        <v>15614.528</v>
      </c>
      <c r="U5372" s="168">
        <f t="shared" si="4"/>
        <v>0</v>
      </c>
      <c r="V5372" s="168">
        <f t="shared" si="5"/>
        <v>0</v>
      </c>
      <c r="W5372" s="168">
        <f t="shared" si="6"/>
        <v>0</v>
      </c>
      <c r="X5372" s="168">
        <f t="shared" si="7"/>
        <v>0</v>
      </c>
      <c r="Y5372" s="168">
        <f t="shared" si="8"/>
        <v>0</v>
      </c>
      <c r="Z5372" s="168">
        <f t="shared" si="9"/>
        <v>0</v>
      </c>
    </row>
    <row r="5373" ht="15.0" customHeight="1">
      <c r="A5373" s="157" t="s">
        <v>6807</v>
      </c>
      <c r="B5373" s="158" t="s">
        <v>41</v>
      </c>
      <c r="C5373" s="158" t="s">
        <v>6802</v>
      </c>
      <c r="D5373" s="159">
        <v>45629.0</v>
      </c>
      <c r="E5373" s="157" t="s">
        <v>731</v>
      </c>
      <c r="F5373" s="160">
        <v>1457368.39</v>
      </c>
      <c r="G5373" s="160">
        <f>'FACP$'!$F5373*0.16</f>
        <v>233178.9424</v>
      </c>
      <c r="H5373" s="160">
        <f t="shared" si="124"/>
        <v>1690547.332</v>
      </c>
      <c r="I5373" s="160"/>
      <c r="J5373" s="161"/>
      <c r="K5373" s="160"/>
      <c r="L5373" s="160">
        <f>+'FACP$'!$H5373-'FACP$'!$I5373-'FACP$'!$K5373</f>
        <v>1690547.332</v>
      </c>
      <c r="M5373" s="162" t="s">
        <v>121</v>
      </c>
      <c r="N5373" s="162" t="s">
        <v>554</v>
      </c>
      <c r="O5373" s="164">
        <v>45680.0</v>
      </c>
      <c r="P5373" s="164">
        <f t="array" ref="P5373">XLOOKUP('FACP$'!$B5373,'perfil de pagos'!$A$4:$A$46,'perfil de pagos'!$B$4:$B$46+'FACP$'!$D5373)</f>
        <v>45639</v>
      </c>
      <c r="Q5373" s="165">
        <f t="shared" si="128"/>
        <v>0</v>
      </c>
      <c r="R5373" s="167"/>
      <c r="S5373" s="167">
        <v>3564.0</v>
      </c>
      <c r="T5373" s="168">
        <f t="shared" si="3"/>
        <v>1690547.332</v>
      </c>
      <c r="U5373" s="168">
        <f t="shared" si="4"/>
        <v>0</v>
      </c>
      <c r="V5373" s="168">
        <f t="shared" si="5"/>
        <v>0</v>
      </c>
      <c r="W5373" s="168">
        <f t="shared" si="6"/>
        <v>0</v>
      </c>
      <c r="X5373" s="168">
        <f t="shared" si="7"/>
        <v>0</v>
      </c>
      <c r="Y5373" s="168">
        <f t="shared" si="8"/>
        <v>0</v>
      </c>
      <c r="Z5373" s="168">
        <f t="shared" si="9"/>
        <v>0</v>
      </c>
    </row>
    <row r="5374" ht="15.0" customHeight="1">
      <c r="A5374" s="157" t="s">
        <v>6808</v>
      </c>
      <c r="B5374" s="158" t="s">
        <v>35</v>
      </c>
      <c r="C5374" s="158" t="s">
        <v>6802</v>
      </c>
      <c r="D5374" s="159">
        <v>45629.0</v>
      </c>
      <c r="E5374" s="157" t="s">
        <v>731</v>
      </c>
      <c r="F5374" s="160">
        <v>330843.65</v>
      </c>
      <c r="G5374" s="160">
        <f>'FACP$'!$F5374*0.16</f>
        <v>52934.984</v>
      </c>
      <c r="H5374" s="160">
        <f t="shared" si="124"/>
        <v>383778.634</v>
      </c>
      <c r="I5374" s="160"/>
      <c r="J5374" s="161"/>
      <c r="K5374" s="160"/>
      <c r="L5374" s="160">
        <f>+'FACP$'!$H5374-'FACP$'!$I5374-'FACP$'!$K5374</f>
        <v>383778.634</v>
      </c>
      <c r="M5374" s="162" t="s">
        <v>276</v>
      </c>
      <c r="N5374" s="162" t="s">
        <v>554</v>
      </c>
      <c r="O5374" s="164">
        <v>45650.0</v>
      </c>
      <c r="P5374" s="164">
        <f t="array" ref="P5374">XLOOKUP('FACP$'!$B5374,'perfil de pagos'!$A$4:$A$46,'perfil de pagos'!$B$4:$B$46+'FACP$'!$D5374)</f>
        <v>45639</v>
      </c>
      <c r="Q5374" s="165">
        <f t="shared" si="128"/>
        <v>0</v>
      </c>
      <c r="R5374" s="167"/>
      <c r="S5374" s="167"/>
      <c r="T5374" s="168">
        <f t="shared" si="3"/>
        <v>383778.634</v>
      </c>
      <c r="U5374" s="168">
        <f t="shared" si="4"/>
        <v>0</v>
      </c>
      <c r="V5374" s="168">
        <f t="shared" si="5"/>
        <v>0</v>
      </c>
      <c r="W5374" s="168">
        <f t="shared" si="6"/>
        <v>0</v>
      </c>
      <c r="X5374" s="168">
        <f t="shared" si="7"/>
        <v>0</v>
      </c>
      <c r="Y5374" s="168">
        <f t="shared" si="8"/>
        <v>0</v>
      </c>
      <c r="Z5374" s="168">
        <f t="shared" si="9"/>
        <v>0</v>
      </c>
    </row>
    <row r="5375" ht="15.0" customHeight="1">
      <c r="A5375" s="157" t="s">
        <v>6809</v>
      </c>
      <c r="B5375" s="158" t="s">
        <v>36</v>
      </c>
      <c r="C5375" s="158" t="s">
        <v>6802</v>
      </c>
      <c r="D5375" s="159">
        <v>45629.0</v>
      </c>
      <c r="E5375" s="157" t="s">
        <v>731</v>
      </c>
      <c r="F5375" s="160">
        <v>59263.46</v>
      </c>
      <c r="G5375" s="160">
        <f>'FACP$'!$F5375*0.16</f>
        <v>9482.1536</v>
      </c>
      <c r="H5375" s="160">
        <f t="shared" si="124"/>
        <v>68745.6136</v>
      </c>
      <c r="I5375" s="160"/>
      <c r="J5375" s="161">
        <f>'NCP$'!A310</f>
        <v>417</v>
      </c>
      <c r="K5375" s="160">
        <f>'NCP$'!H310</f>
        <v>4099.0456</v>
      </c>
      <c r="L5375" s="160">
        <f>+'FACP$'!$H5375-'FACP$'!$I5375-'FACP$'!$K5375</f>
        <v>64646.568</v>
      </c>
      <c r="M5375" s="162" t="s">
        <v>530</v>
      </c>
      <c r="N5375" s="162" t="s">
        <v>554</v>
      </c>
      <c r="O5375" s="164">
        <v>45643.0</v>
      </c>
      <c r="P5375" s="164">
        <f t="array" ref="P5375">XLOOKUP('FACP$'!$B5375,'perfil de pagos'!$A$4:$A$46,'perfil de pagos'!$B$4:$B$46+'FACP$'!$D5375)</f>
        <v>45639</v>
      </c>
      <c r="Q5375" s="165">
        <f t="shared" si="128"/>
        <v>0</v>
      </c>
      <c r="R5375" s="167"/>
      <c r="S5375" s="167"/>
      <c r="T5375" s="168">
        <f t="shared" si="3"/>
        <v>64646.568</v>
      </c>
      <c r="U5375" s="168">
        <f t="shared" si="4"/>
        <v>0</v>
      </c>
      <c r="V5375" s="168">
        <f t="shared" si="5"/>
        <v>0</v>
      </c>
      <c r="W5375" s="168">
        <f t="shared" si="6"/>
        <v>0</v>
      </c>
      <c r="X5375" s="168">
        <f t="shared" si="7"/>
        <v>0</v>
      </c>
      <c r="Y5375" s="168">
        <f t="shared" si="8"/>
        <v>0</v>
      </c>
      <c r="Z5375" s="168">
        <f t="shared" si="9"/>
        <v>0</v>
      </c>
    </row>
    <row r="5376" ht="15.0" customHeight="1">
      <c r="A5376" s="157" t="s">
        <v>6810</v>
      </c>
      <c r="B5376" s="158" t="s">
        <v>36</v>
      </c>
      <c r="C5376" s="158" t="s">
        <v>6804</v>
      </c>
      <c r="D5376" s="159">
        <v>45629.0</v>
      </c>
      <c r="E5376" s="157" t="s">
        <v>731</v>
      </c>
      <c r="F5376" s="160">
        <v>71859.0</v>
      </c>
      <c r="G5376" s="160">
        <f>'FACP$'!$F5376*0.16</f>
        <v>11497.44</v>
      </c>
      <c r="H5376" s="160">
        <f t="shared" si="124"/>
        <v>83356.44</v>
      </c>
      <c r="I5376" s="160"/>
      <c r="J5376" s="161">
        <f>'NCP$'!A311</f>
        <v>418</v>
      </c>
      <c r="K5376" s="160">
        <f>'NCP$'!H311</f>
        <v>12562.8</v>
      </c>
      <c r="L5376" s="160">
        <f>+'FACP$'!$H5376-'FACP$'!$I5376-'FACP$'!$K5376</f>
        <v>70793.64</v>
      </c>
      <c r="M5376" s="162" t="s">
        <v>530</v>
      </c>
      <c r="N5376" s="162" t="s">
        <v>554</v>
      </c>
      <c r="O5376" s="164">
        <v>45643.0</v>
      </c>
      <c r="P5376" s="164">
        <f t="array" ref="P5376">XLOOKUP('FACP$'!$B5376,'perfil de pagos'!$A$4:$A$46,'perfil de pagos'!$B$4:$B$46+'FACP$'!$D5376)</f>
        <v>45639</v>
      </c>
      <c r="Q5376" s="165">
        <f t="shared" si="128"/>
        <v>0</v>
      </c>
      <c r="R5376" s="167"/>
      <c r="S5376" s="167"/>
      <c r="T5376" s="168">
        <f t="shared" si="3"/>
        <v>70793.64</v>
      </c>
      <c r="U5376" s="168">
        <f t="shared" si="4"/>
        <v>0</v>
      </c>
      <c r="V5376" s="168">
        <f t="shared" si="5"/>
        <v>0</v>
      </c>
      <c r="W5376" s="168">
        <f t="shared" si="6"/>
        <v>0</v>
      </c>
      <c r="X5376" s="168">
        <f t="shared" si="7"/>
        <v>0</v>
      </c>
      <c r="Y5376" s="168">
        <f t="shared" si="8"/>
        <v>0</v>
      </c>
      <c r="Z5376" s="168">
        <f t="shared" si="9"/>
        <v>0</v>
      </c>
    </row>
    <row r="5377" ht="14.25" customHeight="1">
      <c r="A5377" s="157" t="s">
        <v>6811</v>
      </c>
      <c r="B5377" s="158" t="s">
        <v>36</v>
      </c>
      <c r="C5377" s="158" t="s">
        <v>6802</v>
      </c>
      <c r="D5377" s="159">
        <v>45629.0</v>
      </c>
      <c r="E5377" s="157" t="s">
        <v>731</v>
      </c>
      <c r="F5377" s="160">
        <v>32739.55</v>
      </c>
      <c r="G5377" s="160">
        <f>'FACP$'!$F5377*0.16</f>
        <v>5238.328</v>
      </c>
      <c r="H5377" s="160">
        <f t="shared" si="124"/>
        <v>37977.878</v>
      </c>
      <c r="I5377" s="160"/>
      <c r="J5377" s="161"/>
      <c r="K5377" s="160"/>
      <c r="L5377" s="160">
        <f>+'FACP$'!$H5377-'FACP$'!$I5377-'FACP$'!$K5377</f>
        <v>37977.878</v>
      </c>
      <c r="M5377" s="162" t="s">
        <v>526</v>
      </c>
      <c r="N5377" s="162" t="s">
        <v>554</v>
      </c>
      <c r="O5377" s="164">
        <v>45653.0</v>
      </c>
      <c r="P5377" s="164">
        <f t="array" ref="P5377">XLOOKUP('FACP$'!$B5377,'perfil de pagos'!$A$4:$A$46,'perfil de pagos'!$B$4:$B$46+'FACP$'!$D5377)</f>
        <v>45639</v>
      </c>
      <c r="Q5377" s="165">
        <f t="shared" si="128"/>
        <v>0</v>
      </c>
      <c r="R5377" s="167"/>
      <c r="S5377" s="167"/>
      <c r="T5377" s="168">
        <f t="shared" si="3"/>
        <v>37977.878</v>
      </c>
      <c r="U5377" s="168">
        <f t="shared" si="4"/>
        <v>0</v>
      </c>
      <c r="V5377" s="168">
        <f t="shared" si="5"/>
        <v>0</v>
      </c>
      <c r="W5377" s="168">
        <f t="shared" si="6"/>
        <v>0</v>
      </c>
      <c r="X5377" s="168">
        <f t="shared" si="7"/>
        <v>0</v>
      </c>
      <c r="Y5377" s="168">
        <f t="shared" si="8"/>
        <v>0</v>
      </c>
      <c r="Z5377" s="168">
        <f t="shared" si="9"/>
        <v>0</v>
      </c>
    </row>
    <row r="5378" ht="14.25" customHeight="1">
      <c r="A5378" s="157" t="s">
        <v>6812</v>
      </c>
      <c r="B5378" s="158" t="s">
        <v>36</v>
      </c>
      <c r="C5378" s="158" t="s">
        <v>6804</v>
      </c>
      <c r="D5378" s="159">
        <v>45629.0</v>
      </c>
      <c r="E5378" s="157" t="s">
        <v>731</v>
      </c>
      <c r="F5378" s="160">
        <v>48555.3</v>
      </c>
      <c r="G5378" s="160">
        <f>'FACP$'!$F5378*0.16</f>
        <v>7768.848</v>
      </c>
      <c r="H5378" s="160">
        <f t="shared" si="124"/>
        <v>56324.148</v>
      </c>
      <c r="I5378" s="160"/>
      <c r="J5378" s="161"/>
      <c r="K5378" s="160"/>
      <c r="L5378" s="160">
        <f>+'FACP$'!$H5378-'FACP$'!$I5378-'FACP$'!$K5378</f>
        <v>56324.148</v>
      </c>
      <c r="M5378" s="162" t="s">
        <v>526</v>
      </c>
      <c r="N5378" s="162" t="s">
        <v>554</v>
      </c>
      <c r="O5378" s="164">
        <v>45665.0</v>
      </c>
      <c r="P5378" s="164">
        <f t="array" ref="P5378">XLOOKUP('FACP$'!$B5378,'perfil de pagos'!$A$4:$A$46,'perfil de pagos'!$B$4:$B$46+'FACP$'!$D5378)</f>
        <v>45639</v>
      </c>
      <c r="Q5378" s="165">
        <f t="shared" si="128"/>
        <v>0</v>
      </c>
      <c r="R5378" s="167"/>
      <c r="S5378" s="167">
        <v>3531.0</v>
      </c>
      <c r="T5378" s="168">
        <f t="shared" si="3"/>
        <v>56324.148</v>
      </c>
      <c r="U5378" s="168">
        <f t="shared" si="4"/>
        <v>0</v>
      </c>
      <c r="V5378" s="168">
        <f t="shared" si="5"/>
        <v>0</v>
      </c>
      <c r="W5378" s="168">
        <f t="shared" si="6"/>
        <v>0</v>
      </c>
      <c r="X5378" s="168">
        <f t="shared" si="7"/>
        <v>0</v>
      </c>
      <c r="Y5378" s="168">
        <f t="shared" si="8"/>
        <v>0</v>
      </c>
      <c r="Z5378" s="168">
        <f t="shared" si="9"/>
        <v>0</v>
      </c>
    </row>
    <row r="5379" ht="14.25" customHeight="1">
      <c r="A5379" s="157" t="s">
        <v>6813</v>
      </c>
      <c r="B5379" s="158" t="s">
        <v>44</v>
      </c>
      <c r="C5379" s="158" t="s">
        <v>6802</v>
      </c>
      <c r="D5379" s="159">
        <v>45629.0</v>
      </c>
      <c r="E5379" s="157" t="s">
        <v>731</v>
      </c>
      <c r="F5379" s="160">
        <v>135856.13</v>
      </c>
      <c r="G5379" s="160">
        <f>'FACP$'!$F5379*0.16</f>
        <v>21736.9808</v>
      </c>
      <c r="H5379" s="160">
        <f t="shared" si="124"/>
        <v>157593.1108</v>
      </c>
      <c r="I5379" s="160"/>
      <c r="J5379" s="161"/>
      <c r="K5379" s="160"/>
      <c r="L5379" s="160">
        <f>+'FACP$'!$H5379-'FACP$'!$I5379-'FACP$'!$K5379</f>
        <v>157593.1108</v>
      </c>
      <c r="M5379" s="162" t="s">
        <v>361</v>
      </c>
      <c r="N5379" s="162" t="s">
        <v>554</v>
      </c>
      <c r="O5379" s="164">
        <v>45639.0</v>
      </c>
      <c r="P5379" s="164">
        <f t="array" ref="P5379">XLOOKUP('FACP$'!$B5379,'perfil de pagos'!$A$4:$A$46,'perfil de pagos'!$B$4:$B$46+'FACP$'!$D5379)</f>
        <v>45639</v>
      </c>
      <c r="Q5379" s="165">
        <f t="shared" si="128"/>
        <v>0</v>
      </c>
      <c r="R5379" s="167"/>
      <c r="S5379" s="167"/>
      <c r="T5379" s="168">
        <f t="shared" si="3"/>
        <v>157593.1108</v>
      </c>
      <c r="U5379" s="168">
        <f t="shared" si="4"/>
        <v>0</v>
      </c>
      <c r="V5379" s="168">
        <f t="shared" si="5"/>
        <v>0</v>
      </c>
      <c r="W5379" s="168">
        <f t="shared" si="6"/>
        <v>0</v>
      </c>
      <c r="X5379" s="168">
        <f t="shared" si="7"/>
        <v>0</v>
      </c>
      <c r="Y5379" s="168">
        <f t="shared" si="8"/>
        <v>0</v>
      </c>
      <c r="Z5379" s="168">
        <f t="shared" si="9"/>
        <v>0</v>
      </c>
    </row>
    <row r="5380" ht="15.0" customHeight="1">
      <c r="A5380" s="157" t="s">
        <v>6814</v>
      </c>
      <c r="B5380" s="158" t="s">
        <v>27</v>
      </c>
      <c r="C5380" s="158" t="s">
        <v>6815</v>
      </c>
      <c r="D5380" s="159">
        <v>45629.0</v>
      </c>
      <c r="E5380" s="157" t="s">
        <v>731</v>
      </c>
      <c r="F5380" s="160">
        <v>46000.0</v>
      </c>
      <c r="G5380" s="160">
        <f>'FACP$'!$F5380*0.16</f>
        <v>7360</v>
      </c>
      <c r="H5380" s="160">
        <f t="shared" si="124"/>
        <v>53360</v>
      </c>
      <c r="I5380" s="160"/>
      <c r="J5380" s="161"/>
      <c r="K5380" s="160"/>
      <c r="L5380" s="160">
        <f>+'FACP$'!$H5380-'FACP$'!$I5380-'FACP$'!$K5380</f>
        <v>53360</v>
      </c>
      <c r="M5380" s="162" t="s">
        <v>5804</v>
      </c>
      <c r="N5380" s="162" t="s">
        <v>554</v>
      </c>
      <c r="O5380" s="164">
        <v>45646.0</v>
      </c>
      <c r="P5380" s="164">
        <f t="array" ref="P5380">XLOOKUP('FACP$'!$B5380,'perfil de pagos'!$A$4:$A$46,'perfil de pagos'!$B$4:$B$46+'FACP$'!$D5380)</f>
        <v>45659</v>
      </c>
      <c r="Q5380" s="165">
        <f t="shared" si="128"/>
        <v>0</v>
      </c>
      <c r="R5380" s="167"/>
      <c r="S5380" s="167"/>
      <c r="T5380" s="168">
        <f t="shared" si="3"/>
        <v>53360</v>
      </c>
      <c r="U5380" s="168">
        <f t="shared" si="4"/>
        <v>0</v>
      </c>
      <c r="V5380" s="168">
        <f t="shared" si="5"/>
        <v>0</v>
      </c>
      <c r="W5380" s="168">
        <f t="shared" si="6"/>
        <v>0</v>
      </c>
      <c r="X5380" s="168">
        <f t="shared" si="7"/>
        <v>0</v>
      </c>
      <c r="Y5380" s="168">
        <f t="shared" si="8"/>
        <v>0</v>
      </c>
      <c r="Z5380" s="168">
        <f t="shared" si="9"/>
        <v>0</v>
      </c>
    </row>
    <row r="5381" ht="15.0" customHeight="1">
      <c r="A5381" s="157" t="s">
        <v>6816</v>
      </c>
      <c r="B5381" s="158" t="s">
        <v>17</v>
      </c>
      <c r="C5381" s="158" t="s">
        <v>6817</v>
      </c>
      <c r="D5381" s="159">
        <v>45629.0</v>
      </c>
      <c r="E5381" s="157" t="s">
        <v>731</v>
      </c>
      <c r="F5381" s="160">
        <v>63000.0</v>
      </c>
      <c r="G5381" s="160">
        <f>'FACP$'!$F5381*0.16</f>
        <v>10080</v>
      </c>
      <c r="H5381" s="160">
        <f t="shared" si="124"/>
        <v>73080</v>
      </c>
      <c r="I5381" s="160"/>
      <c r="J5381" s="161"/>
      <c r="K5381" s="160"/>
      <c r="L5381" s="160">
        <f>+'FACP$'!$H5381-'FACP$'!$I5381-'FACP$'!$K5381</f>
        <v>73080</v>
      </c>
      <c r="M5381" s="162" t="s">
        <v>17</v>
      </c>
      <c r="N5381" s="162" t="s">
        <v>554</v>
      </c>
      <c r="O5381" s="164">
        <v>45639.0</v>
      </c>
      <c r="P5381" s="164">
        <f t="array" ref="P5381">XLOOKUP('FACP$'!$B5381,'perfil de pagos'!$A$4:$A$46,'perfil de pagos'!$B$4:$B$46+'FACP$'!$D5381)</f>
        <v>45639</v>
      </c>
      <c r="Q5381" s="165">
        <f t="shared" si="128"/>
        <v>0</v>
      </c>
      <c r="R5381" s="167"/>
      <c r="S5381" s="167"/>
      <c r="T5381" s="168">
        <f t="shared" si="3"/>
        <v>73080</v>
      </c>
      <c r="U5381" s="168">
        <f t="shared" si="4"/>
        <v>0</v>
      </c>
      <c r="V5381" s="168">
        <f t="shared" si="5"/>
        <v>0</v>
      </c>
      <c r="W5381" s="168">
        <f t="shared" si="6"/>
        <v>0</v>
      </c>
      <c r="X5381" s="168">
        <f t="shared" si="7"/>
        <v>0</v>
      </c>
      <c r="Y5381" s="168">
        <f t="shared" si="8"/>
        <v>0</v>
      </c>
      <c r="Z5381" s="168">
        <f t="shared" si="9"/>
        <v>0</v>
      </c>
    </row>
    <row r="5382" ht="15.0" customHeight="1">
      <c r="A5382" s="157" t="s">
        <v>6818</v>
      </c>
      <c r="B5382" s="158" t="s">
        <v>42</v>
      </c>
      <c r="C5382" s="158" t="s">
        <v>6802</v>
      </c>
      <c r="D5382" s="159">
        <v>45630.0</v>
      </c>
      <c r="E5382" s="157" t="s">
        <v>731</v>
      </c>
      <c r="F5382" s="160">
        <v>234711.55</v>
      </c>
      <c r="G5382" s="160">
        <f>'FACP$'!$F5382*0.16</f>
        <v>37553.848</v>
      </c>
      <c r="H5382" s="160">
        <f t="shared" si="124"/>
        <v>272265.398</v>
      </c>
      <c r="I5382" s="160"/>
      <c r="J5382" s="161"/>
      <c r="K5382" s="160"/>
      <c r="L5382" s="160">
        <f>+'FACP$'!$H5382-'FACP$'!$I5382-'FACP$'!$K5382</f>
        <v>272265.398</v>
      </c>
      <c r="M5382" s="162" t="s">
        <v>42</v>
      </c>
      <c r="N5382" s="162" t="s">
        <v>554</v>
      </c>
      <c r="O5382" s="164">
        <v>45650.0</v>
      </c>
      <c r="P5382" s="164">
        <f t="array" ref="P5382">XLOOKUP('FACP$'!$B5382,'perfil de pagos'!$A$4:$A$46,'perfil de pagos'!$B$4:$B$46+'FACP$'!$D5382)</f>
        <v>45640</v>
      </c>
      <c r="Q5382" s="165">
        <f t="shared" si="128"/>
        <v>0</v>
      </c>
      <c r="R5382" s="167"/>
      <c r="S5382" s="167"/>
      <c r="T5382" s="168">
        <f t="shared" si="3"/>
        <v>272265.398</v>
      </c>
      <c r="U5382" s="168">
        <f t="shared" si="4"/>
        <v>0</v>
      </c>
      <c r="V5382" s="168">
        <f t="shared" si="5"/>
        <v>0</v>
      </c>
      <c r="W5382" s="168">
        <f t="shared" si="6"/>
        <v>0</v>
      </c>
      <c r="X5382" s="168">
        <f t="shared" si="7"/>
        <v>0</v>
      </c>
      <c r="Y5382" s="168">
        <f t="shared" si="8"/>
        <v>0</v>
      </c>
      <c r="Z5382" s="168">
        <f t="shared" si="9"/>
        <v>0</v>
      </c>
    </row>
    <row r="5383" ht="15.0" customHeight="1">
      <c r="A5383" s="157" t="s">
        <v>6819</v>
      </c>
      <c r="B5383" s="158" t="s">
        <v>22</v>
      </c>
      <c r="C5383" s="158" t="s">
        <v>6820</v>
      </c>
      <c r="D5383" s="159">
        <v>45632.0</v>
      </c>
      <c r="E5383" s="157" t="s">
        <v>731</v>
      </c>
      <c r="F5383" s="160">
        <v>260522.71</v>
      </c>
      <c r="G5383" s="160">
        <f>'FACP$'!$F5383*0.16</f>
        <v>41683.6336</v>
      </c>
      <c r="H5383" s="160">
        <f t="shared" si="124"/>
        <v>302206.3436</v>
      </c>
      <c r="I5383" s="160">
        <v>92115.26</v>
      </c>
      <c r="J5383" s="161"/>
      <c r="K5383" s="160"/>
      <c r="L5383" s="160">
        <f>+'FACP$'!$H5383-'FACP$'!$I5383-'FACP$'!$K5383</f>
        <v>210091.0836</v>
      </c>
      <c r="M5383" s="162" t="s">
        <v>6693</v>
      </c>
      <c r="N5383" s="162" t="s">
        <v>554</v>
      </c>
      <c r="O5383" s="164">
        <v>45667.0</v>
      </c>
      <c r="P5383" s="164">
        <f t="array" ref="P5383">XLOOKUP('FACP$'!$B5383,'perfil de pagos'!$A$4:$A$46,'perfil de pagos'!$B$4:$B$46+'FACP$'!$D5383)</f>
        <v>45642</v>
      </c>
      <c r="Q5383" s="165">
        <f t="shared" si="128"/>
        <v>0</v>
      </c>
      <c r="R5383" s="167" t="s">
        <v>6821</v>
      </c>
      <c r="S5383" s="167">
        <v>3543.0</v>
      </c>
      <c r="T5383" s="168">
        <f t="shared" si="3"/>
        <v>210091.0836</v>
      </c>
      <c r="U5383" s="168">
        <f t="shared" si="4"/>
        <v>0</v>
      </c>
      <c r="V5383" s="168">
        <f t="shared" si="5"/>
        <v>0</v>
      </c>
      <c r="W5383" s="168">
        <f t="shared" si="6"/>
        <v>0</v>
      </c>
      <c r="X5383" s="168">
        <f t="shared" si="7"/>
        <v>0</v>
      </c>
      <c r="Y5383" s="168">
        <f t="shared" si="8"/>
        <v>0</v>
      </c>
      <c r="Z5383" s="168">
        <f t="shared" si="9"/>
        <v>0</v>
      </c>
    </row>
    <row r="5384" ht="15.0" customHeight="1">
      <c r="A5384" s="157" t="s">
        <v>6822</v>
      </c>
      <c r="B5384" s="158" t="s">
        <v>22</v>
      </c>
      <c r="C5384" s="158" t="s">
        <v>6820</v>
      </c>
      <c r="D5384" s="159">
        <v>45632.0</v>
      </c>
      <c r="E5384" s="157" t="s">
        <v>731</v>
      </c>
      <c r="F5384" s="160">
        <v>41422.43</v>
      </c>
      <c r="G5384" s="160">
        <f>'FACP$'!$F5384*0.16</f>
        <v>6627.5888</v>
      </c>
      <c r="H5384" s="160">
        <f t="shared" si="124"/>
        <v>48050.0188</v>
      </c>
      <c r="I5384" s="160">
        <v>39908.92</v>
      </c>
      <c r="J5384" s="161"/>
      <c r="K5384" s="160"/>
      <c r="L5384" s="160">
        <f>+'FACP$'!$H5384-'FACP$'!$I5384-'FACP$'!$K5384</f>
        <v>8141.0988</v>
      </c>
      <c r="M5384" s="162" t="s">
        <v>6823</v>
      </c>
      <c r="N5384" s="162" t="s">
        <v>554</v>
      </c>
      <c r="O5384" s="164">
        <v>45674.0</v>
      </c>
      <c r="P5384" s="164">
        <f t="array" ref="P5384">XLOOKUP('FACP$'!$B5384,'perfil de pagos'!$A$4:$A$46,'perfil de pagos'!$B$4:$B$46+'FACP$'!$D5384)</f>
        <v>45642</v>
      </c>
      <c r="Q5384" s="165">
        <f t="shared" si="128"/>
        <v>0</v>
      </c>
      <c r="R5384" s="220" t="s">
        <v>6824</v>
      </c>
      <c r="S5384" s="167" t="s">
        <v>6825</v>
      </c>
      <c r="T5384" s="168">
        <f t="shared" si="3"/>
        <v>8141.0988</v>
      </c>
      <c r="U5384" s="168">
        <f t="shared" si="4"/>
        <v>0</v>
      </c>
      <c r="V5384" s="168">
        <f t="shared" si="5"/>
        <v>0</v>
      </c>
      <c r="W5384" s="168">
        <f t="shared" si="6"/>
        <v>0</v>
      </c>
      <c r="X5384" s="168">
        <f t="shared" si="7"/>
        <v>0</v>
      </c>
      <c r="Y5384" s="168">
        <f t="shared" si="8"/>
        <v>0</v>
      </c>
      <c r="Z5384" s="168">
        <f t="shared" si="9"/>
        <v>0</v>
      </c>
    </row>
    <row r="5385" ht="15.0" customHeight="1">
      <c r="A5385" s="157" t="s">
        <v>6826</v>
      </c>
      <c r="B5385" s="158" t="s">
        <v>22</v>
      </c>
      <c r="C5385" s="158" t="s">
        <v>6820</v>
      </c>
      <c r="D5385" s="159">
        <v>45632.0</v>
      </c>
      <c r="E5385" s="157" t="s">
        <v>731</v>
      </c>
      <c r="F5385" s="160">
        <v>245508.98</v>
      </c>
      <c r="G5385" s="160">
        <f>'FACP$'!$F5385*0.16</f>
        <v>39281.4368</v>
      </c>
      <c r="H5385" s="160">
        <f t="shared" si="124"/>
        <v>284790.4168</v>
      </c>
      <c r="I5385" s="160">
        <v>191858.9</v>
      </c>
      <c r="J5385" s="161"/>
      <c r="K5385" s="160"/>
      <c r="L5385" s="160">
        <f>+'FACP$'!$H5385-'FACP$'!$I5385-'FACP$'!$K5385</f>
        <v>92931.5168</v>
      </c>
      <c r="M5385" s="162" t="s">
        <v>6695</v>
      </c>
      <c r="N5385" s="162" t="s">
        <v>554</v>
      </c>
      <c r="O5385" s="164">
        <v>45681.0</v>
      </c>
      <c r="P5385" s="164">
        <f t="array" ref="P5385">XLOOKUP('FACP$'!$B5385,'perfil de pagos'!$A$4:$A$46,'perfil de pagos'!$B$4:$B$46+'FACP$'!$D5385)</f>
        <v>45642</v>
      </c>
      <c r="Q5385" s="165">
        <f t="shared" si="128"/>
        <v>0</v>
      </c>
      <c r="R5385" s="220" t="s">
        <v>6827</v>
      </c>
      <c r="S5385" s="167" t="s">
        <v>6828</v>
      </c>
      <c r="T5385" s="168">
        <f t="shared" si="3"/>
        <v>92931.5168</v>
      </c>
      <c r="U5385" s="168">
        <f t="shared" si="4"/>
        <v>0</v>
      </c>
      <c r="V5385" s="168">
        <f t="shared" si="5"/>
        <v>0</v>
      </c>
      <c r="W5385" s="168">
        <f t="shared" si="6"/>
        <v>0</v>
      </c>
      <c r="X5385" s="168">
        <f t="shared" si="7"/>
        <v>0</v>
      </c>
      <c r="Y5385" s="168">
        <f t="shared" si="8"/>
        <v>0</v>
      </c>
      <c r="Z5385" s="168">
        <f t="shared" si="9"/>
        <v>0</v>
      </c>
    </row>
    <row r="5386" ht="15.0" customHeight="1">
      <c r="A5386" s="157" t="s">
        <v>6829</v>
      </c>
      <c r="B5386" s="158" t="s">
        <v>16</v>
      </c>
      <c r="C5386" s="158" t="s">
        <v>6802</v>
      </c>
      <c r="D5386" s="159">
        <v>45635.0</v>
      </c>
      <c r="E5386" s="157" t="s">
        <v>731</v>
      </c>
      <c r="F5386" s="160">
        <v>299644.78</v>
      </c>
      <c r="G5386" s="160">
        <f>'FACP$'!$F5386*0.16</f>
        <v>47943.1648</v>
      </c>
      <c r="H5386" s="160">
        <f t="shared" si="124"/>
        <v>347587.9448</v>
      </c>
      <c r="I5386" s="160"/>
      <c r="J5386" s="161"/>
      <c r="K5386" s="160"/>
      <c r="L5386" s="231">
        <f>+'FACP$'!$H5386-'FACP$'!$I5386-'FACP$'!$K5386</f>
        <v>347587.9448</v>
      </c>
      <c r="M5386" s="162" t="s">
        <v>985</v>
      </c>
      <c r="N5386" s="162" t="s">
        <v>554</v>
      </c>
      <c r="O5386" s="164">
        <v>45666.0</v>
      </c>
      <c r="P5386" s="164">
        <f t="array" ref="P5386">XLOOKUP('FACP$'!$B5386,'perfil de pagos'!$A$4:$A$46,'perfil de pagos'!$B$4:$B$46+'FACP$'!$D5386)</f>
        <v>45645</v>
      </c>
      <c r="Q5386" s="165">
        <f t="shared" si="128"/>
        <v>0</v>
      </c>
      <c r="R5386" s="167"/>
      <c r="S5386" s="167">
        <v>3535.0</v>
      </c>
      <c r="T5386" s="168">
        <f t="shared" si="3"/>
        <v>347587.9448</v>
      </c>
      <c r="U5386" s="168">
        <f t="shared" si="4"/>
        <v>0</v>
      </c>
      <c r="V5386" s="168">
        <f t="shared" si="5"/>
        <v>0</v>
      </c>
      <c r="W5386" s="168">
        <f t="shared" si="6"/>
        <v>0</v>
      </c>
      <c r="X5386" s="168">
        <f t="shared" si="7"/>
        <v>0</v>
      </c>
      <c r="Y5386" s="168">
        <f t="shared" si="8"/>
        <v>0</v>
      </c>
      <c r="Z5386" s="168">
        <f t="shared" si="9"/>
        <v>0</v>
      </c>
    </row>
    <row r="5387" ht="15.0" customHeight="1">
      <c r="A5387" s="157" t="s">
        <v>6830</v>
      </c>
      <c r="B5387" s="158" t="s">
        <v>16</v>
      </c>
      <c r="C5387" s="158" t="s">
        <v>6804</v>
      </c>
      <c r="D5387" s="159">
        <v>45635.0</v>
      </c>
      <c r="E5387" s="157" t="s">
        <v>731</v>
      </c>
      <c r="F5387" s="160">
        <v>492027.1</v>
      </c>
      <c r="G5387" s="160">
        <f>'FACP$'!$F5387*0.16</f>
        <v>78724.336</v>
      </c>
      <c r="H5387" s="160">
        <f t="shared" si="124"/>
        <v>570751.436</v>
      </c>
      <c r="I5387" s="160"/>
      <c r="J5387" s="161"/>
      <c r="K5387" s="160"/>
      <c r="L5387" s="231">
        <f>+'FACP$'!$H5387-'FACP$'!$I5387-'FACP$'!$K5387</f>
        <v>570751.436</v>
      </c>
      <c r="M5387" s="162" t="s">
        <v>985</v>
      </c>
      <c r="N5387" s="162" t="s">
        <v>554</v>
      </c>
      <c r="O5387" s="164">
        <v>45666.0</v>
      </c>
      <c r="P5387" s="164">
        <f t="array" ref="P5387">XLOOKUP('FACP$'!$B5387,'perfil de pagos'!$A$4:$A$46,'perfil de pagos'!$B$4:$B$46+'FACP$'!$D5387)</f>
        <v>45645</v>
      </c>
      <c r="Q5387" s="165">
        <f t="shared" si="128"/>
        <v>0</v>
      </c>
      <c r="R5387" s="167"/>
      <c r="S5387" s="167">
        <v>3535.0</v>
      </c>
      <c r="T5387" s="168">
        <f t="shared" si="3"/>
        <v>570751.436</v>
      </c>
      <c r="U5387" s="168">
        <f t="shared" si="4"/>
        <v>0</v>
      </c>
      <c r="V5387" s="168">
        <f t="shared" si="5"/>
        <v>0</v>
      </c>
      <c r="W5387" s="168">
        <f t="shared" si="6"/>
        <v>0</v>
      </c>
      <c r="X5387" s="168">
        <f t="shared" si="7"/>
        <v>0</v>
      </c>
      <c r="Y5387" s="168">
        <f t="shared" si="8"/>
        <v>0</v>
      </c>
      <c r="Z5387" s="168">
        <f t="shared" si="9"/>
        <v>0</v>
      </c>
    </row>
    <row r="5388" ht="15.0" customHeight="1">
      <c r="A5388" s="157" t="s">
        <v>6831</v>
      </c>
      <c r="B5388" s="158" t="s">
        <v>18</v>
      </c>
      <c r="C5388" s="158" t="s">
        <v>6802</v>
      </c>
      <c r="D5388" s="159">
        <v>45635.0</v>
      </c>
      <c r="E5388" s="157" t="s">
        <v>731</v>
      </c>
      <c r="F5388" s="160">
        <v>82491.23</v>
      </c>
      <c r="G5388" s="160">
        <f>'FACP$'!$F5388*0.16</f>
        <v>13198.5968</v>
      </c>
      <c r="H5388" s="160">
        <f t="shared" si="124"/>
        <v>95689.8268</v>
      </c>
      <c r="I5388" s="160"/>
      <c r="J5388" s="161"/>
      <c r="K5388" s="160"/>
      <c r="L5388" s="160">
        <f>+'FACP$'!$H5388-'FACP$'!$I5388-'FACP$'!$K5388</f>
        <v>95689.8268</v>
      </c>
      <c r="M5388" s="162" t="s">
        <v>586</v>
      </c>
      <c r="N5388" s="162" t="s">
        <v>554</v>
      </c>
      <c r="O5388" s="164">
        <v>45656.0</v>
      </c>
      <c r="P5388" s="164">
        <f t="array" ref="P5388">XLOOKUP('FACP$'!$B5388,'perfil de pagos'!$A$4:$A$46,'perfil de pagos'!$B$4:$B$46+'FACP$'!$D5388)</f>
        <v>45645</v>
      </c>
      <c r="Q5388" s="165">
        <f t="shared" si="128"/>
        <v>0</v>
      </c>
      <c r="R5388" s="167"/>
      <c r="S5388" s="167"/>
      <c r="T5388" s="168">
        <f t="shared" si="3"/>
        <v>95689.8268</v>
      </c>
      <c r="U5388" s="168">
        <f t="shared" si="4"/>
        <v>0</v>
      </c>
      <c r="V5388" s="168">
        <f t="shared" si="5"/>
        <v>0</v>
      </c>
      <c r="W5388" s="168">
        <f t="shared" si="6"/>
        <v>0</v>
      </c>
      <c r="X5388" s="168">
        <f t="shared" si="7"/>
        <v>0</v>
      </c>
      <c r="Y5388" s="168">
        <f t="shared" si="8"/>
        <v>0</v>
      </c>
      <c r="Z5388" s="168">
        <f t="shared" si="9"/>
        <v>0</v>
      </c>
    </row>
    <row r="5389" ht="15.0" customHeight="1">
      <c r="A5389" s="157" t="s">
        <v>6832</v>
      </c>
      <c r="B5389" s="158" t="s">
        <v>19</v>
      </c>
      <c r="C5389" s="158" t="s">
        <v>6802</v>
      </c>
      <c r="D5389" s="159">
        <v>45635.0</v>
      </c>
      <c r="E5389" s="157" t="s">
        <v>731</v>
      </c>
      <c r="F5389" s="160">
        <v>191092.42</v>
      </c>
      <c r="G5389" s="160">
        <f>'FACP$'!$F5389*0.16</f>
        <v>30574.7872</v>
      </c>
      <c r="H5389" s="160">
        <f t="shared" si="124"/>
        <v>221667.2072</v>
      </c>
      <c r="I5389" s="160"/>
      <c r="J5389" s="161"/>
      <c r="K5389" s="160"/>
      <c r="L5389" s="160">
        <f>+'FACP$'!$H5389-'FACP$'!$I5389-'FACP$'!$K5389</f>
        <v>221667.2072</v>
      </c>
      <c r="M5389" s="162" t="s">
        <v>732</v>
      </c>
      <c r="N5389" s="162" t="s">
        <v>554</v>
      </c>
      <c r="O5389" s="164">
        <v>45656.0</v>
      </c>
      <c r="P5389" s="164">
        <f t="array" ref="P5389">XLOOKUP('FACP$'!$B5389,'perfil de pagos'!$A$4:$A$46,'perfil de pagos'!$B$4:$B$46+'FACP$'!$D5389)</f>
        <v>45645</v>
      </c>
      <c r="Q5389" s="165">
        <f t="shared" si="128"/>
        <v>0</v>
      </c>
      <c r="R5389" s="167"/>
      <c r="S5389" s="167"/>
      <c r="T5389" s="168">
        <f t="shared" si="3"/>
        <v>221667.2072</v>
      </c>
      <c r="U5389" s="168">
        <f t="shared" si="4"/>
        <v>0</v>
      </c>
      <c r="V5389" s="168">
        <f t="shared" si="5"/>
        <v>0</v>
      </c>
      <c r="W5389" s="168">
        <f t="shared" si="6"/>
        <v>0</v>
      </c>
      <c r="X5389" s="168">
        <f t="shared" si="7"/>
        <v>0</v>
      </c>
      <c r="Y5389" s="168">
        <f t="shared" si="8"/>
        <v>0</v>
      </c>
      <c r="Z5389" s="168">
        <f t="shared" si="9"/>
        <v>0</v>
      </c>
    </row>
    <row r="5390" ht="15.0" customHeight="1">
      <c r="A5390" s="157" t="s">
        <v>6833</v>
      </c>
      <c r="B5390" s="158" t="s">
        <v>25</v>
      </c>
      <c r="C5390" s="158" t="s">
        <v>6802</v>
      </c>
      <c r="D5390" s="159">
        <v>45635.0</v>
      </c>
      <c r="E5390" s="157" t="s">
        <v>731</v>
      </c>
      <c r="F5390" s="160">
        <v>71378.74</v>
      </c>
      <c r="G5390" s="160">
        <f>'FACP$'!$F5390*0.16</f>
        <v>11420.5984</v>
      </c>
      <c r="H5390" s="160">
        <f t="shared" si="124"/>
        <v>82799.3384</v>
      </c>
      <c r="I5390" s="160"/>
      <c r="J5390" s="161"/>
      <c r="K5390" s="160"/>
      <c r="L5390" s="160">
        <f>+'FACP$'!$H5390-'FACP$'!$I5390-'FACP$'!$K5390</f>
        <v>82799.3384</v>
      </c>
      <c r="M5390" s="162" t="s">
        <v>4388</v>
      </c>
      <c r="N5390" s="162" t="s">
        <v>554</v>
      </c>
      <c r="O5390" s="164">
        <v>45645.0</v>
      </c>
      <c r="P5390" s="164">
        <f t="array" ref="P5390">XLOOKUP('FACP$'!$B5390,'perfil de pagos'!$A$4:$A$46,'perfil de pagos'!$B$4:$B$46+'FACP$'!$D5390)</f>
        <v>45645</v>
      </c>
      <c r="Q5390" s="165">
        <f t="shared" si="128"/>
        <v>0</v>
      </c>
      <c r="R5390" s="167"/>
      <c r="S5390" s="167"/>
      <c r="T5390" s="168">
        <f t="shared" si="3"/>
        <v>82799.3384</v>
      </c>
      <c r="U5390" s="168">
        <f t="shared" si="4"/>
        <v>0</v>
      </c>
      <c r="V5390" s="168">
        <f t="shared" si="5"/>
        <v>0</v>
      </c>
      <c r="W5390" s="168">
        <f t="shared" si="6"/>
        <v>0</v>
      </c>
      <c r="X5390" s="168">
        <f t="shared" si="7"/>
        <v>0</v>
      </c>
      <c r="Y5390" s="168">
        <f t="shared" si="8"/>
        <v>0</v>
      </c>
      <c r="Z5390" s="168">
        <f t="shared" si="9"/>
        <v>0</v>
      </c>
    </row>
    <row r="5391" ht="15.0" customHeight="1">
      <c r="A5391" s="157" t="s">
        <v>6834</v>
      </c>
      <c r="B5391" s="158" t="s">
        <v>37</v>
      </c>
      <c r="C5391" s="158" t="s">
        <v>6802</v>
      </c>
      <c r="D5391" s="159">
        <v>45635.0</v>
      </c>
      <c r="E5391" s="157" t="s">
        <v>731</v>
      </c>
      <c r="F5391" s="160">
        <v>1561901.26</v>
      </c>
      <c r="G5391" s="160">
        <f>'FACP$'!$F5391*0.16</f>
        <v>249904.2016</v>
      </c>
      <c r="H5391" s="160">
        <f t="shared" si="124"/>
        <v>1811805.462</v>
      </c>
      <c r="I5391" s="160"/>
      <c r="J5391" s="161"/>
      <c r="K5391" s="160"/>
      <c r="L5391" s="160">
        <f>+'FACP$'!$H5391-'FACP$'!$I5391-'FACP$'!$K5391</f>
        <v>1811805.462</v>
      </c>
      <c r="M5391" s="162" t="s">
        <v>116</v>
      </c>
      <c r="N5391" s="162" t="s">
        <v>554</v>
      </c>
      <c r="O5391" s="164">
        <v>45644.0</v>
      </c>
      <c r="P5391" s="164">
        <f t="array" ref="P5391">XLOOKUP('FACP$'!$B5391,'perfil de pagos'!$A$4:$A$46,'perfil de pagos'!$B$4:$B$46+'FACP$'!$D5391)</f>
        <v>45645</v>
      </c>
      <c r="Q5391" s="165">
        <f t="shared" si="128"/>
        <v>0</v>
      </c>
      <c r="R5391" s="167"/>
      <c r="S5391" s="167"/>
      <c r="T5391" s="168">
        <f t="shared" si="3"/>
        <v>1811805.462</v>
      </c>
      <c r="U5391" s="168">
        <f t="shared" si="4"/>
        <v>0</v>
      </c>
      <c r="V5391" s="168">
        <f t="shared" si="5"/>
        <v>0</v>
      </c>
      <c r="W5391" s="168">
        <f t="shared" si="6"/>
        <v>0</v>
      </c>
      <c r="X5391" s="168">
        <f t="shared" si="7"/>
        <v>0</v>
      </c>
      <c r="Y5391" s="168">
        <f t="shared" si="8"/>
        <v>0</v>
      </c>
      <c r="Z5391" s="168">
        <f t="shared" si="9"/>
        <v>0</v>
      </c>
    </row>
    <row r="5392" ht="15.0" customHeight="1">
      <c r="A5392" s="157" t="s">
        <v>6835</v>
      </c>
      <c r="B5392" s="158" t="s">
        <v>29</v>
      </c>
      <c r="C5392" s="158" t="s">
        <v>6802</v>
      </c>
      <c r="D5392" s="159">
        <v>45635.0</v>
      </c>
      <c r="E5392" s="157" t="s">
        <v>731</v>
      </c>
      <c r="F5392" s="160">
        <v>338437.98</v>
      </c>
      <c r="G5392" s="160">
        <f>'FACP$'!$F5392*0.16</f>
        <v>54150.0768</v>
      </c>
      <c r="H5392" s="160">
        <f t="shared" si="124"/>
        <v>392588.0568</v>
      </c>
      <c r="I5392" s="160"/>
      <c r="J5392" s="161"/>
      <c r="K5392" s="160"/>
      <c r="L5392" s="160">
        <f>+'FACP$'!$H5392-'FACP$'!$I5392-'FACP$'!$K5392</f>
        <v>392588.0568</v>
      </c>
      <c r="M5392" s="162" t="s">
        <v>130</v>
      </c>
      <c r="N5392" s="162" t="s">
        <v>554</v>
      </c>
      <c r="O5392" s="164">
        <v>45642.0</v>
      </c>
      <c r="P5392" s="164">
        <f t="array" ref="P5392">XLOOKUP('FACP$'!$B5392,'perfil de pagos'!$A$4:$A$46,'perfil de pagos'!$B$4:$B$46+'FACP$'!$D5392)</f>
        <v>45645</v>
      </c>
      <c r="Q5392" s="165">
        <f t="shared" si="128"/>
        <v>0</v>
      </c>
      <c r="R5392" s="167"/>
      <c r="S5392" s="167"/>
      <c r="T5392" s="168">
        <f t="shared" si="3"/>
        <v>392588.0568</v>
      </c>
      <c r="U5392" s="168">
        <f t="shared" si="4"/>
        <v>0</v>
      </c>
      <c r="V5392" s="168">
        <f t="shared" si="5"/>
        <v>0</v>
      </c>
      <c r="W5392" s="168">
        <f t="shared" si="6"/>
        <v>0</v>
      </c>
      <c r="X5392" s="168">
        <f t="shared" si="7"/>
        <v>0</v>
      </c>
      <c r="Y5392" s="168">
        <f t="shared" si="8"/>
        <v>0</v>
      </c>
      <c r="Z5392" s="168">
        <f t="shared" si="9"/>
        <v>0</v>
      </c>
    </row>
    <row r="5393" ht="15.0" customHeight="1">
      <c r="A5393" s="157" t="s">
        <v>6836</v>
      </c>
      <c r="B5393" s="158" t="s">
        <v>29</v>
      </c>
      <c r="C5393" s="158" t="s">
        <v>6804</v>
      </c>
      <c r="D5393" s="159">
        <v>45635.0</v>
      </c>
      <c r="E5393" s="157" t="s">
        <v>731</v>
      </c>
      <c r="F5393" s="160">
        <v>583620.42</v>
      </c>
      <c r="G5393" s="160">
        <f>'FACP$'!$F5393*0.16</f>
        <v>93379.2672</v>
      </c>
      <c r="H5393" s="160">
        <f t="shared" si="124"/>
        <v>676999.6872</v>
      </c>
      <c r="I5393" s="160"/>
      <c r="J5393" s="161"/>
      <c r="K5393" s="160"/>
      <c r="L5393" s="160">
        <f>+'FACP$'!$H5393-'FACP$'!$I5393-'FACP$'!$K5393</f>
        <v>676999.6872</v>
      </c>
      <c r="M5393" s="162" t="s">
        <v>130</v>
      </c>
      <c r="N5393" s="162" t="s">
        <v>554</v>
      </c>
      <c r="O5393" s="164">
        <v>45649.0</v>
      </c>
      <c r="P5393" s="164">
        <f t="array" ref="P5393">XLOOKUP('FACP$'!$B5393,'perfil de pagos'!$A$4:$A$46,'perfil de pagos'!$B$4:$B$46+'FACP$'!$D5393)</f>
        <v>45645</v>
      </c>
      <c r="Q5393" s="165">
        <f t="shared" si="128"/>
        <v>0</v>
      </c>
      <c r="R5393" s="167"/>
      <c r="S5393" s="167"/>
      <c r="T5393" s="168">
        <f t="shared" si="3"/>
        <v>676999.6872</v>
      </c>
      <c r="U5393" s="168">
        <f t="shared" si="4"/>
        <v>0</v>
      </c>
      <c r="V5393" s="168">
        <f t="shared" si="5"/>
        <v>0</v>
      </c>
      <c r="W5393" s="168">
        <f t="shared" si="6"/>
        <v>0</v>
      </c>
      <c r="X5393" s="168">
        <f t="shared" si="7"/>
        <v>0</v>
      </c>
      <c r="Y5393" s="168">
        <f t="shared" si="8"/>
        <v>0</v>
      </c>
      <c r="Z5393" s="168">
        <f t="shared" si="9"/>
        <v>0</v>
      </c>
    </row>
    <row r="5394" ht="15.0" customHeight="1">
      <c r="A5394" s="157" t="s">
        <v>6837</v>
      </c>
      <c r="B5394" s="158" t="s">
        <v>40</v>
      </c>
      <c r="C5394" s="158" t="s">
        <v>6802</v>
      </c>
      <c r="D5394" s="159">
        <v>45635.0</v>
      </c>
      <c r="E5394" s="157" t="s">
        <v>731</v>
      </c>
      <c r="F5394" s="160">
        <v>497546.44</v>
      </c>
      <c r="G5394" s="160">
        <f>'FACP$'!$F5394*0.16</f>
        <v>79607.4304</v>
      </c>
      <c r="H5394" s="160">
        <f t="shared" si="124"/>
        <v>577153.8704</v>
      </c>
      <c r="I5394" s="160"/>
      <c r="J5394" s="161"/>
      <c r="K5394" s="160"/>
      <c r="L5394" s="160">
        <f>+'FACP$'!$H5394-'FACP$'!$I5394-'FACP$'!$K5394</f>
        <v>577153.8704</v>
      </c>
      <c r="M5394" s="162" t="s">
        <v>490</v>
      </c>
      <c r="N5394" s="162" t="s">
        <v>554</v>
      </c>
      <c r="O5394" s="164">
        <v>45666.0</v>
      </c>
      <c r="P5394" s="164">
        <f t="array" ref="P5394">XLOOKUP('FACP$'!$B5394,'perfil de pagos'!$A$4:$A$46,'perfil de pagos'!$B$4:$B$46+'FACP$'!$D5394)</f>
        <v>45665</v>
      </c>
      <c r="Q5394" s="165">
        <f t="shared" si="128"/>
        <v>0</v>
      </c>
      <c r="R5394" s="167"/>
      <c r="S5394" s="167">
        <v>3536.0</v>
      </c>
      <c r="T5394" s="168">
        <f t="shared" si="3"/>
        <v>577153.8704</v>
      </c>
      <c r="U5394" s="168">
        <f t="shared" si="4"/>
        <v>0</v>
      </c>
      <c r="V5394" s="168">
        <f t="shared" si="5"/>
        <v>0</v>
      </c>
      <c r="W5394" s="168">
        <f t="shared" si="6"/>
        <v>0</v>
      </c>
      <c r="X5394" s="168">
        <f t="shared" si="7"/>
        <v>0</v>
      </c>
      <c r="Y5394" s="168">
        <f t="shared" si="8"/>
        <v>0</v>
      </c>
      <c r="Z5394" s="168">
        <f t="shared" si="9"/>
        <v>0</v>
      </c>
    </row>
    <row r="5395" ht="15.0" customHeight="1">
      <c r="A5395" s="157" t="s">
        <v>6838</v>
      </c>
      <c r="B5395" s="158" t="s">
        <v>40</v>
      </c>
      <c r="C5395" s="158" t="s">
        <v>6804</v>
      </c>
      <c r="D5395" s="159">
        <v>45635.0</v>
      </c>
      <c r="E5395" s="157" t="s">
        <v>731</v>
      </c>
      <c r="F5395" s="160">
        <v>494170.63</v>
      </c>
      <c r="G5395" s="160">
        <f>'FACP$'!$F5395*0.16</f>
        <v>79067.3008</v>
      </c>
      <c r="H5395" s="160">
        <f t="shared" si="124"/>
        <v>573237.9308</v>
      </c>
      <c r="I5395" s="160"/>
      <c r="J5395" s="161"/>
      <c r="K5395" s="160"/>
      <c r="L5395" s="160">
        <f>+'FACP$'!$H5395-'FACP$'!$I5395-'FACP$'!$K5395</f>
        <v>573237.9308</v>
      </c>
      <c r="M5395" s="162" t="s">
        <v>490</v>
      </c>
      <c r="N5395" s="162" t="s">
        <v>554</v>
      </c>
      <c r="O5395" s="164">
        <v>45645.0</v>
      </c>
      <c r="P5395" s="164">
        <f t="array" ref="P5395">XLOOKUP('FACP$'!$B5395,'perfil de pagos'!$A$4:$A$46,'perfil de pagos'!$B$4:$B$46+'FACP$'!$D5395)</f>
        <v>45665</v>
      </c>
      <c r="Q5395" s="165">
        <f t="shared" si="128"/>
        <v>0</v>
      </c>
      <c r="R5395" s="167"/>
      <c r="S5395" s="167"/>
      <c r="T5395" s="168">
        <f t="shared" si="3"/>
        <v>573237.9308</v>
      </c>
      <c r="U5395" s="168">
        <f t="shared" si="4"/>
        <v>0</v>
      </c>
      <c r="V5395" s="168">
        <f t="shared" si="5"/>
        <v>0</v>
      </c>
      <c r="W5395" s="168">
        <f t="shared" si="6"/>
        <v>0</v>
      </c>
      <c r="X5395" s="168">
        <f t="shared" si="7"/>
        <v>0</v>
      </c>
      <c r="Y5395" s="168">
        <f t="shared" si="8"/>
        <v>0</v>
      </c>
      <c r="Z5395" s="168">
        <f t="shared" si="9"/>
        <v>0</v>
      </c>
    </row>
    <row r="5396" ht="15.0" customHeight="1">
      <c r="A5396" s="157" t="s">
        <v>6839</v>
      </c>
      <c r="B5396" s="158" t="s">
        <v>27</v>
      </c>
      <c r="C5396" s="158" t="s">
        <v>6802</v>
      </c>
      <c r="D5396" s="159">
        <v>45635.0</v>
      </c>
      <c r="E5396" s="157" t="s">
        <v>731</v>
      </c>
      <c r="F5396" s="160">
        <v>48984.93</v>
      </c>
      <c r="G5396" s="160">
        <f>'FACP$'!$F5396*0.16</f>
        <v>7837.5888</v>
      </c>
      <c r="H5396" s="211">
        <f t="shared" si="124"/>
        <v>56822.5188</v>
      </c>
      <c r="I5396" s="160"/>
      <c r="J5396" s="161"/>
      <c r="K5396" s="160"/>
      <c r="L5396" s="160">
        <f>+'FACP$'!$H5396-'FACP$'!$I5396-'FACP$'!$K5396</f>
        <v>56822.5188</v>
      </c>
      <c r="M5396" s="162" t="s">
        <v>158</v>
      </c>
      <c r="N5396" s="162" t="s">
        <v>554</v>
      </c>
      <c r="O5396" s="164">
        <v>45757.0</v>
      </c>
      <c r="P5396" s="164">
        <f t="array" ref="P5396">XLOOKUP('FACP$'!$B5396,'perfil de pagos'!$A$4:$A$46,'perfil de pagos'!$B$4:$B$46+'FACP$'!$D5396)</f>
        <v>45665</v>
      </c>
      <c r="Q5396" s="165">
        <f t="shared" si="128"/>
        <v>0</v>
      </c>
      <c r="R5396" s="167"/>
      <c r="S5396" s="167">
        <v>3741.0</v>
      </c>
      <c r="T5396" s="168">
        <f t="shared" si="3"/>
        <v>56822.5188</v>
      </c>
      <c r="U5396" s="168">
        <f t="shared" si="4"/>
        <v>0</v>
      </c>
      <c r="V5396" s="168">
        <f t="shared" si="5"/>
        <v>0</v>
      </c>
      <c r="W5396" s="168">
        <f t="shared" si="6"/>
        <v>0</v>
      </c>
      <c r="X5396" s="168">
        <f t="shared" si="7"/>
        <v>0</v>
      </c>
      <c r="Y5396" s="168">
        <f t="shared" si="8"/>
        <v>0</v>
      </c>
      <c r="Z5396" s="168">
        <f t="shared" si="9"/>
        <v>0</v>
      </c>
    </row>
    <row r="5397" ht="15.0" customHeight="1">
      <c r="A5397" s="157" t="s">
        <v>6840</v>
      </c>
      <c r="B5397" s="158" t="s">
        <v>27</v>
      </c>
      <c r="C5397" s="158" t="s">
        <v>6804</v>
      </c>
      <c r="D5397" s="159">
        <v>45635.0</v>
      </c>
      <c r="E5397" s="157" t="s">
        <v>731</v>
      </c>
      <c r="F5397" s="160">
        <v>24489.81</v>
      </c>
      <c r="G5397" s="160">
        <f>'FACP$'!$F5397*0.16</f>
        <v>3918.3696</v>
      </c>
      <c r="H5397" s="211">
        <f t="shared" si="124"/>
        <v>28408.1796</v>
      </c>
      <c r="I5397" s="160"/>
      <c r="J5397" s="161"/>
      <c r="K5397" s="160"/>
      <c r="L5397" s="160">
        <f>+'FACP$'!$H5397-'FACP$'!$I5397-'FACP$'!$K5397</f>
        <v>28408.1796</v>
      </c>
      <c r="M5397" s="162" t="s">
        <v>158</v>
      </c>
      <c r="N5397" s="162" t="s">
        <v>554</v>
      </c>
      <c r="O5397" s="164">
        <v>45757.0</v>
      </c>
      <c r="P5397" s="164">
        <f t="array" ref="P5397">XLOOKUP('FACP$'!$B5397,'perfil de pagos'!$A$4:$A$46,'perfil de pagos'!$B$4:$B$46+'FACP$'!$D5397)</f>
        <v>45665</v>
      </c>
      <c r="Q5397" s="165">
        <f t="shared" si="128"/>
        <v>0</v>
      </c>
      <c r="R5397" s="167"/>
      <c r="S5397" s="167">
        <v>3741.0</v>
      </c>
      <c r="T5397" s="168">
        <f t="shared" si="3"/>
        <v>28408.1796</v>
      </c>
      <c r="U5397" s="168">
        <f t="shared" si="4"/>
        <v>0</v>
      </c>
      <c r="V5397" s="168">
        <f t="shared" si="5"/>
        <v>0</v>
      </c>
      <c r="W5397" s="168">
        <f t="shared" si="6"/>
        <v>0</v>
      </c>
      <c r="X5397" s="168">
        <f t="shared" si="7"/>
        <v>0</v>
      </c>
      <c r="Y5397" s="168">
        <f t="shared" si="8"/>
        <v>0</v>
      </c>
      <c r="Z5397" s="168">
        <f t="shared" si="9"/>
        <v>0</v>
      </c>
    </row>
    <row r="5398" ht="15.0" customHeight="1">
      <c r="A5398" s="157" t="s">
        <v>6841</v>
      </c>
      <c r="B5398" s="158" t="s">
        <v>27</v>
      </c>
      <c r="C5398" s="158" t="s">
        <v>6802</v>
      </c>
      <c r="D5398" s="159">
        <v>45635.0</v>
      </c>
      <c r="E5398" s="157" t="s">
        <v>731</v>
      </c>
      <c r="F5398" s="160">
        <v>56880.0</v>
      </c>
      <c r="G5398" s="160">
        <f>'FACP$'!$F5398*0.16</f>
        <v>9100.8</v>
      </c>
      <c r="H5398" s="211">
        <f t="shared" si="124"/>
        <v>65980.8</v>
      </c>
      <c r="I5398" s="160"/>
      <c r="J5398" s="161"/>
      <c r="K5398" s="160"/>
      <c r="L5398" s="160">
        <f>+'FACP$'!$H5398-'FACP$'!$I5398-'FACP$'!$K5398</f>
        <v>65980.8</v>
      </c>
      <c r="M5398" s="162" t="s">
        <v>151</v>
      </c>
      <c r="N5398" s="162" t="s">
        <v>554</v>
      </c>
      <c r="O5398" s="164">
        <v>45757.0</v>
      </c>
      <c r="P5398" s="164">
        <f t="array" ref="P5398">XLOOKUP('FACP$'!$B5398,'perfil de pagos'!$A$4:$A$46,'perfil de pagos'!$B$4:$B$46+'FACP$'!$D5398)</f>
        <v>45665</v>
      </c>
      <c r="Q5398" s="165">
        <f t="shared" si="128"/>
        <v>0</v>
      </c>
      <c r="R5398" s="167"/>
      <c r="S5398" s="167"/>
      <c r="T5398" s="168">
        <f t="shared" si="3"/>
        <v>65980.8</v>
      </c>
      <c r="U5398" s="168">
        <f t="shared" si="4"/>
        <v>0</v>
      </c>
      <c r="V5398" s="168">
        <f t="shared" si="5"/>
        <v>0</v>
      </c>
      <c r="W5398" s="168">
        <f t="shared" si="6"/>
        <v>0</v>
      </c>
      <c r="X5398" s="168">
        <f t="shared" si="7"/>
        <v>0</v>
      </c>
      <c r="Y5398" s="168">
        <f t="shared" si="8"/>
        <v>0</v>
      </c>
      <c r="Z5398" s="168">
        <f t="shared" si="9"/>
        <v>0</v>
      </c>
    </row>
    <row r="5399" ht="15.0" customHeight="1">
      <c r="A5399" s="157" t="s">
        <v>6842</v>
      </c>
      <c r="B5399" s="158" t="s">
        <v>27</v>
      </c>
      <c r="C5399" s="158" t="s">
        <v>6804</v>
      </c>
      <c r="D5399" s="159">
        <v>45635.0</v>
      </c>
      <c r="E5399" s="157" t="s">
        <v>731</v>
      </c>
      <c r="F5399" s="160">
        <v>14644.99</v>
      </c>
      <c r="G5399" s="160">
        <f>'FACP$'!$F5399*0.16</f>
        <v>2343.1984</v>
      </c>
      <c r="H5399" s="211">
        <f t="shared" si="124"/>
        <v>16988.1884</v>
      </c>
      <c r="I5399" s="160"/>
      <c r="J5399" s="161"/>
      <c r="K5399" s="160"/>
      <c r="L5399" s="160">
        <f>+'FACP$'!$H5399-'FACP$'!$I5399-'FACP$'!$K5399</f>
        <v>16988.1884</v>
      </c>
      <c r="M5399" s="162" t="s">
        <v>151</v>
      </c>
      <c r="N5399" s="162" t="s">
        <v>554</v>
      </c>
      <c r="O5399" s="164">
        <v>45757.0</v>
      </c>
      <c r="P5399" s="164">
        <f t="array" ref="P5399">XLOOKUP('FACP$'!$B5399,'perfil de pagos'!$A$4:$A$46,'perfil de pagos'!$B$4:$B$46+'FACP$'!$D5399)</f>
        <v>45665</v>
      </c>
      <c r="Q5399" s="165">
        <f t="shared" si="128"/>
        <v>0</v>
      </c>
      <c r="R5399" s="167"/>
      <c r="S5399" s="167">
        <v>3742.0</v>
      </c>
      <c r="T5399" s="168">
        <f t="shared" si="3"/>
        <v>16988.1884</v>
      </c>
      <c r="U5399" s="168">
        <f t="shared" si="4"/>
        <v>0</v>
      </c>
      <c r="V5399" s="168">
        <f t="shared" si="5"/>
        <v>0</v>
      </c>
      <c r="W5399" s="168">
        <f t="shared" si="6"/>
        <v>0</v>
      </c>
      <c r="X5399" s="168">
        <f t="shared" si="7"/>
        <v>0</v>
      </c>
      <c r="Y5399" s="168">
        <f t="shared" si="8"/>
        <v>0</v>
      </c>
      <c r="Z5399" s="168">
        <f t="shared" si="9"/>
        <v>0</v>
      </c>
    </row>
    <row r="5400" ht="15.0" customHeight="1">
      <c r="A5400" s="157" t="s">
        <v>6843</v>
      </c>
      <c r="B5400" s="158" t="s">
        <v>27</v>
      </c>
      <c r="C5400" s="158" t="s">
        <v>6802</v>
      </c>
      <c r="D5400" s="159">
        <v>45635.0</v>
      </c>
      <c r="E5400" s="157" t="s">
        <v>731</v>
      </c>
      <c r="F5400" s="160">
        <v>5975.76</v>
      </c>
      <c r="G5400" s="160">
        <f>'FACP$'!$F5400*0.16</f>
        <v>956.1216</v>
      </c>
      <c r="H5400" s="211">
        <f t="shared" si="124"/>
        <v>6931.8816</v>
      </c>
      <c r="I5400" s="160"/>
      <c r="J5400" s="161"/>
      <c r="K5400" s="160"/>
      <c r="L5400" s="160">
        <f>+'FACP$'!$H5400-'FACP$'!$I5400-'FACP$'!$K5400</f>
        <v>6931.8816</v>
      </c>
      <c r="M5400" s="162" t="s">
        <v>151</v>
      </c>
      <c r="N5400" s="162" t="s">
        <v>554</v>
      </c>
      <c r="O5400" s="164">
        <v>45757.0</v>
      </c>
      <c r="P5400" s="164">
        <f t="array" ref="P5400">XLOOKUP('FACP$'!$B5400,'perfil de pagos'!$A$4:$A$46,'perfil de pagos'!$B$4:$B$46+'FACP$'!$D5400)</f>
        <v>45665</v>
      </c>
      <c r="Q5400" s="165">
        <f t="shared" si="128"/>
        <v>0</v>
      </c>
      <c r="R5400" s="167"/>
      <c r="S5400" s="167">
        <v>3742.0</v>
      </c>
      <c r="T5400" s="168">
        <f t="shared" si="3"/>
        <v>6931.8816</v>
      </c>
      <c r="U5400" s="168">
        <f t="shared" si="4"/>
        <v>0</v>
      </c>
      <c r="V5400" s="168">
        <f t="shared" si="5"/>
        <v>0</v>
      </c>
      <c r="W5400" s="168">
        <f t="shared" si="6"/>
        <v>0</v>
      </c>
      <c r="X5400" s="168">
        <f t="shared" si="7"/>
        <v>0</v>
      </c>
      <c r="Y5400" s="168">
        <f t="shared" si="8"/>
        <v>0</v>
      </c>
      <c r="Z5400" s="168">
        <f t="shared" si="9"/>
        <v>0</v>
      </c>
    </row>
    <row r="5401" ht="15.0" customHeight="1">
      <c r="A5401" s="157" t="s">
        <v>6844</v>
      </c>
      <c r="B5401" s="158" t="s">
        <v>27</v>
      </c>
      <c r="C5401" s="158" t="s">
        <v>6804</v>
      </c>
      <c r="D5401" s="159">
        <v>45635.0</v>
      </c>
      <c r="E5401" s="157" t="s">
        <v>731</v>
      </c>
      <c r="F5401" s="160">
        <v>2214.4</v>
      </c>
      <c r="G5401" s="160">
        <f>'FACP$'!$F5401*0.16</f>
        <v>354.304</v>
      </c>
      <c r="H5401" s="211">
        <f t="shared" si="124"/>
        <v>2568.704</v>
      </c>
      <c r="I5401" s="160"/>
      <c r="J5401" s="161"/>
      <c r="K5401" s="160"/>
      <c r="L5401" s="160">
        <f>+'FACP$'!$H5401-'FACP$'!$I5401-'FACP$'!$K5401</f>
        <v>2568.704</v>
      </c>
      <c r="M5401" s="162" t="s">
        <v>151</v>
      </c>
      <c r="N5401" s="162" t="s">
        <v>554</v>
      </c>
      <c r="O5401" s="164">
        <v>45757.0</v>
      </c>
      <c r="P5401" s="164">
        <f t="array" ref="P5401">XLOOKUP('FACP$'!$B5401,'perfil de pagos'!$A$4:$A$46,'perfil de pagos'!$B$4:$B$46+'FACP$'!$D5401)</f>
        <v>45665</v>
      </c>
      <c r="Q5401" s="165">
        <f t="shared" si="128"/>
        <v>0</v>
      </c>
      <c r="R5401" s="167"/>
      <c r="S5401" s="167">
        <v>3742.0</v>
      </c>
      <c r="T5401" s="168">
        <f t="shared" si="3"/>
        <v>2568.704</v>
      </c>
      <c r="U5401" s="168">
        <f t="shared" si="4"/>
        <v>0</v>
      </c>
      <c r="V5401" s="168">
        <f t="shared" si="5"/>
        <v>0</v>
      </c>
      <c r="W5401" s="168">
        <f t="shared" si="6"/>
        <v>0</v>
      </c>
      <c r="X5401" s="168">
        <f t="shared" si="7"/>
        <v>0</v>
      </c>
      <c r="Y5401" s="168">
        <f t="shared" si="8"/>
        <v>0</v>
      </c>
      <c r="Z5401" s="168">
        <f t="shared" si="9"/>
        <v>0</v>
      </c>
    </row>
    <row r="5402" ht="15.0" customHeight="1">
      <c r="A5402" s="157" t="s">
        <v>6845</v>
      </c>
      <c r="B5402" s="158" t="s">
        <v>38</v>
      </c>
      <c r="C5402" s="158" t="s">
        <v>6802</v>
      </c>
      <c r="D5402" s="159">
        <v>45637.0</v>
      </c>
      <c r="E5402" s="157" t="s">
        <v>731</v>
      </c>
      <c r="F5402" s="160">
        <v>595744.84</v>
      </c>
      <c r="G5402" s="160">
        <f>'FACP$'!$F5402*0.16</f>
        <v>95319.1744</v>
      </c>
      <c r="H5402" s="160">
        <f t="shared" si="124"/>
        <v>691064.0144</v>
      </c>
      <c r="I5402" s="160"/>
      <c r="J5402" s="161"/>
      <c r="K5402" s="160"/>
      <c r="L5402" s="160">
        <f>+'FACP$'!$H5402-'FACP$'!$I5402-'FACP$'!$K5402</f>
        <v>691064.0144</v>
      </c>
      <c r="M5402" s="162" t="s">
        <v>145</v>
      </c>
      <c r="N5402" s="162" t="s">
        <v>554</v>
      </c>
      <c r="O5402" s="164">
        <v>45653.0</v>
      </c>
      <c r="P5402" s="164">
        <f t="array" ref="P5402">XLOOKUP('FACP$'!$B5402,'perfil de pagos'!$A$4:$A$46,'perfil de pagos'!$B$4:$B$46+'FACP$'!$D5402)</f>
        <v>45667</v>
      </c>
      <c r="Q5402" s="165">
        <f t="shared" si="128"/>
        <v>0</v>
      </c>
      <c r="R5402" s="167"/>
      <c r="S5402" s="167"/>
      <c r="T5402" s="168">
        <f t="shared" si="3"/>
        <v>691064.0144</v>
      </c>
      <c r="U5402" s="168">
        <f t="shared" si="4"/>
        <v>0</v>
      </c>
      <c r="V5402" s="168">
        <f t="shared" si="5"/>
        <v>0</v>
      </c>
      <c r="W5402" s="168">
        <f t="shared" si="6"/>
        <v>0</v>
      </c>
      <c r="X5402" s="168">
        <f t="shared" si="7"/>
        <v>0</v>
      </c>
      <c r="Y5402" s="168">
        <f t="shared" si="8"/>
        <v>0</v>
      </c>
      <c r="Z5402" s="168">
        <f t="shared" si="9"/>
        <v>0</v>
      </c>
    </row>
    <row r="5403" ht="15.0" customHeight="1">
      <c r="A5403" s="157" t="s">
        <v>6846</v>
      </c>
      <c r="B5403" s="158" t="s">
        <v>36</v>
      </c>
      <c r="C5403" s="158" t="s">
        <v>6802</v>
      </c>
      <c r="D5403" s="159">
        <v>45638.0</v>
      </c>
      <c r="E5403" s="157" t="s">
        <v>731</v>
      </c>
      <c r="F5403" s="160">
        <v>1639.59</v>
      </c>
      <c r="G5403" s="160">
        <f>'FACP$'!$F5403*0.16</f>
        <v>262.3344</v>
      </c>
      <c r="H5403" s="160">
        <f t="shared" si="124"/>
        <v>1901.9244</v>
      </c>
      <c r="I5403" s="160"/>
      <c r="J5403" s="161"/>
      <c r="K5403" s="160"/>
      <c r="L5403" s="160">
        <f>+'FACP$'!$H5403-'FACP$'!$I5403-'FACP$'!$K5403</f>
        <v>1901.9244</v>
      </c>
      <c r="M5403" s="162" t="s">
        <v>526</v>
      </c>
      <c r="N5403" s="162" t="s">
        <v>554</v>
      </c>
      <c r="O5403" s="164">
        <v>45653.0</v>
      </c>
      <c r="P5403" s="164">
        <f t="array" ref="P5403">XLOOKUP('FACP$'!$B5403,'perfil de pagos'!$A$4:$A$46,'perfil de pagos'!$B$4:$B$46+'FACP$'!$D5403)</f>
        <v>45648</v>
      </c>
      <c r="Q5403" s="165">
        <f t="shared" si="128"/>
        <v>0</v>
      </c>
      <c r="R5403" s="167"/>
      <c r="S5403" s="167"/>
      <c r="T5403" s="168">
        <f t="shared" si="3"/>
        <v>1901.9244</v>
      </c>
      <c r="U5403" s="168">
        <f t="shared" si="4"/>
        <v>0</v>
      </c>
      <c r="V5403" s="168">
        <f t="shared" si="5"/>
        <v>0</v>
      </c>
      <c r="W5403" s="168">
        <f t="shared" si="6"/>
        <v>0</v>
      </c>
      <c r="X5403" s="168">
        <f t="shared" si="7"/>
        <v>0</v>
      </c>
      <c r="Y5403" s="168">
        <f t="shared" si="8"/>
        <v>0</v>
      </c>
      <c r="Z5403" s="168">
        <f t="shared" si="9"/>
        <v>0</v>
      </c>
    </row>
    <row r="5404" ht="15.0" customHeight="1">
      <c r="A5404" s="157" t="s">
        <v>6847</v>
      </c>
      <c r="B5404" s="158" t="s">
        <v>36</v>
      </c>
      <c r="C5404" s="158" t="s">
        <v>6804</v>
      </c>
      <c r="D5404" s="159">
        <v>45638.0</v>
      </c>
      <c r="E5404" s="157" t="s">
        <v>731</v>
      </c>
      <c r="F5404" s="160">
        <v>5733.0</v>
      </c>
      <c r="G5404" s="160">
        <v>923.68</v>
      </c>
      <c r="H5404" s="160">
        <f t="shared" si="124"/>
        <v>6656.68</v>
      </c>
      <c r="I5404" s="160"/>
      <c r="J5404" s="161"/>
      <c r="K5404" s="160"/>
      <c r="L5404" s="160">
        <f>+'FACP$'!$H5404-'FACP$'!$I5404-'FACP$'!$K5404</f>
        <v>6656.68</v>
      </c>
      <c r="M5404" s="162" t="s">
        <v>526</v>
      </c>
      <c r="N5404" s="162" t="s">
        <v>554</v>
      </c>
      <c r="O5404" s="164">
        <v>45665.0</v>
      </c>
      <c r="P5404" s="164">
        <f t="array" ref="P5404">XLOOKUP('FACP$'!$B5404,'perfil de pagos'!$A$4:$A$46,'perfil de pagos'!$B$4:$B$46+'FACP$'!$D5404)</f>
        <v>45648</v>
      </c>
      <c r="Q5404" s="165">
        <f t="shared" si="128"/>
        <v>0</v>
      </c>
      <c r="R5404" s="167"/>
      <c r="S5404" s="167">
        <v>3530.0</v>
      </c>
      <c r="T5404" s="168">
        <f t="shared" si="3"/>
        <v>6656.68</v>
      </c>
      <c r="U5404" s="168">
        <f t="shared" si="4"/>
        <v>0</v>
      </c>
      <c r="V5404" s="168">
        <f t="shared" si="5"/>
        <v>0</v>
      </c>
      <c r="W5404" s="168">
        <f t="shared" si="6"/>
        <v>0</v>
      </c>
      <c r="X5404" s="168">
        <f t="shared" si="7"/>
        <v>0</v>
      </c>
      <c r="Y5404" s="168">
        <f t="shared" si="8"/>
        <v>0</v>
      </c>
      <c r="Z5404" s="168">
        <f t="shared" si="9"/>
        <v>0</v>
      </c>
    </row>
    <row r="5405" ht="15.0" customHeight="1">
      <c r="A5405" s="157" t="s">
        <v>6848</v>
      </c>
      <c r="B5405" s="158" t="s">
        <v>38</v>
      </c>
      <c r="C5405" s="158" t="s">
        <v>6802</v>
      </c>
      <c r="D5405" s="159">
        <v>45638.0</v>
      </c>
      <c r="E5405" s="157" t="s">
        <v>731</v>
      </c>
      <c r="F5405" s="160">
        <v>86217.62</v>
      </c>
      <c r="G5405" s="160">
        <f>'FACP$'!$F5405*0.16</f>
        <v>13794.8192</v>
      </c>
      <c r="H5405" s="160">
        <f t="shared" si="124"/>
        <v>100012.4392</v>
      </c>
      <c r="I5405" s="160"/>
      <c r="J5405" s="161"/>
      <c r="K5405" s="160"/>
      <c r="L5405" s="160">
        <f>+'FACP$'!$H5405-'FACP$'!$I5405-'FACP$'!$K5405</f>
        <v>100012.4392</v>
      </c>
      <c r="M5405" s="162" t="s">
        <v>4654</v>
      </c>
      <c r="N5405" s="162" t="s">
        <v>554</v>
      </c>
      <c r="O5405" s="164">
        <v>45665.0</v>
      </c>
      <c r="P5405" s="164">
        <f t="array" ref="P5405">XLOOKUP('FACP$'!$B5405,'perfil de pagos'!$A$4:$A$46,'perfil de pagos'!$B$4:$B$46+'FACP$'!$D5405)</f>
        <v>45668</v>
      </c>
      <c r="Q5405" s="165">
        <f t="shared" si="128"/>
        <v>0</v>
      </c>
      <c r="R5405" s="167"/>
      <c r="S5405" s="167">
        <v>3533.0</v>
      </c>
      <c r="T5405" s="168">
        <f t="shared" si="3"/>
        <v>100012.4392</v>
      </c>
      <c r="U5405" s="168">
        <f t="shared" si="4"/>
        <v>0</v>
      </c>
      <c r="V5405" s="168">
        <f t="shared" si="5"/>
        <v>0</v>
      </c>
      <c r="W5405" s="168">
        <f t="shared" si="6"/>
        <v>0</v>
      </c>
      <c r="X5405" s="168">
        <f t="shared" si="7"/>
        <v>0</v>
      </c>
      <c r="Y5405" s="168">
        <f t="shared" si="8"/>
        <v>0</v>
      </c>
      <c r="Z5405" s="168">
        <f t="shared" si="9"/>
        <v>0</v>
      </c>
    </row>
    <row r="5406" ht="15.0" customHeight="1">
      <c r="A5406" s="157" t="s">
        <v>6849</v>
      </c>
      <c r="B5406" s="158" t="s">
        <v>32</v>
      </c>
      <c r="C5406" s="158" t="s">
        <v>6850</v>
      </c>
      <c r="D5406" s="159">
        <v>45643.0</v>
      </c>
      <c r="E5406" s="157" t="s">
        <v>731</v>
      </c>
      <c r="F5406" s="160">
        <v>95888.48</v>
      </c>
      <c r="G5406" s="160">
        <f>'FACP$'!$F5406*0.16</f>
        <v>15342.1568</v>
      </c>
      <c r="H5406" s="160">
        <f t="shared" si="124"/>
        <v>111230.6368</v>
      </c>
      <c r="I5406" s="160"/>
      <c r="J5406" s="161"/>
      <c r="K5406" s="160"/>
      <c r="L5406" s="160">
        <f>+'FACP$'!$H5406-'FACP$'!$I5406-'FACP$'!$K5406</f>
        <v>111230.6368</v>
      </c>
      <c r="M5406" s="162" t="s">
        <v>395</v>
      </c>
      <c r="N5406" s="162" t="s">
        <v>554</v>
      </c>
      <c r="O5406" s="164">
        <v>45674.0</v>
      </c>
      <c r="P5406" s="164">
        <f t="array" ref="P5406">XLOOKUP('FACP$'!$B5406,'perfil de pagos'!$A$4:$A$46,'perfil de pagos'!$B$4:$B$46+'FACP$'!$D5406)</f>
        <v>45653</v>
      </c>
      <c r="Q5406" s="165">
        <f t="shared" si="128"/>
        <v>0</v>
      </c>
      <c r="R5406" s="167"/>
      <c r="S5406" s="167">
        <v>3547.0</v>
      </c>
      <c r="T5406" s="168">
        <f t="shared" si="3"/>
        <v>111230.6368</v>
      </c>
      <c r="U5406" s="168">
        <f t="shared" si="4"/>
        <v>0</v>
      </c>
      <c r="V5406" s="168">
        <f t="shared" si="5"/>
        <v>0</v>
      </c>
      <c r="W5406" s="168">
        <f t="shared" si="6"/>
        <v>0</v>
      </c>
      <c r="X5406" s="168">
        <f t="shared" si="7"/>
        <v>0</v>
      </c>
      <c r="Y5406" s="168">
        <f t="shared" si="8"/>
        <v>0</v>
      </c>
      <c r="Z5406" s="168">
        <f t="shared" si="9"/>
        <v>0</v>
      </c>
    </row>
    <row r="5407" ht="15.0" customHeight="1">
      <c r="A5407" s="299" t="s">
        <v>6851</v>
      </c>
      <c r="B5407" s="300" t="s">
        <v>49</v>
      </c>
      <c r="C5407" s="300" t="s">
        <v>6850</v>
      </c>
      <c r="D5407" s="301">
        <v>45643.0</v>
      </c>
      <c r="E5407" s="299" t="s">
        <v>731</v>
      </c>
      <c r="F5407" s="302">
        <v>35226.92</v>
      </c>
      <c r="G5407" s="302">
        <f>'FACP$'!$F5407*0.16</f>
        <v>5636.3072</v>
      </c>
      <c r="H5407" s="302">
        <f t="shared" si="124"/>
        <v>40863.2272</v>
      </c>
      <c r="I5407" s="302"/>
      <c r="J5407" s="304"/>
      <c r="K5407" s="302"/>
      <c r="L5407" s="302">
        <f>+'FACP$'!$H5407-'FACP$'!$I5407-'FACP$'!$K5407</f>
        <v>40863.2272</v>
      </c>
      <c r="M5407" s="305" t="s">
        <v>2263</v>
      </c>
      <c r="N5407" s="305" t="s">
        <v>127</v>
      </c>
      <c r="O5407" s="306"/>
      <c r="P5407" s="306">
        <f t="array" ref="P5407">XLOOKUP('FACP$'!$B5407,'perfil de pagos'!$A$4:$A$46,'perfil de pagos'!$B$4:$B$46+'FACP$'!$D5407)</f>
        <v>45653</v>
      </c>
      <c r="Q5407" s="307">
        <f t="shared" si="128"/>
        <v>0</v>
      </c>
      <c r="R5407" s="308"/>
      <c r="S5407" s="308"/>
      <c r="T5407" s="309">
        <f t="shared" si="3"/>
        <v>40863.2272</v>
      </c>
      <c r="U5407" s="309">
        <f t="shared" si="4"/>
        <v>0</v>
      </c>
      <c r="V5407" s="309">
        <f t="shared" si="5"/>
        <v>0</v>
      </c>
      <c r="W5407" s="309">
        <f t="shared" si="6"/>
        <v>0</v>
      </c>
      <c r="X5407" s="309">
        <f t="shared" si="7"/>
        <v>0</v>
      </c>
      <c r="Y5407" s="309">
        <f t="shared" si="8"/>
        <v>0</v>
      </c>
      <c r="Z5407" s="309">
        <f t="shared" si="9"/>
        <v>0</v>
      </c>
    </row>
    <row r="5408" ht="15.0" customHeight="1">
      <c r="A5408" s="299" t="s">
        <v>6852</v>
      </c>
      <c r="B5408" s="300" t="s">
        <v>49</v>
      </c>
      <c r="C5408" s="300" t="s">
        <v>6853</v>
      </c>
      <c r="D5408" s="301">
        <v>45643.0</v>
      </c>
      <c r="E5408" s="299" t="s">
        <v>731</v>
      </c>
      <c r="F5408" s="302">
        <v>10637.08</v>
      </c>
      <c r="G5408" s="302">
        <f>'FACP$'!$F5408*0.16</f>
        <v>1701.9328</v>
      </c>
      <c r="H5408" s="302">
        <f t="shared" si="124"/>
        <v>12339.0128</v>
      </c>
      <c r="I5408" s="302"/>
      <c r="J5408" s="304"/>
      <c r="K5408" s="302"/>
      <c r="L5408" s="302">
        <f>+'FACP$'!$H5408-'FACP$'!$I5408-'FACP$'!$K5408</f>
        <v>12339.0128</v>
      </c>
      <c r="M5408" s="305" t="s">
        <v>2263</v>
      </c>
      <c r="N5408" s="305" t="s">
        <v>127</v>
      </c>
      <c r="O5408" s="306"/>
      <c r="P5408" s="306">
        <f t="array" ref="P5408">XLOOKUP('FACP$'!$B5408,'perfil de pagos'!$A$4:$A$46,'perfil de pagos'!$B$4:$B$46+'FACP$'!$D5408)</f>
        <v>45653</v>
      </c>
      <c r="Q5408" s="307">
        <f t="shared" si="128"/>
        <v>0</v>
      </c>
      <c r="R5408" s="308"/>
      <c r="S5408" s="308"/>
      <c r="T5408" s="309">
        <f t="shared" si="3"/>
        <v>12339.0128</v>
      </c>
      <c r="U5408" s="309">
        <f t="shared" si="4"/>
        <v>0</v>
      </c>
      <c r="V5408" s="309">
        <f t="shared" si="5"/>
        <v>0</v>
      </c>
      <c r="W5408" s="309">
        <f t="shared" si="6"/>
        <v>0</v>
      </c>
      <c r="X5408" s="309">
        <f t="shared" si="7"/>
        <v>0</v>
      </c>
      <c r="Y5408" s="309">
        <f t="shared" si="8"/>
        <v>0</v>
      </c>
      <c r="Z5408" s="309">
        <f t="shared" si="9"/>
        <v>0</v>
      </c>
    </row>
    <row r="5409" ht="15.0" customHeight="1">
      <c r="A5409" s="299" t="s">
        <v>6854</v>
      </c>
      <c r="B5409" s="300" t="s">
        <v>41</v>
      </c>
      <c r="C5409" s="300" t="s">
        <v>6850</v>
      </c>
      <c r="D5409" s="301">
        <v>45643.0</v>
      </c>
      <c r="E5409" s="299" t="s">
        <v>731</v>
      </c>
      <c r="F5409" s="302">
        <v>1746496.06</v>
      </c>
      <c r="G5409" s="302">
        <f>'FACP$'!$F5409*0.16</f>
        <v>279439.3696</v>
      </c>
      <c r="H5409" s="302">
        <f t="shared" si="124"/>
        <v>2025935.43</v>
      </c>
      <c r="I5409" s="302"/>
      <c r="J5409" s="304"/>
      <c r="K5409" s="302"/>
      <c r="L5409" s="302">
        <f>+'FACP$'!$H5409-'FACP$'!$I5409-'FACP$'!$K5409</f>
        <v>2025935.43</v>
      </c>
      <c r="M5409" s="305" t="s">
        <v>121</v>
      </c>
      <c r="N5409" s="305" t="s">
        <v>127</v>
      </c>
      <c r="O5409" s="306"/>
      <c r="P5409" s="306">
        <f t="array" ref="P5409">XLOOKUP('FACP$'!$B5409,'perfil de pagos'!$A$4:$A$46,'perfil de pagos'!$B$4:$B$46+'FACP$'!$D5409)</f>
        <v>45653</v>
      </c>
      <c r="Q5409" s="307">
        <f t="shared" si="128"/>
        <v>0</v>
      </c>
      <c r="R5409" s="308"/>
      <c r="S5409" s="308"/>
      <c r="T5409" s="309">
        <f t="shared" si="3"/>
        <v>2025935.43</v>
      </c>
      <c r="U5409" s="309">
        <f t="shared" si="4"/>
        <v>0</v>
      </c>
      <c r="V5409" s="309">
        <f t="shared" si="5"/>
        <v>0</v>
      </c>
      <c r="W5409" s="309">
        <f t="shared" si="6"/>
        <v>0</v>
      </c>
      <c r="X5409" s="309">
        <f t="shared" si="7"/>
        <v>0</v>
      </c>
      <c r="Y5409" s="309">
        <f t="shared" si="8"/>
        <v>0</v>
      </c>
      <c r="Z5409" s="309">
        <f t="shared" si="9"/>
        <v>0</v>
      </c>
    </row>
    <row r="5410" ht="15.0" customHeight="1">
      <c r="A5410" s="157" t="s">
        <v>6855</v>
      </c>
      <c r="B5410" s="158" t="s">
        <v>35</v>
      </c>
      <c r="C5410" s="158" t="s">
        <v>6850</v>
      </c>
      <c r="D5410" s="159">
        <v>45643.0</v>
      </c>
      <c r="E5410" s="157" t="s">
        <v>731</v>
      </c>
      <c r="F5410" s="160">
        <v>342572.36</v>
      </c>
      <c r="G5410" s="160">
        <f>'FACP$'!$F5410*0.16</f>
        <v>54811.5776</v>
      </c>
      <c r="H5410" s="160">
        <f t="shared" si="124"/>
        <v>397383.9376</v>
      </c>
      <c r="I5410" s="160"/>
      <c r="J5410" s="161"/>
      <c r="K5410" s="160"/>
      <c r="L5410" s="160">
        <f>+'FACP$'!$H5410-'FACP$'!$I5410-'FACP$'!$K5410</f>
        <v>397383.9376</v>
      </c>
      <c r="M5410" s="162" t="s">
        <v>276</v>
      </c>
      <c r="N5410" s="162" t="s">
        <v>554</v>
      </c>
      <c r="O5410" s="164">
        <v>45665.0</v>
      </c>
      <c r="P5410" s="164">
        <f t="array" ref="P5410">XLOOKUP('FACP$'!$B5410,'perfil de pagos'!$A$4:$A$46,'perfil de pagos'!$B$4:$B$46+'FACP$'!$D5410)</f>
        <v>45653</v>
      </c>
      <c r="Q5410" s="165">
        <f t="shared" si="128"/>
        <v>0</v>
      </c>
      <c r="R5410" s="167"/>
      <c r="S5410" s="167">
        <v>3552.0</v>
      </c>
      <c r="T5410" s="168">
        <f t="shared" si="3"/>
        <v>397383.9376</v>
      </c>
      <c r="U5410" s="168">
        <f t="shared" si="4"/>
        <v>0</v>
      </c>
      <c r="V5410" s="168">
        <f t="shared" si="5"/>
        <v>0</v>
      </c>
      <c r="W5410" s="168">
        <f t="shared" si="6"/>
        <v>0</v>
      </c>
      <c r="X5410" s="168">
        <f t="shared" si="7"/>
        <v>0</v>
      </c>
      <c r="Y5410" s="168">
        <f t="shared" si="8"/>
        <v>0</v>
      </c>
      <c r="Z5410" s="168">
        <f t="shared" si="9"/>
        <v>0</v>
      </c>
    </row>
    <row r="5411" ht="15.0" customHeight="1">
      <c r="A5411" s="157" t="s">
        <v>6856</v>
      </c>
      <c r="B5411" s="158" t="s">
        <v>44</v>
      </c>
      <c r="C5411" s="158" t="s">
        <v>6850</v>
      </c>
      <c r="D5411" s="159">
        <v>45643.0</v>
      </c>
      <c r="E5411" s="157" t="s">
        <v>731</v>
      </c>
      <c r="F5411" s="160">
        <v>242189.89</v>
      </c>
      <c r="G5411" s="160">
        <f>'FACP$'!$F5411*0.16</f>
        <v>38750.3824</v>
      </c>
      <c r="H5411" s="160">
        <f t="shared" si="124"/>
        <v>280940.2724</v>
      </c>
      <c r="I5411" s="160"/>
      <c r="J5411" s="161"/>
      <c r="K5411" s="160"/>
      <c r="L5411" s="160">
        <f>+'FACP$'!$H5411-'FACP$'!$I5411-'FACP$'!$K5411</f>
        <v>280940.2724</v>
      </c>
      <c r="M5411" s="162" t="s">
        <v>361</v>
      </c>
      <c r="N5411" s="162" t="s">
        <v>554</v>
      </c>
      <c r="O5411" s="164">
        <v>45652.0</v>
      </c>
      <c r="P5411" s="164">
        <f t="array" ref="P5411">XLOOKUP('FACP$'!$B5411,'perfil de pagos'!$A$4:$A$46,'perfil de pagos'!$B$4:$B$46+'FACP$'!$D5411)</f>
        <v>45653</v>
      </c>
      <c r="Q5411" s="165">
        <f t="shared" si="128"/>
        <v>0</v>
      </c>
      <c r="R5411" s="167"/>
      <c r="S5411" s="167"/>
      <c r="T5411" s="168">
        <f t="shared" si="3"/>
        <v>280940.2724</v>
      </c>
      <c r="U5411" s="168">
        <f t="shared" si="4"/>
        <v>0</v>
      </c>
      <c r="V5411" s="168">
        <f t="shared" si="5"/>
        <v>0</v>
      </c>
      <c r="W5411" s="168">
        <f t="shared" si="6"/>
        <v>0</v>
      </c>
      <c r="X5411" s="168">
        <f t="shared" si="7"/>
        <v>0</v>
      </c>
      <c r="Y5411" s="168">
        <f t="shared" si="8"/>
        <v>0</v>
      </c>
      <c r="Z5411" s="168">
        <f t="shared" si="9"/>
        <v>0</v>
      </c>
    </row>
    <row r="5412" ht="15.0" customHeight="1">
      <c r="A5412" s="157" t="s">
        <v>6857</v>
      </c>
      <c r="B5412" s="158" t="s">
        <v>32</v>
      </c>
      <c r="C5412" s="158" t="s">
        <v>6853</v>
      </c>
      <c r="D5412" s="159">
        <v>45644.0</v>
      </c>
      <c r="E5412" s="157" t="s">
        <v>731</v>
      </c>
      <c r="F5412" s="160">
        <v>209110.16</v>
      </c>
      <c r="G5412" s="160">
        <f>'FACP$'!$F5412*0.16</f>
        <v>33457.6256</v>
      </c>
      <c r="H5412" s="160">
        <f t="shared" si="124"/>
        <v>242567.7856</v>
      </c>
      <c r="I5412" s="160"/>
      <c r="J5412" s="161"/>
      <c r="K5412" s="160"/>
      <c r="L5412" s="160">
        <f>+'FACP$'!$H5412-'FACP$'!$I5412-'FACP$'!$K5412</f>
        <v>242567.7856</v>
      </c>
      <c r="M5412" s="162" t="s">
        <v>395</v>
      </c>
      <c r="N5412" s="162" t="s">
        <v>554</v>
      </c>
      <c r="O5412" s="164">
        <v>45679.0</v>
      </c>
      <c r="P5412" s="164">
        <f t="array" ref="P5412">XLOOKUP('FACP$'!$B5412,'perfil de pagos'!$A$4:$A$46,'perfil de pagos'!$B$4:$B$46+'FACP$'!$D5412)</f>
        <v>45654</v>
      </c>
      <c r="Q5412" s="165">
        <f t="shared" si="128"/>
        <v>0</v>
      </c>
      <c r="R5412" s="167"/>
      <c r="S5412" s="167">
        <v>3560.0</v>
      </c>
      <c r="T5412" s="168">
        <f t="shared" si="3"/>
        <v>242567.7856</v>
      </c>
      <c r="U5412" s="168">
        <f t="shared" si="4"/>
        <v>0</v>
      </c>
      <c r="V5412" s="168">
        <f t="shared" si="5"/>
        <v>0</v>
      </c>
      <c r="W5412" s="168">
        <f t="shared" si="6"/>
        <v>0</v>
      </c>
      <c r="X5412" s="168">
        <f t="shared" si="7"/>
        <v>0</v>
      </c>
      <c r="Y5412" s="168">
        <f t="shared" si="8"/>
        <v>0</v>
      </c>
      <c r="Z5412" s="168">
        <f t="shared" si="9"/>
        <v>0</v>
      </c>
    </row>
    <row r="5413" ht="15.0" customHeight="1">
      <c r="A5413" s="157" t="s">
        <v>6858</v>
      </c>
      <c r="B5413" s="158" t="s">
        <v>36</v>
      </c>
      <c r="C5413" s="158" t="s">
        <v>6850</v>
      </c>
      <c r="D5413" s="159">
        <v>45644.0</v>
      </c>
      <c r="E5413" s="157" t="s">
        <v>731</v>
      </c>
      <c r="F5413" s="160">
        <v>79281.46</v>
      </c>
      <c r="G5413" s="160">
        <f>'FACP$'!$F5413*0.16</f>
        <v>12685.0336</v>
      </c>
      <c r="H5413" s="160">
        <f t="shared" si="124"/>
        <v>91966.4936</v>
      </c>
      <c r="I5413" s="160"/>
      <c r="J5413" s="161"/>
      <c r="K5413" s="160"/>
      <c r="L5413" s="160">
        <f>+'FACP$'!$H5413-'FACP$'!$I5413-'FACP$'!$K5413</f>
        <v>91966.4936</v>
      </c>
      <c r="M5413" s="162" t="s">
        <v>530</v>
      </c>
      <c r="N5413" s="162" t="s">
        <v>554</v>
      </c>
      <c r="O5413" s="164">
        <v>45653.0</v>
      </c>
      <c r="P5413" s="164">
        <f t="array" ref="P5413">XLOOKUP('FACP$'!$B5413,'perfil de pagos'!$A$4:$A$46,'perfil de pagos'!$B$4:$B$46+'FACP$'!$D5413)</f>
        <v>45654</v>
      </c>
      <c r="Q5413" s="165">
        <f t="shared" si="128"/>
        <v>0</v>
      </c>
      <c r="R5413" s="167"/>
      <c r="S5413" s="167"/>
      <c r="T5413" s="168">
        <f t="shared" si="3"/>
        <v>91966.4936</v>
      </c>
      <c r="U5413" s="168">
        <f t="shared" si="4"/>
        <v>0</v>
      </c>
      <c r="V5413" s="168">
        <f t="shared" si="5"/>
        <v>0</v>
      </c>
      <c r="W5413" s="168">
        <f t="shared" si="6"/>
        <v>0</v>
      </c>
      <c r="X5413" s="168">
        <f t="shared" si="7"/>
        <v>0</v>
      </c>
      <c r="Y5413" s="168">
        <f t="shared" si="8"/>
        <v>0</v>
      </c>
      <c r="Z5413" s="168">
        <f t="shared" si="9"/>
        <v>0</v>
      </c>
    </row>
    <row r="5414" ht="15.0" customHeight="1">
      <c r="A5414" s="157" t="s">
        <v>6859</v>
      </c>
      <c r="B5414" s="158" t="s">
        <v>36</v>
      </c>
      <c r="C5414" s="158" t="s">
        <v>6853</v>
      </c>
      <c r="D5414" s="159">
        <v>45644.0</v>
      </c>
      <c r="E5414" s="157" t="s">
        <v>731</v>
      </c>
      <c r="F5414" s="160">
        <v>89488.0</v>
      </c>
      <c r="G5414" s="160">
        <f>'FACP$'!$F5414*0.16</f>
        <v>14318.08</v>
      </c>
      <c r="H5414" s="160">
        <f t="shared" si="124"/>
        <v>103806.08</v>
      </c>
      <c r="I5414" s="160"/>
      <c r="J5414" s="161"/>
      <c r="K5414" s="160"/>
      <c r="L5414" s="160">
        <f>+'FACP$'!$H5414-'FACP$'!$I5414-'FACP$'!$K5414</f>
        <v>103806.08</v>
      </c>
      <c r="M5414" s="162" t="s">
        <v>530</v>
      </c>
      <c r="N5414" s="162" t="s">
        <v>554</v>
      </c>
      <c r="O5414" s="164">
        <v>45653.0</v>
      </c>
      <c r="P5414" s="164">
        <f t="array" ref="P5414">XLOOKUP('FACP$'!$B5414,'perfil de pagos'!$A$4:$A$46,'perfil de pagos'!$B$4:$B$46+'FACP$'!$D5414)</f>
        <v>45654</v>
      </c>
      <c r="Q5414" s="165">
        <f t="shared" si="128"/>
        <v>0</v>
      </c>
      <c r="R5414" s="167"/>
      <c r="S5414" s="167"/>
      <c r="T5414" s="168">
        <f t="shared" si="3"/>
        <v>103806.08</v>
      </c>
      <c r="U5414" s="168">
        <f t="shared" si="4"/>
        <v>0</v>
      </c>
      <c r="V5414" s="168">
        <f t="shared" si="5"/>
        <v>0</v>
      </c>
      <c r="W5414" s="168">
        <f t="shared" si="6"/>
        <v>0</v>
      </c>
      <c r="X5414" s="168">
        <f t="shared" si="7"/>
        <v>0</v>
      </c>
      <c r="Y5414" s="168">
        <f t="shared" si="8"/>
        <v>0</v>
      </c>
      <c r="Z5414" s="168">
        <f t="shared" si="9"/>
        <v>0</v>
      </c>
    </row>
    <row r="5415" ht="15.0" customHeight="1">
      <c r="A5415" s="157" t="s">
        <v>6860</v>
      </c>
      <c r="B5415" s="158" t="s">
        <v>36</v>
      </c>
      <c r="C5415" s="158" t="s">
        <v>6850</v>
      </c>
      <c r="D5415" s="159">
        <v>45644.0</v>
      </c>
      <c r="E5415" s="157" t="s">
        <v>731</v>
      </c>
      <c r="F5415" s="160">
        <v>29465.77</v>
      </c>
      <c r="G5415" s="160">
        <f>'FACP$'!$F5415*0.16</f>
        <v>4714.5232</v>
      </c>
      <c r="H5415" s="160">
        <f t="shared" si="124"/>
        <v>34180.2932</v>
      </c>
      <c r="I5415" s="160"/>
      <c r="J5415" s="161"/>
      <c r="K5415" s="160"/>
      <c r="L5415" s="160">
        <f>+'FACP$'!$H5415-'FACP$'!$I5415-'FACP$'!$K5415</f>
        <v>34180.2932</v>
      </c>
      <c r="M5415" s="162" t="s">
        <v>526</v>
      </c>
      <c r="N5415" s="162" t="s">
        <v>554</v>
      </c>
      <c r="O5415" s="164">
        <v>45687.0</v>
      </c>
      <c r="P5415" s="164">
        <f t="array" ref="P5415">XLOOKUP('FACP$'!$B5415,'perfil de pagos'!$A$4:$A$46,'perfil de pagos'!$B$4:$B$46+'FACP$'!$D5415)</f>
        <v>45654</v>
      </c>
      <c r="Q5415" s="165">
        <f t="shared" si="128"/>
        <v>0</v>
      </c>
      <c r="R5415" s="167"/>
      <c r="S5415" s="167"/>
      <c r="T5415" s="168">
        <f t="shared" si="3"/>
        <v>34180.2932</v>
      </c>
      <c r="U5415" s="168">
        <f t="shared" si="4"/>
        <v>0</v>
      </c>
      <c r="V5415" s="168">
        <f t="shared" si="5"/>
        <v>0</v>
      </c>
      <c r="W5415" s="168">
        <f t="shared" si="6"/>
        <v>0</v>
      </c>
      <c r="X5415" s="168">
        <f t="shared" si="7"/>
        <v>0</v>
      </c>
      <c r="Y5415" s="168">
        <f t="shared" si="8"/>
        <v>0</v>
      </c>
      <c r="Z5415" s="168">
        <f t="shared" si="9"/>
        <v>0</v>
      </c>
    </row>
    <row r="5416" ht="15.0" customHeight="1">
      <c r="A5416" s="157" t="s">
        <v>6861</v>
      </c>
      <c r="B5416" s="158" t="s">
        <v>36</v>
      </c>
      <c r="C5416" s="158" t="s">
        <v>6853</v>
      </c>
      <c r="D5416" s="159">
        <v>45644.0</v>
      </c>
      <c r="E5416" s="157" t="s">
        <v>731</v>
      </c>
      <c r="F5416" s="160">
        <v>32972.8</v>
      </c>
      <c r="G5416" s="160">
        <f>'FACP$'!$F5416*0.16</f>
        <v>5275.648</v>
      </c>
      <c r="H5416" s="160">
        <f t="shared" si="124"/>
        <v>38248.448</v>
      </c>
      <c r="I5416" s="160"/>
      <c r="J5416" s="161"/>
      <c r="K5416" s="160"/>
      <c r="L5416" s="160">
        <f>+'FACP$'!$H5416-'FACP$'!$I5416-'FACP$'!$K5416</f>
        <v>38248.448</v>
      </c>
      <c r="M5416" s="162" t="s">
        <v>526</v>
      </c>
      <c r="N5416" s="162" t="s">
        <v>554</v>
      </c>
      <c r="O5416" s="164">
        <v>45673.0</v>
      </c>
      <c r="P5416" s="164">
        <f t="array" ref="P5416">XLOOKUP('FACP$'!$B5416,'perfil de pagos'!$A$4:$A$46,'perfil de pagos'!$B$4:$B$46+'FACP$'!$D5416)</f>
        <v>45654</v>
      </c>
      <c r="Q5416" s="165">
        <f t="shared" si="128"/>
        <v>0</v>
      </c>
      <c r="R5416" s="167"/>
      <c r="S5416" s="167">
        <v>3545.0</v>
      </c>
      <c r="T5416" s="168">
        <f t="shared" si="3"/>
        <v>38248.448</v>
      </c>
      <c r="U5416" s="168">
        <f t="shared" si="4"/>
        <v>0</v>
      </c>
      <c r="V5416" s="168">
        <f t="shared" si="5"/>
        <v>0</v>
      </c>
      <c r="W5416" s="168">
        <f t="shared" si="6"/>
        <v>0</v>
      </c>
      <c r="X5416" s="168">
        <f t="shared" si="7"/>
        <v>0</v>
      </c>
      <c r="Y5416" s="168">
        <f t="shared" si="8"/>
        <v>0</v>
      </c>
      <c r="Z5416" s="168">
        <f t="shared" si="9"/>
        <v>0</v>
      </c>
    </row>
    <row r="5417" ht="15.0" customHeight="1">
      <c r="A5417" s="157" t="s">
        <v>6862</v>
      </c>
      <c r="B5417" s="158" t="s">
        <v>49</v>
      </c>
      <c r="C5417" s="158" t="s">
        <v>6850</v>
      </c>
      <c r="D5417" s="159">
        <v>45644.0</v>
      </c>
      <c r="E5417" s="157" t="s">
        <v>731</v>
      </c>
      <c r="F5417" s="160">
        <v>21501.67</v>
      </c>
      <c r="G5417" s="160">
        <f>'FACP$'!$F5417*0.16</f>
        <v>3440.2672</v>
      </c>
      <c r="H5417" s="160">
        <f t="shared" si="124"/>
        <v>24941.9372</v>
      </c>
      <c r="I5417" s="160"/>
      <c r="J5417" s="161"/>
      <c r="K5417" s="160"/>
      <c r="L5417" s="160">
        <f>+'FACP$'!$H5417-'FACP$'!$I5417-'FACP$'!$K5417</f>
        <v>24941.9372</v>
      </c>
      <c r="M5417" s="162" t="s">
        <v>2263</v>
      </c>
      <c r="N5417" s="162" t="s">
        <v>554</v>
      </c>
      <c r="O5417" s="164">
        <v>45714.0</v>
      </c>
      <c r="P5417" s="164">
        <f t="array" ref="P5417">XLOOKUP('FACP$'!$B5417,'perfil de pagos'!$A$4:$A$46,'perfil de pagos'!$B$4:$B$46+'FACP$'!$D5417)</f>
        <v>45654</v>
      </c>
      <c r="Q5417" s="165">
        <f t="shared" si="128"/>
        <v>0</v>
      </c>
      <c r="R5417" s="167"/>
      <c r="S5417" s="167">
        <v>3647.0</v>
      </c>
      <c r="T5417" s="168">
        <f t="shared" si="3"/>
        <v>24941.9372</v>
      </c>
      <c r="U5417" s="168">
        <f t="shared" si="4"/>
        <v>0</v>
      </c>
      <c r="V5417" s="168">
        <f t="shared" si="5"/>
        <v>0</v>
      </c>
      <c r="W5417" s="168">
        <f t="shared" si="6"/>
        <v>0</v>
      </c>
      <c r="X5417" s="168">
        <f t="shared" si="7"/>
        <v>0</v>
      </c>
      <c r="Y5417" s="168">
        <f t="shared" si="8"/>
        <v>0</v>
      </c>
      <c r="Z5417" s="168">
        <f t="shared" si="9"/>
        <v>0</v>
      </c>
    </row>
    <row r="5418" ht="15.0" customHeight="1">
      <c r="A5418" s="157" t="s">
        <v>6863</v>
      </c>
      <c r="B5418" s="158" t="s">
        <v>49</v>
      </c>
      <c r="C5418" s="158" t="s">
        <v>6853</v>
      </c>
      <c r="D5418" s="159">
        <v>45644.0</v>
      </c>
      <c r="E5418" s="157" t="s">
        <v>731</v>
      </c>
      <c r="F5418" s="160">
        <v>10653.63</v>
      </c>
      <c r="G5418" s="160">
        <f>'FACP$'!$F5418*0.16</f>
        <v>1704.5808</v>
      </c>
      <c r="H5418" s="160">
        <f t="shared" si="124"/>
        <v>12358.2108</v>
      </c>
      <c r="I5418" s="160"/>
      <c r="J5418" s="161"/>
      <c r="K5418" s="160"/>
      <c r="L5418" s="160">
        <f>+'FACP$'!$H5418-'FACP$'!$I5418-'FACP$'!$K5418</f>
        <v>12358.2108</v>
      </c>
      <c r="M5418" s="162" t="s">
        <v>2263</v>
      </c>
      <c r="N5418" s="162" t="s">
        <v>554</v>
      </c>
      <c r="O5418" s="164">
        <v>45714.0</v>
      </c>
      <c r="P5418" s="164">
        <f t="array" ref="P5418">XLOOKUP('FACP$'!$B5418,'perfil de pagos'!$A$4:$A$46,'perfil de pagos'!$B$4:$B$46+'FACP$'!$D5418)</f>
        <v>45654</v>
      </c>
      <c r="Q5418" s="165">
        <f t="shared" si="128"/>
        <v>0</v>
      </c>
      <c r="R5418" s="167"/>
      <c r="S5418" s="167">
        <v>3647.0</v>
      </c>
      <c r="T5418" s="168">
        <f t="shared" si="3"/>
        <v>12358.2108</v>
      </c>
      <c r="U5418" s="168">
        <f t="shared" si="4"/>
        <v>0</v>
      </c>
      <c r="V5418" s="168">
        <f t="shared" si="5"/>
        <v>0</v>
      </c>
      <c r="W5418" s="168">
        <f t="shared" si="6"/>
        <v>0</v>
      </c>
      <c r="X5418" s="168">
        <f t="shared" si="7"/>
        <v>0</v>
      </c>
      <c r="Y5418" s="168">
        <f t="shared" si="8"/>
        <v>0</v>
      </c>
      <c r="Z5418" s="168">
        <f t="shared" si="9"/>
        <v>0</v>
      </c>
    </row>
    <row r="5419" ht="15.0" customHeight="1">
      <c r="A5419" s="157" t="s">
        <v>6864</v>
      </c>
      <c r="B5419" s="158" t="s">
        <v>41</v>
      </c>
      <c r="C5419" s="158" t="s">
        <v>6850</v>
      </c>
      <c r="D5419" s="159">
        <v>45645.0</v>
      </c>
      <c r="E5419" s="157" t="s">
        <v>731</v>
      </c>
      <c r="F5419" s="160">
        <v>1741221.17</v>
      </c>
      <c r="G5419" s="160">
        <f>'FACP$'!$F5419*0.16</f>
        <v>278595.3872</v>
      </c>
      <c r="H5419" s="160">
        <f t="shared" si="124"/>
        <v>2019816.557</v>
      </c>
      <c r="I5419" s="160"/>
      <c r="J5419" s="161"/>
      <c r="K5419" s="160"/>
      <c r="L5419" s="160">
        <f>+'FACP$'!$H5419-'FACP$'!$I5419-'FACP$'!$K5419</f>
        <v>2019816.557</v>
      </c>
      <c r="M5419" s="162" t="s">
        <v>121</v>
      </c>
      <c r="N5419" s="162" t="s">
        <v>554</v>
      </c>
      <c r="O5419" s="164">
        <v>45694.0</v>
      </c>
      <c r="P5419" s="164">
        <f t="array" ref="P5419">XLOOKUP('FACP$'!$B5419,'perfil de pagos'!$A$4:$A$46,'perfil de pagos'!$B$4:$B$46+'FACP$'!$D5419)</f>
        <v>45655</v>
      </c>
      <c r="Q5419" s="165">
        <f t="shared" si="128"/>
        <v>0</v>
      </c>
      <c r="R5419" s="167"/>
      <c r="S5419" s="167">
        <v>3591.0</v>
      </c>
      <c r="T5419" s="168">
        <f t="shared" si="3"/>
        <v>2019816.557</v>
      </c>
      <c r="U5419" s="168">
        <f t="shared" si="4"/>
        <v>0</v>
      </c>
      <c r="V5419" s="168">
        <f t="shared" si="5"/>
        <v>0</v>
      </c>
      <c r="W5419" s="168">
        <f t="shared" si="6"/>
        <v>0</v>
      </c>
      <c r="X5419" s="168">
        <f t="shared" si="7"/>
        <v>0</v>
      </c>
      <c r="Y5419" s="168">
        <f t="shared" si="8"/>
        <v>0</v>
      </c>
      <c r="Z5419" s="168">
        <f t="shared" si="9"/>
        <v>0</v>
      </c>
    </row>
    <row r="5420" ht="15.0" customHeight="1">
      <c r="A5420" s="157" t="s">
        <v>6865</v>
      </c>
      <c r="B5420" s="158" t="s">
        <v>42</v>
      </c>
      <c r="C5420" s="158" t="s">
        <v>6850</v>
      </c>
      <c r="D5420" s="159">
        <v>45653.0</v>
      </c>
      <c r="E5420" s="157" t="s">
        <v>731</v>
      </c>
      <c r="F5420" s="160">
        <v>238289.29</v>
      </c>
      <c r="G5420" s="160">
        <f>'FACP$'!$F5420*0.16</f>
        <v>38126.2864</v>
      </c>
      <c r="H5420" s="160">
        <f t="shared" si="124"/>
        <v>276415.5764</v>
      </c>
      <c r="I5420" s="160"/>
      <c r="J5420" s="161"/>
      <c r="K5420" s="160"/>
      <c r="L5420" s="160">
        <f>+'FACP$'!$H5420-'FACP$'!$I5420-'FACP$'!$K5420</f>
        <v>276415.5764</v>
      </c>
      <c r="M5420" s="162" t="s">
        <v>42</v>
      </c>
      <c r="N5420" s="162" t="s">
        <v>554</v>
      </c>
      <c r="O5420" s="164">
        <v>45666.0</v>
      </c>
      <c r="P5420" s="164">
        <f t="array" ref="P5420">XLOOKUP('FACP$'!$B5420,'perfil de pagos'!$A$4:$A$46,'perfil de pagos'!$B$4:$B$46+'FACP$'!$D5420)</f>
        <v>45663</v>
      </c>
      <c r="Q5420" s="165">
        <f t="shared" si="128"/>
        <v>0</v>
      </c>
      <c r="R5420" s="167"/>
      <c r="S5420" s="167">
        <v>3534.0</v>
      </c>
      <c r="T5420" s="168">
        <f t="shared" si="3"/>
        <v>276415.5764</v>
      </c>
      <c r="U5420" s="168">
        <f t="shared" si="4"/>
        <v>0</v>
      </c>
      <c r="V5420" s="168">
        <f t="shared" si="5"/>
        <v>0</v>
      </c>
      <c r="W5420" s="168">
        <f t="shared" si="6"/>
        <v>0</v>
      </c>
      <c r="X5420" s="168">
        <f t="shared" si="7"/>
        <v>0</v>
      </c>
      <c r="Y5420" s="168">
        <f t="shared" si="8"/>
        <v>0</v>
      </c>
      <c r="Z5420" s="168">
        <f t="shared" si="9"/>
        <v>0</v>
      </c>
    </row>
    <row r="5421" ht="15.0" customHeight="1">
      <c r="A5421" s="157" t="s">
        <v>6866</v>
      </c>
      <c r="B5421" s="158" t="s">
        <v>38</v>
      </c>
      <c r="C5421" s="158" t="s">
        <v>6850</v>
      </c>
      <c r="D5421" s="159">
        <v>45653.0</v>
      </c>
      <c r="E5421" s="157" t="s">
        <v>731</v>
      </c>
      <c r="F5421" s="160">
        <v>123860.8</v>
      </c>
      <c r="G5421" s="160">
        <f>'FACP$'!$F5421*0.16</f>
        <v>19817.728</v>
      </c>
      <c r="H5421" s="160">
        <f t="shared" si="124"/>
        <v>143678.528</v>
      </c>
      <c r="I5421" s="160"/>
      <c r="J5421" s="161"/>
      <c r="K5421" s="160"/>
      <c r="L5421" s="160">
        <f>+'FACP$'!$H5421-'FACP$'!$I5421-'FACP$'!$K5421</f>
        <v>143678.528</v>
      </c>
      <c r="M5421" s="162" t="s">
        <v>4654</v>
      </c>
      <c r="N5421" s="162" t="s">
        <v>554</v>
      </c>
      <c r="O5421" s="164">
        <v>45665.0</v>
      </c>
      <c r="P5421" s="164">
        <f t="array" ref="P5421">XLOOKUP('FACP$'!$B5421,'perfil de pagos'!$A$4:$A$46,'perfil de pagos'!$B$4:$B$46+'FACP$'!$D5421)</f>
        <v>45683</v>
      </c>
      <c r="Q5421" s="165">
        <f t="shared" si="128"/>
        <v>0</v>
      </c>
      <c r="R5421" s="167"/>
      <c r="S5421" s="167">
        <v>3533.0</v>
      </c>
      <c r="T5421" s="168">
        <f t="shared" si="3"/>
        <v>143678.528</v>
      </c>
      <c r="U5421" s="168">
        <f t="shared" si="4"/>
        <v>0</v>
      </c>
      <c r="V5421" s="168">
        <f t="shared" si="5"/>
        <v>0</v>
      </c>
      <c r="W5421" s="168">
        <f t="shared" si="6"/>
        <v>0</v>
      </c>
      <c r="X5421" s="168">
        <f t="shared" si="7"/>
        <v>0</v>
      </c>
      <c r="Y5421" s="168">
        <f t="shared" si="8"/>
        <v>0</v>
      </c>
      <c r="Z5421" s="168">
        <f t="shared" si="9"/>
        <v>0</v>
      </c>
    </row>
    <row r="5422" ht="15.0" customHeight="1">
      <c r="A5422" s="157" t="s">
        <v>6867</v>
      </c>
      <c r="B5422" s="158" t="s">
        <v>16</v>
      </c>
      <c r="C5422" s="158" t="s">
        <v>6850</v>
      </c>
      <c r="D5422" s="159">
        <v>45653.0</v>
      </c>
      <c r="E5422" s="157" t="s">
        <v>731</v>
      </c>
      <c r="F5422" s="160">
        <v>321041.3</v>
      </c>
      <c r="G5422" s="160">
        <f>'FACP$'!$F5422*0.16</f>
        <v>51366.608</v>
      </c>
      <c r="H5422" s="160">
        <f t="shared" si="124"/>
        <v>372407.908</v>
      </c>
      <c r="I5422" s="160"/>
      <c r="J5422" s="161"/>
      <c r="K5422" s="160"/>
      <c r="L5422" s="160">
        <f>+'FACP$'!$H5422-'FACP$'!$I5422-'FACP$'!$K5422</f>
        <v>372407.908</v>
      </c>
      <c r="M5422" s="162" t="s">
        <v>985</v>
      </c>
      <c r="N5422" s="162" t="s">
        <v>554</v>
      </c>
      <c r="O5422" s="164">
        <v>45687.0</v>
      </c>
      <c r="P5422" s="164">
        <f t="array" ref="P5422">XLOOKUP('FACP$'!$B5422,'perfil de pagos'!$A$4:$A$46,'perfil de pagos'!$B$4:$B$46+'FACP$'!$D5422)</f>
        <v>45663</v>
      </c>
      <c r="Q5422" s="165">
        <f t="shared" si="128"/>
        <v>0</v>
      </c>
      <c r="R5422" s="167"/>
      <c r="S5422" s="167"/>
      <c r="T5422" s="168">
        <f t="shared" si="3"/>
        <v>372407.908</v>
      </c>
      <c r="U5422" s="168">
        <f t="shared" si="4"/>
        <v>0</v>
      </c>
      <c r="V5422" s="168">
        <f t="shared" si="5"/>
        <v>0</v>
      </c>
      <c r="W5422" s="168">
        <f t="shared" si="6"/>
        <v>0</v>
      </c>
      <c r="X5422" s="168">
        <f t="shared" si="7"/>
        <v>0</v>
      </c>
      <c r="Y5422" s="168">
        <f t="shared" si="8"/>
        <v>0</v>
      </c>
      <c r="Z5422" s="168">
        <f t="shared" si="9"/>
        <v>0</v>
      </c>
    </row>
    <row r="5423" ht="15.0" customHeight="1">
      <c r="A5423" s="157" t="s">
        <v>6868</v>
      </c>
      <c r="B5423" s="158" t="s">
        <v>16</v>
      </c>
      <c r="C5423" s="158" t="s">
        <v>6853</v>
      </c>
      <c r="D5423" s="159">
        <v>45653.0</v>
      </c>
      <c r="E5423" s="157" t="s">
        <v>731</v>
      </c>
      <c r="F5423" s="160">
        <v>437965.96</v>
      </c>
      <c r="G5423" s="160">
        <f>'FACP$'!$F5423*0.16</f>
        <v>70074.5536</v>
      </c>
      <c r="H5423" s="160">
        <f t="shared" si="124"/>
        <v>508040.5136</v>
      </c>
      <c r="I5423" s="160"/>
      <c r="J5423" s="161"/>
      <c r="K5423" s="160"/>
      <c r="L5423" s="160">
        <f>+'FACP$'!$H5423-'FACP$'!$I5423-'FACP$'!$K5423</f>
        <v>508040.5136</v>
      </c>
      <c r="M5423" s="162" t="s">
        <v>985</v>
      </c>
      <c r="N5423" s="162" t="s">
        <v>554</v>
      </c>
      <c r="O5423" s="164">
        <v>45687.0</v>
      </c>
      <c r="P5423" s="164">
        <f t="array" ref="P5423">XLOOKUP('FACP$'!$B5423,'perfil de pagos'!$A$4:$A$46,'perfil de pagos'!$B$4:$B$46+'FACP$'!$D5423)</f>
        <v>45663</v>
      </c>
      <c r="Q5423" s="165">
        <f t="shared" si="128"/>
        <v>0</v>
      </c>
      <c r="R5423" s="167"/>
      <c r="S5423" s="167"/>
      <c r="T5423" s="168">
        <f t="shared" si="3"/>
        <v>508040.5136</v>
      </c>
      <c r="U5423" s="168">
        <f t="shared" si="4"/>
        <v>0</v>
      </c>
      <c r="V5423" s="168">
        <f t="shared" si="5"/>
        <v>0</v>
      </c>
      <c r="W5423" s="168">
        <f t="shared" si="6"/>
        <v>0</v>
      </c>
      <c r="X5423" s="168">
        <f t="shared" si="7"/>
        <v>0</v>
      </c>
      <c r="Y5423" s="168">
        <f t="shared" si="8"/>
        <v>0</v>
      </c>
      <c r="Z5423" s="168">
        <f t="shared" si="9"/>
        <v>0</v>
      </c>
    </row>
    <row r="5424" ht="15.0" customHeight="1">
      <c r="A5424" s="157" t="s">
        <v>6869</v>
      </c>
      <c r="B5424" s="158" t="s">
        <v>18</v>
      </c>
      <c r="C5424" s="158" t="s">
        <v>6850</v>
      </c>
      <c r="D5424" s="159">
        <v>45653.0</v>
      </c>
      <c r="E5424" s="157" t="s">
        <v>731</v>
      </c>
      <c r="F5424" s="160">
        <v>82958.07</v>
      </c>
      <c r="G5424" s="160">
        <f>'FACP$'!$F5424*0.16</f>
        <v>13273.2912</v>
      </c>
      <c r="H5424" s="160">
        <f t="shared" si="124"/>
        <v>96231.3612</v>
      </c>
      <c r="I5424" s="160"/>
      <c r="J5424" s="161"/>
      <c r="K5424" s="160"/>
      <c r="L5424" s="160">
        <f>+'FACP$'!$H5424-'FACP$'!$I5424-'FACP$'!$K5424</f>
        <v>96231.3612</v>
      </c>
      <c r="M5424" s="162" t="s">
        <v>586</v>
      </c>
      <c r="N5424" s="162" t="s">
        <v>554</v>
      </c>
      <c r="O5424" s="164">
        <v>45694.0</v>
      </c>
      <c r="P5424" s="164">
        <f t="array" ref="P5424">XLOOKUP('FACP$'!$B5424,'perfil de pagos'!$A$4:$A$46,'perfil de pagos'!$B$4:$B$46+'FACP$'!$D5424)</f>
        <v>45663</v>
      </c>
      <c r="Q5424" s="165">
        <f t="shared" si="128"/>
        <v>0</v>
      </c>
      <c r="R5424" s="167"/>
      <c r="S5424" s="167">
        <v>3589.0</v>
      </c>
      <c r="T5424" s="168">
        <f t="shared" si="3"/>
        <v>96231.3612</v>
      </c>
      <c r="U5424" s="168">
        <f t="shared" si="4"/>
        <v>0</v>
      </c>
      <c r="V5424" s="168">
        <f t="shared" si="5"/>
        <v>0</v>
      </c>
      <c r="W5424" s="168">
        <f t="shared" si="6"/>
        <v>0</v>
      </c>
      <c r="X5424" s="168">
        <f t="shared" si="7"/>
        <v>0</v>
      </c>
      <c r="Y5424" s="168">
        <f t="shared" si="8"/>
        <v>0</v>
      </c>
      <c r="Z5424" s="168">
        <f t="shared" si="9"/>
        <v>0</v>
      </c>
    </row>
    <row r="5425" ht="15.0" customHeight="1">
      <c r="A5425" s="157" t="s">
        <v>6870</v>
      </c>
      <c r="B5425" s="158" t="s">
        <v>19</v>
      </c>
      <c r="C5425" s="158" t="s">
        <v>6850</v>
      </c>
      <c r="D5425" s="159">
        <v>45653.0</v>
      </c>
      <c r="E5425" s="157" t="s">
        <v>731</v>
      </c>
      <c r="F5425" s="160">
        <v>175842.83</v>
      </c>
      <c r="G5425" s="160">
        <f>'FACP$'!$F5425*0.16</f>
        <v>28134.8528</v>
      </c>
      <c r="H5425" s="160">
        <f t="shared" si="124"/>
        <v>203977.6828</v>
      </c>
      <c r="I5425" s="160"/>
      <c r="J5425" s="161"/>
      <c r="K5425" s="160"/>
      <c r="L5425" s="160">
        <f>+'FACP$'!$H5425-'FACP$'!$I5425-'FACP$'!$K5425</f>
        <v>203977.6828</v>
      </c>
      <c r="M5425" s="162" t="s">
        <v>732</v>
      </c>
      <c r="N5425" s="162" t="s">
        <v>554</v>
      </c>
      <c r="O5425" s="164">
        <v>45694.0</v>
      </c>
      <c r="P5425" s="164">
        <f t="array" ref="P5425">XLOOKUP('FACP$'!$B5425,'perfil de pagos'!$A$4:$A$46,'perfil de pagos'!$B$4:$B$46+'FACP$'!$D5425)</f>
        <v>45663</v>
      </c>
      <c r="Q5425" s="165">
        <f t="shared" si="128"/>
        <v>0</v>
      </c>
      <c r="R5425" s="167"/>
      <c r="S5425" s="167">
        <v>3589.0</v>
      </c>
      <c r="T5425" s="168">
        <f t="shared" si="3"/>
        <v>203977.6828</v>
      </c>
      <c r="U5425" s="168">
        <f t="shared" si="4"/>
        <v>0</v>
      </c>
      <c r="V5425" s="168">
        <f t="shared" si="5"/>
        <v>0</v>
      </c>
      <c r="W5425" s="168">
        <f t="shared" si="6"/>
        <v>0</v>
      </c>
      <c r="X5425" s="168">
        <f t="shared" si="7"/>
        <v>0</v>
      </c>
      <c r="Y5425" s="168">
        <f t="shared" si="8"/>
        <v>0</v>
      </c>
      <c r="Z5425" s="168">
        <f t="shared" si="9"/>
        <v>0</v>
      </c>
    </row>
    <row r="5426" ht="15.0" customHeight="1">
      <c r="A5426" s="157" t="s">
        <v>6871</v>
      </c>
      <c r="B5426" s="158" t="s">
        <v>25</v>
      </c>
      <c r="C5426" s="158" t="s">
        <v>6850</v>
      </c>
      <c r="D5426" s="159">
        <v>45653.0</v>
      </c>
      <c r="E5426" s="157" t="s">
        <v>731</v>
      </c>
      <c r="F5426" s="160">
        <v>64286.49</v>
      </c>
      <c r="G5426" s="160">
        <f>'FACP$'!$F5426*0.16</f>
        <v>10285.8384</v>
      </c>
      <c r="H5426" s="160">
        <f t="shared" si="124"/>
        <v>74572.3284</v>
      </c>
      <c r="I5426" s="160"/>
      <c r="J5426" s="161"/>
      <c r="K5426" s="160"/>
      <c r="L5426" s="160">
        <f>+'FACP$'!$H5426-'FACP$'!$I5426-'FACP$'!$K5426</f>
        <v>74572.3284</v>
      </c>
      <c r="M5426" s="162" t="s">
        <v>4388</v>
      </c>
      <c r="N5426" s="162" t="s">
        <v>554</v>
      </c>
      <c r="O5426" s="164">
        <v>45695.0</v>
      </c>
      <c r="P5426" s="164">
        <f t="array" ref="P5426">XLOOKUP('FACP$'!$B5426,'perfil de pagos'!$A$4:$A$46,'perfil de pagos'!$B$4:$B$46+'FACP$'!$D5426)</f>
        <v>45663</v>
      </c>
      <c r="Q5426" s="165">
        <f t="shared" si="128"/>
        <v>0</v>
      </c>
      <c r="R5426" s="167"/>
      <c r="S5426" s="167">
        <v>3594.0</v>
      </c>
      <c r="T5426" s="168">
        <f t="shared" si="3"/>
        <v>74572.3284</v>
      </c>
      <c r="U5426" s="168">
        <f t="shared" si="4"/>
        <v>0</v>
      </c>
      <c r="V5426" s="168">
        <f t="shared" si="5"/>
        <v>0</v>
      </c>
      <c r="W5426" s="168">
        <f t="shared" si="6"/>
        <v>0</v>
      </c>
      <c r="X5426" s="168">
        <f t="shared" si="7"/>
        <v>0</v>
      </c>
      <c r="Y5426" s="168">
        <f t="shared" si="8"/>
        <v>0</v>
      </c>
      <c r="Z5426" s="168">
        <f t="shared" si="9"/>
        <v>0</v>
      </c>
    </row>
    <row r="5427" ht="15.0" customHeight="1">
      <c r="A5427" s="157" t="s">
        <v>6872</v>
      </c>
      <c r="B5427" s="158" t="s">
        <v>37</v>
      </c>
      <c r="C5427" s="158" t="s">
        <v>6850</v>
      </c>
      <c r="D5427" s="159">
        <v>45653.0</v>
      </c>
      <c r="E5427" s="157" t="s">
        <v>731</v>
      </c>
      <c r="F5427" s="160">
        <v>1666836.3</v>
      </c>
      <c r="G5427" s="160">
        <f>'FACP$'!$F5427*0.16</f>
        <v>266693.808</v>
      </c>
      <c r="H5427" s="160">
        <f t="shared" si="124"/>
        <v>1933530.108</v>
      </c>
      <c r="I5427" s="160"/>
      <c r="J5427" s="161"/>
      <c r="K5427" s="160"/>
      <c r="L5427" s="160">
        <f>+'FACP$'!$H5427-'FACP$'!$I5427-'FACP$'!$K5427</f>
        <v>1933530.108</v>
      </c>
      <c r="M5427" s="162" t="s">
        <v>116</v>
      </c>
      <c r="N5427" s="162" t="s">
        <v>554</v>
      </c>
      <c r="O5427" s="164">
        <v>45663.0</v>
      </c>
      <c r="P5427" s="164">
        <f t="array" ref="P5427">XLOOKUP('FACP$'!$B5427,'perfil de pagos'!$A$4:$A$46,'perfil de pagos'!$B$4:$B$46+'FACP$'!$D5427)</f>
        <v>45663</v>
      </c>
      <c r="Q5427" s="165">
        <f t="shared" si="128"/>
        <v>0</v>
      </c>
      <c r="R5427" s="167"/>
      <c r="S5427" s="167"/>
      <c r="T5427" s="168">
        <f t="shared" si="3"/>
        <v>1933530.108</v>
      </c>
      <c r="U5427" s="168">
        <f t="shared" si="4"/>
        <v>0</v>
      </c>
      <c r="V5427" s="168">
        <f t="shared" si="5"/>
        <v>0</v>
      </c>
      <c r="W5427" s="168">
        <f t="shared" si="6"/>
        <v>0</v>
      </c>
      <c r="X5427" s="168">
        <f t="shared" si="7"/>
        <v>0</v>
      </c>
      <c r="Y5427" s="168">
        <f t="shared" si="8"/>
        <v>0</v>
      </c>
      <c r="Z5427" s="168">
        <f t="shared" si="9"/>
        <v>0</v>
      </c>
    </row>
    <row r="5428" ht="15.0" customHeight="1">
      <c r="A5428" s="299" t="s">
        <v>6873</v>
      </c>
      <c r="B5428" s="300" t="s">
        <v>29</v>
      </c>
      <c r="C5428" s="300" t="s">
        <v>6850</v>
      </c>
      <c r="D5428" s="301">
        <v>45653.0</v>
      </c>
      <c r="E5428" s="299" t="s">
        <v>731</v>
      </c>
      <c r="F5428" s="302">
        <v>325896.87</v>
      </c>
      <c r="G5428" s="302">
        <f>'FACP$'!$F5428*0.16</f>
        <v>52143.4992</v>
      </c>
      <c r="H5428" s="302">
        <f t="shared" si="124"/>
        <v>378040.3692</v>
      </c>
      <c r="I5428" s="302"/>
      <c r="J5428" s="304"/>
      <c r="K5428" s="302"/>
      <c r="L5428" s="302">
        <f>+'FACP$'!$H5428-'FACP$'!$I5428-'FACP$'!$K5428</f>
        <v>378040.3692</v>
      </c>
      <c r="M5428" s="305" t="s">
        <v>130</v>
      </c>
      <c r="N5428" s="305" t="s">
        <v>127</v>
      </c>
      <c r="O5428" s="306"/>
      <c r="P5428" s="164">
        <f t="array" ref="P5428">XLOOKUP('FACP$'!$B5428,'perfil de pagos'!$A$4:$A$46,'perfil de pagos'!$B$4:$B$46+'FACP$'!$D5428)</f>
        <v>45663</v>
      </c>
      <c r="Q5428" s="307">
        <f t="shared" si="128"/>
        <v>0</v>
      </c>
      <c r="R5428" s="308"/>
      <c r="S5428" s="308"/>
      <c r="T5428" s="309">
        <f t="shared" si="3"/>
        <v>378040.3692</v>
      </c>
      <c r="U5428" s="309">
        <f t="shared" si="4"/>
        <v>0</v>
      </c>
      <c r="V5428" s="309">
        <f t="shared" si="5"/>
        <v>0</v>
      </c>
      <c r="W5428" s="309">
        <f t="shared" si="6"/>
        <v>0</v>
      </c>
      <c r="X5428" s="309">
        <f t="shared" si="7"/>
        <v>0</v>
      </c>
      <c r="Y5428" s="309">
        <f t="shared" si="8"/>
        <v>0</v>
      </c>
      <c r="Z5428" s="309">
        <f t="shared" si="9"/>
        <v>0</v>
      </c>
    </row>
    <row r="5429" ht="15.0" customHeight="1">
      <c r="A5429" s="299" t="s">
        <v>6874</v>
      </c>
      <c r="B5429" s="300" t="s">
        <v>29</v>
      </c>
      <c r="C5429" s="300" t="s">
        <v>6853</v>
      </c>
      <c r="D5429" s="301">
        <v>45653.0</v>
      </c>
      <c r="E5429" s="299" t="s">
        <v>731</v>
      </c>
      <c r="F5429" s="302">
        <v>469432.01</v>
      </c>
      <c r="G5429" s="302">
        <f>'FACP$'!$F5429*0.16</f>
        <v>75109.1216</v>
      </c>
      <c r="H5429" s="302">
        <f t="shared" si="124"/>
        <v>544541.1316</v>
      </c>
      <c r="I5429" s="302"/>
      <c r="J5429" s="304"/>
      <c r="K5429" s="302"/>
      <c r="L5429" s="302">
        <f>+'FACP$'!$H5429-'FACP$'!$I5429-'FACP$'!$K5429</f>
        <v>544541.1316</v>
      </c>
      <c r="M5429" s="305" t="s">
        <v>130</v>
      </c>
      <c r="N5429" s="305" t="s">
        <v>127</v>
      </c>
      <c r="O5429" s="306"/>
      <c r="P5429" s="164">
        <f t="array" ref="P5429">XLOOKUP('FACP$'!$B5429,'perfil de pagos'!$A$4:$A$46,'perfil de pagos'!$B$4:$B$46+'FACP$'!$D5429)</f>
        <v>45663</v>
      </c>
      <c r="Q5429" s="307">
        <f t="shared" si="128"/>
        <v>0</v>
      </c>
      <c r="R5429" s="308"/>
      <c r="S5429" s="308"/>
      <c r="T5429" s="309">
        <f t="shared" si="3"/>
        <v>544541.1316</v>
      </c>
      <c r="U5429" s="309">
        <f t="shared" si="4"/>
        <v>0</v>
      </c>
      <c r="V5429" s="309">
        <f t="shared" si="5"/>
        <v>0</v>
      </c>
      <c r="W5429" s="309">
        <f t="shared" si="6"/>
        <v>0</v>
      </c>
      <c r="X5429" s="309">
        <f t="shared" si="7"/>
        <v>0</v>
      </c>
      <c r="Y5429" s="309">
        <f t="shared" si="8"/>
        <v>0</v>
      </c>
      <c r="Z5429" s="309">
        <f t="shared" si="9"/>
        <v>0</v>
      </c>
    </row>
    <row r="5430" ht="15.0" customHeight="1">
      <c r="A5430" s="157" t="s">
        <v>6875</v>
      </c>
      <c r="B5430" s="158" t="s">
        <v>27</v>
      </c>
      <c r="C5430" s="158" t="s">
        <v>6876</v>
      </c>
      <c r="D5430" s="159">
        <v>45653.0</v>
      </c>
      <c r="E5430" s="157" t="s">
        <v>731</v>
      </c>
      <c r="F5430" s="160">
        <v>194555.59</v>
      </c>
      <c r="G5430" s="160">
        <f>'FACP$'!$F5430*0.16</f>
        <v>31128.8944</v>
      </c>
      <c r="H5430" s="160">
        <f t="shared" si="124"/>
        <v>225684.4844</v>
      </c>
      <c r="I5430" s="160"/>
      <c r="J5430" s="161"/>
      <c r="K5430" s="160"/>
      <c r="L5430" s="160">
        <f>+'FACP$'!$H5430-'FACP$'!$I5430-'FACP$'!$K5430</f>
        <v>225684.4844</v>
      </c>
      <c r="M5430" s="162" t="s">
        <v>158</v>
      </c>
      <c r="N5430" s="162" t="s">
        <v>554</v>
      </c>
      <c r="O5430" s="164">
        <v>45763.0</v>
      </c>
      <c r="P5430" s="164">
        <f t="array" ref="P5430">XLOOKUP('FACP$'!$B5430,'perfil de pagos'!$A$4:$A$46,'perfil de pagos'!$B$4:$B$46+'FACP$'!$D5430)</f>
        <v>45683</v>
      </c>
      <c r="Q5430" s="165">
        <f t="shared" si="128"/>
        <v>0</v>
      </c>
      <c r="R5430" s="167"/>
      <c r="S5430" s="167">
        <v>3762.0</v>
      </c>
      <c r="T5430" s="168">
        <f t="shared" si="3"/>
        <v>225684.4844</v>
      </c>
      <c r="U5430" s="168">
        <f t="shared" si="4"/>
        <v>0</v>
      </c>
      <c r="V5430" s="168">
        <f t="shared" si="5"/>
        <v>0</v>
      </c>
      <c r="W5430" s="168">
        <f t="shared" si="6"/>
        <v>0</v>
      </c>
      <c r="X5430" s="168">
        <f t="shared" si="7"/>
        <v>0</v>
      </c>
      <c r="Y5430" s="168">
        <f t="shared" si="8"/>
        <v>0</v>
      </c>
      <c r="Z5430" s="168">
        <f t="shared" si="9"/>
        <v>0</v>
      </c>
    </row>
    <row r="5431" ht="15.0" customHeight="1">
      <c r="A5431" s="157" t="s">
        <v>6877</v>
      </c>
      <c r="B5431" s="158" t="s">
        <v>27</v>
      </c>
      <c r="C5431" s="158" t="s">
        <v>6878</v>
      </c>
      <c r="D5431" s="159">
        <v>45653.0</v>
      </c>
      <c r="E5431" s="157" t="s">
        <v>731</v>
      </c>
      <c r="F5431" s="160">
        <v>132042.74</v>
      </c>
      <c r="G5431" s="160">
        <f>'FACP$'!$F5431*0.16</f>
        <v>21126.8384</v>
      </c>
      <c r="H5431" s="160">
        <f t="shared" si="124"/>
        <v>153169.5784</v>
      </c>
      <c r="I5431" s="160"/>
      <c r="J5431" s="161"/>
      <c r="K5431" s="160"/>
      <c r="L5431" s="160">
        <f>+'FACP$'!$H5431-'FACP$'!$I5431-'FACP$'!$K5431</f>
        <v>153169.5784</v>
      </c>
      <c r="M5431" s="162" t="s">
        <v>158</v>
      </c>
      <c r="N5431" s="162" t="s">
        <v>554</v>
      </c>
      <c r="O5431" s="164">
        <v>45772.0</v>
      </c>
      <c r="P5431" s="164">
        <f t="array" ref="P5431">XLOOKUP('FACP$'!$B5431,'perfil de pagos'!$A$4:$A$46,'perfil de pagos'!$B$4:$B$46+'FACP$'!$D5431)</f>
        <v>45683</v>
      </c>
      <c r="Q5431" s="165">
        <f t="shared" si="128"/>
        <v>0</v>
      </c>
      <c r="R5431" s="167"/>
      <c r="S5431" s="167">
        <v>3774.0</v>
      </c>
      <c r="T5431" s="168">
        <f t="shared" si="3"/>
        <v>153169.5784</v>
      </c>
      <c r="U5431" s="168">
        <f t="shared" si="4"/>
        <v>0</v>
      </c>
      <c r="V5431" s="168">
        <f t="shared" si="5"/>
        <v>0</v>
      </c>
      <c r="W5431" s="168">
        <f t="shared" si="6"/>
        <v>0</v>
      </c>
      <c r="X5431" s="168">
        <f t="shared" si="7"/>
        <v>0</v>
      </c>
      <c r="Y5431" s="168">
        <f t="shared" si="8"/>
        <v>0</v>
      </c>
      <c r="Z5431" s="168">
        <f t="shared" si="9"/>
        <v>0</v>
      </c>
    </row>
    <row r="5432" ht="15.0" customHeight="1">
      <c r="A5432" s="157" t="s">
        <v>6879</v>
      </c>
      <c r="B5432" s="158" t="s">
        <v>27</v>
      </c>
      <c r="C5432" s="158" t="s">
        <v>6876</v>
      </c>
      <c r="D5432" s="159">
        <v>45653.0</v>
      </c>
      <c r="E5432" s="157" t="s">
        <v>731</v>
      </c>
      <c r="F5432" s="160">
        <v>302338.53</v>
      </c>
      <c r="G5432" s="160">
        <f>'FACP$'!$F5432*0.16</f>
        <v>48374.1648</v>
      </c>
      <c r="H5432" s="211">
        <f t="shared" si="124"/>
        <v>350712.6948</v>
      </c>
      <c r="I5432" s="160"/>
      <c r="J5432" s="161"/>
      <c r="K5432" s="160"/>
      <c r="L5432" s="160">
        <f>+'FACP$'!$H5432-'FACP$'!$I5432-'FACP$'!$K5432</f>
        <v>350712.6948</v>
      </c>
      <c r="M5432" s="162" t="s">
        <v>151</v>
      </c>
      <c r="N5432" s="162" t="s">
        <v>554</v>
      </c>
      <c r="O5432" s="164">
        <v>45757.0</v>
      </c>
      <c r="P5432" s="164">
        <f t="array" ref="P5432">XLOOKUP('FACP$'!$B5432,'perfil de pagos'!$A$4:$A$46,'perfil de pagos'!$B$4:$B$46+'FACP$'!$D5432)</f>
        <v>45683</v>
      </c>
      <c r="Q5432" s="165">
        <f t="shared" si="128"/>
        <v>0</v>
      </c>
      <c r="R5432" s="167"/>
      <c r="S5432" s="167">
        <v>3742.0</v>
      </c>
      <c r="T5432" s="168">
        <f t="shared" si="3"/>
        <v>350712.6948</v>
      </c>
      <c r="U5432" s="168">
        <f t="shared" si="4"/>
        <v>0</v>
      </c>
      <c r="V5432" s="168">
        <f t="shared" si="5"/>
        <v>0</v>
      </c>
      <c r="W5432" s="168">
        <f t="shared" si="6"/>
        <v>0</v>
      </c>
      <c r="X5432" s="168">
        <f t="shared" si="7"/>
        <v>0</v>
      </c>
      <c r="Y5432" s="168">
        <f t="shared" si="8"/>
        <v>0</v>
      </c>
      <c r="Z5432" s="168">
        <f t="shared" si="9"/>
        <v>0</v>
      </c>
    </row>
    <row r="5433" ht="15.0" customHeight="1">
      <c r="A5433" s="157" t="s">
        <v>6880</v>
      </c>
      <c r="B5433" s="158" t="s">
        <v>27</v>
      </c>
      <c r="C5433" s="158" t="s">
        <v>6878</v>
      </c>
      <c r="D5433" s="159">
        <v>45653.0</v>
      </c>
      <c r="E5433" s="157" t="s">
        <v>731</v>
      </c>
      <c r="F5433" s="160">
        <v>188625.58</v>
      </c>
      <c r="G5433" s="160">
        <f>'FACP$'!$F5433*0.16</f>
        <v>30180.0928</v>
      </c>
      <c r="H5433" s="160">
        <f t="shared" si="124"/>
        <v>218805.6728</v>
      </c>
      <c r="I5433" s="160"/>
      <c r="J5433" s="161"/>
      <c r="K5433" s="160"/>
      <c r="L5433" s="160">
        <f>+'FACP$'!$H5433-'FACP$'!$I5433-'FACP$'!$K5433</f>
        <v>218805.6728</v>
      </c>
      <c r="M5433" s="162" t="s">
        <v>151</v>
      </c>
      <c r="N5433" s="162" t="s">
        <v>554</v>
      </c>
      <c r="O5433" s="164">
        <v>45763.0</v>
      </c>
      <c r="P5433" s="164">
        <f t="array" ref="P5433">XLOOKUP('FACP$'!$B5433,'perfil de pagos'!$A$4:$A$46,'perfil de pagos'!$B$4:$B$46+'FACP$'!$D5433)</f>
        <v>45683</v>
      </c>
      <c r="Q5433" s="165">
        <f t="shared" si="128"/>
        <v>0</v>
      </c>
      <c r="R5433" s="167"/>
      <c r="S5433" s="167">
        <v>3763.0</v>
      </c>
      <c r="T5433" s="168">
        <f t="shared" si="3"/>
        <v>218805.6728</v>
      </c>
      <c r="U5433" s="168">
        <f t="shared" si="4"/>
        <v>0</v>
      </c>
      <c r="V5433" s="168">
        <f t="shared" si="5"/>
        <v>0</v>
      </c>
      <c r="W5433" s="168">
        <f t="shared" si="6"/>
        <v>0</v>
      </c>
      <c r="X5433" s="168">
        <f t="shared" si="7"/>
        <v>0</v>
      </c>
      <c r="Y5433" s="168">
        <f t="shared" si="8"/>
        <v>0</v>
      </c>
      <c r="Z5433" s="168">
        <f t="shared" si="9"/>
        <v>0</v>
      </c>
    </row>
    <row r="5434" ht="15.0" customHeight="1">
      <c r="A5434" s="157" t="s">
        <v>6881</v>
      </c>
      <c r="B5434" s="158" t="s">
        <v>27</v>
      </c>
      <c r="C5434" s="158" t="s">
        <v>6876</v>
      </c>
      <c r="D5434" s="159">
        <v>45653.0</v>
      </c>
      <c r="E5434" s="157" t="s">
        <v>731</v>
      </c>
      <c r="F5434" s="160">
        <v>21738.44</v>
      </c>
      <c r="G5434" s="160">
        <f>'FACP$'!$F5434*0.16</f>
        <v>3478.1504</v>
      </c>
      <c r="H5434" s="160">
        <f t="shared" si="124"/>
        <v>25216.5904</v>
      </c>
      <c r="I5434" s="160"/>
      <c r="J5434" s="161"/>
      <c r="K5434" s="160"/>
      <c r="L5434" s="160">
        <f>+'FACP$'!$H5434-'FACP$'!$I5434-'FACP$'!$K5434</f>
        <v>25216.5904</v>
      </c>
      <c r="M5434" s="162" t="s">
        <v>151</v>
      </c>
      <c r="N5434" s="162" t="s">
        <v>554</v>
      </c>
      <c r="O5434" s="164">
        <v>45763.0</v>
      </c>
      <c r="P5434" s="164">
        <f t="array" ref="P5434">XLOOKUP('FACP$'!$B5434,'perfil de pagos'!$A$4:$A$46,'perfil de pagos'!$B$4:$B$46+'FACP$'!$D5434)</f>
        <v>45683</v>
      </c>
      <c r="Q5434" s="165">
        <f t="shared" si="128"/>
        <v>0</v>
      </c>
      <c r="R5434" s="167"/>
      <c r="S5434" s="167">
        <v>3763.0</v>
      </c>
      <c r="T5434" s="168">
        <f t="shared" si="3"/>
        <v>25216.5904</v>
      </c>
      <c r="U5434" s="168">
        <f t="shared" si="4"/>
        <v>0</v>
      </c>
      <c r="V5434" s="168">
        <f t="shared" si="5"/>
        <v>0</v>
      </c>
      <c r="W5434" s="168">
        <f t="shared" si="6"/>
        <v>0</v>
      </c>
      <c r="X5434" s="168">
        <f t="shared" si="7"/>
        <v>0</v>
      </c>
      <c r="Y5434" s="168">
        <f t="shared" si="8"/>
        <v>0</v>
      </c>
      <c r="Z5434" s="168">
        <f t="shared" si="9"/>
        <v>0</v>
      </c>
    </row>
    <row r="5435" ht="15.0" customHeight="1">
      <c r="A5435" s="157" t="s">
        <v>6882</v>
      </c>
      <c r="B5435" s="158" t="s">
        <v>27</v>
      </c>
      <c r="C5435" s="158" t="s">
        <v>6878</v>
      </c>
      <c r="D5435" s="159">
        <v>45653.0</v>
      </c>
      <c r="E5435" s="157" t="s">
        <v>731</v>
      </c>
      <c r="F5435" s="160">
        <v>19453.66</v>
      </c>
      <c r="G5435" s="160">
        <f>'FACP$'!$F5435*0.16</f>
        <v>3112.5856</v>
      </c>
      <c r="H5435" s="160">
        <f t="shared" si="124"/>
        <v>22566.2456</v>
      </c>
      <c r="I5435" s="160"/>
      <c r="J5435" s="161"/>
      <c r="K5435" s="160"/>
      <c r="L5435" s="160">
        <f>+'FACP$'!$H5435-'FACP$'!$I5435-'FACP$'!$K5435</f>
        <v>22566.2456</v>
      </c>
      <c r="M5435" s="162" t="s">
        <v>151</v>
      </c>
      <c r="N5435" s="162" t="s">
        <v>554</v>
      </c>
      <c r="O5435" s="164">
        <v>45763.0</v>
      </c>
      <c r="P5435" s="164">
        <f t="array" ref="P5435">XLOOKUP('FACP$'!$B5435,'perfil de pagos'!$A$4:$A$46,'perfil de pagos'!$B$4:$B$46+'FACP$'!$D5435)</f>
        <v>45683</v>
      </c>
      <c r="Q5435" s="165">
        <f t="shared" si="128"/>
        <v>0</v>
      </c>
      <c r="R5435" s="167"/>
      <c r="S5435" s="167">
        <v>3763.0</v>
      </c>
      <c r="T5435" s="168">
        <f t="shared" si="3"/>
        <v>22566.2456</v>
      </c>
      <c r="U5435" s="168">
        <f t="shared" si="4"/>
        <v>0</v>
      </c>
      <c r="V5435" s="168">
        <f t="shared" si="5"/>
        <v>0</v>
      </c>
      <c r="W5435" s="168">
        <f t="shared" si="6"/>
        <v>0</v>
      </c>
      <c r="X5435" s="168">
        <f t="shared" si="7"/>
        <v>0</v>
      </c>
      <c r="Y5435" s="168">
        <f t="shared" si="8"/>
        <v>0</v>
      </c>
      <c r="Z5435" s="168">
        <f t="shared" si="9"/>
        <v>0</v>
      </c>
    </row>
    <row r="5436" ht="15.0" customHeight="1">
      <c r="A5436" s="157" t="s">
        <v>6883</v>
      </c>
      <c r="B5436" s="158" t="s">
        <v>22</v>
      </c>
      <c r="C5436" s="158" t="s">
        <v>6884</v>
      </c>
      <c r="D5436" s="159">
        <v>45653.0</v>
      </c>
      <c r="E5436" s="157" t="s">
        <v>731</v>
      </c>
      <c r="F5436" s="160">
        <v>3121.45</v>
      </c>
      <c r="G5436" s="160">
        <f>'FACP$'!$F5436*0.16</f>
        <v>499.432</v>
      </c>
      <c r="H5436" s="160">
        <f t="shared" si="124"/>
        <v>3620.882</v>
      </c>
      <c r="I5436" s="160"/>
      <c r="J5436" s="161"/>
      <c r="K5436" s="160"/>
      <c r="L5436" s="160">
        <f>+'FACP$'!$H5436-'FACP$'!$I5436-'FACP$'!$K5436</f>
        <v>3620.882</v>
      </c>
      <c r="M5436" s="162" t="s">
        <v>6823</v>
      </c>
      <c r="N5436" s="162" t="s">
        <v>554</v>
      </c>
      <c r="O5436" s="164">
        <v>45681.0</v>
      </c>
      <c r="P5436" s="164">
        <f t="array" ref="P5436">XLOOKUP('FACP$'!$B5436,'perfil de pagos'!$A$4:$A$46,'perfil de pagos'!$B$4:$B$46+'FACP$'!$D5436)</f>
        <v>45663</v>
      </c>
      <c r="Q5436" s="165">
        <f t="shared" si="128"/>
        <v>0</v>
      </c>
      <c r="R5436" s="167"/>
      <c r="S5436" s="167">
        <v>3572.0</v>
      </c>
      <c r="T5436" s="168">
        <f t="shared" si="3"/>
        <v>3620.882</v>
      </c>
      <c r="U5436" s="168">
        <f t="shared" si="4"/>
        <v>0</v>
      </c>
      <c r="V5436" s="168">
        <f t="shared" si="5"/>
        <v>0</v>
      </c>
      <c r="W5436" s="168">
        <f t="shared" si="6"/>
        <v>0</v>
      </c>
      <c r="X5436" s="168">
        <f t="shared" si="7"/>
        <v>0</v>
      </c>
      <c r="Y5436" s="168">
        <f t="shared" si="8"/>
        <v>0</v>
      </c>
      <c r="Z5436" s="168">
        <f t="shared" si="9"/>
        <v>0</v>
      </c>
    </row>
    <row r="5437" ht="15.0" customHeight="1">
      <c r="A5437" s="157" t="s">
        <v>6885</v>
      </c>
      <c r="B5437" s="158" t="s">
        <v>22</v>
      </c>
      <c r="C5437" s="158" t="s">
        <v>6884</v>
      </c>
      <c r="D5437" s="159">
        <v>45653.0</v>
      </c>
      <c r="E5437" s="157" t="s">
        <v>731</v>
      </c>
      <c r="F5437" s="160">
        <v>52137.33</v>
      </c>
      <c r="G5437" s="160">
        <f>'FACP$'!$F5437*0.16</f>
        <v>8341.9728</v>
      </c>
      <c r="H5437" s="160">
        <f t="shared" si="124"/>
        <v>60479.3028</v>
      </c>
      <c r="I5437" s="160"/>
      <c r="J5437" s="161"/>
      <c r="K5437" s="160"/>
      <c r="L5437" s="160">
        <f>+'FACP$'!$H5437-'FACP$'!$I5437-'FACP$'!$K5437</f>
        <v>60479.3028</v>
      </c>
      <c r="M5437" s="162" t="s">
        <v>6695</v>
      </c>
      <c r="N5437" s="162" t="s">
        <v>554</v>
      </c>
      <c r="O5437" s="164">
        <v>45681.0</v>
      </c>
      <c r="P5437" s="164">
        <f t="array" ref="P5437">XLOOKUP('FACP$'!$B5437,'perfil de pagos'!$A$4:$A$46,'perfil de pagos'!$B$4:$B$46+'FACP$'!$D5437)</f>
        <v>45663</v>
      </c>
      <c r="Q5437" s="165">
        <f t="shared" si="128"/>
        <v>0</v>
      </c>
      <c r="R5437" s="167"/>
      <c r="S5437" s="167">
        <v>3572.0</v>
      </c>
      <c r="T5437" s="168">
        <f t="shared" si="3"/>
        <v>60479.3028</v>
      </c>
      <c r="U5437" s="168">
        <f t="shared" si="4"/>
        <v>0</v>
      </c>
      <c r="V5437" s="168">
        <f t="shared" si="5"/>
        <v>0</v>
      </c>
      <c r="W5437" s="168">
        <f t="shared" si="6"/>
        <v>0</v>
      </c>
      <c r="X5437" s="168">
        <f t="shared" si="7"/>
        <v>0</v>
      </c>
      <c r="Y5437" s="168">
        <f t="shared" si="8"/>
        <v>0</v>
      </c>
      <c r="Z5437" s="168">
        <f t="shared" si="9"/>
        <v>0</v>
      </c>
    </row>
    <row r="5438" ht="15.0" customHeight="1">
      <c r="A5438" s="157" t="s">
        <v>6886</v>
      </c>
      <c r="B5438" s="158" t="s">
        <v>22</v>
      </c>
      <c r="C5438" s="158" t="s">
        <v>6884</v>
      </c>
      <c r="D5438" s="159">
        <v>45653.0</v>
      </c>
      <c r="E5438" s="157" t="s">
        <v>731</v>
      </c>
      <c r="F5438" s="160">
        <v>27035.38</v>
      </c>
      <c r="G5438" s="160">
        <f>'FACP$'!$F5438*0.16</f>
        <v>4325.6608</v>
      </c>
      <c r="H5438" s="160">
        <f t="shared" si="124"/>
        <v>31361.0408</v>
      </c>
      <c r="I5438" s="160"/>
      <c r="J5438" s="161"/>
      <c r="K5438" s="160"/>
      <c r="L5438" s="160">
        <f>+'FACP$'!$H5438-'FACP$'!$I5438-'FACP$'!$K5438</f>
        <v>31361.0408</v>
      </c>
      <c r="M5438" s="162" t="s">
        <v>6693</v>
      </c>
      <c r="N5438" s="162" t="s">
        <v>554</v>
      </c>
      <c r="O5438" s="164">
        <v>45681.0</v>
      </c>
      <c r="P5438" s="164">
        <f t="array" ref="P5438">XLOOKUP('FACP$'!$B5438,'perfil de pagos'!$A$4:$A$46,'perfil de pagos'!$B$4:$B$46+'FACP$'!$D5438)</f>
        <v>45663</v>
      </c>
      <c r="Q5438" s="165">
        <f t="shared" si="128"/>
        <v>0</v>
      </c>
      <c r="R5438" s="167"/>
      <c r="S5438" s="167">
        <v>3572.0</v>
      </c>
      <c r="T5438" s="168">
        <f t="shared" si="3"/>
        <v>31361.0408</v>
      </c>
      <c r="U5438" s="168">
        <f t="shared" si="4"/>
        <v>0</v>
      </c>
      <c r="V5438" s="168">
        <f t="shared" si="5"/>
        <v>0</v>
      </c>
      <c r="W5438" s="168">
        <f t="shared" si="6"/>
        <v>0</v>
      </c>
      <c r="X5438" s="168">
        <f t="shared" si="7"/>
        <v>0</v>
      </c>
      <c r="Y5438" s="168">
        <f t="shared" si="8"/>
        <v>0</v>
      </c>
      <c r="Z5438" s="168">
        <f t="shared" si="9"/>
        <v>0</v>
      </c>
    </row>
    <row r="5439" ht="15.0" customHeight="1">
      <c r="A5439" s="157" t="s">
        <v>6887</v>
      </c>
      <c r="B5439" s="158" t="s">
        <v>38</v>
      </c>
      <c r="C5439" s="158" t="s">
        <v>6850</v>
      </c>
      <c r="D5439" s="159">
        <v>45656.0</v>
      </c>
      <c r="E5439" s="157" t="s">
        <v>731</v>
      </c>
      <c r="F5439" s="160">
        <v>545517.7</v>
      </c>
      <c r="G5439" s="160">
        <f>'FACP$'!$F5439*0.16</f>
        <v>87282.832</v>
      </c>
      <c r="H5439" s="160">
        <f t="shared" si="124"/>
        <v>632800.532</v>
      </c>
      <c r="I5439" s="160"/>
      <c r="J5439" s="161"/>
      <c r="K5439" s="160"/>
      <c r="L5439" s="160">
        <f>+'FACP$'!$H5439-'FACP$'!$I5439-'FACP$'!$K5439</f>
        <v>632800.532</v>
      </c>
      <c r="M5439" s="162" t="s">
        <v>145</v>
      </c>
      <c r="N5439" s="162" t="s">
        <v>554</v>
      </c>
      <c r="O5439" s="164">
        <v>45672.0</v>
      </c>
      <c r="P5439" s="164">
        <f t="array" ref="P5439">XLOOKUP('FACP$'!$B5439,'perfil de pagos'!$A$4:$A$46,'perfil de pagos'!$B$4:$B$46+'FACP$'!$D5439)</f>
        <v>45686</v>
      </c>
      <c r="Q5439" s="165">
        <f t="shared" si="128"/>
        <v>0</v>
      </c>
      <c r="R5439" s="167"/>
      <c r="S5439" s="167">
        <v>3549.0</v>
      </c>
      <c r="T5439" s="168">
        <f t="shared" si="3"/>
        <v>632800.532</v>
      </c>
      <c r="U5439" s="168">
        <f t="shared" si="4"/>
        <v>0</v>
      </c>
      <c r="V5439" s="168">
        <f t="shared" si="5"/>
        <v>0</v>
      </c>
      <c r="W5439" s="168">
        <f t="shared" si="6"/>
        <v>0</v>
      </c>
      <c r="X5439" s="168">
        <f t="shared" si="7"/>
        <v>0</v>
      </c>
      <c r="Y5439" s="168">
        <f t="shared" si="8"/>
        <v>0</v>
      </c>
      <c r="Z5439" s="168">
        <f t="shared" si="9"/>
        <v>0</v>
      </c>
    </row>
    <row r="5440" ht="15.0" customHeight="1">
      <c r="A5440" s="157" t="s">
        <v>6888</v>
      </c>
      <c r="B5440" s="158" t="s">
        <v>27</v>
      </c>
      <c r="C5440" s="158" t="s">
        <v>6889</v>
      </c>
      <c r="D5440" s="159">
        <v>45656.0</v>
      </c>
      <c r="E5440" s="157" t="s">
        <v>731</v>
      </c>
      <c r="F5440" s="160">
        <v>170203.25</v>
      </c>
      <c r="G5440" s="160">
        <f>'FACP$'!$F5440*0.16</f>
        <v>27232.52</v>
      </c>
      <c r="H5440" s="160">
        <f t="shared" si="124"/>
        <v>197435.77</v>
      </c>
      <c r="I5440" s="160"/>
      <c r="J5440" s="161"/>
      <c r="K5440" s="160"/>
      <c r="L5440" s="160">
        <f>+'FACP$'!$H5440-'FACP$'!$I5440-'FACP$'!$K5440</f>
        <v>197435.77</v>
      </c>
      <c r="M5440" s="162" t="s">
        <v>158</v>
      </c>
      <c r="N5440" s="162"/>
      <c r="O5440" s="164"/>
      <c r="P5440" s="164">
        <f t="array" ref="P5440">XLOOKUP('FACP$'!$B5440,'perfil de pagos'!$A$4:$A$46,'perfil de pagos'!$B$4:$B$46+'FACP$'!$D5440)</f>
        <v>45686</v>
      </c>
      <c r="Q5440" s="165">
        <f t="shared" si="128"/>
        <v>103</v>
      </c>
      <c r="R5440" s="167"/>
      <c r="S5440" s="167"/>
      <c r="T5440" s="168">
        <f t="shared" si="3"/>
        <v>0</v>
      </c>
      <c r="U5440" s="168">
        <f t="shared" si="4"/>
        <v>0</v>
      </c>
      <c r="V5440" s="168">
        <f t="shared" si="5"/>
        <v>0</v>
      </c>
      <c r="W5440" s="168">
        <f t="shared" si="6"/>
        <v>0</v>
      </c>
      <c r="X5440" s="168">
        <f t="shared" si="7"/>
        <v>0</v>
      </c>
      <c r="Y5440" s="168">
        <f t="shared" si="8"/>
        <v>0</v>
      </c>
      <c r="Z5440" s="168">
        <f t="shared" si="9"/>
        <v>197435.77</v>
      </c>
    </row>
    <row r="5441" ht="15.0" customHeight="1">
      <c r="A5441" s="157" t="s">
        <v>6890</v>
      </c>
      <c r="B5441" s="158" t="s">
        <v>27</v>
      </c>
      <c r="C5441" s="158" t="s">
        <v>6891</v>
      </c>
      <c r="D5441" s="159">
        <v>45656.0</v>
      </c>
      <c r="E5441" s="157" t="s">
        <v>731</v>
      </c>
      <c r="F5441" s="160">
        <v>116830.71</v>
      </c>
      <c r="G5441" s="160">
        <f>'FACP$'!$F5441*0.16</f>
        <v>18692.9136</v>
      </c>
      <c r="H5441" s="160">
        <f t="shared" si="124"/>
        <v>135523.6236</v>
      </c>
      <c r="I5441" s="160"/>
      <c r="J5441" s="161"/>
      <c r="K5441" s="160"/>
      <c r="L5441" s="160">
        <f>+'FACP$'!$H5441-'FACP$'!$I5441-'FACP$'!$K5441</f>
        <v>135523.6236</v>
      </c>
      <c r="M5441" s="162" t="s">
        <v>158</v>
      </c>
      <c r="N5441" s="162"/>
      <c r="O5441" s="164"/>
      <c r="P5441" s="164">
        <f t="array" ref="P5441">XLOOKUP('FACP$'!$B5441,'perfil de pagos'!$A$4:$A$46,'perfil de pagos'!$B$4:$B$46+'FACP$'!$D5441)</f>
        <v>45686</v>
      </c>
      <c r="Q5441" s="165">
        <f t="shared" si="128"/>
        <v>103</v>
      </c>
      <c r="R5441" s="167"/>
      <c r="S5441" s="167"/>
      <c r="T5441" s="168">
        <f t="shared" si="3"/>
        <v>0</v>
      </c>
      <c r="U5441" s="168">
        <f t="shared" si="4"/>
        <v>0</v>
      </c>
      <c r="V5441" s="168">
        <f t="shared" si="5"/>
        <v>0</v>
      </c>
      <c r="W5441" s="168">
        <f t="shared" si="6"/>
        <v>0</v>
      </c>
      <c r="X5441" s="168">
        <f t="shared" si="7"/>
        <v>0</v>
      </c>
      <c r="Y5441" s="168">
        <f t="shared" si="8"/>
        <v>0</v>
      </c>
      <c r="Z5441" s="168">
        <f t="shared" si="9"/>
        <v>135523.6236</v>
      </c>
    </row>
    <row r="5442" ht="15.0" customHeight="1">
      <c r="A5442" s="157" t="s">
        <v>6892</v>
      </c>
      <c r="B5442" s="158" t="s">
        <v>27</v>
      </c>
      <c r="C5442" s="158" t="s">
        <v>6889</v>
      </c>
      <c r="D5442" s="159">
        <v>45656.0</v>
      </c>
      <c r="E5442" s="157" t="s">
        <v>731</v>
      </c>
      <c r="F5442" s="160">
        <v>227184.14</v>
      </c>
      <c r="G5442" s="160">
        <f>'FACP$'!$F5442*0.16</f>
        <v>36349.4624</v>
      </c>
      <c r="H5442" s="160">
        <f t="shared" si="124"/>
        <v>263533.6024</v>
      </c>
      <c r="I5442" s="160"/>
      <c r="J5442" s="161"/>
      <c r="K5442" s="160"/>
      <c r="L5442" s="160">
        <f>+'FACP$'!$H5442-'FACP$'!$I5442-'FACP$'!$K5442</f>
        <v>263533.6024</v>
      </c>
      <c r="M5442" s="162" t="s">
        <v>151</v>
      </c>
      <c r="N5442" s="162" t="s">
        <v>554</v>
      </c>
      <c r="O5442" s="164">
        <v>45772.0</v>
      </c>
      <c r="P5442" s="164">
        <f t="array" ref="P5442">XLOOKUP('FACP$'!$B5442,'perfil de pagos'!$A$4:$A$46,'perfil de pagos'!$B$4:$B$46+'FACP$'!$D5442)</f>
        <v>45686</v>
      </c>
      <c r="Q5442" s="165">
        <f t="shared" si="128"/>
        <v>0</v>
      </c>
      <c r="R5442" s="167"/>
      <c r="S5442" s="167">
        <v>3775.0</v>
      </c>
      <c r="T5442" s="168">
        <f t="shared" si="3"/>
        <v>263533.6024</v>
      </c>
      <c r="U5442" s="168">
        <f t="shared" si="4"/>
        <v>0</v>
      </c>
      <c r="V5442" s="168">
        <f t="shared" si="5"/>
        <v>0</v>
      </c>
      <c r="W5442" s="168">
        <f t="shared" si="6"/>
        <v>0</v>
      </c>
      <c r="X5442" s="168">
        <f t="shared" si="7"/>
        <v>0</v>
      </c>
      <c r="Y5442" s="168">
        <f t="shared" si="8"/>
        <v>0</v>
      </c>
      <c r="Z5442" s="168">
        <f t="shared" si="9"/>
        <v>0</v>
      </c>
    </row>
    <row r="5443" ht="15.0" customHeight="1">
      <c r="A5443" s="157" t="s">
        <v>6893</v>
      </c>
      <c r="B5443" s="158" t="s">
        <v>27</v>
      </c>
      <c r="C5443" s="158" t="s">
        <v>6891</v>
      </c>
      <c r="D5443" s="159">
        <v>45656.0</v>
      </c>
      <c r="E5443" s="157" t="s">
        <v>731</v>
      </c>
      <c r="F5443" s="160">
        <v>128346.11</v>
      </c>
      <c r="G5443" s="160">
        <f>'FACP$'!$F5443*0.16</f>
        <v>20535.3776</v>
      </c>
      <c r="H5443" s="160">
        <f t="shared" si="124"/>
        <v>148881.4876</v>
      </c>
      <c r="I5443" s="160"/>
      <c r="J5443" s="161"/>
      <c r="K5443" s="160"/>
      <c r="L5443" s="160">
        <f>+'FACP$'!$H5443-'FACP$'!$I5443-'FACP$'!$K5443</f>
        <v>148881.4876</v>
      </c>
      <c r="M5443" s="162" t="s">
        <v>151</v>
      </c>
      <c r="N5443" s="162" t="s">
        <v>554</v>
      </c>
      <c r="O5443" s="164">
        <v>45772.0</v>
      </c>
      <c r="P5443" s="164">
        <f t="array" ref="P5443">XLOOKUP('FACP$'!$B5443,'perfil de pagos'!$A$4:$A$46,'perfil de pagos'!$B$4:$B$46+'FACP$'!$D5443)</f>
        <v>45686</v>
      </c>
      <c r="Q5443" s="165">
        <f t="shared" si="128"/>
        <v>0</v>
      </c>
      <c r="R5443" s="167"/>
      <c r="S5443" s="167">
        <v>3775.0</v>
      </c>
      <c r="T5443" s="168">
        <f t="shared" si="3"/>
        <v>148881.4876</v>
      </c>
      <c r="U5443" s="168">
        <f t="shared" si="4"/>
        <v>0</v>
      </c>
      <c r="V5443" s="168">
        <f t="shared" si="5"/>
        <v>0</v>
      </c>
      <c r="W5443" s="168">
        <f t="shared" si="6"/>
        <v>0</v>
      </c>
      <c r="X5443" s="168">
        <f t="shared" si="7"/>
        <v>0</v>
      </c>
      <c r="Y5443" s="168">
        <f t="shared" si="8"/>
        <v>0</v>
      </c>
      <c r="Z5443" s="168">
        <f t="shared" si="9"/>
        <v>0</v>
      </c>
    </row>
    <row r="5444" ht="15.0" customHeight="1">
      <c r="A5444" s="157" t="s">
        <v>6894</v>
      </c>
      <c r="B5444" s="158" t="s">
        <v>27</v>
      </c>
      <c r="C5444" s="158" t="s">
        <v>6889</v>
      </c>
      <c r="D5444" s="159">
        <v>45656.0</v>
      </c>
      <c r="E5444" s="157" t="s">
        <v>731</v>
      </c>
      <c r="F5444" s="160">
        <v>13687.53</v>
      </c>
      <c r="G5444" s="160">
        <f>'FACP$'!$F5444*0.16</f>
        <v>2190.0048</v>
      </c>
      <c r="H5444" s="160">
        <f t="shared" si="124"/>
        <v>15877.5348</v>
      </c>
      <c r="I5444" s="160"/>
      <c r="J5444" s="161"/>
      <c r="K5444" s="160"/>
      <c r="L5444" s="160">
        <f>+'FACP$'!$H5444-'FACP$'!$I5444-'FACP$'!$K5444</f>
        <v>15877.5348</v>
      </c>
      <c r="M5444" s="162" t="s">
        <v>151</v>
      </c>
      <c r="N5444" s="162"/>
      <c r="O5444" s="164"/>
      <c r="P5444" s="164">
        <f t="array" ref="P5444">XLOOKUP('FACP$'!$B5444,'perfil de pagos'!$A$4:$A$46,'perfil de pagos'!$B$4:$B$46+'FACP$'!$D5444)</f>
        <v>45686</v>
      </c>
      <c r="Q5444" s="165">
        <f t="shared" si="128"/>
        <v>103</v>
      </c>
      <c r="R5444" s="167"/>
      <c r="S5444" s="167"/>
      <c r="T5444" s="168">
        <f t="shared" si="3"/>
        <v>0</v>
      </c>
      <c r="U5444" s="168">
        <f t="shared" si="4"/>
        <v>0</v>
      </c>
      <c r="V5444" s="168">
        <f t="shared" si="5"/>
        <v>0</v>
      </c>
      <c r="W5444" s="168">
        <f t="shared" si="6"/>
        <v>0</v>
      </c>
      <c r="X5444" s="168">
        <f t="shared" si="7"/>
        <v>0</v>
      </c>
      <c r="Y5444" s="168">
        <f t="shared" si="8"/>
        <v>0</v>
      </c>
      <c r="Z5444" s="168">
        <f t="shared" si="9"/>
        <v>15877.5348</v>
      </c>
    </row>
    <row r="5445" ht="15.0" customHeight="1">
      <c r="A5445" s="157" t="s">
        <v>6895</v>
      </c>
      <c r="B5445" s="158" t="s">
        <v>27</v>
      </c>
      <c r="C5445" s="158" t="s">
        <v>6891</v>
      </c>
      <c r="D5445" s="159">
        <v>45656.0</v>
      </c>
      <c r="E5445" s="157" t="s">
        <v>731</v>
      </c>
      <c r="F5445" s="160">
        <v>12349.29</v>
      </c>
      <c r="G5445" s="160">
        <f>'FACP$'!$F5445*0.16</f>
        <v>1975.8864</v>
      </c>
      <c r="H5445" s="160">
        <f t="shared" si="124"/>
        <v>14325.1764</v>
      </c>
      <c r="I5445" s="160"/>
      <c r="J5445" s="161"/>
      <c r="K5445" s="160"/>
      <c r="L5445" s="160">
        <f>+'FACP$'!$H5445-'FACP$'!$I5445-'FACP$'!$K5445</f>
        <v>14325.1764</v>
      </c>
      <c r="M5445" s="162" t="s">
        <v>151</v>
      </c>
      <c r="N5445" s="162"/>
      <c r="O5445" s="164"/>
      <c r="P5445" s="164">
        <f t="array" ref="P5445">XLOOKUP('FACP$'!$B5445,'perfil de pagos'!$A$4:$A$46,'perfil de pagos'!$B$4:$B$46+'FACP$'!$D5445)</f>
        <v>45686</v>
      </c>
      <c r="Q5445" s="165">
        <f t="shared" si="128"/>
        <v>103</v>
      </c>
      <c r="R5445" s="167"/>
      <c r="S5445" s="167"/>
      <c r="T5445" s="168">
        <f t="shared" si="3"/>
        <v>0</v>
      </c>
      <c r="U5445" s="168">
        <f t="shared" si="4"/>
        <v>0</v>
      </c>
      <c r="V5445" s="168">
        <f t="shared" si="5"/>
        <v>0</v>
      </c>
      <c r="W5445" s="168">
        <f t="shared" si="6"/>
        <v>0</v>
      </c>
      <c r="X5445" s="168">
        <f t="shared" si="7"/>
        <v>0</v>
      </c>
      <c r="Y5445" s="168">
        <f t="shared" si="8"/>
        <v>0</v>
      </c>
      <c r="Z5445" s="168">
        <f t="shared" si="9"/>
        <v>14325.1764</v>
      </c>
    </row>
    <row r="5446" ht="15.0" customHeight="1">
      <c r="A5446" s="157" t="s">
        <v>6896</v>
      </c>
      <c r="B5446" s="158" t="s">
        <v>40</v>
      </c>
      <c r="C5446" s="158" t="s">
        <v>6897</v>
      </c>
      <c r="D5446" s="159">
        <v>45660.0</v>
      </c>
      <c r="E5446" s="157" t="s">
        <v>731</v>
      </c>
      <c r="F5446" s="160">
        <v>509586.02</v>
      </c>
      <c r="G5446" s="160">
        <f>'FACP$'!$F5446*0.16</f>
        <v>81533.7632</v>
      </c>
      <c r="H5446" s="160">
        <f t="shared" si="124"/>
        <v>591119.7832</v>
      </c>
      <c r="I5446" s="160"/>
      <c r="J5446" s="161"/>
      <c r="K5446" s="160"/>
      <c r="L5446" s="160">
        <f>+'FACP$'!$H5446-'FACP$'!$I5446-'FACP$'!$K5446</f>
        <v>591119.7832</v>
      </c>
      <c r="M5446" s="162" t="s">
        <v>490</v>
      </c>
      <c r="N5446" s="162" t="s">
        <v>554</v>
      </c>
      <c r="O5446" s="164">
        <v>45695.0</v>
      </c>
      <c r="P5446" s="164">
        <f t="array" ref="P5446">XLOOKUP('FACP$'!$B5446,'perfil de pagos'!$A$4:$A$46,'perfil de pagos'!$B$4:$B$46+'FACP$'!$D5446)</f>
        <v>45690</v>
      </c>
      <c r="Q5446" s="165">
        <f t="shared" si="128"/>
        <v>0</v>
      </c>
      <c r="R5446" s="167"/>
      <c r="S5446" s="167">
        <v>3593.0</v>
      </c>
      <c r="T5446" s="168">
        <f t="shared" si="3"/>
        <v>591119.7832</v>
      </c>
      <c r="U5446" s="168">
        <f t="shared" si="4"/>
        <v>0</v>
      </c>
      <c r="V5446" s="168">
        <f t="shared" si="5"/>
        <v>0</v>
      </c>
      <c r="W5446" s="168">
        <f t="shared" si="6"/>
        <v>0</v>
      </c>
      <c r="X5446" s="168">
        <f t="shared" si="7"/>
        <v>0</v>
      </c>
      <c r="Y5446" s="168">
        <f t="shared" si="8"/>
        <v>0</v>
      </c>
      <c r="Z5446" s="168">
        <f t="shared" si="9"/>
        <v>0</v>
      </c>
    </row>
    <row r="5447" ht="15.0" customHeight="1">
      <c r="A5447" s="157" t="s">
        <v>6898</v>
      </c>
      <c r="B5447" s="158" t="s">
        <v>40</v>
      </c>
      <c r="C5447" s="158" t="s">
        <v>6899</v>
      </c>
      <c r="D5447" s="159">
        <v>45660.0</v>
      </c>
      <c r="E5447" s="157" t="s">
        <v>731</v>
      </c>
      <c r="F5447" s="160">
        <v>407781.31</v>
      </c>
      <c r="G5447" s="160">
        <f>'FACP$'!$F5447*0.16</f>
        <v>65245.0096</v>
      </c>
      <c r="H5447" s="160">
        <f t="shared" si="124"/>
        <v>473026.3196</v>
      </c>
      <c r="I5447" s="160"/>
      <c r="J5447" s="161"/>
      <c r="K5447" s="160"/>
      <c r="L5447" s="160">
        <f>+'FACP$'!$H5447-'FACP$'!$I5447-'FACP$'!$K5447</f>
        <v>473026.3196</v>
      </c>
      <c r="M5447" s="162" t="s">
        <v>490</v>
      </c>
      <c r="N5447" s="162" t="s">
        <v>554</v>
      </c>
      <c r="O5447" s="164">
        <v>45681.0</v>
      </c>
      <c r="P5447" s="164">
        <f t="array" ref="P5447">XLOOKUP('FACP$'!$B5447,'perfil de pagos'!$A$4:$A$46,'perfil de pagos'!$B$4:$B$46+'FACP$'!$D5447)</f>
        <v>45690</v>
      </c>
      <c r="Q5447" s="165">
        <f t="shared" si="128"/>
        <v>0</v>
      </c>
      <c r="R5447" s="167"/>
      <c r="S5447" s="167">
        <v>3565.0</v>
      </c>
      <c r="T5447" s="168">
        <f t="shared" si="3"/>
        <v>473026.3196</v>
      </c>
      <c r="U5447" s="168">
        <f t="shared" si="4"/>
        <v>0</v>
      </c>
      <c r="V5447" s="168">
        <f t="shared" si="5"/>
        <v>0</v>
      </c>
      <c r="W5447" s="168">
        <f t="shared" si="6"/>
        <v>0</v>
      </c>
      <c r="X5447" s="168">
        <f t="shared" si="7"/>
        <v>0</v>
      </c>
      <c r="Y5447" s="168">
        <f t="shared" si="8"/>
        <v>0</v>
      </c>
      <c r="Z5447" s="168">
        <f t="shared" si="9"/>
        <v>0</v>
      </c>
    </row>
    <row r="5448" ht="15.0" customHeight="1">
      <c r="A5448" s="157" t="s">
        <v>6900</v>
      </c>
      <c r="B5448" s="158" t="s">
        <v>32</v>
      </c>
      <c r="C5448" s="158" t="s">
        <v>6897</v>
      </c>
      <c r="D5448" s="159">
        <v>45663.0</v>
      </c>
      <c r="E5448" s="157" t="s">
        <v>731</v>
      </c>
      <c r="F5448" s="160">
        <v>108365.13</v>
      </c>
      <c r="G5448" s="160">
        <f>'FACP$'!$F5448*0.16</f>
        <v>17338.4208</v>
      </c>
      <c r="H5448" s="160">
        <f t="shared" si="124"/>
        <v>125703.5508</v>
      </c>
      <c r="I5448" s="160"/>
      <c r="J5448" s="161"/>
      <c r="K5448" s="160"/>
      <c r="L5448" s="160">
        <f>+'FACP$'!$H5448-'FACP$'!$I5448-'FACP$'!$K5448</f>
        <v>125703.5508</v>
      </c>
      <c r="M5448" s="162" t="s">
        <v>395</v>
      </c>
      <c r="N5448" s="162"/>
      <c r="O5448" s="164"/>
      <c r="P5448" s="164">
        <f t="array" ref="P5448">XLOOKUP('FACP$'!$B5448,'perfil de pagos'!$A$4:$A$46,'perfil de pagos'!$B$4:$B$46+'FACP$'!$D5448)</f>
        <v>45673</v>
      </c>
      <c r="Q5448" s="165">
        <f t="shared" si="128"/>
        <v>116</v>
      </c>
      <c r="R5448" s="167"/>
      <c r="S5448" s="167"/>
      <c r="T5448" s="168">
        <f t="shared" si="3"/>
        <v>0</v>
      </c>
      <c r="U5448" s="168">
        <f t="shared" si="4"/>
        <v>0</v>
      </c>
      <c r="V5448" s="168">
        <f t="shared" si="5"/>
        <v>0</v>
      </c>
      <c r="W5448" s="168">
        <f t="shared" si="6"/>
        <v>0</v>
      </c>
      <c r="X5448" s="168">
        <f t="shared" si="7"/>
        <v>0</v>
      </c>
      <c r="Y5448" s="168">
        <f t="shared" si="8"/>
        <v>0</v>
      </c>
      <c r="Z5448" s="168">
        <f t="shared" si="9"/>
        <v>125703.5508</v>
      </c>
    </row>
    <row r="5449" ht="15.0" customHeight="1">
      <c r="A5449" s="157" t="s">
        <v>6901</v>
      </c>
      <c r="B5449" s="158" t="s">
        <v>32</v>
      </c>
      <c r="C5449" s="158" t="s">
        <v>6899</v>
      </c>
      <c r="D5449" s="159">
        <v>45663.0</v>
      </c>
      <c r="E5449" s="157" t="s">
        <v>731</v>
      </c>
      <c r="F5449" s="160">
        <v>247403.1</v>
      </c>
      <c r="G5449" s="160">
        <f>'FACP$'!$F5449*0.16</f>
        <v>39584.496</v>
      </c>
      <c r="H5449" s="160">
        <f t="shared" si="124"/>
        <v>286987.596</v>
      </c>
      <c r="I5449" s="160"/>
      <c r="J5449" s="161"/>
      <c r="K5449" s="160"/>
      <c r="L5449" s="160">
        <f>+'FACP$'!$H5449-'FACP$'!$I5449-'FACP$'!$K5449</f>
        <v>286987.596</v>
      </c>
      <c r="M5449" s="162" t="s">
        <v>395</v>
      </c>
      <c r="N5449" s="162"/>
      <c r="O5449" s="164"/>
      <c r="P5449" s="164">
        <f t="array" ref="P5449">XLOOKUP('FACP$'!$B5449,'perfil de pagos'!$A$4:$A$46,'perfil de pagos'!$B$4:$B$46+'FACP$'!$D5449)</f>
        <v>45673</v>
      </c>
      <c r="Q5449" s="165">
        <f t="shared" si="128"/>
        <v>116</v>
      </c>
      <c r="R5449" s="167"/>
      <c r="S5449" s="167"/>
      <c r="T5449" s="168">
        <f t="shared" si="3"/>
        <v>0</v>
      </c>
      <c r="U5449" s="168">
        <f t="shared" si="4"/>
        <v>0</v>
      </c>
      <c r="V5449" s="168">
        <f t="shared" si="5"/>
        <v>0</v>
      </c>
      <c r="W5449" s="168">
        <f t="shared" si="6"/>
        <v>0</v>
      </c>
      <c r="X5449" s="168">
        <f t="shared" si="7"/>
        <v>0</v>
      </c>
      <c r="Y5449" s="168">
        <f t="shared" si="8"/>
        <v>0</v>
      </c>
      <c r="Z5449" s="168">
        <f t="shared" si="9"/>
        <v>286987.596</v>
      </c>
    </row>
    <row r="5450" ht="15.0" customHeight="1">
      <c r="A5450" s="157" t="s">
        <v>6902</v>
      </c>
      <c r="B5450" s="158" t="s">
        <v>41</v>
      </c>
      <c r="C5450" s="158" t="s">
        <v>6897</v>
      </c>
      <c r="D5450" s="159">
        <v>45663.0</v>
      </c>
      <c r="E5450" s="157" t="s">
        <v>731</v>
      </c>
      <c r="F5450" s="160">
        <v>2167284.62</v>
      </c>
      <c r="G5450" s="160">
        <f>'FACP$'!$F5450*0.16</f>
        <v>346765.5392</v>
      </c>
      <c r="H5450" s="160">
        <f t="shared" si="124"/>
        <v>2514050.159</v>
      </c>
      <c r="I5450" s="160"/>
      <c r="J5450" s="161"/>
      <c r="K5450" s="160"/>
      <c r="L5450" s="160">
        <f>+'FACP$'!$H5450-'FACP$'!$I5450-'FACP$'!$K5450</f>
        <v>2514050.159</v>
      </c>
      <c r="M5450" s="162" t="s">
        <v>121</v>
      </c>
      <c r="N5450" s="162" t="s">
        <v>554</v>
      </c>
      <c r="O5450" s="164">
        <v>45708.0</v>
      </c>
      <c r="P5450" s="164">
        <f t="array" ref="P5450">XLOOKUP('FACP$'!$B5450,'perfil de pagos'!$A$4:$A$46,'perfil de pagos'!$B$4:$B$46+'FACP$'!$D5450)</f>
        <v>45673</v>
      </c>
      <c r="Q5450" s="165">
        <f t="shared" si="128"/>
        <v>0</v>
      </c>
      <c r="R5450" s="167"/>
      <c r="S5450" s="167">
        <v>3629.0</v>
      </c>
      <c r="T5450" s="168">
        <f t="shared" si="3"/>
        <v>2514050.159</v>
      </c>
      <c r="U5450" s="168">
        <f t="shared" si="4"/>
        <v>0</v>
      </c>
      <c r="V5450" s="168">
        <f t="shared" si="5"/>
        <v>0</v>
      </c>
      <c r="W5450" s="168">
        <f t="shared" si="6"/>
        <v>0</v>
      </c>
      <c r="X5450" s="168">
        <f t="shared" si="7"/>
        <v>0</v>
      </c>
      <c r="Y5450" s="168">
        <f t="shared" si="8"/>
        <v>0</v>
      </c>
      <c r="Z5450" s="168">
        <f t="shared" si="9"/>
        <v>0</v>
      </c>
    </row>
    <row r="5451" ht="15.0" customHeight="1">
      <c r="A5451" s="157" t="s">
        <v>6903</v>
      </c>
      <c r="B5451" s="158" t="s">
        <v>35</v>
      </c>
      <c r="C5451" s="158" t="s">
        <v>6897</v>
      </c>
      <c r="D5451" s="159">
        <v>45663.0</v>
      </c>
      <c r="E5451" s="157" t="s">
        <v>731</v>
      </c>
      <c r="F5451" s="160">
        <v>456411.45</v>
      </c>
      <c r="G5451" s="160">
        <f>'FACP$'!$F5451*0.16</f>
        <v>73025.832</v>
      </c>
      <c r="H5451" s="160">
        <f t="shared" si="124"/>
        <v>529437.282</v>
      </c>
      <c r="I5451" s="160"/>
      <c r="J5451" s="161"/>
      <c r="K5451" s="160"/>
      <c r="L5451" s="160">
        <f>+'FACP$'!$H5451-'FACP$'!$I5451-'FACP$'!$K5451</f>
        <v>529437.282</v>
      </c>
      <c r="M5451" s="162" t="s">
        <v>276</v>
      </c>
      <c r="N5451" s="162" t="s">
        <v>554</v>
      </c>
      <c r="O5451" s="164">
        <v>45678.0</v>
      </c>
      <c r="P5451" s="164">
        <f t="array" ref="P5451">XLOOKUP('FACP$'!$B5451,'perfil de pagos'!$A$4:$A$46,'perfil de pagos'!$B$4:$B$46+'FACP$'!$D5451)</f>
        <v>45673</v>
      </c>
      <c r="Q5451" s="165">
        <f t="shared" si="128"/>
        <v>0</v>
      </c>
      <c r="R5451" s="167"/>
      <c r="S5451" s="167">
        <v>3566.0</v>
      </c>
      <c r="T5451" s="168">
        <f t="shared" si="3"/>
        <v>529437.282</v>
      </c>
      <c r="U5451" s="168">
        <f t="shared" si="4"/>
        <v>0</v>
      </c>
      <c r="V5451" s="168">
        <f t="shared" si="5"/>
        <v>0</v>
      </c>
      <c r="W5451" s="168">
        <f t="shared" si="6"/>
        <v>0</v>
      </c>
      <c r="X5451" s="168">
        <f t="shared" si="7"/>
        <v>0</v>
      </c>
      <c r="Y5451" s="168">
        <f t="shared" si="8"/>
        <v>0</v>
      </c>
      <c r="Z5451" s="168">
        <f t="shared" si="9"/>
        <v>0</v>
      </c>
    </row>
    <row r="5452" ht="15.0" customHeight="1">
      <c r="A5452" s="157" t="s">
        <v>6904</v>
      </c>
      <c r="B5452" s="158" t="s">
        <v>36</v>
      </c>
      <c r="C5452" s="158" t="s">
        <v>6897</v>
      </c>
      <c r="D5452" s="159">
        <v>45663.0</v>
      </c>
      <c r="E5452" s="157" t="s">
        <v>731</v>
      </c>
      <c r="F5452" s="160">
        <v>73126.85</v>
      </c>
      <c r="G5452" s="160">
        <f>'FACP$'!$F5452*0.16</f>
        <v>11700.296</v>
      </c>
      <c r="H5452" s="160">
        <f t="shared" si="124"/>
        <v>84827.146</v>
      </c>
      <c r="I5452" s="160"/>
      <c r="J5452" s="161"/>
      <c r="K5452" s="160"/>
      <c r="L5452" s="160">
        <f>+'FACP$'!$H5452-'FACP$'!$I5452-'FACP$'!$K5452</f>
        <v>84827.146</v>
      </c>
      <c r="M5452" s="162" t="s">
        <v>530</v>
      </c>
      <c r="N5452" s="162" t="s">
        <v>554</v>
      </c>
      <c r="O5452" s="164">
        <v>45677.0</v>
      </c>
      <c r="P5452" s="164">
        <f t="array" ref="P5452">XLOOKUP('FACP$'!$B5452,'perfil de pagos'!$A$4:$A$46,'perfil de pagos'!$B$4:$B$46+'FACP$'!$D5452)</f>
        <v>45673</v>
      </c>
      <c r="Q5452" s="165">
        <f t="shared" si="128"/>
        <v>0</v>
      </c>
      <c r="R5452" s="167"/>
      <c r="S5452" s="167">
        <v>3557.0</v>
      </c>
      <c r="T5452" s="168">
        <f t="shared" si="3"/>
        <v>84827.146</v>
      </c>
      <c r="U5452" s="168">
        <f t="shared" si="4"/>
        <v>0</v>
      </c>
      <c r="V5452" s="168">
        <f t="shared" si="5"/>
        <v>0</v>
      </c>
      <c r="W5452" s="168">
        <f t="shared" si="6"/>
        <v>0</v>
      </c>
      <c r="X5452" s="168">
        <f t="shared" si="7"/>
        <v>0</v>
      </c>
      <c r="Y5452" s="168">
        <f t="shared" si="8"/>
        <v>0</v>
      </c>
      <c r="Z5452" s="168">
        <f t="shared" si="9"/>
        <v>0</v>
      </c>
    </row>
    <row r="5453" ht="15.0" customHeight="1">
      <c r="A5453" s="157" t="s">
        <v>6905</v>
      </c>
      <c r="B5453" s="158" t="s">
        <v>36</v>
      </c>
      <c r="C5453" s="158" t="s">
        <v>6899</v>
      </c>
      <c r="D5453" s="159">
        <v>45663.0</v>
      </c>
      <c r="E5453" s="157" t="s">
        <v>731</v>
      </c>
      <c r="F5453" s="160">
        <v>81277.0</v>
      </c>
      <c r="G5453" s="160">
        <f>'FACP$'!$F5453*0.16</f>
        <v>13004.32</v>
      </c>
      <c r="H5453" s="160">
        <f t="shared" si="124"/>
        <v>94281.32</v>
      </c>
      <c r="I5453" s="160"/>
      <c r="J5453" s="161"/>
      <c r="K5453" s="160"/>
      <c r="L5453" s="160">
        <f>+'FACP$'!$H5453-'FACP$'!$I5453-'FACP$'!$K5453</f>
        <v>94281.32</v>
      </c>
      <c r="M5453" s="162" t="s">
        <v>530</v>
      </c>
      <c r="N5453" s="162" t="s">
        <v>554</v>
      </c>
      <c r="O5453" s="164">
        <v>45677.0</v>
      </c>
      <c r="P5453" s="164">
        <f t="array" ref="P5453">XLOOKUP('FACP$'!$B5453,'perfil de pagos'!$A$4:$A$46,'perfil de pagos'!$B$4:$B$46+'FACP$'!$D5453)</f>
        <v>45673</v>
      </c>
      <c r="Q5453" s="165">
        <f t="shared" si="128"/>
        <v>0</v>
      </c>
      <c r="R5453" s="167"/>
      <c r="S5453" s="167">
        <v>3556.0</v>
      </c>
      <c r="T5453" s="168">
        <f t="shared" si="3"/>
        <v>94281.32</v>
      </c>
      <c r="U5453" s="168">
        <f t="shared" si="4"/>
        <v>0</v>
      </c>
      <c r="V5453" s="168">
        <f t="shared" si="5"/>
        <v>0</v>
      </c>
      <c r="W5453" s="168">
        <f t="shared" si="6"/>
        <v>0</v>
      </c>
      <c r="X5453" s="168">
        <f t="shared" si="7"/>
        <v>0</v>
      </c>
      <c r="Y5453" s="168">
        <f t="shared" si="8"/>
        <v>0</v>
      </c>
      <c r="Z5453" s="168">
        <f t="shared" si="9"/>
        <v>0</v>
      </c>
    </row>
    <row r="5454" ht="15.0" customHeight="1">
      <c r="A5454" s="157" t="s">
        <v>6906</v>
      </c>
      <c r="B5454" s="158" t="s">
        <v>36</v>
      </c>
      <c r="C5454" s="158" t="s">
        <v>6897</v>
      </c>
      <c r="D5454" s="159">
        <v>45663.0</v>
      </c>
      <c r="E5454" s="157" t="s">
        <v>731</v>
      </c>
      <c r="F5454" s="160">
        <v>41933.11</v>
      </c>
      <c r="G5454" s="160">
        <f>'FACP$'!$F5454*0.16</f>
        <v>6709.2976</v>
      </c>
      <c r="H5454" s="160">
        <f t="shared" si="124"/>
        <v>48642.4076</v>
      </c>
      <c r="I5454" s="160"/>
      <c r="J5454" s="161"/>
      <c r="K5454" s="160"/>
      <c r="L5454" s="160">
        <f>+'FACP$'!$H5454-'FACP$'!$I5454-'FACP$'!$K5454</f>
        <v>48642.4076</v>
      </c>
      <c r="M5454" s="162" t="s">
        <v>526</v>
      </c>
      <c r="N5454" s="162" t="s">
        <v>554</v>
      </c>
      <c r="O5454" s="164">
        <v>45688.0</v>
      </c>
      <c r="P5454" s="164">
        <f t="array" ref="P5454">XLOOKUP('FACP$'!$B5454,'perfil de pagos'!$A$4:$A$46,'perfil de pagos'!$B$4:$B$46+'FACP$'!$D5454)</f>
        <v>45673</v>
      </c>
      <c r="Q5454" s="165">
        <f t="shared" si="128"/>
        <v>0</v>
      </c>
      <c r="R5454" s="167"/>
      <c r="S5454" s="167">
        <v>3584.0</v>
      </c>
      <c r="T5454" s="168">
        <f t="shared" si="3"/>
        <v>48642.4076</v>
      </c>
      <c r="U5454" s="168">
        <f t="shared" si="4"/>
        <v>0</v>
      </c>
      <c r="V5454" s="168">
        <f t="shared" si="5"/>
        <v>0</v>
      </c>
      <c r="W5454" s="168">
        <f t="shared" si="6"/>
        <v>0</v>
      </c>
      <c r="X5454" s="168">
        <f t="shared" si="7"/>
        <v>0</v>
      </c>
      <c r="Y5454" s="168">
        <f t="shared" si="8"/>
        <v>0</v>
      </c>
      <c r="Z5454" s="168">
        <f t="shared" si="9"/>
        <v>0</v>
      </c>
    </row>
    <row r="5455" ht="15.0" customHeight="1">
      <c r="A5455" s="157" t="s">
        <v>6907</v>
      </c>
      <c r="B5455" s="158" t="s">
        <v>36</v>
      </c>
      <c r="C5455" s="158" t="s">
        <v>6899</v>
      </c>
      <c r="D5455" s="159">
        <v>45663.0</v>
      </c>
      <c r="E5455" s="157" t="s">
        <v>731</v>
      </c>
      <c r="F5455" s="160">
        <v>57198.7</v>
      </c>
      <c r="G5455" s="160">
        <f>'FACP$'!$F5455*0.16</f>
        <v>9151.792</v>
      </c>
      <c r="H5455" s="160">
        <f t="shared" si="124"/>
        <v>66350.492</v>
      </c>
      <c r="I5455" s="160"/>
      <c r="J5455" s="161"/>
      <c r="K5455" s="160"/>
      <c r="L5455" s="160">
        <f>+'FACP$'!$H5455-'FACP$'!$I5455-'FACP$'!$K5455</f>
        <v>66350.492</v>
      </c>
      <c r="M5455" s="162" t="s">
        <v>526</v>
      </c>
      <c r="N5455" s="162" t="s">
        <v>554</v>
      </c>
      <c r="O5455" s="164">
        <v>45693.0</v>
      </c>
      <c r="P5455" s="164">
        <f t="array" ref="P5455">XLOOKUP('FACP$'!$B5455,'perfil de pagos'!$A$4:$A$46,'perfil de pagos'!$B$4:$B$46+'FACP$'!$D5455)</f>
        <v>45673</v>
      </c>
      <c r="Q5455" s="165">
        <f t="shared" si="128"/>
        <v>0</v>
      </c>
      <c r="R5455" s="167"/>
      <c r="S5455" s="167">
        <v>3586.0</v>
      </c>
      <c r="T5455" s="168">
        <f t="shared" si="3"/>
        <v>66350.492</v>
      </c>
      <c r="U5455" s="168">
        <f t="shared" si="4"/>
        <v>0</v>
      </c>
      <c r="V5455" s="168">
        <f t="shared" si="5"/>
        <v>0</v>
      </c>
      <c r="W5455" s="168">
        <f t="shared" si="6"/>
        <v>0</v>
      </c>
      <c r="X5455" s="168">
        <f t="shared" si="7"/>
        <v>0</v>
      </c>
      <c r="Y5455" s="168">
        <f t="shared" si="8"/>
        <v>0</v>
      </c>
      <c r="Z5455" s="168">
        <f t="shared" si="9"/>
        <v>0</v>
      </c>
    </row>
    <row r="5456" ht="15.0" customHeight="1">
      <c r="A5456" s="157" t="s">
        <v>6908</v>
      </c>
      <c r="B5456" s="158" t="s">
        <v>42</v>
      </c>
      <c r="C5456" s="158" t="s">
        <v>6897</v>
      </c>
      <c r="D5456" s="159">
        <v>45663.0</v>
      </c>
      <c r="E5456" s="157" t="s">
        <v>731</v>
      </c>
      <c r="F5456" s="160">
        <v>286937.9</v>
      </c>
      <c r="G5456" s="160">
        <f>'FACP$'!$F5456*0.16</f>
        <v>45910.064</v>
      </c>
      <c r="H5456" s="160">
        <f t="shared" si="124"/>
        <v>332847.964</v>
      </c>
      <c r="I5456" s="160"/>
      <c r="J5456" s="161"/>
      <c r="K5456" s="160"/>
      <c r="L5456" s="160">
        <f>+'FACP$'!$H5456-'FACP$'!$I5456-'FACP$'!$K5456</f>
        <v>332847.964</v>
      </c>
      <c r="M5456" s="162" t="s">
        <v>42</v>
      </c>
      <c r="N5456" s="162" t="s">
        <v>554</v>
      </c>
      <c r="O5456" s="164">
        <v>45680.0</v>
      </c>
      <c r="P5456" s="164">
        <f t="array" ref="P5456">XLOOKUP('FACP$'!$B5456,'perfil de pagos'!$A$4:$A$46,'perfil de pagos'!$B$4:$B$46+'FACP$'!$D5456)</f>
        <v>45673</v>
      </c>
      <c r="Q5456" s="165">
        <f t="shared" si="128"/>
        <v>0</v>
      </c>
      <c r="R5456" s="167"/>
      <c r="S5456" s="167">
        <v>3563.0</v>
      </c>
      <c r="T5456" s="168">
        <f t="shared" si="3"/>
        <v>332847.964</v>
      </c>
      <c r="U5456" s="168">
        <f t="shared" si="4"/>
        <v>0</v>
      </c>
      <c r="V5456" s="168">
        <f t="shared" si="5"/>
        <v>0</v>
      </c>
      <c r="W5456" s="168">
        <f t="shared" si="6"/>
        <v>0</v>
      </c>
      <c r="X5456" s="168">
        <f t="shared" si="7"/>
        <v>0</v>
      </c>
      <c r="Y5456" s="168">
        <f t="shared" si="8"/>
        <v>0</v>
      </c>
      <c r="Z5456" s="168">
        <f t="shared" si="9"/>
        <v>0</v>
      </c>
    </row>
    <row r="5457" ht="15.0" customHeight="1">
      <c r="A5457" s="157" t="s">
        <v>6909</v>
      </c>
      <c r="B5457" s="158" t="s">
        <v>44</v>
      </c>
      <c r="C5457" s="158" t="s">
        <v>6897</v>
      </c>
      <c r="D5457" s="159">
        <v>45663.0</v>
      </c>
      <c r="E5457" s="157" t="s">
        <v>731</v>
      </c>
      <c r="F5457" s="160">
        <v>290813.51</v>
      </c>
      <c r="G5457" s="160">
        <f>'FACP$'!$F5457*0.16</f>
        <v>46530.1616</v>
      </c>
      <c r="H5457" s="160">
        <f t="shared" si="124"/>
        <v>337343.6716</v>
      </c>
      <c r="I5457" s="160"/>
      <c r="J5457" s="161"/>
      <c r="K5457" s="160">
        <v>3538.0</v>
      </c>
      <c r="L5457" s="160">
        <f>+'FACP$'!$H5457-'FACP$'!$I5457-'FACP$'!$K5457</f>
        <v>333805.6716</v>
      </c>
      <c r="M5457" s="162" t="s">
        <v>361</v>
      </c>
      <c r="N5457" s="162" t="s">
        <v>554</v>
      </c>
      <c r="O5457" s="164">
        <v>45667.0</v>
      </c>
      <c r="P5457" s="164">
        <f t="array" ref="P5457">XLOOKUP('FACP$'!$B5457,'perfil de pagos'!$A$4:$A$46,'perfil de pagos'!$B$4:$B$46+'FACP$'!$D5457)</f>
        <v>45673</v>
      </c>
      <c r="Q5457" s="165">
        <f t="shared" si="128"/>
        <v>0</v>
      </c>
      <c r="R5457" s="167"/>
      <c r="S5457" s="167"/>
      <c r="T5457" s="168">
        <f t="shared" si="3"/>
        <v>333805.6716</v>
      </c>
      <c r="U5457" s="168">
        <f t="shared" si="4"/>
        <v>0</v>
      </c>
      <c r="V5457" s="168">
        <f t="shared" si="5"/>
        <v>0</v>
      </c>
      <c r="W5457" s="168">
        <f t="shared" si="6"/>
        <v>0</v>
      </c>
      <c r="X5457" s="168">
        <f t="shared" si="7"/>
        <v>0</v>
      </c>
      <c r="Y5457" s="168">
        <f t="shared" si="8"/>
        <v>0</v>
      </c>
      <c r="Z5457" s="168">
        <f t="shared" si="9"/>
        <v>0</v>
      </c>
    </row>
    <row r="5458" ht="15.0" customHeight="1">
      <c r="A5458" s="157" t="s">
        <v>6910</v>
      </c>
      <c r="B5458" s="158" t="s">
        <v>27</v>
      </c>
      <c r="C5458" s="158" t="s">
        <v>6889</v>
      </c>
      <c r="D5458" s="159">
        <v>45663.0</v>
      </c>
      <c r="E5458" s="157" t="s">
        <v>731</v>
      </c>
      <c r="F5458" s="160">
        <v>16687.7</v>
      </c>
      <c r="G5458" s="160">
        <f>'FACP$'!$F5458*0.16</f>
        <v>2670.032</v>
      </c>
      <c r="H5458" s="160">
        <f t="shared" si="124"/>
        <v>19357.732</v>
      </c>
      <c r="I5458" s="160"/>
      <c r="J5458" s="161"/>
      <c r="K5458" s="160"/>
      <c r="L5458" s="160">
        <f>+'FACP$'!$H5458-'FACP$'!$I5458-'FACP$'!$K5458</f>
        <v>19357.732</v>
      </c>
      <c r="M5458" s="162" t="s">
        <v>151</v>
      </c>
      <c r="N5458" s="162"/>
      <c r="O5458" s="164"/>
      <c r="P5458" s="164">
        <f t="array" ref="P5458">XLOOKUP('FACP$'!$B5458,'perfil de pagos'!$A$4:$A$46,'perfil de pagos'!$B$4:$B$46+'FACP$'!$D5458)</f>
        <v>45693</v>
      </c>
      <c r="Q5458" s="165">
        <f t="shared" si="128"/>
        <v>96</v>
      </c>
      <c r="R5458" s="167"/>
      <c r="S5458" s="167"/>
      <c r="T5458" s="168">
        <f t="shared" si="3"/>
        <v>0</v>
      </c>
      <c r="U5458" s="168">
        <f t="shared" si="4"/>
        <v>0</v>
      </c>
      <c r="V5458" s="168">
        <f t="shared" si="5"/>
        <v>0</v>
      </c>
      <c r="W5458" s="168">
        <f t="shared" si="6"/>
        <v>0</v>
      </c>
      <c r="X5458" s="168">
        <f t="shared" si="7"/>
        <v>0</v>
      </c>
      <c r="Y5458" s="168">
        <f t="shared" si="8"/>
        <v>0</v>
      </c>
      <c r="Z5458" s="168">
        <f t="shared" si="9"/>
        <v>19357.732</v>
      </c>
    </row>
    <row r="5459" ht="15.0" customHeight="1">
      <c r="A5459" s="157" t="s">
        <v>6911</v>
      </c>
      <c r="B5459" s="158" t="s">
        <v>27</v>
      </c>
      <c r="C5459" s="158" t="s">
        <v>6891</v>
      </c>
      <c r="D5459" s="159">
        <v>45663.0</v>
      </c>
      <c r="E5459" s="157" t="s">
        <v>731</v>
      </c>
      <c r="F5459" s="160">
        <v>8904.91</v>
      </c>
      <c r="G5459" s="160">
        <f>'FACP$'!$F5459*0.16</f>
        <v>1424.7856</v>
      </c>
      <c r="H5459" s="160">
        <f t="shared" si="124"/>
        <v>10329.6956</v>
      </c>
      <c r="I5459" s="160"/>
      <c r="J5459" s="161"/>
      <c r="K5459" s="160"/>
      <c r="L5459" s="160">
        <f>+'FACP$'!$H5459-'FACP$'!$I5459-'FACP$'!$K5459</f>
        <v>10329.6956</v>
      </c>
      <c r="M5459" s="162" t="s">
        <v>151</v>
      </c>
      <c r="N5459" s="162"/>
      <c r="O5459" s="164"/>
      <c r="P5459" s="164">
        <f t="array" ref="P5459">XLOOKUP('FACP$'!$B5459,'perfil de pagos'!$A$4:$A$46,'perfil de pagos'!$B$4:$B$46+'FACP$'!$D5459)</f>
        <v>45693</v>
      </c>
      <c r="Q5459" s="165">
        <f t="shared" si="128"/>
        <v>96</v>
      </c>
      <c r="R5459" s="167"/>
      <c r="S5459" s="167"/>
      <c r="T5459" s="168">
        <f t="shared" si="3"/>
        <v>0</v>
      </c>
      <c r="U5459" s="168">
        <f t="shared" si="4"/>
        <v>0</v>
      </c>
      <c r="V5459" s="168">
        <f t="shared" si="5"/>
        <v>0</v>
      </c>
      <c r="W5459" s="168">
        <f t="shared" si="6"/>
        <v>0</v>
      </c>
      <c r="X5459" s="168">
        <f t="shared" si="7"/>
        <v>0</v>
      </c>
      <c r="Y5459" s="168">
        <f t="shared" si="8"/>
        <v>0</v>
      </c>
      <c r="Z5459" s="168">
        <f t="shared" si="9"/>
        <v>10329.6956</v>
      </c>
    </row>
    <row r="5460" ht="15.0" customHeight="1">
      <c r="A5460" s="157" t="s">
        <v>6912</v>
      </c>
      <c r="B5460" s="158" t="s">
        <v>27</v>
      </c>
      <c r="C5460" s="158" t="s">
        <v>6889</v>
      </c>
      <c r="D5460" s="159">
        <v>45663.0</v>
      </c>
      <c r="E5460" s="157" t="s">
        <v>731</v>
      </c>
      <c r="F5460" s="160">
        <v>870.47</v>
      </c>
      <c r="G5460" s="160">
        <f>'FACP$'!$F5460*0.16</f>
        <v>139.2752</v>
      </c>
      <c r="H5460" s="160">
        <f t="shared" si="124"/>
        <v>1009.7452</v>
      </c>
      <c r="I5460" s="160"/>
      <c r="J5460" s="161"/>
      <c r="K5460" s="160"/>
      <c r="L5460" s="160">
        <f>+'FACP$'!$H5460-'FACP$'!$I5460-'FACP$'!$K5460</f>
        <v>1009.7452</v>
      </c>
      <c r="M5460" s="162" t="s">
        <v>151</v>
      </c>
      <c r="N5460" s="162"/>
      <c r="O5460" s="164"/>
      <c r="P5460" s="164">
        <f t="array" ref="P5460">XLOOKUP('FACP$'!$B5460,'perfil de pagos'!$A$4:$A$46,'perfil de pagos'!$B$4:$B$46+'FACP$'!$D5460)</f>
        <v>45693</v>
      </c>
      <c r="Q5460" s="165">
        <f t="shared" si="128"/>
        <v>96</v>
      </c>
      <c r="R5460" s="167"/>
      <c r="S5460" s="167"/>
      <c r="T5460" s="168">
        <f t="shared" si="3"/>
        <v>0</v>
      </c>
      <c r="U5460" s="168">
        <f t="shared" si="4"/>
        <v>0</v>
      </c>
      <c r="V5460" s="168">
        <f t="shared" si="5"/>
        <v>0</v>
      </c>
      <c r="W5460" s="168">
        <f t="shared" si="6"/>
        <v>0</v>
      </c>
      <c r="X5460" s="168">
        <f t="shared" si="7"/>
        <v>0</v>
      </c>
      <c r="Y5460" s="168">
        <f t="shared" si="8"/>
        <v>0</v>
      </c>
      <c r="Z5460" s="168">
        <f t="shared" si="9"/>
        <v>1009.7452</v>
      </c>
    </row>
    <row r="5461" ht="15.0" customHeight="1">
      <c r="A5461" s="157" t="s">
        <v>6913</v>
      </c>
      <c r="B5461" s="158" t="s">
        <v>27</v>
      </c>
      <c r="C5461" s="158" t="s">
        <v>6891</v>
      </c>
      <c r="D5461" s="159">
        <v>45663.0</v>
      </c>
      <c r="E5461" s="157" t="s">
        <v>731</v>
      </c>
      <c r="F5461" s="160">
        <v>860.82</v>
      </c>
      <c r="G5461" s="160">
        <f>'FACP$'!$F5461*0.16</f>
        <v>137.7312</v>
      </c>
      <c r="H5461" s="160">
        <f t="shared" si="124"/>
        <v>998.5512</v>
      </c>
      <c r="I5461" s="160"/>
      <c r="J5461" s="161"/>
      <c r="K5461" s="160"/>
      <c r="L5461" s="160">
        <f>+'FACP$'!$H5461-'FACP$'!$I5461-'FACP$'!$K5461</f>
        <v>998.5512</v>
      </c>
      <c r="M5461" s="162" t="s">
        <v>151</v>
      </c>
      <c r="N5461" s="162"/>
      <c r="O5461" s="164"/>
      <c r="P5461" s="164">
        <f t="array" ref="P5461">XLOOKUP('FACP$'!$B5461,'perfil de pagos'!$A$4:$A$46,'perfil de pagos'!$B$4:$B$46+'FACP$'!$D5461)</f>
        <v>45693</v>
      </c>
      <c r="Q5461" s="165">
        <f t="shared" si="128"/>
        <v>96</v>
      </c>
      <c r="R5461" s="167"/>
      <c r="S5461" s="167"/>
      <c r="T5461" s="168">
        <f t="shared" si="3"/>
        <v>0</v>
      </c>
      <c r="U5461" s="168">
        <f t="shared" si="4"/>
        <v>0</v>
      </c>
      <c r="V5461" s="168">
        <f t="shared" si="5"/>
        <v>0</v>
      </c>
      <c r="W5461" s="168">
        <f t="shared" si="6"/>
        <v>0</v>
      </c>
      <c r="X5461" s="168">
        <f t="shared" si="7"/>
        <v>0</v>
      </c>
      <c r="Y5461" s="168">
        <f t="shared" si="8"/>
        <v>0</v>
      </c>
      <c r="Z5461" s="168">
        <f t="shared" si="9"/>
        <v>998.5512</v>
      </c>
    </row>
    <row r="5462" ht="15.0" customHeight="1">
      <c r="A5462" s="157" t="s">
        <v>6914</v>
      </c>
      <c r="B5462" s="158" t="s">
        <v>27</v>
      </c>
      <c r="C5462" s="158" t="s">
        <v>6889</v>
      </c>
      <c r="D5462" s="159">
        <v>45663.0</v>
      </c>
      <c r="E5462" s="157" t="s">
        <v>731</v>
      </c>
      <c r="F5462" s="160">
        <v>20868.89</v>
      </c>
      <c r="G5462" s="160">
        <f>'FACP$'!$F5462*0.16</f>
        <v>3339.0224</v>
      </c>
      <c r="H5462" s="160">
        <f t="shared" si="124"/>
        <v>24207.9124</v>
      </c>
      <c r="I5462" s="160"/>
      <c r="J5462" s="161"/>
      <c r="K5462" s="160"/>
      <c r="L5462" s="160">
        <f>+'FACP$'!$H5462-'FACP$'!$I5462-'FACP$'!$K5462</f>
        <v>24207.9124</v>
      </c>
      <c r="M5462" s="162" t="s">
        <v>158</v>
      </c>
      <c r="N5462" s="162"/>
      <c r="O5462" s="164"/>
      <c r="P5462" s="164">
        <f t="array" ref="P5462">XLOOKUP('FACP$'!$B5462,'perfil de pagos'!$A$4:$A$46,'perfil de pagos'!$B$4:$B$46+'FACP$'!$D5462)</f>
        <v>45693</v>
      </c>
      <c r="Q5462" s="165">
        <f t="shared" si="128"/>
        <v>96</v>
      </c>
      <c r="R5462" s="167"/>
      <c r="S5462" s="167"/>
      <c r="T5462" s="168">
        <f t="shared" si="3"/>
        <v>0</v>
      </c>
      <c r="U5462" s="168">
        <f t="shared" si="4"/>
        <v>0</v>
      </c>
      <c r="V5462" s="168">
        <f t="shared" si="5"/>
        <v>0</v>
      </c>
      <c r="W5462" s="168">
        <f t="shared" si="6"/>
        <v>0</v>
      </c>
      <c r="X5462" s="168">
        <f t="shared" si="7"/>
        <v>0</v>
      </c>
      <c r="Y5462" s="168">
        <f t="shared" si="8"/>
        <v>0</v>
      </c>
      <c r="Z5462" s="168">
        <f t="shared" si="9"/>
        <v>24207.9124</v>
      </c>
    </row>
    <row r="5463" ht="15.0" customHeight="1">
      <c r="A5463" s="157" t="s">
        <v>6915</v>
      </c>
      <c r="B5463" s="158" t="s">
        <v>27</v>
      </c>
      <c r="C5463" s="158" t="s">
        <v>6891</v>
      </c>
      <c r="D5463" s="159">
        <v>45663.0</v>
      </c>
      <c r="E5463" s="157" t="s">
        <v>731</v>
      </c>
      <c r="F5463" s="160">
        <v>14863.43</v>
      </c>
      <c r="G5463" s="160">
        <f>'FACP$'!$F5463*0.16</f>
        <v>2378.1488</v>
      </c>
      <c r="H5463" s="160">
        <f t="shared" si="124"/>
        <v>17241.5788</v>
      </c>
      <c r="I5463" s="160"/>
      <c r="J5463" s="161"/>
      <c r="K5463" s="160"/>
      <c r="L5463" s="160">
        <f>+'FACP$'!$H5463-'FACP$'!$I5463-'FACP$'!$K5463</f>
        <v>17241.5788</v>
      </c>
      <c r="M5463" s="162" t="s">
        <v>158</v>
      </c>
      <c r="N5463" s="162"/>
      <c r="O5463" s="164"/>
      <c r="P5463" s="164">
        <f t="array" ref="P5463">XLOOKUP('FACP$'!$B5463,'perfil de pagos'!$A$4:$A$46,'perfil de pagos'!$B$4:$B$46+'FACP$'!$D5463)</f>
        <v>45693</v>
      </c>
      <c r="Q5463" s="165">
        <f t="shared" si="128"/>
        <v>96</v>
      </c>
      <c r="R5463" s="167"/>
      <c r="S5463" s="167"/>
      <c r="T5463" s="168">
        <f t="shared" si="3"/>
        <v>0</v>
      </c>
      <c r="U5463" s="168">
        <f t="shared" si="4"/>
        <v>0</v>
      </c>
      <c r="V5463" s="168">
        <f t="shared" si="5"/>
        <v>0</v>
      </c>
      <c r="W5463" s="168">
        <f t="shared" si="6"/>
        <v>0</v>
      </c>
      <c r="X5463" s="168">
        <f t="shared" si="7"/>
        <v>0</v>
      </c>
      <c r="Y5463" s="168">
        <f t="shared" si="8"/>
        <v>0</v>
      </c>
      <c r="Z5463" s="168">
        <f t="shared" si="9"/>
        <v>17241.5788</v>
      </c>
    </row>
    <row r="5464" ht="15.0" customHeight="1">
      <c r="A5464" s="157" t="s">
        <v>6916</v>
      </c>
      <c r="B5464" s="158" t="s">
        <v>27</v>
      </c>
      <c r="C5464" s="158" t="s">
        <v>6917</v>
      </c>
      <c r="D5464" s="159">
        <v>45664.0</v>
      </c>
      <c r="E5464" s="157" t="s">
        <v>731</v>
      </c>
      <c r="F5464" s="160">
        <v>46000.0</v>
      </c>
      <c r="G5464" s="160">
        <f>'FACP$'!$F5464*0.16</f>
        <v>7360</v>
      </c>
      <c r="H5464" s="160">
        <f t="shared" si="124"/>
        <v>53360</v>
      </c>
      <c r="I5464" s="160"/>
      <c r="J5464" s="161"/>
      <c r="K5464" s="160"/>
      <c r="L5464" s="160">
        <f>+'FACP$'!$H5464-'FACP$'!$I5464-'FACP$'!$K5464</f>
        <v>53360</v>
      </c>
      <c r="M5464" s="162" t="s">
        <v>5804</v>
      </c>
      <c r="N5464" s="162" t="s">
        <v>554</v>
      </c>
      <c r="O5464" s="164">
        <v>45671.0</v>
      </c>
      <c r="P5464" s="164">
        <f t="array" ref="P5464">XLOOKUP('FACP$'!$B5464,'perfil de pagos'!$A$4:$A$46,'perfil de pagos'!$B$4:$B$46+'FACP$'!$D5464)</f>
        <v>45694</v>
      </c>
      <c r="Q5464" s="165">
        <f t="shared" si="128"/>
        <v>0</v>
      </c>
      <c r="R5464" s="167"/>
      <c r="S5464" s="167"/>
      <c r="T5464" s="168">
        <f t="shared" si="3"/>
        <v>53360</v>
      </c>
      <c r="U5464" s="168">
        <f t="shared" si="4"/>
        <v>0</v>
      </c>
      <c r="V5464" s="168">
        <f t="shared" si="5"/>
        <v>0</v>
      </c>
      <c r="W5464" s="168">
        <f t="shared" si="6"/>
        <v>0</v>
      </c>
      <c r="X5464" s="168">
        <f t="shared" si="7"/>
        <v>0</v>
      </c>
      <c r="Y5464" s="168">
        <f t="shared" si="8"/>
        <v>0</v>
      </c>
      <c r="Z5464" s="168">
        <f t="shared" si="9"/>
        <v>0</v>
      </c>
    </row>
    <row r="5465" ht="15.0" customHeight="1">
      <c r="A5465" s="157" t="s">
        <v>6918</v>
      </c>
      <c r="B5465" s="158" t="s">
        <v>22</v>
      </c>
      <c r="C5465" s="158" t="s">
        <v>6919</v>
      </c>
      <c r="D5465" s="159">
        <v>45664.0</v>
      </c>
      <c r="E5465" s="157" t="s">
        <v>731</v>
      </c>
      <c r="F5465" s="160">
        <v>82703.97</v>
      </c>
      <c r="G5465" s="160">
        <f>'FACP$'!$F5465*0.16</f>
        <v>13232.6352</v>
      </c>
      <c r="H5465" s="160">
        <f t="shared" si="124"/>
        <v>95936.6052</v>
      </c>
      <c r="I5465" s="160"/>
      <c r="J5465" s="161"/>
      <c r="K5465" s="160"/>
      <c r="L5465" s="160">
        <f>+'FACP$'!$H5465-'FACP$'!$I5465-'FACP$'!$K5465</f>
        <v>95936.6052</v>
      </c>
      <c r="M5465" s="162" t="s">
        <v>6823</v>
      </c>
      <c r="N5465" s="162" t="s">
        <v>554</v>
      </c>
      <c r="O5465" s="164">
        <v>45681.0</v>
      </c>
      <c r="P5465" s="164">
        <f t="array" ref="P5465">XLOOKUP('FACP$'!$B5465,'perfil de pagos'!$A$4:$A$46,'perfil de pagos'!$B$4:$B$46+'FACP$'!$D5465)</f>
        <v>45674</v>
      </c>
      <c r="Q5465" s="165">
        <f t="shared" si="128"/>
        <v>0</v>
      </c>
      <c r="R5465" s="167"/>
      <c r="S5465" s="167">
        <v>3572.0</v>
      </c>
      <c r="T5465" s="168">
        <f t="shared" si="3"/>
        <v>95936.6052</v>
      </c>
      <c r="U5465" s="168">
        <f t="shared" si="4"/>
        <v>0</v>
      </c>
      <c r="V5465" s="168">
        <f t="shared" si="5"/>
        <v>0</v>
      </c>
      <c r="W5465" s="168">
        <f t="shared" si="6"/>
        <v>0</v>
      </c>
      <c r="X5465" s="168">
        <f t="shared" si="7"/>
        <v>0</v>
      </c>
      <c r="Y5465" s="168">
        <f t="shared" si="8"/>
        <v>0</v>
      </c>
      <c r="Z5465" s="168">
        <f t="shared" si="9"/>
        <v>0</v>
      </c>
    </row>
    <row r="5466" ht="15.0" customHeight="1">
      <c r="A5466" s="157" t="s">
        <v>6920</v>
      </c>
      <c r="B5466" s="158" t="s">
        <v>22</v>
      </c>
      <c r="C5466" s="158" t="s">
        <v>6919</v>
      </c>
      <c r="D5466" s="159">
        <v>45664.0</v>
      </c>
      <c r="E5466" s="157" t="s">
        <v>731</v>
      </c>
      <c r="F5466" s="160">
        <v>309076.98</v>
      </c>
      <c r="G5466" s="160">
        <f>'FACP$'!$F5466*0.16</f>
        <v>49452.3168</v>
      </c>
      <c r="H5466" s="160">
        <f t="shared" si="124"/>
        <v>358529.2968</v>
      </c>
      <c r="I5466" s="160">
        <f>15670.65+200000</f>
        <v>215670.65</v>
      </c>
      <c r="J5466" s="161"/>
      <c r="K5466" s="160"/>
      <c r="L5466" s="160">
        <f>+'FACP$'!$H5466-'FACP$'!$I5466-'FACP$'!$K5466</f>
        <v>142858.6468</v>
      </c>
      <c r="M5466" s="162" t="s">
        <v>6693</v>
      </c>
      <c r="N5466" s="162" t="s">
        <v>554</v>
      </c>
      <c r="O5466" s="164">
        <v>45709.0</v>
      </c>
      <c r="P5466" s="164">
        <f t="array" ref="P5466">XLOOKUP('FACP$'!$B5466,'perfil de pagos'!$A$4:$A$46,'perfil de pagos'!$B$4:$B$46+'FACP$'!$D5466)</f>
        <v>45674</v>
      </c>
      <c r="Q5466" s="165">
        <f t="shared" si="128"/>
        <v>0</v>
      </c>
      <c r="R5466" s="220" t="s">
        <v>6921</v>
      </c>
      <c r="S5466" s="167">
        <v>3630.0</v>
      </c>
      <c r="T5466" s="168">
        <f t="shared" si="3"/>
        <v>142858.6468</v>
      </c>
      <c r="U5466" s="168">
        <f t="shared" si="4"/>
        <v>0</v>
      </c>
      <c r="V5466" s="168">
        <f t="shared" si="5"/>
        <v>0</v>
      </c>
      <c r="W5466" s="168">
        <f t="shared" si="6"/>
        <v>0</v>
      </c>
      <c r="X5466" s="168">
        <f t="shared" si="7"/>
        <v>0</v>
      </c>
      <c r="Y5466" s="168">
        <f t="shared" si="8"/>
        <v>0</v>
      </c>
      <c r="Z5466" s="168">
        <f t="shared" si="9"/>
        <v>0</v>
      </c>
    </row>
    <row r="5467" ht="15.0" customHeight="1">
      <c r="A5467" s="157" t="s">
        <v>6922</v>
      </c>
      <c r="B5467" s="158" t="s">
        <v>22</v>
      </c>
      <c r="C5467" s="158" t="s">
        <v>6919</v>
      </c>
      <c r="D5467" s="159">
        <v>45664.0</v>
      </c>
      <c r="E5467" s="157" t="s">
        <v>731</v>
      </c>
      <c r="F5467" s="160">
        <v>323284.84</v>
      </c>
      <c r="G5467" s="160">
        <f>'FACP$'!$F5467*0.16</f>
        <v>51725.5744</v>
      </c>
      <c r="H5467" s="160">
        <f t="shared" si="124"/>
        <v>375010.4144</v>
      </c>
      <c r="I5467" s="160">
        <v>157141.35</v>
      </c>
      <c r="J5467" s="161"/>
      <c r="K5467" s="160"/>
      <c r="L5467" s="160">
        <f>+'FACP$'!$H5467-'FACP$'!$I5467-'FACP$'!$K5467</f>
        <v>217869.0644</v>
      </c>
      <c r="M5467" s="162" t="s">
        <v>6695</v>
      </c>
      <c r="N5467" s="162" t="s">
        <v>554</v>
      </c>
      <c r="O5467" s="164">
        <v>45736.0</v>
      </c>
      <c r="P5467" s="164">
        <f t="array" ref="P5467">XLOOKUP('FACP$'!$B5467,'perfil de pagos'!$A$4:$A$46,'perfil de pagos'!$B$4:$B$46+'FACP$'!$D5467)</f>
        <v>45674</v>
      </c>
      <c r="Q5467" s="165">
        <f t="shared" si="128"/>
        <v>0</v>
      </c>
      <c r="R5467" s="220" t="s">
        <v>6923</v>
      </c>
      <c r="S5467" s="220" t="s">
        <v>6924</v>
      </c>
      <c r="T5467" s="168">
        <f t="shared" si="3"/>
        <v>217869.0644</v>
      </c>
      <c r="U5467" s="168">
        <f t="shared" si="4"/>
        <v>0</v>
      </c>
      <c r="V5467" s="168">
        <f t="shared" si="5"/>
        <v>0</v>
      </c>
      <c r="W5467" s="168">
        <f t="shared" si="6"/>
        <v>0</v>
      </c>
      <c r="X5467" s="168">
        <f t="shared" si="7"/>
        <v>0</v>
      </c>
      <c r="Y5467" s="168">
        <f t="shared" si="8"/>
        <v>0</v>
      </c>
      <c r="Z5467" s="168">
        <f t="shared" si="9"/>
        <v>0</v>
      </c>
    </row>
    <row r="5468" ht="15.0" customHeight="1">
      <c r="A5468" s="157" t="s">
        <v>6925</v>
      </c>
      <c r="B5468" s="158" t="s">
        <v>16</v>
      </c>
      <c r="C5468" s="158" t="s">
        <v>6897</v>
      </c>
      <c r="D5468" s="159">
        <v>45664.0</v>
      </c>
      <c r="E5468" s="157" t="s">
        <v>731</v>
      </c>
      <c r="F5468" s="160">
        <v>337685.48</v>
      </c>
      <c r="G5468" s="160">
        <f>'FACP$'!$F5468*0.16</f>
        <v>54029.6768</v>
      </c>
      <c r="H5468" s="160">
        <f t="shared" si="124"/>
        <v>391715.1568</v>
      </c>
      <c r="I5468" s="160"/>
      <c r="J5468" s="161"/>
      <c r="K5468" s="160"/>
      <c r="L5468" s="160">
        <f>+'FACP$'!$H5468-'FACP$'!$I5468-'FACP$'!$K5468</f>
        <v>391715.1568</v>
      </c>
      <c r="M5468" s="162" t="s">
        <v>985</v>
      </c>
      <c r="N5468" s="162" t="s">
        <v>554</v>
      </c>
      <c r="O5468" s="164">
        <v>45686.0</v>
      </c>
      <c r="P5468" s="164">
        <f t="array" ref="P5468">XLOOKUP('FACP$'!$B5468,'perfil de pagos'!$A$4:$A$46,'perfil de pagos'!$B$4:$B$46+'FACP$'!$D5468)</f>
        <v>45674</v>
      </c>
      <c r="Q5468" s="165">
        <f t="shared" si="128"/>
        <v>0</v>
      </c>
      <c r="R5468" s="167"/>
      <c r="S5468" s="167"/>
      <c r="T5468" s="168">
        <f t="shared" si="3"/>
        <v>391715.1568</v>
      </c>
      <c r="U5468" s="168">
        <f t="shared" si="4"/>
        <v>0</v>
      </c>
      <c r="V5468" s="168">
        <f t="shared" si="5"/>
        <v>0</v>
      </c>
      <c r="W5468" s="168">
        <f t="shared" si="6"/>
        <v>0</v>
      </c>
      <c r="X5468" s="168">
        <f t="shared" si="7"/>
        <v>0</v>
      </c>
      <c r="Y5468" s="168">
        <f t="shared" si="8"/>
        <v>0</v>
      </c>
      <c r="Z5468" s="168">
        <f t="shared" si="9"/>
        <v>0</v>
      </c>
    </row>
    <row r="5469" ht="15.0" customHeight="1">
      <c r="A5469" s="157" t="s">
        <v>6926</v>
      </c>
      <c r="B5469" s="158" t="s">
        <v>16</v>
      </c>
      <c r="C5469" s="158" t="s">
        <v>6897</v>
      </c>
      <c r="D5469" s="159">
        <v>45664.0</v>
      </c>
      <c r="E5469" s="157" t="s">
        <v>731</v>
      </c>
      <c r="F5469" s="160">
        <v>464102.79</v>
      </c>
      <c r="G5469" s="160">
        <f>'FACP$'!$F5469*0.16</f>
        <v>74256.4464</v>
      </c>
      <c r="H5469" s="160">
        <f t="shared" si="124"/>
        <v>538359.2364</v>
      </c>
      <c r="I5469" s="160"/>
      <c r="J5469" s="161"/>
      <c r="K5469" s="160"/>
      <c r="L5469" s="160">
        <f>+'FACP$'!$H5469-'FACP$'!$I5469-'FACP$'!$K5469</f>
        <v>538359.2364</v>
      </c>
      <c r="M5469" s="162" t="s">
        <v>985</v>
      </c>
      <c r="N5469" s="162" t="s">
        <v>554</v>
      </c>
      <c r="O5469" s="164">
        <v>45686.0</v>
      </c>
      <c r="P5469" s="164">
        <f t="array" ref="P5469">XLOOKUP('FACP$'!$B5469,'perfil de pagos'!$A$4:$A$46,'perfil de pagos'!$B$4:$B$46+'FACP$'!$D5469)</f>
        <v>45674</v>
      </c>
      <c r="Q5469" s="165">
        <f t="shared" si="128"/>
        <v>0</v>
      </c>
      <c r="R5469" s="167"/>
      <c r="S5469" s="167"/>
      <c r="T5469" s="168">
        <f t="shared" si="3"/>
        <v>538359.2364</v>
      </c>
      <c r="U5469" s="168">
        <f t="shared" si="4"/>
        <v>0</v>
      </c>
      <c r="V5469" s="168">
        <f t="shared" si="5"/>
        <v>0</v>
      </c>
      <c r="W5469" s="168">
        <f t="shared" si="6"/>
        <v>0</v>
      </c>
      <c r="X5469" s="168">
        <f t="shared" si="7"/>
        <v>0</v>
      </c>
      <c r="Y5469" s="168">
        <f t="shared" si="8"/>
        <v>0</v>
      </c>
      <c r="Z5469" s="168">
        <f t="shared" si="9"/>
        <v>0</v>
      </c>
    </row>
    <row r="5470" ht="15.0" customHeight="1">
      <c r="A5470" s="157" t="s">
        <v>6927</v>
      </c>
      <c r="B5470" s="158" t="s">
        <v>18</v>
      </c>
      <c r="C5470" s="158" t="s">
        <v>6897</v>
      </c>
      <c r="D5470" s="159">
        <v>45664.0</v>
      </c>
      <c r="E5470" s="157" t="s">
        <v>731</v>
      </c>
      <c r="F5470" s="160">
        <v>91545.49</v>
      </c>
      <c r="G5470" s="160">
        <f>'FACP$'!$F5470*0.16</f>
        <v>14647.2784</v>
      </c>
      <c r="H5470" s="160">
        <f t="shared" si="124"/>
        <v>106192.7684</v>
      </c>
      <c r="I5470" s="160"/>
      <c r="J5470" s="161"/>
      <c r="K5470" s="160"/>
      <c r="L5470" s="160">
        <f>+'FACP$'!$H5470-'FACP$'!$I5470-'FACP$'!$K5470</f>
        <v>106192.7684</v>
      </c>
      <c r="M5470" s="162" t="s">
        <v>586</v>
      </c>
      <c r="N5470" s="162" t="s">
        <v>554</v>
      </c>
      <c r="O5470" s="164">
        <v>45694.0</v>
      </c>
      <c r="P5470" s="164">
        <f t="array" ref="P5470">XLOOKUP('FACP$'!$B5470,'perfil de pagos'!$A$4:$A$46,'perfil de pagos'!$B$4:$B$46+'FACP$'!$D5470)</f>
        <v>45674</v>
      </c>
      <c r="Q5470" s="165">
        <f t="shared" si="128"/>
        <v>0</v>
      </c>
      <c r="R5470" s="167"/>
      <c r="S5470" s="167">
        <v>3589.0</v>
      </c>
      <c r="T5470" s="168">
        <f t="shared" si="3"/>
        <v>106192.7684</v>
      </c>
      <c r="U5470" s="168">
        <f t="shared" si="4"/>
        <v>0</v>
      </c>
      <c r="V5470" s="168">
        <f t="shared" si="5"/>
        <v>0</v>
      </c>
      <c r="W5470" s="168">
        <f t="shared" si="6"/>
        <v>0</v>
      </c>
      <c r="X5470" s="168">
        <f t="shared" si="7"/>
        <v>0</v>
      </c>
      <c r="Y5470" s="168">
        <f t="shared" si="8"/>
        <v>0</v>
      </c>
      <c r="Z5470" s="168">
        <f t="shared" si="9"/>
        <v>0</v>
      </c>
    </row>
    <row r="5471" ht="15.0" customHeight="1">
      <c r="A5471" s="157" t="s">
        <v>6928</v>
      </c>
      <c r="B5471" s="158" t="s">
        <v>19</v>
      </c>
      <c r="C5471" s="158" t="s">
        <v>6897</v>
      </c>
      <c r="D5471" s="159">
        <v>45664.0</v>
      </c>
      <c r="E5471" s="157" t="s">
        <v>731</v>
      </c>
      <c r="F5471" s="160">
        <v>223609.64</v>
      </c>
      <c r="G5471" s="160">
        <f>'FACP$'!$F5471*0.16</f>
        <v>35777.5424</v>
      </c>
      <c r="H5471" s="160">
        <f t="shared" si="124"/>
        <v>259387.1824</v>
      </c>
      <c r="I5471" s="160"/>
      <c r="J5471" s="161"/>
      <c r="K5471" s="160"/>
      <c r="L5471" s="160">
        <f>+'FACP$'!$H5471-'FACP$'!$I5471-'FACP$'!$K5471</f>
        <v>259387.1824</v>
      </c>
      <c r="M5471" s="162" t="s">
        <v>732</v>
      </c>
      <c r="N5471" s="162" t="s">
        <v>554</v>
      </c>
      <c r="O5471" s="164">
        <v>45694.0</v>
      </c>
      <c r="P5471" s="164">
        <f t="array" ref="P5471">XLOOKUP('FACP$'!$B5471,'perfil de pagos'!$A$4:$A$46,'perfil de pagos'!$B$4:$B$46+'FACP$'!$D5471)</f>
        <v>45674</v>
      </c>
      <c r="Q5471" s="165">
        <f t="shared" si="128"/>
        <v>0</v>
      </c>
      <c r="R5471" s="167"/>
      <c r="S5471" s="167">
        <v>3589.0</v>
      </c>
      <c r="T5471" s="168">
        <f t="shared" si="3"/>
        <v>259387.1824</v>
      </c>
      <c r="U5471" s="168">
        <f t="shared" si="4"/>
        <v>0</v>
      </c>
      <c r="V5471" s="168">
        <f t="shared" si="5"/>
        <v>0</v>
      </c>
      <c r="W5471" s="168">
        <f t="shared" si="6"/>
        <v>0</v>
      </c>
      <c r="X5471" s="168">
        <f t="shared" si="7"/>
        <v>0</v>
      </c>
      <c r="Y5471" s="168">
        <f t="shared" si="8"/>
        <v>0</v>
      </c>
      <c r="Z5471" s="168">
        <f t="shared" si="9"/>
        <v>0</v>
      </c>
    </row>
    <row r="5472" ht="15.0" customHeight="1">
      <c r="A5472" s="157" t="s">
        <v>6929</v>
      </c>
      <c r="B5472" s="158" t="s">
        <v>25</v>
      </c>
      <c r="C5472" s="158" t="s">
        <v>6897</v>
      </c>
      <c r="D5472" s="159">
        <v>45664.0</v>
      </c>
      <c r="E5472" s="157" t="s">
        <v>731</v>
      </c>
      <c r="F5472" s="160">
        <v>67352.34</v>
      </c>
      <c r="G5472" s="160">
        <f>'FACP$'!$F5472*0.16</f>
        <v>10776.3744</v>
      </c>
      <c r="H5472" s="160">
        <f t="shared" si="124"/>
        <v>78128.7144</v>
      </c>
      <c r="I5472" s="160"/>
      <c r="J5472" s="161"/>
      <c r="K5472" s="160"/>
      <c r="L5472" s="160">
        <f>+'FACP$'!$H5472-'FACP$'!$I5472-'FACP$'!$K5472</f>
        <v>78128.7144</v>
      </c>
      <c r="M5472" s="162" t="s">
        <v>4388</v>
      </c>
      <c r="N5472" s="162" t="s">
        <v>554</v>
      </c>
      <c r="O5472" s="164">
        <v>45695.0</v>
      </c>
      <c r="P5472" s="164">
        <f t="array" ref="P5472">XLOOKUP('FACP$'!$B5472,'perfil de pagos'!$A$4:$A$46,'perfil de pagos'!$B$4:$B$46+'FACP$'!$D5472)</f>
        <v>45674</v>
      </c>
      <c r="Q5472" s="165">
        <f t="shared" si="128"/>
        <v>0</v>
      </c>
      <c r="R5472" s="167"/>
      <c r="S5472" s="167">
        <v>3594.0</v>
      </c>
      <c r="T5472" s="168">
        <f t="shared" si="3"/>
        <v>78128.7144</v>
      </c>
      <c r="U5472" s="168">
        <f t="shared" si="4"/>
        <v>0</v>
      </c>
      <c r="V5472" s="168">
        <f t="shared" si="5"/>
        <v>0</v>
      </c>
      <c r="W5472" s="168">
        <f t="shared" si="6"/>
        <v>0</v>
      </c>
      <c r="X5472" s="168">
        <f t="shared" si="7"/>
        <v>0</v>
      </c>
      <c r="Y5472" s="168">
        <f t="shared" si="8"/>
        <v>0</v>
      </c>
      <c r="Z5472" s="168">
        <f t="shared" si="9"/>
        <v>0</v>
      </c>
    </row>
    <row r="5473" ht="15.0" customHeight="1">
      <c r="A5473" s="157" t="s">
        <v>6930</v>
      </c>
      <c r="B5473" s="158" t="s">
        <v>37</v>
      </c>
      <c r="C5473" s="158" t="s">
        <v>6897</v>
      </c>
      <c r="D5473" s="159">
        <v>45664.0</v>
      </c>
      <c r="E5473" s="157" t="s">
        <v>731</v>
      </c>
      <c r="F5473" s="160">
        <v>1880423.07</v>
      </c>
      <c r="G5473" s="160">
        <f>'FACP$'!$F5473*0.16</f>
        <v>300867.6912</v>
      </c>
      <c r="H5473" s="160">
        <f t="shared" si="124"/>
        <v>2181290.761</v>
      </c>
      <c r="I5473" s="160"/>
      <c r="J5473" s="161"/>
      <c r="K5473" s="160"/>
      <c r="L5473" s="160">
        <f>+'FACP$'!$H5473-'FACP$'!$I5473-'FACP$'!$K5473</f>
        <v>2181290.761</v>
      </c>
      <c r="M5473" s="162" t="s">
        <v>116</v>
      </c>
      <c r="N5473" s="162" t="s">
        <v>554</v>
      </c>
      <c r="O5473" s="164">
        <v>45677.0</v>
      </c>
      <c r="P5473" s="164">
        <f t="array" ref="P5473">XLOOKUP('FACP$'!$B5473,'perfil de pagos'!$A$4:$A$46,'perfil de pagos'!$B$4:$B$46+'FACP$'!$D5473)</f>
        <v>45674</v>
      </c>
      <c r="Q5473" s="165">
        <f t="shared" si="128"/>
        <v>0</v>
      </c>
      <c r="R5473" s="167"/>
      <c r="S5473" s="167">
        <v>3558.0</v>
      </c>
      <c r="T5473" s="168">
        <f t="shared" si="3"/>
        <v>2181290.761</v>
      </c>
      <c r="U5473" s="168">
        <f t="shared" si="4"/>
        <v>0</v>
      </c>
      <c r="V5473" s="168">
        <f t="shared" si="5"/>
        <v>0</v>
      </c>
      <c r="W5473" s="168">
        <f t="shared" si="6"/>
        <v>0</v>
      </c>
      <c r="X5473" s="168">
        <f t="shared" si="7"/>
        <v>0</v>
      </c>
      <c r="Y5473" s="168">
        <f t="shared" si="8"/>
        <v>0</v>
      </c>
      <c r="Z5473" s="168">
        <f t="shared" si="9"/>
        <v>0</v>
      </c>
    </row>
    <row r="5474" ht="15.0" customHeight="1">
      <c r="A5474" s="157" t="s">
        <v>6931</v>
      </c>
      <c r="B5474" s="158" t="s">
        <v>29</v>
      </c>
      <c r="C5474" s="158" t="s">
        <v>6897</v>
      </c>
      <c r="D5474" s="159">
        <v>45664.0</v>
      </c>
      <c r="E5474" s="157" t="s">
        <v>731</v>
      </c>
      <c r="F5474" s="160">
        <v>337171.49</v>
      </c>
      <c r="G5474" s="160">
        <f>'FACP$'!$F5474*0.16</f>
        <v>53947.4384</v>
      </c>
      <c r="H5474" s="160">
        <f t="shared" si="124"/>
        <v>391118.9284</v>
      </c>
      <c r="I5474" s="160"/>
      <c r="J5474" s="161"/>
      <c r="K5474" s="160"/>
      <c r="L5474" s="160">
        <f>+'FACP$'!$H5474-'FACP$'!$I5474-'FACP$'!$K5474</f>
        <v>391118.9284</v>
      </c>
      <c r="M5474" s="162" t="s">
        <v>130</v>
      </c>
      <c r="N5474" s="162" t="s">
        <v>554</v>
      </c>
      <c r="O5474" s="164">
        <v>45673.0</v>
      </c>
      <c r="P5474" s="164">
        <f t="array" ref="P5474">XLOOKUP('FACP$'!$B5474,'perfil de pagos'!$A$4:$A$46,'perfil de pagos'!$B$4:$B$46+'FACP$'!$D5474)</f>
        <v>45674</v>
      </c>
      <c r="Q5474" s="165">
        <f t="shared" si="128"/>
        <v>0</v>
      </c>
      <c r="R5474" s="167"/>
      <c r="S5474" s="167">
        <v>3550.0</v>
      </c>
      <c r="T5474" s="168">
        <f t="shared" si="3"/>
        <v>391118.9284</v>
      </c>
      <c r="U5474" s="168">
        <f t="shared" si="4"/>
        <v>0</v>
      </c>
      <c r="V5474" s="168">
        <f t="shared" si="5"/>
        <v>0</v>
      </c>
      <c r="W5474" s="168">
        <f t="shared" si="6"/>
        <v>0</v>
      </c>
      <c r="X5474" s="168">
        <f t="shared" si="7"/>
        <v>0</v>
      </c>
      <c r="Y5474" s="168">
        <f t="shared" si="8"/>
        <v>0</v>
      </c>
      <c r="Z5474" s="168">
        <f t="shared" si="9"/>
        <v>0</v>
      </c>
    </row>
    <row r="5475" ht="15.0" customHeight="1">
      <c r="A5475" s="157" t="s">
        <v>6932</v>
      </c>
      <c r="B5475" s="158" t="s">
        <v>29</v>
      </c>
      <c r="C5475" s="158" t="s">
        <v>6899</v>
      </c>
      <c r="D5475" s="159">
        <v>45664.0</v>
      </c>
      <c r="E5475" s="157" t="s">
        <v>731</v>
      </c>
      <c r="F5475" s="160">
        <v>463884.36</v>
      </c>
      <c r="G5475" s="160">
        <f>'FACP$'!$F5475*0.16</f>
        <v>74221.4976</v>
      </c>
      <c r="H5475" s="160">
        <f t="shared" si="124"/>
        <v>538105.8576</v>
      </c>
      <c r="I5475" s="160"/>
      <c r="J5475" s="161"/>
      <c r="K5475" s="160"/>
      <c r="L5475" s="160">
        <f>+'FACP$'!$H5475-'FACP$'!$I5475-'FACP$'!$K5475</f>
        <v>538105.8576</v>
      </c>
      <c r="M5475" s="162" t="s">
        <v>130</v>
      </c>
      <c r="N5475" s="162" t="s">
        <v>554</v>
      </c>
      <c r="O5475" s="164">
        <v>45685.0</v>
      </c>
      <c r="P5475" s="164">
        <f t="array" ref="P5475">XLOOKUP('FACP$'!$B5475,'perfil de pagos'!$A$4:$A$46,'perfil de pagos'!$B$4:$B$46+'FACP$'!$D5475)</f>
        <v>45674</v>
      </c>
      <c r="Q5475" s="165">
        <f t="shared" si="128"/>
        <v>0</v>
      </c>
      <c r="R5475" s="167"/>
      <c r="S5475" s="167">
        <v>3573.0</v>
      </c>
      <c r="T5475" s="168">
        <f t="shared" si="3"/>
        <v>538105.8576</v>
      </c>
      <c r="U5475" s="168">
        <f t="shared" si="4"/>
        <v>0</v>
      </c>
      <c r="V5475" s="168">
        <f t="shared" si="5"/>
        <v>0</v>
      </c>
      <c r="W5475" s="168">
        <f t="shared" si="6"/>
        <v>0</v>
      </c>
      <c r="X5475" s="168">
        <f t="shared" si="7"/>
        <v>0</v>
      </c>
      <c r="Y5475" s="168">
        <f t="shared" si="8"/>
        <v>0</v>
      </c>
      <c r="Z5475" s="168">
        <f t="shared" si="9"/>
        <v>0</v>
      </c>
    </row>
    <row r="5476" ht="15.0" customHeight="1">
      <c r="A5476" s="157" t="s">
        <v>6933</v>
      </c>
      <c r="B5476" s="158" t="s">
        <v>40</v>
      </c>
      <c r="C5476" s="158" t="s">
        <v>6897</v>
      </c>
      <c r="D5476" s="159">
        <v>45664.0</v>
      </c>
      <c r="E5476" s="157" t="s">
        <v>731</v>
      </c>
      <c r="F5476" s="160">
        <v>380595.89</v>
      </c>
      <c r="G5476" s="160">
        <f>'FACP$'!$F5476*0.16</f>
        <v>60895.3424</v>
      </c>
      <c r="H5476" s="160">
        <f t="shared" si="124"/>
        <v>441491.2324</v>
      </c>
      <c r="I5476" s="160"/>
      <c r="J5476" s="161"/>
      <c r="K5476" s="160"/>
      <c r="L5476" s="160">
        <f>+'FACP$'!$H5476-'FACP$'!$I5476-'FACP$'!$K5476</f>
        <v>441491.2324</v>
      </c>
      <c r="M5476" s="162" t="s">
        <v>490</v>
      </c>
      <c r="N5476" s="162" t="s">
        <v>554</v>
      </c>
      <c r="O5476" s="164">
        <v>45695.0</v>
      </c>
      <c r="P5476" s="164">
        <f t="array" ref="P5476">XLOOKUP('FACP$'!$B5476,'perfil de pagos'!$A$4:$A$46,'perfil de pagos'!$B$4:$B$46+'FACP$'!$D5476)</f>
        <v>45694</v>
      </c>
      <c r="Q5476" s="165">
        <f t="shared" si="128"/>
        <v>0</v>
      </c>
      <c r="R5476" s="167"/>
      <c r="S5476" s="167">
        <v>3593.0</v>
      </c>
      <c r="T5476" s="168">
        <f t="shared" si="3"/>
        <v>441491.2324</v>
      </c>
      <c r="U5476" s="168">
        <f t="shared" si="4"/>
        <v>0</v>
      </c>
      <c r="V5476" s="168">
        <f t="shared" si="5"/>
        <v>0</v>
      </c>
      <c r="W5476" s="168">
        <f t="shared" si="6"/>
        <v>0</v>
      </c>
      <c r="X5476" s="168">
        <f t="shared" si="7"/>
        <v>0</v>
      </c>
      <c r="Y5476" s="168">
        <f t="shared" si="8"/>
        <v>0</v>
      </c>
      <c r="Z5476" s="168">
        <f t="shared" si="9"/>
        <v>0</v>
      </c>
    </row>
    <row r="5477" ht="15.0" customHeight="1">
      <c r="A5477" s="157" t="s">
        <v>6934</v>
      </c>
      <c r="B5477" s="158" t="s">
        <v>40</v>
      </c>
      <c r="C5477" s="158" t="s">
        <v>6899</v>
      </c>
      <c r="D5477" s="159">
        <v>45664.0</v>
      </c>
      <c r="E5477" s="157" t="s">
        <v>731</v>
      </c>
      <c r="F5477" s="160">
        <v>260108.02</v>
      </c>
      <c r="G5477" s="160">
        <f>'FACP$'!$F5477*0.16</f>
        <v>41617.2832</v>
      </c>
      <c r="H5477" s="160">
        <f t="shared" si="124"/>
        <v>301725.3032</v>
      </c>
      <c r="I5477" s="160"/>
      <c r="J5477" s="161"/>
      <c r="K5477" s="160"/>
      <c r="L5477" s="160">
        <f>+'FACP$'!$H5477-'FACP$'!$I5477-'FACP$'!$K5477</f>
        <v>301725.3032</v>
      </c>
      <c r="M5477" s="162" t="s">
        <v>490</v>
      </c>
      <c r="N5477" s="224" t="s">
        <v>554</v>
      </c>
      <c r="O5477" s="164">
        <v>45681.0</v>
      </c>
      <c r="P5477" s="164">
        <f t="array" ref="P5477">XLOOKUP('FACP$'!$B5477,'perfil de pagos'!$A$4:$A$46,'perfil de pagos'!$B$4:$B$46+'FACP$'!$D5477)</f>
        <v>45694</v>
      </c>
      <c r="Q5477" s="165">
        <f t="shared" si="128"/>
        <v>0</v>
      </c>
      <c r="R5477" s="167"/>
      <c r="S5477" s="167">
        <v>3565.0</v>
      </c>
      <c r="T5477" s="168">
        <f t="shared" si="3"/>
        <v>301725.3032</v>
      </c>
      <c r="U5477" s="168">
        <f t="shared" si="4"/>
        <v>0</v>
      </c>
      <c r="V5477" s="168">
        <f t="shared" si="5"/>
        <v>0</v>
      </c>
      <c r="W5477" s="168">
        <f t="shared" si="6"/>
        <v>0</v>
      </c>
      <c r="X5477" s="168">
        <f t="shared" si="7"/>
        <v>0</v>
      </c>
      <c r="Y5477" s="168">
        <f t="shared" si="8"/>
        <v>0</v>
      </c>
      <c r="Z5477" s="168">
        <f t="shared" si="9"/>
        <v>0</v>
      </c>
      <c r="AA5477" s="96"/>
      <c r="AB5477" s="96"/>
      <c r="AC5477" s="96"/>
    </row>
    <row r="5478" ht="15.0" customHeight="1">
      <c r="A5478" s="157" t="s">
        <v>6935</v>
      </c>
      <c r="B5478" s="158" t="s">
        <v>53</v>
      </c>
      <c r="C5478" s="158" t="s">
        <v>6850</v>
      </c>
      <c r="D5478" s="159">
        <v>45665.0</v>
      </c>
      <c r="E5478" s="157" t="s">
        <v>731</v>
      </c>
      <c r="F5478" s="160">
        <v>138607.02</v>
      </c>
      <c r="G5478" s="160">
        <f>'FACP$'!$F5478*0.16</f>
        <v>22177.1232</v>
      </c>
      <c r="H5478" s="160">
        <f t="shared" si="124"/>
        <v>160784.1432</v>
      </c>
      <c r="I5478" s="160"/>
      <c r="J5478" s="161"/>
      <c r="K5478" s="160"/>
      <c r="L5478" s="160">
        <f>+'FACP$'!$H5478-'FACP$'!$I5478-'FACP$'!$K5478</f>
        <v>160784.1432</v>
      </c>
      <c r="M5478" s="162" t="s">
        <v>53</v>
      </c>
      <c r="N5478" s="162" t="s">
        <v>554</v>
      </c>
      <c r="O5478" s="164">
        <v>45681.0</v>
      </c>
      <c r="P5478" s="164">
        <f t="array" ref="P5478">XLOOKUP('FACP$'!$B5478,'perfil de pagos'!$A$4:$A$46,'perfil de pagos'!$B$4:$B$46+'FACP$'!$D5478)</f>
        <v>45680</v>
      </c>
      <c r="Q5478" s="165">
        <f t="shared" si="128"/>
        <v>0</v>
      </c>
      <c r="R5478" s="167"/>
      <c r="S5478" s="167">
        <v>3571.0</v>
      </c>
      <c r="T5478" s="168">
        <f t="shared" si="3"/>
        <v>160784.1432</v>
      </c>
      <c r="U5478" s="168">
        <f t="shared" si="4"/>
        <v>0</v>
      </c>
      <c r="V5478" s="168">
        <f t="shared" si="5"/>
        <v>0</v>
      </c>
      <c r="W5478" s="168">
        <f t="shared" si="6"/>
        <v>0</v>
      </c>
      <c r="X5478" s="168">
        <f t="shared" si="7"/>
        <v>0</v>
      </c>
      <c r="Y5478" s="168">
        <f t="shared" si="8"/>
        <v>0</v>
      </c>
      <c r="Z5478" s="168">
        <f t="shared" si="9"/>
        <v>0</v>
      </c>
    </row>
    <row r="5479" ht="15.0" customHeight="1">
      <c r="A5479" s="157" t="s">
        <v>6936</v>
      </c>
      <c r="B5479" s="158" t="s">
        <v>53</v>
      </c>
      <c r="C5479" s="158" t="s">
        <v>6937</v>
      </c>
      <c r="D5479" s="159">
        <v>45665.0</v>
      </c>
      <c r="E5479" s="157" t="s">
        <v>731</v>
      </c>
      <c r="F5479" s="160">
        <v>26896.59</v>
      </c>
      <c r="G5479" s="160">
        <f>'FACP$'!$F5479*0.16</f>
        <v>4303.4544</v>
      </c>
      <c r="H5479" s="160">
        <f t="shared" si="124"/>
        <v>31200.0444</v>
      </c>
      <c r="I5479" s="160"/>
      <c r="J5479" s="161"/>
      <c r="K5479" s="160"/>
      <c r="L5479" s="160">
        <f>+'FACP$'!$H5479-'FACP$'!$I5479-'FACP$'!$K5479</f>
        <v>31200.0444</v>
      </c>
      <c r="M5479" s="162" t="s">
        <v>53</v>
      </c>
      <c r="N5479" s="162" t="s">
        <v>554</v>
      </c>
      <c r="O5479" s="164">
        <v>45681.0</v>
      </c>
      <c r="P5479" s="164">
        <f t="array" ref="P5479">XLOOKUP('FACP$'!$B5479,'perfil de pagos'!$A$4:$A$46,'perfil de pagos'!$B$4:$B$46+'FACP$'!$D5479)</f>
        <v>45680</v>
      </c>
      <c r="Q5479" s="165">
        <f t="shared" si="128"/>
        <v>0</v>
      </c>
      <c r="R5479" s="167"/>
      <c r="S5479" s="167">
        <v>3570.0</v>
      </c>
      <c r="T5479" s="168">
        <f t="shared" si="3"/>
        <v>31200.0444</v>
      </c>
      <c r="U5479" s="168">
        <f t="shared" si="4"/>
        <v>0</v>
      </c>
      <c r="V5479" s="168">
        <f t="shared" si="5"/>
        <v>0</v>
      </c>
      <c r="W5479" s="168">
        <f t="shared" si="6"/>
        <v>0</v>
      </c>
      <c r="X5479" s="168">
        <f t="shared" si="7"/>
        <v>0</v>
      </c>
      <c r="Y5479" s="168">
        <f t="shared" si="8"/>
        <v>0</v>
      </c>
      <c r="Z5479" s="168">
        <f t="shared" si="9"/>
        <v>0</v>
      </c>
    </row>
    <row r="5480" ht="15.0" customHeight="1">
      <c r="A5480" s="157" t="s">
        <v>6938</v>
      </c>
      <c r="B5480" s="158" t="s">
        <v>53</v>
      </c>
      <c r="C5480" s="158" t="s">
        <v>6897</v>
      </c>
      <c r="D5480" s="159">
        <v>45665.0</v>
      </c>
      <c r="E5480" s="157" t="s">
        <v>731</v>
      </c>
      <c r="F5480" s="160">
        <v>219918.06</v>
      </c>
      <c r="G5480" s="160">
        <f>'FACP$'!$F5480*0.16</f>
        <v>35186.8896</v>
      </c>
      <c r="H5480" s="160">
        <f t="shared" si="124"/>
        <v>255104.9496</v>
      </c>
      <c r="I5480" s="160"/>
      <c r="J5480" s="161"/>
      <c r="K5480" s="160"/>
      <c r="L5480" s="160">
        <f>+'FACP$'!$H5480-'FACP$'!$I5480-'FACP$'!$K5480</f>
        <v>255104.9496</v>
      </c>
      <c r="M5480" s="162" t="s">
        <v>53</v>
      </c>
      <c r="N5480" s="162" t="s">
        <v>554</v>
      </c>
      <c r="O5480" s="164">
        <v>45688.0</v>
      </c>
      <c r="P5480" s="164">
        <f t="array" ref="P5480">XLOOKUP('FACP$'!$B5480,'perfil de pagos'!$A$4:$A$46,'perfil de pagos'!$B$4:$B$46+'FACP$'!$D5480)</f>
        <v>45680</v>
      </c>
      <c r="Q5480" s="165">
        <f t="shared" si="128"/>
        <v>0</v>
      </c>
      <c r="R5480" s="167"/>
      <c r="S5480" s="167">
        <v>3583.0</v>
      </c>
      <c r="T5480" s="168">
        <f t="shared" si="3"/>
        <v>255104.9496</v>
      </c>
      <c r="U5480" s="168">
        <f t="shared" si="4"/>
        <v>0</v>
      </c>
      <c r="V5480" s="168">
        <f t="shared" si="5"/>
        <v>0</v>
      </c>
      <c r="W5480" s="168">
        <f t="shared" si="6"/>
        <v>0</v>
      </c>
      <c r="X5480" s="168">
        <f t="shared" si="7"/>
        <v>0</v>
      </c>
      <c r="Y5480" s="168">
        <f t="shared" si="8"/>
        <v>0</v>
      </c>
      <c r="Z5480" s="168">
        <f t="shared" si="9"/>
        <v>0</v>
      </c>
    </row>
    <row r="5481" ht="15.0" customHeight="1">
      <c r="A5481" s="157" t="s">
        <v>6939</v>
      </c>
      <c r="B5481" s="158" t="s">
        <v>53</v>
      </c>
      <c r="C5481" s="158" t="s">
        <v>6899</v>
      </c>
      <c r="D5481" s="159">
        <v>45665.0</v>
      </c>
      <c r="E5481" s="157" t="s">
        <v>731</v>
      </c>
      <c r="F5481" s="160">
        <v>73311.97</v>
      </c>
      <c r="G5481" s="160">
        <f>'FACP$'!$F5481*0.16</f>
        <v>11729.9152</v>
      </c>
      <c r="H5481" s="160">
        <f t="shared" si="124"/>
        <v>85041.8852</v>
      </c>
      <c r="I5481" s="160"/>
      <c r="J5481" s="161"/>
      <c r="K5481" s="160"/>
      <c r="L5481" s="160">
        <f>+'FACP$'!$H5481-'FACP$'!$I5481-'FACP$'!$K5481</f>
        <v>85041.8852</v>
      </c>
      <c r="M5481" s="162" t="s">
        <v>53</v>
      </c>
      <c r="N5481" s="162" t="s">
        <v>554</v>
      </c>
      <c r="O5481" s="164">
        <v>45695.0</v>
      </c>
      <c r="P5481" s="164">
        <f t="array" ref="P5481">XLOOKUP('FACP$'!$B5481,'perfil de pagos'!$A$4:$A$46,'perfil de pagos'!$B$4:$B$46+'FACP$'!$D5481)</f>
        <v>45680</v>
      </c>
      <c r="Q5481" s="165">
        <f t="shared" si="128"/>
        <v>0</v>
      </c>
      <c r="R5481" s="167"/>
      <c r="S5481" s="167">
        <v>3592.0</v>
      </c>
      <c r="T5481" s="168">
        <f t="shared" si="3"/>
        <v>85041.8852</v>
      </c>
      <c r="U5481" s="168">
        <f t="shared" si="4"/>
        <v>0</v>
      </c>
      <c r="V5481" s="168">
        <f t="shared" si="5"/>
        <v>0</v>
      </c>
      <c r="W5481" s="168">
        <f t="shared" si="6"/>
        <v>0</v>
      </c>
      <c r="X5481" s="168">
        <f t="shared" si="7"/>
        <v>0</v>
      </c>
      <c r="Y5481" s="168">
        <f t="shared" si="8"/>
        <v>0</v>
      </c>
      <c r="Z5481" s="168">
        <f t="shared" si="9"/>
        <v>0</v>
      </c>
    </row>
    <row r="5482" ht="15.0" customHeight="1">
      <c r="A5482" s="157" t="s">
        <v>6940</v>
      </c>
      <c r="B5482" s="158" t="s">
        <v>29</v>
      </c>
      <c r="C5482" s="158" t="s">
        <v>6850</v>
      </c>
      <c r="D5482" s="159">
        <v>45653.0</v>
      </c>
      <c r="E5482" s="157" t="s">
        <v>731</v>
      </c>
      <c r="F5482" s="160">
        <v>325896.87</v>
      </c>
      <c r="G5482" s="160">
        <f>'FACP$'!$F5482*0.16</f>
        <v>52143.4992</v>
      </c>
      <c r="H5482" s="160">
        <f t="shared" si="124"/>
        <v>378040.3692</v>
      </c>
      <c r="I5482" s="160"/>
      <c r="J5482" s="161"/>
      <c r="K5482" s="160"/>
      <c r="L5482" s="160">
        <f>+'FACP$'!$H5482-'FACP$'!$I5482-'FACP$'!$K5482</f>
        <v>378040.3692</v>
      </c>
      <c r="M5482" s="162" t="s">
        <v>130</v>
      </c>
      <c r="N5482" s="162" t="s">
        <v>554</v>
      </c>
      <c r="O5482" s="164">
        <v>45680.0</v>
      </c>
      <c r="P5482" s="164">
        <f t="array" ref="P5482">XLOOKUP('FACP$'!$B5482,'perfil de pagos'!$A$4:$A$46,'perfil de pagos'!$B$4:$B$46+'FACP$'!$D5482)</f>
        <v>45663</v>
      </c>
      <c r="Q5482" s="165">
        <f t="shared" si="128"/>
        <v>0</v>
      </c>
      <c r="R5482" s="167"/>
      <c r="S5482" s="167">
        <v>3562.0</v>
      </c>
      <c r="T5482" s="168">
        <f t="shared" si="3"/>
        <v>378040.3692</v>
      </c>
      <c r="U5482" s="168">
        <f t="shared" si="4"/>
        <v>0</v>
      </c>
      <c r="V5482" s="168">
        <f t="shared" si="5"/>
        <v>0</v>
      </c>
      <c r="W5482" s="168">
        <f t="shared" si="6"/>
        <v>0</v>
      </c>
      <c r="X5482" s="168">
        <f t="shared" si="7"/>
        <v>0</v>
      </c>
      <c r="Y5482" s="168">
        <f t="shared" si="8"/>
        <v>0</v>
      </c>
      <c r="Z5482" s="168">
        <f t="shared" si="9"/>
        <v>0</v>
      </c>
    </row>
    <row r="5483" ht="15.0" customHeight="1">
      <c r="A5483" s="157" t="s">
        <v>6941</v>
      </c>
      <c r="B5483" s="158" t="s">
        <v>29</v>
      </c>
      <c r="C5483" s="158" t="s">
        <v>6937</v>
      </c>
      <c r="D5483" s="159">
        <v>45653.0</v>
      </c>
      <c r="E5483" s="157" t="s">
        <v>731</v>
      </c>
      <c r="F5483" s="160">
        <v>469432.01</v>
      </c>
      <c r="G5483" s="160">
        <f>'FACP$'!$F5483*0.16</f>
        <v>75109.1216</v>
      </c>
      <c r="H5483" s="160">
        <f t="shared" si="124"/>
        <v>544541.1316</v>
      </c>
      <c r="I5483" s="160"/>
      <c r="J5483" s="161"/>
      <c r="K5483" s="160"/>
      <c r="L5483" s="160">
        <f>+'FACP$'!$H5483-'FACP$'!$I5483-'FACP$'!$K5483</f>
        <v>544541.1316</v>
      </c>
      <c r="M5483" s="162" t="s">
        <v>130</v>
      </c>
      <c r="N5483" s="162" t="s">
        <v>554</v>
      </c>
      <c r="O5483" s="164">
        <v>45708.0</v>
      </c>
      <c r="P5483" s="164">
        <f t="array" ref="P5483">XLOOKUP('FACP$'!$B5483,'perfil de pagos'!$A$4:$A$46,'perfil de pagos'!$B$4:$B$46+'FACP$'!$D5483)</f>
        <v>45663</v>
      </c>
      <c r="Q5483" s="165">
        <f t="shared" si="128"/>
        <v>0</v>
      </c>
      <c r="R5483" s="167"/>
      <c r="S5483" s="167">
        <v>3628.0</v>
      </c>
      <c r="T5483" s="168">
        <f t="shared" si="3"/>
        <v>544541.1316</v>
      </c>
      <c r="U5483" s="168">
        <f t="shared" si="4"/>
        <v>0</v>
      </c>
      <c r="V5483" s="168">
        <f t="shared" si="5"/>
        <v>0</v>
      </c>
      <c r="W5483" s="168">
        <f t="shared" si="6"/>
        <v>0</v>
      </c>
      <c r="X5483" s="168">
        <f t="shared" si="7"/>
        <v>0</v>
      </c>
      <c r="Y5483" s="168">
        <f t="shared" si="8"/>
        <v>0</v>
      </c>
      <c r="Z5483" s="168">
        <f t="shared" si="9"/>
        <v>0</v>
      </c>
    </row>
    <row r="5484" ht="15.0" customHeight="1">
      <c r="A5484" s="157" t="s">
        <v>6942</v>
      </c>
      <c r="B5484" s="158" t="s">
        <v>38</v>
      </c>
      <c r="C5484" s="158" t="s">
        <v>6897</v>
      </c>
      <c r="D5484" s="159">
        <v>45666.0</v>
      </c>
      <c r="E5484" s="157" t="s">
        <v>731</v>
      </c>
      <c r="F5484" s="160">
        <v>82397.13</v>
      </c>
      <c r="G5484" s="160">
        <f>'FACP$'!$F5484*0.16</f>
        <v>13183.5408</v>
      </c>
      <c r="H5484" s="160">
        <f t="shared" si="124"/>
        <v>95580.6708</v>
      </c>
      <c r="I5484" s="160"/>
      <c r="J5484" s="161"/>
      <c r="K5484" s="160"/>
      <c r="L5484" s="160">
        <f>+'FACP$'!$H5484-'FACP$'!$I5484-'FACP$'!$K5484</f>
        <v>95580.6708</v>
      </c>
      <c r="M5484" s="162" t="s">
        <v>4654</v>
      </c>
      <c r="N5484" s="162" t="s">
        <v>554</v>
      </c>
      <c r="O5484" s="164">
        <v>45679.0</v>
      </c>
      <c r="P5484" s="164">
        <f t="array" ref="P5484">XLOOKUP('FACP$'!$B5484,'perfil de pagos'!$A$4:$A$46,'perfil de pagos'!$B$4:$B$46+'FACP$'!$D5484)</f>
        <v>45696</v>
      </c>
      <c r="Q5484" s="165">
        <f t="shared" si="128"/>
        <v>0</v>
      </c>
      <c r="R5484" s="167"/>
      <c r="S5484" s="167">
        <v>3561.0</v>
      </c>
      <c r="T5484" s="168">
        <f t="shared" si="3"/>
        <v>95580.6708</v>
      </c>
      <c r="U5484" s="168">
        <f t="shared" si="4"/>
        <v>0</v>
      </c>
      <c r="V5484" s="168">
        <f t="shared" si="5"/>
        <v>0</v>
      </c>
      <c r="W5484" s="168">
        <f t="shared" si="6"/>
        <v>0</v>
      </c>
      <c r="X5484" s="168">
        <f t="shared" si="7"/>
        <v>0</v>
      </c>
      <c r="Y5484" s="168">
        <f t="shared" si="8"/>
        <v>0</v>
      </c>
      <c r="Z5484" s="168">
        <f t="shared" si="9"/>
        <v>0</v>
      </c>
    </row>
    <row r="5485" ht="15.0" customHeight="1">
      <c r="A5485" s="157" t="s">
        <v>6943</v>
      </c>
      <c r="B5485" s="158" t="s">
        <v>38</v>
      </c>
      <c r="C5485" s="158" t="s">
        <v>6897</v>
      </c>
      <c r="D5485" s="159">
        <v>45666.0</v>
      </c>
      <c r="E5485" s="157" t="s">
        <v>731</v>
      </c>
      <c r="F5485" s="160">
        <v>561444.87</v>
      </c>
      <c r="G5485" s="160">
        <f>'FACP$'!$F5485*0.16</f>
        <v>89831.1792</v>
      </c>
      <c r="H5485" s="160">
        <f t="shared" si="124"/>
        <v>651276.0492</v>
      </c>
      <c r="I5485" s="160"/>
      <c r="J5485" s="161"/>
      <c r="K5485" s="160"/>
      <c r="L5485" s="160">
        <f>+'FACP$'!$H5485-'FACP$'!$I5485-'FACP$'!$K5485</f>
        <v>651276.0492</v>
      </c>
      <c r="M5485" s="162" t="s">
        <v>145</v>
      </c>
      <c r="N5485" s="162" t="s">
        <v>554</v>
      </c>
      <c r="O5485" s="164">
        <v>45693.0</v>
      </c>
      <c r="P5485" s="164">
        <f t="array" ref="P5485">XLOOKUP('FACP$'!$B5485,'perfil de pagos'!$A$4:$A$46,'perfil de pagos'!$B$4:$B$46+'FACP$'!$D5485)</f>
        <v>45696</v>
      </c>
      <c r="Q5485" s="165">
        <f t="shared" si="128"/>
        <v>0</v>
      </c>
      <c r="R5485" s="167"/>
      <c r="S5485" s="167">
        <v>3587.0</v>
      </c>
      <c r="T5485" s="168">
        <f t="shared" si="3"/>
        <v>651276.0492</v>
      </c>
      <c r="U5485" s="168">
        <f t="shared" si="4"/>
        <v>0</v>
      </c>
      <c r="V5485" s="168">
        <f t="shared" si="5"/>
        <v>0</v>
      </c>
      <c r="W5485" s="168">
        <f t="shared" si="6"/>
        <v>0</v>
      </c>
      <c r="X5485" s="168">
        <f t="shared" si="7"/>
        <v>0</v>
      </c>
      <c r="Y5485" s="168">
        <f t="shared" si="8"/>
        <v>0</v>
      </c>
      <c r="Z5485" s="168">
        <f t="shared" si="9"/>
        <v>0</v>
      </c>
    </row>
    <row r="5486" ht="15.0" customHeight="1">
      <c r="A5486" s="157" t="s">
        <v>6944</v>
      </c>
      <c r="B5486" s="158" t="s">
        <v>54</v>
      </c>
      <c r="C5486" s="158" t="s">
        <v>6945</v>
      </c>
      <c r="D5486" s="159">
        <v>45670.0</v>
      </c>
      <c r="E5486" s="157" t="s">
        <v>731</v>
      </c>
      <c r="F5486" s="160">
        <v>261211.0</v>
      </c>
      <c r="G5486" s="160">
        <f>'FACP$'!$F5486*0.16</f>
        <v>41793.76</v>
      </c>
      <c r="H5486" s="160">
        <f t="shared" si="124"/>
        <v>303004.76</v>
      </c>
      <c r="I5486" s="160"/>
      <c r="J5486" s="161"/>
      <c r="K5486" s="160"/>
      <c r="L5486" s="160">
        <f>+'FACP$'!$H5486-'FACP$'!$I5486-'FACP$'!$K5486</f>
        <v>303004.76</v>
      </c>
      <c r="M5486" s="162" t="s">
        <v>130</v>
      </c>
      <c r="N5486" s="162" t="s">
        <v>554</v>
      </c>
      <c r="O5486" s="164">
        <v>45734.0</v>
      </c>
      <c r="P5486" s="164">
        <f t="array" ref="P5486">XLOOKUP('FACP$'!$B5486,'perfil de pagos'!$A$4:$A$46,'perfil de pagos'!$B$4:$B$46+'FACP$'!$D5486)</f>
        <v>45730</v>
      </c>
      <c r="Q5486" s="165">
        <f t="shared" si="128"/>
        <v>0</v>
      </c>
      <c r="R5486" s="167"/>
      <c r="S5486" s="167"/>
      <c r="T5486" s="168">
        <f t="shared" si="3"/>
        <v>303004.76</v>
      </c>
      <c r="U5486" s="168">
        <f t="shared" si="4"/>
        <v>0</v>
      </c>
      <c r="V5486" s="168">
        <f t="shared" si="5"/>
        <v>0</v>
      </c>
      <c r="W5486" s="168">
        <f t="shared" si="6"/>
        <v>0</v>
      </c>
      <c r="X5486" s="168">
        <f t="shared" si="7"/>
        <v>0</v>
      </c>
      <c r="Y5486" s="168">
        <f t="shared" si="8"/>
        <v>0</v>
      </c>
      <c r="Z5486" s="168">
        <f t="shared" si="9"/>
        <v>0</v>
      </c>
    </row>
    <row r="5487" ht="15.0" customHeight="1">
      <c r="A5487" s="157" t="s">
        <v>6946</v>
      </c>
      <c r="B5487" s="158" t="s">
        <v>32</v>
      </c>
      <c r="C5487" s="158" t="s">
        <v>6947</v>
      </c>
      <c r="D5487" s="159">
        <v>45674.0</v>
      </c>
      <c r="E5487" s="157" t="s">
        <v>731</v>
      </c>
      <c r="F5487" s="160">
        <v>44672.33</v>
      </c>
      <c r="G5487" s="160">
        <f>'FACP$'!$F5487*0.16</f>
        <v>7147.5728</v>
      </c>
      <c r="H5487" s="160">
        <f t="shared" si="124"/>
        <v>51819.9028</v>
      </c>
      <c r="I5487" s="160"/>
      <c r="J5487" s="161"/>
      <c r="K5487" s="160"/>
      <c r="L5487" s="160">
        <f>+'FACP$'!$H5487-'FACP$'!$I5487-'FACP$'!$K5487</f>
        <v>51819.9028</v>
      </c>
      <c r="M5487" s="162" t="s">
        <v>395</v>
      </c>
      <c r="N5487" s="162"/>
      <c r="O5487" s="164"/>
      <c r="P5487" s="164">
        <f t="array" ref="P5487">XLOOKUP('FACP$'!$B5487,'perfil de pagos'!$A$4:$A$46,'perfil de pagos'!$B$4:$B$46+'FACP$'!$D5487)</f>
        <v>45684</v>
      </c>
      <c r="Q5487" s="165">
        <f t="shared" si="128"/>
        <v>105</v>
      </c>
      <c r="R5487" s="167"/>
      <c r="S5487" s="167"/>
      <c r="T5487" s="168">
        <f t="shared" si="3"/>
        <v>0</v>
      </c>
      <c r="U5487" s="168">
        <f t="shared" si="4"/>
        <v>0</v>
      </c>
      <c r="V5487" s="168">
        <f t="shared" si="5"/>
        <v>0</v>
      </c>
      <c r="W5487" s="168">
        <f t="shared" si="6"/>
        <v>0</v>
      </c>
      <c r="X5487" s="168">
        <f t="shared" si="7"/>
        <v>0</v>
      </c>
      <c r="Y5487" s="168">
        <f t="shared" si="8"/>
        <v>0</v>
      </c>
      <c r="Z5487" s="168">
        <f t="shared" si="9"/>
        <v>51819.9028</v>
      </c>
    </row>
    <row r="5488" ht="15.0" customHeight="1">
      <c r="A5488" s="157" t="s">
        <v>6948</v>
      </c>
      <c r="B5488" s="158" t="s">
        <v>32</v>
      </c>
      <c r="C5488" s="158" t="s">
        <v>6949</v>
      </c>
      <c r="D5488" s="159">
        <v>45674.0</v>
      </c>
      <c r="E5488" s="157" t="s">
        <v>731</v>
      </c>
      <c r="F5488" s="160">
        <v>39900.8</v>
      </c>
      <c r="G5488" s="160">
        <f>'FACP$'!$F5488*0.16</f>
        <v>6384.128</v>
      </c>
      <c r="H5488" s="160">
        <f t="shared" si="124"/>
        <v>46284.928</v>
      </c>
      <c r="I5488" s="160"/>
      <c r="J5488" s="161"/>
      <c r="K5488" s="160"/>
      <c r="L5488" s="160">
        <f>+'FACP$'!$H5488-'FACP$'!$I5488-'FACP$'!$K5488</f>
        <v>46284.928</v>
      </c>
      <c r="M5488" s="162" t="s">
        <v>395</v>
      </c>
      <c r="N5488" s="162"/>
      <c r="O5488" s="164"/>
      <c r="P5488" s="164">
        <f t="array" ref="P5488">XLOOKUP('FACP$'!$B5488,'perfil de pagos'!$A$4:$A$46,'perfil de pagos'!$B$4:$B$46+'FACP$'!$D5488)</f>
        <v>45684</v>
      </c>
      <c r="Q5488" s="165">
        <f t="shared" si="128"/>
        <v>105</v>
      </c>
      <c r="R5488" s="167"/>
      <c r="S5488" s="167"/>
      <c r="T5488" s="168">
        <f t="shared" si="3"/>
        <v>0</v>
      </c>
      <c r="U5488" s="168">
        <f t="shared" si="4"/>
        <v>0</v>
      </c>
      <c r="V5488" s="168">
        <f t="shared" si="5"/>
        <v>0</v>
      </c>
      <c r="W5488" s="168">
        <f t="shared" si="6"/>
        <v>0</v>
      </c>
      <c r="X5488" s="168">
        <f t="shared" si="7"/>
        <v>0</v>
      </c>
      <c r="Y5488" s="168">
        <f t="shared" si="8"/>
        <v>0</v>
      </c>
      <c r="Z5488" s="168">
        <f t="shared" si="9"/>
        <v>46284.928</v>
      </c>
    </row>
    <row r="5489" ht="15.0" customHeight="1">
      <c r="A5489" s="157" t="s">
        <v>6950</v>
      </c>
      <c r="B5489" s="158" t="s">
        <v>41</v>
      </c>
      <c r="C5489" s="158" t="s">
        <v>6947</v>
      </c>
      <c r="D5489" s="159">
        <v>45674.0</v>
      </c>
      <c r="E5489" s="157" t="s">
        <v>731</v>
      </c>
      <c r="F5489" s="160">
        <v>2339991.77</v>
      </c>
      <c r="G5489" s="160">
        <f>'FACP$'!$F5489*0.16</f>
        <v>374398.6832</v>
      </c>
      <c r="H5489" s="160">
        <f t="shared" si="124"/>
        <v>2714390.453</v>
      </c>
      <c r="I5489" s="160"/>
      <c r="J5489" s="161"/>
      <c r="K5489" s="160"/>
      <c r="L5489" s="160">
        <f>+'FACP$'!$H5489-'FACP$'!$I5489-'FACP$'!$K5489</f>
        <v>2714390.453</v>
      </c>
      <c r="M5489" s="162" t="s">
        <v>121</v>
      </c>
      <c r="N5489" s="162" t="s">
        <v>554</v>
      </c>
      <c r="O5489" s="164">
        <v>45716.0</v>
      </c>
      <c r="P5489" s="164">
        <f t="array" ref="P5489">XLOOKUP('FACP$'!$B5489,'perfil de pagos'!$A$4:$A$46,'perfil de pagos'!$B$4:$B$46+'FACP$'!$D5489)</f>
        <v>45684</v>
      </c>
      <c r="Q5489" s="165">
        <f t="shared" si="128"/>
        <v>0</v>
      </c>
      <c r="R5489" s="167"/>
      <c r="S5489" s="167">
        <v>3651.0</v>
      </c>
      <c r="T5489" s="168">
        <f t="shared" si="3"/>
        <v>2714390.453</v>
      </c>
      <c r="U5489" s="168">
        <f t="shared" si="4"/>
        <v>0</v>
      </c>
      <c r="V5489" s="168">
        <f t="shared" si="5"/>
        <v>0</v>
      </c>
      <c r="W5489" s="168">
        <f t="shared" si="6"/>
        <v>0</v>
      </c>
      <c r="X5489" s="168">
        <f t="shared" si="7"/>
        <v>0</v>
      </c>
      <c r="Y5489" s="168">
        <f t="shared" si="8"/>
        <v>0</v>
      </c>
      <c r="Z5489" s="168">
        <f t="shared" si="9"/>
        <v>0</v>
      </c>
    </row>
    <row r="5490" ht="15.0" customHeight="1">
      <c r="A5490" s="157" t="s">
        <v>6951</v>
      </c>
      <c r="B5490" s="158" t="s">
        <v>53</v>
      </c>
      <c r="C5490" s="158" t="s">
        <v>6947</v>
      </c>
      <c r="D5490" s="159">
        <v>45674.0</v>
      </c>
      <c r="E5490" s="157" t="s">
        <v>731</v>
      </c>
      <c r="F5490" s="160">
        <v>288030.48</v>
      </c>
      <c r="G5490" s="160">
        <f>'FACP$'!$F5490*0.16</f>
        <v>46084.8768</v>
      </c>
      <c r="H5490" s="160">
        <f t="shared" si="124"/>
        <v>334115.3568</v>
      </c>
      <c r="I5490" s="160"/>
      <c r="J5490" s="161"/>
      <c r="K5490" s="160"/>
      <c r="L5490" s="160">
        <f>+'FACP$'!$H5490-'FACP$'!$I5490-'FACP$'!$K5490</f>
        <v>334115.3568</v>
      </c>
      <c r="M5490" s="162" t="s">
        <v>53</v>
      </c>
      <c r="N5490" s="162" t="s">
        <v>554</v>
      </c>
      <c r="O5490" s="164">
        <v>45713.0</v>
      </c>
      <c r="P5490" s="164">
        <f t="array" ref="P5490">XLOOKUP('FACP$'!$B5490,'perfil de pagos'!$A$4:$A$46,'perfil de pagos'!$B$4:$B$46+'FACP$'!$D5490)</f>
        <v>45689</v>
      </c>
      <c r="Q5490" s="165">
        <f t="shared" si="128"/>
        <v>0</v>
      </c>
      <c r="R5490" s="167"/>
      <c r="S5490" s="167">
        <v>3646.0</v>
      </c>
      <c r="T5490" s="168">
        <f t="shared" si="3"/>
        <v>334115.3568</v>
      </c>
      <c r="U5490" s="168">
        <f t="shared" si="4"/>
        <v>0</v>
      </c>
      <c r="V5490" s="168">
        <f t="shared" si="5"/>
        <v>0</v>
      </c>
      <c r="W5490" s="168">
        <f t="shared" si="6"/>
        <v>0</v>
      </c>
      <c r="X5490" s="168">
        <f t="shared" si="7"/>
        <v>0</v>
      </c>
      <c r="Y5490" s="168">
        <f t="shared" si="8"/>
        <v>0</v>
      </c>
      <c r="Z5490" s="168">
        <f t="shared" si="9"/>
        <v>0</v>
      </c>
    </row>
    <row r="5491" ht="15.0" customHeight="1">
      <c r="A5491" s="157" t="s">
        <v>6952</v>
      </c>
      <c r="B5491" s="158" t="s">
        <v>53</v>
      </c>
      <c r="C5491" s="158" t="s">
        <v>6949</v>
      </c>
      <c r="D5491" s="159">
        <v>45674.0</v>
      </c>
      <c r="E5491" s="157" t="s">
        <v>731</v>
      </c>
      <c r="F5491" s="160">
        <v>70601.38</v>
      </c>
      <c r="G5491" s="160">
        <f>'FACP$'!$F5491*0.16</f>
        <v>11296.2208</v>
      </c>
      <c r="H5491" s="160">
        <f t="shared" si="124"/>
        <v>81897.6008</v>
      </c>
      <c r="I5491" s="160"/>
      <c r="J5491" s="161"/>
      <c r="K5491" s="160"/>
      <c r="L5491" s="160">
        <f>+'FACP$'!$H5491-'FACP$'!$I5491-'FACP$'!$K5491</f>
        <v>81897.6008</v>
      </c>
      <c r="M5491" s="162" t="s">
        <v>53</v>
      </c>
      <c r="N5491" s="162" t="s">
        <v>554</v>
      </c>
      <c r="O5491" s="164">
        <v>45713.0</v>
      </c>
      <c r="P5491" s="164">
        <f t="array" ref="P5491">XLOOKUP('FACP$'!$B5491,'perfil de pagos'!$A$4:$A$46,'perfil de pagos'!$B$4:$B$46+'FACP$'!$D5491)</f>
        <v>45689</v>
      </c>
      <c r="Q5491" s="165">
        <f t="shared" si="128"/>
        <v>0</v>
      </c>
      <c r="R5491" s="167"/>
      <c r="S5491" s="167">
        <v>3645.0</v>
      </c>
      <c r="T5491" s="168">
        <f t="shared" si="3"/>
        <v>81897.6008</v>
      </c>
      <c r="U5491" s="168">
        <f t="shared" si="4"/>
        <v>0</v>
      </c>
      <c r="V5491" s="168">
        <f t="shared" si="5"/>
        <v>0</v>
      </c>
      <c r="W5491" s="168">
        <f t="shared" si="6"/>
        <v>0</v>
      </c>
      <c r="X5491" s="168">
        <f t="shared" si="7"/>
        <v>0</v>
      </c>
      <c r="Y5491" s="168">
        <f t="shared" si="8"/>
        <v>0</v>
      </c>
      <c r="Z5491" s="168">
        <f t="shared" si="9"/>
        <v>0</v>
      </c>
    </row>
    <row r="5492" ht="15.0" customHeight="1">
      <c r="A5492" s="157" t="s">
        <v>6953</v>
      </c>
      <c r="B5492" s="158" t="s">
        <v>35</v>
      </c>
      <c r="C5492" s="158" t="s">
        <v>6947</v>
      </c>
      <c r="D5492" s="159">
        <v>45674.0</v>
      </c>
      <c r="E5492" s="157" t="s">
        <v>731</v>
      </c>
      <c r="F5492" s="160">
        <v>477020.98</v>
      </c>
      <c r="G5492" s="160">
        <f>'FACP$'!$F5492*0.16</f>
        <v>76323.3568</v>
      </c>
      <c r="H5492" s="160">
        <f t="shared" si="124"/>
        <v>553344.3368</v>
      </c>
      <c r="I5492" s="160"/>
      <c r="J5492" s="161"/>
      <c r="K5492" s="160"/>
      <c r="L5492" s="160">
        <f>+'FACP$'!$H5492-'FACP$'!$I5492-'FACP$'!$K5492</f>
        <v>553344.3368</v>
      </c>
      <c r="M5492" s="162" t="s">
        <v>276</v>
      </c>
      <c r="N5492" s="162" t="s">
        <v>554</v>
      </c>
      <c r="O5492" s="164">
        <v>45705.0</v>
      </c>
      <c r="P5492" s="164">
        <f t="array" ref="P5492">XLOOKUP('FACP$'!$B5492,'perfil de pagos'!$A$4:$A$46,'perfil de pagos'!$B$4:$B$46+'FACP$'!$D5492)</f>
        <v>45684</v>
      </c>
      <c r="Q5492" s="165">
        <f t="shared" si="128"/>
        <v>0</v>
      </c>
      <c r="R5492" s="167"/>
      <c r="S5492" s="167">
        <v>3619.0</v>
      </c>
      <c r="T5492" s="168">
        <f t="shared" si="3"/>
        <v>553344.3368</v>
      </c>
      <c r="U5492" s="168">
        <f t="shared" si="4"/>
        <v>0</v>
      </c>
      <c r="V5492" s="168">
        <f t="shared" si="5"/>
        <v>0</v>
      </c>
      <c r="W5492" s="168">
        <f t="shared" si="6"/>
        <v>0</v>
      </c>
      <c r="X5492" s="168">
        <f t="shared" si="7"/>
        <v>0</v>
      </c>
      <c r="Y5492" s="168">
        <f t="shared" si="8"/>
        <v>0</v>
      </c>
      <c r="Z5492" s="168">
        <f t="shared" si="9"/>
        <v>0</v>
      </c>
    </row>
    <row r="5493" ht="15.0" customHeight="1">
      <c r="A5493" s="157" t="s">
        <v>6954</v>
      </c>
      <c r="B5493" s="158" t="s">
        <v>36</v>
      </c>
      <c r="C5493" s="158" t="s">
        <v>6947</v>
      </c>
      <c r="D5493" s="159">
        <v>45674.0</v>
      </c>
      <c r="E5493" s="157" t="s">
        <v>731</v>
      </c>
      <c r="F5493" s="160">
        <v>89882.27</v>
      </c>
      <c r="G5493" s="160">
        <f>'FACP$'!$F5493*0.16</f>
        <v>14381.1632</v>
      </c>
      <c r="H5493" s="160">
        <f t="shared" si="124"/>
        <v>104263.4332</v>
      </c>
      <c r="I5493" s="160"/>
      <c r="J5493" s="161"/>
      <c r="K5493" s="160"/>
      <c r="L5493" s="160">
        <f>+'FACP$'!$H5493-'FACP$'!$I5493-'FACP$'!$K5493</f>
        <v>104263.4332</v>
      </c>
      <c r="M5493" s="162" t="s">
        <v>530</v>
      </c>
      <c r="N5493" s="224" t="s">
        <v>554</v>
      </c>
      <c r="O5493" s="164">
        <v>45688.0</v>
      </c>
      <c r="P5493" s="164">
        <f t="array" ref="P5493">XLOOKUP('FACP$'!$B5493,'perfil de pagos'!$A$4:$A$46,'perfil de pagos'!$B$4:$B$46+'FACP$'!$D5493)</f>
        <v>45684</v>
      </c>
      <c r="Q5493" s="165">
        <f t="shared" si="128"/>
        <v>0</v>
      </c>
      <c r="R5493" s="167"/>
      <c r="S5493" s="167"/>
      <c r="T5493" s="168">
        <f t="shared" si="3"/>
        <v>104263.4332</v>
      </c>
      <c r="U5493" s="168">
        <f t="shared" si="4"/>
        <v>0</v>
      </c>
      <c r="V5493" s="168">
        <f t="shared" si="5"/>
        <v>0</v>
      </c>
      <c r="W5493" s="168">
        <f t="shared" si="6"/>
        <v>0</v>
      </c>
      <c r="X5493" s="168">
        <f t="shared" si="7"/>
        <v>0</v>
      </c>
      <c r="Y5493" s="168">
        <f t="shared" si="8"/>
        <v>0</v>
      </c>
      <c r="Z5493" s="168">
        <f t="shared" si="9"/>
        <v>0</v>
      </c>
    </row>
    <row r="5494" ht="15.0" customHeight="1">
      <c r="A5494" s="157" t="s">
        <v>6955</v>
      </c>
      <c r="B5494" s="158" t="s">
        <v>36</v>
      </c>
      <c r="C5494" s="158" t="s">
        <v>6949</v>
      </c>
      <c r="D5494" s="159">
        <v>45674.0</v>
      </c>
      <c r="E5494" s="157" t="s">
        <v>731</v>
      </c>
      <c r="F5494" s="160">
        <v>85161.0</v>
      </c>
      <c r="G5494" s="160">
        <f>'FACP$'!$F5494*0.16</f>
        <v>13625.76</v>
      </c>
      <c r="H5494" s="160">
        <f t="shared" si="124"/>
        <v>98786.76</v>
      </c>
      <c r="I5494" s="160"/>
      <c r="J5494" s="161"/>
      <c r="K5494" s="160"/>
      <c r="L5494" s="160">
        <f>+'FACP$'!$H5494-'FACP$'!$I5494-'FACP$'!$K5494</f>
        <v>98786.76</v>
      </c>
      <c r="M5494" s="162" t="s">
        <v>530</v>
      </c>
      <c r="N5494" s="224" t="s">
        <v>554</v>
      </c>
      <c r="O5494" s="164">
        <v>45688.0</v>
      </c>
      <c r="P5494" s="164">
        <f t="array" ref="P5494">XLOOKUP('FACP$'!$B5494,'perfil de pagos'!$A$4:$A$46,'perfil de pagos'!$B$4:$B$46+'FACP$'!$D5494)</f>
        <v>45684</v>
      </c>
      <c r="Q5494" s="165">
        <f t="shared" si="128"/>
        <v>0</v>
      </c>
      <c r="R5494" s="167"/>
      <c r="S5494" s="167"/>
      <c r="T5494" s="168">
        <f t="shared" si="3"/>
        <v>98786.76</v>
      </c>
      <c r="U5494" s="168">
        <f t="shared" si="4"/>
        <v>0</v>
      </c>
      <c r="V5494" s="168">
        <f t="shared" si="5"/>
        <v>0</v>
      </c>
      <c r="W5494" s="168">
        <f t="shared" si="6"/>
        <v>0</v>
      </c>
      <c r="X5494" s="168">
        <f t="shared" si="7"/>
        <v>0</v>
      </c>
      <c r="Y5494" s="168">
        <f t="shared" si="8"/>
        <v>0</v>
      </c>
      <c r="Z5494" s="168">
        <f t="shared" si="9"/>
        <v>0</v>
      </c>
    </row>
    <row r="5495" ht="15.0" customHeight="1">
      <c r="A5495" s="157" t="s">
        <v>6956</v>
      </c>
      <c r="B5495" s="158" t="s">
        <v>36</v>
      </c>
      <c r="C5495" s="158" t="s">
        <v>6947</v>
      </c>
      <c r="D5495" s="159">
        <v>45674.0</v>
      </c>
      <c r="E5495" s="157" t="s">
        <v>731</v>
      </c>
      <c r="F5495" s="160">
        <v>45635.39</v>
      </c>
      <c r="G5495" s="160">
        <f>'FACP$'!$F5495*0.16</f>
        <v>7301.6624</v>
      </c>
      <c r="H5495" s="160">
        <f t="shared" si="124"/>
        <v>52937.0524</v>
      </c>
      <c r="I5495" s="160"/>
      <c r="J5495" s="161"/>
      <c r="K5495" s="160"/>
      <c r="L5495" s="160">
        <f>+'FACP$'!$H5495-'FACP$'!$I5495-'FACP$'!$K5495</f>
        <v>52937.0524</v>
      </c>
      <c r="M5495" s="162" t="s">
        <v>526</v>
      </c>
      <c r="N5495" s="162" t="s">
        <v>554</v>
      </c>
      <c r="O5495" s="164">
        <v>45699.0</v>
      </c>
      <c r="P5495" s="164">
        <f t="array" ref="P5495">XLOOKUP('FACP$'!$B5495,'perfil de pagos'!$A$4:$A$46,'perfil de pagos'!$B$4:$B$46+'FACP$'!$D5495)</f>
        <v>45684</v>
      </c>
      <c r="Q5495" s="165">
        <f t="shared" si="128"/>
        <v>0</v>
      </c>
      <c r="R5495" s="167"/>
      <c r="S5495" s="167"/>
      <c r="T5495" s="168">
        <f t="shared" si="3"/>
        <v>52937.0524</v>
      </c>
      <c r="U5495" s="168">
        <f t="shared" si="4"/>
        <v>0</v>
      </c>
      <c r="V5495" s="168">
        <f t="shared" si="5"/>
        <v>0</v>
      </c>
      <c r="W5495" s="168">
        <f t="shared" si="6"/>
        <v>0</v>
      </c>
      <c r="X5495" s="168">
        <f t="shared" si="7"/>
        <v>0</v>
      </c>
      <c r="Y5495" s="168">
        <f t="shared" si="8"/>
        <v>0</v>
      </c>
      <c r="Z5495" s="168">
        <f t="shared" si="9"/>
        <v>0</v>
      </c>
    </row>
    <row r="5496" ht="15.0" customHeight="1">
      <c r="A5496" s="157" t="s">
        <v>6957</v>
      </c>
      <c r="B5496" s="158" t="s">
        <v>36</v>
      </c>
      <c r="C5496" s="158" t="s">
        <v>6949</v>
      </c>
      <c r="D5496" s="159">
        <v>45674.0</v>
      </c>
      <c r="E5496" s="157" t="s">
        <v>731</v>
      </c>
      <c r="F5496" s="160">
        <v>50330.9</v>
      </c>
      <c r="G5496" s="160">
        <f>'FACP$'!$F5496*0.16</f>
        <v>8052.944</v>
      </c>
      <c r="H5496" s="160">
        <f t="shared" si="124"/>
        <v>58383.844</v>
      </c>
      <c r="I5496" s="160"/>
      <c r="J5496" s="161"/>
      <c r="K5496" s="160"/>
      <c r="L5496" s="160">
        <f>+'FACP$'!$H5496-'FACP$'!$I5496-'FACP$'!$K5496</f>
        <v>58383.844</v>
      </c>
      <c r="M5496" s="162" t="s">
        <v>526</v>
      </c>
      <c r="N5496" s="162" t="s">
        <v>554</v>
      </c>
      <c r="O5496" s="164">
        <v>45715.0</v>
      </c>
      <c r="P5496" s="164">
        <f t="array" ref="P5496">XLOOKUP('FACP$'!$B5496,'perfil de pagos'!$A$4:$A$46,'perfil de pagos'!$B$4:$B$46+'FACP$'!$D5496)</f>
        <v>45684</v>
      </c>
      <c r="Q5496" s="165">
        <f t="shared" si="128"/>
        <v>0</v>
      </c>
      <c r="R5496" s="167"/>
      <c r="S5496" s="167">
        <v>3649.0</v>
      </c>
      <c r="T5496" s="168">
        <f t="shared" si="3"/>
        <v>58383.844</v>
      </c>
      <c r="U5496" s="168">
        <f t="shared" si="4"/>
        <v>0</v>
      </c>
      <c r="V5496" s="168">
        <f t="shared" si="5"/>
        <v>0</v>
      </c>
      <c r="W5496" s="168">
        <f t="shared" si="6"/>
        <v>0</v>
      </c>
      <c r="X5496" s="168">
        <f t="shared" si="7"/>
        <v>0</v>
      </c>
      <c r="Y5496" s="168">
        <f t="shared" si="8"/>
        <v>0</v>
      </c>
      <c r="Z5496" s="168">
        <f t="shared" si="9"/>
        <v>0</v>
      </c>
    </row>
    <row r="5497" ht="15.0" customHeight="1">
      <c r="A5497" s="157" t="s">
        <v>6958</v>
      </c>
      <c r="B5497" s="158" t="s">
        <v>27</v>
      </c>
      <c r="C5497" s="158" t="s">
        <v>6959</v>
      </c>
      <c r="D5497" s="159">
        <v>45677.0</v>
      </c>
      <c r="E5497" s="157" t="s">
        <v>731</v>
      </c>
      <c r="F5497" s="160">
        <v>203073.05</v>
      </c>
      <c r="G5497" s="160">
        <f>'FACP$'!$F5497*0.16</f>
        <v>32491.688</v>
      </c>
      <c r="H5497" s="160">
        <f t="shared" si="124"/>
        <v>235564.738</v>
      </c>
      <c r="I5497" s="160"/>
      <c r="J5497" s="161"/>
      <c r="K5497" s="160"/>
      <c r="L5497" s="160">
        <f>+'FACP$'!$H5497-'FACP$'!$I5497-'FACP$'!$K5497</f>
        <v>235564.738</v>
      </c>
      <c r="M5497" s="162" t="s">
        <v>158</v>
      </c>
      <c r="N5497" s="162"/>
      <c r="O5497" s="164"/>
      <c r="P5497" s="164">
        <f t="array" ref="P5497">XLOOKUP('FACP$'!$B5497,'perfil de pagos'!$A$4:$A$46,'perfil de pagos'!$B$4:$B$46+'FACP$'!$D5497)</f>
        <v>45707</v>
      </c>
      <c r="Q5497" s="165">
        <f t="shared" si="128"/>
        <v>82</v>
      </c>
      <c r="R5497" s="167"/>
      <c r="S5497" s="167"/>
      <c r="T5497" s="168">
        <f t="shared" si="3"/>
        <v>0</v>
      </c>
      <c r="U5497" s="168">
        <f t="shared" si="4"/>
        <v>0</v>
      </c>
      <c r="V5497" s="168">
        <f t="shared" si="5"/>
        <v>0</v>
      </c>
      <c r="W5497" s="168">
        <f t="shared" si="6"/>
        <v>0</v>
      </c>
      <c r="X5497" s="168">
        <f t="shared" si="7"/>
        <v>0</v>
      </c>
      <c r="Y5497" s="168">
        <f t="shared" si="8"/>
        <v>235564.738</v>
      </c>
      <c r="Z5497" s="168">
        <f t="shared" si="9"/>
        <v>0</v>
      </c>
    </row>
    <row r="5498" ht="15.0" customHeight="1">
      <c r="A5498" s="157" t="s">
        <v>6960</v>
      </c>
      <c r="B5498" s="158" t="s">
        <v>27</v>
      </c>
      <c r="C5498" s="158" t="s">
        <v>6961</v>
      </c>
      <c r="D5498" s="159">
        <v>45677.0</v>
      </c>
      <c r="E5498" s="157" t="s">
        <v>731</v>
      </c>
      <c r="F5498" s="160">
        <v>118457.17</v>
      </c>
      <c r="G5498" s="160">
        <f>'FACP$'!$F5498*0.16</f>
        <v>18953.1472</v>
      </c>
      <c r="H5498" s="160">
        <f t="shared" si="124"/>
        <v>137410.3172</v>
      </c>
      <c r="I5498" s="160"/>
      <c r="J5498" s="161"/>
      <c r="K5498" s="160"/>
      <c r="L5498" s="160">
        <f>+'FACP$'!$H5498-'FACP$'!$I5498-'FACP$'!$K5498</f>
        <v>137410.3172</v>
      </c>
      <c r="M5498" s="162" t="s">
        <v>158</v>
      </c>
      <c r="N5498" s="162"/>
      <c r="O5498" s="164"/>
      <c r="P5498" s="164">
        <f t="array" ref="P5498">XLOOKUP('FACP$'!$B5498,'perfil de pagos'!$A$4:$A$46,'perfil de pagos'!$B$4:$B$46+'FACP$'!$D5498)</f>
        <v>45707</v>
      </c>
      <c r="Q5498" s="165">
        <f t="shared" si="128"/>
        <v>82</v>
      </c>
      <c r="R5498" s="167"/>
      <c r="S5498" s="167"/>
      <c r="T5498" s="168">
        <f t="shared" si="3"/>
        <v>0</v>
      </c>
      <c r="U5498" s="168">
        <f t="shared" si="4"/>
        <v>0</v>
      </c>
      <c r="V5498" s="168">
        <f t="shared" si="5"/>
        <v>0</v>
      </c>
      <c r="W5498" s="168">
        <f t="shared" si="6"/>
        <v>0</v>
      </c>
      <c r="X5498" s="168">
        <f t="shared" si="7"/>
        <v>0</v>
      </c>
      <c r="Y5498" s="168">
        <f t="shared" si="8"/>
        <v>137410.3172</v>
      </c>
      <c r="Z5498" s="168">
        <f t="shared" si="9"/>
        <v>0</v>
      </c>
    </row>
    <row r="5499" ht="15.0" customHeight="1">
      <c r="A5499" s="157" t="s">
        <v>6962</v>
      </c>
      <c r="B5499" s="158" t="s">
        <v>27</v>
      </c>
      <c r="C5499" s="158" t="s">
        <v>6959</v>
      </c>
      <c r="D5499" s="159">
        <v>45677.0</v>
      </c>
      <c r="E5499" s="157" t="s">
        <v>731</v>
      </c>
      <c r="F5499" s="160">
        <v>361951.64</v>
      </c>
      <c r="G5499" s="160">
        <f>'FACP$'!$F5499*0.16</f>
        <v>57912.2624</v>
      </c>
      <c r="H5499" s="160">
        <f t="shared" si="124"/>
        <v>419863.9024</v>
      </c>
      <c r="I5499" s="160"/>
      <c r="J5499" s="161"/>
      <c r="K5499" s="160"/>
      <c r="L5499" s="160">
        <f>+'FACP$'!$H5499-'FACP$'!$I5499-'FACP$'!$K5499</f>
        <v>419863.9024</v>
      </c>
      <c r="M5499" s="162" t="s">
        <v>151</v>
      </c>
      <c r="N5499" s="162"/>
      <c r="O5499" s="164"/>
      <c r="P5499" s="164">
        <f t="array" ref="P5499">XLOOKUP('FACP$'!$B5499,'perfil de pagos'!$A$4:$A$46,'perfil de pagos'!$B$4:$B$46+'FACP$'!$D5499)</f>
        <v>45707</v>
      </c>
      <c r="Q5499" s="165">
        <f t="shared" si="128"/>
        <v>82</v>
      </c>
      <c r="R5499" s="167"/>
      <c r="S5499" s="167"/>
      <c r="T5499" s="168">
        <f t="shared" si="3"/>
        <v>0</v>
      </c>
      <c r="U5499" s="168">
        <f t="shared" si="4"/>
        <v>0</v>
      </c>
      <c r="V5499" s="168">
        <f t="shared" si="5"/>
        <v>0</v>
      </c>
      <c r="W5499" s="168">
        <f t="shared" si="6"/>
        <v>0</v>
      </c>
      <c r="X5499" s="168">
        <f t="shared" si="7"/>
        <v>0</v>
      </c>
      <c r="Y5499" s="168">
        <f t="shared" si="8"/>
        <v>419863.9024</v>
      </c>
      <c r="Z5499" s="168">
        <f t="shared" si="9"/>
        <v>0</v>
      </c>
    </row>
    <row r="5500" ht="15.0" customHeight="1">
      <c r="A5500" s="157" t="s">
        <v>6963</v>
      </c>
      <c r="B5500" s="158" t="s">
        <v>27</v>
      </c>
      <c r="C5500" s="158" t="s">
        <v>6961</v>
      </c>
      <c r="D5500" s="159">
        <v>45677.0</v>
      </c>
      <c r="E5500" s="157" t="s">
        <v>731</v>
      </c>
      <c r="F5500" s="160">
        <v>188075.73</v>
      </c>
      <c r="G5500" s="160">
        <f>'FACP$'!$F5500*0.16</f>
        <v>30092.1168</v>
      </c>
      <c r="H5500" s="160">
        <f t="shared" si="124"/>
        <v>218167.8468</v>
      </c>
      <c r="I5500" s="160"/>
      <c r="J5500" s="161"/>
      <c r="K5500" s="160"/>
      <c r="L5500" s="160">
        <f>+'FACP$'!$H5500-'FACP$'!$I5500-'FACP$'!$K5500</f>
        <v>218167.8468</v>
      </c>
      <c r="M5500" s="162" t="s">
        <v>151</v>
      </c>
      <c r="N5500" s="162"/>
      <c r="O5500" s="164"/>
      <c r="P5500" s="164">
        <f t="array" ref="P5500">XLOOKUP('FACP$'!$B5500,'perfil de pagos'!$A$4:$A$46,'perfil de pagos'!$B$4:$B$46+'FACP$'!$D5500)</f>
        <v>45707</v>
      </c>
      <c r="Q5500" s="165">
        <f t="shared" si="128"/>
        <v>82</v>
      </c>
      <c r="R5500" s="167"/>
      <c r="S5500" s="167"/>
      <c r="T5500" s="168">
        <f t="shared" si="3"/>
        <v>0</v>
      </c>
      <c r="U5500" s="168">
        <f t="shared" si="4"/>
        <v>0</v>
      </c>
      <c r="V5500" s="168">
        <f t="shared" si="5"/>
        <v>0</v>
      </c>
      <c r="W5500" s="168">
        <f t="shared" si="6"/>
        <v>0</v>
      </c>
      <c r="X5500" s="168">
        <f t="shared" si="7"/>
        <v>0</v>
      </c>
      <c r="Y5500" s="168">
        <f t="shared" si="8"/>
        <v>218167.8468</v>
      </c>
      <c r="Z5500" s="168">
        <f t="shared" si="9"/>
        <v>0</v>
      </c>
    </row>
    <row r="5501" ht="15.0" customHeight="1">
      <c r="A5501" s="157" t="s">
        <v>6964</v>
      </c>
      <c r="B5501" s="158" t="s">
        <v>27</v>
      </c>
      <c r="C5501" s="158" t="s">
        <v>6959</v>
      </c>
      <c r="D5501" s="159">
        <v>45677.0</v>
      </c>
      <c r="E5501" s="157" t="s">
        <v>731</v>
      </c>
      <c r="F5501" s="160">
        <v>16631.06</v>
      </c>
      <c r="G5501" s="160">
        <f>'FACP$'!$F5501*0.16</f>
        <v>2660.9696</v>
      </c>
      <c r="H5501" s="160">
        <f t="shared" si="124"/>
        <v>19292.0296</v>
      </c>
      <c r="I5501" s="160"/>
      <c r="J5501" s="161"/>
      <c r="K5501" s="160"/>
      <c r="L5501" s="160">
        <f>+'FACP$'!$H5501-'FACP$'!$I5501-'FACP$'!$K5501</f>
        <v>19292.0296</v>
      </c>
      <c r="M5501" s="162" t="s">
        <v>151</v>
      </c>
      <c r="N5501" s="162"/>
      <c r="O5501" s="164"/>
      <c r="P5501" s="164">
        <f t="array" ref="P5501">XLOOKUP('FACP$'!$B5501,'perfil de pagos'!$A$4:$A$46,'perfil de pagos'!$B$4:$B$46+'FACP$'!$D5501)</f>
        <v>45707</v>
      </c>
      <c r="Q5501" s="165">
        <f t="shared" si="128"/>
        <v>82</v>
      </c>
      <c r="R5501" s="167"/>
      <c r="S5501" s="167"/>
      <c r="T5501" s="168">
        <f t="shared" si="3"/>
        <v>0</v>
      </c>
      <c r="U5501" s="168">
        <f t="shared" si="4"/>
        <v>0</v>
      </c>
      <c r="V5501" s="168">
        <f t="shared" si="5"/>
        <v>0</v>
      </c>
      <c r="W5501" s="168">
        <f t="shared" si="6"/>
        <v>0</v>
      </c>
      <c r="X5501" s="168">
        <f t="shared" si="7"/>
        <v>0</v>
      </c>
      <c r="Y5501" s="168">
        <f t="shared" si="8"/>
        <v>19292.0296</v>
      </c>
      <c r="Z5501" s="168">
        <f t="shared" si="9"/>
        <v>0</v>
      </c>
    </row>
    <row r="5502" ht="15.0" customHeight="1">
      <c r="A5502" s="157" t="s">
        <v>6965</v>
      </c>
      <c r="B5502" s="158" t="s">
        <v>27</v>
      </c>
      <c r="C5502" s="158" t="s">
        <v>6961</v>
      </c>
      <c r="D5502" s="159">
        <v>45677.0</v>
      </c>
      <c r="E5502" s="157" t="s">
        <v>731</v>
      </c>
      <c r="F5502" s="160">
        <v>11810.19</v>
      </c>
      <c r="G5502" s="160">
        <f>'FACP$'!$F5502*0.16</f>
        <v>1889.6304</v>
      </c>
      <c r="H5502" s="160">
        <f t="shared" si="124"/>
        <v>13699.8204</v>
      </c>
      <c r="I5502" s="160"/>
      <c r="J5502" s="161"/>
      <c r="K5502" s="160"/>
      <c r="L5502" s="160">
        <f>+'FACP$'!$H5502-'FACP$'!$I5502-'FACP$'!$K5502</f>
        <v>13699.8204</v>
      </c>
      <c r="M5502" s="162" t="s">
        <v>151</v>
      </c>
      <c r="N5502" s="162"/>
      <c r="O5502" s="164"/>
      <c r="P5502" s="164">
        <f t="array" ref="P5502">XLOOKUP('FACP$'!$B5502,'perfil de pagos'!$A$4:$A$46,'perfil de pagos'!$B$4:$B$46+'FACP$'!$D5502)</f>
        <v>45707</v>
      </c>
      <c r="Q5502" s="165">
        <f t="shared" si="128"/>
        <v>82</v>
      </c>
      <c r="R5502" s="167"/>
      <c r="S5502" s="167"/>
      <c r="T5502" s="168">
        <f t="shared" si="3"/>
        <v>0</v>
      </c>
      <c r="U5502" s="168">
        <f t="shared" si="4"/>
        <v>0</v>
      </c>
      <c r="V5502" s="168">
        <f t="shared" si="5"/>
        <v>0</v>
      </c>
      <c r="W5502" s="168">
        <f t="shared" si="6"/>
        <v>0</v>
      </c>
      <c r="X5502" s="168">
        <f t="shared" si="7"/>
        <v>0</v>
      </c>
      <c r="Y5502" s="168">
        <f t="shared" si="8"/>
        <v>13699.8204</v>
      </c>
      <c r="Z5502" s="168">
        <f t="shared" si="9"/>
        <v>0</v>
      </c>
    </row>
    <row r="5503" ht="15.0" customHeight="1">
      <c r="A5503" s="157" t="s">
        <v>6966</v>
      </c>
      <c r="B5503" s="158" t="s">
        <v>38</v>
      </c>
      <c r="C5503" s="158" t="s">
        <v>6947</v>
      </c>
      <c r="D5503" s="159">
        <v>45677.0</v>
      </c>
      <c r="E5503" s="157" t="s">
        <v>731</v>
      </c>
      <c r="F5503" s="160">
        <v>83365.05</v>
      </c>
      <c r="G5503" s="160">
        <f>'FACP$'!$F5503*0.16</f>
        <v>13338.408</v>
      </c>
      <c r="H5503" s="160">
        <f t="shared" si="124"/>
        <v>96703.458</v>
      </c>
      <c r="I5503" s="160"/>
      <c r="J5503" s="161"/>
      <c r="K5503" s="160"/>
      <c r="L5503" s="160">
        <f>+'FACP$'!$H5503-'FACP$'!$I5503-'FACP$'!$K5503</f>
        <v>96703.458</v>
      </c>
      <c r="M5503" s="162" t="s">
        <v>4654</v>
      </c>
      <c r="N5503" s="162" t="s">
        <v>554</v>
      </c>
      <c r="O5503" s="164">
        <v>45700.0</v>
      </c>
      <c r="P5503" s="164">
        <f t="array" ref="P5503">XLOOKUP('FACP$'!$B5503,'perfil de pagos'!$A$4:$A$46,'perfil de pagos'!$B$4:$B$46+'FACP$'!$D5503)</f>
        <v>45707</v>
      </c>
      <c r="Q5503" s="165">
        <f t="shared" si="128"/>
        <v>0</v>
      </c>
      <c r="R5503" s="167"/>
      <c r="S5503" s="167"/>
      <c r="T5503" s="168">
        <f t="shared" si="3"/>
        <v>96703.458</v>
      </c>
      <c r="U5503" s="168">
        <f t="shared" si="4"/>
        <v>0</v>
      </c>
      <c r="V5503" s="168">
        <f t="shared" si="5"/>
        <v>0</v>
      </c>
      <c r="W5503" s="168">
        <f t="shared" si="6"/>
        <v>0</v>
      </c>
      <c r="X5503" s="168">
        <f t="shared" si="7"/>
        <v>0</v>
      </c>
      <c r="Y5503" s="168">
        <f t="shared" si="8"/>
        <v>0</v>
      </c>
      <c r="Z5503" s="168">
        <f t="shared" si="9"/>
        <v>0</v>
      </c>
    </row>
    <row r="5504" ht="15.0" customHeight="1">
      <c r="A5504" s="157" t="s">
        <v>6967</v>
      </c>
      <c r="B5504" s="158" t="s">
        <v>42</v>
      </c>
      <c r="C5504" s="158" t="s">
        <v>6947</v>
      </c>
      <c r="D5504" s="159">
        <v>45686.0</v>
      </c>
      <c r="E5504" s="157" t="s">
        <v>731</v>
      </c>
      <c r="F5504" s="160">
        <v>423647.68</v>
      </c>
      <c r="G5504" s="160">
        <f>'FACP$'!$F5504*0.16</f>
        <v>67783.6288</v>
      </c>
      <c r="H5504" s="160">
        <f t="shared" si="124"/>
        <v>491431.3088</v>
      </c>
      <c r="I5504" s="160"/>
      <c r="J5504" s="161"/>
      <c r="K5504" s="160"/>
      <c r="L5504" s="160">
        <f>+'FACP$'!$H5504-'FACP$'!$I5504-'FACP$'!$K5504</f>
        <v>491431.3088</v>
      </c>
      <c r="M5504" s="162" t="s">
        <v>42</v>
      </c>
      <c r="N5504" s="162" t="s">
        <v>554</v>
      </c>
      <c r="O5504" s="164">
        <v>45694.0</v>
      </c>
      <c r="P5504" s="164">
        <f t="array" ref="P5504">XLOOKUP('FACP$'!$B5504,'perfil de pagos'!$A$4:$A$46,'perfil de pagos'!$B$4:$B$46+'FACP$'!$D5504)</f>
        <v>45696</v>
      </c>
      <c r="Q5504" s="165">
        <f t="shared" si="128"/>
        <v>0</v>
      </c>
      <c r="R5504" s="167"/>
      <c r="S5504" s="167">
        <v>3588.0</v>
      </c>
      <c r="T5504" s="168">
        <f t="shared" si="3"/>
        <v>491431.3088</v>
      </c>
      <c r="U5504" s="168">
        <f t="shared" si="4"/>
        <v>0</v>
      </c>
      <c r="V5504" s="168">
        <f t="shared" si="5"/>
        <v>0</v>
      </c>
      <c r="W5504" s="168">
        <f t="shared" si="6"/>
        <v>0</v>
      </c>
      <c r="X5504" s="168">
        <f t="shared" si="7"/>
        <v>0</v>
      </c>
      <c r="Y5504" s="168">
        <f t="shared" si="8"/>
        <v>0</v>
      </c>
      <c r="Z5504" s="168">
        <f t="shared" si="9"/>
        <v>0</v>
      </c>
    </row>
    <row r="5505" ht="15.0" customHeight="1">
      <c r="A5505" s="157" t="s">
        <v>6968</v>
      </c>
      <c r="B5505" s="158" t="s">
        <v>16</v>
      </c>
      <c r="C5505" s="158" t="s">
        <v>6947</v>
      </c>
      <c r="D5505" s="159">
        <v>45686.0</v>
      </c>
      <c r="E5505" s="157" t="s">
        <v>731</v>
      </c>
      <c r="F5505" s="160">
        <v>367804.79</v>
      </c>
      <c r="G5505" s="160">
        <f>'FACP$'!$F5505*0.16</f>
        <v>58848.7664</v>
      </c>
      <c r="H5505" s="160">
        <f t="shared" si="124"/>
        <v>426653.5564</v>
      </c>
      <c r="I5505" s="160"/>
      <c r="J5505" s="161"/>
      <c r="K5505" s="160"/>
      <c r="L5505" s="160">
        <f>+'FACP$'!$H5505-'FACP$'!$I5505-'FACP$'!$K5505</f>
        <v>426653.5564</v>
      </c>
      <c r="M5505" s="162" t="s">
        <v>985</v>
      </c>
      <c r="N5505" s="162" t="s">
        <v>554</v>
      </c>
      <c r="O5505" s="164">
        <v>45698.0</v>
      </c>
      <c r="P5505" s="164">
        <f t="array" ref="P5505">XLOOKUP('FACP$'!$B5505,'perfil de pagos'!$A$4:$A$46,'perfil de pagos'!$B$4:$B$46+'FACP$'!$D5505)</f>
        <v>45696</v>
      </c>
      <c r="Q5505" s="165">
        <f t="shared" si="128"/>
        <v>0</v>
      </c>
      <c r="R5505" s="167"/>
      <c r="S5505" s="167">
        <v>3603.0</v>
      </c>
      <c r="T5505" s="168">
        <f t="shared" si="3"/>
        <v>426653.5564</v>
      </c>
      <c r="U5505" s="168">
        <f t="shared" si="4"/>
        <v>0</v>
      </c>
      <c r="V5505" s="168">
        <f t="shared" si="5"/>
        <v>0</v>
      </c>
      <c r="W5505" s="168">
        <f t="shared" si="6"/>
        <v>0</v>
      </c>
      <c r="X5505" s="168">
        <f t="shared" si="7"/>
        <v>0</v>
      </c>
      <c r="Y5505" s="168">
        <f t="shared" si="8"/>
        <v>0</v>
      </c>
      <c r="Z5505" s="168">
        <f t="shared" si="9"/>
        <v>0</v>
      </c>
    </row>
    <row r="5506" ht="15.0" customHeight="1">
      <c r="A5506" s="157" t="s">
        <v>6969</v>
      </c>
      <c r="B5506" s="158" t="s">
        <v>16</v>
      </c>
      <c r="C5506" s="158" t="s">
        <v>6949</v>
      </c>
      <c r="D5506" s="159">
        <v>45686.0</v>
      </c>
      <c r="E5506" s="157" t="s">
        <v>731</v>
      </c>
      <c r="F5506" s="160">
        <v>409024.28</v>
      </c>
      <c r="G5506" s="160">
        <f>'FACP$'!$F5506*0.16</f>
        <v>65443.8848</v>
      </c>
      <c r="H5506" s="160">
        <f t="shared" si="124"/>
        <v>474468.1648</v>
      </c>
      <c r="I5506" s="160"/>
      <c r="J5506" s="161"/>
      <c r="K5506" s="160"/>
      <c r="L5506" s="160">
        <f>+'FACP$'!$H5506-'FACP$'!$I5506-'FACP$'!$K5506</f>
        <v>474468.1648</v>
      </c>
      <c r="M5506" s="162" t="s">
        <v>985</v>
      </c>
      <c r="N5506" s="162" t="s">
        <v>554</v>
      </c>
      <c r="O5506" s="164">
        <v>45698.0</v>
      </c>
      <c r="P5506" s="164">
        <f t="array" ref="P5506">XLOOKUP('FACP$'!$B5506,'perfil de pagos'!$A$4:$A$46,'perfil de pagos'!$B$4:$B$46+'FACP$'!$D5506)</f>
        <v>45696</v>
      </c>
      <c r="Q5506" s="165">
        <f t="shared" si="128"/>
        <v>0</v>
      </c>
      <c r="R5506" s="167"/>
      <c r="S5506" s="167">
        <v>3603.0</v>
      </c>
      <c r="T5506" s="168">
        <f t="shared" si="3"/>
        <v>474468.1648</v>
      </c>
      <c r="U5506" s="168">
        <f t="shared" si="4"/>
        <v>0</v>
      </c>
      <c r="V5506" s="168">
        <f t="shared" si="5"/>
        <v>0</v>
      </c>
      <c r="W5506" s="168">
        <f t="shared" si="6"/>
        <v>0</v>
      </c>
      <c r="X5506" s="168">
        <f t="shared" si="7"/>
        <v>0</v>
      </c>
      <c r="Y5506" s="168">
        <f t="shared" si="8"/>
        <v>0</v>
      </c>
      <c r="Z5506" s="168">
        <f t="shared" si="9"/>
        <v>0</v>
      </c>
    </row>
    <row r="5507" ht="15.0" customHeight="1">
      <c r="A5507" s="157" t="s">
        <v>6970</v>
      </c>
      <c r="B5507" s="158" t="s">
        <v>18</v>
      </c>
      <c r="C5507" s="158" t="s">
        <v>6947</v>
      </c>
      <c r="D5507" s="159">
        <v>45686.0</v>
      </c>
      <c r="E5507" s="157" t="s">
        <v>731</v>
      </c>
      <c r="F5507" s="160">
        <v>91430.52</v>
      </c>
      <c r="G5507" s="160">
        <f>'FACP$'!$F5507*0.16</f>
        <v>14628.8832</v>
      </c>
      <c r="H5507" s="160">
        <f t="shared" si="124"/>
        <v>106059.4032</v>
      </c>
      <c r="I5507" s="160"/>
      <c r="J5507" s="161"/>
      <c r="K5507" s="160"/>
      <c r="L5507" s="160">
        <f>+'FACP$'!$H5507-'FACP$'!$I5507-'FACP$'!$K5507</f>
        <v>106059.4032</v>
      </c>
      <c r="M5507" s="162" t="s">
        <v>586</v>
      </c>
      <c r="N5507" s="162" t="s">
        <v>554</v>
      </c>
      <c r="O5507" s="164">
        <v>45694.0</v>
      </c>
      <c r="P5507" s="164">
        <f t="array" ref="P5507">XLOOKUP('FACP$'!$B5507,'perfil de pagos'!$A$4:$A$46,'perfil de pagos'!$B$4:$B$46+'FACP$'!$D5507)</f>
        <v>45696</v>
      </c>
      <c r="Q5507" s="165">
        <f t="shared" si="128"/>
        <v>0</v>
      </c>
      <c r="R5507" s="167"/>
      <c r="S5507" s="167">
        <v>3589.0</v>
      </c>
      <c r="T5507" s="168">
        <f t="shared" si="3"/>
        <v>106059.4032</v>
      </c>
      <c r="U5507" s="168">
        <f t="shared" si="4"/>
        <v>0</v>
      </c>
      <c r="V5507" s="168">
        <f t="shared" si="5"/>
        <v>0</v>
      </c>
      <c r="W5507" s="168">
        <f t="shared" si="6"/>
        <v>0</v>
      </c>
      <c r="X5507" s="168">
        <f t="shared" si="7"/>
        <v>0</v>
      </c>
      <c r="Y5507" s="168">
        <f t="shared" si="8"/>
        <v>0</v>
      </c>
      <c r="Z5507" s="168">
        <f t="shared" si="9"/>
        <v>0</v>
      </c>
    </row>
    <row r="5508" ht="15.0" customHeight="1">
      <c r="A5508" s="157" t="s">
        <v>6971</v>
      </c>
      <c r="B5508" s="158" t="s">
        <v>19</v>
      </c>
      <c r="C5508" s="158" t="s">
        <v>6947</v>
      </c>
      <c r="D5508" s="159">
        <v>45686.0</v>
      </c>
      <c r="E5508" s="157" t="s">
        <v>731</v>
      </c>
      <c r="F5508" s="160">
        <v>215689.85</v>
      </c>
      <c r="G5508" s="160">
        <f>'FACP$'!$F5508*0.16</f>
        <v>34510.376</v>
      </c>
      <c r="H5508" s="160">
        <f t="shared" si="124"/>
        <v>250200.226</v>
      </c>
      <c r="I5508" s="160"/>
      <c r="J5508" s="161"/>
      <c r="K5508" s="160"/>
      <c r="L5508" s="160">
        <f>+'FACP$'!$H5508-'FACP$'!$I5508-'FACP$'!$K5508</f>
        <v>250200.226</v>
      </c>
      <c r="M5508" s="162" t="s">
        <v>732</v>
      </c>
      <c r="N5508" s="162" t="s">
        <v>554</v>
      </c>
      <c r="O5508" s="164">
        <v>45694.0</v>
      </c>
      <c r="P5508" s="164">
        <f t="array" ref="P5508">XLOOKUP('FACP$'!$B5508,'perfil de pagos'!$A$4:$A$46,'perfil de pagos'!$B$4:$B$46+'FACP$'!$D5508)</f>
        <v>45696</v>
      </c>
      <c r="Q5508" s="165">
        <f t="shared" si="128"/>
        <v>0</v>
      </c>
      <c r="R5508" s="167"/>
      <c r="S5508" s="167">
        <v>3589.0</v>
      </c>
      <c r="T5508" s="168">
        <f t="shared" si="3"/>
        <v>250200.226</v>
      </c>
      <c r="U5508" s="168">
        <f t="shared" si="4"/>
        <v>0</v>
      </c>
      <c r="V5508" s="168">
        <f t="shared" si="5"/>
        <v>0</v>
      </c>
      <c r="W5508" s="168">
        <f t="shared" si="6"/>
        <v>0</v>
      </c>
      <c r="X5508" s="168">
        <f t="shared" si="7"/>
        <v>0</v>
      </c>
      <c r="Y5508" s="168">
        <f t="shared" si="8"/>
        <v>0</v>
      </c>
      <c r="Z5508" s="168">
        <f t="shared" si="9"/>
        <v>0</v>
      </c>
    </row>
    <row r="5509" ht="15.0" customHeight="1">
      <c r="A5509" s="157" t="s">
        <v>6972</v>
      </c>
      <c r="B5509" s="158" t="s">
        <v>25</v>
      </c>
      <c r="C5509" s="158" t="s">
        <v>6947</v>
      </c>
      <c r="D5509" s="159">
        <v>45686.0</v>
      </c>
      <c r="E5509" s="157" t="s">
        <v>731</v>
      </c>
      <c r="F5509" s="160">
        <v>74289.76</v>
      </c>
      <c r="G5509" s="160">
        <f>'FACP$'!$F5509*0.16</f>
        <v>11886.3616</v>
      </c>
      <c r="H5509" s="160">
        <f t="shared" si="124"/>
        <v>86176.1216</v>
      </c>
      <c r="I5509" s="160"/>
      <c r="J5509" s="161"/>
      <c r="K5509" s="160"/>
      <c r="L5509" s="160">
        <f>+'FACP$'!$H5509-'FACP$'!$I5509-'FACP$'!$K5509</f>
        <v>86176.1216</v>
      </c>
      <c r="M5509" s="162" t="s">
        <v>4388</v>
      </c>
      <c r="N5509" s="162" t="s">
        <v>554</v>
      </c>
      <c r="O5509" s="164">
        <v>45695.0</v>
      </c>
      <c r="P5509" s="164">
        <f t="array" ref="P5509">XLOOKUP('FACP$'!$B5509,'perfil de pagos'!$A$4:$A$46,'perfil de pagos'!$B$4:$B$46+'FACP$'!$D5509)</f>
        <v>45696</v>
      </c>
      <c r="Q5509" s="165">
        <f t="shared" si="128"/>
        <v>0</v>
      </c>
      <c r="R5509" s="167"/>
      <c r="S5509" s="167">
        <v>3594.0</v>
      </c>
      <c r="T5509" s="168">
        <f t="shared" si="3"/>
        <v>86176.1216</v>
      </c>
      <c r="U5509" s="168">
        <f t="shared" si="4"/>
        <v>0</v>
      </c>
      <c r="V5509" s="168">
        <f t="shared" si="5"/>
        <v>0</v>
      </c>
      <c r="W5509" s="168">
        <f t="shared" si="6"/>
        <v>0</v>
      </c>
      <c r="X5509" s="168">
        <f t="shared" si="7"/>
        <v>0</v>
      </c>
      <c r="Y5509" s="168">
        <f t="shared" si="8"/>
        <v>0</v>
      </c>
      <c r="Z5509" s="168">
        <f t="shared" si="9"/>
        <v>0</v>
      </c>
    </row>
    <row r="5510" ht="15.0" customHeight="1">
      <c r="A5510" s="157" t="s">
        <v>6973</v>
      </c>
      <c r="B5510" s="158" t="s">
        <v>40</v>
      </c>
      <c r="C5510" s="158" t="s">
        <v>6947</v>
      </c>
      <c r="D5510" s="159">
        <v>45686.0</v>
      </c>
      <c r="E5510" s="157" t="s">
        <v>731</v>
      </c>
      <c r="F5510" s="160">
        <v>538750.91</v>
      </c>
      <c r="G5510" s="160">
        <f>'FACP$'!$F5510*0.16</f>
        <v>86200.1456</v>
      </c>
      <c r="H5510" s="160">
        <f t="shared" si="124"/>
        <v>624951.0556</v>
      </c>
      <c r="I5510" s="160"/>
      <c r="J5510" s="161"/>
      <c r="K5510" s="160"/>
      <c r="L5510" s="160">
        <f>+'FACP$'!$H5510-'FACP$'!$I5510-'FACP$'!$K5510</f>
        <v>624951.0556</v>
      </c>
      <c r="M5510" s="162" t="s">
        <v>490</v>
      </c>
      <c r="N5510" s="162" t="s">
        <v>554</v>
      </c>
      <c r="O5510" s="164">
        <v>45722.0</v>
      </c>
      <c r="P5510" s="164">
        <f t="array" ref="P5510">XLOOKUP('FACP$'!$B5510,'perfil de pagos'!$A$4:$A$46,'perfil de pagos'!$B$4:$B$46+'FACP$'!$D5510)</f>
        <v>45716</v>
      </c>
      <c r="Q5510" s="165">
        <f t="shared" si="128"/>
        <v>0</v>
      </c>
      <c r="R5510" s="167"/>
      <c r="S5510" s="167">
        <v>3661.0</v>
      </c>
      <c r="T5510" s="168">
        <f t="shared" si="3"/>
        <v>624951.0556</v>
      </c>
      <c r="U5510" s="168">
        <f t="shared" si="4"/>
        <v>0</v>
      </c>
      <c r="V5510" s="168">
        <f t="shared" si="5"/>
        <v>0</v>
      </c>
      <c r="W5510" s="168">
        <f t="shared" si="6"/>
        <v>0</v>
      </c>
      <c r="X5510" s="168">
        <f t="shared" si="7"/>
        <v>0</v>
      </c>
      <c r="Y5510" s="168">
        <f t="shared" si="8"/>
        <v>0</v>
      </c>
      <c r="Z5510" s="168">
        <f t="shared" si="9"/>
        <v>0</v>
      </c>
    </row>
    <row r="5511" ht="15.0" customHeight="1">
      <c r="A5511" s="157" t="s">
        <v>6974</v>
      </c>
      <c r="B5511" s="158" t="s">
        <v>40</v>
      </c>
      <c r="C5511" s="158" t="s">
        <v>6949</v>
      </c>
      <c r="D5511" s="159">
        <v>45686.0</v>
      </c>
      <c r="E5511" s="157" t="s">
        <v>731</v>
      </c>
      <c r="F5511" s="160">
        <v>308276.2</v>
      </c>
      <c r="G5511" s="160">
        <f>'FACP$'!$F5511*0.16</f>
        <v>49324.192</v>
      </c>
      <c r="H5511" s="160">
        <f t="shared" si="124"/>
        <v>357600.392</v>
      </c>
      <c r="I5511" s="160"/>
      <c r="J5511" s="161"/>
      <c r="K5511" s="160"/>
      <c r="L5511" s="160">
        <f>+'FACP$'!$H5511-'FACP$'!$I5511-'FACP$'!$K5511</f>
        <v>357600.392</v>
      </c>
      <c r="M5511" s="162" t="s">
        <v>490</v>
      </c>
      <c r="N5511" s="162" t="s">
        <v>554</v>
      </c>
      <c r="O5511" s="164">
        <v>45706.0</v>
      </c>
      <c r="P5511" s="164">
        <f t="array" ref="P5511">XLOOKUP('FACP$'!$B5511,'perfil de pagos'!$A$4:$A$46,'perfil de pagos'!$B$4:$B$46+'FACP$'!$D5511)</f>
        <v>45716</v>
      </c>
      <c r="Q5511" s="165">
        <f t="shared" si="128"/>
        <v>0</v>
      </c>
      <c r="R5511" s="167"/>
      <c r="S5511" s="167">
        <v>3621.0</v>
      </c>
      <c r="T5511" s="168">
        <f t="shared" si="3"/>
        <v>357600.392</v>
      </c>
      <c r="U5511" s="168">
        <f t="shared" si="4"/>
        <v>0</v>
      </c>
      <c r="V5511" s="168">
        <f t="shared" si="5"/>
        <v>0</v>
      </c>
      <c r="W5511" s="168">
        <f t="shared" si="6"/>
        <v>0</v>
      </c>
      <c r="X5511" s="168">
        <f t="shared" si="7"/>
        <v>0</v>
      </c>
      <c r="Y5511" s="168">
        <f t="shared" si="8"/>
        <v>0</v>
      </c>
      <c r="Z5511" s="168">
        <f t="shared" si="9"/>
        <v>0</v>
      </c>
    </row>
    <row r="5512" ht="15.0" customHeight="1">
      <c r="A5512" s="157" t="s">
        <v>6975</v>
      </c>
      <c r="B5512" s="158" t="s">
        <v>37</v>
      </c>
      <c r="C5512" s="158" t="s">
        <v>6947</v>
      </c>
      <c r="D5512" s="159">
        <v>45686.0</v>
      </c>
      <c r="E5512" s="157" t="s">
        <v>731</v>
      </c>
      <c r="F5512" s="160">
        <v>1839338.89</v>
      </c>
      <c r="G5512" s="160">
        <f>'FACP$'!$F5512*0.16</f>
        <v>294294.2224</v>
      </c>
      <c r="H5512" s="160">
        <f t="shared" si="124"/>
        <v>2133633.112</v>
      </c>
      <c r="I5512" s="160"/>
      <c r="J5512" s="161"/>
      <c r="K5512" s="160"/>
      <c r="L5512" s="160">
        <f>+'FACP$'!$H5512-'FACP$'!$I5512-'FACP$'!$K5512</f>
        <v>2133633.112</v>
      </c>
      <c r="M5512" s="162" t="s">
        <v>116</v>
      </c>
      <c r="N5512" s="162" t="s">
        <v>554</v>
      </c>
      <c r="O5512" s="164">
        <v>45698.0</v>
      </c>
      <c r="P5512" s="164">
        <f t="array" ref="P5512">XLOOKUP('FACP$'!$B5512,'perfil de pagos'!$A$4:$A$46,'perfil de pagos'!$B$4:$B$46+'FACP$'!$D5512)</f>
        <v>45696</v>
      </c>
      <c r="Q5512" s="165">
        <f t="shared" si="128"/>
        <v>0</v>
      </c>
      <c r="R5512" s="167"/>
      <c r="S5512" s="167">
        <v>3601.0</v>
      </c>
      <c r="T5512" s="168">
        <f t="shared" si="3"/>
        <v>2133633.112</v>
      </c>
      <c r="U5512" s="168">
        <f t="shared" si="4"/>
        <v>0</v>
      </c>
      <c r="V5512" s="168">
        <f t="shared" si="5"/>
        <v>0</v>
      </c>
      <c r="W5512" s="168">
        <f t="shared" si="6"/>
        <v>0</v>
      </c>
      <c r="X5512" s="168">
        <f t="shared" si="7"/>
        <v>0</v>
      </c>
      <c r="Y5512" s="168">
        <f t="shared" si="8"/>
        <v>0</v>
      </c>
      <c r="Z5512" s="168">
        <f t="shared" si="9"/>
        <v>0</v>
      </c>
    </row>
    <row r="5513" ht="15.0" customHeight="1">
      <c r="A5513" s="157" t="s">
        <v>6976</v>
      </c>
      <c r="B5513" s="158" t="s">
        <v>44</v>
      </c>
      <c r="C5513" s="158" t="s">
        <v>6947</v>
      </c>
      <c r="D5513" s="159">
        <v>45687.0</v>
      </c>
      <c r="E5513" s="157" t="s">
        <v>731</v>
      </c>
      <c r="F5513" s="160">
        <v>290931.56</v>
      </c>
      <c r="G5513" s="160">
        <f>'FACP$'!$F5513*0.16</f>
        <v>46549.0496</v>
      </c>
      <c r="H5513" s="160">
        <f t="shared" si="124"/>
        <v>337480.6096</v>
      </c>
      <c r="I5513" s="160"/>
      <c r="J5513" s="161"/>
      <c r="K5513" s="160"/>
      <c r="L5513" s="160">
        <f>+'FACP$'!$H5513-'FACP$'!$I5513-'FACP$'!$K5513</f>
        <v>337480.6096</v>
      </c>
      <c r="M5513" s="162" t="s">
        <v>361</v>
      </c>
      <c r="N5513" s="162" t="s">
        <v>554</v>
      </c>
      <c r="O5513" s="164">
        <v>45694.0</v>
      </c>
      <c r="P5513" s="164">
        <f t="array" ref="P5513">XLOOKUP('FACP$'!$B5513,'perfil de pagos'!$A$4:$A$46,'perfil de pagos'!$B$4:$B$46+'FACP$'!$D5513)</f>
        <v>45697</v>
      </c>
      <c r="Q5513" s="165">
        <f t="shared" si="128"/>
        <v>0</v>
      </c>
      <c r="R5513" s="167"/>
      <c r="S5513" s="167">
        <v>3590.0</v>
      </c>
      <c r="T5513" s="168">
        <f t="shared" si="3"/>
        <v>337480.6096</v>
      </c>
      <c r="U5513" s="168">
        <f t="shared" si="4"/>
        <v>0</v>
      </c>
      <c r="V5513" s="168">
        <f t="shared" si="5"/>
        <v>0</v>
      </c>
      <c r="W5513" s="168">
        <f t="shared" si="6"/>
        <v>0</v>
      </c>
      <c r="X5513" s="168">
        <f t="shared" si="7"/>
        <v>0</v>
      </c>
      <c r="Y5513" s="168">
        <f t="shared" si="8"/>
        <v>0</v>
      </c>
      <c r="Z5513" s="168">
        <f t="shared" si="9"/>
        <v>0</v>
      </c>
    </row>
    <row r="5514" ht="15.0" customHeight="1">
      <c r="A5514" s="157" t="s">
        <v>6977</v>
      </c>
      <c r="B5514" s="158" t="s">
        <v>38</v>
      </c>
      <c r="C5514" s="158" t="s">
        <v>6947</v>
      </c>
      <c r="D5514" s="159">
        <v>45687.0</v>
      </c>
      <c r="E5514" s="157" t="s">
        <v>731</v>
      </c>
      <c r="F5514" s="160">
        <v>595578.02</v>
      </c>
      <c r="G5514" s="160">
        <f>'FACP$'!$F5514*0.16</f>
        <v>95292.4832</v>
      </c>
      <c r="H5514" s="160">
        <f t="shared" si="124"/>
        <v>690870.5032</v>
      </c>
      <c r="I5514" s="160"/>
      <c r="J5514" s="161"/>
      <c r="K5514" s="160"/>
      <c r="L5514" s="160">
        <f>+'FACP$'!$H5514-'FACP$'!$I5514-'FACP$'!$K5514</f>
        <v>690870.5032</v>
      </c>
      <c r="M5514" s="162" t="s">
        <v>6978</v>
      </c>
      <c r="N5514" s="162" t="s">
        <v>554</v>
      </c>
      <c r="O5514" s="164">
        <v>45707.0</v>
      </c>
      <c r="P5514" s="164">
        <f t="array" ref="P5514">XLOOKUP('FACP$'!$B5514,'perfil de pagos'!$A$4:$A$46,'perfil de pagos'!$B$4:$B$46+'FACP$'!$D5514)</f>
        <v>45717</v>
      </c>
      <c r="Q5514" s="165">
        <f t="shared" si="128"/>
        <v>0</v>
      </c>
      <c r="R5514" s="167"/>
      <c r="S5514" s="167">
        <v>3627.0</v>
      </c>
      <c r="T5514" s="168">
        <f t="shared" si="3"/>
        <v>690870.5032</v>
      </c>
      <c r="U5514" s="168">
        <f t="shared" si="4"/>
        <v>0</v>
      </c>
      <c r="V5514" s="168">
        <f t="shared" si="5"/>
        <v>0</v>
      </c>
      <c r="W5514" s="168">
        <f t="shared" si="6"/>
        <v>0</v>
      </c>
      <c r="X5514" s="168">
        <f t="shared" si="7"/>
        <v>0</v>
      </c>
      <c r="Y5514" s="168">
        <f t="shared" si="8"/>
        <v>0</v>
      </c>
      <c r="Z5514" s="168">
        <f t="shared" si="9"/>
        <v>0</v>
      </c>
    </row>
    <row r="5515" ht="15.0" customHeight="1">
      <c r="A5515" s="157" t="s">
        <v>6979</v>
      </c>
      <c r="B5515" s="158" t="s">
        <v>27</v>
      </c>
      <c r="C5515" s="158" t="s">
        <v>6980</v>
      </c>
      <c r="D5515" s="159">
        <v>45688.0</v>
      </c>
      <c r="E5515" s="157" t="s">
        <v>731</v>
      </c>
      <c r="F5515" s="160">
        <v>268280.82</v>
      </c>
      <c r="G5515" s="160">
        <f>'FACP$'!$F5515*0.16</f>
        <v>42924.9312</v>
      </c>
      <c r="H5515" s="160">
        <f t="shared" si="124"/>
        <v>311205.7512</v>
      </c>
      <c r="I5515" s="160"/>
      <c r="J5515" s="161"/>
      <c r="K5515" s="160"/>
      <c r="L5515" s="160">
        <f>+'FACP$'!$H5515-'FACP$'!$I5515-'FACP$'!$K5515</f>
        <v>311205.7512</v>
      </c>
      <c r="M5515" s="162" t="s">
        <v>158</v>
      </c>
      <c r="N5515" s="162"/>
      <c r="O5515" s="164"/>
      <c r="P5515" s="164">
        <f t="array" ref="P5515">XLOOKUP('FACP$'!$B5515,'perfil de pagos'!$A$4:$A$46,'perfil de pagos'!$B$4:$B$46+'FACP$'!$D5515)</f>
        <v>45718</v>
      </c>
      <c r="Q5515" s="165">
        <f t="shared" si="128"/>
        <v>71</v>
      </c>
      <c r="R5515" s="167"/>
      <c r="S5515" s="167"/>
      <c r="T5515" s="168">
        <f t="shared" si="3"/>
        <v>0</v>
      </c>
      <c r="U5515" s="168">
        <f t="shared" si="4"/>
        <v>0</v>
      </c>
      <c r="V5515" s="168">
        <f t="shared" si="5"/>
        <v>0</v>
      </c>
      <c r="W5515" s="168">
        <f t="shared" si="6"/>
        <v>0</v>
      </c>
      <c r="X5515" s="168">
        <f t="shared" si="7"/>
        <v>0</v>
      </c>
      <c r="Y5515" s="168">
        <f t="shared" si="8"/>
        <v>311205.7512</v>
      </c>
      <c r="Z5515" s="168">
        <f t="shared" si="9"/>
        <v>0</v>
      </c>
    </row>
    <row r="5516" ht="15.0" customHeight="1">
      <c r="A5516" s="157" t="s">
        <v>6981</v>
      </c>
      <c r="B5516" s="158" t="s">
        <v>27</v>
      </c>
      <c r="C5516" s="158" t="s">
        <v>6982</v>
      </c>
      <c r="D5516" s="159">
        <v>45688.0</v>
      </c>
      <c r="E5516" s="157" t="s">
        <v>731</v>
      </c>
      <c r="F5516" s="160">
        <v>114865.94</v>
      </c>
      <c r="G5516" s="160">
        <f>'FACP$'!$F5516*0.16</f>
        <v>18378.5504</v>
      </c>
      <c r="H5516" s="160">
        <f t="shared" si="124"/>
        <v>133244.4904</v>
      </c>
      <c r="I5516" s="160"/>
      <c r="J5516" s="161"/>
      <c r="K5516" s="160"/>
      <c r="L5516" s="160">
        <f>+'FACP$'!$H5516-'FACP$'!$I5516-'FACP$'!$K5516</f>
        <v>133244.4904</v>
      </c>
      <c r="M5516" s="162" t="s">
        <v>158</v>
      </c>
      <c r="N5516" s="162"/>
      <c r="O5516" s="164"/>
      <c r="P5516" s="164">
        <f t="array" ref="P5516">XLOOKUP('FACP$'!$B5516,'perfil de pagos'!$A$4:$A$46,'perfil de pagos'!$B$4:$B$46+'FACP$'!$D5516)</f>
        <v>45718</v>
      </c>
      <c r="Q5516" s="165">
        <f t="shared" si="128"/>
        <v>71</v>
      </c>
      <c r="R5516" s="167"/>
      <c r="S5516" s="167"/>
      <c r="T5516" s="168">
        <f t="shared" si="3"/>
        <v>0</v>
      </c>
      <c r="U5516" s="168">
        <f t="shared" si="4"/>
        <v>0</v>
      </c>
      <c r="V5516" s="168">
        <f t="shared" si="5"/>
        <v>0</v>
      </c>
      <c r="W5516" s="168">
        <f t="shared" si="6"/>
        <v>0</v>
      </c>
      <c r="X5516" s="168">
        <f t="shared" si="7"/>
        <v>0</v>
      </c>
      <c r="Y5516" s="168">
        <f t="shared" si="8"/>
        <v>133244.4904</v>
      </c>
      <c r="Z5516" s="168">
        <f t="shared" si="9"/>
        <v>0</v>
      </c>
    </row>
    <row r="5517" ht="15.0" customHeight="1">
      <c r="A5517" s="157" t="s">
        <v>6983</v>
      </c>
      <c r="B5517" s="158" t="s">
        <v>27</v>
      </c>
      <c r="C5517" s="158" t="s">
        <v>6980</v>
      </c>
      <c r="D5517" s="159">
        <v>45688.0</v>
      </c>
      <c r="E5517" s="157" t="s">
        <v>731</v>
      </c>
      <c r="F5517" s="160">
        <v>477419.35</v>
      </c>
      <c r="G5517" s="160">
        <f>'FACP$'!$F5517*0.16</f>
        <v>76387.096</v>
      </c>
      <c r="H5517" s="160">
        <f t="shared" si="124"/>
        <v>553806.446</v>
      </c>
      <c r="I5517" s="160"/>
      <c r="J5517" s="161"/>
      <c r="K5517" s="160"/>
      <c r="L5517" s="160">
        <f>+'FACP$'!$H5517-'FACP$'!$I5517-'FACP$'!$K5517</f>
        <v>553806.446</v>
      </c>
      <c r="M5517" s="162" t="s">
        <v>151</v>
      </c>
      <c r="N5517" s="162"/>
      <c r="O5517" s="164"/>
      <c r="P5517" s="164">
        <f t="array" ref="P5517">XLOOKUP('FACP$'!$B5517,'perfil de pagos'!$A$4:$A$46,'perfil de pagos'!$B$4:$B$46+'FACP$'!$D5517)</f>
        <v>45718</v>
      </c>
      <c r="Q5517" s="165">
        <f t="shared" si="128"/>
        <v>71</v>
      </c>
      <c r="R5517" s="167"/>
      <c r="S5517" s="167"/>
      <c r="T5517" s="168">
        <f t="shared" si="3"/>
        <v>0</v>
      </c>
      <c r="U5517" s="168">
        <f t="shared" si="4"/>
        <v>0</v>
      </c>
      <c r="V5517" s="168">
        <f t="shared" si="5"/>
        <v>0</v>
      </c>
      <c r="W5517" s="168">
        <f t="shared" si="6"/>
        <v>0</v>
      </c>
      <c r="X5517" s="168">
        <f t="shared" si="7"/>
        <v>0</v>
      </c>
      <c r="Y5517" s="168">
        <f t="shared" si="8"/>
        <v>553806.446</v>
      </c>
      <c r="Z5517" s="168">
        <f t="shared" si="9"/>
        <v>0</v>
      </c>
    </row>
    <row r="5518" ht="15.0" customHeight="1">
      <c r="A5518" s="157" t="s">
        <v>6984</v>
      </c>
      <c r="B5518" s="158" t="s">
        <v>27</v>
      </c>
      <c r="C5518" s="158" t="s">
        <v>6982</v>
      </c>
      <c r="D5518" s="159">
        <v>45688.0</v>
      </c>
      <c r="E5518" s="157" t="s">
        <v>731</v>
      </c>
      <c r="F5518" s="160">
        <v>212541.16</v>
      </c>
      <c r="G5518" s="160">
        <f>'FACP$'!$F5518*0.16</f>
        <v>34006.5856</v>
      </c>
      <c r="H5518" s="160">
        <f t="shared" si="124"/>
        <v>246547.7456</v>
      </c>
      <c r="I5518" s="160"/>
      <c r="J5518" s="161"/>
      <c r="K5518" s="160"/>
      <c r="L5518" s="160">
        <f>+'FACP$'!$H5518-'FACP$'!$I5518-'FACP$'!$K5518</f>
        <v>246547.7456</v>
      </c>
      <c r="M5518" s="162" t="s">
        <v>151</v>
      </c>
      <c r="N5518" s="162"/>
      <c r="O5518" s="164"/>
      <c r="P5518" s="164">
        <f t="array" ref="P5518">XLOOKUP('FACP$'!$B5518,'perfil de pagos'!$A$4:$A$46,'perfil de pagos'!$B$4:$B$46+'FACP$'!$D5518)</f>
        <v>45718</v>
      </c>
      <c r="Q5518" s="165">
        <f t="shared" si="128"/>
        <v>71</v>
      </c>
      <c r="R5518" s="167"/>
      <c r="S5518" s="167"/>
      <c r="T5518" s="168">
        <f t="shared" si="3"/>
        <v>0</v>
      </c>
      <c r="U5518" s="168">
        <f t="shared" si="4"/>
        <v>0</v>
      </c>
      <c r="V5518" s="168">
        <f t="shared" si="5"/>
        <v>0</v>
      </c>
      <c r="W5518" s="168">
        <f t="shared" si="6"/>
        <v>0</v>
      </c>
      <c r="X5518" s="168">
        <f t="shared" si="7"/>
        <v>0</v>
      </c>
      <c r="Y5518" s="168">
        <f t="shared" si="8"/>
        <v>246547.7456</v>
      </c>
      <c r="Z5518" s="168">
        <f t="shared" si="9"/>
        <v>0</v>
      </c>
    </row>
    <row r="5519" ht="15.0" customHeight="1">
      <c r="A5519" s="157" t="s">
        <v>6985</v>
      </c>
      <c r="B5519" s="158" t="s">
        <v>27</v>
      </c>
      <c r="C5519" s="158" t="s">
        <v>6980</v>
      </c>
      <c r="D5519" s="159">
        <v>45688.0</v>
      </c>
      <c r="E5519" s="157" t="s">
        <v>731</v>
      </c>
      <c r="F5519" s="160">
        <v>24121.26</v>
      </c>
      <c r="G5519" s="160">
        <f>'FACP$'!$F5519*0.16</f>
        <v>3859.4016</v>
      </c>
      <c r="H5519" s="160">
        <f t="shared" si="124"/>
        <v>27980.6616</v>
      </c>
      <c r="I5519" s="160"/>
      <c r="J5519" s="161"/>
      <c r="K5519" s="160"/>
      <c r="L5519" s="160">
        <f>+'FACP$'!$H5519-'FACP$'!$I5519-'FACP$'!$K5519</f>
        <v>27980.6616</v>
      </c>
      <c r="M5519" s="162" t="s">
        <v>151</v>
      </c>
      <c r="N5519" s="162"/>
      <c r="O5519" s="164"/>
      <c r="P5519" s="164">
        <f t="array" ref="P5519">XLOOKUP('FACP$'!$B5519,'perfil de pagos'!$A$4:$A$46,'perfil de pagos'!$B$4:$B$46+'FACP$'!$D5519)</f>
        <v>45718</v>
      </c>
      <c r="Q5519" s="165">
        <f t="shared" si="128"/>
        <v>71</v>
      </c>
      <c r="R5519" s="167"/>
      <c r="S5519" s="167"/>
      <c r="T5519" s="168">
        <f t="shared" si="3"/>
        <v>0</v>
      </c>
      <c r="U5519" s="168">
        <f t="shared" si="4"/>
        <v>0</v>
      </c>
      <c r="V5519" s="168">
        <f t="shared" si="5"/>
        <v>0</v>
      </c>
      <c r="W5519" s="168">
        <f t="shared" si="6"/>
        <v>0</v>
      </c>
      <c r="X5519" s="168">
        <f t="shared" si="7"/>
        <v>0</v>
      </c>
      <c r="Y5519" s="168">
        <f t="shared" si="8"/>
        <v>27980.6616</v>
      </c>
      <c r="Z5519" s="168">
        <f t="shared" si="9"/>
        <v>0</v>
      </c>
    </row>
    <row r="5520" ht="15.0" customHeight="1">
      <c r="A5520" s="157" t="s">
        <v>6986</v>
      </c>
      <c r="B5520" s="158" t="s">
        <v>27</v>
      </c>
      <c r="C5520" s="158" t="s">
        <v>6982</v>
      </c>
      <c r="D5520" s="159">
        <v>45688.0</v>
      </c>
      <c r="E5520" s="157" t="s">
        <v>731</v>
      </c>
      <c r="F5520" s="160">
        <v>13659.25</v>
      </c>
      <c r="G5520" s="160">
        <f>'FACP$'!$F5520*0.16</f>
        <v>2185.48</v>
      </c>
      <c r="H5520" s="160">
        <f t="shared" si="124"/>
        <v>15844.73</v>
      </c>
      <c r="I5520" s="160"/>
      <c r="J5520" s="161"/>
      <c r="K5520" s="160"/>
      <c r="L5520" s="160">
        <f>+'FACP$'!$H5520-'FACP$'!$I5520-'FACP$'!$K5520</f>
        <v>15844.73</v>
      </c>
      <c r="M5520" s="162" t="s">
        <v>151</v>
      </c>
      <c r="N5520" s="162"/>
      <c r="O5520" s="164"/>
      <c r="P5520" s="164">
        <f t="array" ref="P5520">XLOOKUP('FACP$'!$B5520,'perfil de pagos'!$A$4:$A$46,'perfil de pagos'!$B$4:$B$46+'FACP$'!$D5520)</f>
        <v>45718</v>
      </c>
      <c r="Q5520" s="165">
        <f t="shared" si="128"/>
        <v>71</v>
      </c>
      <c r="R5520" s="167"/>
      <c r="S5520" s="167"/>
      <c r="T5520" s="168">
        <f t="shared" si="3"/>
        <v>0</v>
      </c>
      <c r="U5520" s="168">
        <f t="shared" si="4"/>
        <v>0</v>
      </c>
      <c r="V5520" s="168">
        <f t="shared" si="5"/>
        <v>0</v>
      </c>
      <c r="W5520" s="168">
        <f t="shared" si="6"/>
        <v>0</v>
      </c>
      <c r="X5520" s="168">
        <f t="shared" si="7"/>
        <v>0</v>
      </c>
      <c r="Y5520" s="168">
        <f t="shared" si="8"/>
        <v>15844.73</v>
      </c>
      <c r="Z5520" s="168">
        <f t="shared" si="9"/>
        <v>0</v>
      </c>
    </row>
    <row r="5521" ht="15.0" customHeight="1">
      <c r="A5521" s="299" t="s">
        <v>6987</v>
      </c>
      <c r="B5521" s="300" t="s">
        <v>32</v>
      </c>
      <c r="C5521" s="300" t="s">
        <v>6988</v>
      </c>
      <c r="D5521" s="301"/>
      <c r="E5521" s="299" t="s">
        <v>731</v>
      </c>
      <c r="F5521" s="302"/>
      <c r="G5521" s="302">
        <f>'FACP$'!$F5521*0.16</f>
        <v>0</v>
      </c>
      <c r="H5521" s="302">
        <f t="shared" si="124"/>
        <v>0</v>
      </c>
      <c r="I5521" s="302"/>
      <c r="J5521" s="304"/>
      <c r="K5521" s="302"/>
      <c r="L5521" s="302">
        <f>+'FACP$'!$H5521-'FACP$'!$I5521-'FACP$'!$K5521</f>
        <v>0</v>
      </c>
      <c r="M5521" s="305" t="s">
        <v>395</v>
      </c>
      <c r="N5521" s="305" t="s">
        <v>127</v>
      </c>
      <c r="O5521" s="306"/>
      <c r="P5521" s="164">
        <f t="array" ref="P5521">XLOOKUP('FACP$'!$B5521,'perfil de pagos'!$A$4:$A$46,'perfil de pagos'!$B$4:$B$46+'FACP$'!$D5521)</f>
        <v>10</v>
      </c>
      <c r="Q5521" s="307">
        <f t="shared" si="128"/>
        <v>0</v>
      </c>
      <c r="R5521" s="308"/>
      <c r="S5521" s="308"/>
      <c r="T5521" s="309">
        <f t="shared" si="3"/>
        <v>0</v>
      </c>
      <c r="U5521" s="309">
        <f t="shared" si="4"/>
        <v>0</v>
      </c>
      <c r="V5521" s="309">
        <f t="shared" si="5"/>
        <v>0</v>
      </c>
      <c r="W5521" s="309">
        <f t="shared" si="6"/>
        <v>0</v>
      </c>
      <c r="X5521" s="309">
        <f t="shared" si="7"/>
        <v>0</v>
      </c>
      <c r="Y5521" s="309">
        <f t="shared" si="8"/>
        <v>0</v>
      </c>
      <c r="Z5521" s="309">
        <f t="shared" si="9"/>
        <v>0</v>
      </c>
    </row>
    <row r="5522" ht="15.0" customHeight="1">
      <c r="A5522" s="299" t="s">
        <v>6989</v>
      </c>
      <c r="B5522" s="300" t="s">
        <v>32</v>
      </c>
      <c r="C5522" s="300" t="s">
        <v>6988</v>
      </c>
      <c r="D5522" s="301"/>
      <c r="E5522" s="299" t="s">
        <v>731</v>
      </c>
      <c r="F5522" s="302"/>
      <c r="G5522" s="302">
        <f>'FACP$'!$F5522*0.16</f>
        <v>0</v>
      </c>
      <c r="H5522" s="302">
        <f t="shared" si="124"/>
        <v>0</v>
      </c>
      <c r="I5522" s="302"/>
      <c r="J5522" s="304"/>
      <c r="K5522" s="302"/>
      <c r="L5522" s="302">
        <f>+'FACP$'!$H5522-'FACP$'!$I5522-'FACP$'!$K5522</f>
        <v>0</v>
      </c>
      <c r="M5522" s="305" t="s">
        <v>395</v>
      </c>
      <c r="N5522" s="305" t="s">
        <v>127</v>
      </c>
      <c r="O5522" s="306"/>
      <c r="P5522" s="164">
        <f t="array" ref="P5522">XLOOKUP('FACP$'!$B5522,'perfil de pagos'!$A$4:$A$46,'perfil de pagos'!$B$4:$B$46+'FACP$'!$D5522)</f>
        <v>10</v>
      </c>
      <c r="Q5522" s="307">
        <f t="shared" si="128"/>
        <v>0</v>
      </c>
      <c r="R5522" s="308"/>
      <c r="S5522" s="308"/>
      <c r="T5522" s="309">
        <f t="shared" si="3"/>
        <v>0</v>
      </c>
      <c r="U5522" s="309">
        <f t="shared" si="4"/>
        <v>0</v>
      </c>
      <c r="V5522" s="309">
        <f t="shared" si="5"/>
        <v>0</v>
      </c>
      <c r="W5522" s="309">
        <f t="shared" si="6"/>
        <v>0</v>
      </c>
      <c r="X5522" s="309">
        <f t="shared" si="7"/>
        <v>0</v>
      </c>
      <c r="Y5522" s="309">
        <f t="shared" si="8"/>
        <v>0</v>
      </c>
      <c r="Z5522" s="309">
        <f t="shared" si="9"/>
        <v>0</v>
      </c>
    </row>
    <row r="5523" ht="15.0" customHeight="1">
      <c r="A5523" s="157" t="s">
        <v>6990</v>
      </c>
      <c r="B5523" s="158" t="s">
        <v>32</v>
      </c>
      <c r="C5523" s="158" t="s">
        <v>6991</v>
      </c>
      <c r="D5523" s="159">
        <v>45693.0</v>
      </c>
      <c r="E5523" s="157" t="s">
        <v>731</v>
      </c>
      <c r="F5523" s="160">
        <v>176024.16</v>
      </c>
      <c r="G5523" s="160">
        <f>'FACP$'!$F5523*0.16</f>
        <v>28163.8656</v>
      </c>
      <c r="H5523" s="160">
        <f t="shared" si="124"/>
        <v>204188.0256</v>
      </c>
      <c r="I5523" s="160"/>
      <c r="J5523" s="161"/>
      <c r="K5523" s="160"/>
      <c r="L5523" s="160">
        <f>+'FACP$'!$H5523-'FACP$'!$I5523-'FACP$'!$K5523</f>
        <v>204188.0256</v>
      </c>
      <c r="M5523" s="162" t="s">
        <v>395</v>
      </c>
      <c r="N5523" s="162"/>
      <c r="O5523" s="164"/>
      <c r="P5523" s="164">
        <f t="array" ref="P5523">XLOOKUP('FACP$'!$B5523,'perfil de pagos'!$A$4:$A$46,'perfil de pagos'!$B$4:$B$46+'FACP$'!$D5523)</f>
        <v>45703</v>
      </c>
      <c r="Q5523" s="165">
        <f t="shared" si="128"/>
        <v>86</v>
      </c>
      <c r="R5523" s="167"/>
      <c r="S5523" s="167"/>
      <c r="T5523" s="168">
        <f t="shared" si="3"/>
        <v>0</v>
      </c>
      <c r="U5523" s="168">
        <f t="shared" si="4"/>
        <v>0</v>
      </c>
      <c r="V5523" s="168">
        <f t="shared" si="5"/>
        <v>0</v>
      </c>
      <c r="W5523" s="168">
        <f t="shared" si="6"/>
        <v>0</v>
      </c>
      <c r="X5523" s="168">
        <f t="shared" si="7"/>
        <v>0</v>
      </c>
      <c r="Y5523" s="168">
        <f t="shared" si="8"/>
        <v>204188.0256</v>
      </c>
      <c r="Z5523" s="168">
        <f t="shared" si="9"/>
        <v>0</v>
      </c>
    </row>
    <row r="5524" ht="15.0" customHeight="1">
      <c r="A5524" s="157" t="s">
        <v>6992</v>
      </c>
      <c r="B5524" s="158" t="s">
        <v>32</v>
      </c>
      <c r="C5524" s="158" t="s">
        <v>6993</v>
      </c>
      <c r="D5524" s="159">
        <v>45693.0</v>
      </c>
      <c r="E5524" s="157" t="s">
        <v>731</v>
      </c>
      <c r="F5524" s="160">
        <v>260458.05</v>
      </c>
      <c r="G5524" s="160">
        <f>'FACP$'!$F5524*0.16</f>
        <v>41673.288</v>
      </c>
      <c r="H5524" s="160">
        <f t="shared" si="124"/>
        <v>302131.338</v>
      </c>
      <c r="I5524" s="160"/>
      <c r="J5524" s="161"/>
      <c r="K5524" s="160"/>
      <c r="L5524" s="160">
        <f>+'FACP$'!$H5524-'FACP$'!$I5524-'FACP$'!$K5524</f>
        <v>302131.338</v>
      </c>
      <c r="M5524" s="162" t="s">
        <v>395</v>
      </c>
      <c r="N5524" s="162"/>
      <c r="O5524" s="164"/>
      <c r="P5524" s="164">
        <f t="array" ref="P5524">XLOOKUP('FACP$'!$B5524,'perfil de pagos'!$A$4:$A$46,'perfil de pagos'!$B$4:$B$46+'FACP$'!$D5524)</f>
        <v>45703</v>
      </c>
      <c r="Q5524" s="165">
        <f t="shared" si="128"/>
        <v>86</v>
      </c>
      <c r="R5524" s="167"/>
      <c r="S5524" s="167"/>
      <c r="T5524" s="168">
        <f t="shared" si="3"/>
        <v>0</v>
      </c>
      <c r="U5524" s="168">
        <f t="shared" si="4"/>
        <v>0</v>
      </c>
      <c r="V5524" s="168">
        <f t="shared" si="5"/>
        <v>0</v>
      </c>
      <c r="W5524" s="168">
        <f t="shared" si="6"/>
        <v>0</v>
      </c>
      <c r="X5524" s="168">
        <f t="shared" si="7"/>
        <v>0</v>
      </c>
      <c r="Y5524" s="168">
        <f t="shared" si="8"/>
        <v>302131.338</v>
      </c>
      <c r="Z5524" s="168">
        <f t="shared" si="9"/>
        <v>0</v>
      </c>
    </row>
    <row r="5525" ht="15.0" customHeight="1">
      <c r="A5525" s="157" t="s">
        <v>6994</v>
      </c>
      <c r="B5525" s="158" t="s">
        <v>36</v>
      </c>
      <c r="C5525" s="158" t="s">
        <v>6991</v>
      </c>
      <c r="D5525" s="159">
        <v>45693.0</v>
      </c>
      <c r="E5525" s="157" t="s">
        <v>731</v>
      </c>
      <c r="F5525" s="160">
        <v>119028.22</v>
      </c>
      <c r="G5525" s="160">
        <f>'FACP$'!$F5525*0.16</f>
        <v>19044.5152</v>
      </c>
      <c r="H5525" s="160">
        <f t="shared" si="124"/>
        <v>138072.7352</v>
      </c>
      <c r="I5525" s="160"/>
      <c r="J5525" s="161"/>
      <c r="K5525" s="160"/>
      <c r="L5525" s="160">
        <f>+'FACP$'!$H5525-'FACP$'!$I5525-'FACP$'!$K5525</f>
        <v>138072.7352</v>
      </c>
      <c r="M5525" s="162" t="s">
        <v>530</v>
      </c>
      <c r="N5525" s="162" t="s">
        <v>554</v>
      </c>
      <c r="O5525" s="164">
        <v>45713.0</v>
      </c>
      <c r="P5525" s="164">
        <f t="array" ref="P5525">XLOOKUP('FACP$'!$B5525,'perfil de pagos'!$A$4:$A$46,'perfil de pagos'!$B$4:$B$46+'FACP$'!$D5525)</f>
        <v>45703</v>
      </c>
      <c r="Q5525" s="165">
        <f t="shared" si="128"/>
        <v>0</v>
      </c>
      <c r="R5525" s="167"/>
      <c r="S5525" s="167">
        <v>3643.0</v>
      </c>
      <c r="T5525" s="168">
        <f t="shared" si="3"/>
        <v>138072.7352</v>
      </c>
      <c r="U5525" s="168">
        <f t="shared" si="4"/>
        <v>0</v>
      </c>
      <c r="V5525" s="168">
        <f t="shared" si="5"/>
        <v>0</v>
      </c>
      <c r="W5525" s="168">
        <f t="shared" si="6"/>
        <v>0</v>
      </c>
      <c r="X5525" s="168">
        <f t="shared" si="7"/>
        <v>0</v>
      </c>
      <c r="Y5525" s="168">
        <f t="shared" si="8"/>
        <v>0</v>
      </c>
      <c r="Z5525" s="168">
        <f t="shared" si="9"/>
        <v>0</v>
      </c>
    </row>
    <row r="5526" ht="15.0" customHeight="1">
      <c r="A5526" s="157" t="s">
        <v>6995</v>
      </c>
      <c r="B5526" s="158" t="s">
        <v>36</v>
      </c>
      <c r="C5526" s="158" t="s">
        <v>6993</v>
      </c>
      <c r="D5526" s="159">
        <v>45693.0</v>
      </c>
      <c r="E5526" s="157" t="s">
        <v>731</v>
      </c>
      <c r="F5526" s="160">
        <v>73914.0</v>
      </c>
      <c r="G5526" s="160">
        <f>'FACP$'!$F5526*0.16</f>
        <v>11826.24</v>
      </c>
      <c r="H5526" s="160">
        <f t="shared" si="124"/>
        <v>85740.24</v>
      </c>
      <c r="I5526" s="160"/>
      <c r="J5526" s="161"/>
      <c r="K5526" s="160"/>
      <c r="L5526" s="160">
        <f>+'FACP$'!$H5526-'FACP$'!$I5526-'FACP$'!$K5526</f>
        <v>85740.24</v>
      </c>
      <c r="M5526" s="162" t="s">
        <v>530</v>
      </c>
      <c r="N5526" s="162" t="s">
        <v>554</v>
      </c>
      <c r="O5526" s="164">
        <v>45713.0</v>
      </c>
      <c r="P5526" s="164">
        <f t="array" ref="P5526">XLOOKUP('FACP$'!$B5526,'perfil de pagos'!$A$4:$A$46,'perfil de pagos'!$B$4:$B$46+'FACP$'!$D5526)</f>
        <v>45703</v>
      </c>
      <c r="Q5526" s="165">
        <f t="shared" si="128"/>
        <v>0</v>
      </c>
      <c r="R5526" s="167"/>
      <c r="S5526" s="167">
        <v>3644.0</v>
      </c>
      <c r="T5526" s="168">
        <f t="shared" si="3"/>
        <v>85740.24</v>
      </c>
      <c r="U5526" s="168">
        <f t="shared" si="4"/>
        <v>0</v>
      </c>
      <c r="V5526" s="168">
        <f t="shared" si="5"/>
        <v>0</v>
      </c>
      <c r="W5526" s="168">
        <f t="shared" si="6"/>
        <v>0</v>
      </c>
      <c r="X5526" s="168">
        <f t="shared" si="7"/>
        <v>0</v>
      </c>
      <c r="Y5526" s="168">
        <f t="shared" si="8"/>
        <v>0</v>
      </c>
      <c r="Z5526" s="168">
        <f t="shared" si="9"/>
        <v>0</v>
      </c>
    </row>
    <row r="5527" ht="15.0" customHeight="1">
      <c r="A5527" s="157" t="s">
        <v>6996</v>
      </c>
      <c r="B5527" s="158" t="s">
        <v>36</v>
      </c>
      <c r="C5527" s="158" t="s">
        <v>6991</v>
      </c>
      <c r="D5527" s="159">
        <v>45693.0</v>
      </c>
      <c r="E5527" s="157" t="s">
        <v>731</v>
      </c>
      <c r="F5527" s="160">
        <v>45730.93</v>
      </c>
      <c r="G5527" s="160">
        <f>'FACP$'!$F5527*0.16</f>
        <v>7316.9488</v>
      </c>
      <c r="H5527" s="160">
        <f t="shared" si="124"/>
        <v>53047.8788</v>
      </c>
      <c r="I5527" s="160"/>
      <c r="J5527" s="161">
        <v>422.0</v>
      </c>
      <c r="K5527" s="160">
        <v>5326.41</v>
      </c>
      <c r="L5527" s="160">
        <f>+'FACP$'!$H5527-'FACP$'!$I5527-'FACP$'!$K5527</f>
        <v>47721.4688</v>
      </c>
      <c r="M5527" s="162" t="s">
        <v>526</v>
      </c>
      <c r="N5527" s="162" t="s">
        <v>554</v>
      </c>
      <c r="O5527" s="164">
        <v>45720.0</v>
      </c>
      <c r="P5527" s="164">
        <f t="array" ref="P5527">XLOOKUP('FACP$'!$B5527,'perfil de pagos'!$A$4:$A$46,'perfil de pagos'!$B$4:$B$46+'FACP$'!$D5527)</f>
        <v>45703</v>
      </c>
      <c r="Q5527" s="165">
        <f t="shared" si="128"/>
        <v>0</v>
      </c>
      <c r="R5527" s="167"/>
      <c r="S5527" s="167">
        <v>3655.0</v>
      </c>
      <c r="T5527" s="168">
        <f t="shared" si="3"/>
        <v>47721.4688</v>
      </c>
      <c r="U5527" s="168">
        <f t="shared" si="4"/>
        <v>0</v>
      </c>
      <c r="V5527" s="168">
        <f t="shared" si="5"/>
        <v>0</v>
      </c>
      <c r="W5527" s="168">
        <f t="shared" si="6"/>
        <v>0</v>
      </c>
      <c r="X5527" s="168">
        <f t="shared" si="7"/>
        <v>0</v>
      </c>
      <c r="Y5527" s="168">
        <f t="shared" si="8"/>
        <v>0</v>
      </c>
      <c r="Z5527" s="168">
        <f t="shared" si="9"/>
        <v>0</v>
      </c>
    </row>
    <row r="5528" ht="15.0" customHeight="1">
      <c r="A5528" s="157" t="s">
        <v>6997</v>
      </c>
      <c r="B5528" s="158" t="s">
        <v>36</v>
      </c>
      <c r="C5528" s="158" t="s">
        <v>6993</v>
      </c>
      <c r="D5528" s="159">
        <v>45693.0</v>
      </c>
      <c r="E5528" s="157" t="s">
        <v>731</v>
      </c>
      <c r="F5528" s="160">
        <v>46917.7</v>
      </c>
      <c r="G5528" s="160">
        <f>'FACP$'!$F5528*0.16</f>
        <v>7506.832</v>
      </c>
      <c r="H5528" s="160">
        <f t="shared" si="124"/>
        <v>54424.532</v>
      </c>
      <c r="I5528" s="160"/>
      <c r="J5528" s="161">
        <v>423.0</v>
      </c>
      <c r="K5528" s="160">
        <v>10290.48</v>
      </c>
      <c r="L5528" s="160">
        <f>+'FACP$'!$H5528-'FACP$'!$I5528-'FACP$'!$K5528</f>
        <v>44134.052</v>
      </c>
      <c r="M5528" s="162" t="s">
        <v>526</v>
      </c>
      <c r="N5528" s="162" t="s">
        <v>554</v>
      </c>
      <c r="O5528" s="164">
        <v>45728.0</v>
      </c>
      <c r="P5528" s="164">
        <f t="array" ref="P5528">XLOOKUP('FACP$'!$B5528,'perfil de pagos'!$A$4:$A$46,'perfil de pagos'!$B$4:$B$46+'FACP$'!$D5528)</f>
        <v>45703</v>
      </c>
      <c r="Q5528" s="165">
        <f t="shared" si="128"/>
        <v>0</v>
      </c>
      <c r="R5528" s="167"/>
      <c r="S5528" s="167">
        <v>3675.0</v>
      </c>
      <c r="T5528" s="168">
        <f t="shared" si="3"/>
        <v>44134.052</v>
      </c>
      <c r="U5528" s="168">
        <f t="shared" si="4"/>
        <v>0</v>
      </c>
      <c r="V5528" s="168">
        <f t="shared" si="5"/>
        <v>0</v>
      </c>
      <c r="W5528" s="168">
        <f t="shared" si="6"/>
        <v>0</v>
      </c>
      <c r="X5528" s="168">
        <f t="shared" si="7"/>
        <v>0</v>
      </c>
      <c r="Y5528" s="168">
        <f t="shared" si="8"/>
        <v>0</v>
      </c>
      <c r="Z5528" s="168">
        <f t="shared" si="9"/>
        <v>0</v>
      </c>
    </row>
    <row r="5529" ht="15.0" customHeight="1">
      <c r="A5529" s="157" t="s">
        <v>6998</v>
      </c>
      <c r="B5529" s="158" t="s">
        <v>41</v>
      </c>
      <c r="C5529" s="158" t="s">
        <v>6991</v>
      </c>
      <c r="D5529" s="159">
        <v>45693.0</v>
      </c>
      <c r="E5529" s="157" t="s">
        <v>731</v>
      </c>
      <c r="F5529" s="160">
        <v>3532953.94</v>
      </c>
      <c r="G5529" s="160">
        <f>'FACP$'!$F5529*0.16</f>
        <v>565272.6304</v>
      </c>
      <c r="H5529" s="160">
        <f t="shared" si="124"/>
        <v>4098226.57</v>
      </c>
      <c r="I5529" s="160"/>
      <c r="J5529" s="161"/>
      <c r="K5529" s="160"/>
      <c r="L5529" s="160">
        <f>+'FACP$'!$H5529-'FACP$'!$I5529-'FACP$'!$K5529</f>
        <v>4098226.57</v>
      </c>
      <c r="M5529" s="162" t="s">
        <v>121</v>
      </c>
      <c r="N5529" s="162" t="s">
        <v>554</v>
      </c>
      <c r="O5529" s="164">
        <v>45742.0</v>
      </c>
      <c r="P5529" s="164">
        <f t="array" ref="P5529">XLOOKUP('FACP$'!$B5529,'perfil de pagos'!$A$4:$A$46,'perfil de pagos'!$B$4:$B$46+'FACP$'!$D5529)</f>
        <v>45703</v>
      </c>
      <c r="Q5529" s="165">
        <f t="shared" si="128"/>
        <v>0</v>
      </c>
      <c r="R5529" s="167"/>
      <c r="S5529" s="167"/>
      <c r="T5529" s="168">
        <f t="shared" si="3"/>
        <v>4098226.57</v>
      </c>
      <c r="U5529" s="168">
        <f t="shared" si="4"/>
        <v>0</v>
      </c>
      <c r="V5529" s="168">
        <f t="shared" si="5"/>
        <v>0</v>
      </c>
      <c r="W5529" s="168">
        <f t="shared" si="6"/>
        <v>0</v>
      </c>
      <c r="X5529" s="168">
        <f t="shared" si="7"/>
        <v>0</v>
      </c>
      <c r="Y5529" s="168">
        <f t="shared" si="8"/>
        <v>0</v>
      </c>
      <c r="Z5529" s="168">
        <f t="shared" si="9"/>
        <v>0</v>
      </c>
    </row>
    <row r="5530" ht="15.0" customHeight="1">
      <c r="A5530" s="157" t="s">
        <v>6999</v>
      </c>
      <c r="B5530" s="158" t="s">
        <v>53</v>
      </c>
      <c r="C5530" s="158" t="s">
        <v>6991</v>
      </c>
      <c r="D5530" s="159">
        <v>45693.0</v>
      </c>
      <c r="E5530" s="157" t="s">
        <v>731</v>
      </c>
      <c r="F5530" s="160">
        <v>465091.58</v>
      </c>
      <c r="G5530" s="160">
        <f>'FACP$'!$F5530*0.16</f>
        <v>74414.6528</v>
      </c>
      <c r="H5530" s="160">
        <f t="shared" si="124"/>
        <v>539506.2328</v>
      </c>
      <c r="I5530" s="160"/>
      <c r="J5530" s="161"/>
      <c r="K5530" s="160"/>
      <c r="L5530" s="160">
        <f>+'FACP$'!$H5530-'FACP$'!$I5530-'FACP$'!$K5530</f>
        <v>539506.2328</v>
      </c>
      <c r="M5530" s="162" t="s">
        <v>53</v>
      </c>
      <c r="N5530" s="162" t="s">
        <v>554</v>
      </c>
      <c r="O5530" s="164">
        <v>45737.0</v>
      </c>
      <c r="P5530" s="164">
        <f t="array" ref="P5530">XLOOKUP('FACP$'!$B5530,'perfil de pagos'!$A$4:$A$46,'perfil de pagos'!$B$4:$B$46+'FACP$'!$D5530)</f>
        <v>45708</v>
      </c>
      <c r="Q5530" s="165">
        <f t="shared" si="128"/>
        <v>0</v>
      </c>
      <c r="R5530" s="167"/>
      <c r="S5530" s="167">
        <v>3696.0</v>
      </c>
      <c r="T5530" s="168">
        <f t="shared" si="3"/>
        <v>539506.2328</v>
      </c>
      <c r="U5530" s="168">
        <f t="shared" si="4"/>
        <v>0</v>
      </c>
      <c r="V5530" s="168">
        <f t="shared" si="5"/>
        <v>0</v>
      </c>
      <c r="W5530" s="168">
        <f t="shared" si="6"/>
        <v>0</v>
      </c>
      <c r="X5530" s="168">
        <f t="shared" si="7"/>
        <v>0</v>
      </c>
      <c r="Y5530" s="168">
        <f t="shared" si="8"/>
        <v>0</v>
      </c>
      <c r="Z5530" s="168">
        <f t="shared" si="9"/>
        <v>0</v>
      </c>
      <c r="AA5530" s="323"/>
      <c r="AB5530" s="323"/>
      <c r="AC5530" s="323"/>
    </row>
    <row r="5531" ht="15.0" customHeight="1">
      <c r="A5531" s="157" t="s">
        <v>7000</v>
      </c>
      <c r="B5531" s="158" t="s">
        <v>53</v>
      </c>
      <c r="C5531" s="158" t="s">
        <v>6993</v>
      </c>
      <c r="D5531" s="159">
        <v>45693.0</v>
      </c>
      <c r="E5531" s="157" t="s">
        <v>731</v>
      </c>
      <c r="F5531" s="160">
        <v>113476.45</v>
      </c>
      <c r="G5531" s="160">
        <f>'FACP$'!$F5531*0.16</f>
        <v>18156.232</v>
      </c>
      <c r="H5531" s="160">
        <f t="shared" si="124"/>
        <v>131632.682</v>
      </c>
      <c r="I5531" s="160"/>
      <c r="J5531" s="161"/>
      <c r="K5531" s="160"/>
      <c r="L5531" s="160">
        <f>+'FACP$'!$H5531-'FACP$'!$I5531-'FACP$'!$K5531</f>
        <v>131632.682</v>
      </c>
      <c r="M5531" s="162" t="s">
        <v>53</v>
      </c>
      <c r="N5531" s="162" t="s">
        <v>554</v>
      </c>
      <c r="O5531" s="164">
        <v>45730.0</v>
      </c>
      <c r="P5531" s="164">
        <f t="array" ref="P5531">XLOOKUP('FACP$'!$B5531,'perfil de pagos'!$A$4:$A$46,'perfil de pagos'!$B$4:$B$46+'FACP$'!$D5531)</f>
        <v>45708</v>
      </c>
      <c r="Q5531" s="165">
        <f t="shared" si="128"/>
        <v>0</v>
      </c>
      <c r="R5531" s="167"/>
      <c r="S5531" s="167">
        <v>3679.0</v>
      </c>
      <c r="T5531" s="168">
        <f t="shared" si="3"/>
        <v>131632.682</v>
      </c>
      <c r="U5531" s="168">
        <f t="shared" si="4"/>
        <v>0</v>
      </c>
      <c r="V5531" s="168">
        <f t="shared" si="5"/>
        <v>0</v>
      </c>
      <c r="W5531" s="168">
        <f t="shared" si="6"/>
        <v>0</v>
      </c>
      <c r="X5531" s="168">
        <f t="shared" si="7"/>
        <v>0</v>
      </c>
      <c r="Y5531" s="168">
        <f t="shared" si="8"/>
        <v>0</v>
      </c>
      <c r="Z5531" s="168">
        <f t="shared" si="9"/>
        <v>0</v>
      </c>
    </row>
    <row r="5532" ht="15.0" customHeight="1">
      <c r="A5532" s="157" t="s">
        <v>7001</v>
      </c>
      <c r="B5532" s="158" t="s">
        <v>35</v>
      </c>
      <c r="C5532" s="158" t="s">
        <v>6991</v>
      </c>
      <c r="D5532" s="159">
        <v>45693.0</v>
      </c>
      <c r="E5532" s="157" t="s">
        <v>731</v>
      </c>
      <c r="F5532" s="160">
        <v>920793.79</v>
      </c>
      <c r="G5532" s="160">
        <f>'FACP$'!$F5532*0.16</f>
        <v>147327.0064</v>
      </c>
      <c r="H5532" s="160">
        <f t="shared" si="124"/>
        <v>1068120.796</v>
      </c>
      <c r="I5532" s="160"/>
      <c r="J5532" s="161"/>
      <c r="K5532" s="160"/>
      <c r="L5532" s="160">
        <f>+'FACP$'!$H5532-'FACP$'!$I5532-'FACP$'!$K5532</f>
        <v>1068120.796</v>
      </c>
      <c r="M5532" s="162" t="s">
        <v>276</v>
      </c>
      <c r="N5532" s="162" t="s">
        <v>554</v>
      </c>
      <c r="O5532" s="164">
        <v>45709.0</v>
      </c>
      <c r="P5532" s="164">
        <f t="array" ref="P5532">XLOOKUP('FACP$'!$B5532,'perfil de pagos'!$A$4:$A$46,'perfil de pagos'!$B$4:$B$46+'FACP$'!$D5532)</f>
        <v>45703</v>
      </c>
      <c r="Q5532" s="165">
        <f t="shared" si="128"/>
        <v>0</v>
      </c>
      <c r="R5532" s="167"/>
      <c r="S5532" s="167">
        <v>3639.0</v>
      </c>
      <c r="T5532" s="168">
        <f t="shared" si="3"/>
        <v>1068120.796</v>
      </c>
      <c r="U5532" s="168">
        <f t="shared" si="4"/>
        <v>0</v>
      </c>
      <c r="V5532" s="168">
        <f t="shared" si="5"/>
        <v>0</v>
      </c>
      <c r="W5532" s="168">
        <f t="shared" si="6"/>
        <v>0</v>
      </c>
      <c r="X5532" s="168">
        <f t="shared" si="7"/>
        <v>0</v>
      </c>
      <c r="Y5532" s="168">
        <f t="shared" si="8"/>
        <v>0</v>
      </c>
      <c r="Z5532" s="168">
        <f t="shared" si="9"/>
        <v>0</v>
      </c>
    </row>
    <row r="5533" ht="15.0" customHeight="1">
      <c r="A5533" s="157" t="s">
        <v>7002</v>
      </c>
      <c r="B5533" s="158" t="s">
        <v>42</v>
      </c>
      <c r="C5533" s="158" t="s">
        <v>6991</v>
      </c>
      <c r="D5533" s="159">
        <v>45693.0</v>
      </c>
      <c r="E5533" s="157" t="s">
        <v>731</v>
      </c>
      <c r="F5533" s="160">
        <v>575269.31</v>
      </c>
      <c r="G5533" s="160">
        <f>'FACP$'!$F5533*0.16</f>
        <v>92043.0896</v>
      </c>
      <c r="H5533" s="160">
        <f t="shared" si="124"/>
        <v>667312.3996</v>
      </c>
      <c r="I5533" s="160"/>
      <c r="J5533" s="161"/>
      <c r="K5533" s="160"/>
      <c r="L5533" s="160">
        <f>+'FACP$'!$H5533-'FACP$'!$I5533-'FACP$'!$K5533</f>
        <v>667312.3996</v>
      </c>
      <c r="M5533" s="162" t="s">
        <v>42</v>
      </c>
      <c r="N5533" s="162" t="s">
        <v>554</v>
      </c>
      <c r="O5533" s="164">
        <v>45715.0</v>
      </c>
      <c r="P5533" s="164">
        <f t="array" ref="P5533">XLOOKUP('FACP$'!$B5533,'perfil de pagos'!$A$4:$A$46,'perfil de pagos'!$B$4:$B$46+'FACP$'!$D5533)</f>
        <v>45703</v>
      </c>
      <c r="Q5533" s="165">
        <f t="shared" si="128"/>
        <v>0</v>
      </c>
      <c r="R5533" s="167"/>
      <c r="S5533" s="167">
        <v>3648.0</v>
      </c>
      <c r="T5533" s="168">
        <f t="shared" si="3"/>
        <v>667312.3996</v>
      </c>
      <c r="U5533" s="168">
        <f t="shared" si="4"/>
        <v>0</v>
      </c>
      <c r="V5533" s="168">
        <f t="shared" si="5"/>
        <v>0</v>
      </c>
      <c r="W5533" s="168">
        <f t="shared" si="6"/>
        <v>0</v>
      </c>
      <c r="X5533" s="168">
        <f t="shared" si="7"/>
        <v>0</v>
      </c>
      <c r="Y5533" s="168">
        <f t="shared" si="8"/>
        <v>0</v>
      </c>
      <c r="Z5533" s="168">
        <f t="shared" si="9"/>
        <v>0</v>
      </c>
    </row>
    <row r="5534" ht="15.0" customHeight="1">
      <c r="A5534" s="157" t="s">
        <v>7003</v>
      </c>
      <c r="B5534" s="158" t="s">
        <v>44</v>
      </c>
      <c r="C5534" s="158" t="s">
        <v>6991</v>
      </c>
      <c r="D5534" s="159">
        <v>45693.0</v>
      </c>
      <c r="E5534" s="157" t="s">
        <v>731</v>
      </c>
      <c r="F5534" s="160">
        <v>401044.29</v>
      </c>
      <c r="G5534" s="160">
        <f>'FACP$'!$F5534*0.16</f>
        <v>64167.0864</v>
      </c>
      <c r="H5534" s="160">
        <f t="shared" si="124"/>
        <v>465211.3764</v>
      </c>
      <c r="I5534" s="160"/>
      <c r="J5534" s="161"/>
      <c r="K5534" s="160"/>
      <c r="L5534" s="160">
        <f>+'FACP$'!$H5534-'FACP$'!$I5534-'FACP$'!$K5534</f>
        <v>465211.3764</v>
      </c>
      <c r="M5534" s="162" t="s">
        <v>361</v>
      </c>
      <c r="N5534" s="162" t="s">
        <v>554</v>
      </c>
      <c r="O5534" s="164">
        <v>45702.0</v>
      </c>
      <c r="P5534" s="164">
        <f t="array" ref="P5534">XLOOKUP('FACP$'!$B5534,'perfil de pagos'!$A$4:$A$46,'perfil de pagos'!$B$4:$B$46+'FACP$'!$D5534)</f>
        <v>45703</v>
      </c>
      <c r="Q5534" s="165">
        <f t="shared" si="128"/>
        <v>0</v>
      </c>
      <c r="R5534" s="167"/>
      <c r="S5534" s="167">
        <v>3614.0</v>
      </c>
      <c r="T5534" s="168">
        <f t="shared" si="3"/>
        <v>465211.3764</v>
      </c>
      <c r="U5534" s="168">
        <f t="shared" si="4"/>
        <v>0</v>
      </c>
      <c r="V5534" s="168">
        <f t="shared" si="5"/>
        <v>0</v>
      </c>
      <c r="W5534" s="168">
        <f t="shared" si="6"/>
        <v>0</v>
      </c>
      <c r="X5534" s="168">
        <f t="shared" si="7"/>
        <v>0</v>
      </c>
      <c r="Y5534" s="168">
        <f t="shared" si="8"/>
        <v>0</v>
      </c>
      <c r="Z5534" s="168">
        <f t="shared" si="9"/>
        <v>0</v>
      </c>
    </row>
    <row r="5535" ht="15.0" customHeight="1">
      <c r="A5535" s="157" t="s">
        <v>7004</v>
      </c>
      <c r="B5535" s="158" t="s">
        <v>27</v>
      </c>
      <c r="C5535" s="158" t="s">
        <v>6980</v>
      </c>
      <c r="D5535" s="159">
        <v>45693.0</v>
      </c>
      <c r="E5535" s="157" t="s">
        <v>731</v>
      </c>
      <c r="F5535" s="160">
        <v>13340.48</v>
      </c>
      <c r="G5535" s="160">
        <f>'FACP$'!$F5535*0.16</f>
        <v>2134.4768</v>
      </c>
      <c r="H5535" s="160">
        <f t="shared" si="124"/>
        <v>15474.9568</v>
      </c>
      <c r="I5535" s="160"/>
      <c r="J5535" s="161"/>
      <c r="K5535" s="160"/>
      <c r="L5535" s="160">
        <f>+'FACP$'!$H5535-'FACP$'!$I5535-'FACP$'!$K5535</f>
        <v>15474.9568</v>
      </c>
      <c r="M5535" s="162" t="s">
        <v>158</v>
      </c>
      <c r="N5535" s="162"/>
      <c r="O5535" s="164"/>
      <c r="P5535" s="164">
        <f t="array" ref="P5535">XLOOKUP('FACP$'!$B5535,'perfil de pagos'!$A$4:$A$46,'perfil de pagos'!$B$4:$B$46+'FACP$'!$D5535)</f>
        <v>45723</v>
      </c>
      <c r="Q5535" s="165">
        <f t="shared" si="128"/>
        <v>66</v>
      </c>
      <c r="R5535" s="167"/>
      <c r="S5535" s="167"/>
      <c r="T5535" s="168">
        <f t="shared" si="3"/>
        <v>0</v>
      </c>
      <c r="U5535" s="168">
        <f t="shared" si="4"/>
        <v>0</v>
      </c>
      <c r="V5535" s="168">
        <f t="shared" si="5"/>
        <v>0</v>
      </c>
      <c r="W5535" s="168">
        <f t="shared" si="6"/>
        <v>0</v>
      </c>
      <c r="X5535" s="168">
        <f t="shared" si="7"/>
        <v>0</v>
      </c>
      <c r="Y5535" s="168">
        <f t="shared" si="8"/>
        <v>15474.9568</v>
      </c>
      <c r="Z5535" s="168">
        <f t="shared" si="9"/>
        <v>0</v>
      </c>
    </row>
    <row r="5536" ht="15.0" customHeight="1">
      <c r="A5536" s="157" t="s">
        <v>7005</v>
      </c>
      <c r="B5536" s="158" t="s">
        <v>27</v>
      </c>
      <c r="C5536" s="158" t="s">
        <v>6982</v>
      </c>
      <c r="D5536" s="159">
        <v>45693.0</v>
      </c>
      <c r="E5536" s="157" t="s">
        <v>731</v>
      </c>
      <c r="F5536" s="160">
        <v>8934.03</v>
      </c>
      <c r="G5536" s="160">
        <f>'FACP$'!$F5536*0.16</f>
        <v>1429.4448</v>
      </c>
      <c r="H5536" s="160">
        <f t="shared" si="124"/>
        <v>10363.4748</v>
      </c>
      <c r="I5536" s="160"/>
      <c r="J5536" s="161"/>
      <c r="K5536" s="160"/>
      <c r="L5536" s="160">
        <f>+'FACP$'!$H5536-'FACP$'!$I5536-'FACP$'!$K5536</f>
        <v>10363.4748</v>
      </c>
      <c r="M5536" s="162" t="s">
        <v>158</v>
      </c>
      <c r="N5536" s="162"/>
      <c r="O5536" s="164"/>
      <c r="P5536" s="164">
        <f t="array" ref="P5536">XLOOKUP('FACP$'!$B5536,'perfil de pagos'!$A$4:$A$46,'perfil de pagos'!$B$4:$B$46+'FACP$'!$D5536)</f>
        <v>45723</v>
      </c>
      <c r="Q5536" s="165">
        <f t="shared" si="128"/>
        <v>66</v>
      </c>
      <c r="R5536" s="167"/>
      <c r="S5536" s="167"/>
      <c r="T5536" s="168">
        <f t="shared" si="3"/>
        <v>0</v>
      </c>
      <c r="U5536" s="168">
        <f t="shared" si="4"/>
        <v>0</v>
      </c>
      <c r="V5536" s="168">
        <f t="shared" si="5"/>
        <v>0</v>
      </c>
      <c r="W5536" s="168">
        <f t="shared" si="6"/>
        <v>0</v>
      </c>
      <c r="X5536" s="168">
        <f t="shared" si="7"/>
        <v>0</v>
      </c>
      <c r="Y5536" s="168">
        <f t="shared" si="8"/>
        <v>10363.4748</v>
      </c>
      <c r="Z5536" s="168">
        <f t="shared" si="9"/>
        <v>0</v>
      </c>
    </row>
    <row r="5537" ht="15.0" customHeight="1">
      <c r="A5537" s="157" t="s">
        <v>7006</v>
      </c>
      <c r="B5537" s="158" t="s">
        <v>27</v>
      </c>
      <c r="C5537" s="158" t="s">
        <v>6980</v>
      </c>
      <c r="D5537" s="159">
        <v>45693.0</v>
      </c>
      <c r="E5537" s="157" t="s">
        <v>731</v>
      </c>
      <c r="F5537" s="160">
        <v>49437.87</v>
      </c>
      <c r="G5537" s="160">
        <f>'FACP$'!$F5537*0.16</f>
        <v>7910.0592</v>
      </c>
      <c r="H5537" s="160">
        <f t="shared" si="124"/>
        <v>57347.9292</v>
      </c>
      <c r="I5537" s="160"/>
      <c r="J5537" s="161"/>
      <c r="K5537" s="160"/>
      <c r="L5537" s="160">
        <f>+'FACP$'!$H5537-'FACP$'!$I5537-'FACP$'!$K5537</f>
        <v>57347.9292</v>
      </c>
      <c r="M5537" s="162" t="s">
        <v>151</v>
      </c>
      <c r="N5537" s="162"/>
      <c r="O5537" s="164"/>
      <c r="P5537" s="164">
        <f t="array" ref="P5537">XLOOKUP('FACP$'!$B5537,'perfil de pagos'!$A$4:$A$46,'perfil de pagos'!$B$4:$B$46+'FACP$'!$D5537)</f>
        <v>45723</v>
      </c>
      <c r="Q5537" s="165">
        <f t="shared" si="128"/>
        <v>66</v>
      </c>
      <c r="R5537" s="167"/>
      <c r="S5537" s="167"/>
      <c r="T5537" s="168">
        <f t="shared" si="3"/>
        <v>0</v>
      </c>
      <c r="U5537" s="168">
        <f t="shared" si="4"/>
        <v>0</v>
      </c>
      <c r="V5537" s="168">
        <f t="shared" si="5"/>
        <v>0</v>
      </c>
      <c r="W5537" s="168">
        <f t="shared" si="6"/>
        <v>0</v>
      </c>
      <c r="X5537" s="168">
        <f t="shared" si="7"/>
        <v>0</v>
      </c>
      <c r="Y5537" s="168">
        <f t="shared" si="8"/>
        <v>57347.9292</v>
      </c>
      <c r="Z5537" s="168">
        <f t="shared" si="9"/>
        <v>0</v>
      </c>
    </row>
    <row r="5538" ht="15.0" customHeight="1">
      <c r="A5538" s="157" t="s">
        <v>7007</v>
      </c>
      <c r="B5538" s="158" t="s">
        <v>27</v>
      </c>
      <c r="C5538" s="158" t="s">
        <v>6982</v>
      </c>
      <c r="D5538" s="159">
        <v>45693.0</v>
      </c>
      <c r="E5538" s="157" t="s">
        <v>731</v>
      </c>
      <c r="F5538" s="160">
        <v>32061.0</v>
      </c>
      <c r="G5538" s="160">
        <f>'FACP$'!$F5538*0.16</f>
        <v>5129.76</v>
      </c>
      <c r="H5538" s="160">
        <f t="shared" si="124"/>
        <v>37190.76</v>
      </c>
      <c r="I5538" s="160"/>
      <c r="J5538" s="161"/>
      <c r="K5538" s="160"/>
      <c r="L5538" s="160">
        <f>+'FACP$'!$H5538-'FACP$'!$I5538-'FACP$'!$K5538</f>
        <v>37190.76</v>
      </c>
      <c r="M5538" s="162" t="s">
        <v>151</v>
      </c>
      <c r="N5538" s="162"/>
      <c r="O5538" s="164"/>
      <c r="P5538" s="164">
        <f t="array" ref="P5538">XLOOKUP('FACP$'!$B5538,'perfil de pagos'!$A$4:$A$46,'perfil de pagos'!$B$4:$B$46+'FACP$'!$D5538)</f>
        <v>45723</v>
      </c>
      <c r="Q5538" s="165">
        <f t="shared" si="128"/>
        <v>66</v>
      </c>
      <c r="R5538" s="167"/>
      <c r="S5538" s="167"/>
      <c r="T5538" s="168">
        <f t="shared" si="3"/>
        <v>0</v>
      </c>
      <c r="U5538" s="168">
        <f t="shared" si="4"/>
        <v>0</v>
      </c>
      <c r="V5538" s="168">
        <f t="shared" si="5"/>
        <v>0</v>
      </c>
      <c r="W5538" s="168">
        <f t="shared" si="6"/>
        <v>0</v>
      </c>
      <c r="X5538" s="168">
        <f t="shared" si="7"/>
        <v>0</v>
      </c>
      <c r="Y5538" s="168">
        <f t="shared" si="8"/>
        <v>37190.76</v>
      </c>
      <c r="Z5538" s="168">
        <f t="shared" si="9"/>
        <v>0</v>
      </c>
    </row>
    <row r="5539" ht="15.0" customHeight="1">
      <c r="A5539" s="157" t="s">
        <v>7008</v>
      </c>
      <c r="B5539" s="158" t="s">
        <v>27</v>
      </c>
      <c r="C5539" s="158" t="s">
        <v>6980</v>
      </c>
      <c r="D5539" s="159">
        <v>45693.0</v>
      </c>
      <c r="E5539" s="157" t="s">
        <v>731</v>
      </c>
      <c r="F5539" s="160">
        <v>2098.87</v>
      </c>
      <c r="G5539" s="160">
        <f>'FACP$'!$F5539*0.16</f>
        <v>335.8192</v>
      </c>
      <c r="H5539" s="160">
        <f t="shared" si="124"/>
        <v>2434.6892</v>
      </c>
      <c r="I5539" s="160"/>
      <c r="J5539" s="161"/>
      <c r="K5539" s="160"/>
      <c r="L5539" s="160">
        <f>+'FACP$'!$H5539-'FACP$'!$I5539-'FACP$'!$K5539</f>
        <v>2434.6892</v>
      </c>
      <c r="M5539" s="162" t="s">
        <v>151</v>
      </c>
      <c r="N5539" s="162"/>
      <c r="O5539" s="164"/>
      <c r="P5539" s="164">
        <f t="array" ref="P5539">XLOOKUP('FACP$'!$B5539,'perfil de pagos'!$A$4:$A$46,'perfil de pagos'!$B$4:$B$46+'FACP$'!$D5539)</f>
        <v>45723</v>
      </c>
      <c r="Q5539" s="165">
        <f t="shared" si="128"/>
        <v>66</v>
      </c>
      <c r="R5539" s="167"/>
      <c r="S5539" s="167"/>
      <c r="T5539" s="168">
        <f t="shared" si="3"/>
        <v>0</v>
      </c>
      <c r="U5539" s="168">
        <f t="shared" si="4"/>
        <v>0</v>
      </c>
      <c r="V5539" s="168">
        <f t="shared" si="5"/>
        <v>0</v>
      </c>
      <c r="W5539" s="168">
        <f t="shared" si="6"/>
        <v>0</v>
      </c>
      <c r="X5539" s="168">
        <f t="shared" si="7"/>
        <v>0</v>
      </c>
      <c r="Y5539" s="168">
        <f t="shared" si="8"/>
        <v>2434.6892</v>
      </c>
      <c r="Z5539" s="168">
        <f t="shared" si="9"/>
        <v>0</v>
      </c>
    </row>
    <row r="5540" ht="15.0" customHeight="1">
      <c r="A5540" s="157" t="s">
        <v>7009</v>
      </c>
      <c r="B5540" s="158" t="s">
        <v>27</v>
      </c>
      <c r="C5540" s="158" t="s">
        <v>6982</v>
      </c>
      <c r="D5540" s="159">
        <v>45693.0</v>
      </c>
      <c r="E5540" s="157" t="s">
        <v>731</v>
      </c>
      <c r="F5540" s="160">
        <v>1867.28</v>
      </c>
      <c r="G5540" s="160">
        <f>'FACP$'!$F5540*0.16</f>
        <v>298.7648</v>
      </c>
      <c r="H5540" s="160">
        <f t="shared" si="124"/>
        <v>2166.0448</v>
      </c>
      <c r="I5540" s="160"/>
      <c r="J5540" s="161"/>
      <c r="K5540" s="160"/>
      <c r="L5540" s="160">
        <f>+'FACP$'!$H5540-'FACP$'!$I5540-'FACP$'!$K5540</f>
        <v>2166.0448</v>
      </c>
      <c r="M5540" s="162" t="s">
        <v>151</v>
      </c>
      <c r="N5540" s="162"/>
      <c r="O5540" s="164"/>
      <c r="P5540" s="164">
        <f t="array" ref="P5540">XLOOKUP('FACP$'!$B5540,'perfil de pagos'!$A$4:$A$46,'perfil de pagos'!$B$4:$B$46+'FACP$'!$D5540)</f>
        <v>45723</v>
      </c>
      <c r="Q5540" s="165">
        <f t="shared" si="128"/>
        <v>66</v>
      </c>
      <c r="R5540" s="167"/>
      <c r="S5540" s="167"/>
      <c r="T5540" s="168">
        <f t="shared" si="3"/>
        <v>0</v>
      </c>
      <c r="U5540" s="168">
        <f t="shared" si="4"/>
        <v>0</v>
      </c>
      <c r="V5540" s="168">
        <f t="shared" si="5"/>
        <v>0</v>
      </c>
      <c r="W5540" s="168">
        <f t="shared" si="6"/>
        <v>0</v>
      </c>
      <c r="X5540" s="168">
        <f t="shared" si="7"/>
        <v>0</v>
      </c>
      <c r="Y5540" s="168">
        <f t="shared" si="8"/>
        <v>2166.0448</v>
      </c>
      <c r="Z5540" s="168">
        <f t="shared" si="9"/>
        <v>0</v>
      </c>
    </row>
    <row r="5541" ht="15.0" customHeight="1">
      <c r="A5541" s="157" t="s">
        <v>7010</v>
      </c>
      <c r="B5541" s="158" t="s">
        <v>54</v>
      </c>
      <c r="C5541" s="158" t="s">
        <v>6947</v>
      </c>
      <c r="D5541" s="159">
        <v>45693.0</v>
      </c>
      <c r="E5541" s="157" t="s">
        <v>731</v>
      </c>
      <c r="F5541" s="160">
        <v>318496.08</v>
      </c>
      <c r="G5541" s="160">
        <f>'FACP$'!$F5541*0.16</f>
        <v>50959.3728</v>
      </c>
      <c r="H5541" s="160">
        <f t="shared" si="124"/>
        <v>369455.4528</v>
      </c>
      <c r="I5541" s="160"/>
      <c r="J5541" s="161"/>
      <c r="K5541" s="160"/>
      <c r="L5541" s="160">
        <f>+'FACP$'!$H5541-'FACP$'!$I5541-'FACP$'!$K5541</f>
        <v>369455.4528</v>
      </c>
      <c r="M5541" s="162" t="s">
        <v>7011</v>
      </c>
      <c r="N5541" s="162" t="s">
        <v>554</v>
      </c>
      <c r="O5541" s="164">
        <v>45762.0</v>
      </c>
      <c r="P5541" s="164">
        <f t="array" ref="P5541">XLOOKUP('FACP$'!$B5541,'perfil de pagos'!$A$4:$A$46,'perfil de pagos'!$B$4:$B$46+'FACP$'!$D5541)</f>
        <v>45753</v>
      </c>
      <c r="Q5541" s="165">
        <f t="shared" si="128"/>
        <v>0</v>
      </c>
      <c r="R5541" s="167"/>
      <c r="S5541" s="167">
        <v>3758.0</v>
      </c>
      <c r="T5541" s="168">
        <f t="shared" si="3"/>
        <v>369455.4528</v>
      </c>
      <c r="U5541" s="168">
        <f t="shared" si="4"/>
        <v>0</v>
      </c>
      <c r="V5541" s="168">
        <f t="shared" si="5"/>
        <v>0</v>
      </c>
      <c r="W5541" s="168">
        <f t="shared" si="6"/>
        <v>0</v>
      </c>
      <c r="X5541" s="168">
        <f t="shared" si="7"/>
        <v>0</v>
      </c>
      <c r="Y5541" s="168">
        <f t="shared" si="8"/>
        <v>0</v>
      </c>
      <c r="Z5541" s="168">
        <f t="shared" si="9"/>
        <v>0</v>
      </c>
    </row>
    <row r="5542" ht="15.0" customHeight="1">
      <c r="A5542" s="157" t="s">
        <v>7012</v>
      </c>
      <c r="B5542" s="158" t="s">
        <v>54</v>
      </c>
      <c r="C5542" s="158" t="s">
        <v>6949</v>
      </c>
      <c r="D5542" s="159">
        <v>45693.0</v>
      </c>
      <c r="E5542" s="157" t="s">
        <v>731</v>
      </c>
      <c r="F5542" s="160">
        <v>428378.16</v>
      </c>
      <c r="G5542" s="160">
        <f>'FACP$'!$F5542*0.16</f>
        <v>68540.5056</v>
      </c>
      <c r="H5542" s="160">
        <f t="shared" si="124"/>
        <v>496918.6656</v>
      </c>
      <c r="I5542" s="160"/>
      <c r="J5542" s="161"/>
      <c r="K5542" s="160"/>
      <c r="L5542" s="160">
        <f>+'FACP$'!$H5542-'FACP$'!$I5542-'FACP$'!$K5542</f>
        <v>496918.6656</v>
      </c>
      <c r="M5542" s="162" t="s">
        <v>7011</v>
      </c>
      <c r="N5542" s="162" t="s">
        <v>554</v>
      </c>
      <c r="O5542" s="164">
        <v>45762.0</v>
      </c>
      <c r="P5542" s="164">
        <f t="array" ref="P5542">XLOOKUP('FACP$'!$B5542,'perfil de pagos'!$A$4:$A$46,'perfil de pagos'!$B$4:$B$46+'FACP$'!$D5542)</f>
        <v>45753</v>
      </c>
      <c r="Q5542" s="165">
        <f t="shared" si="128"/>
        <v>0</v>
      </c>
      <c r="R5542" s="167"/>
      <c r="S5542" s="167">
        <v>3758.0</v>
      </c>
      <c r="T5542" s="168">
        <f t="shared" si="3"/>
        <v>496918.6656</v>
      </c>
      <c r="U5542" s="168">
        <f t="shared" si="4"/>
        <v>0</v>
      </c>
      <c r="V5542" s="168">
        <f t="shared" si="5"/>
        <v>0</v>
      </c>
      <c r="W5542" s="168">
        <f t="shared" si="6"/>
        <v>0</v>
      </c>
      <c r="X5542" s="168">
        <f t="shared" si="7"/>
        <v>0</v>
      </c>
      <c r="Y5542" s="168">
        <f t="shared" si="8"/>
        <v>0</v>
      </c>
      <c r="Z5542" s="168">
        <f t="shared" si="9"/>
        <v>0</v>
      </c>
    </row>
    <row r="5543" ht="15.0" customHeight="1">
      <c r="A5543" s="299" t="s">
        <v>7013</v>
      </c>
      <c r="B5543" s="300" t="s">
        <v>32</v>
      </c>
      <c r="C5543" s="300" t="s">
        <v>6947</v>
      </c>
      <c r="D5543" s="301">
        <v>45693.0</v>
      </c>
      <c r="E5543" s="299" t="s">
        <v>731</v>
      </c>
      <c r="F5543" s="302">
        <v>46068.36</v>
      </c>
      <c r="G5543" s="302">
        <f>'FACP$'!$F5543*0.16</f>
        <v>7370.9376</v>
      </c>
      <c r="H5543" s="302">
        <f t="shared" si="124"/>
        <v>53439.2976</v>
      </c>
      <c r="I5543" s="302"/>
      <c r="J5543" s="304"/>
      <c r="K5543" s="302"/>
      <c r="L5543" s="302">
        <f>+'FACP$'!$H5543-'FACP$'!$I5543-'FACP$'!$K5543</f>
        <v>53439.2976</v>
      </c>
      <c r="M5543" s="305" t="s">
        <v>395</v>
      </c>
      <c r="N5543" s="305" t="s">
        <v>127</v>
      </c>
      <c r="O5543" s="306"/>
      <c r="P5543" s="164">
        <f t="array" ref="P5543">XLOOKUP('FACP$'!$B5543,'perfil de pagos'!$A$4:$A$46,'perfil de pagos'!$B$4:$B$46+'FACP$'!$D5543)</f>
        <v>45703</v>
      </c>
      <c r="Q5543" s="307">
        <f t="shared" si="128"/>
        <v>0</v>
      </c>
      <c r="R5543" s="308"/>
      <c r="S5543" s="308"/>
      <c r="T5543" s="309">
        <f t="shared" si="3"/>
        <v>53439.2976</v>
      </c>
      <c r="U5543" s="309">
        <f t="shared" si="4"/>
        <v>0</v>
      </c>
      <c r="V5543" s="309">
        <f t="shared" si="5"/>
        <v>0</v>
      </c>
      <c r="W5543" s="309">
        <f t="shared" si="6"/>
        <v>0</v>
      </c>
      <c r="X5543" s="309">
        <f t="shared" si="7"/>
        <v>0</v>
      </c>
      <c r="Y5543" s="309">
        <f t="shared" si="8"/>
        <v>0</v>
      </c>
      <c r="Z5543" s="309">
        <f t="shared" si="9"/>
        <v>0</v>
      </c>
    </row>
    <row r="5544" ht="15.0" customHeight="1">
      <c r="A5544" s="299" t="s">
        <v>7014</v>
      </c>
      <c r="B5544" s="300" t="s">
        <v>32</v>
      </c>
      <c r="C5544" s="300" t="s">
        <v>6949</v>
      </c>
      <c r="D5544" s="301">
        <v>45693.0</v>
      </c>
      <c r="E5544" s="299" t="s">
        <v>731</v>
      </c>
      <c r="F5544" s="302">
        <v>39900.8</v>
      </c>
      <c r="G5544" s="302">
        <f>'FACP$'!$F5544*0.16</f>
        <v>6384.128</v>
      </c>
      <c r="H5544" s="302">
        <f t="shared" si="124"/>
        <v>46284.928</v>
      </c>
      <c r="I5544" s="302"/>
      <c r="J5544" s="304"/>
      <c r="K5544" s="302"/>
      <c r="L5544" s="302">
        <f>+'FACP$'!$H5544-'FACP$'!$I5544-'FACP$'!$K5544</f>
        <v>46284.928</v>
      </c>
      <c r="M5544" s="305" t="s">
        <v>395</v>
      </c>
      <c r="N5544" s="305" t="s">
        <v>127</v>
      </c>
      <c r="O5544" s="306"/>
      <c r="P5544" s="164">
        <f t="array" ref="P5544">XLOOKUP('FACP$'!$B5544,'perfil de pagos'!$A$4:$A$46,'perfil de pagos'!$B$4:$B$46+'FACP$'!$D5544)</f>
        <v>45703</v>
      </c>
      <c r="Q5544" s="307">
        <f t="shared" si="128"/>
        <v>0</v>
      </c>
      <c r="R5544" s="308"/>
      <c r="S5544" s="308"/>
      <c r="T5544" s="309">
        <f t="shared" si="3"/>
        <v>46284.928</v>
      </c>
      <c r="U5544" s="309">
        <f t="shared" si="4"/>
        <v>0</v>
      </c>
      <c r="V5544" s="309">
        <f t="shared" si="5"/>
        <v>0</v>
      </c>
      <c r="W5544" s="309">
        <f t="shared" si="6"/>
        <v>0</v>
      </c>
      <c r="X5544" s="309">
        <f t="shared" si="7"/>
        <v>0</v>
      </c>
      <c r="Y5544" s="309">
        <f t="shared" si="8"/>
        <v>0</v>
      </c>
      <c r="Z5544" s="309">
        <f t="shared" si="9"/>
        <v>0</v>
      </c>
    </row>
    <row r="5545" ht="15.0" customHeight="1">
      <c r="A5545" s="157" t="s">
        <v>7015</v>
      </c>
      <c r="B5545" s="158" t="s">
        <v>37</v>
      </c>
      <c r="C5545" s="158" t="s">
        <v>6991</v>
      </c>
      <c r="D5545" s="159">
        <v>45694.0</v>
      </c>
      <c r="E5545" s="157" t="s">
        <v>731</v>
      </c>
      <c r="F5545" s="160">
        <v>2606377.67</v>
      </c>
      <c r="G5545" s="160">
        <f>'FACP$'!$F5545*0.16</f>
        <v>417020.4272</v>
      </c>
      <c r="H5545" s="160">
        <f t="shared" si="124"/>
        <v>3023398.097</v>
      </c>
      <c r="I5545" s="160"/>
      <c r="J5545" s="161"/>
      <c r="K5545" s="160"/>
      <c r="L5545" s="160">
        <f>+'FACP$'!$H5545-'FACP$'!$I5545-'FACP$'!$K5545</f>
        <v>3023398.097</v>
      </c>
      <c r="M5545" s="162" t="s">
        <v>116</v>
      </c>
      <c r="N5545" s="162" t="s">
        <v>554</v>
      </c>
      <c r="O5545" s="164">
        <v>45705.0</v>
      </c>
      <c r="P5545" s="164">
        <f t="array" ref="P5545">XLOOKUP('FACP$'!$B5545,'perfil de pagos'!$A$4:$A$46,'perfil de pagos'!$B$4:$B$46+'FACP$'!$D5545)</f>
        <v>45704</v>
      </c>
      <c r="Q5545" s="165">
        <f t="shared" si="128"/>
        <v>0</v>
      </c>
      <c r="R5545" s="167"/>
      <c r="S5545" s="167">
        <v>3617.0</v>
      </c>
      <c r="T5545" s="168">
        <f t="shared" si="3"/>
        <v>3023398.097</v>
      </c>
      <c r="U5545" s="168">
        <f t="shared" si="4"/>
        <v>0</v>
      </c>
      <c r="V5545" s="168">
        <f t="shared" si="5"/>
        <v>0</v>
      </c>
      <c r="W5545" s="168">
        <f t="shared" si="6"/>
        <v>0</v>
      </c>
      <c r="X5545" s="168">
        <f t="shared" si="7"/>
        <v>0</v>
      </c>
      <c r="Y5545" s="168">
        <f t="shared" si="8"/>
        <v>0</v>
      </c>
      <c r="Z5545" s="168">
        <f t="shared" si="9"/>
        <v>0</v>
      </c>
    </row>
    <row r="5546" ht="15.0" customHeight="1">
      <c r="A5546" s="157" t="s">
        <v>7016</v>
      </c>
      <c r="B5546" s="158" t="s">
        <v>16</v>
      </c>
      <c r="C5546" s="158" t="s">
        <v>6991</v>
      </c>
      <c r="D5546" s="159">
        <v>45694.0</v>
      </c>
      <c r="E5546" s="157" t="s">
        <v>731</v>
      </c>
      <c r="F5546" s="160">
        <v>657056.99</v>
      </c>
      <c r="G5546" s="160">
        <f>'FACP$'!$F5546*0.16</f>
        <v>105129.1184</v>
      </c>
      <c r="H5546" s="160">
        <f t="shared" si="124"/>
        <v>762186.1084</v>
      </c>
      <c r="I5546" s="160"/>
      <c r="J5546" s="161"/>
      <c r="K5546" s="160"/>
      <c r="L5546" s="160">
        <f>+'FACP$'!$H5546-'FACP$'!$I5546-'FACP$'!$K5546</f>
        <v>762186.1084</v>
      </c>
      <c r="M5546" s="162" t="s">
        <v>7017</v>
      </c>
      <c r="N5546" s="162" t="s">
        <v>554</v>
      </c>
      <c r="O5546" s="164">
        <v>45706.0</v>
      </c>
      <c r="P5546" s="164">
        <f t="array" ref="P5546">XLOOKUP('FACP$'!$B5546,'perfil de pagos'!$A$4:$A$46,'perfil de pagos'!$B$4:$B$46+'FACP$'!$D5546)</f>
        <v>45704</v>
      </c>
      <c r="Q5546" s="165">
        <f t="shared" si="128"/>
        <v>0</v>
      </c>
      <c r="R5546" s="167"/>
      <c r="S5546" s="167">
        <v>3622.0</v>
      </c>
      <c r="T5546" s="168">
        <f t="shared" si="3"/>
        <v>762186.1084</v>
      </c>
      <c r="U5546" s="168">
        <f t="shared" si="4"/>
        <v>0</v>
      </c>
      <c r="V5546" s="168">
        <f t="shared" si="5"/>
        <v>0</v>
      </c>
      <c r="W5546" s="168">
        <f t="shared" si="6"/>
        <v>0</v>
      </c>
      <c r="X5546" s="168">
        <f t="shared" si="7"/>
        <v>0</v>
      </c>
      <c r="Y5546" s="168">
        <f t="shared" si="8"/>
        <v>0</v>
      </c>
      <c r="Z5546" s="168">
        <f t="shared" si="9"/>
        <v>0</v>
      </c>
    </row>
    <row r="5547" ht="15.0" customHeight="1">
      <c r="A5547" s="157" t="s">
        <v>7018</v>
      </c>
      <c r="B5547" s="158" t="s">
        <v>16</v>
      </c>
      <c r="C5547" s="158" t="s">
        <v>6993</v>
      </c>
      <c r="D5547" s="159">
        <v>45694.0</v>
      </c>
      <c r="E5547" s="157" t="s">
        <v>731</v>
      </c>
      <c r="F5547" s="160">
        <v>514165.78</v>
      </c>
      <c r="G5547" s="160">
        <f>'FACP$'!$F5547*0.16</f>
        <v>82266.5248</v>
      </c>
      <c r="H5547" s="160">
        <f t="shared" si="124"/>
        <v>596432.3048</v>
      </c>
      <c r="I5547" s="160"/>
      <c r="J5547" s="161"/>
      <c r="K5547" s="160"/>
      <c r="L5547" s="160">
        <f>+'FACP$'!$H5547-'FACP$'!$I5547-'FACP$'!$K5547</f>
        <v>596432.3048</v>
      </c>
      <c r="M5547" s="162" t="s">
        <v>107</v>
      </c>
      <c r="N5547" s="162" t="s">
        <v>554</v>
      </c>
      <c r="O5547" s="164">
        <v>45706.0</v>
      </c>
      <c r="P5547" s="164">
        <f t="array" ref="P5547">XLOOKUP('FACP$'!$B5547,'perfil de pagos'!$A$4:$A$46,'perfil de pagos'!$B$4:$B$46+'FACP$'!$D5547)</f>
        <v>45704</v>
      </c>
      <c r="Q5547" s="165">
        <f t="shared" si="128"/>
        <v>0</v>
      </c>
      <c r="R5547" s="167"/>
      <c r="S5547" s="167">
        <v>3622.0</v>
      </c>
      <c r="T5547" s="168">
        <f t="shared" si="3"/>
        <v>596432.3048</v>
      </c>
      <c r="U5547" s="168">
        <f t="shared" si="4"/>
        <v>0</v>
      </c>
      <c r="V5547" s="168">
        <f t="shared" si="5"/>
        <v>0</v>
      </c>
      <c r="W5547" s="168">
        <f t="shared" si="6"/>
        <v>0</v>
      </c>
      <c r="X5547" s="168">
        <f t="shared" si="7"/>
        <v>0</v>
      </c>
      <c r="Y5547" s="168">
        <f t="shared" si="8"/>
        <v>0</v>
      </c>
      <c r="Z5547" s="168">
        <f t="shared" si="9"/>
        <v>0</v>
      </c>
    </row>
    <row r="5548" ht="15.0" customHeight="1">
      <c r="A5548" s="157" t="s">
        <v>7019</v>
      </c>
      <c r="B5548" s="158" t="s">
        <v>18</v>
      </c>
      <c r="C5548" s="158" t="s">
        <v>6991</v>
      </c>
      <c r="D5548" s="159">
        <v>45694.0</v>
      </c>
      <c r="E5548" s="157" t="s">
        <v>731</v>
      </c>
      <c r="F5548" s="160">
        <v>102152.61</v>
      </c>
      <c r="G5548" s="160">
        <f>'FACP$'!$F5548*0.16</f>
        <v>16344.4176</v>
      </c>
      <c r="H5548" s="160">
        <f t="shared" si="124"/>
        <v>118497.0276</v>
      </c>
      <c r="I5548" s="160"/>
      <c r="J5548" s="161"/>
      <c r="K5548" s="160"/>
      <c r="L5548" s="160">
        <f>+'FACP$'!$H5548-'FACP$'!$I5548-'FACP$'!$K5548</f>
        <v>118497.0276</v>
      </c>
      <c r="M5548" s="162" t="s">
        <v>586</v>
      </c>
      <c r="N5548" s="162" t="s">
        <v>554</v>
      </c>
      <c r="O5548" s="164">
        <v>45707.0</v>
      </c>
      <c r="P5548" s="164">
        <f t="array" ref="P5548">XLOOKUP('FACP$'!$B5548,'perfil de pagos'!$A$4:$A$46,'perfil de pagos'!$B$4:$B$46+'FACP$'!$D5548)</f>
        <v>45704</v>
      </c>
      <c r="Q5548" s="165">
        <f t="shared" si="128"/>
        <v>0</v>
      </c>
      <c r="R5548" s="167"/>
      <c r="S5548" s="167">
        <v>3625.0</v>
      </c>
      <c r="T5548" s="168">
        <f t="shared" si="3"/>
        <v>118497.0276</v>
      </c>
      <c r="U5548" s="168">
        <f t="shared" si="4"/>
        <v>0</v>
      </c>
      <c r="V5548" s="168">
        <f t="shared" si="5"/>
        <v>0</v>
      </c>
      <c r="W5548" s="168">
        <f t="shared" si="6"/>
        <v>0</v>
      </c>
      <c r="X5548" s="168">
        <f t="shared" si="7"/>
        <v>0</v>
      </c>
      <c r="Y5548" s="168">
        <f t="shared" si="8"/>
        <v>0</v>
      </c>
      <c r="Z5548" s="168">
        <f t="shared" si="9"/>
        <v>0</v>
      </c>
    </row>
    <row r="5549" ht="15.0" customHeight="1">
      <c r="A5549" s="157" t="s">
        <v>7020</v>
      </c>
      <c r="B5549" s="158" t="s">
        <v>19</v>
      </c>
      <c r="C5549" s="158" t="s">
        <v>6991</v>
      </c>
      <c r="D5549" s="159">
        <v>45694.0</v>
      </c>
      <c r="E5549" s="157" t="s">
        <v>731</v>
      </c>
      <c r="F5549" s="160">
        <v>215841.84</v>
      </c>
      <c r="G5549" s="160">
        <f>'FACP$'!$F5549*0.16</f>
        <v>34534.6944</v>
      </c>
      <c r="H5549" s="160">
        <f t="shared" si="124"/>
        <v>250376.5344</v>
      </c>
      <c r="I5549" s="160"/>
      <c r="J5549" s="161"/>
      <c r="K5549" s="160"/>
      <c r="L5549" s="160">
        <f>+'FACP$'!$H5549-'FACP$'!$I5549-'FACP$'!$K5549</f>
        <v>250376.5344</v>
      </c>
      <c r="M5549" s="162" t="s">
        <v>732</v>
      </c>
      <c r="N5549" s="162" t="s">
        <v>554</v>
      </c>
      <c r="O5549" s="164">
        <v>45707.0</v>
      </c>
      <c r="P5549" s="164">
        <f t="array" ref="P5549">XLOOKUP('FACP$'!$B5549,'perfil de pagos'!$A$4:$A$46,'perfil de pagos'!$B$4:$B$46+'FACP$'!$D5549)</f>
        <v>45704</v>
      </c>
      <c r="Q5549" s="165">
        <f t="shared" si="128"/>
        <v>0</v>
      </c>
      <c r="R5549" s="167"/>
      <c r="S5549" s="167">
        <v>3625.0</v>
      </c>
      <c r="T5549" s="168">
        <f t="shared" si="3"/>
        <v>250376.5344</v>
      </c>
      <c r="U5549" s="168">
        <f t="shared" si="4"/>
        <v>0</v>
      </c>
      <c r="V5549" s="168">
        <f t="shared" si="5"/>
        <v>0</v>
      </c>
      <c r="W5549" s="168">
        <f t="shared" si="6"/>
        <v>0</v>
      </c>
      <c r="X5549" s="168">
        <f t="shared" si="7"/>
        <v>0</v>
      </c>
      <c r="Y5549" s="168">
        <f t="shared" si="8"/>
        <v>0</v>
      </c>
      <c r="Z5549" s="168">
        <f t="shared" si="9"/>
        <v>0</v>
      </c>
    </row>
    <row r="5550" ht="15.0" customHeight="1">
      <c r="A5550" s="157" t="s">
        <v>7021</v>
      </c>
      <c r="B5550" s="158" t="s">
        <v>25</v>
      </c>
      <c r="C5550" s="158" t="s">
        <v>6991</v>
      </c>
      <c r="D5550" s="159">
        <v>45694.0</v>
      </c>
      <c r="E5550" s="157" t="s">
        <v>731</v>
      </c>
      <c r="F5550" s="160">
        <v>85932.39</v>
      </c>
      <c r="G5550" s="160">
        <f>'FACP$'!$F5550*0.16</f>
        <v>13749.1824</v>
      </c>
      <c r="H5550" s="160">
        <f t="shared" si="124"/>
        <v>99681.5724</v>
      </c>
      <c r="I5550" s="160"/>
      <c r="J5550" s="161"/>
      <c r="K5550" s="160"/>
      <c r="L5550" s="160">
        <f>+'FACP$'!$H5550-'FACP$'!$I5550-'FACP$'!$K5550</f>
        <v>99681.5724</v>
      </c>
      <c r="M5550" s="162" t="s">
        <v>4388</v>
      </c>
      <c r="N5550" s="162" t="s">
        <v>554</v>
      </c>
      <c r="O5550" s="164">
        <v>45707.0</v>
      </c>
      <c r="P5550" s="164">
        <f t="array" ref="P5550">XLOOKUP('FACP$'!$B5550,'perfil de pagos'!$A$4:$A$46,'perfil de pagos'!$B$4:$B$46+'FACP$'!$D5550)</f>
        <v>45704</v>
      </c>
      <c r="Q5550" s="165">
        <f t="shared" si="128"/>
        <v>0</v>
      </c>
      <c r="R5550" s="167"/>
      <c r="S5550" s="167">
        <v>3626.0</v>
      </c>
      <c r="T5550" s="168">
        <f t="shared" si="3"/>
        <v>99681.5724</v>
      </c>
      <c r="U5550" s="168">
        <f t="shared" si="4"/>
        <v>0</v>
      </c>
      <c r="V5550" s="168">
        <f t="shared" si="5"/>
        <v>0</v>
      </c>
      <c r="W5550" s="168">
        <f t="shared" si="6"/>
        <v>0</v>
      </c>
      <c r="X5550" s="168">
        <f t="shared" si="7"/>
        <v>0</v>
      </c>
      <c r="Y5550" s="168">
        <f t="shared" si="8"/>
        <v>0</v>
      </c>
      <c r="Z5550" s="168">
        <f t="shared" si="9"/>
        <v>0</v>
      </c>
    </row>
    <row r="5551" ht="15.0" customHeight="1">
      <c r="A5551" s="157" t="s">
        <v>7022</v>
      </c>
      <c r="B5551" s="158" t="s">
        <v>40</v>
      </c>
      <c r="C5551" s="158" t="s">
        <v>6991</v>
      </c>
      <c r="D5551" s="159">
        <v>45694.0</v>
      </c>
      <c r="E5551" s="157" t="s">
        <v>731</v>
      </c>
      <c r="F5551" s="160">
        <v>797518.64</v>
      </c>
      <c r="G5551" s="160">
        <f>'FACP$'!$F5551*0.16</f>
        <v>127602.9824</v>
      </c>
      <c r="H5551" s="160">
        <f t="shared" si="124"/>
        <v>925121.6224</v>
      </c>
      <c r="I5551" s="160"/>
      <c r="J5551" s="161"/>
      <c r="K5551" s="160"/>
      <c r="L5551" s="160">
        <f>+'FACP$'!$H5551-'FACP$'!$I5551-'FACP$'!$K5551</f>
        <v>925121.6224</v>
      </c>
      <c r="M5551" s="162" t="s">
        <v>490</v>
      </c>
      <c r="N5551" s="162" t="s">
        <v>554</v>
      </c>
      <c r="O5551" s="164">
        <v>45730.0</v>
      </c>
      <c r="P5551" s="164">
        <f t="array" ref="P5551">XLOOKUP('FACP$'!$B5551,'perfil de pagos'!$A$4:$A$46,'perfil de pagos'!$B$4:$B$46+'FACP$'!$D5551)</f>
        <v>45724</v>
      </c>
      <c r="Q5551" s="165">
        <f t="shared" si="128"/>
        <v>0</v>
      </c>
      <c r="R5551" s="167"/>
      <c r="S5551" s="167">
        <v>3680.0</v>
      </c>
      <c r="T5551" s="168">
        <f t="shared" si="3"/>
        <v>925121.6224</v>
      </c>
      <c r="U5551" s="168">
        <f t="shared" si="4"/>
        <v>0</v>
      </c>
      <c r="V5551" s="168">
        <f t="shared" si="5"/>
        <v>0</v>
      </c>
      <c r="W5551" s="168">
        <f t="shared" si="6"/>
        <v>0</v>
      </c>
      <c r="X5551" s="168">
        <f t="shared" si="7"/>
        <v>0</v>
      </c>
      <c r="Y5551" s="168">
        <f t="shared" si="8"/>
        <v>0</v>
      </c>
      <c r="Z5551" s="168">
        <f t="shared" si="9"/>
        <v>0</v>
      </c>
    </row>
    <row r="5552" ht="15.0" customHeight="1">
      <c r="A5552" s="157" t="s">
        <v>7023</v>
      </c>
      <c r="B5552" s="158" t="s">
        <v>40</v>
      </c>
      <c r="C5552" s="158" t="s">
        <v>6993</v>
      </c>
      <c r="D5552" s="159">
        <v>45694.0</v>
      </c>
      <c r="E5552" s="157" t="s">
        <v>731</v>
      </c>
      <c r="F5552" s="160">
        <v>404499.48</v>
      </c>
      <c r="G5552" s="160">
        <f>'FACP$'!$F5552*0.16</f>
        <v>64719.9168</v>
      </c>
      <c r="H5552" s="160">
        <f t="shared" si="124"/>
        <v>469219.3968</v>
      </c>
      <c r="I5552" s="160"/>
      <c r="J5552" s="161"/>
      <c r="K5552" s="160"/>
      <c r="L5552" s="160">
        <f>+'FACP$'!$H5552-'FACP$'!$I5552-'FACP$'!$K5552</f>
        <v>469219.3968</v>
      </c>
      <c r="M5552" s="162" t="s">
        <v>490</v>
      </c>
      <c r="N5552" s="162" t="s">
        <v>554</v>
      </c>
      <c r="O5552" s="164">
        <v>45722.0</v>
      </c>
      <c r="P5552" s="164">
        <f t="array" ref="P5552">XLOOKUP('FACP$'!$B5552,'perfil de pagos'!$A$4:$A$46,'perfil de pagos'!$B$4:$B$46+'FACP$'!$D5552)</f>
        <v>45724</v>
      </c>
      <c r="Q5552" s="165">
        <f t="shared" si="128"/>
        <v>0</v>
      </c>
      <c r="R5552" s="167"/>
      <c r="S5552" s="167">
        <v>3661.0</v>
      </c>
      <c r="T5552" s="168">
        <f t="shared" si="3"/>
        <v>469219.3968</v>
      </c>
      <c r="U5552" s="168">
        <f t="shared" si="4"/>
        <v>0</v>
      </c>
      <c r="V5552" s="168">
        <f t="shared" si="5"/>
        <v>0</v>
      </c>
      <c r="W5552" s="168">
        <f t="shared" si="6"/>
        <v>0</v>
      </c>
      <c r="X5552" s="168">
        <f t="shared" si="7"/>
        <v>0</v>
      </c>
      <c r="Y5552" s="168">
        <f t="shared" si="8"/>
        <v>0</v>
      </c>
      <c r="Z5552" s="168">
        <f t="shared" si="9"/>
        <v>0</v>
      </c>
    </row>
    <row r="5553" ht="15.0" customHeight="1">
      <c r="A5553" s="157" t="s">
        <v>7024</v>
      </c>
      <c r="B5553" s="158" t="s">
        <v>38</v>
      </c>
      <c r="C5553" s="158" t="s">
        <v>6991</v>
      </c>
      <c r="D5553" s="159">
        <v>45694.0</v>
      </c>
      <c r="E5553" s="157" t="s">
        <v>731</v>
      </c>
      <c r="F5553" s="160">
        <v>970990.58</v>
      </c>
      <c r="G5553" s="160">
        <f>'FACP$'!$F5553*0.16</f>
        <v>155358.4928</v>
      </c>
      <c r="H5553" s="160">
        <f t="shared" si="124"/>
        <v>1126349.073</v>
      </c>
      <c r="I5553" s="160"/>
      <c r="J5553" s="161"/>
      <c r="K5553" s="160"/>
      <c r="L5553" s="160">
        <f>+'FACP$'!$H5553-'FACP$'!$I5553-'FACP$'!$K5553</f>
        <v>1126349.073</v>
      </c>
      <c r="M5553" s="162" t="s">
        <v>6978</v>
      </c>
      <c r="N5553" s="162" t="s">
        <v>554</v>
      </c>
      <c r="O5553" s="164">
        <v>45721.0</v>
      </c>
      <c r="P5553" s="164">
        <f t="array" ref="P5553">XLOOKUP('FACP$'!$B5553,'perfil de pagos'!$A$4:$A$46,'perfil de pagos'!$B$4:$B$46+'FACP$'!$D5553)</f>
        <v>45724</v>
      </c>
      <c r="Q5553" s="165">
        <f t="shared" si="128"/>
        <v>0</v>
      </c>
      <c r="R5553" s="167"/>
      <c r="S5553" s="167">
        <v>3658.0</v>
      </c>
      <c r="T5553" s="168">
        <f t="shared" si="3"/>
        <v>1126349.073</v>
      </c>
      <c r="U5553" s="168">
        <f t="shared" si="4"/>
        <v>0</v>
      </c>
      <c r="V5553" s="168">
        <f t="shared" si="5"/>
        <v>0</v>
      </c>
      <c r="W5553" s="168">
        <f t="shared" si="6"/>
        <v>0</v>
      </c>
      <c r="X5553" s="168">
        <f t="shared" si="7"/>
        <v>0</v>
      </c>
      <c r="Y5553" s="168">
        <f t="shared" si="8"/>
        <v>0</v>
      </c>
      <c r="Z5553" s="168">
        <f t="shared" si="9"/>
        <v>0</v>
      </c>
    </row>
    <row r="5554" ht="15.0" customHeight="1">
      <c r="A5554" s="157" t="s">
        <v>7025</v>
      </c>
      <c r="B5554" s="158" t="s">
        <v>54</v>
      </c>
      <c r="C5554" s="158" t="s">
        <v>6991</v>
      </c>
      <c r="D5554" s="159">
        <v>45694.0</v>
      </c>
      <c r="E5554" s="157" t="s">
        <v>731</v>
      </c>
      <c r="F5554" s="160">
        <v>471594.0</v>
      </c>
      <c r="G5554" s="160">
        <f>'FACP$'!$F5554*0.16</f>
        <v>75455.04</v>
      </c>
      <c r="H5554" s="160">
        <f t="shared" si="124"/>
        <v>547049.04</v>
      </c>
      <c r="I5554" s="160"/>
      <c r="J5554" s="161"/>
      <c r="K5554" s="160"/>
      <c r="L5554" s="160">
        <f>+'FACP$'!$H5554-'FACP$'!$I5554-'FACP$'!$K5554</f>
        <v>547049.04</v>
      </c>
      <c r="M5554" s="162" t="s">
        <v>7011</v>
      </c>
      <c r="N5554" s="162" t="s">
        <v>554</v>
      </c>
      <c r="O5554" s="164">
        <v>45762.0</v>
      </c>
      <c r="P5554" s="164">
        <f t="array" ref="P5554">XLOOKUP('FACP$'!$B5554,'perfil de pagos'!$A$4:$A$46,'perfil de pagos'!$B$4:$B$46+'FACP$'!$D5554)</f>
        <v>45754</v>
      </c>
      <c r="Q5554" s="165">
        <f t="shared" si="128"/>
        <v>0</v>
      </c>
      <c r="R5554" s="167"/>
      <c r="S5554" s="167">
        <v>3758.0</v>
      </c>
      <c r="T5554" s="168">
        <f t="shared" si="3"/>
        <v>547049.04</v>
      </c>
      <c r="U5554" s="168">
        <f t="shared" si="4"/>
        <v>0</v>
      </c>
      <c r="V5554" s="168">
        <f t="shared" si="5"/>
        <v>0</v>
      </c>
      <c r="W5554" s="168">
        <f t="shared" si="6"/>
        <v>0</v>
      </c>
      <c r="X5554" s="168">
        <f t="shared" si="7"/>
        <v>0</v>
      </c>
      <c r="Y5554" s="168">
        <f t="shared" si="8"/>
        <v>0</v>
      </c>
      <c r="Z5554" s="168">
        <f t="shared" si="9"/>
        <v>0</v>
      </c>
    </row>
    <row r="5555" ht="15.0" customHeight="1">
      <c r="A5555" s="157" t="s">
        <v>7026</v>
      </c>
      <c r="B5555" s="158" t="s">
        <v>54</v>
      </c>
      <c r="C5555" s="158" t="s">
        <v>6993</v>
      </c>
      <c r="D5555" s="159">
        <v>45694.0</v>
      </c>
      <c r="E5555" s="157" t="s">
        <v>731</v>
      </c>
      <c r="F5555" s="160">
        <v>633166.53</v>
      </c>
      <c r="G5555" s="160">
        <f>'FACP$'!$F5555*0.16</f>
        <v>101306.6448</v>
      </c>
      <c r="H5555" s="160">
        <f t="shared" si="124"/>
        <v>734473.1748</v>
      </c>
      <c r="I5555" s="160"/>
      <c r="J5555" s="161"/>
      <c r="K5555" s="160"/>
      <c r="L5555" s="160">
        <f>+'FACP$'!$H5555-'FACP$'!$I5555-'FACP$'!$K5555</f>
        <v>734473.1748</v>
      </c>
      <c r="M5555" s="162" t="s">
        <v>7011</v>
      </c>
      <c r="N5555" s="162" t="s">
        <v>554</v>
      </c>
      <c r="O5555" s="164">
        <v>45762.0</v>
      </c>
      <c r="P5555" s="164">
        <f t="array" ref="P5555">XLOOKUP('FACP$'!$B5555,'perfil de pagos'!$A$4:$A$46,'perfil de pagos'!$B$4:$B$46+'FACP$'!$D5555)</f>
        <v>45754</v>
      </c>
      <c r="Q5555" s="165">
        <f t="shared" si="128"/>
        <v>0</v>
      </c>
      <c r="R5555" s="167"/>
      <c r="S5555" s="167">
        <v>3758.0</v>
      </c>
      <c r="T5555" s="168">
        <f t="shared" si="3"/>
        <v>734473.1748</v>
      </c>
      <c r="U5555" s="168">
        <f t="shared" si="4"/>
        <v>0</v>
      </c>
      <c r="V5555" s="168">
        <f t="shared" si="5"/>
        <v>0</v>
      </c>
      <c r="W5555" s="168">
        <f t="shared" si="6"/>
        <v>0</v>
      </c>
      <c r="X5555" s="168">
        <f t="shared" si="7"/>
        <v>0</v>
      </c>
      <c r="Y5555" s="168">
        <f t="shared" si="8"/>
        <v>0</v>
      </c>
      <c r="Z5555" s="168">
        <f t="shared" si="9"/>
        <v>0</v>
      </c>
    </row>
    <row r="5556" ht="15.0" customHeight="1">
      <c r="A5556" s="157" t="s">
        <v>7027</v>
      </c>
      <c r="B5556" s="158" t="s">
        <v>55</v>
      </c>
      <c r="C5556" s="158" t="s">
        <v>7028</v>
      </c>
      <c r="D5556" s="159">
        <v>45695.0</v>
      </c>
      <c r="E5556" s="157" t="s">
        <v>731</v>
      </c>
      <c r="F5556" s="160">
        <v>246776.04</v>
      </c>
      <c r="G5556" s="160">
        <f>'FACP$'!$F5556*0.16</f>
        <v>39484.1664</v>
      </c>
      <c r="H5556" s="160">
        <f t="shared" si="124"/>
        <v>286260.2064</v>
      </c>
      <c r="I5556" s="160"/>
      <c r="J5556" s="161"/>
      <c r="K5556" s="160"/>
      <c r="L5556" s="160">
        <f>+'FACP$'!$H5556-'FACP$'!$I5556-'FACP$'!$K5556</f>
        <v>286260.2064</v>
      </c>
      <c r="M5556" s="162" t="s">
        <v>7029</v>
      </c>
      <c r="N5556" s="162" t="s">
        <v>554</v>
      </c>
      <c r="O5556" s="164">
        <v>45706.0</v>
      </c>
      <c r="P5556" s="164">
        <f t="array" ref="P5556">XLOOKUP('FACP$'!$B5556,'perfil de pagos'!$A$4:$A$46,'perfil de pagos'!$B$4:$B$46+'FACP$'!$D5556)</f>
        <v>45705</v>
      </c>
      <c r="Q5556" s="165">
        <f t="shared" si="128"/>
        <v>0</v>
      </c>
      <c r="R5556" s="167"/>
      <c r="S5556" s="167">
        <v>3620.0</v>
      </c>
      <c r="T5556" s="168">
        <f t="shared" si="3"/>
        <v>286260.2064</v>
      </c>
      <c r="U5556" s="168">
        <f t="shared" si="4"/>
        <v>0</v>
      </c>
      <c r="V5556" s="168">
        <f t="shared" si="5"/>
        <v>0</v>
      </c>
      <c r="W5556" s="168">
        <f t="shared" si="6"/>
        <v>0</v>
      </c>
      <c r="X5556" s="168">
        <f t="shared" si="7"/>
        <v>0</v>
      </c>
      <c r="Y5556" s="168">
        <f t="shared" si="8"/>
        <v>0</v>
      </c>
      <c r="Z5556" s="168">
        <f t="shared" si="9"/>
        <v>0</v>
      </c>
    </row>
    <row r="5557" ht="15.0" customHeight="1">
      <c r="A5557" s="157" t="s">
        <v>7030</v>
      </c>
      <c r="B5557" s="158" t="s">
        <v>55</v>
      </c>
      <c r="C5557" s="158" t="s">
        <v>7031</v>
      </c>
      <c r="D5557" s="159">
        <v>45695.0</v>
      </c>
      <c r="E5557" s="157" t="s">
        <v>731</v>
      </c>
      <c r="F5557" s="160">
        <v>389646.04</v>
      </c>
      <c r="G5557" s="160">
        <f>'FACP$'!$F5557*0.16</f>
        <v>62343.3664</v>
      </c>
      <c r="H5557" s="160">
        <f t="shared" si="124"/>
        <v>451989.4064</v>
      </c>
      <c r="I5557" s="160"/>
      <c r="J5557" s="161"/>
      <c r="K5557" s="160"/>
      <c r="L5557" s="160">
        <f>+'FACP$'!$H5557-'FACP$'!$I5557-'FACP$'!$K5557</f>
        <v>451989.4064</v>
      </c>
      <c r="M5557" s="162" t="s">
        <v>7029</v>
      </c>
      <c r="N5557" s="162" t="s">
        <v>554</v>
      </c>
      <c r="O5557" s="164">
        <v>45706.0</v>
      </c>
      <c r="P5557" s="164">
        <f t="array" ref="P5557">XLOOKUP('FACP$'!$B5557,'perfil de pagos'!$A$4:$A$46,'perfil de pagos'!$B$4:$B$46+'FACP$'!$D5557)</f>
        <v>45705</v>
      </c>
      <c r="Q5557" s="165">
        <f t="shared" si="128"/>
        <v>0</v>
      </c>
      <c r="R5557" s="167"/>
      <c r="S5557" s="167">
        <v>3620.0</v>
      </c>
      <c r="T5557" s="168">
        <f t="shared" si="3"/>
        <v>451989.4064</v>
      </c>
      <c r="U5557" s="168">
        <f t="shared" si="4"/>
        <v>0</v>
      </c>
      <c r="V5557" s="168">
        <f t="shared" si="5"/>
        <v>0</v>
      </c>
      <c r="W5557" s="168">
        <f t="shared" si="6"/>
        <v>0</v>
      </c>
      <c r="X5557" s="168">
        <f t="shared" si="7"/>
        <v>0</v>
      </c>
      <c r="Y5557" s="168">
        <f t="shared" si="8"/>
        <v>0</v>
      </c>
      <c r="Z5557" s="168">
        <f t="shared" si="9"/>
        <v>0</v>
      </c>
    </row>
    <row r="5558" ht="15.0" customHeight="1">
      <c r="A5558" s="157" t="s">
        <v>7032</v>
      </c>
      <c r="B5558" s="158" t="s">
        <v>22</v>
      </c>
      <c r="C5558" s="158" t="s">
        <v>7033</v>
      </c>
      <c r="D5558" s="159">
        <v>45698.0</v>
      </c>
      <c r="E5558" s="157" t="s">
        <v>731</v>
      </c>
      <c r="F5558" s="160">
        <v>284948.61</v>
      </c>
      <c r="G5558" s="160">
        <f>'FACP$'!$F5558*0.16</f>
        <v>45591.7776</v>
      </c>
      <c r="H5558" s="160">
        <f t="shared" si="124"/>
        <v>330540.3876</v>
      </c>
      <c r="I5558" s="160">
        <v>182130.94</v>
      </c>
      <c r="J5558" s="161"/>
      <c r="K5558" s="160"/>
      <c r="L5558" s="160">
        <f>+'FACP$'!$H5558-'FACP$'!$I5558-'FACP$'!$K5558</f>
        <v>148409.4476</v>
      </c>
      <c r="M5558" s="162" t="s">
        <v>6693</v>
      </c>
      <c r="N5558" s="162" t="s">
        <v>554</v>
      </c>
      <c r="O5558" s="164">
        <v>45742.0</v>
      </c>
      <c r="P5558" s="164">
        <f t="array" ref="P5558">XLOOKUP('FACP$'!$B5558,'perfil de pagos'!$A$4:$A$46,'perfil de pagos'!$B$4:$B$46+'FACP$'!$D5558)</f>
        <v>45708</v>
      </c>
      <c r="Q5558" s="165">
        <f t="shared" si="128"/>
        <v>0</v>
      </c>
      <c r="R5558" s="220" t="s">
        <v>7034</v>
      </c>
      <c r="S5558" s="167">
        <v>3694.0</v>
      </c>
      <c r="T5558" s="168">
        <f t="shared" si="3"/>
        <v>148409.4476</v>
      </c>
      <c r="U5558" s="168">
        <f t="shared" si="4"/>
        <v>0</v>
      </c>
      <c r="V5558" s="168">
        <f t="shared" si="5"/>
        <v>0</v>
      </c>
      <c r="W5558" s="168">
        <f t="shared" si="6"/>
        <v>0</v>
      </c>
      <c r="X5558" s="168">
        <f t="shared" si="7"/>
        <v>0</v>
      </c>
      <c r="Y5558" s="168">
        <f t="shared" si="8"/>
        <v>0</v>
      </c>
      <c r="Z5558" s="168">
        <f t="shared" si="9"/>
        <v>0</v>
      </c>
    </row>
    <row r="5559" ht="15.0" customHeight="1">
      <c r="A5559" s="157" t="s">
        <v>7035</v>
      </c>
      <c r="B5559" s="158" t="s">
        <v>22</v>
      </c>
      <c r="C5559" s="158" t="s">
        <v>7033</v>
      </c>
      <c r="D5559" s="159">
        <v>45698.0</v>
      </c>
      <c r="E5559" s="157" t="s">
        <v>731</v>
      </c>
      <c r="F5559" s="160">
        <v>257218.89</v>
      </c>
      <c r="G5559" s="160">
        <f>'FACP$'!$F5559*0.16</f>
        <v>41155.0224</v>
      </c>
      <c r="H5559" s="160">
        <f t="shared" si="124"/>
        <v>298373.9124</v>
      </c>
      <c r="I5559" s="160">
        <v>101590.55</v>
      </c>
      <c r="J5559" s="161"/>
      <c r="K5559" s="160"/>
      <c r="L5559" s="160">
        <f>+'FACP$'!$H5559-'FACP$'!$I5559-'FACP$'!$K5559</f>
        <v>196783.3624</v>
      </c>
      <c r="M5559" s="162" t="s">
        <v>6695</v>
      </c>
      <c r="N5559" s="162" t="s">
        <v>554</v>
      </c>
      <c r="O5559" s="164">
        <v>45754.0</v>
      </c>
      <c r="P5559" s="164">
        <f t="array" ref="P5559">XLOOKUP('FACP$'!$B5559,'perfil de pagos'!$A$4:$A$46,'perfil de pagos'!$B$4:$B$46+'FACP$'!$D5559)</f>
        <v>45708</v>
      </c>
      <c r="Q5559" s="165">
        <f t="shared" si="128"/>
        <v>0</v>
      </c>
      <c r="R5559" s="220" t="s">
        <v>7036</v>
      </c>
      <c r="S5559" s="167">
        <v>3736.0</v>
      </c>
      <c r="T5559" s="168">
        <f t="shared" si="3"/>
        <v>196783.3624</v>
      </c>
      <c r="U5559" s="168">
        <f t="shared" si="4"/>
        <v>0</v>
      </c>
      <c r="V5559" s="168">
        <f t="shared" si="5"/>
        <v>0</v>
      </c>
      <c r="W5559" s="168">
        <f t="shared" si="6"/>
        <v>0</v>
      </c>
      <c r="X5559" s="168">
        <f t="shared" si="7"/>
        <v>0</v>
      </c>
      <c r="Y5559" s="168">
        <f t="shared" si="8"/>
        <v>0</v>
      </c>
      <c r="Z5559" s="168">
        <f t="shared" si="9"/>
        <v>0</v>
      </c>
    </row>
    <row r="5560" ht="15.0" customHeight="1">
      <c r="A5560" s="157" t="s">
        <v>7037</v>
      </c>
      <c r="B5560" s="158" t="s">
        <v>22</v>
      </c>
      <c r="C5560" s="158" t="s">
        <v>7033</v>
      </c>
      <c r="D5560" s="159">
        <v>45698.0</v>
      </c>
      <c r="E5560" s="157" t="s">
        <v>731</v>
      </c>
      <c r="F5560" s="160">
        <v>50245.8</v>
      </c>
      <c r="G5560" s="160">
        <f>'FACP$'!$F5560*0.16</f>
        <v>8039.328</v>
      </c>
      <c r="H5560" s="160">
        <f t="shared" si="124"/>
        <v>58285.128</v>
      </c>
      <c r="I5560" s="160">
        <v>3216.64</v>
      </c>
      <c r="J5560" s="161"/>
      <c r="K5560" s="160"/>
      <c r="L5560" s="160">
        <f>+'FACP$'!$H5560-'FACP$'!$I5560-'FACP$'!$K5560</f>
        <v>55068.488</v>
      </c>
      <c r="M5560" s="162" t="s">
        <v>6823</v>
      </c>
      <c r="N5560" s="162" t="s">
        <v>554</v>
      </c>
      <c r="O5560" s="164">
        <v>45792.0</v>
      </c>
      <c r="P5560" s="164">
        <f t="array" ref="P5560">XLOOKUP('FACP$'!$B5560,'perfil de pagos'!$A$4:$A$46,'perfil de pagos'!$B$4:$B$46+'FACP$'!$D5560)</f>
        <v>45708</v>
      </c>
      <c r="Q5560" s="165">
        <f t="shared" si="128"/>
        <v>0</v>
      </c>
      <c r="R5560" s="167" t="s">
        <v>7038</v>
      </c>
      <c r="S5560" s="265">
        <v>3.7363756E7</v>
      </c>
      <c r="T5560" s="168">
        <f t="shared" si="3"/>
        <v>55068.488</v>
      </c>
      <c r="U5560" s="168">
        <f t="shared" si="4"/>
        <v>0</v>
      </c>
      <c r="V5560" s="168">
        <f t="shared" si="5"/>
        <v>0</v>
      </c>
      <c r="W5560" s="168">
        <f t="shared" si="6"/>
        <v>0</v>
      </c>
      <c r="X5560" s="168">
        <f t="shared" si="7"/>
        <v>0</v>
      </c>
      <c r="Y5560" s="168">
        <f t="shared" si="8"/>
        <v>0</v>
      </c>
      <c r="Z5560" s="168">
        <f t="shared" si="9"/>
        <v>0</v>
      </c>
    </row>
    <row r="5561" ht="15.0" customHeight="1">
      <c r="A5561" s="157" t="s">
        <v>7039</v>
      </c>
      <c r="B5561" s="158" t="s">
        <v>38</v>
      </c>
      <c r="C5561" s="158" t="s">
        <v>6991</v>
      </c>
      <c r="D5561" s="159">
        <v>45698.0</v>
      </c>
      <c r="E5561" s="157" t="s">
        <v>731</v>
      </c>
      <c r="F5561" s="160">
        <v>184811.05</v>
      </c>
      <c r="G5561" s="160">
        <f>'FACP$'!$F5561*0.16</f>
        <v>29569.768</v>
      </c>
      <c r="H5561" s="160">
        <f t="shared" si="124"/>
        <v>214380.818</v>
      </c>
      <c r="I5561" s="160"/>
      <c r="J5561" s="161"/>
      <c r="K5561" s="160"/>
      <c r="L5561" s="160">
        <f>+'FACP$'!$H5561-'FACP$'!$I5561-'FACP$'!$K5561</f>
        <v>214380.818</v>
      </c>
      <c r="M5561" s="162" t="s">
        <v>4654</v>
      </c>
      <c r="N5561" s="162" t="s">
        <v>554</v>
      </c>
      <c r="O5561" s="164">
        <v>45707.0</v>
      </c>
      <c r="P5561" s="164">
        <f t="array" ref="P5561">XLOOKUP('FACP$'!$B5561,'perfil de pagos'!$A$4:$A$46,'perfil de pagos'!$B$4:$B$46+'FACP$'!$D5561)</f>
        <v>45728</v>
      </c>
      <c r="Q5561" s="165">
        <f t="shared" si="128"/>
        <v>0</v>
      </c>
      <c r="R5561" s="167"/>
      <c r="S5561" s="167">
        <v>3627.0</v>
      </c>
      <c r="T5561" s="168">
        <f t="shared" si="3"/>
        <v>214380.818</v>
      </c>
      <c r="U5561" s="168">
        <f t="shared" si="4"/>
        <v>0</v>
      </c>
      <c r="V5561" s="168">
        <f t="shared" si="5"/>
        <v>0</v>
      </c>
      <c r="W5561" s="168">
        <f t="shared" si="6"/>
        <v>0</v>
      </c>
      <c r="X5561" s="168">
        <f t="shared" si="7"/>
        <v>0</v>
      </c>
      <c r="Y5561" s="168">
        <f t="shared" si="8"/>
        <v>0</v>
      </c>
      <c r="Z5561" s="168">
        <f t="shared" si="9"/>
        <v>0</v>
      </c>
    </row>
    <row r="5562" ht="15.0" customHeight="1">
      <c r="A5562" s="157" t="s">
        <v>7040</v>
      </c>
      <c r="B5562" s="158" t="s">
        <v>27</v>
      </c>
      <c r="C5562" s="158" t="s">
        <v>7041</v>
      </c>
      <c r="D5562" s="159">
        <v>45699.0</v>
      </c>
      <c r="E5562" s="157" t="s">
        <v>731</v>
      </c>
      <c r="F5562" s="160">
        <v>46000.0</v>
      </c>
      <c r="G5562" s="160">
        <f>'FACP$'!$F5562*0.16</f>
        <v>7360</v>
      </c>
      <c r="H5562" s="160">
        <f t="shared" si="124"/>
        <v>53360</v>
      </c>
      <c r="I5562" s="160"/>
      <c r="J5562" s="161"/>
      <c r="K5562" s="160"/>
      <c r="L5562" s="211">
        <f>+'FACP$'!$H5562-'FACP$'!$I5562-'FACP$'!$K5562</f>
        <v>53360</v>
      </c>
      <c r="M5562" s="162" t="s">
        <v>5804</v>
      </c>
      <c r="N5562" s="162" t="s">
        <v>554</v>
      </c>
      <c r="O5562" s="164">
        <v>45735.0</v>
      </c>
      <c r="P5562" s="164">
        <f t="array" ref="P5562">XLOOKUP('FACP$'!$B5562,'perfil de pagos'!$A$4:$A$46,'perfil de pagos'!$B$4:$B$46+'FACP$'!$D5562)</f>
        <v>45729</v>
      </c>
      <c r="Q5562" s="165">
        <f t="shared" si="128"/>
        <v>0</v>
      </c>
      <c r="R5562" s="167"/>
      <c r="S5562" s="167"/>
      <c r="T5562" s="168">
        <f t="shared" si="3"/>
        <v>53360</v>
      </c>
      <c r="U5562" s="168">
        <f t="shared" si="4"/>
        <v>0</v>
      </c>
      <c r="V5562" s="168">
        <f t="shared" si="5"/>
        <v>0</v>
      </c>
      <c r="W5562" s="168">
        <f t="shared" si="6"/>
        <v>0</v>
      </c>
      <c r="X5562" s="168">
        <f t="shared" si="7"/>
        <v>0</v>
      </c>
      <c r="Y5562" s="168">
        <f t="shared" si="8"/>
        <v>0</v>
      </c>
      <c r="Z5562" s="168">
        <f t="shared" si="9"/>
        <v>0</v>
      </c>
    </row>
    <row r="5563" ht="15.0" customHeight="1">
      <c r="A5563" s="157" t="s">
        <v>7042</v>
      </c>
      <c r="B5563" s="158" t="s">
        <v>53</v>
      </c>
      <c r="C5563" s="158" t="s">
        <v>7043</v>
      </c>
      <c r="D5563" s="159">
        <v>45707.0</v>
      </c>
      <c r="E5563" s="157" t="s">
        <v>731</v>
      </c>
      <c r="F5563" s="160">
        <v>256807.7</v>
      </c>
      <c r="G5563" s="160">
        <f>'FACP$'!$F5563*0.16</f>
        <v>41089.232</v>
      </c>
      <c r="H5563" s="160">
        <f t="shared" si="124"/>
        <v>297896.932</v>
      </c>
      <c r="I5563" s="160"/>
      <c r="J5563" s="161"/>
      <c r="K5563" s="160"/>
      <c r="L5563" s="160">
        <f>+'FACP$'!$H5563-'FACP$'!$I5563-'FACP$'!$K5563</f>
        <v>297896.932</v>
      </c>
      <c r="M5563" s="162" t="s">
        <v>53</v>
      </c>
      <c r="N5563" s="162" t="s">
        <v>554</v>
      </c>
      <c r="O5563" s="164">
        <v>45772.0</v>
      </c>
      <c r="P5563" s="164">
        <f t="array" ref="P5563">XLOOKUP('FACP$'!$B5563,'perfil de pagos'!$A$4:$A$46,'perfil de pagos'!$B$4:$B$46+'FACP$'!$D5563)</f>
        <v>45722</v>
      </c>
      <c r="Q5563" s="165">
        <f t="shared" si="128"/>
        <v>0</v>
      </c>
      <c r="R5563" s="167"/>
      <c r="S5563" s="167"/>
      <c r="T5563" s="168">
        <f t="shared" si="3"/>
        <v>297896.932</v>
      </c>
      <c r="U5563" s="168">
        <f t="shared" si="4"/>
        <v>0</v>
      </c>
      <c r="V5563" s="168">
        <f t="shared" si="5"/>
        <v>0</v>
      </c>
      <c r="W5563" s="168">
        <f t="shared" si="6"/>
        <v>0</v>
      </c>
      <c r="X5563" s="168">
        <f t="shared" si="7"/>
        <v>0</v>
      </c>
      <c r="Y5563" s="168">
        <f t="shared" si="8"/>
        <v>0</v>
      </c>
      <c r="Z5563" s="168">
        <f t="shared" si="9"/>
        <v>0</v>
      </c>
    </row>
    <row r="5564" ht="15.0" customHeight="1">
      <c r="A5564" s="157" t="s">
        <v>7044</v>
      </c>
      <c r="B5564" s="158" t="s">
        <v>53</v>
      </c>
      <c r="C5564" s="158" t="s">
        <v>7045</v>
      </c>
      <c r="D5564" s="159">
        <v>45707.0</v>
      </c>
      <c r="E5564" s="157" t="s">
        <v>731</v>
      </c>
      <c r="F5564" s="160">
        <v>61588.46</v>
      </c>
      <c r="G5564" s="160">
        <f>'FACP$'!$F5564*0.16</f>
        <v>9854.1536</v>
      </c>
      <c r="H5564" s="160">
        <f t="shared" si="124"/>
        <v>71442.6136</v>
      </c>
      <c r="I5564" s="160"/>
      <c r="J5564" s="161"/>
      <c r="K5564" s="160"/>
      <c r="L5564" s="160">
        <f>+'FACP$'!$H5564-'FACP$'!$I5564-'FACP$'!$K5564</f>
        <v>71442.6136</v>
      </c>
      <c r="M5564" s="162" t="s">
        <v>53</v>
      </c>
      <c r="N5564" s="162" t="s">
        <v>554</v>
      </c>
      <c r="O5564" s="164">
        <v>45772.0</v>
      </c>
      <c r="P5564" s="164">
        <f t="array" ref="P5564">XLOOKUP('FACP$'!$B5564,'perfil de pagos'!$A$4:$A$46,'perfil de pagos'!$B$4:$B$46+'FACP$'!$D5564)</f>
        <v>45722</v>
      </c>
      <c r="Q5564" s="165">
        <f t="shared" si="128"/>
        <v>0</v>
      </c>
      <c r="R5564" s="167"/>
      <c r="S5564" s="167"/>
      <c r="T5564" s="168">
        <f t="shared" si="3"/>
        <v>71442.6136</v>
      </c>
      <c r="U5564" s="168">
        <f t="shared" si="4"/>
        <v>0</v>
      </c>
      <c r="V5564" s="168">
        <f t="shared" si="5"/>
        <v>0</v>
      </c>
      <c r="W5564" s="168">
        <f t="shared" si="6"/>
        <v>0</v>
      </c>
      <c r="X5564" s="168">
        <f t="shared" si="7"/>
        <v>0</v>
      </c>
      <c r="Y5564" s="168">
        <f t="shared" si="8"/>
        <v>0</v>
      </c>
      <c r="Z5564" s="168">
        <f t="shared" si="9"/>
        <v>0</v>
      </c>
    </row>
    <row r="5565" ht="15.0" customHeight="1">
      <c r="A5565" s="157" t="s">
        <v>7046</v>
      </c>
      <c r="B5565" s="158" t="s">
        <v>35</v>
      </c>
      <c r="C5565" s="158" t="s">
        <v>7043</v>
      </c>
      <c r="D5565" s="159">
        <v>45707.0</v>
      </c>
      <c r="E5565" s="157" t="s">
        <v>731</v>
      </c>
      <c r="F5565" s="160">
        <v>452128.97</v>
      </c>
      <c r="G5565" s="160">
        <f>'FACP$'!$F5565*0.16</f>
        <v>72340.6352</v>
      </c>
      <c r="H5565" s="160">
        <f t="shared" si="124"/>
        <v>524469.6052</v>
      </c>
      <c r="I5565" s="160"/>
      <c r="J5565" s="161"/>
      <c r="K5565" s="160"/>
      <c r="L5565" s="160">
        <f>+'FACP$'!$H5565-'FACP$'!$I5565-'FACP$'!$K5565</f>
        <v>524469.6052</v>
      </c>
      <c r="M5565" s="162" t="s">
        <v>276</v>
      </c>
      <c r="N5565" s="162" t="s">
        <v>554</v>
      </c>
      <c r="O5565" s="164">
        <v>45727.0</v>
      </c>
      <c r="P5565" s="164">
        <f t="array" ref="P5565">XLOOKUP('FACP$'!$B5565,'perfil de pagos'!$A$4:$A$46,'perfil de pagos'!$B$4:$B$46+'FACP$'!$D5565)</f>
        <v>45717</v>
      </c>
      <c r="Q5565" s="165">
        <f t="shared" si="128"/>
        <v>0</v>
      </c>
      <c r="R5565" s="167"/>
      <c r="S5565" s="167">
        <v>3669.0</v>
      </c>
      <c r="T5565" s="168">
        <f t="shared" si="3"/>
        <v>524469.6052</v>
      </c>
      <c r="U5565" s="168">
        <f t="shared" si="4"/>
        <v>0</v>
      </c>
      <c r="V5565" s="168">
        <f t="shared" si="5"/>
        <v>0</v>
      </c>
      <c r="W5565" s="168">
        <f t="shared" si="6"/>
        <v>0</v>
      </c>
      <c r="X5565" s="168">
        <f t="shared" si="7"/>
        <v>0</v>
      </c>
      <c r="Y5565" s="168">
        <f t="shared" si="8"/>
        <v>0</v>
      </c>
      <c r="Z5565" s="168">
        <f t="shared" si="9"/>
        <v>0</v>
      </c>
    </row>
    <row r="5566" ht="15.0" customHeight="1">
      <c r="A5566" s="157" t="s">
        <v>7047</v>
      </c>
      <c r="B5566" s="158" t="s">
        <v>36</v>
      </c>
      <c r="C5566" s="158" t="s">
        <v>7043</v>
      </c>
      <c r="D5566" s="159">
        <v>45707.0</v>
      </c>
      <c r="E5566" s="157" t="s">
        <v>731</v>
      </c>
      <c r="F5566" s="160">
        <v>76296.64</v>
      </c>
      <c r="G5566" s="160">
        <f>'FACP$'!$F5566*0.16</f>
        <v>12207.4624</v>
      </c>
      <c r="H5566" s="160">
        <f t="shared" si="124"/>
        <v>88504.1024</v>
      </c>
      <c r="I5566" s="160"/>
      <c r="J5566" s="161"/>
      <c r="K5566" s="160"/>
      <c r="L5566" s="160">
        <f>+'FACP$'!$H5566-'FACP$'!$I5566-'FACP$'!$K5566</f>
        <v>88504.1024</v>
      </c>
      <c r="M5566" s="162" t="s">
        <v>530</v>
      </c>
      <c r="N5566" s="162" t="s">
        <v>554</v>
      </c>
      <c r="O5566" s="164">
        <v>45721.0</v>
      </c>
      <c r="P5566" s="164">
        <f t="array" ref="P5566">XLOOKUP('FACP$'!$B5566,'perfil de pagos'!$A$4:$A$46,'perfil de pagos'!$B$4:$B$46+'FACP$'!$D5566)</f>
        <v>45717</v>
      </c>
      <c r="Q5566" s="165">
        <f t="shared" si="128"/>
        <v>0</v>
      </c>
      <c r="R5566" s="167"/>
      <c r="S5566" s="167">
        <v>3660.0</v>
      </c>
      <c r="T5566" s="168">
        <f t="shared" si="3"/>
        <v>88504.1024</v>
      </c>
      <c r="U5566" s="168">
        <f t="shared" si="4"/>
        <v>0</v>
      </c>
      <c r="V5566" s="168">
        <f t="shared" si="5"/>
        <v>0</v>
      </c>
      <c r="W5566" s="168">
        <f t="shared" si="6"/>
        <v>0</v>
      </c>
      <c r="X5566" s="168">
        <f t="shared" si="7"/>
        <v>0</v>
      </c>
      <c r="Y5566" s="168">
        <f t="shared" si="8"/>
        <v>0</v>
      </c>
      <c r="Z5566" s="168">
        <f t="shared" si="9"/>
        <v>0</v>
      </c>
    </row>
    <row r="5567" ht="15.0" customHeight="1">
      <c r="A5567" s="157" t="s">
        <v>7048</v>
      </c>
      <c r="B5567" s="158" t="s">
        <v>36</v>
      </c>
      <c r="C5567" s="158" t="s">
        <v>7045</v>
      </c>
      <c r="D5567" s="159">
        <v>45707.0</v>
      </c>
      <c r="E5567" s="157" t="s">
        <v>731</v>
      </c>
      <c r="F5567" s="160">
        <v>65717.0</v>
      </c>
      <c r="G5567" s="160">
        <f>'FACP$'!$F5567*0.16</f>
        <v>10514.72</v>
      </c>
      <c r="H5567" s="160">
        <f t="shared" si="124"/>
        <v>76231.72</v>
      </c>
      <c r="I5567" s="160"/>
      <c r="J5567" s="161"/>
      <c r="K5567" s="160"/>
      <c r="L5567" s="160">
        <f>+'FACP$'!$H5567-'FACP$'!$I5567-'FACP$'!$K5567</f>
        <v>76231.72</v>
      </c>
      <c r="M5567" s="162" t="s">
        <v>530</v>
      </c>
      <c r="N5567" s="162" t="s">
        <v>554</v>
      </c>
      <c r="O5567" s="164">
        <v>45721.0</v>
      </c>
      <c r="P5567" s="164">
        <f t="array" ref="P5567">XLOOKUP('FACP$'!$B5567,'perfil de pagos'!$A$4:$A$46,'perfil de pagos'!$B$4:$B$46+'FACP$'!$D5567)</f>
        <v>45717</v>
      </c>
      <c r="Q5567" s="165">
        <f t="shared" si="128"/>
        <v>0</v>
      </c>
      <c r="R5567" s="167"/>
      <c r="S5567" s="167">
        <v>3659.0</v>
      </c>
      <c r="T5567" s="168">
        <f t="shared" si="3"/>
        <v>76231.72</v>
      </c>
      <c r="U5567" s="168">
        <f t="shared" si="4"/>
        <v>0</v>
      </c>
      <c r="V5567" s="168">
        <f t="shared" si="5"/>
        <v>0</v>
      </c>
      <c r="W5567" s="168">
        <f t="shared" si="6"/>
        <v>0</v>
      </c>
      <c r="X5567" s="168">
        <f t="shared" si="7"/>
        <v>0</v>
      </c>
      <c r="Y5567" s="168">
        <f t="shared" si="8"/>
        <v>0</v>
      </c>
      <c r="Z5567" s="168">
        <f t="shared" si="9"/>
        <v>0</v>
      </c>
    </row>
    <row r="5568" ht="15.0" customHeight="1">
      <c r="A5568" s="157" t="s">
        <v>7049</v>
      </c>
      <c r="B5568" s="158" t="s">
        <v>36</v>
      </c>
      <c r="C5568" s="158" t="s">
        <v>7043</v>
      </c>
      <c r="D5568" s="159">
        <v>45707.0</v>
      </c>
      <c r="E5568" s="157" t="s">
        <v>731</v>
      </c>
      <c r="F5568" s="160">
        <v>39673.3</v>
      </c>
      <c r="G5568" s="160">
        <f>'FACP$'!$F5568*0.16</f>
        <v>6347.728</v>
      </c>
      <c r="H5568" s="160">
        <f t="shared" si="124"/>
        <v>46021.028</v>
      </c>
      <c r="I5568" s="160">
        <v>36021.03</v>
      </c>
      <c r="J5568" s="161"/>
      <c r="K5568" s="160"/>
      <c r="L5568" s="160">
        <f>+'FACP$'!$H5568-'FACP$'!$I5568-'FACP$'!$K5568</f>
        <v>9999.998</v>
      </c>
      <c r="M5568" s="162" t="s">
        <v>526</v>
      </c>
      <c r="N5568" s="162" t="s">
        <v>554</v>
      </c>
      <c r="O5568" s="164">
        <v>45741.0</v>
      </c>
      <c r="P5568" s="164">
        <f t="array" ref="P5568">XLOOKUP('FACP$'!$B5568,'perfil de pagos'!$A$4:$A$46,'perfil de pagos'!$B$4:$B$46+'FACP$'!$D5568)</f>
        <v>45717</v>
      </c>
      <c r="Q5568" s="165">
        <f t="shared" si="128"/>
        <v>0</v>
      </c>
      <c r="R5568" s="220" t="s">
        <v>7050</v>
      </c>
      <c r="S5568" s="265">
        <v>3.6903706E7</v>
      </c>
      <c r="T5568" s="168">
        <f t="shared" si="3"/>
        <v>9999.998</v>
      </c>
      <c r="U5568" s="168">
        <f t="shared" si="4"/>
        <v>0</v>
      </c>
      <c r="V5568" s="168">
        <f t="shared" si="5"/>
        <v>0</v>
      </c>
      <c r="W5568" s="168">
        <f t="shared" si="6"/>
        <v>0</v>
      </c>
      <c r="X5568" s="168">
        <f t="shared" si="7"/>
        <v>0</v>
      </c>
      <c r="Y5568" s="168">
        <f t="shared" si="8"/>
        <v>0</v>
      </c>
      <c r="Z5568" s="168">
        <f t="shared" si="9"/>
        <v>0</v>
      </c>
    </row>
    <row r="5569" ht="15.0" customHeight="1">
      <c r="A5569" s="157" t="s">
        <v>7051</v>
      </c>
      <c r="B5569" s="158" t="s">
        <v>36</v>
      </c>
      <c r="C5569" s="158" t="s">
        <v>7045</v>
      </c>
      <c r="D5569" s="159">
        <v>45707.0</v>
      </c>
      <c r="E5569" s="157" t="s">
        <v>731</v>
      </c>
      <c r="F5569" s="160">
        <v>38682.55</v>
      </c>
      <c r="G5569" s="160">
        <f>'FACP$'!$F5569*0.16</f>
        <v>6189.208</v>
      </c>
      <c r="H5569" s="160">
        <f>'FACP$'!$F5569+'FACP$'!$G5569</f>
        <v>44871.758</v>
      </c>
      <c r="I5569" s="160"/>
      <c r="J5569" s="161"/>
      <c r="K5569" s="160"/>
      <c r="L5569" s="160">
        <f>+'FACP$'!$H5569-'FACP$'!$I5569-'FACP$'!$K5569</f>
        <v>44871.758</v>
      </c>
      <c r="M5569" s="162" t="s">
        <v>526</v>
      </c>
      <c r="N5569" s="162" t="s">
        <v>554</v>
      </c>
      <c r="O5569" s="164">
        <v>45735.0</v>
      </c>
      <c r="P5569" s="164">
        <f t="array" ref="P5569">XLOOKUP('FACP$'!$B5569,'perfil de pagos'!$A$4:$A$46,'perfil de pagos'!$B$4:$B$46+'FACP$'!$D5569)</f>
        <v>45717</v>
      </c>
      <c r="Q5569" s="165">
        <f t="shared" si="128"/>
        <v>0</v>
      </c>
      <c r="R5569" s="167"/>
      <c r="S5569" s="167">
        <v>3692.0</v>
      </c>
      <c r="T5569" s="168">
        <f t="shared" si="3"/>
        <v>44871.758</v>
      </c>
      <c r="U5569" s="168">
        <f t="shared" si="4"/>
        <v>0</v>
      </c>
      <c r="V5569" s="168">
        <f t="shared" si="5"/>
        <v>0</v>
      </c>
      <c r="W5569" s="168">
        <f t="shared" si="6"/>
        <v>0</v>
      </c>
      <c r="X5569" s="168">
        <f t="shared" si="7"/>
        <v>0</v>
      </c>
      <c r="Y5569" s="168">
        <f t="shared" si="8"/>
        <v>0</v>
      </c>
      <c r="Z5569" s="168">
        <f t="shared" si="9"/>
        <v>0</v>
      </c>
    </row>
    <row r="5570" ht="15.0" customHeight="1">
      <c r="A5570" s="157" t="s">
        <v>7052</v>
      </c>
      <c r="B5570" s="158" t="s">
        <v>42</v>
      </c>
      <c r="C5570" s="158" t="s">
        <v>7043</v>
      </c>
      <c r="D5570" s="159">
        <v>45707.0</v>
      </c>
      <c r="E5570" s="157" t="s">
        <v>731</v>
      </c>
      <c r="F5570" s="160">
        <v>253229.39</v>
      </c>
      <c r="G5570" s="160">
        <f>'FACP$'!$F5570*0.16</f>
        <v>40516.7024</v>
      </c>
      <c r="H5570" s="160">
        <f t="shared" ref="H5570:H5707" si="129">F5570+G5570</f>
        <v>293746.0924</v>
      </c>
      <c r="I5570" s="160"/>
      <c r="J5570" s="161"/>
      <c r="K5570" s="160"/>
      <c r="L5570" s="160">
        <f>+'FACP$'!$H5570-'FACP$'!$I5570-'FACP$'!$K5570</f>
        <v>293746.0924</v>
      </c>
      <c r="M5570" s="162" t="s">
        <v>42</v>
      </c>
      <c r="N5570" s="162" t="s">
        <v>554</v>
      </c>
      <c r="O5570" s="164">
        <v>45722.0</v>
      </c>
      <c r="P5570" s="164">
        <f t="array" ref="P5570">XLOOKUP('FACP$'!$B5570,'perfil de pagos'!$A$4:$A$46,'perfil de pagos'!$B$4:$B$46+'FACP$'!$D5570)</f>
        <v>45717</v>
      </c>
      <c r="Q5570" s="165">
        <f t="shared" si="128"/>
        <v>0</v>
      </c>
      <c r="R5570" s="167"/>
      <c r="S5570" s="167">
        <v>3662.0</v>
      </c>
      <c r="T5570" s="168">
        <f t="shared" si="3"/>
        <v>293746.0924</v>
      </c>
      <c r="U5570" s="168">
        <f t="shared" si="4"/>
        <v>0</v>
      </c>
      <c r="V5570" s="168">
        <f t="shared" si="5"/>
        <v>0</v>
      </c>
      <c r="W5570" s="168">
        <f t="shared" si="6"/>
        <v>0</v>
      </c>
      <c r="X5570" s="168">
        <f t="shared" si="7"/>
        <v>0</v>
      </c>
      <c r="Y5570" s="168">
        <f t="shared" si="8"/>
        <v>0</v>
      </c>
      <c r="Z5570" s="168">
        <f t="shared" si="9"/>
        <v>0</v>
      </c>
    </row>
    <row r="5571" ht="15.0" customHeight="1">
      <c r="A5571" s="157" t="s">
        <v>7053</v>
      </c>
      <c r="B5571" s="158" t="s">
        <v>44</v>
      </c>
      <c r="C5571" s="158" t="s">
        <v>7043</v>
      </c>
      <c r="D5571" s="159">
        <v>45707.0</v>
      </c>
      <c r="E5571" s="157" t="s">
        <v>731</v>
      </c>
      <c r="F5571" s="160">
        <v>298590.62</v>
      </c>
      <c r="G5571" s="160">
        <f>'FACP$'!$F5571*0.16</f>
        <v>47774.4992</v>
      </c>
      <c r="H5571" s="160">
        <f t="shared" si="129"/>
        <v>346365.1192</v>
      </c>
      <c r="I5571" s="160"/>
      <c r="J5571" s="161"/>
      <c r="K5571" s="160"/>
      <c r="L5571" s="160">
        <f>+'FACP$'!$H5571-'FACP$'!$I5571-'FACP$'!$K5571</f>
        <v>346365.1192</v>
      </c>
      <c r="M5571" s="162" t="s">
        <v>361</v>
      </c>
      <c r="N5571" s="162" t="s">
        <v>554</v>
      </c>
      <c r="O5571" s="164">
        <v>45716.0</v>
      </c>
      <c r="P5571" s="164">
        <f t="array" ref="P5571">XLOOKUP('FACP$'!$B5571,'perfil de pagos'!$A$4:$A$46,'perfil de pagos'!$B$4:$B$46+'FACP$'!$D5571)</f>
        <v>45717</v>
      </c>
      <c r="Q5571" s="165">
        <f t="shared" si="128"/>
        <v>0</v>
      </c>
      <c r="R5571" s="167"/>
      <c r="S5571" s="167">
        <v>3650.0</v>
      </c>
      <c r="T5571" s="168">
        <f t="shared" si="3"/>
        <v>346365.1192</v>
      </c>
      <c r="U5571" s="168">
        <f t="shared" si="4"/>
        <v>0</v>
      </c>
      <c r="V5571" s="168">
        <f t="shared" si="5"/>
        <v>0</v>
      </c>
      <c r="W5571" s="168">
        <f t="shared" si="6"/>
        <v>0</v>
      </c>
      <c r="X5571" s="168">
        <f t="shared" si="7"/>
        <v>0</v>
      </c>
      <c r="Y5571" s="168">
        <f t="shared" si="8"/>
        <v>0</v>
      </c>
      <c r="Z5571" s="168">
        <f t="shared" si="9"/>
        <v>0</v>
      </c>
    </row>
    <row r="5572" ht="15.0" customHeight="1">
      <c r="A5572" s="157" t="s">
        <v>7054</v>
      </c>
      <c r="B5572" s="158" t="s">
        <v>41</v>
      </c>
      <c r="C5572" s="158" t="s">
        <v>7043</v>
      </c>
      <c r="D5572" s="159">
        <v>45707.0</v>
      </c>
      <c r="E5572" s="157" t="s">
        <v>731</v>
      </c>
      <c r="F5572" s="160">
        <v>1786682.45</v>
      </c>
      <c r="G5572" s="160">
        <f>'FACP$'!$F5572*0.16</f>
        <v>285869.192</v>
      </c>
      <c r="H5572" s="160">
        <f t="shared" si="129"/>
        <v>2072551.642</v>
      </c>
      <c r="I5572" s="160"/>
      <c r="J5572" s="161"/>
      <c r="K5572" s="160"/>
      <c r="L5572" s="160">
        <f>+'FACP$'!$H5572-'FACP$'!$I5572-'FACP$'!$K5572</f>
        <v>2072551.642</v>
      </c>
      <c r="M5572" s="162" t="s">
        <v>121</v>
      </c>
      <c r="N5572" s="162" t="s">
        <v>554</v>
      </c>
      <c r="O5572" s="164">
        <v>45747.0</v>
      </c>
      <c r="P5572" s="164">
        <f t="array" ref="P5572">XLOOKUP('FACP$'!$B5572,'perfil de pagos'!$A$4:$A$46,'perfil de pagos'!$B$4:$B$46+'FACP$'!$D5572)</f>
        <v>45717</v>
      </c>
      <c r="Q5572" s="165">
        <f t="shared" si="128"/>
        <v>0</v>
      </c>
      <c r="R5572" s="167"/>
      <c r="S5572" s="167">
        <v>3716.0</v>
      </c>
      <c r="T5572" s="168">
        <f t="shared" si="3"/>
        <v>2072551.642</v>
      </c>
      <c r="U5572" s="168">
        <f t="shared" si="4"/>
        <v>0</v>
      </c>
      <c r="V5572" s="168">
        <f t="shared" si="5"/>
        <v>0</v>
      </c>
      <c r="W5572" s="168">
        <f t="shared" si="6"/>
        <v>0</v>
      </c>
      <c r="X5572" s="168">
        <f t="shared" si="7"/>
        <v>0</v>
      </c>
      <c r="Y5572" s="168">
        <f t="shared" si="8"/>
        <v>0</v>
      </c>
      <c r="Z5572" s="168">
        <f t="shared" si="9"/>
        <v>0</v>
      </c>
    </row>
    <row r="5573" ht="15.0" customHeight="1">
      <c r="A5573" s="157" t="s">
        <v>7055</v>
      </c>
      <c r="B5573" s="158" t="s">
        <v>38</v>
      </c>
      <c r="C5573" s="158" t="s">
        <v>7043</v>
      </c>
      <c r="D5573" s="159">
        <v>45708.0</v>
      </c>
      <c r="E5573" s="157" t="s">
        <v>731</v>
      </c>
      <c r="F5573" s="160">
        <v>148345.82</v>
      </c>
      <c r="G5573" s="160">
        <f>'FACP$'!$F5573*0.16</f>
        <v>23735.3312</v>
      </c>
      <c r="H5573" s="160">
        <f t="shared" si="129"/>
        <v>172081.1512</v>
      </c>
      <c r="I5573" s="160"/>
      <c r="J5573" s="161"/>
      <c r="K5573" s="160"/>
      <c r="L5573" s="160">
        <f>+'FACP$'!$H5573-'FACP$'!$I5573-'FACP$'!$K5573</f>
        <v>172081.1512</v>
      </c>
      <c r="M5573" s="162" t="s">
        <v>4654</v>
      </c>
      <c r="N5573" s="162" t="s">
        <v>554</v>
      </c>
      <c r="O5573" s="164">
        <v>45728.0</v>
      </c>
      <c r="P5573" s="164">
        <f t="array" ref="P5573">XLOOKUP('FACP$'!$B5573,'perfil de pagos'!$A$4:$A$46,'perfil de pagos'!$B$4:$B$46+'FACP$'!$D5573)</f>
        <v>45738</v>
      </c>
      <c r="Q5573" s="165">
        <f t="shared" si="128"/>
        <v>0</v>
      </c>
      <c r="R5573" s="167"/>
      <c r="S5573" s="167">
        <v>3676.0</v>
      </c>
      <c r="T5573" s="168">
        <f t="shared" si="3"/>
        <v>172081.1512</v>
      </c>
      <c r="U5573" s="168">
        <f t="shared" si="4"/>
        <v>0</v>
      </c>
      <c r="V5573" s="168">
        <f t="shared" si="5"/>
        <v>0</v>
      </c>
      <c r="W5573" s="168">
        <f t="shared" si="6"/>
        <v>0</v>
      </c>
      <c r="X5573" s="168">
        <f t="shared" si="7"/>
        <v>0</v>
      </c>
      <c r="Y5573" s="168">
        <f t="shared" si="8"/>
        <v>0</v>
      </c>
      <c r="Z5573" s="168">
        <f t="shared" si="9"/>
        <v>0</v>
      </c>
    </row>
    <row r="5574" ht="15.0" customHeight="1">
      <c r="A5574" s="157" t="s">
        <v>7056</v>
      </c>
      <c r="B5574" s="158" t="s">
        <v>27</v>
      </c>
      <c r="C5574" s="158" t="s">
        <v>7057</v>
      </c>
      <c r="D5574" s="159">
        <v>45712.0</v>
      </c>
      <c r="E5574" s="157" t="s">
        <v>731</v>
      </c>
      <c r="F5574" s="160">
        <v>224593.94</v>
      </c>
      <c r="G5574" s="160">
        <f>'FACP$'!$F5574*0.16</f>
        <v>35935.0304</v>
      </c>
      <c r="H5574" s="160">
        <f t="shared" si="129"/>
        <v>260528.9704</v>
      </c>
      <c r="I5574" s="160"/>
      <c r="J5574" s="161"/>
      <c r="K5574" s="160"/>
      <c r="L5574" s="160">
        <f>+'FACP$'!$H5574-'FACP$'!$I5574-'FACP$'!$K5574</f>
        <v>260528.9704</v>
      </c>
      <c r="M5574" s="162" t="s">
        <v>158</v>
      </c>
      <c r="N5574" s="162"/>
      <c r="O5574" s="164"/>
      <c r="P5574" s="164">
        <f t="array" ref="P5574">XLOOKUP('FACP$'!$B5574,'perfil de pagos'!$A$4:$A$46,'perfil de pagos'!$B$4:$B$46+'FACP$'!$D5574)</f>
        <v>45742</v>
      </c>
      <c r="Q5574" s="165">
        <f t="shared" si="128"/>
        <v>47</v>
      </c>
      <c r="R5574" s="167"/>
      <c r="S5574" s="167"/>
      <c r="T5574" s="168">
        <f t="shared" si="3"/>
        <v>0</v>
      </c>
      <c r="U5574" s="168">
        <f t="shared" si="4"/>
        <v>0</v>
      </c>
      <c r="V5574" s="168">
        <f t="shared" si="5"/>
        <v>0</v>
      </c>
      <c r="W5574" s="168">
        <f t="shared" si="6"/>
        <v>0</v>
      </c>
      <c r="X5574" s="168">
        <f t="shared" si="7"/>
        <v>260528.9704</v>
      </c>
      <c r="Y5574" s="168">
        <f t="shared" si="8"/>
        <v>0</v>
      </c>
      <c r="Z5574" s="168">
        <f t="shared" si="9"/>
        <v>0</v>
      </c>
    </row>
    <row r="5575" ht="15.0" customHeight="1">
      <c r="A5575" s="157" t="s">
        <v>7058</v>
      </c>
      <c r="B5575" s="158" t="s">
        <v>27</v>
      </c>
      <c r="C5575" s="158" t="s">
        <v>7059</v>
      </c>
      <c r="D5575" s="159">
        <v>45712.0</v>
      </c>
      <c r="E5575" s="157" t="s">
        <v>731</v>
      </c>
      <c r="F5575" s="160">
        <v>119591.02</v>
      </c>
      <c r="G5575" s="160">
        <f>'FACP$'!$F5575*0.16</f>
        <v>19134.5632</v>
      </c>
      <c r="H5575" s="160">
        <f t="shared" si="129"/>
        <v>138725.5832</v>
      </c>
      <c r="I5575" s="160"/>
      <c r="J5575" s="161"/>
      <c r="K5575" s="160"/>
      <c r="L5575" s="160">
        <f>+'FACP$'!$H5575-'FACP$'!$I5575-'FACP$'!$K5575</f>
        <v>138725.5832</v>
      </c>
      <c r="M5575" s="162" t="s">
        <v>158</v>
      </c>
      <c r="N5575" s="162"/>
      <c r="O5575" s="164"/>
      <c r="P5575" s="164">
        <f t="array" ref="P5575">XLOOKUP('FACP$'!$B5575,'perfil de pagos'!$A$4:$A$46,'perfil de pagos'!$B$4:$B$46+'FACP$'!$D5575)</f>
        <v>45742</v>
      </c>
      <c r="Q5575" s="165">
        <f t="shared" si="128"/>
        <v>47</v>
      </c>
      <c r="R5575" s="167"/>
      <c r="S5575" s="167"/>
      <c r="T5575" s="168">
        <f t="shared" si="3"/>
        <v>0</v>
      </c>
      <c r="U5575" s="168">
        <f t="shared" si="4"/>
        <v>0</v>
      </c>
      <c r="V5575" s="168">
        <f t="shared" si="5"/>
        <v>0</v>
      </c>
      <c r="W5575" s="168">
        <f t="shared" si="6"/>
        <v>0</v>
      </c>
      <c r="X5575" s="168">
        <f t="shared" si="7"/>
        <v>138725.5832</v>
      </c>
      <c r="Y5575" s="168">
        <f t="shared" si="8"/>
        <v>0</v>
      </c>
      <c r="Z5575" s="168">
        <f t="shared" si="9"/>
        <v>0</v>
      </c>
    </row>
    <row r="5576" ht="15.0" customHeight="1">
      <c r="A5576" s="157" t="s">
        <v>7060</v>
      </c>
      <c r="B5576" s="158" t="s">
        <v>27</v>
      </c>
      <c r="C5576" s="158" t="s">
        <v>7057</v>
      </c>
      <c r="D5576" s="159">
        <v>45712.0</v>
      </c>
      <c r="E5576" s="157" t="s">
        <v>731</v>
      </c>
      <c r="F5576" s="160">
        <v>331406.96</v>
      </c>
      <c r="G5576" s="160">
        <f>'FACP$'!$F5576*0.16</f>
        <v>53025.1136</v>
      </c>
      <c r="H5576" s="160">
        <f t="shared" si="129"/>
        <v>384432.0736</v>
      </c>
      <c r="I5576" s="160"/>
      <c r="J5576" s="161"/>
      <c r="K5576" s="160"/>
      <c r="L5576" s="160">
        <f>+'FACP$'!$H5576-'FACP$'!$I5576-'FACP$'!$K5576</f>
        <v>384432.0736</v>
      </c>
      <c r="M5576" s="162" t="s">
        <v>151</v>
      </c>
      <c r="N5576" s="162"/>
      <c r="O5576" s="164"/>
      <c r="P5576" s="164">
        <f t="array" ref="P5576">XLOOKUP('FACP$'!$B5576,'perfil de pagos'!$A$4:$A$46,'perfil de pagos'!$B$4:$B$46+'FACP$'!$D5576)</f>
        <v>45742</v>
      </c>
      <c r="Q5576" s="165">
        <f t="shared" si="128"/>
        <v>47</v>
      </c>
      <c r="R5576" s="167"/>
      <c r="S5576" s="167"/>
      <c r="T5576" s="168">
        <f t="shared" si="3"/>
        <v>0</v>
      </c>
      <c r="U5576" s="168">
        <f t="shared" si="4"/>
        <v>0</v>
      </c>
      <c r="V5576" s="168">
        <f t="shared" si="5"/>
        <v>0</v>
      </c>
      <c r="W5576" s="168">
        <f t="shared" si="6"/>
        <v>0</v>
      </c>
      <c r="X5576" s="168">
        <f t="shared" si="7"/>
        <v>384432.0736</v>
      </c>
      <c r="Y5576" s="168">
        <f t="shared" si="8"/>
        <v>0</v>
      </c>
      <c r="Z5576" s="168">
        <f t="shared" si="9"/>
        <v>0</v>
      </c>
    </row>
    <row r="5577" ht="15.0" customHeight="1">
      <c r="A5577" s="157" t="s">
        <v>7061</v>
      </c>
      <c r="B5577" s="158" t="s">
        <v>27</v>
      </c>
      <c r="C5577" s="158" t="s">
        <v>7059</v>
      </c>
      <c r="D5577" s="159">
        <v>45712.0</v>
      </c>
      <c r="E5577" s="157" t="s">
        <v>731</v>
      </c>
      <c r="F5577" s="160">
        <v>157796.31</v>
      </c>
      <c r="G5577" s="160">
        <f>'FACP$'!$F5577*0.16</f>
        <v>25247.4096</v>
      </c>
      <c r="H5577" s="160">
        <f t="shared" si="129"/>
        <v>183043.7196</v>
      </c>
      <c r="I5577" s="160"/>
      <c r="J5577" s="161"/>
      <c r="K5577" s="160"/>
      <c r="L5577" s="160">
        <f>+'FACP$'!$H5577-'FACP$'!$I5577-'FACP$'!$K5577</f>
        <v>183043.7196</v>
      </c>
      <c r="M5577" s="162" t="s">
        <v>151</v>
      </c>
      <c r="N5577" s="162"/>
      <c r="O5577" s="164"/>
      <c r="P5577" s="164">
        <f t="array" ref="P5577">XLOOKUP('FACP$'!$B5577,'perfil de pagos'!$A$4:$A$46,'perfil de pagos'!$B$4:$B$46+'FACP$'!$D5577)</f>
        <v>45742</v>
      </c>
      <c r="Q5577" s="165">
        <f t="shared" si="128"/>
        <v>47</v>
      </c>
      <c r="R5577" s="167"/>
      <c r="S5577" s="167"/>
      <c r="T5577" s="168">
        <f t="shared" si="3"/>
        <v>0</v>
      </c>
      <c r="U5577" s="168">
        <f t="shared" si="4"/>
        <v>0</v>
      </c>
      <c r="V5577" s="168">
        <f t="shared" si="5"/>
        <v>0</v>
      </c>
      <c r="W5577" s="168">
        <f t="shared" si="6"/>
        <v>0</v>
      </c>
      <c r="X5577" s="168">
        <f t="shared" si="7"/>
        <v>183043.7196</v>
      </c>
      <c r="Y5577" s="168">
        <f t="shared" si="8"/>
        <v>0</v>
      </c>
      <c r="Z5577" s="168">
        <f t="shared" si="9"/>
        <v>0</v>
      </c>
    </row>
    <row r="5578" ht="15.0" customHeight="1">
      <c r="A5578" s="157" t="s">
        <v>7062</v>
      </c>
      <c r="B5578" s="158" t="s">
        <v>27</v>
      </c>
      <c r="C5578" s="158" t="s">
        <v>7057</v>
      </c>
      <c r="D5578" s="159">
        <v>45712.0</v>
      </c>
      <c r="E5578" s="157" t="s">
        <v>731</v>
      </c>
      <c r="F5578" s="160">
        <v>23064.03</v>
      </c>
      <c r="G5578" s="160">
        <f>'FACP$'!$F5578*0.16</f>
        <v>3690.2448</v>
      </c>
      <c r="H5578" s="160">
        <f t="shared" si="129"/>
        <v>26754.2748</v>
      </c>
      <c r="I5578" s="160"/>
      <c r="J5578" s="161"/>
      <c r="K5578" s="160"/>
      <c r="L5578" s="160">
        <f>+'FACP$'!$H5578-'FACP$'!$I5578-'FACP$'!$K5578</f>
        <v>26754.2748</v>
      </c>
      <c r="M5578" s="162" t="s">
        <v>151</v>
      </c>
      <c r="N5578" s="162"/>
      <c r="O5578" s="164"/>
      <c r="P5578" s="164">
        <f t="array" ref="P5578">XLOOKUP('FACP$'!$B5578,'perfil de pagos'!$A$4:$A$46,'perfil de pagos'!$B$4:$B$46+'FACP$'!$D5578)</f>
        <v>45742</v>
      </c>
      <c r="Q5578" s="165">
        <f t="shared" si="128"/>
        <v>47</v>
      </c>
      <c r="R5578" s="167"/>
      <c r="S5578" s="167"/>
      <c r="T5578" s="168">
        <f t="shared" si="3"/>
        <v>0</v>
      </c>
      <c r="U5578" s="168">
        <f t="shared" si="4"/>
        <v>0</v>
      </c>
      <c r="V5578" s="168">
        <f t="shared" si="5"/>
        <v>0</v>
      </c>
      <c r="W5578" s="168">
        <f t="shared" si="6"/>
        <v>0</v>
      </c>
      <c r="X5578" s="168">
        <f t="shared" si="7"/>
        <v>26754.2748</v>
      </c>
      <c r="Y5578" s="168">
        <f t="shared" si="8"/>
        <v>0</v>
      </c>
      <c r="Z5578" s="168">
        <f t="shared" si="9"/>
        <v>0</v>
      </c>
    </row>
    <row r="5579" ht="15.0" customHeight="1">
      <c r="A5579" s="157" t="s">
        <v>7063</v>
      </c>
      <c r="B5579" s="158" t="s">
        <v>27</v>
      </c>
      <c r="C5579" s="158" t="s">
        <v>7059</v>
      </c>
      <c r="D5579" s="159">
        <v>45712.0</v>
      </c>
      <c r="E5579" s="157" t="s">
        <v>731</v>
      </c>
      <c r="F5579" s="160">
        <v>15053.72</v>
      </c>
      <c r="G5579" s="160">
        <f>'FACP$'!$F5579*0.16</f>
        <v>2408.5952</v>
      </c>
      <c r="H5579" s="160">
        <f t="shared" si="129"/>
        <v>17462.3152</v>
      </c>
      <c r="I5579" s="160"/>
      <c r="J5579" s="161"/>
      <c r="K5579" s="160"/>
      <c r="L5579" s="160">
        <f>+'FACP$'!$H5579-'FACP$'!$I5579-'FACP$'!$K5579</f>
        <v>17462.3152</v>
      </c>
      <c r="M5579" s="162" t="s">
        <v>151</v>
      </c>
      <c r="N5579" s="162"/>
      <c r="O5579" s="164"/>
      <c r="P5579" s="164">
        <f t="array" ref="P5579">XLOOKUP('FACP$'!$B5579,'perfil de pagos'!$A$4:$A$46,'perfil de pagos'!$B$4:$B$46+'FACP$'!$D5579)</f>
        <v>45742</v>
      </c>
      <c r="Q5579" s="165">
        <f t="shared" si="128"/>
        <v>47</v>
      </c>
      <c r="R5579" s="167"/>
      <c r="S5579" s="167"/>
      <c r="T5579" s="168">
        <f t="shared" si="3"/>
        <v>0</v>
      </c>
      <c r="U5579" s="168">
        <f t="shared" si="4"/>
        <v>0</v>
      </c>
      <c r="V5579" s="168">
        <f t="shared" si="5"/>
        <v>0</v>
      </c>
      <c r="W5579" s="168">
        <f t="shared" si="6"/>
        <v>0</v>
      </c>
      <c r="X5579" s="168">
        <f t="shared" si="7"/>
        <v>17462.3152</v>
      </c>
      <c r="Y5579" s="168">
        <f t="shared" si="8"/>
        <v>0</v>
      </c>
      <c r="Z5579" s="168">
        <f t="shared" si="9"/>
        <v>0</v>
      </c>
    </row>
    <row r="5580" ht="15.0" customHeight="1">
      <c r="A5580" s="157" t="s">
        <v>7064</v>
      </c>
      <c r="B5580" s="158" t="s">
        <v>18</v>
      </c>
      <c r="C5580" s="158" t="s">
        <v>7043</v>
      </c>
      <c r="D5580" s="159">
        <v>45713.0</v>
      </c>
      <c r="E5580" s="157" t="s">
        <v>731</v>
      </c>
      <c r="F5580" s="160">
        <v>120615.61</v>
      </c>
      <c r="G5580" s="160">
        <f>'FACP$'!$F5580*0.16</f>
        <v>19298.4976</v>
      </c>
      <c r="H5580" s="160">
        <f t="shared" si="129"/>
        <v>139914.1076</v>
      </c>
      <c r="I5580" s="160"/>
      <c r="J5580" s="161"/>
      <c r="K5580" s="160"/>
      <c r="L5580" s="160">
        <f>+'FACP$'!$H5580-'FACP$'!$I5580-'FACP$'!$K5580</f>
        <v>139914.1076</v>
      </c>
      <c r="M5580" s="162" t="s">
        <v>586</v>
      </c>
      <c r="N5580" s="162" t="s">
        <v>554</v>
      </c>
      <c r="O5580" s="164">
        <v>45750.0</v>
      </c>
      <c r="P5580" s="164">
        <f t="array" ref="P5580">XLOOKUP('FACP$'!$B5580,'perfil de pagos'!$A$4:$A$46,'perfil de pagos'!$B$4:$B$46+'FACP$'!$D5580)</f>
        <v>45723</v>
      </c>
      <c r="Q5580" s="165">
        <f t="shared" si="128"/>
        <v>0</v>
      </c>
      <c r="R5580" s="167"/>
      <c r="S5580" s="167">
        <v>3721.0</v>
      </c>
      <c r="T5580" s="168">
        <f t="shared" si="3"/>
        <v>139914.1076</v>
      </c>
      <c r="U5580" s="168">
        <f t="shared" si="4"/>
        <v>0</v>
      </c>
      <c r="V5580" s="168">
        <f t="shared" si="5"/>
        <v>0</v>
      </c>
      <c r="W5580" s="168">
        <f t="shared" si="6"/>
        <v>0</v>
      </c>
      <c r="X5580" s="168">
        <f t="shared" si="7"/>
        <v>0</v>
      </c>
      <c r="Y5580" s="168">
        <f t="shared" si="8"/>
        <v>0</v>
      </c>
      <c r="Z5580" s="168">
        <f t="shared" si="9"/>
        <v>0</v>
      </c>
    </row>
    <row r="5581" ht="15.0" customHeight="1">
      <c r="A5581" s="157" t="s">
        <v>7065</v>
      </c>
      <c r="B5581" s="158" t="s">
        <v>19</v>
      </c>
      <c r="C5581" s="158" t="s">
        <v>7043</v>
      </c>
      <c r="D5581" s="159">
        <v>45713.0</v>
      </c>
      <c r="E5581" s="157" t="s">
        <v>731</v>
      </c>
      <c r="F5581" s="160">
        <v>230087.25</v>
      </c>
      <c r="G5581" s="160">
        <f>'FACP$'!$F5581*0.16</f>
        <v>36813.96</v>
      </c>
      <c r="H5581" s="160">
        <f t="shared" si="129"/>
        <v>266901.21</v>
      </c>
      <c r="I5581" s="160"/>
      <c r="J5581" s="161"/>
      <c r="K5581" s="160"/>
      <c r="L5581" s="160">
        <f>+'FACP$'!$H5581-'FACP$'!$I5581-'FACP$'!$K5581</f>
        <v>266901.21</v>
      </c>
      <c r="M5581" s="162" t="s">
        <v>732</v>
      </c>
      <c r="N5581" s="162" t="s">
        <v>554</v>
      </c>
      <c r="O5581" s="164">
        <v>45750.0</v>
      </c>
      <c r="P5581" s="164">
        <f t="array" ref="P5581">XLOOKUP('FACP$'!$B5581,'perfil de pagos'!$A$4:$A$46,'perfil de pagos'!$B$4:$B$46+'FACP$'!$D5581)</f>
        <v>45723</v>
      </c>
      <c r="Q5581" s="165">
        <f t="shared" si="128"/>
        <v>0</v>
      </c>
      <c r="R5581" s="167"/>
      <c r="S5581" s="167">
        <v>3721.0</v>
      </c>
      <c r="T5581" s="168">
        <f t="shared" si="3"/>
        <v>266901.21</v>
      </c>
      <c r="U5581" s="168">
        <f t="shared" si="4"/>
        <v>0</v>
      </c>
      <c r="V5581" s="168">
        <f t="shared" si="5"/>
        <v>0</v>
      </c>
      <c r="W5581" s="168">
        <f t="shared" si="6"/>
        <v>0</v>
      </c>
      <c r="X5581" s="168">
        <f t="shared" si="7"/>
        <v>0</v>
      </c>
      <c r="Y5581" s="168">
        <f t="shared" si="8"/>
        <v>0</v>
      </c>
      <c r="Z5581" s="168">
        <f t="shared" si="9"/>
        <v>0</v>
      </c>
    </row>
    <row r="5582" ht="15.0" customHeight="1">
      <c r="A5582" s="157" t="s">
        <v>7066</v>
      </c>
      <c r="B5582" s="158" t="s">
        <v>25</v>
      </c>
      <c r="C5582" s="158" t="s">
        <v>7043</v>
      </c>
      <c r="D5582" s="159">
        <v>45713.0</v>
      </c>
      <c r="E5582" s="157" t="s">
        <v>731</v>
      </c>
      <c r="F5582" s="160">
        <v>84175.57</v>
      </c>
      <c r="G5582" s="160">
        <f>'FACP$'!$F5582*0.16</f>
        <v>13468.0912</v>
      </c>
      <c r="H5582" s="160">
        <f t="shared" si="129"/>
        <v>97643.6612</v>
      </c>
      <c r="I5582" s="160"/>
      <c r="J5582" s="161"/>
      <c r="K5582" s="160"/>
      <c r="L5582" s="160">
        <f>+'FACP$'!$H5582-'FACP$'!$I5582-'FACP$'!$K5582</f>
        <v>97643.6612</v>
      </c>
      <c r="M5582" s="162" t="s">
        <v>4388</v>
      </c>
      <c r="N5582" s="162" t="s">
        <v>554</v>
      </c>
      <c r="O5582" s="164">
        <v>45720.0</v>
      </c>
      <c r="P5582" s="164">
        <f t="array" ref="P5582">XLOOKUP('FACP$'!$B5582,'perfil de pagos'!$A$4:$A$46,'perfil de pagos'!$B$4:$B$46+'FACP$'!$D5582)</f>
        <v>45723</v>
      </c>
      <c r="Q5582" s="165">
        <f t="shared" si="128"/>
        <v>0</v>
      </c>
      <c r="R5582" s="167"/>
      <c r="S5582" s="167">
        <v>3656.0</v>
      </c>
      <c r="T5582" s="168">
        <f t="shared" si="3"/>
        <v>97643.6612</v>
      </c>
      <c r="U5582" s="168">
        <f t="shared" si="4"/>
        <v>0</v>
      </c>
      <c r="V5582" s="168">
        <f t="shared" si="5"/>
        <v>0</v>
      </c>
      <c r="W5582" s="168">
        <f t="shared" si="6"/>
        <v>0</v>
      </c>
      <c r="X5582" s="168">
        <f t="shared" si="7"/>
        <v>0</v>
      </c>
      <c r="Y5582" s="168">
        <f t="shared" si="8"/>
        <v>0</v>
      </c>
      <c r="Z5582" s="168">
        <f t="shared" si="9"/>
        <v>0</v>
      </c>
    </row>
    <row r="5583" ht="15.0" customHeight="1">
      <c r="A5583" s="157" t="s">
        <v>7067</v>
      </c>
      <c r="B5583" s="158" t="s">
        <v>16</v>
      </c>
      <c r="C5583" s="158" t="s">
        <v>7043</v>
      </c>
      <c r="D5583" s="159">
        <v>45713.0</v>
      </c>
      <c r="E5583" s="157" t="s">
        <v>731</v>
      </c>
      <c r="F5583" s="160">
        <v>403254.12</v>
      </c>
      <c r="G5583" s="160">
        <f>'FACP$'!$F5583*0.16</f>
        <v>64520.6592</v>
      </c>
      <c r="H5583" s="160">
        <f t="shared" si="129"/>
        <v>467774.7792</v>
      </c>
      <c r="I5583" s="160"/>
      <c r="J5583" s="161"/>
      <c r="K5583" s="160"/>
      <c r="L5583" s="160">
        <f>+'FACP$'!$H5583-'FACP$'!$I5583-'FACP$'!$K5583</f>
        <v>467774.7792</v>
      </c>
      <c r="M5583" s="162" t="s">
        <v>985</v>
      </c>
      <c r="N5583" s="162" t="s">
        <v>554</v>
      </c>
      <c r="O5583" s="164">
        <v>45729.0</v>
      </c>
      <c r="P5583" s="164">
        <f t="array" ref="P5583">XLOOKUP('FACP$'!$B5583,'perfil de pagos'!$A$4:$A$46,'perfil de pagos'!$B$4:$B$46+'FACP$'!$D5583)</f>
        <v>45723</v>
      </c>
      <c r="Q5583" s="165">
        <f t="shared" si="128"/>
        <v>0</v>
      </c>
      <c r="R5583" s="167"/>
      <c r="S5583" s="167">
        <v>3677.0</v>
      </c>
      <c r="T5583" s="168">
        <f t="shared" si="3"/>
        <v>467774.7792</v>
      </c>
      <c r="U5583" s="168">
        <f t="shared" si="4"/>
        <v>0</v>
      </c>
      <c r="V5583" s="168">
        <f t="shared" si="5"/>
        <v>0</v>
      </c>
      <c r="W5583" s="168">
        <f t="shared" si="6"/>
        <v>0</v>
      </c>
      <c r="X5583" s="168">
        <f t="shared" si="7"/>
        <v>0</v>
      </c>
      <c r="Y5583" s="168">
        <f t="shared" si="8"/>
        <v>0</v>
      </c>
      <c r="Z5583" s="168">
        <f t="shared" si="9"/>
        <v>0</v>
      </c>
    </row>
    <row r="5584" ht="15.0" customHeight="1">
      <c r="A5584" s="157" t="s">
        <v>7068</v>
      </c>
      <c r="B5584" s="158" t="s">
        <v>16</v>
      </c>
      <c r="C5584" s="158" t="s">
        <v>7045</v>
      </c>
      <c r="D5584" s="159">
        <v>45713.0</v>
      </c>
      <c r="E5584" s="157" t="s">
        <v>731</v>
      </c>
      <c r="F5584" s="160">
        <v>425320.74</v>
      </c>
      <c r="G5584" s="160">
        <f>'FACP$'!$F5584*0.16</f>
        <v>68051.3184</v>
      </c>
      <c r="H5584" s="160">
        <f t="shared" si="129"/>
        <v>493372.0584</v>
      </c>
      <c r="I5584" s="160"/>
      <c r="J5584" s="161"/>
      <c r="K5584" s="160"/>
      <c r="L5584" s="160">
        <f>+'FACP$'!$H5584-'FACP$'!$I5584-'FACP$'!$K5584</f>
        <v>493372.0584</v>
      </c>
      <c r="M5584" s="162" t="s">
        <v>985</v>
      </c>
      <c r="N5584" s="162" t="s">
        <v>554</v>
      </c>
      <c r="O5584" s="164">
        <v>45729.0</v>
      </c>
      <c r="P5584" s="164">
        <f t="array" ref="P5584">XLOOKUP('FACP$'!$B5584,'perfil de pagos'!$A$4:$A$46,'perfil de pagos'!$B$4:$B$46+'FACP$'!$D5584)</f>
        <v>45723</v>
      </c>
      <c r="Q5584" s="165">
        <f t="shared" si="128"/>
        <v>0</v>
      </c>
      <c r="R5584" s="167"/>
      <c r="S5584" s="167">
        <v>3677.0</v>
      </c>
      <c r="T5584" s="168">
        <f t="shared" si="3"/>
        <v>493372.0584</v>
      </c>
      <c r="U5584" s="168">
        <f t="shared" si="4"/>
        <v>0</v>
      </c>
      <c r="V5584" s="168">
        <f t="shared" si="5"/>
        <v>0</v>
      </c>
      <c r="W5584" s="168">
        <f t="shared" si="6"/>
        <v>0</v>
      </c>
      <c r="X5584" s="168">
        <f t="shared" si="7"/>
        <v>0</v>
      </c>
      <c r="Y5584" s="168">
        <f t="shared" si="8"/>
        <v>0</v>
      </c>
      <c r="Z5584" s="168">
        <f t="shared" si="9"/>
        <v>0</v>
      </c>
    </row>
    <row r="5585" ht="15.0" customHeight="1">
      <c r="A5585" s="157" t="s">
        <v>7069</v>
      </c>
      <c r="B5585" s="158" t="s">
        <v>40</v>
      </c>
      <c r="C5585" s="158" t="s">
        <v>7043</v>
      </c>
      <c r="D5585" s="159">
        <v>45713.0</v>
      </c>
      <c r="E5585" s="157" t="s">
        <v>731</v>
      </c>
      <c r="F5585" s="160">
        <v>461571.93</v>
      </c>
      <c r="G5585" s="160">
        <f>'FACP$'!$F5585*0.16</f>
        <v>73851.5088</v>
      </c>
      <c r="H5585" s="160">
        <f t="shared" si="129"/>
        <v>535423.4388</v>
      </c>
      <c r="I5585" s="160"/>
      <c r="J5585" s="161"/>
      <c r="K5585" s="160"/>
      <c r="L5585" s="160">
        <f>+'FACP$'!$H5585-'FACP$'!$I5585-'FACP$'!$K5585</f>
        <v>535423.4388</v>
      </c>
      <c r="M5585" s="162" t="s">
        <v>490</v>
      </c>
      <c r="N5585" s="162" t="s">
        <v>554</v>
      </c>
      <c r="O5585" s="164">
        <v>45737.0</v>
      </c>
      <c r="P5585" s="164">
        <f t="array" ref="P5585">XLOOKUP('FACP$'!$B5585,'perfil de pagos'!$A$4:$A$46,'perfil de pagos'!$B$4:$B$46+'FACP$'!$D5585)</f>
        <v>45743</v>
      </c>
      <c r="Q5585" s="165">
        <f t="shared" si="128"/>
        <v>0</v>
      </c>
      <c r="R5585" s="167"/>
      <c r="S5585" s="167">
        <v>3697.0</v>
      </c>
      <c r="T5585" s="168">
        <f t="shared" si="3"/>
        <v>535423.4388</v>
      </c>
      <c r="U5585" s="168">
        <f t="shared" si="4"/>
        <v>0</v>
      </c>
      <c r="V5585" s="168">
        <f t="shared" si="5"/>
        <v>0</v>
      </c>
      <c r="W5585" s="168">
        <f t="shared" si="6"/>
        <v>0</v>
      </c>
      <c r="X5585" s="168">
        <f t="shared" si="7"/>
        <v>0</v>
      </c>
      <c r="Y5585" s="168">
        <f t="shared" si="8"/>
        <v>0</v>
      </c>
      <c r="Z5585" s="168">
        <f t="shared" si="9"/>
        <v>0</v>
      </c>
    </row>
    <row r="5586" ht="15.0" customHeight="1">
      <c r="A5586" s="157" t="s">
        <v>7070</v>
      </c>
      <c r="B5586" s="158" t="s">
        <v>40</v>
      </c>
      <c r="C5586" s="158" t="s">
        <v>7045</v>
      </c>
      <c r="D5586" s="159">
        <v>45713.0</v>
      </c>
      <c r="E5586" s="157" t="s">
        <v>731</v>
      </c>
      <c r="F5586" s="160">
        <v>273866.95</v>
      </c>
      <c r="G5586" s="160">
        <f>'FACP$'!$F5586*0.16</f>
        <v>43818.712</v>
      </c>
      <c r="H5586" s="160">
        <f t="shared" si="129"/>
        <v>317685.662</v>
      </c>
      <c r="I5586" s="160"/>
      <c r="J5586" s="161"/>
      <c r="K5586" s="160"/>
      <c r="L5586" s="160">
        <f>+'FACP$'!$H5586-'FACP$'!$I5586-'FACP$'!$K5586</f>
        <v>317685.662</v>
      </c>
      <c r="M5586" s="162" t="s">
        <v>490</v>
      </c>
      <c r="N5586" s="162" t="s">
        <v>554</v>
      </c>
      <c r="O5586" s="164">
        <v>45737.0</v>
      </c>
      <c r="P5586" s="164">
        <f t="array" ref="P5586">XLOOKUP('FACP$'!$B5586,'perfil de pagos'!$A$4:$A$46,'perfil de pagos'!$B$4:$B$46+'FACP$'!$D5586)</f>
        <v>45743</v>
      </c>
      <c r="Q5586" s="165">
        <f t="shared" si="128"/>
        <v>0</v>
      </c>
      <c r="R5586" s="167"/>
      <c r="S5586" s="167">
        <v>3697.0</v>
      </c>
      <c r="T5586" s="168">
        <f t="shared" si="3"/>
        <v>317685.662</v>
      </c>
      <c r="U5586" s="168">
        <f t="shared" si="4"/>
        <v>0</v>
      </c>
      <c r="V5586" s="168">
        <f t="shared" si="5"/>
        <v>0</v>
      </c>
      <c r="W5586" s="168">
        <f t="shared" si="6"/>
        <v>0</v>
      </c>
      <c r="X5586" s="168">
        <f t="shared" si="7"/>
        <v>0</v>
      </c>
      <c r="Y5586" s="168">
        <f t="shared" si="8"/>
        <v>0</v>
      </c>
      <c r="Z5586" s="168">
        <f t="shared" si="9"/>
        <v>0</v>
      </c>
    </row>
    <row r="5587" ht="15.0" customHeight="1">
      <c r="A5587" s="157" t="s">
        <v>7071</v>
      </c>
      <c r="B5587" s="158" t="s">
        <v>38</v>
      </c>
      <c r="C5587" s="158" t="s">
        <v>7043</v>
      </c>
      <c r="D5587" s="159">
        <v>45714.0</v>
      </c>
      <c r="E5587" s="157" t="s">
        <v>731</v>
      </c>
      <c r="F5587" s="160">
        <v>730336.62</v>
      </c>
      <c r="G5587" s="160">
        <f>'FACP$'!$F5587*0.16</f>
        <v>116853.8592</v>
      </c>
      <c r="H5587" s="160">
        <f t="shared" si="129"/>
        <v>847190.4792</v>
      </c>
      <c r="I5587" s="160"/>
      <c r="J5587" s="161"/>
      <c r="K5587" s="160"/>
      <c r="L5587" s="160">
        <f>+'FACP$'!$H5587-'FACP$'!$I5587-'FACP$'!$K5587</f>
        <v>847190.4792</v>
      </c>
      <c r="M5587" s="162" t="s">
        <v>6978</v>
      </c>
      <c r="N5587" s="162" t="s">
        <v>554</v>
      </c>
      <c r="O5587" s="164">
        <v>45728.0</v>
      </c>
      <c r="P5587" s="164">
        <f t="array" ref="P5587">XLOOKUP('FACP$'!$B5587,'perfil de pagos'!$A$4:$A$46,'perfil de pagos'!$B$4:$B$46+'FACP$'!$D5587)</f>
        <v>45744</v>
      </c>
      <c r="Q5587" s="165">
        <f t="shared" si="128"/>
        <v>0</v>
      </c>
      <c r="R5587" s="167"/>
      <c r="S5587" s="167">
        <v>3676.0</v>
      </c>
      <c r="T5587" s="168">
        <f t="shared" si="3"/>
        <v>847190.4792</v>
      </c>
      <c r="U5587" s="168">
        <f t="shared" si="4"/>
        <v>0</v>
      </c>
      <c r="V5587" s="168">
        <f t="shared" si="5"/>
        <v>0</v>
      </c>
      <c r="W5587" s="168">
        <f t="shared" si="6"/>
        <v>0</v>
      </c>
      <c r="X5587" s="168">
        <f t="shared" si="7"/>
        <v>0</v>
      </c>
      <c r="Y5587" s="168">
        <f t="shared" si="8"/>
        <v>0</v>
      </c>
      <c r="Z5587" s="168">
        <f t="shared" si="9"/>
        <v>0</v>
      </c>
    </row>
    <row r="5588" ht="15.0" customHeight="1">
      <c r="A5588" s="157" t="s">
        <v>7072</v>
      </c>
      <c r="B5588" s="158" t="s">
        <v>37</v>
      </c>
      <c r="C5588" s="158" t="s">
        <v>7043</v>
      </c>
      <c r="D5588" s="159">
        <v>45714.0</v>
      </c>
      <c r="E5588" s="157" t="s">
        <v>731</v>
      </c>
      <c r="F5588" s="160">
        <v>2132694.46</v>
      </c>
      <c r="G5588" s="160">
        <f>'FACP$'!$F5588*0.16</f>
        <v>341231.1136</v>
      </c>
      <c r="H5588" s="160">
        <f t="shared" si="129"/>
        <v>2473925.574</v>
      </c>
      <c r="I5588" s="160"/>
      <c r="J5588" s="161"/>
      <c r="K5588" s="160"/>
      <c r="L5588" s="160">
        <f>+'FACP$'!$H5588-'FACP$'!$I5588-'FACP$'!$K5588</f>
        <v>2473925.574</v>
      </c>
      <c r="M5588" s="162" t="s">
        <v>116</v>
      </c>
      <c r="N5588" s="162" t="s">
        <v>554</v>
      </c>
      <c r="O5588" s="164">
        <v>45726.0</v>
      </c>
      <c r="P5588" s="164">
        <f t="array" ref="P5588">XLOOKUP('FACP$'!$B5588,'perfil de pagos'!$A$4:$A$46,'perfil de pagos'!$B$4:$B$46+'FACP$'!$D5588)</f>
        <v>45724</v>
      </c>
      <c r="Q5588" s="165">
        <f t="shared" si="128"/>
        <v>0</v>
      </c>
      <c r="R5588" s="167"/>
      <c r="S5588" s="167">
        <v>3667.0</v>
      </c>
      <c r="T5588" s="168">
        <f t="shared" si="3"/>
        <v>2473925.574</v>
      </c>
      <c r="U5588" s="168">
        <f t="shared" si="4"/>
        <v>0</v>
      </c>
      <c r="V5588" s="168">
        <f t="shared" si="5"/>
        <v>0</v>
      </c>
      <c r="W5588" s="168">
        <f t="shared" si="6"/>
        <v>0</v>
      </c>
      <c r="X5588" s="168">
        <f t="shared" si="7"/>
        <v>0</v>
      </c>
      <c r="Y5588" s="168">
        <f t="shared" si="8"/>
        <v>0</v>
      </c>
      <c r="Z5588" s="168">
        <f t="shared" si="9"/>
        <v>0</v>
      </c>
    </row>
    <row r="5589" ht="15.0" customHeight="1">
      <c r="A5589" s="157" t="s">
        <v>7073</v>
      </c>
      <c r="B5589" s="158" t="s">
        <v>54</v>
      </c>
      <c r="C5589" s="158" t="s">
        <v>7043</v>
      </c>
      <c r="D5589" s="159">
        <v>45715.0</v>
      </c>
      <c r="E5589" s="157" t="s">
        <v>731</v>
      </c>
      <c r="F5589" s="160">
        <v>310858.08</v>
      </c>
      <c r="G5589" s="160">
        <f>'FACP$'!$F5589*0.16</f>
        <v>49737.2928</v>
      </c>
      <c r="H5589" s="160">
        <f t="shared" si="129"/>
        <v>360595.3728</v>
      </c>
      <c r="I5589" s="160"/>
      <c r="J5589" s="161"/>
      <c r="K5589" s="160"/>
      <c r="L5589" s="160">
        <f>+'FACP$'!$H5589-'FACP$'!$I5589-'FACP$'!$K5589</f>
        <v>360595.3728</v>
      </c>
      <c r="M5589" s="162" t="s">
        <v>7011</v>
      </c>
      <c r="N5589" s="162"/>
      <c r="O5589" s="164"/>
      <c r="P5589" s="164">
        <f t="array" ref="P5589">XLOOKUP('FACP$'!$B5589,'perfil de pagos'!$A$4:$A$46,'perfil de pagos'!$B$4:$B$46+'FACP$'!$D5589)</f>
        <v>45775</v>
      </c>
      <c r="Q5589" s="165">
        <f t="shared" si="128"/>
        <v>14</v>
      </c>
      <c r="R5589" s="167"/>
      <c r="S5589" s="167"/>
      <c r="T5589" s="168">
        <f t="shared" si="3"/>
        <v>0</v>
      </c>
      <c r="U5589" s="168">
        <f t="shared" si="4"/>
        <v>360595.3728</v>
      </c>
      <c r="V5589" s="168">
        <f t="shared" si="5"/>
        <v>0</v>
      </c>
      <c r="W5589" s="168">
        <f t="shared" si="6"/>
        <v>0</v>
      </c>
      <c r="X5589" s="168">
        <f t="shared" si="7"/>
        <v>0</v>
      </c>
      <c r="Y5589" s="168">
        <f t="shared" si="8"/>
        <v>0</v>
      </c>
      <c r="Z5589" s="168">
        <f t="shared" si="9"/>
        <v>0</v>
      </c>
    </row>
    <row r="5590" ht="15.0" customHeight="1">
      <c r="A5590" s="157" t="s">
        <v>7074</v>
      </c>
      <c r="B5590" s="158" t="s">
        <v>54</v>
      </c>
      <c r="C5590" s="158" t="s">
        <v>7045</v>
      </c>
      <c r="D5590" s="159">
        <v>45715.0</v>
      </c>
      <c r="E5590" s="157" t="s">
        <v>731</v>
      </c>
      <c r="F5590" s="160">
        <v>445682.2</v>
      </c>
      <c r="G5590" s="160">
        <f>'FACP$'!$F5590*0.16</f>
        <v>71309.152</v>
      </c>
      <c r="H5590" s="160">
        <f t="shared" si="129"/>
        <v>516991.352</v>
      </c>
      <c r="I5590" s="160"/>
      <c r="J5590" s="161"/>
      <c r="K5590" s="160"/>
      <c r="L5590" s="160">
        <f>+'FACP$'!$H5590-'FACP$'!$I5590-'FACP$'!$K5590</f>
        <v>516991.352</v>
      </c>
      <c r="M5590" s="162" t="s">
        <v>7011</v>
      </c>
      <c r="N5590" s="162"/>
      <c r="O5590" s="164"/>
      <c r="P5590" s="164">
        <f t="array" ref="P5590">XLOOKUP('FACP$'!$B5590,'perfil de pagos'!$A$4:$A$46,'perfil de pagos'!$B$4:$B$46+'FACP$'!$D5590)</f>
        <v>45775</v>
      </c>
      <c r="Q5590" s="165">
        <f t="shared" si="128"/>
        <v>14</v>
      </c>
      <c r="R5590" s="167"/>
      <c r="S5590" s="167"/>
      <c r="T5590" s="168">
        <f t="shared" si="3"/>
        <v>0</v>
      </c>
      <c r="U5590" s="168">
        <f t="shared" si="4"/>
        <v>516991.352</v>
      </c>
      <c r="V5590" s="168">
        <f t="shared" si="5"/>
        <v>0</v>
      </c>
      <c r="W5590" s="168">
        <f t="shared" si="6"/>
        <v>0</v>
      </c>
      <c r="X5590" s="168">
        <f t="shared" si="7"/>
        <v>0</v>
      </c>
      <c r="Y5590" s="168">
        <f t="shared" si="8"/>
        <v>0</v>
      </c>
      <c r="Z5590" s="168">
        <f t="shared" si="9"/>
        <v>0</v>
      </c>
    </row>
    <row r="5591" ht="15.0" customHeight="1">
      <c r="A5591" s="299" t="s">
        <v>7075</v>
      </c>
      <c r="B5591" s="300" t="s">
        <v>27</v>
      </c>
      <c r="C5591" s="300" t="s">
        <v>7076</v>
      </c>
      <c r="D5591" s="301">
        <v>45716.0</v>
      </c>
      <c r="E5591" s="299" t="s">
        <v>731</v>
      </c>
      <c r="F5591" s="302">
        <v>224593.83</v>
      </c>
      <c r="G5591" s="302">
        <f>'FACP$'!$F5591*0.16</f>
        <v>35935.0128</v>
      </c>
      <c r="H5591" s="302">
        <f t="shared" si="129"/>
        <v>260528.8428</v>
      </c>
      <c r="I5591" s="302"/>
      <c r="J5591" s="304"/>
      <c r="K5591" s="302"/>
      <c r="L5591" s="302">
        <f>+'FACP$'!$H5591-'FACP$'!$I5591-'FACP$'!$K5591</f>
        <v>260528.8428</v>
      </c>
      <c r="M5591" s="305" t="s">
        <v>158</v>
      </c>
      <c r="N5591" s="305" t="s">
        <v>127</v>
      </c>
      <c r="O5591" s="306"/>
      <c r="P5591" s="164">
        <f t="array" ref="P5591">XLOOKUP('FACP$'!$B5591,'perfil de pagos'!$A$4:$A$46,'perfil de pagos'!$B$4:$B$46+'FACP$'!$D5591)</f>
        <v>45746</v>
      </c>
      <c r="Q5591" s="307">
        <f t="shared" si="128"/>
        <v>0</v>
      </c>
      <c r="R5591" s="308" t="s">
        <v>7077</v>
      </c>
      <c r="S5591" s="308"/>
      <c r="T5591" s="309">
        <f t="shared" si="3"/>
        <v>260528.8428</v>
      </c>
      <c r="U5591" s="309">
        <f t="shared" si="4"/>
        <v>0</v>
      </c>
      <c r="V5591" s="309">
        <f t="shared" si="5"/>
        <v>0</v>
      </c>
      <c r="W5591" s="309">
        <f t="shared" si="6"/>
        <v>0</v>
      </c>
      <c r="X5591" s="309">
        <f t="shared" si="7"/>
        <v>0</v>
      </c>
      <c r="Y5591" s="309">
        <f t="shared" si="8"/>
        <v>0</v>
      </c>
      <c r="Z5591" s="309">
        <f t="shared" si="9"/>
        <v>0</v>
      </c>
      <c r="AA5591" s="96"/>
      <c r="AB5591" s="96"/>
      <c r="AC5591" s="96"/>
    </row>
    <row r="5592" ht="15.0" customHeight="1">
      <c r="A5592" s="299" t="s">
        <v>7078</v>
      </c>
      <c r="B5592" s="300" t="s">
        <v>27</v>
      </c>
      <c r="C5592" s="300" t="s">
        <v>7079</v>
      </c>
      <c r="D5592" s="301">
        <v>45716.0</v>
      </c>
      <c r="E5592" s="299" t="s">
        <v>731</v>
      </c>
      <c r="F5592" s="302">
        <v>119566.88</v>
      </c>
      <c r="G5592" s="302">
        <f>'FACP$'!$F5592*0.16</f>
        <v>19130.7008</v>
      </c>
      <c r="H5592" s="302">
        <f t="shared" si="129"/>
        <v>138697.5808</v>
      </c>
      <c r="I5592" s="302"/>
      <c r="J5592" s="304"/>
      <c r="K5592" s="302"/>
      <c r="L5592" s="302">
        <f>+'FACP$'!$H5592-'FACP$'!$I5592-'FACP$'!$K5592</f>
        <v>138697.5808</v>
      </c>
      <c r="M5592" s="305" t="s">
        <v>158</v>
      </c>
      <c r="N5592" s="305" t="s">
        <v>127</v>
      </c>
      <c r="O5592" s="306"/>
      <c r="P5592" s="164">
        <f t="array" ref="P5592">XLOOKUP('FACP$'!$B5592,'perfil de pagos'!$A$4:$A$46,'perfil de pagos'!$B$4:$B$46+'FACP$'!$D5592)</f>
        <v>45746</v>
      </c>
      <c r="Q5592" s="307">
        <f t="shared" si="128"/>
        <v>0</v>
      </c>
      <c r="R5592" s="308" t="s">
        <v>7077</v>
      </c>
      <c r="S5592" s="308"/>
      <c r="T5592" s="309">
        <f t="shared" si="3"/>
        <v>138697.5808</v>
      </c>
      <c r="U5592" s="309">
        <f t="shared" si="4"/>
        <v>0</v>
      </c>
      <c r="V5592" s="309">
        <f t="shared" si="5"/>
        <v>0</v>
      </c>
      <c r="W5592" s="309">
        <f t="shared" si="6"/>
        <v>0</v>
      </c>
      <c r="X5592" s="309">
        <f t="shared" si="7"/>
        <v>0</v>
      </c>
      <c r="Y5592" s="309">
        <f t="shared" si="8"/>
        <v>0</v>
      </c>
      <c r="Z5592" s="309">
        <f t="shared" si="9"/>
        <v>0</v>
      </c>
      <c r="AA5592" s="96"/>
      <c r="AB5592" s="96"/>
      <c r="AC5592" s="96"/>
    </row>
    <row r="5593" ht="15.0" customHeight="1">
      <c r="A5593" s="299" t="s">
        <v>7080</v>
      </c>
      <c r="B5593" s="300" t="s">
        <v>27</v>
      </c>
      <c r="C5593" s="300" t="s">
        <v>7076</v>
      </c>
      <c r="D5593" s="301">
        <v>45716.0</v>
      </c>
      <c r="E5593" s="299" t="s">
        <v>731</v>
      </c>
      <c r="F5593" s="302">
        <v>325882.93</v>
      </c>
      <c r="G5593" s="302">
        <f>'FACP$'!$F5593*0.16</f>
        <v>52141.2688</v>
      </c>
      <c r="H5593" s="302">
        <f t="shared" si="129"/>
        <v>378024.1988</v>
      </c>
      <c r="I5593" s="302"/>
      <c r="J5593" s="304"/>
      <c r="K5593" s="302"/>
      <c r="L5593" s="302">
        <f>+'FACP$'!$H5593-'FACP$'!$I5593-'FACP$'!$K5593</f>
        <v>378024.1988</v>
      </c>
      <c r="M5593" s="305" t="s">
        <v>151</v>
      </c>
      <c r="N5593" s="305" t="s">
        <v>127</v>
      </c>
      <c r="O5593" s="306"/>
      <c r="P5593" s="164">
        <f t="array" ref="P5593">XLOOKUP('FACP$'!$B5593,'perfil de pagos'!$A$4:$A$46,'perfil de pagos'!$B$4:$B$46+'FACP$'!$D5593)</f>
        <v>45746</v>
      </c>
      <c r="Q5593" s="307">
        <f t="shared" si="128"/>
        <v>0</v>
      </c>
      <c r="R5593" s="308" t="s">
        <v>7077</v>
      </c>
      <c r="S5593" s="308"/>
      <c r="T5593" s="309">
        <f t="shared" si="3"/>
        <v>378024.1988</v>
      </c>
      <c r="U5593" s="309">
        <f t="shared" si="4"/>
        <v>0</v>
      </c>
      <c r="V5593" s="309">
        <f t="shared" si="5"/>
        <v>0</v>
      </c>
      <c r="W5593" s="309">
        <f t="shared" si="6"/>
        <v>0</v>
      </c>
      <c r="X5593" s="309">
        <f t="shared" si="7"/>
        <v>0</v>
      </c>
      <c r="Y5593" s="309">
        <f t="shared" si="8"/>
        <v>0</v>
      </c>
      <c r="Z5593" s="309">
        <f t="shared" si="9"/>
        <v>0</v>
      </c>
      <c r="AA5593" s="96"/>
      <c r="AB5593" s="96"/>
      <c r="AC5593" s="96"/>
    </row>
    <row r="5594" ht="15.0" customHeight="1">
      <c r="A5594" s="299" t="s">
        <v>7081</v>
      </c>
      <c r="B5594" s="300" t="s">
        <v>27</v>
      </c>
      <c r="C5594" s="300" t="s">
        <v>7079</v>
      </c>
      <c r="D5594" s="301">
        <v>45716.0</v>
      </c>
      <c r="E5594" s="299" t="s">
        <v>731</v>
      </c>
      <c r="F5594" s="302">
        <v>160596.53</v>
      </c>
      <c r="G5594" s="302">
        <f>'FACP$'!$F5594*0.16</f>
        <v>25695.4448</v>
      </c>
      <c r="H5594" s="302">
        <f t="shared" si="129"/>
        <v>186291.9748</v>
      </c>
      <c r="I5594" s="302"/>
      <c r="J5594" s="304"/>
      <c r="K5594" s="302"/>
      <c r="L5594" s="302">
        <f>+'FACP$'!$H5594-'FACP$'!$I5594-'FACP$'!$K5594</f>
        <v>186291.9748</v>
      </c>
      <c r="M5594" s="305" t="s">
        <v>151</v>
      </c>
      <c r="N5594" s="305" t="s">
        <v>127</v>
      </c>
      <c r="O5594" s="306"/>
      <c r="P5594" s="164">
        <f t="array" ref="P5594">XLOOKUP('FACP$'!$B5594,'perfil de pagos'!$A$4:$A$46,'perfil de pagos'!$B$4:$B$46+'FACP$'!$D5594)</f>
        <v>45746</v>
      </c>
      <c r="Q5594" s="307">
        <f t="shared" si="128"/>
        <v>0</v>
      </c>
      <c r="R5594" s="308" t="s">
        <v>7077</v>
      </c>
      <c r="S5594" s="308"/>
      <c r="T5594" s="309">
        <f t="shared" si="3"/>
        <v>186291.9748</v>
      </c>
      <c r="U5594" s="309">
        <f t="shared" si="4"/>
        <v>0</v>
      </c>
      <c r="V5594" s="309">
        <f t="shared" si="5"/>
        <v>0</v>
      </c>
      <c r="W5594" s="309">
        <f t="shared" si="6"/>
        <v>0</v>
      </c>
      <c r="X5594" s="309">
        <f t="shared" si="7"/>
        <v>0</v>
      </c>
      <c r="Y5594" s="309">
        <f t="shared" si="8"/>
        <v>0</v>
      </c>
      <c r="Z5594" s="309">
        <f t="shared" si="9"/>
        <v>0</v>
      </c>
      <c r="AA5594" s="96"/>
      <c r="AB5594" s="96"/>
      <c r="AC5594" s="96"/>
    </row>
    <row r="5595" ht="15.0" customHeight="1">
      <c r="A5595" s="299" t="s">
        <v>7082</v>
      </c>
      <c r="B5595" s="300" t="s">
        <v>27</v>
      </c>
      <c r="C5595" s="300" t="s">
        <v>7076</v>
      </c>
      <c r="D5595" s="301">
        <v>45716.0</v>
      </c>
      <c r="E5595" s="299" t="s">
        <v>731</v>
      </c>
      <c r="F5595" s="302">
        <v>19888.11</v>
      </c>
      <c r="G5595" s="302">
        <f>'FACP$'!$F5595*0.16</f>
        <v>3182.0976</v>
      </c>
      <c r="H5595" s="302">
        <f t="shared" si="129"/>
        <v>23070.2076</v>
      </c>
      <c r="I5595" s="302"/>
      <c r="J5595" s="304"/>
      <c r="K5595" s="302"/>
      <c r="L5595" s="302">
        <f>+'FACP$'!$H5595-'FACP$'!$I5595-'FACP$'!$K5595</f>
        <v>23070.2076</v>
      </c>
      <c r="M5595" s="305" t="s">
        <v>151</v>
      </c>
      <c r="N5595" s="305" t="s">
        <v>127</v>
      </c>
      <c r="O5595" s="306"/>
      <c r="P5595" s="164">
        <f t="array" ref="P5595">XLOOKUP('FACP$'!$B5595,'perfil de pagos'!$A$4:$A$46,'perfil de pagos'!$B$4:$B$46+'FACP$'!$D5595)</f>
        <v>45746</v>
      </c>
      <c r="Q5595" s="307">
        <f t="shared" si="128"/>
        <v>0</v>
      </c>
      <c r="R5595" s="308" t="s">
        <v>7077</v>
      </c>
      <c r="S5595" s="308"/>
      <c r="T5595" s="309">
        <f t="shared" si="3"/>
        <v>23070.2076</v>
      </c>
      <c r="U5595" s="309">
        <f t="shared" si="4"/>
        <v>0</v>
      </c>
      <c r="V5595" s="309">
        <f t="shared" si="5"/>
        <v>0</v>
      </c>
      <c r="W5595" s="309">
        <f t="shared" si="6"/>
        <v>0</v>
      </c>
      <c r="X5595" s="309">
        <f t="shared" si="7"/>
        <v>0</v>
      </c>
      <c r="Y5595" s="309">
        <f t="shared" si="8"/>
        <v>0</v>
      </c>
      <c r="Z5595" s="309">
        <f t="shared" si="9"/>
        <v>0</v>
      </c>
      <c r="AA5595" s="96"/>
      <c r="AB5595" s="96"/>
      <c r="AC5595" s="96"/>
    </row>
    <row r="5596" ht="15.0" customHeight="1">
      <c r="A5596" s="299" t="s">
        <v>7083</v>
      </c>
      <c r="B5596" s="300" t="s">
        <v>27</v>
      </c>
      <c r="C5596" s="300" t="s">
        <v>7079</v>
      </c>
      <c r="D5596" s="301">
        <v>45716.0</v>
      </c>
      <c r="E5596" s="299" t="s">
        <v>731</v>
      </c>
      <c r="F5596" s="302">
        <v>12894.0</v>
      </c>
      <c r="G5596" s="302">
        <f>'FACP$'!$F5596*0.16</f>
        <v>2063.04</v>
      </c>
      <c r="H5596" s="302">
        <f t="shared" si="129"/>
        <v>14957.04</v>
      </c>
      <c r="I5596" s="302"/>
      <c r="J5596" s="304"/>
      <c r="K5596" s="302"/>
      <c r="L5596" s="302">
        <f>+'FACP$'!$H5596-'FACP$'!$I5596-'FACP$'!$K5596</f>
        <v>14957.04</v>
      </c>
      <c r="M5596" s="305" t="s">
        <v>151</v>
      </c>
      <c r="N5596" s="305" t="s">
        <v>127</v>
      </c>
      <c r="O5596" s="306"/>
      <c r="P5596" s="164">
        <f t="array" ref="P5596">XLOOKUP('FACP$'!$B5596,'perfil de pagos'!$A$4:$A$46,'perfil de pagos'!$B$4:$B$46+'FACP$'!$D5596)</f>
        <v>45746</v>
      </c>
      <c r="Q5596" s="307">
        <f t="shared" si="128"/>
        <v>0</v>
      </c>
      <c r="R5596" s="308" t="s">
        <v>7077</v>
      </c>
      <c r="S5596" s="308"/>
      <c r="T5596" s="309">
        <f t="shared" si="3"/>
        <v>14957.04</v>
      </c>
      <c r="U5596" s="309">
        <f t="shared" si="4"/>
        <v>0</v>
      </c>
      <c r="V5596" s="309">
        <f t="shared" si="5"/>
        <v>0</v>
      </c>
      <c r="W5596" s="309">
        <f t="shared" si="6"/>
        <v>0</v>
      </c>
      <c r="X5596" s="309">
        <f t="shared" si="7"/>
        <v>0</v>
      </c>
      <c r="Y5596" s="309">
        <f t="shared" si="8"/>
        <v>0</v>
      </c>
      <c r="Z5596" s="309">
        <f t="shared" si="9"/>
        <v>0</v>
      </c>
      <c r="AA5596" s="96"/>
      <c r="AB5596" s="96"/>
      <c r="AC5596" s="96"/>
    </row>
    <row r="5597" ht="15.0" customHeight="1">
      <c r="A5597" s="299" t="s">
        <v>7084</v>
      </c>
      <c r="B5597" s="300" t="s">
        <v>27</v>
      </c>
      <c r="C5597" s="300" t="s">
        <v>7076</v>
      </c>
      <c r="D5597" s="301">
        <v>45716.0</v>
      </c>
      <c r="E5597" s="299" t="s">
        <v>731</v>
      </c>
      <c r="F5597" s="302">
        <v>224593.83</v>
      </c>
      <c r="G5597" s="302">
        <f>'FACP$'!$F5597*0.16</f>
        <v>35935.0128</v>
      </c>
      <c r="H5597" s="302">
        <f t="shared" si="129"/>
        <v>260528.8428</v>
      </c>
      <c r="I5597" s="302"/>
      <c r="J5597" s="304"/>
      <c r="K5597" s="302"/>
      <c r="L5597" s="302">
        <f>+'FACP$'!$H5597-'FACP$'!$I5597-'FACP$'!$K5597</f>
        <v>260528.8428</v>
      </c>
      <c r="M5597" s="305" t="s">
        <v>158</v>
      </c>
      <c r="N5597" s="305" t="s">
        <v>127</v>
      </c>
      <c r="O5597" s="306"/>
      <c r="P5597" s="164">
        <f t="array" ref="P5597">XLOOKUP('FACP$'!$B5597,'perfil de pagos'!$A$4:$A$46,'perfil de pagos'!$B$4:$B$46+'FACP$'!$D5597)</f>
        <v>45746</v>
      </c>
      <c r="Q5597" s="307">
        <f t="shared" si="128"/>
        <v>0</v>
      </c>
      <c r="R5597" s="308"/>
      <c r="S5597" s="308"/>
      <c r="T5597" s="309">
        <f t="shared" si="3"/>
        <v>260528.8428</v>
      </c>
      <c r="U5597" s="309">
        <f t="shared" si="4"/>
        <v>0</v>
      </c>
      <c r="V5597" s="309">
        <f t="shared" si="5"/>
        <v>0</v>
      </c>
      <c r="W5597" s="309">
        <f t="shared" si="6"/>
        <v>0</v>
      </c>
      <c r="X5597" s="309">
        <f t="shared" si="7"/>
        <v>0</v>
      </c>
      <c r="Y5597" s="309">
        <f t="shared" si="8"/>
        <v>0</v>
      </c>
      <c r="Z5597" s="309">
        <f t="shared" si="9"/>
        <v>0</v>
      </c>
      <c r="AA5597" s="96"/>
      <c r="AB5597" s="96"/>
      <c r="AC5597" s="96"/>
    </row>
    <row r="5598" ht="15.0" customHeight="1">
      <c r="A5598" s="299" t="s">
        <v>7085</v>
      </c>
      <c r="B5598" s="300" t="s">
        <v>27</v>
      </c>
      <c r="C5598" s="300" t="s">
        <v>7079</v>
      </c>
      <c r="D5598" s="301">
        <v>45716.0</v>
      </c>
      <c r="E5598" s="299" t="s">
        <v>731</v>
      </c>
      <c r="F5598" s="302">
        <v>119566.88</v>
      </c>
      <c r="G5598" s="302">
        <f>'FACP$'!$F5598*0.16</f>
        <v>19130.7008</v>
      </c>
      <c r="H5598" s="302">
        <f t="shared" si="129"/>
        <v>138697.5808</v>
      </c>
      <c r="I5598" s="302"/>
      <c r="J5598" s="304"/>
      <c r="K5598" s="302"/>
      <c r="L5598" s="302">
        <f>+'FACP$'!$H5598-'FACP$'!$I5598-'FACP$'!$K5598</f>
        <v>138697.5808</v>
      </c>
      <c r="M5598" s="305" t="s">
        <v>158</v>
      </c>
      <c r="N5598" s="305" t="s">
        <v>127</v>
      </c>
      <c r="O5598" s="306"/>
      <c r="P5598" s="164">
        <f t="array" ref="P5598">XLOOKUP('FACP$'!$B5598,'perfil de pagos'!$A$4:$A$46,'perfil de pagos'!$B$4:$B$46+'FACP$'!$D5598)</f>
        <v>45746</v>
      </c>
      <c r="Q5598" s="307">
        <f t="shared" si="128"/>
        <v>0</v>
      </c>
      <c r="R5598" s="308"/>
      <c r="S5598" s="308"/>
      <c r="T5598" s="309">
        <f t="shared" si="3"/>
        <v>138697.5808</v>
      </c>
      <c r="U5598" s="309">
        <f t="shared" si="4"/>
        <v>0</v>
      </c>
      <c r="V5598" s="309">
        <f t="shared" si="5"/>
        <v>0</v>
      </c>
      <c r="W5598" s="309">
        <f t="shared" si="6"/>
        <v>0</v>
      </c>
      <c r="X5598" s="309">
        <f t="shared" si="7"/>
        <v>0</v>
      </c>
      <c r="Y5598" s="309">
        <f t="shared" si="8"/>
        <v>0</v>
      </c>
      <c r="Z5598" s="309">
        <f t="shared" si="9"/>
        <v>0</v>
      </c>
      <c r="AA5598" s="96"/>
      <c r="AB5598" s="96"/>
      <c r="AC5598" s="96"/>
    </row>
    <row r="5599" ht="15.0" customHeight="1">
      <c r="A5599" s="157" t="s">
        <v>7086</v>
      </c>
      <c r="B5599" s="158" t="s">
        <v>27</v>
      </c>
      <c r="C5599" s="158" t="s">
        <v>7076</v>
      </c>
      <c r="D5599" s="159">
        <v>45716.0</v>
      </c>
      <c r="E5599" s="157" t="s">
        <v>731</v>
      </c>
      <c r="F5599" s="160">
        <v>190348.8</v>
      </c>
      <c r="G5599" s="160">
        <f>'FACP$'!$F5599*0.16</f>
        <v>30455.808</v>
      </c>
      <c r="H5599" s="160">
        <f t="shared" si="129"/>
        <v>220804.608</v>
      </c>
      <c r="I5599" s="160"/>
      <c r="J5599" s="161"/>
      <c r="K5599" s="160"/>
      <c r="L5599" s="160">
        <f>+'FACP$'!$H5599-'FACP$'!$I5599-'FACP$'!$K5599</f>
        <v>220804.608</v>
      </c>
      <c r="M5599" s="162" t="s">
        <v>158</v>
      </c>
      <c r="N5599" s="162"/>
      <c r="O5599" s="164"/>
      <c r="P5599" s="164">
        <f t="array" ref="P5599">XLOOKUP('FACP$'!$B5599,'perfil de pagos'!$A$4:$A$46,'perfil de pagos'!$B$4:$B$46+'FACP$'!$D5599)</f>
        <v>45746</v>
      </c>
      <c r="Q5599" s="165">
        <f t="shared" si="128"/>
        <v>43</v>
      </c>
      <c r="R5599" s="167"/>
      <c r="S5599" s="167"/>
      <c r="T5599" s="168">
        <f t="shared" si="3"/>
        <v>0</v>
      </c>
      <c r="U5599" s="168">
        <f t="shared" si="4"/>
        <v>0</v>
      </c>
      <c r="V5599" s="168">
        <f t="shared" si="5"/>
        <v>0</v>
      </c>
      <c r="W5599" s="168">
        <f t="shared" si="6"/>
        <v>220804.608</v>
      </c>
      <c r="X5599" s="168">
        <f t="shared" si="7"/>
        <v>0</v>
      </c>
      <c r="Y5599" s="168">
        <f t="shared" si="8"/>
        <v>0</v>
      </c>
      <c r="Z5599" s="168">
        <f t="shared" si="9"/>
        <v>0</v>
      </c>
    </row>
    <row r="5600" ht="15.0" customHeight="1">
      <c r="A5600" s="299" t="s">
        <v>7087</v>
      </c>
      <c r="B5600" s="300" t="s">
        <v>27</v>
      </c>
      <c r="C5600" s="300" t="s">
        <v>7079</v>
      </c>
      <c r="D5600" s="301">
        <v>45716.0</v>
      </c>
      <c r="E5600" s="299" t="s">
        <v>731</v>
      </c>
      <c r="F5600" s="302">
        <v>110215.75</v>
      </c>
      <c r="G5600" s="302">
        <f>'FACP$'!$F5600*0.16</f>
        <v>17634.52</v>
      </c>
      <c r="H5600" s="302">
        <f t="shared" si="129"/>
        <v>127850.27</v>
      </c>
      <c r="I5600" s="302"/>
      <c r="J5600" s="304"/>
      <c r="K5600" s="302"/>
      <c r="L5600" s="302">
        <f>+'FACP$'!$H5600-'FACP$'!$I5600-'FACP$'!$K5600</f>
        <v>127850.27</v>
      </c>
      <c r="M5600" s="305" t="s">
        <v>158</v>
      </c>
      <c r="N5600" s="305" t="s">
        <v>127</v>
      </c>
      <c r="O5600" s="306"/>
      <c r="P5600" s="164">
        <f t="array" ref="P5600">XLOOKUP('FACP$'!$B5600,'perfil de pagos'!$A$4:$A$46,'perfil de pagos'!$B$4:$B$46+'FACP$'!$D5600)</f>
        <v>45746</v>
      </c>
      <c r="Q5600" s="307">
        <f t="shared" si="128"/>
        <v>0</v>
      </c>
      <c r="R5600" s="308" t="s">
        <v>7077</v>
      </c>
      <c r="S5600" s="308"/>
      <c r="T5600" s="309">
        <f t="shared" si="3"/>
        <v>127850.27</v>
      </c>
      <c r="U5600" s="309">
        <f t="shared" si="4"/>
        <v>0</v>
      </c>
      <c r="V5600" s="309">
        <f t="shared" si="5"/>
        <v>0</v>
      </c>
      <c r="W5600" s="309">
        <f t="shared" si="6"/>
        <v>0</v>
      </c>
      <c r="X5600" s="309">
        <f t="shared" si="7"/>
        <v>0</v>
      </c>
      <c r="Y5600" s="309">
        <f t="shared" si="8"/>
        <v>0</v>
      </c>
      <c r="Z5600" s="309">
        <f t="shared" si="9"/>
        <v>0</v>
      </c>
    </row>
    <row r="5601" ht="15.0" customHeight="1">
      <c r="A5601" s="157" t="s">
        <v>7088</v>
      </c>
      <c r="B5601" s="158" t="s">
        <v>27</v>
      </c>
      <c r="C5601" s="158" t="s">
        <v>7076</v>
      </c>
      <c r="D5601" s="159">
        <v>45716.0</v>
      </c>
      <c r="E5601" s="157" t="s">
        <v>731</v>
      </c>
      <c r="F5601" s="160">
        <v>325882.93</v>
      </c>
      <c r="G5601" s="160">
        <f>'FACP$'!$F5601*0.16</f>
        <v>52141.2688</v>
      </c>
      <c r="H5601" s="160">
        <f t="shared" si="129"/>
        <v>378024.1988</v>
      </c>
      <c r="I5601" s="160"/>
      <c r="J5601" s="161"/>
      <c r="K5601" s="160"/>
      <c r="L5601" s="160">
        <f>+'FACP$'!$H5601-'FACP$'!$I5601-'FACP$'!$K5601</f>
        <v>378024.1988</v>
      </c>
      <c r="M5601" s="162" t="s">
        <v>151</v>
      </c>
      <c r="N5601" s="162"/>
      <c r="O5601" s="164"/>
      <c r="P5601" s="164">
        <f t="array" ref="P5601">XLOOKUP('FACP$'!$B5601,'perfil de pagos'!$A$4:$A$46,'perfil de pagos'!$B$4:$B$46+'FACP$'!$D5601)</f>
        <v>45746</v>
      </c>
      <c r="Q5601" s="165">
        <f t="shared" si="128"/>
        <v>43</v>
      </c>
      <c r="R5601" s="167"/>
      <c r="S5601" s="167"/>
      <c r="T5601" s="168">
        <f t="shared" si="3"/>
        <v>0</v>
      </c>
      <c r="U5601" s="168">
        <f t="shared" si="4"/>
        <v>0</v>
      </c>
      <c r="V5601" s="168">
        <f t="shared" si="5"/>
        <v>0</v>
      </c>
      <c r="W5601" s="168">
        <f t="shared" si="6"/>
        <v>378024.1988</v>
      </c>
      <c r="X5601" s="168">
        <f t="shared" si="7"/>
        <v>0</v>
      </c>
      <c r="Y5601" s="168">
        <f t="shared" si="8"/>
        <v>0</v>
      </c>
      <c r="Z5601" s="168">
        <f t="shared" si="9"/>
        <v>0</v>
      </c>
    </row>
    <row r="5602" ht="15.0" customHeight="1">
      <c r="A5602" s="157" t="s">
        <v>7089</v>
      </c>
      <c r="B5602" s="158" t="s">
        <v>27</v>
      </c>
      <c r="C5602" s="158" t="s">
        <v>7079</v>
      </c>
      <c r="D5602" s="159">
        <v>45716.0</v>
      </c>
      <c r="E5602" s="157" t="s">
        <v>731</v>
      </c>
      <c r="F5602" s="160">
        <v>160596.53</v>
      </c>
      <c r="G5602" s="160">
        <f>'FACP$'!$F5602*0.16</f>
        <v>25695.4448</v>
      </c>
      <c r="H5602" s="160">
        <f t="shared" si="129"/>
        <v>186291.9748</v>
      </c>
      <c r="I5602" s="160"/>
      <c r="J5602" s="161"/>
      <c r="K5602" s="160"/>
      <c r="L5602" s="160">
        <f>+'FACP$'!$H5602-'FACP$'!$I5602-'FACP$'!$K5602</f>
        <v>186291.9748</v>
      </c>
      <c r="M5602" s="162" t="s">
        <v>151</v>
      </c>
      <c r="N5602" s="162"/>
      <c r="O5602" s="164"/>
      <c r="P5602" s="164">
        <f t="array" ref="P5602">XLOOKUP('FACP$'!$B5602,'perfil de pagos'!$A$4:$A$46,'perfil de pagos'!$B$4:$B$46+'FACP$'!$D5602)</f>
        <v>45746</v>
      </c>
      <c r="Q5602" s="165">
        <f t="shared" si="128"/>
        <v>43</v>
      </c>
      <c r="R5602" s="167"/>
      <c r="S5602" s="167"/>
      <c r="T5602" s="168">
        <f t="shared" si="3"/>
        <v>0</v>
      </c>
      <c r="U5602" s="168">
        <f t="shared" si="4"/>
        <v>0</v>
      </c>
      <c r="V5602" s="168">
        <f t="shared" si="5"/>
        <v>0</v>
      </c>
      <c r="W5602" s="168">
        <f t="shared" si="6"/>
        <v>186291.9748</v>
      </c>
      <c r="X5602" s="168">
        <f t="shared" si="7"/>
        <v>0</v>
      </c>
      <c r="Y5602" s="168">
        <f t="shared" si="8"/>
        <v>0</v>
      </c>
      <c r="Z5602" s="168">
        <f t="shared" si="9"/>
        <v>0</v>
      </c>
    </row>
    <row r="5603" ht="15.0" customHeight="1">
      <c r="A5603" s="157" t="s">
        <v>7090</v>
      </c>
      <c r="B5603" s="158" t="s">
        <v>27</v>
      </c>
      <c r="C5603" s="158" t="s">
        <v>7076</v>
      </c>
      <c r="D5603" s="159">
        <v>45716.0</v>
      </c>
      <c r="E5603" s="157" t="s">
        <v>731</v>
      </c>
      <c r="F5603" s="160">
        <v>19888.11</v>
      </c>
      <c r="G5603" s="160">
        <f>'FACP$'!$F5603*0.16</f>
        <v>3182.0976</v>
      </c>
      <c r="H5603" s="160">
        <f t="shared" si="129"/>
        <v>23070.2076</v>
      </c>
      <c r="I5603" s="160"/>
      <c r="J5603" s="161"/>
      <c r="K5603" s="160"/>
      <c r="L5603" s="160">
        <f>+'FACP$'!$H5603-'FACP$'!$I5603-'FACP$'!$K5603</f>
        <v>23070.2076</v>
      </c>
      <c r="M5603" s="162" t="s">
        <v>151</v>
      </c>
      <c r="N5603" s="162"/>
      <c r="O5603" s="164"/>
      <c r="P5603" s="164">
        <f t="array" ref="P5603">XLOOKUP('FACP$'!$B5603,'perfil de pagos'!$A$4:$A$46,'perfil de pagos'!$B$4:$B$46+'FACP$'!$D5603)</f>
        <v>45746</v>
      </c>
      <c r="Q5603" s="165">
        <f t="shared" si="128"/>
        <v>43</v>
      </c>
      <c r="R5603" s="167"/>
      <c r="S5603" s="167"/>
      <c r="T5603" s="168">
        <f t="shared" si="3"/>
        <v>0</v>
      </c>
      <c r="U5603" s="168">
        <f t="shared" si="4"/>
        <v>0</v>
      </c>
      <c r="V5603" s="168">
        <f t="shared" si="5"/>
        <v>0</v>
      </c>
      <c r="W5603" s="168">
        <f t="shared" si="6"/>
        <v>23070.2076</v>
      </c>
      <c r="X5603" s="168">
        <f t="shared" si="7"/>
        <v>0</v>
      </c>
      <c r="Y5603" s="168">
        <f t="shared" si="8"/>
        <v>0</v>
      </c>
      <c r="Z5603" s="168">
        <f t="shared" si="9"/>
        <v>0</v>
      </c>
    </row>
    <row r="5604" ht="15.0" customHeight="1">
      <c r="A5604" s="157" t="s">
        <v>7091</v>
      </c>
      <c r="B5604" s="158" t="s">
        <v>27</v>
      </c>
      <c r="C5604" s="158" t="s">
        <v>7079</v>
      </c>
      <c r="D5604" s="159">
        <v>45716.0</v>
      </c>
      <c r="E5604" s="157" t="s">
        <v>731</v>
      </c>
      <c r="F5604" s="160">
        <v>12984.07</v>
      </c>
      <c r="G5604" s="160">
        <f>'FACP$'!$F5604*0.16</f>
        <v>2077.4512</v>
      </c>
      <c r="H5604" s="160">
        <f t="shared" si="129"/>
        <v>15061.5212</v>
      </c>
      <c r="I5604" s="160"/>
      <c r="J5604" s="161"/>
      <c r="K5604" s="160"/>
      <c r="L5604" s="160">
        <f>+'FACP$'!$H5604-'FACP$'!$I5604-'FACP$'!$K5604</f>
        <v>15061.5212</v>
      </c>
      <c r="M5604" s="162" t="s">
        <v>151</v>
      </c>
      <c r="N5604" s="162"/>
      <c r="O5604" s="164"/>
      <c r="P5604" s="164">
        <f t="array" ref="P5604">XLOOKUP('FACP$'!$B5604,'perfil de pagos'!$A$4:$A$46,'perfil de pagos'!$B$4:$B$46+'FACP$'!$D5604)</f>
        <v>45746</v>
      </c>
      <c r="Q5604" s="165">
        <f t="shared" si="128"/>
        <v>43</v>
      </c>
      <c r="R5604" s="167"/>
      <c r="S5604" s="167"/>
      <c r="T5604" s="168">
        <f t="shared" si="3"/>
        <v>0</v>
      </c>
      <c r="U5604" s="168">
        <f t="shared" si="4"/>
        <v>0</v>
      </c>
      <c r="V5604" s="168">
        <f t="shared" si="5"/>
        <v>0</v>
      </c>
      <c r="W5604" s="168">
        <f t="shared" si="6"/>
        <v>15061.5212</v>
      </c>
      <c r="X5604" s="168">
        <f t="shared" si="7"/>
        <v>0</v>
      </c>
      <c r="Y5604" s="168">
        <f t="shared" si="8"/>
        <v>0</v>
      </c>
      <c r="Z5604" s="168">
        <f t="shared" si="9"/>
        <v>0</v>
      </c>
    </row>
    <row r="5605" ht="15.0" customHeight="1">
      <c r="A5605" s="157" t="s">
        <v>7092</v>
      </c>
      <c r="B5605" s="158" t="s">
        <v>27</v>
      </c>
      <c r="C5605" s="158" t="s">
        <v>7079</v>
      </c>
      <c r="D5605" s="159">
        <v>45719.0</v>
      </c>
      <c r="E5605" s="157" t="s">
        <v>731</v>
      </c>
      <c r="F5605" s="160">
        <v>100215.75</v>
      </c>
      <c r="G5605" s="160">
        <f>'FACP$'!$F5605*0.16</f>
        <v>16034.52</v>
      </c>
      <c r="H5605" s="160">
        <f t="shared" si="129"/>
        <v>116250.27</v>
      </c>
      <c r="I5605" s="160"/>
      <c r="J5605" s="161"/>
      <c r="K5605" s="160"/>
      <c r="L5605" s="160">
        <f>+'FACP$'!$H5605-'FACP$'!$I5605-'FACP$'!$K5605</f>
        <v>116250.27</v>
      </c>
      <c r="M5605" s="162" t="s">
        <v>158</v>
      </c>
      <c r="N5605" s="162"/>
      <c r="O5605" s="164"/>
      <c r="P5605" s="164">
        <f t="array" ref="P5605">XLOOKUP('FACP$'!$B5605,'perfil de pagos'!$A$4:$A$46,'perfil de pagos'!$B$4:$B$46+'FACP$'!$D5605)</f>
        <v>45749</v>
      </c>
      <c r="Q5605" s="165">
        <f t="shared" si="128"/>
        <v>40</v>
      </c>
      <c r="R5605" s="167"/>
      <c r="S5605" s="167"/>
      <c r="T5605" s="168">
        <f t="shared" si="3"/>
        <v>0</v>
      </c>
      <c r="U5605" s="168">
        <f t="shared" si="4"/>
        <v>0</v>
      </c>
      <c r="V5605" s="168">
        <f t="shared" si="5"/>
        <v>0</v>
      </c>
      <c r="W5605" s="168">
        <f t="shared" si="6"/>
        <v>116250.27</v>
      </c>
      <c r="X5605" s="168">
        <f t="shared" si="7"/>
        <v>0</v>
      </c>
      <c r="Y5605" s="168">
        <f t="shared" si="8"/>
        <v>0</v>
      </c>
      <c r="Z5605" s="168">
        <f t="shared" si="9"/>
        <v>0</v>
      </c>
    </row>
    <row r="5606" ht="15.0" customHeight="1">
      <c r="A5606" s="157" t="s">
        <v>7093</v>
      </c>
      <c r="B5606" s="158" t="s">
        <v>41</v>
      </c>
      <c r="C5606" s="158" t="s">
        <v>7094</v>
      </c>
      <c r="D5606" s="159">
        <v>45720.0</v>
      </c>
      <c r="E5606" s="157" t="s">
        <v>731</v>
      </c>
      <c r="F5606" s="160">
        <v>1868646.38</v>
      </c>
      <c r="G5606" s="160">
        <f>'FACP$'!$F5606*0.16</f>
        <v>298983.4208</v>
      </c>
      <c r="H5606" s="160">
        <f t="shared" si="129"/>
        <v>2167629.801</v>
      </c>
      <c r="I5606" s="160"/>
      <c r="J5606" s="161"/>
      <c r="K5606" s="160"/>
      <c r="L5606" s="160">
        <f>+'FACP$'!$H5606-'FACP$'!$I5606-'FACP$'!$K5606</f>
        <v>2167629.801</v>
      </c>
      <c r="M5606" s="162" t="s">
        <v>121</v>
      </c>
      <c r="N5606" s="162" t="s">
        <v>554</v>
      </c>
      <c r="O5606" s="164">
        <v>45771.0</v>
      </c>
      <c r="P5606" s="164">
        <f t="array" ref="P5606">XLOOKUP('FACP$'!$B5606,'perfil de pagos'!$A$4:$A$46,'perfil de pagos'!$B$4:$B$46+'FACP$'!$D5606)</f>
        <v>45730</v>
      </c>
      <c r="Q5606" s="165">
        <f t="shared" si="128"/>
        <v>0</v>
      </c>
      <c r="R5606" s="167"/>
      <c r="S5606" s="167">
        <v>3773.0</v>
      </c>
      <c r="T5606" s="168">
        <f t="shared" si="3"/>
        <v>2167629.801</v>
      </c>
      <c r="U5606" s="168">
        <f t="shared" si="4"/>
        <v>0</v>
      </c>
      <c r="V5606" s="168">
        <f t="shared" si="5"/>
        <v>0</v>
      </c>
      <c r="W5606" s="168">
        <f t="shared" si="6"/>
        <v>0</v>
      </c>
      <c r="X5606" s="168">
        <f t="shared" si="7"/>
        <v>0</v>
      </c>
      <c r="Y5606" s="168">
        <f t="shared" si="8"/>
        <v>0</v>
      </c>
      <c r="Z5606" s="168">
        <f t="shared" si="9"/>
        <v>0</v>
      </c>
    </row>
    <row r="5607" ht="15.0" customHeight="1">
      <c r="A5607" s="157" t="s">
        <v>7095</v>
      </c>
      <c r="B5607" s="158" t="s">
        <v>53</v>
      </c>
      <c r="C5607" s="158" t="s">
        <v>7094</v>
      </c>
      <c r="D5607" s="159">
        <v>45720.0</v>
      </c>
      <c r="E5607" s="157" t="s">
        <v>731</v>
      </c>
      <c r="F5607" s="160">
        <v>320839.63</v>
      </c>
      <c r="G5607" s="160">
        <f>'FACP$'!$F5607*0.16</f>
        <v>51334.3408</v>
      </c>
      <c r="H5607" s="160">
        <f t="shared" si="129"/>
        <v>372173.9708</v>
      </c>
      <c r="I5607" s="160"/>
      <c r="J5607" s="161"/>
      <c r="K5607" s="160"/>
      <c r="L5607" s="160">
        <f>+'FACP$'!$H5607-'FACP$'!$I5607-'FACP$'!$K5607</f>
        <v>372173.9708</v>
      </c>
      <c r="M5607" s="162" t="s">
        <v>53</v>
      </c>
      <c r="N5607" s="162" t="s">
        <v>554</v>
      </c>
      <c r="O5607" s="164">
        <v>45744.0</v>
      </c>
      <c r="P5607" s="164">
        <f t="array" ref="P5607">XLOOKUP('FACP$'!$B5607,'perfil de pagos'!$A$4:$A$46,'perfil de pagos'!$B$4:$B$46+'FACP$'!$D5607)</f>
        <v>45735</v>
      </c>
      <c r="Q5607" s="165">
        <f t="shared" si="128"/>
        <v>0</v>
      </c>
      <c r="R5607" s="167"/>
      <c r="S5607" s="167">
        <v>3712.0</v>
      </c>
      <c r="T5607" s="168">
        <f t="shared" si="3"/>
        <v>372173.9708</v>
      </c>
      <c r="U5607" s="168">
        <f t="shared" si="4"/>
        <v>0</v>
      </c>
      <c r="V5607" s="168">
        <f t="shared" si="5"/>
        <v>0</v>
      </c>
      <c r="W5607" s="168">
        <f t="shared" si="6"/>
        <v>0</v>
      </c>
      <c r="X5607" s="168">
        <f t="shared" si="7"/>
        <v>0</v>
      </c>
      <c r="Y5607" s="168">
        <f t="shared" si="8"/>
        <v>0</v>
      </c>
      <c r="Z5607" s="168">
        <f t="shared" si="9"/>
        <v>0</v>
      </c>
    </row>
    <row r="5608" ht="15.0" customHeight="1">
      <c r="A5608" s="157" t="s">
        <v>7096</v>
      </c>
      <c r="B5608" s="158" t="s">
        <v>53</v>
      </c>
      <c r="C5608" s="158" t="s">
        <v>7097</v>
      </c>
      <c r="D5608" s="159">
        <v>45720.0</v>
      </c>
      <c r="E5608" s="157" t="s">
        <v>731</v>
      </c>
      <c r="F5608" s="160">
        <v>82203.92</v>
      </c>
      <c r="G5608" s="160">
        <f>'FACP$'!$F5608*0.16</f>
        <v>13152.6272</v>
      </c>
      <c r="H5608" s="160">
        <f t="shared" si="129"/>
        <v>95356.5472</v>
      </c>
      <c r="I5608" s="160"/>
      <c r="J5608" s="161"/>
      <c r="K5608" s="160"/>
      <c r="L5608" s="160">
        <f>+'FACP$'!$H5608-'FACP$'!$I5608-'FACP$'!$K5608</f>
        <v>95356.5472</v>
      </c>
      <c r="M5608" s="162" t="s">
        <v>53</v>
      </c>
      <c r="N5608" s="162"/>
      <c r="O5608" s="164"/>
      <c r="P5608" s="164">
        <f t="array" ref="P5608">XLOOKUP('FACP$'!$B5608,'perfil de pagos'!$A$4:$A$46,'perfil de pagos'!$B$4:$B$46+'FACP$'!$D5608)</f>
        <v>45735</v>
      </c>
      <c r="Q5608" s="165">
        <f t="shared" si="128"/>
        <v>54</v>
      </c>
      <c r="R5608" s="167"/>
      <c r="S5608" s="167"/>
      <c r="T5608" s="168">
        <f t="shared" si="3"/>
        <v>0</v>
      </c>
      <c r="U5608" s="168">
        <f t="shared" si="4"/>
        <v>0</v>
      </c>
      <c r="V5608" s="168">
        <f t="shared" si="5"/>
        <v>0</v>
      </c>
      <c r="W5608" s="168">
        <f t="shared" si="6"/>
        <v>0</v>
      </c>
      <c r="X5608" s="168">
        <f t="shared" si="7"/>
        <v>95356.5472</v>
      </c>
      <c r="Y5608" s="168">
        <f t="shared" si="8"/>
        <v>0</v>
      </c>
      <c r="Z5608" s="168">
        <f t="shared" si="9"/>
        <v>0</v>
      </c>
    </row>
    <row r="5609" ht="15.0" customHeight="1">
      <c r="A5609" s="157" t="s">
        <v>7098</v>
      </c>
      <c r="B5609" s="158" t="s">
        <v>35</v>
      </c>
      <c r="C5609" s="158" t="s">
        <v>7094</v>
      </c>
      <c r="D5609" s="159">
        <v>45720.0</v>
      </c>
      <c r="E5609" s="157" t="s">
        <v>731</v>
      </c>
      <c r="F5609" s="160">
        <v>462747.67</v>
      </c>
      <c r="G5609" s="160">
        <f>'FACP$'!$F5609*0.16</f>
        <v>74039.6272</v>
      </c>
      <c r="H5609" s="160">
        <f t="shared" si="129"/>
        <v>536787.2972</v>
      </c>
      <c r="I5609" s="160"/>
      <c r="J5609" s="161"/>
      <c r="K5609" s="160"/>
      <c r="L5609" s="160">
        <f>+'FACP$'!$H5609-'FACP$'!$I5609-'FACP$'!$K5609</f>
        <v>536787.2972</v>
      </c>
      <c r="M5609" s="162" t="s">
        <v>276</v>
      </c>
      <c r="N5609" s="162" t="s">
        <v>554</v>
      </c>
      <c r="O5609" s="164">
        <v>45737.0</v>
      </c>
      <c r="P5609" s="164">
        <f t="array" ref="P5609">XLOOKUP('FACP$'!$B5609,'perfil de pagos'!$A$4:$A$46,'perfil de pagos'!$B$4:$B$46+'FACP$'!$D5609)</f>
        <v>45730</v>
      </c>
      <c r="Q5609" s="165">
        <f t="shared" si="128"/>
        <v>0</v>
      </c>
      <c r="R5609" s="167"/>
      <c r="S5609" s="167">
        <v>3695.0</v>
      </c>
      <c r="T5609" s="168">
        <f t="shared" si="3"/>
        <v>536787.2972</v>
      </c>
      <c r="U5609" s="168">
        <f t="shared" si="4"/>
        <v>0</v>
      </c>
      <c r="V5609" s="168">
        <f t="shared" si="5"/>
        <v>0</v>
      </c>
      <c r="W5609" s="168">
        <f t="shared" si="6"/>
        <v>0</v>
      </c>
      <c r="X5609" s="168">
        <f t="shared" si="7"/>
        <v>0</v>
      </c>
      <c r="Y5609" s="168">
        <f t="shared" si="8"/>
        <v>0</v>
      </c>
      <c r="Z5609" s="168">
        <f t="shared" si="9"/>
        <v>0</v>
      </c>
    </row>
    <row r="5610" ht="15.0" customHeight="1">
      <c r="A5610" s="157" t="s">
        <v>7099</v>
      </c>
      <c r="B5610" s="158" t="s">
        <v>36</v>
      </c>
      <c r="C5610" s="158" t="s">
        <v>7094</v>
      </c>
      <c r="D5610" s="159">
        <v>45720.0</v>
      </c>
      <c r="E5610" s="157" t="s">
        <v>731</v>
      </c>
      <c r="F5610" s="160">
        <v>71850.3</v>
      </c>
      <c r="G5610" s="160">
        <f>'FACP$'!$F5610*0.16</f>
        <v>11496.048</v>
      </c>
      <c r="H5610" s="160">
        <f t="shared" si="129"/>
        <v>83346.348</v>
      </c>
      <c r="I5610" s="160"/>
      <c r="J5610" s="161"/>
      <c r="K5610" s="160"/>
      <c r="L5610" s="160">
        <f>+'FACP$'!$H5610-'FACP$'!$I5610-'FACP$'!$K5610</f>
        <v>83346.348</v>
      </c>
      <c r="M5610" s="162" t="s">
        <v>7100</v>
      </c>
      <c r="N5610" s="162" t="s">
        <v>554</v>
      </c>
      <c r="O5610" s="164">
        <v>45728.0</v>
      </c>
      <c r="P5610" s="164">
        <f t="array" ref="P5610">XLOOKUP('FACP$'!$B5610,'perfil de pagos'!$A$4:$A$46,'perfil de pagos'!$B$4:$B$46+'FACP$'!$D5610)</f>
        <v>45730</v>
      </c>
      <c r="Q5610" s="165">
        <f t="shared" si="128"/>
        <v>0</v>
      </c>
      <c r="R5610" s="167"/>
      <c r="S5610" s="167">
        <v>3674.0</v>
      </c>
      <c r="T5610" s="168">
        <f t="shared" si="3"/>
        <v>83346.348</v>
      </c>
      <c r="U5610" s="168">
        <f t="shared" si="4"/>
        <v>0</v>
      </c>
      <c r="V5610" s="168">
        <f t="shared" si="5"/>
        <v>0</v>
      </c>
      <c r="W5610" s="168">
        <f t="shared" si="6"/>
        <v>0</v>
      </c>
      <c r="X5610" s="168">
        <f t="shared" si="7"/>
        <v>0</v>
      </c>
      <c r="Y5610" s="168">
        <f t="shared" si="8"/>
        <v>0</v>
      </c>
      <c r="Z5610" s="168">
        <f t="shared" si="9"/>
        <v>0</v>
      </c>
    </row>
    <row r="5611" ht="15.0" customHeight="1">
      <c r="A5611" s="157" t="s">
        <v>7101</v>
      </c>
      <c r="B5611" s="158" t="s">
        <v>36</v>
      </c>
      <c r="C5611" s="158" t="s">
        <v>7097</v>
      </c>
      <c r="D5611" s="159">
        <v>45720.0</v>
      </c>
      <c r="E5611" s="157" t="s">
        <v>731</v>
      </c>
      <c r="F5611" s="160">
        <v>59300.0</v>
      </c>
      <c r="G5611" s="160">
        <f>'FACP$'!$F5611*0.16</f>
        <v>9488</v>
      </c>
      <c r="H5611" s="160">
        <f t="shared" si="129"/>
        <v>68788</v>
      </c>
      <c r="I5611" s="160"/>
      <c r="J5611" s="161"/>
      <c r="K5611" s="160"/>
      <c r="L5611" s="160">
        <f>+'FACP$'!$H5611-'FACP$'!$I5611-'FACP$'!$K5611</f>
        <v>68788</v>
      </c>
      <c r="M5611" s="162" t="s">
        <v>7100</v>
      </c>
      <c r="N5611" s="162" t="s">
        <v>554</v>
      </c>
      <c r="O5611" s="164">
        <v>45728.0</v>
      </c>
      <c r="P5611" s="164">
        <f t="array" ref="P5611">XLOOKUP('FACP$'!$B5611,'perfil de pagos'!$A$4:$A$46,'perfil de pagos'!$B$4:$B$46+'FACP$'!$D5611)</f>
        <v>45730</v>
      </c>
      <c r="Q5611" s="165">
        <f t="shared" si="128"/>
        <v>0</v>
      </c>
      <c r="R5611" s="167"/>
      <c r="S5611" s="167">
        <v>3673.0</v>
      </c>
      <c r="T5611" s="168">
        <f t="shared" si="3"/>
        <v>68788</v>
      </c>
      <c r="U5611" s="168">
        <f t="shared" si="4"/>
        <v>0</v>
      </c>
      <c r="V5611" s="168">
        <f t="shared" si="5"/>
        <v>0</v>
      </c>
      <c r="W5611" s="168">
        <f t="shared" si="6"/>
        <v>0</v>
      </c>
      <c r="X5611" s="168">
        <f t="shared" si="7"/>
        <v>0</v>
      </c>
      <c r="Y5611" s="168">
        <f t="shared" si="8"/>
        <v>0</v>
      </c>
      <c r="Z5611" s="168">
        <f t="shared" si="9"/>
        <v>0</v>
      </c>
    </row>
    <row r="5612" ht="15.0" customHeight="1">
      <c r="A5612" s="157" t="s">
        <v>7102</v>
      </c>
      <c r="B5612" s="158" t="s">
        <v>36</v>
      </c>
      <c r="C5612" s="158" t="s">
        <v>7094</v>
      </c>
      <c r="D5612" s="159">
        <v>45720.0</v>
      </c>
      <c r="E5612" s="157" t="s">
        <v>731</v>
      </c>
      <c r="F5612" s="160">
        <v>40820.14</v>
      </c>
      <c r="G5612" s="160">
        <f>'FACP$'!$F5612*0.16</f>
        <v>6531.2224</v>
      </c>
      <c r="H5612" s="160">
        <f t="shared" si="129"/>
        <v>47351.3624</v>
      </c>
      <c r="I5612" s="160"/>
      <c r="J5612" s="161"/>
      <c r="K5612" s="160"/>
      <c r="L5612" s="160">
        <f>+'FACP$'!$H5612-'FACP$'!$I5612-'FACP$'!$K5612</f>
        <v>47351.3624</v>
      </c>
      <c r="M5612" s="162" t="s">
        <v>7103</v>
      </c>
      <c r="N5612" s="162" t="s">
        <v>554</v>
      </c>
      <c r="O5612" s="164">
        <v>45744.0</v>
      </c>
      <c r="P5612" s="164">
        <f t="array" ref="P5612">XLOOKUP('FACP$'!$B5612,'perfil de pagos'!$A$4:$A$46,'perfil de pagos'!$B$4:$B$46+'FACP$'!$D5612)</f>
        <v>45730</v>
      </c>
      <c r="Q5612" s="165">
        <f t="shared" si="128"/>
        <v>0</v>
      </c>
      <c r="R5612" s="167"/>
      <c r="S5612" s="167">
        <v>3714.0</v>
      </c>
      <c r="T5612" s="168">
        <f t="shared" si="3"/>
        <v>47351.3624</v>
      </c>
      <c r="U5612" s="168">
        <f t="shared" si="4"/>
        <v>0</v>
      </c>
      <c r="V5612" s="168">
        <f t="shared" si="5"/>
        <v>0</v>
      </c>
      <c r="W5612" s="168">
        <f t="shared" si="6"/>
        <v>0</v>
      </c>
      <c r="X5612" s="168">
        <f t="shared" si="7"/>
        <v>0</v>
      </c>
      <c r="Y5612" s="168">
        <f t="shared" si="8"/>
        <v>0</v>
      </c>
      <c r="Z5612" s="168">
        <f t="shared" si="9"/>
        <v>0</v>
      </c>
    </row>
    <row r="5613" ht="15.0" customHeight="1">
      <c r="A5613" s="157" t="s">
        <v>7104</v>
      </c>
      <c r="B5613" s="158" t="s">
        <v>36</v>
      </c>
      <c r="C5613" s="158" t="s">
        <v>7097</v>
      </c>
      <c r="D5613" s="159">
        <v>45720.0</v>
      </c>
      <c r="E5613" s="157" t="s">
        <v>731</v>
      </c>
      <c r="F5613" s="160">
        <v>40362.0</v>
      </c>
      <c r="G5613" s="160">
        <f>'FACP$'!$F5613*0.16</f>
        <v>6457.92</v>
      </c>
      <c r="H5613" s="160">
        <f t="shared" si="129"/>
        <v>46819.92</v>
      </c>
      <c r="I5613" s="160">
        <f>36819.92+9569.19</f>
        <v>46389.11</v>
      </c>
      <c r="J5613" s="161"/>
      <c r="K5613" s="160"/>
      <c r="L5613" s="160">
        <f>+'FACP$'!$H5613-'FACP$'!$I5613-'FACP$'!$K5613</f>
        <v>430.81</v>
      </c>
      <c r="M5613" s="162" t="s">
        <v>7103</v>
      </c>
      <c r="N5613" s="162" t="s">
        <v>554</v>
      </c>
      <c r="O5613" s="164">
        <v>45763.0</v>
      </c>
      <c r="P5613" s="164">
        <f t="array" ref="P5613">XLOOKUP('FACP$'!$B5613,'perfil de pagos'!$A$4:$A$46,'perfil de pagos'!$B$4:$B$46+'FACP$'!$D5613)</f>
        <v>45730</v>
      </c>
      <c r="Q5613" s="165">
        <f t="shared" si="128"/>
        <v>0</v>
      </c>
      <c r="R5613" s="220" t="s">
        <v>7105</v>
      </c>
      <c r="S5613" s="220">
        <v>3760.0</v>
      </c>
      <c r="T5613" s="168">
        <f t="shared" si="3"/>
        <v>430.81</v>
      </c>
      <c r="U5613" s="168">
        <f t="shared" si="4"/>
        <v>0</v>
      </c>
      <c r="V5613" s="168">
        <f t="shared" si="5"/>
        <v>0</v>
      </c>
      <c r="W5613" s="168">
        <f t="shared" si="6"/>
        <v>0</v>
      </c>
      <c r="X5613" s="168">
        <f t="shared" si="7"/>
        <v>0</v>
      </c>
      <c r="Y5613" s="168">
        <f t="shared" si="8"/>
        <v>0</v>
      </c>
      <c r="Z5613" s="168">
        <f t="shared" si="9"/>
        <v>0</v>
      </c>
    </row>
    <row r="5614" ht="15.0" customHeight="1">
      <c r="A5614" s="157" t="s">
        <v>7106</v>
      </c>
      <c r="B5614" s="158" t="s">
        <v>42</v>
      </c>
      <c r="C5614" s="158" t="s">
        <v>7094</v>
      </c>
      <c r="D5614" s="159">
        <v>45720.0</v>
      </c>
      <c r="E5614" s="157" t="s">
        <v>731</v>
      </c>
      <c r="F5614" s="160">
        <v>173745.46</v>
      </c>
      <c r="G5614" s="160">
        <f>'FACP$'!$F5614*0.16</f>
        <v>27799.2736</v>
      </c>
      <c r="H5614" s="160">
        <f t="shared" si="129"/>
        <v>201544.7336</v>
      </c>
      <c r="I5614" s="160"/>
      <c r="J5614" s="161"/>
      <c r="K5614" s="160"/>
      <c r="L5614" s="160">
        <f>+'FACP$'!$H5614-'FACP$'!$I5614-'FACP$'!$K5614</f>
        <v>201544.7336</v>
      </c>
      <c r="M5614" s="162" t="s">
        <v>42</v>
      </c>
      <c r="N5614" s="162" t="s">
        <v>554</v>
      </c>
      <c r="O5614" s="164">
        <v>45729.0</v>
      </c>
      <c r="P5614" s="164">
        <f t="array" ref="P5614">XLOOKUP('FACP$'!$B5614,'perfil de pagos'!$A$4:$A$46,'perfil de pagos'!$B$4:$B$46+'FACP$'!$D5614)</f>
        <v>45730</v>
      </c>
      <c r="Q5614" s="165">
        <f t="shared" si="128"/>
        <v>0</v>
      </c>
      <c r="R5614" s="167"/>
      <c r="S5614" s="167">
        <v>3678.0</v>
      </c>
      <c r="T5614" s="168">
        <f t="shared" si="3"/>
        <v>201544.7336</v>
      </c>
      <c r="U5614" s="168">
        <f t="shared" si="4"/>
        <v>0</v>
      </c>
      <c r="V5614" s="168">
        <f t="shared" si="5"/>
        <v>0</v>
      </c>
      <c r="W5614" s="168">
        <f t="shared" si="6"/>
        <v>0</v>
      </c>
      <c r="X5614" s="168">
        <f t="shared" si="7"/>
        <v>0</v>
      </c>
      <c r="Y5614" s="168">
        <f t="shared" si="8"/>
        <v>0</v>
      </c>
      <c r="Z5614" s="168">
        <f t="shared" si="9"/>
        <v>0</v>
      </c>
    </row>
    <row r="5615" ht="15.0" customHeight="1">
      <c r="A5615" s="157" t="s">
        <v>7107</v>
      </c>
      <c r="B5615" s="158" t="s">
        <v>44</v>
      </c>
      <c r="C5615" s="158" t="s">
        <v>7094</v>
      </c>
      <c r="D5615" s="159">
        <v>45720.0</v>
      </c>
      <c r="E5615" s="157" t="s">
        <v>731</v>
      </c>
      <c r="F5615" s="160">
        <v>253125.31</v>
      </c>
      <c r="G5615" s="160">
        <f>'FACP$'!$F5615*0.16</f>
        <v>40500.0496</v>
      </c>
      <c r="H5615" s="160">
        <f t="shared" si="129"/>
        <v>293625.3596</v>
      </c>
      <c r="I5615" s="160"/>
      <c r="J5615" s="161"/>
      <c r="K5615" s="160"/>
      <c r="L5615" s="160">
        <f>+'FACP$'!$H5615-'FACP$'!$I5615-'FACP$'!$K5615</f>
        <v>293625.3596</v>
      </c>
      <c r="M5615" s="162" t="s">
        <v>361</v>
      </c>
      <c r="N5615" s="162" t="s">
        <v>554</v>
      </c>
      <c r="O5615" s="164">
        <v>45730.0</v>
      </c>
      <c r="P5615" s="164">
        <f t="array" ref="P5615">XLOOKUP('FACP$'!$B5615,'perfil de pagos'!$A$4:$A$46,'perfil de pagos'!$B$4:$B$46+'FACP$'!$D5615)</f>
        <v>45730</v>
      </c>
      <c r="Q5615" s="165">
        <f t="shared" si="128"/>
        <v>0</v>
      </c>
      <c r="R5615" s="167"/>
      <c r="S5615" s="167">
        <v>3681.0</v>
      </c>
      <c r="T5615" s="168">
        <f t="shared" si="3"/>
        <v>293625.3596</v>
      </c>
      <c r="U5615" s="168">
        <f t="shared" si="4"/>
        <v>0</v>
      </c>
      <c r="V5615" s="168">
        <f t="shared" si="5"/>
        <v>0</v>
      </c>
      <c r="W5615" s="168">
        <f t="shared" si="6"/>
        <v>0</v>
      </c>
      <c r="X5615" s="168">
        <f t="shared" si="7"/>
        <v>0</v>
      </c>
      <c r="Y5615" s="168">
        <f t="shared" si="8"/>
        <v>0</v>
      </c>
      <c r="Z5615" s="168">
        <f t="shared" si="9"/>
        <v>0</v>
      </c>
    </row>
    <row r="5616" ht="15.0" customHeight="1">
      <c r="A5616" s="157" t="s">
        <v>7108</v>
      </c>
      <c r="B5616" s="158" t="s">
        <v>38</v>
      </c>
      <c r="C5616" s="158" t="s">
        <v>7094</v>
      </c>
      <c r="D5616" s="159">
        <v>45720.0</v>
      </c>
      <c r="E5616" s="157" t="s">
        <v>731</v>
      </c>
      <c r="F5616" s="160">
        <v>150529.56</v>
      </c>
      <c r="G5616" s="160">
        <f>'FACP$'!$F5616*0.16</f>
        <v>24084.7296</v>
      </c>
      <c r="H5616" s="160">
        <f t="shared" si="129"/>
        <v>174614.2896</v>
      </c>
      <c r="I5616" s="160"/>
      <c r="J5616" s="161"/>
      <c r="K5616" s="160"/>
      <c r="L5616" s="160">
        <f>+'FACP$'!$H5616-'FACP$'!$I5616-'FACP$'!$K5616</f>
        <v>174614.2896</v>
      </c>
      <c r="M5616" s="162" t="s">
        <v>4654</v>
      </c>
      <c r="N5616" s="162" t="s">
        <v>554</v>
      </c>
      <c r="O5616" s="164">
        <v>45735.0</v>
      </c>
      <c r="P5616" s="164">
        <f t="array" ref="P5616">XLOOKUP('FACP$'!$B5616,'perfil de pagos'!$A$4:$A$46,'perfil de pagos'!$B$4:$B$46+'FACP$'!$D5616)</f>
        <v>45750</v>
      </c>
      <c r="Q5616" s="165">
        <f t="shared" si="128"/>
        <v>0</v>
      </c>
      <c r="R5616" s="167"/>
      <c r="S5616" s="167">
        <v>3689.0</v>
      </c>
      <c r="T5616" s="168">
        <f t="shared" si="3"/>
        <v>174614.2896</v>
      </c>
      <c r="U5616" s="168">
        <f t="shared" si="4"/>
        <v>0</v>
      </c>
      <c r="V5616" s="168">
        <f t="shared" si="5"/>
        <v>0</v>
      </c>
      <c r="W5616" s="168">
        <f t="shared" si="6"/>
        <v>0</v>
      </c>
      <c r="X5616" s="168">
        <f t="shared" si="7"/>
        <v>0</v>
      </c>
      <c r="Y5616" s="168">
        <f t="shared" si="8"/>
        <v>0</v>
      </c>
      <c r="Z5616" s="168">
        <f t="shared" si="9"/>
        <v>0</v>
      </c>
    </row>
    <row r="5617" ht="15.0" customHeight="1">
      <c r="A5617" s="157" t="s">
        <v>7109</v>
      </c>
      <c r="B5617" s="158" t="s">
        <v>27</v>
      </c>
      <c r="C5617" s="158" t="s">
        <v>7076</v>
      </c>
      <c r="D5617" s="159">
        <v>45722.0</v>
      </c>
      <c r="E5617" s="157" t="s">
        <v>731</v>
      </c>
      <c r="F5617" s="160">
        <v>15389.04</v>
      </c>
      <c r="G5617" s="160">
        <f>'FACP$'!$F5617*0.16</f>
        <v>2462.2464</v>
      </c>
      <c r="H5617" s="160">
        <f t="shared" si="129"/>
        <v>17851.2864</v>
      </c>
      <c r="I5617" s="160"/>
      <c r="J5617" s="161"/>
      <c r="K5617" s="160"/>
      <c r="L5617" s="160">
        <f>+'FACP$'!$H5617-'FACP$'!$I5617-'FACP$'!$K5617</f>
        <v>17851.2864</v>
      </c>
      <c r="M5617" s="162" t="s">
        <v>158</v>
      </c>
      <c r="N5617" s="162"/>
      <c r="O5617" s="164"/>
      <c r="P5617" s="164">
        <f t="array" ref="P5617">XLOOKUP('FACP$'!$B5617,'perfil de pagos'!$A$4:$A$46,'perfil de pagos'!$B$4:$B$46+'FACP$'!$D5617)</f>
        <v>45752</v>
      </c>
      <c r="Q5617" s="165">
        <f t="shared" si="128"/>
        <v>37</v>
      </c>
      <c r="R5617" s="167"/>
      <c r="S5617" s="167"/>
      <c r="T5617" s="168">
        <f t="shared" si="3"/>
        <v>0</v>
      </c>
      <c r="U5617" s="168">
        <f t="shared" si="4"/>
        <v>0</v>
      </c>
      <c r="V5617" s="168">
        <f t="shared" si="5"/>
        <v>0</v>
      </c>
      <c r="W5617" s="168">
        <f t="shared" si="6"/>
        <v>17851.2864</v>
      </c>
      <c r="X5617" s="168">
        <f t="shared" si="7"/>
        <v>0</v>
      </c>
      <c r="Y5617" s="168">
        <f t="shared" si="8"/>
        <v>0</v>
      </c>
      <c r="Z5617" s="168">
        <f t="shared" si="9"/>
        <v>0</v>
      </c>
    </row>
    <row r="5618" ht="15.0" customHeight="1">
      <c r="A5618" s="157" t="s">
        <v>7110</v>
      </c>
      <c r="B5618" s="158" t="s">
        <v>27</v>
      </c>
      <c r="C5618" s="158" t="s">
        <v>7079</v>
      </c>
      <c r="D5618" s="159">
        <v>45722.0</v>
      </c>
      <c r="E5618" s="157" t="s">
        <v>731</v>
      </c>
      <c r="F5618" s="160">
        <v>7981.2</v>
      </c>
      <c r="G5618" s="160">
        <f>'FACP$'!$F5618*0.16</f>
        <v>1276.992</v>
      </c>
      <c r="H5618" s="160">
        <f t="shared" si="129"/>
        <v>9258.192</v>
      </c>
      <c r="I5618" s="160"/>
      <c r="J5618" s="161"/>
      <c r="K5618" s="160"/>
      <c r="L5618" s="160">
        <f>+'FACP$'!$H5618-'FACP$'!$I5618-'FACP$'!$K5618</f>
        <v>9258.192</v>
      </c>
      <c r="M5618" s="162" t="s">
        <v>158</v>
      </c>
      <c r="N5618" s="162"/>
      <c r="O5618" s="164"/>
      <c r="P5618" s="164">
        <f t="array" ref="P5618">XLOOKUP('FACP$'!$B5618,'perfil de pagos'!$A$4:$A$46,'perfil de pagos'!$B$4:$B$46+'FACP$'!$D5618)</f>
        <v>45752</v>
      </c>
      <c r="Q5618" s="165">
        <f t="shared" si="128"/>
        <v>37</v>
      </c>
      <c r="R5618" s="167"/>
      <c r="S5618" s="167"/>
      <c r="T5618" s="168">
        <f t="shared" si="3"/>
        <v>0</v>
      </c>
      <c r="U5618" s="168">
        <f t="shared" si="4"/>
        <v>0</v>
      </c>
      <c r="V5618" s="168">
        <f t="shared" si="5"/>
        <v>0</v>
      </c>
      <c r="W5618" s="168">
        <f t="shared" si="6"/>
        <v>9258.192</v>
      </c>
      <c r="X5618" s="168">
        <f t="shared" si="7"/>
        <v>0</v>
      </c>
      <c r="Y5618" s="168">
        <f t="shared" si="8"/>
        <v>0</v>
      </c>
      <c r="Z5618" s="168">
        <f t="shared" si="9"/>
        <v>0</v>
      </c>
    </row>
    <row r="5619" ht="15.0" customHeight="1">
      <c r="A5619" s="157" t="s">
        <v>7111</v>
      </c>
      <c r="B5619" s="158" t="s">
        <v>27</v>
      </c>
      <c r="C5619" s="158" t="s">
        <v>7076</v>
      </c>
      <c r="D5619" s="159">
        <v>45722.0</v>
      </c>
      <c r="E5619" s="157" t="s">
        <v>731</v>
      </c>
      <c r="F5619" s="160">
        <v>39585.91</v>
      </c>
      <c r="G5619" s="160">
        <f>'FACP$'!$F5619*0.16</f>
        <v>6333.7456</v>
      </c>
      <c r="H5619" s="160">
        <f t="shared" si="129"/>
        <v>45919.6556</v>
      </c>
      <c r="I5619" s="160"/>
      <c r="J5619" s="161"/>
      <c r="K5619" s="160"/>
      <c r="L5619" s="160">
        <f>+'FACP$'!$H5619-'FACP$'!$I5619-'FACP$'!$K5619</f>
        <v>45919.6556</v>
      </c>
      <c r="M5619" s="162" t="s">
        <v>151</v>
      </c>
      <c r="N5619" s="162"/>
      <c r="O5619" s="164"/>
      <c r="P5619" s="164">
        <f t="array" ref="P5619">XLOOKUP('FACP$'!$B5619,'perfil de pagos'!$A$4:$A$46,'perfil de pagos'!$B$4:$B$46+'FACP$'!$D5619)</f>
        <v>45752</v>
      </c>
      <c r="Q5619" s="165">
        <f t="shared" si="128"/>
        <v>37</v>
      </c>
      <c r="R5619" s="167"/>
      <c r="S5619" s="167"/>
      <c r="T5619" s="168">
        <f t="shared" si="3"/>
        <v>0</v>
      </c>
      <c r="U5619" s="168">
        <f t="shared" si="4"/>
        <v>0</v>
      </c>
      <c r="V5619" s="168">
        <f t="shared" si="5"/>
        <v>0</v>
      </c>
      <c r="W5619" s="168">
        <f t="shared" si="6"/>
        <v>45919.6556</v>
      </c>
      <c r="X5619" s="168">
        <f t="shared" si="7"/>
        <v>0</v>
      </c>
      <c r="Y5619" s="168">
        <f t="shared" si="8"/>
        <v>0</v>
      </c>
      <c r="Z5619" s="168">
        <f t="shared" si="9"/>
        <v>0</v>
      </c>
    </row>
    <row r="5620" ht="15.0" customHeight="1">
      <c r="A5620" s="157" t="s">
        <v>7112</v>
      </c>
      <c r="B5620" s="158" t="s">
        <v>27</v>
      </c>
      <c r="C5620" s="158" t="s">
        <v>7079</v>
      </c>
      <c r="D5620" s="159">
        <v>45722.0</v>
      </c>
      <c r="E5620" s="157" t="s">
        <v>731</v>
      </c>
      <c r="F5620" s="160">
        <v>19636.64</v>
      </c>
      <c r="G5620" s="160">
        <f>'FACP$'!$F5620*0.16</f>
        <v>3141.8624</v>
      </c>
      <c r="H5620" s="160">
        <f t="shared" si="129"/>
        <v>22778.5024</v>
      </c>
      <c r="I5620" s="160"/>
      <c r="J5620" s="161"/>
      <c r="K5620" s="160"/>
      <c r="L5620" s="160">
        <f>+'FACP$'!$H5620-'FACP$'!$I5620-'FACP$'!$K5620</f>
        <v>22778.5024</v>
      </c>
      <c r="M5620" s="162" t="s">
        <v>151</v>
      </c>
      <c r="N5620" s="162"/>
      <c r="O5620" s="164"/>
      <c r="P5620" s="164">
        <f t="array" ref="P5620">XLOOKUP('FACP$'!$B5620,'perfil de pagos'!$A$4:$A$46,'perfil de pagos'!$B$4:$B$46+'FACP$'!$D5620)</f>
        <v>45752</v>
      </c>
      <c r="Q5620" s="165">
        <f t="shared" si="128"/>
        <v>37</v>
      </c>
      <c r="R5620" s="167"/>
      <c r="S5620" s="167"/>
      <c r="T5620" s="168">
        <f t="shared" si="3"/>
        <v>0</v>
      </c>
      <c r="U5620" s="168">
        <f t="shared" si="4"/>
        <v>0</v>
      </c>
      <c r="V5620" s="168">
        <f t="shared" si="5"/>
        <v>0</v>
      </c>
      <c r="W5620" s="168">
        <f t="shared" si="6"/>
        <v>22778.5024</v>
      </c>
      <c r="X5620" s="168">
        <f t="shared" si="7"/>
        <v>0</v>
      </c>
      <c r="Y5620" s="168">
        <f t="shared" si="8"/>
        <v>0</v>
      </c>
      <c r="Z5620" s="168">
        <f t="shared" si="9"/>
        <v>0</v>
      </c>
    </row>
    <row r="5621" ht="15.0" customHeight="1">
      <c r="A5621" s="157" t="s">
        <v>7113</v>
      </c>
      <c r="B5621" s="158" t="s">
        <v>27</v>
      </c>
      <c r="C5621" s="158" t="s">
        <v>7076</v>
      </c>
      <c r="D5621" s="159">
        <v>45722.0</v>
      </c>
      <c r="E5621" s="157" t="s">
        <v>731</v>
      </c>
      <c r="F5621" s="160">
        <v>1516.28</v>
      </c>
      <c r="G5621" s="160">
        <f>'FACP$'!$F5621*0.16</f>
        <v>242.6048</v>
      </c>
      <c r="H5621" s="160">
        <f t="shared" si="129"/>
        <v>1758.8848</v>
      </c>
      <c r="I5621" s="160"/>
      <c r="J5621" s="161"/>
      <c r="K5621" s="160"/>
      <c r="L5621" s="160">
        <f>+'FACP$'!$H5621-'FACP$'!$I5621-'FACP$'!$K5621</f>
        <v>1758.8848</v>
      </c>
      <c r="M5621" s="162" t="s">
        <v>151</v>
      </c>
      <c r="N5621" s="162"/>
      <c r="O5621" s="164"/>
      <c r="P5621" s="164">
        <f t="array" ref="P5621">XLOOKUP('FACP$'!$B5621,'perfil de pagos'!$A$4:$A$46,'perfil de pagos'!$B$4:$B$46+'FACP$'!$D5621)</f>
        <v>45752</v>
      </c>
      <c r="Q5621" s="165">
        <f t="shared" si="128"/>
        <v>37</v>
      </c>
      <c r="R5621" s="167"/>
      <c r="S5621" s="167"/>
      <c r="T5621" s="168">
        <f t="shared" si="3"/>
        <v>0</v>
      </c>
      <c r="U5621" s="168">
        <f t="shared" si="4"/>
        <v>0</v>
      </c>
      <c r="V5621" s="168">
        <f t="shared" si="5"/>
        <v>0</v>
      </c>
      <c r="W5621" s="168">
        <f t="shared" si="6"/>
        <v>1758.8848</v>
      </c>
      <c r="X5621" s="168">
        <f t="shared" si="7"/>
        <v>0</v>
      </c>
      <c r="Y5621" s="168">
        <f t="shared" si="8"/>
        <v>0</v>
      </c>
      <c r="Z5621" s="168">
        <f t="shared" si="9"/>
        <v>0</v>
      </c>
    </row>
    <row r="5622" ht="15.0" customHeight="1">
      <c r="A5622" s="157" t="s">
        <v>7114</v>
      </c>
      <c r="B5622" s="158" t="s">
        <v>27</v>
      </c>
      <c r="C5622" s="158" t="s">
        <v>7079</v>
      </c>
      <c r="D5622" s="159">
        <v>45722.0</v>
      </c>
      <c r="E5622" s="157" t="s">
        <v>731</v>
      </c>
      <c r="F5622" s="160">
        <v>993.39</v>
      </c>
      <c r="G5622" s="160">
        <f>'FACP$'!$F5622*0.16</f>
        <v>158.9424</v>
      </c>
      <c r="H5622" s="160">
        <f t="shared" si="129"/>
        <v>1152.3324</v>
      </c>
      <c r="I5622" s="160"/>
      <c r="J5622" s="161"/>
      <c r="K5622" s="160"/>
      <c r="L5622" s="160">
        <f>+'FACP$'!$H5622-'FACP$'!$I5622-'FACP$'!$K5622</f>
        <v>1152.3324</v>
      </c>
      <c r="M5622" s="162" t="s">
        <v>151</v>
      </c>
      <c r="N5622" s="162"/>
      <c r="O5622" s="164"/>
      <c r="P5622" s="164">
        <f t="array" ref="P5622">XLOOKUP('FACP$'!$B5622,'perfil de pagos'!$A$4:$A$46,'perfil de pagos'!$B$4:$B$46+'FACP$'!$D5622)</f>
        <v>45752</v>
      </c>
      <c r="Q5622" s="165">
        <f t="shared" si="128"/>
        <v>37</v>
      </c>
      <c r="R5622" s="167"/>
      <c r="S5622" s="167"/>
      <c r="T5622" s="168">
        <f t="shared" si="3"/>
        <v>0</v>
      </c>
      <c r="U5622" s="168">
        <f t="shared" si="4"/>
        <v>0</v>
      </c>
      <c r="V5622" s="168">
        <f t="shared" si="5"/>
        <v>0</v>
      </c>
      <c r="W5622" s="168">
        <f t="shared" si="6"/>
        <v>1152.3324</v>
      </c>
      <c r="X5622" s="168">
        <f t="shared" si="7"/>
        <v>0</v>
      </c>
      <c r="Y5622" s="168">
        <f t="shared" si="8"/>
        <v>0</v>
      </c>
      <c r="Z5622" s="168">
        <f t="shared" si="9"/>
        <v>0</v>
      </c>
    </row>
    <row r="5623" ht="15.0" customHeight="1">
      <c r="A5623" s="157" t="s">
        <v>7115</v>
      </c>
      <c r="B5623" s="158" t="s">
        <v>37</v>
      </c>
      <c r="C5623" s="158" t="s">
        <v>7094</v>
      </c>
      <c r="D5623" s="159">
        <v>45722.0</v>
      </c>
      <c r="E5623" s="157" t="s">
        <v>731</v>
      </c>
      <c r="F5623" s="160">
        <v>2005078.38</v>
      </c>
      <c r="G5623" s="160">
        <f>'FACP$'!$F5623*0.16</f>
        <v>320812.5408</v>
      </c>
      <c r="H5623" s="160">
        <f t="shared" si="129"/>
        <v>2325890.921</v>
      </c>
      <c r="I5623" s="160"/>
      <c r="J5623" s="161"/>
      <c r="K5623" s="160"/>
      <c r="L5623" s="160">
        <f>+'FACP$'!$H5623-'FACP$'!$I5623-'FACP$'!$K5623</f>
        <v>2325890.921</v>
      </c>
      <c r="M5623" s="162" t="s">
        <v>116</v>
      </c>
      <c r="N5623" s="162" t="s">
        <v>554</v>
      </c>
      <c r="O5623" s="164">
        <v>45734.0</v>
      </c>
      <c r="P5623" s="164">
        <f t="array" ref="P5623">XLOOKUP('FACP$'!$B5623,'perfil de pagos'!$A$4:$A$46,'perfil de pagos'!$B$4:$B$46+'FACP$'!$D5623)</f>
        <v>45732</v>
      </c>
      <c r="Q5623" s="165">
        <f t="shared" si="128"/>
        <v>0</v>
      </c>
      <c r="R5623" s="167"/>
      <c r="S5623" s="167"/>
      <c r="T5623" s="168">
        <f t="shared" si="3"/>
        <v>2325890.921</v>
      </c>
      <c r="U5623" s="168">
        <f t="shared" si="4"/>
        <v>0</v>
      </c>
      <c r="V5623" s="168">
        <f t="shared" si="5"/>
        <v>0</v>
      </c>
      <c r="W5623" s="168">
        <f t="shared" si="6"/>
        <v>0</v>
      </c>
      <c r="X5623" s="168">
        <f t="shared" si="7"/>
        <v>0</v>
      </c>
      <c r="Y5623" s="168">
        <f t="shared" si="8"/>
        <v>0</v>
      </c>
      <c r="Z5623" s="168">
        <f t="shared" si="9"/>
        <v>0</v>
      </c>
    </row>
    <row r="5624" ht="15.0" customHeight="1">
      <c r="A5624" s="157" t="s">
        <v>7116</v>
      </c>
      <c r="B5624" s="158" t="s">
        <v>16</v>
      </c>
      <c r="C5624" s="158" t="s">
        <v>7094</v>
      </c>
      <c r="D5624" s="159">
        <v>45722.0</v>
      </c>
      <c r="E5624" s="157" t="s">
        <v>731</v>
      </c>
      <c r="F5624" s="160">
        <v>404500.75</v>
      </c>
      <c r="G5624" s="160">
        <f>'FACP$'!$F5624*0.16</f>
        <v>64720.12</v>
      </c>
      <c r="H5624" s="160">
        <f t="shared" si="129"/>
        <v>469220.87</v>
      </c>
      <c r="I5624" s="160"/>
      <c r="J5624" s="161"/>
      <c r="K5624" s="160"/>
      <c r="L5624" s="160">
        <f>+'FACP$'!$H5624-'FACP$'!$I5624-'FACP$'!$K5624</f>
        <v>469220.87</v>
      </c>
      <c r="M5624" s="162" t="s">
        <v>985</v>
      </c>
      <c r="N5624" s="162" t="s">
        <v>554</v>
      </c>
      <c r="O5624" s="164">
        <v>45735.0</v>
      </c>
      <c r="P5624" s="164">
        <f t="array" ref="P5624">XLOOKUP('FACP$'!$B5624,'perfil de pagos'!$A$4:$A$46,'perfil de pagos'!$B$4:$B$46+'FACP$'!$D5624)</f>
        <v>45732</v>
      </c>
      <c r="Q5624" s="165">
        <f t="shared" si="128"/>
        <v>0</v>
      </c>
      <c r="R5624" s="167"/>
      <c r="S5624" s="167">
        <v>3691.0</v>
      </c>
      <c r="T5624" s="168">
        <f t="shared" si="3"/>
        <v>469220.87</v>
      </c>
      <c r="U5624" s="168">
        <f t="shared" si="4"/>
        <v>0</v>
      </c>
      <c r="V5624" s="168">
        <f t="shared" si="5"/>
        <v>0</v>
      </c>
      <c r="W5624" s="168">
        <f t="shared" si="6"/>
        <v>0</v>
      </c>
      <c r="X5624" s="168">
        <f t="shared" si="7"/>
        <v>0</v>
      </c>
      <c r="Y5624" s="168">
        <f t="shared" si="8"/>
        <v>0</v>
      </c>
      <c r="Z5624" s="168">
        <f t="shared" si="9"/>
        <v>0</v>
      </c>
    </row>
    <row r="5625" ht="15.0" customHeight="1">
      <c r="A5625" s="157" t="s">
        <v>7117</v>
      </c>
      <c r="B5625" s="158" t="s">
        <v>16</v>
      </c>
      <c r="C5625" s="158" t="s">
        <v>7097</v>
      </c>
      <c r="D5625" s="159">
        <v>45722.0</v>
      </c>
      <c r="E5625" s="157" t="s">
        <v>731</v>
      </c>
      <c r="F5625" s="160">
        <v>429806.05</v>
      </c>
      <c r="G5625" s="160">
        <f>'FACP$'!$F5625*0.16</f>
        <v>68768.968</v>
      </c>
      <c r="H5625" s="160">
        <f t="shared" si="129"/>
        <v>498575.018</v>
      </c>
      <c r="I5625" s="160"/>
      <c r="J5625" s="161"/>
      <c r="K5625" s="160"/>
      <c r="L5625" s="160">
        <f>+'FACP$'!$H5625-'FACP$'!$I5625-'FACP$'!$K5625</f>
        <v>498575.018</v>
      </c>
      <c r="M5625" s="162" t="s">
        <v>985</v>
      </c>
      <c r="N5625" s="162" t="s">
        <v>554</v>
      </c>
      <c r="O5625" s="164">
        <v>45735.0</v>
      </c>
      <c r="P5625" s="164">
        <f t="array" ref="P5625">XLOOKUP('FACP$'!$B5625,'perfil de pagos'!$A$4:$A$46,'perfil de pagos'!$B$4:$B$46+'FACP$'!$D5625)</f>
        <v>45732</v>
      </c>
      <c r="Q5625" s="165">
        <f t="shared" si="128"/>
        <v>0</v>
      </c>
      <c r="R5625" s="167"/>
      <c r="S5625" s="167">
        <v>3691.0</v>
      </c>
      <c r="T5625" s="168">
        <f t="shared" si="3"/>
        <v>498575.018</v>
      </c>
      <c r="U5625" s="168">
        <f t="shared" si="4"/>
        <v>0</v>
      </c>
      <c r="V5625" s="168">
        <f t="shared" si="5"/>
        <v>0</v>
      </c>
      <c r="W5625" s="168">
        <f t="shared" si="6"/>
        <v>0</v>
      </c>
      <c r="X5625" s="168">
        <f t="shared" si="7"/>
        <v>0</v>
      </c>
      <c r="Y5625" s="168">
        <f t="shared" si="8"/>
        <v>0</v>
      </c>
      <c r="Z5625" s="168">
        <f t="shared" si="9"/>
        <v>0</v>
      </c>
    </row>
    <row r="5626" ht="15.0" customHeight="1">
      <c r="A5626" s="157" t="s">
        <v>7118</v>
      </c>
      <c r="B5626" s="158" t="s">
        <v>18</v>
      </c>
      <c r="C5626" s="158" t="s">
        <v>7094</v>
      </c>
      <c r="D5626" s="159">
        <v>45722.0</v>
      </c>
      <c r="E5626" s="157" t="s">
        <v>731</v>
      </c>
      <c r="F5626" s="160">
        <v>127387.26</v>
      </c>
      <c r="G5626" s="160">
        <f>'FACP$'!$F5626*0.16</f>
        <v>20381.9616</v>
      </c>
      <c r="H5626" s="160">
        <f t="shared" si="129"/>
        <v>147769.2216</v>
      </c>
      <c r="I5626" s="160"/>
      <c r="J5626" s="161"/>
      <c r="K5626" s="160"/>
      <c r="L5626" s="160">
        <f>+'FACP$'!$H5626-'FACP$'!$I5626-'FACP$'!$K5626</f>
        <v>147769.2216</v>
      </c>
      <c r="M5626" s="162" t="s">
        <v>586</v>
      </c>
      <c r="N5626" s="162" t="s">
        <v>554</v>
      </c>
      <c r="O5626" s="164">
        <v>45750.0</v>
      </c>
      <c r="P5626" s="164">
        <f t="array" ref="P5626">XLOOKUP('FACP$'!$B5626,'perfil de pagos'!$A$4:$A$46,'perfil de pagos'!$B$4:$B$46+'FACP$'!$D5626)</f>
        <v>45732</v>
      </c>
      <c r="Q5626" s="165">
        <f t="shared" si="128"/>
        <v>0</v>
      </c>
      <c r="R5626" s="167"/>
      <c r="S5626" s="167">
        <v>3721.0</v>
      </c>
      <c r="T5626" s="168">
        <f t="shared" si="3"/>
        <v>147769.2216</v>
      </c>
      <c r="U5626" s="168">
        <f t="shared" si="4"/>
        <v>0</v>
      </c>
      <c r="V5626" s="168">
        <f t="shared" si="5"/>
        <v>0</v>
      </c>
      <c r="W5626" s="168">
        <f t="shared" si="6"/>
        <v>0</v>
      </c>
      <c r="X5626" s="168">
        <f t="shared" si="7"/>
        <v>0</v>
      </c>
      <c r="Y5626" s="168">
        <f t="shared" si="8"/>
        <v>0</v>
      </c>
      <c r="Z5626" s="168">
        <f t="shared" si="9"/>
        <v>0</v>
      </c>
    </row>
    <row r="5627" ht="15.0" customHeight="1">
      <c r="A5627" s="157" t="s">
        <v>7119</v>
      </c>
      <c r="B5627" s="158" t="s">
        <v>19</v>
      </c>
      <c r="C5627" s="158" t="s">
        <v>7094</v>
      </c>
      <c r="D5627" s="159">
        <v>45722.0</v>
      </c>
      <c r="E5627" s="157" t="s">
        <v>731</v>
      </c>
      <c r="F5627" s="160">
        <v>245434.75</v>
      </c>
      <c r="G5627" s="160">
        <f>'FACP$'!$F5627*0.16</f>
        <v>39269.56</v>
      </c>
      <c r="H5627" s="160">
        <f t="shared" si="129"/>
        <v>284704.31</v>
      </c>
      <c r="I5627" s="160"/>
      <c r="J5627" s="161"/>
      <c r="K5627" s="160"/>
      <c r="L5627" s="160">
        <f>+'FACP$'!$H5627-'FACP$'!$I5627-'FACP$'!$K5627</f>
        <v>284704.31</v>
      </c>
      <c r="M5627" s="162" t="s">
        <v>732</v>
      </c>
      <c r="N5627" s="162" t="s">
        <v>554</v>
      </c>
      <c r="O5627" s="164">
        <v>45750.0</v>
      </c>
      <c r="P5627" s="164">
        <f t="array" ref="P5627">XLOOKUP('FACP$'!$B5627,'perfil de pagos'!$A$4:$A$46,'perfil de pagos'!$B$4:$B$46+'FACP$'!$D5627)</f>
        <v>45732</v>
      </c>
      <c r="Q5627" s="165">
        <f t="shared" si="128"/>
        <v>0</v>
      </c>
      <c r="R5627" s="167"/>
      <c r="S5627" s="167">
        <v>3721.0</v>
      </c>
      <c r="T5627" s="168">
        <f t="shared" si="3"/>
        <v>284704.31</v>
      </c>
      <c r="U5627" s="168">
        <f t="shared" si="4"/>
        <v>0</v>
      </c>
      <c r="V5627" s="168">
        <f t="shared" si="5"/>
        <v>0</v>
      </c>
      <c r="W5627" s="168">
        <f t="shared" si="6"/>
        <v>0</v>
      </c>
      <c r="X5627" s="168">
        <f t="shared" si="7"/>
        <v>0</v>
      </c>
      <c r="Y5627" s="168">
        <f t="shared" si="8"/>
        <v>0</v>
      </c>
      <c r="Z5627" s="168">
        <f t="shared" si="9"/>
        <v>0</v>
      </c>
    </row>
    <row r="5628" ht="15.0" customHeight="1">
      <c r="A5628" s="157" t="s">
        <v>7120</v>
      </c>
      <c r="B5628" s="158" t="s">
        <v>25</v>
      </c>
      <c r="C5628" s="158" t="s">
        <v>7094</v>
      </c>
      <c r="D5628" s="159">
        <v>45722.0</v>
      </c>
      <c r="E5628" s="157" t="s">
        <v>731</v>
      </c>
      <c r="F5628" s="160">
        <v>78558.9</v>
      </c>
      <c r="G5628" s="160">
        <f>'FACP$'!$F5628*0.16</f>
        <v>12569.424</v>
      </c>
      <c r="H5628" s="160">
        <f t="shared" si="129"/>
        <v>91128.324</v>
      </c>
      <c r="I5628" s="160"/>
      <c r="J5628" s="161"/>
      <c r="K5628" s="160"/>
      <c r="L5628" s="160">
        <f>+'FACP$'!$H5628-'FACP$'!$I5628-'FACP$'!$K5628</f>
        <v>91128.324</v>
      </c>
      <c r="M5628" s="162" t="s">
        <v>4388</v>
      </c>
      <c r="N5628" s="162" t="s">
        <v>554</v>
      </c>
      <c r="O5628" s="164">
        <v>45734.0</v>
      </c>
      <c r="P5628" s="164">
        <f t="array" ref="P5628">XLOOKUP('FACP$'!$B5628,'perfil de pagos'!$A$4:$A$46,'perfil de pagos'!$B$4:$B$46+'FACP$'!$D5628)</f>
        <v>45732</v>
      </c>
      <c r="Q5628" s="165">
        <f t="shared" si="128"/>
        <v>0</v>
      </c>
      <c r="R5628" s="167"/>
      <c r="S5628" s="167"/>
      <c r="T5628" s="168">
        <f t="shared" si="3"/>
        <v>91128.324</v>
      </c>
      <c r="U5628" s="168">
        <f t="shared" si="4"/>
        <v>0</v>
      </c>
      <c r="V5628" s="168">
        <f t="shared" si="5"/>
        <v>0</v>
      </c>
      <c r="W5628" s="168">
        <f t="shared" si="6"/>
        <v>0</v>
      </c>
      <c r="X5628" s="168">
        <f t="shared" si="7"/>
        <v>0</v>
      </c>
      <c r="Y5628" s="168">
        <f t="shared" si="8"/>
        <v>0</v>
      </c>
      <c r="Z5628" s="168">
        <f t="shared" si="9"/>
        <v>0</v>
      </c>
    </row>
    <row r="5629" ht="15.0" customHeight="1">
      <c r="A5629" s="157" t="s">
        <v>7121</v>
      </c>
      <c r="B5629" s="158" t="s">
        <v>38</v>
      </c>
      <c r="C5629" s="158" t="s">
        <v>7094</v>
      </c>
      <c r="D5629" s="159">
        <v>45722.0</v>
      </c>
      <c r="E5629" s="157" t="s">
        <v>731</v>
      </c>
      <c r="F5629" s="160">
        <v>761541.84</v>
      </c>
      <c r="G5629" s="160">
        <f>'FACP$'!$F5629*0.16</f>
        <v>121846.6944</v>
      </c>
      <c r="H5629" s="160">
        <f t="shared" si="129"/>
        <v>883388.5344</v>
      </c>
      <c r="I5629" s="160"/>
      <c r="J5629" s="161"/>
      <c r="K5629" s="160"/>
      <c r="L5629" s="160">
        <f>+'FACP$'!$H5629-'FACP$'!$I5629-'FACP$'!$K5629</f>
        <v>883388.5344</v>
      </c>
      <c r="M5629" s="162" t="s">
        <v>145</v>
      </c>
      <c r="N5629" s="162" t="s">
        <v>554</v>
      </c>
      <c r="O5629" s="164">
        <v>45735.0</v>
      </c>
      <c r="P5629" s="164">
        <f t="array" ref="P5629">XLOOKUP('FACP$'!$B5629,'perfil de pagos'!$A$4:$A$46,'perfil de pagos'!$B$4:$B$46+'FACP$'!$D5629)</f>
        <v>45752</v>
      </c>
      <c r="Q5629" s="165">
        <f t="shared" si="128"/>
        <v>0</v>
      </c>
      <c r="R5629" s="167"/>
      <c r="S5629" s="167">
        <v>3689.0</v>
      </c>
      <c r="T5629" s="168">
        <f t="shared" si="3"/>
        <v>883388.5344</v>
      </c>
      <c r="U5629" s="168">
        <f t="shared" si="4"/>
        <v>0</v>
      </c>
      <c r="V5629" s="168">
        <f t="shared" si="5"/>
        <v>0</v>
      </c>
      <c r="W5629" s="168">
        <f t="shared" si="6"/>
        <v>0</v>
      </c>
      <c r="X5629" s="168">
        <f t="shared" si="7"/>
        <v>0</v>
      </c>
      <c r="Y5629" s="168">
        <f t="shared" si="8"/>
        <v>0</v>
      </c>
      <c r="Z5629" s="168">
        <f t="shared" si="9"/>
        <v>0</v>
      </c>
    </row>
    <row r="5630" ht="15.0" customHeight="1">
      <c r="A5630" s="157" t="s">
        <v>7122</v>
      </c>
      <c r="B5630" s="158" t="s">
        <v>54</v>
      </c>
      <c r="C5630" s="158" t="s">
        <v>7094</v>
      </c>
      <c r="D5630" s="159">
        <v>45722.0</v>
      </c>
      <c r="E5630" s="157" t="s">
        <v>731</v>
      </c>
      <c r="F5630" s="160">
        <v>327622.88</v>
      </c>
      <c r="G5630" s="160">
        <f>'FACP$'!$F5630*0.16</f>
        <v>52419.6608</v>
      </c>
      <c r="H5630" s="160">
        <f t="shared" si="129"/>
        <v>380042.5408</v>
      </c>
      <c r="I5630" s="160"/>
      <c r="J5630" s="161"/>
      <c r="K5630" s="160"/>
      <c r="L5630" s="160">
        <f>+'FACP$'!$H5630-'FACP$'!$I5630-'FACP$'!$K5630</f>
        <v>380042.5408</v>
      </c>
      <c r="M5630" s="162" t="s">
        <v>7011</v>
      </c>
      <c r="N5630" s="162"/>
      <c r="O5630" s="164"/>
      <c r="P5630" s="164">
        <f t="array" ref="P5630">XLOOKUP('FACP$'!$B5630,'perfil de pagos'!$A$4:$A$46,'perfil de pagos'!$B$4:$B$46+'FACP$'!$D5630)</f>
        <v>45782</v>
      </c>
      <c r="Q5630" s="165">
        <f t="shared" si="128"/>
        <v>7</v>
      </c>
      <c r="R5630" s="167"/>
      <c r="S5630" s="167"/>
      <c r="T5630" s="168">
        <f t="shared" si="3"/>
        <v>0</v>
      </c>
      <c r="U5630" s="168">
        <f t="shared" si="4"/>
        <v>380042.5408</v>
      </c>
      <c r="V5630" s="168">
        <f t="shared" si="5"/>
        <v>0</v>
      </c>
      <c r="W5630" s="168">
        <f t="shared" si="6"/>
        <v>0</v>
      </c>
      <c r="X5630" s="168">
        <f t="shared" si="7"/>
        <v>0</v>
      </c>
      <c r="Y5630" s="168">
        <f t="shared" si="8"/>
        <v>0</v>
      </c>
      <c r="Z5630" s="168">
        <f t="shared" si="9"/>
        <v>0</v>
      </c>
    </row>
    <row r="5631" ht="15.0" customHeight="1">
      <c r="A5631" s="157" t="s">
        <v>7123</v>
      </c>
      <c r="B5631" s="158" t="s">
        <v>54</v>
      </c>
      <c r="C5631" s="158" t="s">
        <v>7097</v>
      </c>
      <c r="D5631" s="159">
        <v>45722.0</v>
      </c>
      <c r="E5631" s="157" t="s">
        <v>731</v>
      </c>
      <c r="F5631" s="160">
        <v>468688.63</v>
      </c>
      <c r="G5631" s="160">
        <f>'FACP$'!$F5631*0.16</f>
        <v>74990.1808</v>
      </c>
      <c r="H5631" s="160">
        <f t="shared" si="129"/>
        <v>543678.8108</v>
      </c>
      <c r="I5631" s="160"/>
      <c r="J5631" s="161"/>
      <c r="K5631" s="160"/>
      <c r="L5631" s="160">
        <f>+'FACP$'!$H5631-'FACP$'!$I5631-'FACP$'!$K5631</f>
        <v>543678.8108</v>
      </c>
      <c r="M5631" s="162" t="s">
        <v>7011</v>
      </c>
      <c r="N5631" s="162"/>
      <c r="O5631" s="164"/>
      <c r="P5631" s="164">
        <f t="array" ref="P5631">XLOOKUP('FACP$'!$B5631,'perfil de pagos'!$A$4:$A$46,'perfil de pagos'!$B$4:$B$46+'FACP$'!$D5631)</f>
        <v>45782</v>
      </c>
      <c r="Q5631" s="165">
        <f t="shared" si="128"/>
        <v>7</v>
      </c>
      <c r="R5631" s="167"/>
      <c r="S5631" s="167"/>
      <c r="T5631" s="168">
        <f t="shared" si="3"/>
        <v>0</v>
      </c>
      <c r="U5631" s="168">
        <f t="shared" si="4"/>
        <v>543678.8108</v>
      </c>
      <c r="V5631" s="168">
        <f t="shared" si="5"/>
        <v>0</v>
      </c>
      <c r="W5631" s="168">
        <f t="shared" si="6"/>
        <v>0</v>
      </c>
      <c r="X5631" s="168">
        <f t="shared" si="7"/>
        <v>0</v>
      </c>
      <c r="Y5631" s="168">
        <f t="shared" si="8"/>
        <v>0</v>
      </c>
      <c r="Z5631" s="168">
        <f t="shared" si="9"/>
        <v>0</v>
      </c>
    </row>
    <row r="5632" ht="15.0" customHeight="1">
      <c r="A5632" s="157" t="s">
        <v>7124</v>
      </c>
      <c r="B5632" s="158" t="s">
        <v>40</v>
      </c>
      <c r="C5632" s="158" t="s">
        <v>7094</v>
      </c>
      <c r="D5632" s="159">
        <v>45722.0</v>
      </c>
      <c r="E5632" s="157" t="s">
        <v>731</v>
      </c>
      <c r="F5632" s="160">
        <v>357281.15</v>
      </c>
      <c r="G5632" s="160">
        <f>'FACP$'!$F5632*0.16</f>
        <v>57164.984</v>
      </c>
      <c r="H5632" s="160">
        <f t="shared" si="129"/>
        <v>414446.134</v>
      </c>
      <c r="I5632" s="160"/>
      <c r="J5632" s="161"/>
      <c r="K5632" s="160"/>
      <c r="L5632" s="160">
        <f>+'FACP$'!$H5632-'FACP$'!$I5632-'FACP$'!$K5632</f>
        <v>414446.134</v>
      </c>
      <c r="M5632" s="162" t="s">
        <v>490</v>
      </c>
      <c r="N5632" s="162" t="s">
        <v>554</v>
      </c>
      <c r="O5632" s="164">
        <v>45751.0</v>
      </c>
      <c r="P5632" s="164">
        <f t="array" ref="P5632">XLOOKUP('FACP$'!$B5632,'perfil de pagos'!$A$4:$A$46,'perfil de pagos'!$B$4:$B$46+'FACP$'!$D5632)</f>
        <v>45752</v>
      </c>
      <c r="Q5632" s="165">
        <f t="shared" si="128"/>
        <v>0</v>
      </c>
      <c r="R5632" s="167"/>
      <c r="S5632" s="167">
        <v>3726.0</v>
      </c>
      <c r="T5632" s="168">
        <f t="shared" si="3"/>
        <v>414446.134</v>
      </c>
      <c r="U5632" s="168">
        <f t="shared" si="4"/>
        <v>0</v>
      </c>
      <c r="V5632" s="168">
        <f t="shared" si="5"/>
        <v>0</v>
      </c>
      <c r="W5632" s="168">
        <f t="shared" si="6"/>
        <v>0</v>
      </c>
      <c r="X5632" s="168">
        <f t="shared" si="7"/>
        <v>0</v>
      </c>
      <c r="Y5632" s="168">
        <f t="shared" si="8"/>
        <v>0</v>
      </c>
      <c r="Z5632" s="168">
        <f t="shared" si="9"/>
        <v>0</v>
      </c>
    </row>
    <row r="5633" ht="15.0" customHeight="1">
      <c r="A5633" s="157" t="s">
        <v>7125</v>
      </c>
      <c r="B5633" s="158" t="s">
        <v>40</v>
      </c>
      <c r="C5633" s="158" t="s">
        <v>7097</v>
      </c>
      <c r="D5633" s="159">
        <v>45722.0</v>
      </c>
      <c r="E5633" s="157" t="s">
        <v>731</v>
      </c>
      <c r="F5633" s="160">
        <v>208682.63</v>
      </c>
      <c r="G5633" s="160">
        <f>'FACP$'!$F5633*0.16</f>
        <v>33389.2208</v>
      </c>
      <c r="H5633" s="160">
        <f t="shared" si="129"/>
        <v>242071.8508</v>
      </c>
      <c r="I5633" s="160"/>
      <c r="J5633" s="161"/>
      <c r="K5633" s="160"/>
      <c r="L5633" s="160">
        <f>+'FACP$'!$H5633-'FACP$'!$I5633-'FACP$'!$K5633</f>
        <v>242071.8508</v>
      </c>
      <c r="M5633" s="162" t="s">
        <v>490</v>
      </c>
      <c r="N5633" s="162" t="s">
        <v>554</v>
      </c>
      <c r="O5633" s="164">
        <v>45754.0</v>
      </c>
      <c r="P5633" s="164">
        <f t="array" ref="P5633">XLOOKUP('FACP$'!$B5633,'perfil de pagos'!$A$4:$A$46,'perfil de pagos'!$B$4:$B$46+'FACP$'!$D5633)</f>
        <v>45752</v>
      </c>
      <c r="Q5633" s="165">
        <f t="shared" si="128"/>
        <v>0</v>
      </c>
      <c r="R5633" s="167"/>
      <c r="S5633" s="167">
        <v>3737.0</v>
      </c>
      <c r="T5633" s="168">
        <f t="shared" si="3"/>
        <v>242071.8508</v>
      </c>
      <c r="U5633" s="168">
        <f t="shared" si="4"/>
        <v>0</v>
      </c>
      <c r="V5633" s="168">
        <f t="shared" si="5"/>
        <v>0</v>
      </c>
      <c r="W5633" s="168">
        <f t="shared" si="6"/>
        <v>0</v>
      </c>
      <c r="X5633" s="168">
        <f t="shared" si="7"/>
        <v>0</v>
      </c>
      <c r="Y5633" s="168">
        <f t="shared" si="8"/>
        <v>0</v>
      </c>
      <c r="Z5633" s="168">
        <f t="shared" si="9"/>
        <v>0</v>
      </c>
    </row>
    <row r="5634" ht="15.0" customHeight="1">
      <c r="A5634" s="157" t="s">
        <v>7126</v>
      </c>
      <c r="B5634" s="158" t="s">
        <v>55</v>
      </c>
      <c r="C5634" s="158" t="s">
        <v>7094</v>
      </c>
      <c r="D5634" s="159">
        <v>45723.0</v>
      </c>
      <c r="E5634" s="157" t="s">
        <v>731</v>
      </c>
      <c r="F5634" s="160">
        <v>34010.03</v>
      </c>
      <c r="G5634" s="160">
        <f>'FACP$'!$F5634*0.16</f>
        <v>5441.6048</v>
      </c>
      <c r="H5634" s="160">
        <f t="shared" si="129"/>
        <v>39451.6348</v>
      </c>
      <c r="I5634" s="160"/>
      <c r="J5634" s="161"/>
      <c r="K5634" s="160"/>
      <c r="L5634" s="160">
        <f>+'FACP$'!$H5634-'FACP$'!$I5634-'FACP$'!$K5634</f>
        <v>39451.6348</v>
      </c>
      <c r="M5634" s="162" t="s">
        <v>7029</v>
      </c>
      <c r="N5634" s="162" t="s">
        <v>554</v>
      </c>
      <c r="O5634" s="164">
        <v>45741.0</v>
      </c>
      <c r="P5634" s="164">
        <f t="array" ref="P5634">XLOOKUP('FACP$'!$B5634,'perfil de pagos'!$A$4:$A$46,'perfil de pagos'!$B$4:$B$46+'FACP$'!$D5634)</f>
        <v>45733</v>
      </c>
      <c r="Q5634" s="165">
        <f t="shared" si="128"/>
        <v>0</v>
      </c>
      <c r="R5634" s="167"/>
      <c r="S5634" s="167"/>
      <c r="T5634" s="168">
        <f t="shared" si="3"/>
        <v>39451.6348</v>
      </c>
      <c r="U5634" s="168">
        <f t="shared" si="4"/>
        <v>0</v>
      </c>
      <c r="V5634" s="168">
        <f t="shared" si="5"/>
        <v>0</v>
      </c>
      <c r="W5634" s="168">
        <f t="shared" si="6"/>
        <v>0</v>
      </c>
      <c r="X5634" s="168">
        <f t="shared" si="7"/>
        <v>0</v>
      </c>
      <c r="Y5634" s="168">
        <f t="shared" si="8"/>
        <v>0</v>
      </c>
      <c r="Z5634" s="168">
        <f t="shared" si="9"/>
        <v>0</v>
      </c>
    </row>
    <row r="5635" ht="15.0" customHeight="1">
      <c r="A5635" s="157" t="s">
        <v>7127</v>
      </c>
      <c r="B5635" s="158" t="s">
        <v>55</v>
      </c>
      <c r="C5635" s="158" t="s">
        <v>7097</v>
      </c>
      <c r="D5635" s="159">
        <v>45723.0</v>
      </c>
      <c r="E5635" s="157" t="s">
        <v>731</v>
      </c>
      <c r="F5635" s="160">
        <v>12008.76</v>
      </c>
      <c r="G5635" s="160">
        <f>'FACP$'!$F5635*0.16</f>
        <v>1921.4016</v>
      </c>
      <c r="H5635" s="160">
        <f t="shared" si="129"/>
        <v>13930.1616</v>
      </c>
      <c r="I5635" s="160"/>
      <c r="J5635" s="161"/>
      <c r="K5635" s="160"/>
      <c r="L5635" s="160">
        <f>+'FACP$'!$H5635-'FACP$'!$I5635-'FACP$'!$K5635</f>
        <v>13930.1616</v>
      </c>
      <c r="M5635" s="162" t="s">
        <v>7029</v>
      </c>
      <c r="N5635" s="162" t="s">
        <v>554</v>
      </c>
      <c r="O5635" s="164">
        <v>45741.0</v>
      </c>
      <c r="P5635" s="164">
        <f t="array" ref="P5635">XLOOKUP('FACP$'!$B5635,'perfil de pagos'!$A$4:$A$46,'perfil de pagos'!$B$4:$B$46+'FACP$'!$D5635)</f>
        <v>45733</v>
      </c>
      <c r="Q5635" s="165">
        <f t="shared" si="128"/>
        <v>0</v>
      </c>
      <c r="R5635" s="167"/>
      <c r="S5635" s="167"/>
      <c r="T5635" s="168">
        <f t="shared" si="3"/>
        <v>13930.1616</v>
      </c>
      <c r="U5635" s="168">
        <f t="shared" si="4"/>
        <v>0</v>
      </c>
      <c r="V5635" s="168">
        <f t="shared" si="5"/>
        <v>0</v>
      </c>
      <c r="W5635" s="168">
        <f t="shared" si="6"/>
        <v>0</v>
      </c>
      <c r="X5635" s="168">
        <f t="shared" si="7"/>
        <v>0</v>
      </c>
      <c r="Y5635" s="168">
        <f t="shared" si="8"/>
        <v>0</v>
      </c>
      <c r="Z5635" s="168">
        <f t="shared" si="9"/>
        <v>0</v>
      </c>
    </row>
    <row r="5636" ht="15.0" customHeight="1">
      <c r="A5636" s="157" t="s">
        <v>7128</v>
      </c>
      <c r="B5636" s="158" t="s">
        <v>22</v>
      </c>
      <c r="C5636" s="158" t="s">
        <v>7129</v>
      </c>
      <c r="D5636" s="159">
        <v>45723.0</v>
      </c>
      <c r="E5636" s="157" t="s">
        <v>731</v>
      </c>
      <c r="F5636" s="160">
        <v>120898.32</v>
      </c>
      <c r="G5636" s="160">
        <f>'FACP$'!$F5636*0.16</f>
        <v>19343.7312</v>
      </c>
      <c r="H5636" s="160">
        <f t="shared" si="129"/>
        <v>140242.0512</v>
      </c>
      <c r="I5636" s="160">
        <v>94931.51000000001</v>
      </c>
      <c r="J5636" s="161"/>
      <c r="K5636" s="160"/>
      <c r="L5636" s="160">
        <f>+'FACP$'!$H5636-'FACP$'!$I5636-'FACP$'!$K5636</f>
        <v>45310.5412</v>
      </c>
      <c r="M5636" s="162" t="s">
        <v>6823</v>
      </c>
      <c r="N5636" s="162" t="s">
        <v>554</v>
      </c>
      <c r="O5636" s="164">
        <v>45768.0</v>
      </c>
      <c r="P5636" s="164">
        <f t="array" ref="P5636">XLOOKUP('FACP$'!$B5636,'perfil de pagos'!$A$4:$A$46,'perfil de pagos'!$B$4:$B$46+'FACP$'!$D5636)</f>
        <v>45733</v>
      </c>
      <c r="Q5636" s="165">
        <f t="shared" si="128"/>
        <v>0</v>
      </c>
      <c r="R5636" s="220" t="s">
        <v>7130</v>
      </c>
      <c r="S5636" s="167" t="s">
        <v>7131</v>
      </c>
      <c r="T5636" s="168">
        <f t="shared" si="3"/>
        <v>45310.5412</v>
      </c>
      <c r="U5636" s="168">
        <f t="shared" si="4"/>
        <v>0</v>
      </c>
      <c r="V5636" s="168">
        <f t="shared" si="5"/>
        <v>0</v>
      </c>
      <c r="W5636" s="168">
        <f t="shared" si="6"/>
        <v>0</v>
      </c>
      <c r="X5636" s="168">
        <f t="shared" si="7"/>
        <v>0</v>
      </c>
      <c r="Y5636" s="168">
        <f t="shared" si="8"/>
        <v>0</v>
      </c>
      <c r="Z5636" s="168">
        <f t="shared" si="9"/>
        <v>0</v>
      </c>
    </row>
    <row r="5637" ht="15.0" customHeight="1">
      <c r="A5637" s="157" t="s">
        <v>7132</v>
      </c>
      <c r="B5637" s="158" t="s">
        <v>22</v>
      </c>
      <c r="C5637" s="158" t="s">
        <v>7129</v>
      </c>
      <c r="D5637" s="159">
        <v>45723.0</v>
      </c>
      <c r="E5637" s="157" t="s">
        <v>731</v>
      </c>
      <c r="F5637" s="160">
        <v>270205.07</v>
      </c>
      <c r="G5637" s="160">
        <f>'FACP$'!$F5637*0.16</f>
        <v>43232.8112</v>
      </c>
      <c r="H5637" s="160">
        <f t="shared" si="129"/>
        <v>313437.8812</v>
      </c>
      <c r="I5637" s="160">
        <v>154689.46</v>
      </c>
      <c r="J5637" s="161"/>
      <c r="K5637" s="160"/>
      <c r="L5637" s="160">
        <f>+'FACP$'!$H5637-'FACP$'!$I5637-'FACP$'!$K5637</f>
        <v>158748.4212</v>
      </c>
      <c r="M5637" s="162" t="s">
        <v>6695</v>
      </c>
      <c r="N5637" s="162"/>
      <c r="O5637" s="164"/>
      <c r="P5637" s="164">
        <f t="array" ref="P5637">XLOOKUP('FACP$'!$B5637,'perfil de pagos'!$A$4:$A$46,'perfil de pagos'!$B$4:$B$46+'FACP$'!$D5637)</f>
        <v>45733</v>
      </c>
      <c r="Q5637" s="165">
        <f t="shared" si="128"/>
        <v>56</v>
      </c>
      <c r="R5637" s="220" t="s">
        <v>7133</v>
      </c>
      <c r="S5637" s="167">
        <v>3769.0</v>
      </c>
      <c r="T5637" s="168">
        <f t="shared" si="3"/>
        <v>0</v>
      </c>
      <c r="U5637" s="168">
        <f t="shared" si="4"/>
        <v>0</v>
      </c>
      <c r="V5637" s="168">
        <f t="shared" si="5"/>
        <v>0</v>
      </c>
      <c r="W5637" s="168">
        <f t="shared" si="6"/>
        <v>0</v>
      </c>
      <c r="X5637" s="168">
        <f t="shared" si="7"/>
        <v>158748.4212</v>
      </c>
      <c r="Y5637" s="168">
        <f t="shared" si="8"/>
        <v>0</v>
      </c>
      <c r="Z5637" s="168">
        <f t="shared" si="9"/>
        <v>0</v>
      </c>
    </row>
    <row r="5638" ht="15.0" customHeight="1">
      <c r="A5638" s="157" t="s">
        <v>7134</v>
      </c>
      <c r="B5638" s="158" t="s">
        <v>22</v>
      </c>
      <c r="C5638" s="158" t="s">
        <v>7129</v>
      </c>
      <c r="D5638" s="159">
        <v>45723.0</v>
      </c>
      <c r="E5638" s="157" t="s">
        <v>731</v>
      </c>
      <c r="F5638" s="160">
        <v>282773.85</v>
      </c>
      <c r="G5638" s="160">
        <f>'FACP$'!$F5638*0.16</f>
        <v>45243.816</v>
      </c>
      <c r="H5638" s="160">
        <f t="shared" si="129"/>
        <v>328017.666</v>
      </c>
      <c r="I5638" s="160"/>
      <c r="J5638" s="161"/>
      <c r="K5638" s="160"/>
      <c r="L5638" s="160">
        <f>+'FACP$'!$H5638-'FACP$'!$I5638-'FACP$'!$K5638</f>
        <v>328017.666</v>
      </c>
      <c r="M5638" s="162" t="s">
        <v>6693</v>
      </c>
      <c r="N5638" s="162"/>
      <c r="O5638" s="164"/>
      <c r="P5638" s="164">
        <f t="array" ref="P5638">XLOOKUP('FACP$'!$B5638,'perfil de pagos'!$A$4:$A$46,'perfil de pagos'!$B$4:$B$46+'FACP$'!$D5638)</f>
        <v>45733</v>
      </c>
      <c r="Q5638" s="165">
        <f t="shared" si="128"/>
        <v>56</v>
      </c>
      <c r="R5638" s="167"/>
      <c r="S5638" s="167"/>
      <c r="T5638" s="168">
        <f t="shared" si="3"/>
        <v>0</v>
      </c>
      <c r="U5638" s="168">
        <f t="shared" si="4"/>
        <v>0</v>
      </c>
      <c r="V5638" s="168">
        <f t="shared" si="5"/>
        <v>0</v>
      </c>
      <c r="W5638" s="168">
        <f t="shared" si="6"/>
        <v>0</v>
      </c>
      <c r="X5638" s="168">
        <f t="shared" si="7"/>
        <v>328017.666</v>
      </c>
      <c r="Y5638" s="168">
        <f t="shared" si="8"/>
        <v>0</v>
      </c>
      <c r="Z5638" s="168">
        <f t="shared" si="9"/>
        <v>0</v>
      </c>
    </row>
    <row r="5639" ht="15.0" customHeight="1">
      <c r="A5639" s="157" t="s">
        <v>7135</v>
      </c>
      <c r="B5639" s="158" t="s">
        <v>27</v>
      </c>
      <c r="C5639" s="158" t="s">
        <v>7136</v>
      </c>
      <c r="D5639" s="159">
        <v>45727.0</v>
      </c>
      <c r="E5639" s="157" t="s">
        <v>731</v>
      </c>
      <c r="F5639" s="160">
        <v>46000.0</v>
      </c>
      <c r="G5639" s="160">
        <f>'FACP$'!$F5639*0.16</f>
        <v>7360</v>
      </c>
      <c r="H5639" s="160">
        <f t="shared" si="129"/>
        <v>53360</v>
      </c>
      <c r="I5639" s="160"/>
      <c r="J5639" s="161"/>
      <c r="K5639" s="160"/>
      <c r="L5639" s="160">
        <f>+'FACP$'!$H5639-'FACP$'!$I5639-'FACP$'!$K5639</f>
        <v>53360</v>
      </c>
      <c r="M5639" s="162" t="s">
        <v>5804</v>
      </c>
      <c r="N5639" s="162"/>
      <c r="O5639" s="164"/>
      <c r="P5639" s="164">
        <f t="array" ref="P5639">XLOOKUP('FACP$'!$B5639,'perfil de pagos'!$A$4:$A$46,'perfil de pagos'!$B$4:$B$46+'FACP$'!$D5639)</f>
        <v>45757</v>
      </c>
      <c r="Q5639" s="165">
        <f t="shared" si="128"/>
        <v>32</v>
      </c>
      <c r="R5639" s="167"/>
      <c r="S5639" s="167"/>
      <c r="T5639" s="168">
        <f t="shared" si="3"/>
        <v>0</v>
      </c>
      <c r="U5639" s="168">
        <f t="shared" si="4"/>
        <v>0</v>
      </c>
      <c r="V5639" s="168">
        <f t="shared" si="5"/>
        <v>0</v>
      </c>
      <c r="W5639" s="168">
        <f t="shared" si="6"/>
        <v>53360</v>
      </c>
      <c r="X5639" s="168">
        <f t="shared" si="7"/>
        <v>0</v>
      </c>
      <c r="Y5639" s="168">
        <f t="shared" si="8"/>
        <v>0</v>
      </c>
      <c r="Z5639" s="168">
        <f t="shared" si="9"/>
        <v>0</v>
      </c>
    </row>
    <row r="5640" ht="15.0" customHeight="1">
      <c r="A5640" s="157" t="s">
        <v>7137</v>
      </c>
      <c r="B5640" s="158" t="s">
        <v>55</v>
      </c>
      <c r="C5640" s="158" t="s">
        <v>7138</v>
      </c>
      <c r="D5640" s="159">
        <v>45728.0</v>
      </c>
      <c r="E5640" s="157" t="s">
        <v>731</v>
      </c>
      <c r="F5640" s="160">
        <v>974180.28</v>
      </c>
      <c r="G5640" s="160">
        <f>'FACP$'!$F5640*0.16</f>
        <v>155868.8448</v>
      </c>
      <c r="H5640" s="160">
        <f t="shared" si="129"/>
        <v>1130049.125</v>
      </c>
      <c r="I5640" s="160"/>
      <c r="J5640" s="161"/>
      <c r="K5640" s="160"/>
      <c r="L5640" s="160">
        <f>+'FACP$'!$H5640-'FACP$'!$I5640-'FACP$'!$K5640</f>
        <v>1130049.125</v>
      </c>
      <c r="M5640" s="162" t="s">
        <v>7029</v>
      </c>
      <c r="N5640" s="162" t="s">
        <v>554</v>
      </c>
      <c r="O5640" s="164">
        <v>45770.0</v>
      </c>
      <c r="P5640" s="164">
        <f t="array" ref="P5640">XLOOKUP('FACP$'!$B5640,'perfil de pagos'!$A$4:$A$46,'perfil de pagos'!$B$4:$B$46+'FACP$'!$D5640)</f>
        <v>45738</v>
      </c>
      <c r="Q5640" s="165">
        <f t="shared" si="128"/>
        <v>0</v>
      </c>
      <c r="R5640" s="167"/>
      <c r="S5640" s="167">
        <v>3770.0</v>
      </c>
      <c r="T5640" s="168">
        <f t="shared" si="3"/>
        <v>1130049.125</v>
      </c>
      <c r="U5640" s="168">
        <f t="shared" si="4"/>
        <v>0</v>
      </c>
      <c r="V5640" s="168">
        <f t="shared" si="5"/>
        <v>0</v>
      </c>
      <c r="W5640" s="168">
        <f t="shared" si="6"/>
        <v>0</v>
      </c>
      <c r="X5640" s="168">
        <f t="shared" si="7"/>
        <v>0</v>
      </c>
      <c r="Y5640" s="168">
        <f t="shared" si="8"/>
        <v>0</v>
      </c>
      <c r="Z5640" s="168">
        <f t="shared" si="9"/>
        <v>0</v>
      </c>
    </row>
    <row r="5641" ht="15.0" customHeight="1">
      <c r="A5641" s="157" t="s">
        <v>7139</v>
      </c>
      <c r="B5641" s="158" t="s">
        <v>55</v>
      </c>
      <c r="C5641" s="158" t="s">
        <v>7140</v>
      </c>
      <c r="D5641" s="159">
        <v>45728.0</v>
      </c>
      <c r="E5641" s="157" t="s">
        <v>731</v>
      </c>
      <c r="F5641" s="160">
        <v>961504.73</v>
      </c>
      <c r="G5641" s="160">
        <f>'FACP$'!$F5641*0.16</f>
        <v>153840.7568</v>
      </c>
      <c r="H5641" s="160">
        <f t="shared" si="129"/>
        <v>1115345.487</v>
      </c>
      <c r="I5641" s="160"/>
      <c r="J5641" s="161"/>
      <c r="K5641" s="160"/>
      <c r="L5641" s="160">
        <f>+'FACP$'!$H5641-'FACP$'!$I5641-'FACP$'!$K5641</f>
        <v>1115345.487</v>
      </c>
      <c r="M5641" s="162" t="s">
        <v>7029</v>
      </c>
      <c r="N5641" s="162" t="s">
        <v>554</v>
      </c>
      <c r="O5641" s="164">
        <v>45770.0</v>
      </c>
      <c r="P5641" s="164">
        <f t="array" ref="P5641">XLOOKUP('FACP$'!$B5641,'perfil de pagos'!$A$4:$A$46,'perfil de pagos'!$B$4:$B$46+'FACP$'!$D5641)</f>
        <v>45738</v>
      </c>
      <c r="Q5641" s="165">
        <f t="shared" si="128"/>
        <v>0</v>
      </c>
      <c r="R5641" s="167"/>
      <c r="S5641" s="167">
        <v>3770.0</v>
      </c>
      <c r="T5641" s="168">
        <f t="shared" si="3"/>
        <v>1115345.487</v>
      </c>
      <c r="U5641" s="168">
        <f t="shared" si="4"/>
        <v>0</v>
      </c>
      <c r="V5641" s="168">
        <f t="shared" si="5"/>
        <v>0</v>
      </c>
      <c r="W5641" s="168">
        <f t="shared" si="6"/>
        <v>0</v>
      </c>
      <c r="X5641" s="168">
        <f t="shared" si="7"/>
        <v>0</v>
      </c>
      <c r="Y5641" s="168">
        <f t="shared" si="8"/>
        <v>0</v>
      </c>
      <c r="Z5641" s="168">
        <f t="shared" si="9"/>
        <v>0</v>
      </c>
    </row>
    <row r="5642" ht="15.0" customHeight="1">
      <c r="A5642" s="157" t="s">
        <v>7141</v>
      </c>
      <c r="B5642" s="158" t="s">
        <v>41</v>
      </c>
      <c r="C5642" s="158" t="s">
        <v>7142</v>
      </c>
      <c r="D5642" s="159">
        <v>45735.0</v>
      </c>
      <c r="E5642" s="157" t="s">
        <v>731</v>
      </c>
      <c r="F5642" s="160">
        <v>1920433.23</v>
      </c>
      <c r="G5642" s="160">
        <f>'FACP$'!$F5642*0.16</f>
        <v>307269.3168</v>
      </c>
      <c r="H5642" s="160">
        <f t="shared" si="129"/>
        <v>2227702.547</v>
      </c>
      <c r="I5642" s="160"/>
      <c r="J5642" s="161"/>
      <c r="K5642" s="160"/>
      <c r="L5642" s="160">
        <f>+'FACP$'!$H5642-'FACP$'!$I5642-'FACP$'!$K5642</f>
        <v>2227702.547</v>
      </c>
      <c r="M5642" s="162" t="s">
        <v>121</v>
      </c>
      <c r="N5642" s="162" t="s">
        <v>554</v>
      </c>
      <c r="O5642" s="164">
        <v>45777.0</v>
      </c>
      <c r="P5642" s="164">
        <f t="array" ref="P5642">XLOOKUP('FACP$'!$B5642,'perfil de pagos'!$A$4:$A$46,'perfil de pagos'!$B$4:$B$46+'FACP$'!$D5642)</f>
        <v>45745</v>
      </c>
      <c r="Q5642" s="165">
        <f t="shared" si="128"/>
        <v>0</v>
      </c>
      <c r="R5642" s="167"/>
      <c r="S5642" s="167">
        <v>3783.0</v>
      </c>
      <c r="T5642" s="168">
        <f t="shared" si="3"/>
        <v>2227702.547</v>
      </c>
      <c r="U5642" s="168">
        <f t="shared" si="4"/>
        <v>0</v>
      </c>
      <c r="V5642" s="168">
        <f t="shared" si="5"/>
        <v>0</v>
      </c>
      <c r="W5642" s="168">
        <f t="shared" si="6"/>
        <v>0</v>
      </c>
      <c r="X5642" s="168">
        <f t="shared" si="7"/>
        <v>0</v>
      </c>
      <c r="Y5642" s="168">
        <f t="shared" si="8"/>
        <v>0</v>
      </c>
      <c r="Z5642" s="168">
        <f t="shared" si="9"/>
        <v>0</v>
      </c>
    </row>
    <row r="5643" ht="15.0" customHeight="1">
      <c r="A5643" s="157" t="s">
        <v>7143</v>
      </c>
      <c r="B5643" s="158" t="s">
        <v>53</v>
      </c>
      <c r="C5643" s="158" t="s">
        <v>7142</v>
      </c>
      <c r="D5643" s="159">
        <v>45735.0</v>
      </c>
      <c r="E5643" s="157" t="s">
        <v>731</v>
      </c>
      <c r="F5643" s="160">
        <v>303515.17</v>
      </c>
      <c r="G5643" s="160">
        <f>'FACP$'!$F5643*0.16</f>
        <v>48562.4272</v>
      </c>
      <c r="H5643" s="160">
        <f t="shared" si="129"/>
        <v>352077.5972</v>
      </c>
      <c r="I5643" s="160"/>
      <c r="J5643" s="161"/>
      <c r="K5643" s="160"/>
      <c r="L5643" s="160">
        <f>+'FACP$'!$H5643-'FACP$'!$I5643-'FACP$'!$K5643</f>
        <v>352077.5972</v>
      </c>
      <c r="M5643" s="162" t="s">
        <v>53</v>
      </c>
      <c r="N5643" s="162"/>
      <c r="O5643" s="164"/>
      <c r="P5643" s="164">
        <f t="array" ref="P5643">XLOOKUP('FACP$'!$B5643,'perfil de pagos'!$A$4:$A$46,'perfil de pagos'!$B$4:$B$46+'FACP$'!$D5643)</f>
        <v>45750</v>
      </c>
      <c r="Q5643" s="165">
        <f t="shared" si="128"/>
        <v>39</v>
      </c>
      <c r="R5643" s="167"/>
      <c r="S5643" s="167"/>
      <c r="T5643" s="168">
        <f t="shared" si="3"/>
        <v>0</v>
      </c>
      <c r="U5643" s="168">
        <f t="shared" si="4"/>
        <v>0</v>
      </c>
      <c r="V5643" s="168">
        <f t="shared" si="5"/>
        <v>0</v>
      </c>
      <c r="W5643" s="168">
        <f t="shared" si="6"/>
        <v>352077.5972</v>
      </c>
      <c r="X5643" s="168">
        <f t="shared" si="7"/>
        <v>0</v>
      </c>
      <c r="Y5643" s="168">
        <f t="shared" si="8"/>
        <v>0</v>
      </c>
      <c r="Z5643" s="168">
        <f t="shared" si="9"/>
        <v>0</v>
      </c>
    </row>
    <row r="5644" ht="15.0" customHeight="1">
      <c r="A5644" s="157" t="s">
        <v>7144</v>
      </c>
      <c r="B5644" s="158" t="s">
        <v>53</v>
      </c>
      <c r="C5644" s="158" t="s">
        <v>7145</v>
      </c>
      <c r="D5644" s="159">
        <v>45735.0</v>
      </c>
      <c r="E5644" s="157" t="s">
        <v>731</v>
      </c>
      <c r="F5644" s="160">
        <v>69586.39</v>
      </c>
      <c r="G5644" s="160">
        <f>'FACP$'!$F5644*0.16</f>
        <v>11133.8224</v>
      </c>
      <c r="H5644" s="160">
        <f t="shared" si="129"/>
        <v>80720.2124</v>
      </c>
      <c r="I5644" s="160"/>
      <c r="J5644" s="161"/>
      <c r="K5644" s="160"/>
      <c r="L5644" s="160">
        <f>+'FACP$'!$H5644-'FACP$'!$I5644-'FACP$'!$K5644</f>
        <v>80720.2124</v>
      </c>
      <c r="M5644" s="162" t="s">
        <v>53</v>
      </c>
      <c r="N5644" s="162"/>
      <c r="O5644" s="164"/>
      <c r="P5644" s="164">
        <f t="array" ref="P5644">XLOOKUP('FACP$'!$B5644,'perfil de pagos'!$A$4:$A$46,'perfil de pagos'!$B$4:$B$46+'FACP$'!$D5644)</f>
        <v>45750</v>
      </c>
      <c r="Q5644" s="165">
        <f t="shared" si="128"/>
        <v>39</v>
      </c>
      <c r="R5644" s="167"/>
      <c r="S5644" s="167"/>
      <c r="T5644" s="168">
        <f t="shared" si="3"/>
        <v>0</v>
      </c>
      <c r="U5644" s="168">
        <f t="shared" si="4"/>
        <v>0</v>
      </c>
      <c r="V5644" s="168">
        <f t="shared" si="5"/>
        <v>0</v>
      </c>
      <c r="W5644" s="168">
        <f t="shared" si="6"/>
        <v>80720.2124</v>
      </c>
      <c r="X5644" s="168">
        <f t="shared" si="7"/>
        <v>0</v>
      </c>
      <c r="Y5644" s="168">
        <f t="shared" si="8"/>
        <v>0</v>
      </c>
      <c r="Z5644" s="168">
        <f t="shared" si="9"/>
        <v>0</v>
      </c>
    </row>
    <row r="5645" ht="15.0" customHeight="1">
      <c r="A5645" s="157" t="s">
        <v>7146</v>
      </c>
      <c r="B5645" s="158" t="s">
        <v>35</v>
      </c>
      <c r="C5645" s="158" t="s">
        <v>7142</v>
      </c>
      <c r="D5645" s="159">
        <v>45735.0</v>
      </c>
      <c r="E5645" s="157" t="s">
        <v>731</v>
      </c>
      <c r="F5645" s="160">
        <v>417827.17</v>
      </c>
      <c r="G5645" s="160">
        <f>'FACP$'!$F5645*0.16</f>
        <v>66852.3472</v>
      </c>
      <c r="H5645" s="160">
        <f t="shared" si="129"/>
        <v>484679.5172</v>
      </c>
      <c r="I5645" s="160"/>
      <c r="J5645" s="161"/>
      <c r="K5645" s="160"/>
      <c r="L5645" s="160">
        <f>+'FACP$'!$H5645-'FACP$'!$I5645-'FACP$'!$K5645</f>
        <v>484679.5172</v>
      </c>
      <c r="M5645" s="162" t="s">
        <v>276</v>
      </c>
      <c r="N5645" s="162" t="s">
        <v>554</v>
      </c>
      <c r="O5645" s="164">
        <v>45751.0</v>
      </c>
      <c r="P5645" s="164">
        <f t="array" ref="P5645">XLOOKUP('FACP$'!$B5645,'perfil de pagos'!$A$4:$A$46,'perfil de pagos'!$B$4:$B$46+'FACP$'!$D5645)</f>
        <v>45745</v>
      </c>
      <c r="Q5645" s="165">
        <f t="shared" si="128"/>
        <v>0</v>
      </c>
      <c r="R5645" s="167"/>
      <c r="S5645" s="167">
        <v>3734.0</v>
      </c>
      <c r="T5645" s="168">
        <f t="shared" si="3"/>
        <v>484679.5172</v>
      </c>
      <c r="U5645" s="168">
        <f t="shared" si="4"/>
        <v>0</v>
      </c>
      <c r="V5645" s="168">
        <f t="shared" si="5"/>
        <v>0</v>
      </c>
      <c r="W5645" s="168">
        <f t="shared" si="6"/>
        <v>0</v>
      </c>
      <c r="X5645" s="168">
        <f t="shared" si="7"/>
        <v>0</v>
      </c>
      <c r="Y5645" s="168">
        <f t="shared" si="8"/>
        <v>0</v>
      </c>
      <c r="Z5645" s="168">
        <f t="shared" si="9"/>
        <v>0</v>
      </c>
    </row>
    <row r="5646" ht="15.0" customHeight="1">
      <c r="A5646" s="157" t="s">
        <v>7147</v>
      </c>
      <c r="B5646" s="158" t="s">
        <v>36</v>
      </c>
      <c r="C5646" s="158" t="s">
        <v>7142</v>
      </c>
      <c r="D5646" s="159">
        <v>45735.0</v>
      </c>
      <c r="E5646" s="157" t="s">
        <v>731</v>
      </c>
      <c r="F5646" s="160">
        <v>66405.16</v>
      </c>
      <c r="G5646" s="160">
        <f>'FACP$'!$F5646*0.16</f>
        <v>10624.8256</v>
      </c>
      <c r="H5646" s="160">
        <f t="shared" si="129"/>
        <v>77029.9856</v>
      </c>
      <c r="I5646" s="160"/>
      <c r="J5646" s="161"/>
      <c r="K5646" s="160"/>
      <c r="L5646" s="160">
        <f>+'FACP$'!$H5646-'FACP$'!$I5646-'FACP$'!$K5646</f>
        <v>77029.9856</v>
      </c>
      <c r="M5646" s="162" t="s">
        <v>530</v>
      </c>
      <c r="N5646" s="162" t="s">
        <v>554</v>
      </c>
      <c r="O5646" s="164">
        <v>45750.0</v>
      </c>
      <c r="P5646" s="164">
        <f t="array" ref="P5646">XLOOKUP('FACP$'!$B5646,'perfil de pagos'!$A$4:$A$46,'perfil de pagos'!$B$4:$B$46+'FACP$'!$D5646)</f>
        <v>45745</v>
      </c>
      <c r="Q5646" s="165">
        <f t="shared" si="128"/>
        <v>0</v>
      </c>
      <c r="R5646" s="167"/>
      <c r="S5646" s="167">
        <v>3723.0</v>
      </c>
      <c r="T5646" s="168">
        <f t="shared" si="3"/>
        <v>77029.9856</v>
      </c>
      <c r="U5646" s="168">
        <f t="shared" si="4"/>
        <v>0</v>
      </c>
      <c r="V5646" s="168">
        <f t="shared" si="5"/>
        <v>0</v>
      </c>
      <c r="W5646" s="168">
        <f t="shared" si="6"/>
        <v>0</v>
      </c>
      <c r="X5646" s="168">
        <f t="shared" si="7"/>
        <v>0</v>
      </c>
      <c r="Y5646" s="168">
        <f t="shared" si="8"/>
        <v>0</v>
      </c>
      <c r="Z5646" s="168">
        <f t="shared" si="9"/>
        <v>0</v>
      </c>
    </row>
    <row r="5647" ht="15.0" customHeight="1">
      <c r="A5647" s="157" t="s">
        <v>7148</v>
      </c>
      <c r="B5647" s="158" t="s">
        <v>36</v>
      </c>
      <c r="C5647" s="158" t="s">
        <v>7145</v>
      </c>
      <c r="D5647" s="159">
        <v>45735.0</v>
      </c>
      <c r="E5647" s="157" t="s">
        <v>731</v>
      </c>
      <c r="F5647" s="160">
        <v>58982.0</v>
      </c>
      <c r="G5647" s="160">
        <f>'FACP$'!$F5647*0.16</f>
        <v>9437.12</v>
      </c>
      <c r="H5647" s="160">
        <f t="shared" si="129"/>
        <v>68419.12</v>
      </c>
      <c r="I5647" s="160"/>
      <c r="J5647" s="161"/>
      <c r="K5647" s="160"/>
      <c r="L5647" s="160">
        <f>+'FACP$'!$H5647-'FACP$'!$I5647-'FACP$'!$K5647</f>
        <v>68419.12</v>
      </c>
      <c r="M5647" s="162" t="s">
        <v>530</v>
      </c>
      <c r="N5647" s="162" t="s">
        <v>554</v>
      </c>
      <c r="O5647" s="164">
        <v>45750.0</v>
      </c>
      <c r="P5647" s="164">
        <f t="array" ref="P5647">XLOOKUP('FACP$'!$B5647,'perfil de pagos'!$A$4:$A$46,'perfil de pagos'!$B$4:$B$46+'FACP$'!$D5647)</f>
        <v>45745</v>
      </c>
      <c r="Q5647" s="165">
        <f t="shared" si="128"/>
        <v>0</v>
      </c>
      <c r="R5647" s="167"/>
      <c r="S5647" s="167">
        <v>3722.0</v>
      </c>
      <c r="T5647" s="168">
        <f t="shared" si="3"/>
        <v>68419.12</v>
      </c>
      <c r="U5647" s="168">
        <f t="shared" si="4"/>
        <v>0</v>
      </c>
      <c r="V5647" s="168">
        <f t="shared" si="5"/>
        <v>0</v>
      </c>
      <c r="W5647" s="168">
        <f t="shared" si="6"/>
        <v>0</v>
      </c>
      <c r="X5647" s="168">
        <f t="shared" si="7"/>
        <v>0</v>
      </c>
      <c r="Y5647" s="168">
        <f t="shared" si="8"/>
        <v>0</v>
      </c>
      <c r="Z5647" s="168">
        <f t="shared" si="9"/>
        <v>0</v>
      </c>
    </row>
    <row r="5648" ht="15.0" customHeight="1">
      <c r="A5648" s="157" t="s">
        <v>7149</v>
      </c>
      <c r="B5648" s="158" t="s">
        <v>36</v>
      </c>
      <c r="C5648" s="158" t="s">
        <v>7142</v>
      </c>
      <c r="D5648" s="159">
        <v>45735.0</v>
      </c>
      <c r="E5648" s="157" t="s">
        <v>731</v>
      </c>
      <c r="F5648" s="160">
        <v>46245.35</v>
      </c>
      <c r="G5648" s="160">
        <f>'FACP$'!$F5648*0.16</f>
        <v>7399.256</v>
      </c>
      <c r="H5648" s="160">
        <f t="shared" si="129"/>
        <v>53644.606</v>
      </c>
      <c r="I5648" s="160"/>
      <c r="J5648" s="161"/>
      <c r="K5648" s="160"/>
      <c r="L5648" s="160">
        <f>+'FACP$'!$H5648-'FACP$'!$I5648-'FACP$'!$K5648</f>
        <v>53644.606</v>
      </c>
      <c r="M5648" s="162" t="s">
        <v>526</v>
      </c>
      <c r="N5648" s="162" t="s">
        <v>554</v>
      </c>
      <c r="O5648" s="164">
        <v>45751.0</v>
      </c>
      <c r="P5648" s="164">
        <f t="array" ref="P5648">XLOOKUP('FACP$'!$B5648,'perfil de pagos'!$A$4:$A$46,'perfil de pagos'!$B$4:$B$46+'FACP$'!$D5648)</f>
        <v>45745</v>
      </c>
      <c r="Q5648" s="165">
        <f t="shared" si="128"/>
        <v>0</v>
      </c>
      <c r="R5648" s="167"/>
      <c r="S5648" s="167">
        <v>3732.0</v>
      </c>
      <c r="T5648" s="168">
        <f t="shared" si="3"/>
        <v>53644.606</v>
      </c>
      <c r="U5648" s="168">
        <f t="shared" si="4"/>
        <v>0</v>
      </c>
      <c r="V5648" s="168">
        <f t="shared" si="5"/>
        <v>0</v>
      </c>
      <c r="W5648" s="168">
        <f t="shared" si="6"/>
        <v>0</v>
      </c>
      <c r="X5648" s="168">
        <f t="shared" si="7"/>
        <v>0</v>
      </c>
      <c r="Y5648" s="168">
        <f t="shared" si="8"/>
        <v>0</v>
      </c>
      <c r="Z5648" s="168">
        <f t="shared" si="9"/>
        <v>0</v>
      </c>
    </row>
    <row r="5649" ht="15.0" customHeight="1">
      <c r="A5649" s="157" t="s">
        <v>7150</v>
      </c>
      <c r="B5649" s="158" t="s">
        <v>36</v>
      </c>
      <c r="C5649" s="158" t="s">
        <v>7145</v>
      </c>
      <c r="D5649" s="159">
        <v>45735.0</v>
      </c>
      <c r="E5649" s="157" t="s">
        <v>731</v>
      </c>
      <c r="F5649" s="160">
        <v>49510.95</v>
      </c>
      <c r="G5649" s="160">
        <f>'FACP$'!$F5649*0.16</f>
        <v>7921.752</v>
      </c>
      <c r="H5649" s="160">
        <f t="shared" si="129"/>
        <v>57432.702</v>
      </c>
      <c r="I5649" s="160"/>
      <c r="J5649" s="161"/>
      <c r="K5649" s="160"/>
      <c r="L5649" s="160">
        <f>+'FACP$'!$H5649-'FACP$'!$I5649-'FACP$'!$K5649</f>
        <v>57432.702</v>
      </c>
      <c r="M5649" s="162" t="s">
        <v>526</v>
      </c>
      <c r="N5649" s="162" t="s">
        <v>554</v>
      </c>
      <c r="O5649" s="164">
        <v>45751.0</v>
      </c>
      <c r="P5649" s="164">
        <f t="array" ref="P5649">XLOOKUP('FACP$'!$B5649,'perfil de pagos'!$A$4:$A$46,'perfil de pagos'!$B$4:$B$46+'FACP$'!$D5649)</f>
        <v>45745</v>
      </c>
      <c r="Q5649" s="165">
        <f t="shared" si="128"/>
        <v>0</v>
      </c>
      <c r="R5649" s="167"/>
      <c r="S5649" s="167">
        <v>3733.0</v>
      </c>
      <c r="T5649" s="168">
        <f t="shared" si="3"/>
        <v>57432.702</v>
      </c>
      <c r="U5649" s="168">
        <f t="shared" si="4"/>
        <v>0</v>
      </c>
      <c r="V5649" s="168">
        <f t="shared" si="5"/>
        <v>0</v>
      </c>
      <c r="W5649" s="168">
        <f t="shared" si="6"/>
        <v>0</v>
      </c>
      <c r="X5649" s="168">
        <f t="shared" si="7"/>
        <v>0</v>
      </c>
      <c r="Y5649" s="168">
        <f t="shared" si="8"/>
        <v>0</v>
      </c>
      <c r="Z5649" s="168">
        <f t="shared" si="9"/>
        <v>0</v>
      </c>
    </row>
    <row r="5650" ht="15.0" customHeight="1">
      <c r="A5650" s="157" t="s">
        <v>7151</v>
      </c>
      <c r="B5650" s="158" t="s">
        <v>38</v>
      </c>
      <c r="C5650" s="158" t="s">
        <v>7142</v>
      </c>
      <c r="D5650" s="159">
        <v>45736.0</v>
      </c>
      <c r="E5650" s="157" t="s">
        <v>731</v>
      </c>
      <c r="F5650" s="160">
        <v>168991.54</v>
      </c>
      <c r="G5650" s="160">
        <f>'FACP$'!$F5650*0.16</f>
        <v>27038.6464</v>
      </c>
      <c r="H5650" s="160">
        <f t="shared" si="129"/>
        <v>196030.1864</v>
      </c>
      <c r="I5650" s="160"/>
      <c r="J5650" s="161"/>
      <c r="K5650" s="160"/>
      <c r="L5650" s="160">
        <f>+'FACP$'!$H5650-'FACP$'!$I5650-'FACP$'!$K5650</f>
        <v>196030.1864</v>
      </c>
      <c r="M5650" s="162" t="s">
        <v>4654</v>
      </c>
      <c r="N5650" s="162" t="s">
        <v>554</v>
      </c>
      <c r="O5650" s="164">
        <v>45749.0</v>
      </c>
      <c r="P5650" s="164">
        <f t="array" ref="P5650">XLOOKUP('FACP$'!$B5650,'perfil de pagos'!$A$4:$A$46,'perfil de pagos'!$B$4:$B$46+'FACP$'!$D5650)</f>
        <v>45766</v>
      </c>
      <c r="Q5650" s="165">
        <f t="shared" si="128"/>
        <v>0</v>
      </c>
      <c r="R5650" s="167"/>
      <c r="S5650" s="167">
        <v>3719.0</v>
      </c>
      <c r="T5650" s="168">
        <f t="shared" si="3"/>
        <v>196030.1864</v>
      </c>
      <c r="U5650" s="168">
        <f t="shared" si="4"/>
        <v>0</v>
      </c>
      <c r="V5650" s="168">
        <f t="shared" si="5"/>
        <v>0</v>
      </c>
      <c r="W5650" s="168">
        <f t="shared" si="6"/>
        <v>0</v>
      </c>
      <c r="X5650" s="168">
        <f t="shared" si="7"/>
        <v>0</v>
      </c>
      <c r="Y5650" s="168">
        <f t="shared" si="8"/>
        <v>0</v>
      </c>
      <c r="Z5650" s="168">
        <f t="shared" si="9"/>
        <v>0</v>
      </c>
    </row>
    <row r="5651" ht="15.0" customHeight="1">
      <c r="A5651" s="157" t="s">
        <v>7152</v>
      </c>
      <c r="B5651" s="158" t="s">
        <v>42</v>
      </c>
      <c r="C5651" s="158" t="s">
        <v>7142</v>
      </c>
      <c r="D5651" s="159">
        <v>45737.0</v>
      </c>
      <c r="E5651" s="157" t="s">
        <v>731</v>
      </c>
      <c r="F5651" s="160">
        <v>128623.72</v>
      </c>
      <c r="G5651" s="160">
        <f>'FACP$'!$F5651*0.16</f>
        <v>20579.7952</v>
      </c>
      <c r="H5651" s="160">
        <f t="shared" si="129"/>
        <v>149203.5152</v>
      </c>
      <c r="I5651" s="160"/>
      <c r="J5651" s="161"/>
      <c r="K5651" s="160"/>
      <c r="L5651" s="160">
        <f>+'FACP$'!$H5651-'FACP$'!$I5651-'FACP$'!$K5651</f>
        <v>149203.5152</v>
      </c>
      <c r="M5651" s="162" t="s">
        <v>42</v>
      </c>
      <c r="N5651" s="162" t="s">
        <v>554</v>
      </c>
      <c r="O5651" s="164">
        <v>45751.0</v>
      </c>
      <c r="P5651" s="164">
        <f t="array" ref="P5651">XLOOKUP('FACP$'!$B5651,'perfil de pagos'!$A$4:$A$46,'perfil de pagos'!$B$4:$B$46+'FACP$'!$D5651)</f>
        <v>45747</v>
      </c>
      <c r="Q5651" s="165">
        <f t="shared" si="128"/>
        <v>0</v>
      </c>
      <c r="R5651" s="167"/>
      <c r="S5651" s="167">
        <v>3725.0</v>
      </c>
      <c r="T5651" s="168">
        <f t="shared" si="3"/>
        <v>149203.5152</v>
      </c>
      <c r="U5651" s="168">
        <f t="shared" si="4"/>
        <v>0</v>
      </c>
      <c r="V5651" s="168">
        <f t="shared" si="5"/>
        <v>0</v>
      </c>
      <c r="W5651" s="168">
        <f t="shared" si="6"/>
        <v>0</v>
      </c>
      <c r="X5651" s="168">
        <f t="shared" si="7"/>
        <v>0</v>
      </c>
      <c r="Y5651" s="168">
        <f t="shared" si="8"/>
        <v>0</v>
      </c>
      <c r="Z5651" s="168">
        <f t="shared" si="9"/>
        <v>0</v>
      </c>
    </row>
    <row r="5652" ht="15.0" customHeight="1">
      <c r="A5652" s="210" t="s">
        <v>7153</v>
      </c>
      <c r="B5652" s="209" t="s">
        <v>27</v>
      </c>
      <c r="C5652" s="209" t="s">
        <v>7154</v>
      </c>
      <c r="D5652" s="186">
        <v>45740.0</v>
      </c>
      <c r="E5652" s="157" t="s">
        <v>731</v>
      </c>
      <c r="F5652" s="160">
        <v>212677.67</v>
      </c>
      <c r="G5652" s="160">
        <f>'FACP$'!$F5652*0.16</f>
        <v>34028.4272</v>
      </c>
      <c r="H5652" s="211">
        <f t="shared" si="129"/>
        <v>246706.0972</v>
      </c>
      <c r="I5652" s="160"/>
      <c r="J5652" s="161"/>
      <c r="K5652" s="160"/>
      <c r="L5652" s="160">
        <f>+'FACP$'!$H5652-'FACP$'!$I5652-'FACP$'!$K5652</f>
        <v>246706.0972</v>
      </c>
      <c r="M5652" s="162" t="s">
        <v>158</v>
      </c>
      <c r="N5652" s="162"/>
      <c r="O5652" s="164"/>
      <c r="P5652" s="164">
        <f t="array" ref="P5652">XLOOKUP('FACP$'!$B5652,'perfil de pagos'!$A$4:$A$46,'perfil de pagos'!$B$4:$B$46+'FACP$'!$D5652)</f>
        <v>45770</v>
      </c>
      <c r="Q5652" s="165">
        <f t="shared" si="128"/>
        <v>19</v>
      </c>
      <c r="R5652" s="167"/>
      <c r="S5652" s="167"/>
      <c r="T5652" s="168">
        <f t="shared" si="3"/>
        <v>0</v>
      </c>
      <c r="U5652" s="168">
        <f t="shared" si="4"/>
        <v>0</v>
      </c>
      <c r="V5652" s="168">
        <f t="shared" si="5"/>
        <v>246706.0972</v>
      </c>
      <c r="W5652" s="168">
        <f t="shared" si="6"/>
        <v>0</v>
      </c>
      <c r="X5652" s="168">
        <f t="shared" si="7"/>
        <v>0</v>
      </c>
      <c r="Y5652" s="168">
        <f t="shared" si="8"/>
        <v>0</v>
      </c>
      <c r="Z5652" s="168">
        <f t="shared" si="9"/>
        <v>0</v>
      </c>
    </row>
    <row r="5653" ht="15.0" customHeight="1">
      <c r="A5653" s="210" t="s">
        <v>7155</v>
      </c>
      <c r="B5653" s="209" t="s">
        <v>27</v>
      </c>
      <c r="C5653" s="209" t="s">
        <v>7156</v>
      </c>
      <c r="D5653" s="186">
        <v>45740.0</v>
      </c>
      <c r="E5653" s="157" t="s">
        <v>731</v>
      </c>
      <c r="F5653" s="160">
        <v>120164.13</v>
      </c>
      <c r="G5653" s="160">
        <f>'FACP$'!$F5653*0.16</f>
        <v>19226.2608</v>
      </c>
      <c r="H5653" s="211">
        <f t="shared" si="129"/>
        <v>139390.3908</v>
      </c>
      <c r="I5653" s="160"/>
      <c r="J5653" s="161"/>
      <c r="K5653" s="160"/>
      <c r="L5653" s="160">
        <f>+'FACP$'!$H5653-'FACP$'!$I5653-'FACP$'!$K5653</f>
        <v>139390.3908</v>
      </c>
      <c r="M5653" s="162" t="s">
        <v>158</v>
      </c>
      <c r="N5653" s="162"/>
      <c r="O5653" s="164"/>
      <c r="P5653" s="164">
        <f t="array" ref="P5653">XLOOKUP('FACP$'!$B5653,'perfil de pagos'!$A$4:$A$46,'perfil de pagos'!$B$4:$B$46+'FACP$'!$D5653)</f>
        <v>45770</v>
      </c>
      <c r="Q5653" s="165">
        <f t="shared" si="128"/>
        <v>19</v>
      </c>
      <c r="R5653" s="167"/>
      <c r="S5653" s="167"/>
      <c r="T5653" s="168">
        <f t="shared" si="3"/>
        <v>0</v>
      </c>
      <c r="U5653" s="168">
        <f t="shared" si="4"/>
        <v>0</v>
      </c>
      <c r="V5653" s="168">
        <f t="shared" si="5"/>
        <v>139390.3908</v>
      </c>
      <c r="W5653" s="168">
        <f t="shared" si="6"/>
        <v>0</v>
      </c>
      <c r="X5653" s="168">
        <f t="shared" si="7"/>
        <v>0</v>
      </c>
      <c r="Y5653" s="168">
        <f t="shared" si="8"/>
        <v>0</v>
      </c>
      <c r="Z5653" s="168">
        <f t="shared" si="9"/>
        <v>0</v>
      </c>
    </row>
    <row r="5654" ht="15.0" customHeight="1">
      <c r="A5654" s="210" t="s">
        <v>7157</v>
      </c>
      <c r="B5654" s="209" t="s">
        <v>27</v>
      </c>
      <c r="C5654" s="209" t="s">
        <v>7154</v>
      </c>
      <c r="D5654" s="186">
        <v>45740.0</v>
      </c>
      <c r="E5654" s="157" t="s">
        <v>731</v>
      </c>
      <c r="F5654" s="160">
        <v>96674.72</v>
      </c>
      <c r="G5654" s="160">
        <f>'FACP$'!$F5654*0.16</f>
        <v>15467.9552</v>
      </c>
      <c r="H5654" s="211">
        <f t="shared" si="129"/>
        <v>112142.6752</v>
      </c>
      <c r="I5654" s="160"/>
      <c r="J5654" s="161"/>
      <c r="K5654" s="160"/>
      <c r="L5654" s="160">
        <f>+'FACP$'!$H5654-'FACP$'!$I5654-'FACP$'!$K5654</f>
        <v>112142.6752</v>
      </c>
      <c r="M5654" s="162" t="s">
        <v>151</v>
      </c>
      <c r="N5654" s="162"/>
      <c r="O5654" s="164"/>
      <c r="P5654" s="164">
        <f t="array" ref="P5654">XLOOKUP('FACP$'!$B5654,'perfil de pagos'!$A$4:$A$46,'perfil de pagos'!$B$4:$B$46+'FACP$'!$D5654)</f>
        <v>45770</v>
      </c>
      <c r="Q5654" s="165">
        <f t="shared" si="128"/>
        <v>19</v>
      </c>
      <c r="R5654" s="167"/>
      <c r="S5654" s="167"/>
      <c r="T5654" s="168">
        <f t="shared" si="3"/>
        <v>0</v>
      </c>
      <c r="U5654" s="168">
        <f t="shared" si="4"/>
        <v>0</v>
      </c>
      <c r="V5654" s="168">
        <f t="shared" si="5"/>
        <v>112142.6752</v>
      </c>
      <c r="W5654" s="168">
        <f t="shared" si="6"/>
        <v>0</v>
      </c>
      <c r="X5654" s="168">
        <f t="shared" si="7"/>
        <v>0</v>
      </c>
      <c r="Y5654" s="168">
        <f t="shared" si="8"/>
        <v>0</v>
      </c>
      <c r="Z5654" s="168">
        <f t="shared" si="9"/>
        <v>0</v>
      </c>
    </row>
    <row r="5655" ht="15.0" customHeight="1">
      <c r="A5655" s="210" t="s">
        <v>7158</v>
      </c>
      <c r="B5655" s="209" t="s">
        <v>27</v>
      </c>
      <c r="C5655" s="209" t="s">
        <v>7156</v>
      </c>
      <c r="D5655" s="186">
        <v>45740.0</v>
      </c>
      <c r="E5655" s="157" t="s">
        <v>731</v>
      </c>
      <c r="F5655" s="160">
        <v>51330.0</v>
      </c>
      <c r="G5655" s="160">
        <f>'FACP$'!$F5655*0.16</f>
        <v>8212.8</v>
      </c>
      <c r="H5655" s="211">
        <f t="shared" si="129"/>
        <v>59542.8</v>
      </c>
      <c r="I5655" s="160"/>
      <c r="J5655" s="161"/>
      <c r="K5655" s="160"/>
      <c r="L5655" s="160">
        <f>+'FACP$'!$H5655-'FACP$'!$I5655-'FACP$'!$K5655</f>
        <v>59542.8</v>
      </c>
      <c r="M5655" s="162" t="s">
        <v>151</v>
      </c>
      <c r="N5655" s="162"/>
      <c r="O5655" s="164"/>
      <c r="P5655" s="164">
        <f t="array" ref="P5655">XLOOKUP('FACP$'!$B5655,'perfil de pagos'!$A$4:$A$46,'perfil de pagos'!$B$4:$B$46+'FACP$'!$D5655)</f>
        <v>45770</v>
      </c>
      <c r="Q5655" s="165">
        <f t="shared" si="128"/>
        <v>19</v>
      </c>
      <c r="R5655" s="167"/>
      <c r="S5655" s="167"/>
      <c r="T5655" s="168">
        <f t="shared" si="3"/>
        <v>0</v>
      </c>
      <c r="U5655" s="168">
        <f t="shared" si="4"/>
        <v>0</v>
      </c>
      <c r="V5655" s="168">
        <f t="shared" si="5"/>
        <v>59542.8</v>
      </c>
      <c r="W5655" s="168">
        <f t="shared" si="6"/>
        <v>0</v>
      </c>
      <c r="X5655" s="168">
        <f t="shared" si="7"/>
        <v>0</v>
      </c>
      <c r="Y5655" s="168">
        <f t="shared" si="8"/>
        <v>0</v>
      </c>
      <c r="Z5655" s="168">
        <f t="shared" si="9"/>
        <v>0</v>
      </c>
    </row>
    <row r="5656" ht="15.0" customHeight="1">
      <c r="A5656" s="210" t="s">
        <v>7159</v>
      </c>
      <c r="B5656" s="209" t="s">
        <v>27</v>
      </c>
      <c r="C5656" s="209" t="s">
        <v>7154</v>
      </c>
      <c r="D5656" s="186">
        <v>45740.0</v>
      </c>
      <c r="E5656" s="157" t="s">
        <v>731</v>
      </c>
      <c r="F5656" s="160">
        <v>4984.38</v>
      </c>
      <c r="G5656" s="160">
        <f>'FACP$'!$F5656*0.16</f>
        <v>797.5008</v>
      </c>
      <c r="H5656" s="211">
        <f t="shared" si="129"/>
        <v>5781.8808</v>
      </c>
      <c r="I5656" s="160"/>
      <c r="J5656" s="161"/>
      <c r="K5656" s="160"/>
      <c r="L5656" s="160">
        <f>+'FACP$'!$H5656-'FACP$'!$I5656-'FACP$'!$K5656</f>
        <v>5781.8808</v>
      </c>
      <c r="M5656" s="162" t="s">
        <v>151</v>
      </c>
      <c r="N5656" s="162"/>
      <c r="O5656" s="164"/>
      <c r="P5656" s="164">
        <f t="array" ref="P5656">XLOOKUP('FACP$'!$B5656,'perfil de pagos'!$A$4:$A$46,'perfil de pagos'!$B$4:$B$46+'FACP$'!$D5656)</f>
        <v>45770</v>
      </c>
      <c r="Q5656" s="165">
        <f t="shared" si="128"/>
        <v>19</v>
      </c>
      <c r="R5656" s="167"/>
      <c r="S5656" s="167"/>
      <c r="T5656" s="168">
        <f t="shared" si="3"/>
        <v>0</v>
      </c>
      <c r="U5656" s="168">
        <f t="shared" si="4"/>
        <v>0</v>
      </c>
      <c r="V5656" s="168">
        <f t="shared" si="5"/>
        <v>5781.8808</v>
      </c>
      <c r="W5656" s="168">
        <f t="shared" si="6"/>
        <v>0</v>
      </c>
      <c r="X5656" s="168">
        <f t="shared" si="7"/>
        <v>0</v>
      </c>
      <c r="Y5656" s="168">
        <f t="shared" si="8"/>
        <v>0</v>
      </c>
      <c r="Z5656" s="168">
        <f t="shared" si="9"/>
        <v>0</v>
      </c>
    </row>
    <row r="5657" ht="15.0" customHeight="1">
      <c r="A5657" s="210" t="s">
        <v>7160</v>
      </c>
      <c r="B5657" s="209" t="s">
        <v>27</v>
      </c>
      <c r="C5657" s="209" t="s">
        <v>7156</v>
      </c>
      <c r="D5657" s="186">
        <v>45740.0</v>
      </c>
      <c r="E5657" s="157" t="s">
        <v>731</v>
      </c>
      <c r="F5657" s="160">
        <v>3719.63</v>
      </c>
      <c r="G5657" s="160">
        <f>'FACP$'!$F5657*0.16</f>
        <v>595.1408</v>
      </c>
      <c r="H5657" s="211">
        <f t="shared" si="129"/>
        <v>4314.7708</v>
      </c>
      <c r="I5657" s="160"/>
      <c r="J5657" s="161"/>
      <c r="K5657" s="160"/>
      <c r="L5657" s="160">
        <f>+'FACP$'!$H5657-'FACP$'!$I5657-'FACP$'!$K5657</f>
        <v>4314.7708</v>
      </c>
      <c r="M5657" s="162" t="s">
        <v>151</v>
      </c>
      <c r="N5657" s="162"/>
      <c r="O5657" s="164"/>
      <c r="P5657" s="164">
        <f t="array" ref="P5657">XLOOKUP('FACP$'!$B5657,'perfil de pagos'!$A$4:$A$46,'perfil de pagos'!$B$4:$B$46+'FACP$'!$D5657)</f>
        <v>45770</v>
      </c>
      <c r="Q5657" s="165">
        <f t="shared" si="128"/>
        <v>19</v>
      </c>
      <c r="R5657" s="167"/>
      <c r="S5657" s="167"/>
      <c r="T5657" s="168">
        <f t="shared" si="3"/>
        <v>0</v>
      </c>
      <c r="U5657" s="168">
        <f t="shared" si="4"/>
        <v>0</v>
      </c>
      <c r="V5657" s="168">
        <f t="shared" si="5"/>
        <v>4314.7708</v>
      </c>
      <c r="W5657" s="168">
        <f t="shared" si="6"/>
        <v>0</v>
      </c>
      <c r="X5657" s="168">
        <f t="shared" si="7"/>
        <v>0</v>
      </c>
      <c r="Y5657" s="168">
        <f t="shared" si="8"/>
        <v>0</v>
      </c>
      <c r="Z5657" s="168">
        <f t="shared" si="9"/>
        <v>0</v>
      </c>
    </row>
    <row r="5658" ht="15.0" customHeight="1">
      <c r="A5658" s="157" t="s">
        <v>7161</v>
      </c>
      <c r="B5658" s="158" t="s">
        <v>40</v>
      </c>
      <c r="C5658" s="158" t="s">
        <v>7142</v>
      </c>
      <c r="D5658" s="159">
        <v>45741.0</v>
      </c>
      <c r="E5658" s="157" t="s">
        <v>731</v>
      </c>
      <c r="F5658" s="160">
        <v>426573.63</v>
      </c>
      <c r="G5658" s="160">
        <f>'FACP$'!$F5658*0.16</f>
        <v>68251.7808</v>
      </c>
      <c r="H5658" s="160">
        <f t="shared" si="129"/>
        <v>494825.4108</v>
      </c>
      <c r="I5658" s="160"/>
      <c r="J5658" s="161"/>
      <c r="K5658" s="160"/>
      <c r="L5658" s="160">
        <f>+'FACP$'!$H5658-'FACP$'!$I5658-'FACP$'!$K5658</f>
        <v>494825.4108</v>
      </c>
      <c r="M5658" s="162" t="s">
        <v>490</v>
      </c>
      <c r="N5658" s="162"/>
      <c r="O5658" s="164"/>
      <c r="P5658" s="164">
        <f t="array" ref="P5658">XLOOKUP('FACP$'!$B5658,'perfil de pagos'!$A$4:$A$46,'perfil de pagos'!$B$4:$B$46+'FACP$'!$D5658)</f>
        <v>45771</v>
      </c>
      <c r="Q5658" s="165">
        <f t="shared" si="128"/>
        <v>18</v>
      </c>
      <c r="R5658" s="167"/>
      <c r="S5658" s="167"/>
      <c r="T5658" s="168">
        <f t="shared" si="3"/>
        <v>0</v>
      </c>
      <c r="U5658" s="168">
        <f t="shared" si="4"/>
        <v>0</v>
      </c>
      <c r="V5658" s="168">
        <f t="shared" si="5"/>
        <v>494825.4108</v>
      </c>
      <c r="W5658" s="168">
        <f t="shared" si="6"/>
        <v>0</v>
      </c>
      <c r="X5658" s="168">
        <f t="shared" si="7"/>
        <v>0</v>
      </c>
      <c r="Y5658" s="168">
        <f t="shared" si="8"/>
        <v>0</v>
      </c>
      <c r="Z5658" s="168">
        <f t="shared" si="9"/>
        <v>0</v>
      </c>
    </row>
    <row r="5659" ht="15.0" customHeight="1">
      <c r="A5659" s="157" t="s">
        <v>7162</v>
      </c>
      <c r="B5659" s="158" t="s">
        <v>40</v>
      </c>
      <c r="C5659" s="158" t="s">
        <v>7145</v>
      </c>
      <c r="D5659" s="159">
        <v>45741.0</v>
      </c>
      <c r="E5659" s="157" t="s">
        <v>731</v>
      </c>
      <c r="F5659" s="160">
        <v>267487.15</v>
      </c>
      <c r="G5659" s="160">
        <f>'FACP$'!$F5659*0.16</f>
        <v>42797.944</v>
      </c>
      <c r="H5659" s="160">
        <f t="shared" si="129"/>
        <v>310285.094</v>
      </c>
      <c r="I5659" s="160"/>
      <c r="J5659" s="161"/>
      <c r="K5659" s="160"/>
      <c r="L5659" s="160">
        <f>+'FACP$'!$H5659-'FACP$'!$I5659-'FACP$'!$K5659</f>
        <v>310285.094</v>
      </c>
      <c r="M5659" s="162" t="s">
        <v>490</v>
      </c>
      <c r="N5659" s="162"/>
      <c r="O5659" s="164"/>
      <c r="P5659" s="164">
        <f t="array" ref="P5659">XLOOKUP('FACP$'!$B5659,'perfil de pagos'!$A$4:$A$46,'perfil de pagos'!$B$4:$B$46+'FACP$'!$D5659)</f>
        <v>45771</v>
      </c>
      <c r="Q5659" s="165">
        <f t="shared" si="128"/>
        <v>18</v>
      </c>
      <c r="R5659" s="167"/>
      <c r="S5659" s="167"/>
      <c r="T5659" s="168">
        <f t="shared" si="3"/>
        <v>0</v>
      </c>
      <c r="U5659" s="168">
        <f t="shared" si="4"/>
        <v>0</v>
      </c>
      <c r="V5659" s="168">
        <f t="shared" si="5"/>
        <v>310285.094</v>
      </c>
      <c r="W5659" s="168">
        <f t="shared" si="6"/>
        <v>0</v>
      </c>
      <c r="X5659" s="168">
        <f t="shared" si="7"/>
        <v>0</v>
      </c>
      <c r="Y5659" s="168">
        <f t="shared" si="8"/>
        <v>0</v>
      </c>
      <c r="Z5659" s="168">
        <f t="shared" si="9"/>
        <v>0</v>
      </c>
    </row>
    <row r="5660" ht="15.0" customHeight="1">
      <c r="A5660" s="157" t="s">
        <v>7163</v>
      </c>
      <c r="B5660" s="158" t="s">
        <v>16</v>
      </c>
      <c r="C5660" s="158" t="s">
        <v>7142</v>
      </c>
      <c r="D5660" s="159">
        <v>45741.0</v>
      </c>
      <c r="E5660" s="157" t="s">
        <v>731</v>
      </c>
      <c r="F5660" s="160">
        <v>389396.48</v>
      </c>
      <c r="G5660" s="160">
        <f>'FACP$'!$F5660*0.16</f>
        <v>62303.4368</v>
      </c>
      <c r="H5660" s="160">
        <f t="shared" si="129"/>
        <v>451699.9168</v>
      </c>
      <c r="I5660" s="160"/>
      <c r="J5660" s="161"/>
      <c r="K5660" s="160"/>
      <c r="L5660" s="160">
        <f>+'FACP$'!$H5660-'FACP$'!$I5660-'FACP$'!$K5660</f>
        <v>451699.9168</v>
      </c>
      <c r="M5660" s="162" t="s">
        <v>985</v>
      </c>
      <c r="N5660" s="162" t="s">
        <v>554</v>
      </c>
      <c r="O5660" s="164">
        <v>45748.0</v>
      </c>
      <c r="P5660" s="164">
        <f t="array" ref="P5660">XLOOKUP('FACP$'!$B5660,'perfil de pagos'!$A$4:$A$46,'perfil de pagos'!$B$4:$B$46+'FACP$'!$D5660)</f>
        <v>45751</v>
      </c>
      <c r="Q5660" s="165">
        <f t="shared" si="128"/>
        <v>0</v>
      </c>
      <c r="R5660" s="167"/>
      <c r="S5660" s="167">
        <v>3717.0</v>
      </c>
      <c r="T5660" s="168">
        <f t="shared" si="3"/>
        <v>451699.9168</v>
      </c>
      <c r="U5660" s="168">
        <f t="shared" si="4"/>
        <v>0</v>
      </c>
      <c r="V5660" s="168">
        <f t="shared" si="5"/>
        <v>0</v>
      </c>
      <c r="W5660" s="168">
        <f t="shared" si="6"/>
        <v>0</v>
      </c>
      <c r="X5660" s="168">
        <f t="shared" si="7"/>
        <v>0</v>
      </c>
      <c r="Y5660" s="168">
        <f t="shared" si="8"/>
        <v>0</v>
      </c>
      <c r="Z5660" s="168">
        <f t="shared" si="9"/>
        <v>0</v>
      </c>
    </row>
    <row r="5661" ht="15.0" customHeight="1">
      <c r="A5661" s="157" t="s">
        <v>7164</v>
      </c>
      <c r="B5661" s="158" t="s">
        <v>16</v>
      </c>
      <c r="C5661" s="158" t="s">
        <v>7145</v>
      </c>
      <c r="D5661" s="159">
        <v>45741.0</v>
      </c>
      <c r="E5661" s="157" t="s">
        <v>731</v>
      </c>
      <c r="F5661" s="160">
        <v>430712.7</v>
      </c>
      <c r="G5661" s="160">
        <f>'FACP$'!$F5661*0.16</f>
        <v>68914.032</v>
      </c>
      <c r="H5661" s="160">
        <f t="shared" si="129"/>
        <v>499626.732</v>
      </c>
      <c r="I5661" s="160"/>
      <c r="J5661" s="161"/>
      <c r="K5661" s="160"/>
      <c r="L5661" s="160">
        <f>+'FACP$'!$H5661-'FACP$'!$I5661-'FACP$'!$K5661</f>
        <v>499626.732</v>
      </c>
      <c r="M5661" s="162" t="s">
        <v>985</v>
      </c>
      <c r="N5661" s="162" t="s">
        <v>554</v>
      </c>
      <c r="O5661" s="164">
        <v>45748.0</v>
      </c>
      <c r="P5661" s="164">
        <f t="array" ref="P5661">XLOOKUP('FACP$'!$B5661,'perfil de pagos'!$A$4:$A$46,'perfil de pagos'!$B$4:$B$46+'FACP$'!$D5661)</f>
        <v>45751</v>
      </c>
      <c r="Q5661" s="165">
        <f t="shared" si="128"/>
        <v>0</v>
      </c>
      <c r="R5661" s="167"/>
      <c r="S5661" s="167">
        <v>3717.0</v>
      </c>
      <c r="T5661" s="168">
        <f t="shared" si="3"/>
        <v>499626.732</v>
      </c>
      <c r="U5661" s="168">
        <f t="shared" si="4"/>
        <v>0</v>
      </c>
      <c r="V5661" s="168">
        <f t="shared" si="5"/>
        <v>0</v>
      </c>
      <c r="W5661" s="168">
        <f t="shared" si="6"/>
        <v>0</v>
      </c>
      <c r="X5661" s="168">
        <f t="shared" si="7"/>
        <v>0</v>
      </c>
      <c r="Y5661" s="168">
        <f t="shared" si="8"/>
        <v>0</v>
      </c>
      <c r="Z5661" s="168">
        <f t="shared" si="9"/>
        <v>0</v>
      </c>
    </row>
    <row r="5662" ht="15.0" customHeight="1">
      <c r="A5662" s="157" t="s">
        <v>7165</v>
      </c>
      <c r="B5662" s="158" t="s">
        <v>18</v>
      </c>
      <c r="C5662" s="158" t="s">
        <v>7142</v>
      </c>
      <c r="D5662" s="159">
        <v>45741.0</v>
      </c>
      <c r="E5662" s="157" t="s">
        <v>731</v>
      </c>
      <c r="F5662" s="160">
        <v>112192.68</v>
      </c>
      <c r="G5662" s="160">
        <f>'FACP$'!$F5662*0.16</f>
        <v>17950.8288</v>
      </c>
      <c r="H5662" s="160">
        <f t="shared" si="129"/>
        <v>130143.5088</v>
      </c>
      <c r="I5662" s="160"/>
      <c r="J5662" s="161"/>
      <c r="K5662" s="160"/>
      <c r="L5662" s="160">
        <f>+'FACP$'!$H5662-'FACP$'!$I5662-'FACP$'!$K5662</f>
        <v>130143.5088</v>
      </c>
      <c r="M5662" s="162" t="s">
        <v>586</v>
      </c>
      <c r="N5662" s="162" t="s">
        <v>554</v>
      </c>
      <c r="O5662" s="164">
        <v>45775.0</v>
      </c>
      <c r="P5662" s="164">
        <f t="array" ref="P5662">XLOOKUP('FACP$'!$B5662,'perfil de pagos'!$A$4:$A$46,'perfil de pagos'!$B$4:$B$46+'FACP$'!$D5662)</f>
        <v>45751</v>
      </c>
      <c r="Q5662" s="165">
        <f t="shared" si="128"/>
        <v>0</v>
      </c>
      <c r="R5662" s="167"/>
      <c r="S5662" s="167">
        <v>3780.0</v>
      </c>
      <c r="T5662" s="168">
        <f t="shared" si="3"/>
        <v>130143.5088</v>
      </c>
      <c r="U5662" s="168">
        <f t="shared" si="4"/>
        <v>0</v>
      </c>
      <c r="V5662" s="168">
        <f t="shared" si="5"/>
        <v>0</v>
      </c>
      <c r="W5662" s="168">
        <f t="shared" si="6"/>
        <v>0</v>
      </c>
      <c r="X5662" s="168">
        <f t="shared" si="7"/>
        <v>0</v>
      </c>
      <c r="Y5662" s="168">
        <f t="shared" si="8"/>
        <v>0</v>
      </c>
      <c r="Z5662" s="168">
        <f t="shared" si="9"/>
        <v>0</v>
      </c>
    </row>
    <row r="5663" ht="15.0" customHeight="1">
      <c r="A5663" s="157" t="s">
        <v>7166</v>
      </c>
      <c r="B5663" s="158" t="s">
        <v>19</v>
      </c>
      <c r="C5663" s="158" t="s">
        <v>7142</v>
      </c>
      <c r="D5663" s="159">
        <v>45741.0</v>
      </c>
      <c r="E5663" s="157" t="s">
        <v>731</v>
      </c>
      <c r="F5663" s="160">
        <v>232372.36</v>
      </c>
      <c r="G5663" s="160">
        <f>'FACP$'!$F5663*0.16</f>
        <v>37179.5776</v>
      </c>
      <c r="H5663" s="160">
        <f t="shared" si="129"/>
        <v>269551.9376</v>
      </c>
      <c r="I5663" s="160"/>
      <c r="J5663" s="161"/>
      <c r="K5663" s="160"/>
      <c r="L5663" s="160">
        <f>+'FACP$'!$H5663-'FACP$'!$I5663-'FACP$'!$K5663</f>
        <v>269551.9376</v>
      </c>
      <c r="M5663" s="162" t="s">
        <v>732</v>
      </c>
      <c r="N5663" s="162" t="s">
        <v>554</v>
      </c>
      <c r="O5663" s="164">
        <v>45775.0</v>
      </c>
      <c r="P5663" s="164">
        <f t="array" ref="P5663">XLOOKUP('FACP$'!$B5663,'perfil de pagos'!$A$4:$A$46,'perfil de pagos'!$B$4:$B$46+'FACP$'!$D5663)</f>
        <v>45751</v>
      </c>
      <c r="Q5663" s="165">
        <f t="shared" si="128"/>
        <v>0</v>
      </c>
      <c r="R5663" s="167"/>
      <c r="S5663" s="167">
        <v>3780.0</v>
      </c>
      <c r="T5663" s="168">
        <f t="shared" si="3"/>
        <v>269551.9376</v>
      </c>
      <c r="U5663" s="168">
        <f t="shared" si="4"/>
        <v>0</v>
      </c>
      <c r="V5663" s="168">
        <f t="shared" si="5"/>
        <v>0</v>
      </c>
      <c r="W5663" s="168">
        <f t="shared" si="6"/>
        <v>0</v>
      </c>
      <c r="X5663" s="168">
        <f t="shared" si="7"/>
        <v>0</v>
      </c>
      <c r="Y5663" s="168">
        <f t="shared" si="8"/>
        <v>0</v>
      </c>
      <c r="Z5663" s="168">
        <f t="shared" si="9"/>
        <v>0</v>
      </c>
    </row>
    <row r="5664" ht="15.0" customHeight="1">
      <c r="A5664" s="157" t="s">
        <v>7167</v>
      </c>
      <c r="B5664" s="158" t="s">
        <v>25</v>
      </c>
      <c r="C5664" s="158" t="s">
        <v>7142</v>
      </c>
      <c r="D5664" s="159">
        <v>45741.0</v>
      </c>
      <c r="E5664" s="157" t="s">
        <v>731</v>
      </c>
      <c r="F5664" s="160">
        <v>75920.46</v>
      </c>
      <c r="G5664" s="160">
        <f>'FACP$'!$F5664*0.16</f>
        <v>12147.2736</v>
      </c>
      <c r="H5664" s="160">
        <f t="shared" si="129"/>
        <v>88067.7336</v>
      </c>
      <c r="I5664" s="160"/>
      <c r="J5664" s="161"/>
      <c r="K5664" s="160"/>
      <c r="L5664" s="160">
        <f>+'FACP$'!$H5664-'FACP$'!$I5664-'FACP$'!$K5664</f>
        <v>88067.7336</v>
      </c>
      <c r="M5664" s="162" t="s">
        <v>4388</v>
      </c>
      <c r="N5664" s="162" t="s">
        <v>554</v>
      </c>
      <c r="O5664" s="164">
        <v>45754.0</v>
      </c>
      <c r="P5664" s="164">
        <f t="array" ref="P5664">XLOOKUP('FACP$'!$B5664,'perfil de pagos'!$A$4:$A$46,'perfil de pagos'!$B$4:$B$46+'FACP$'!$D5664)</f>
        <v>45751</v>
      </c>
      <c r="Q5664" s="165">
        <f t="shared" si="128"/>
        <v>0</v>
      </c>
      <c r="R5664" s="167"/>
      <c r="S5664" s="167">
        <v>3767.0</v>
      </c>
      <c r="T5664" s="168">
        <f t="shared" si="3"/>
        <v>88067.7336</v>
      </c>
      <c r="U5664" s="168">
        <f t="shared" si="4"/>
        <v>0</v>
      </c>
      <c r="V5664" s="168">
        <f t="shared" si="5"/>
        <v>0</v>
      </c>
      <c r="W5664" s="168">
        <f t="shared" si="6"/>
        <v>0</v>
      </c>
      <c r="X5664" s="168">
        <f t="shared" si="7"/>
        <v>0</v>
      </c>
      <c r="Y5664" s="168">
        <f t="shared" si="8"/>
        <v>0</v>
      </c>
      <c r="Z5664" s="168">
        <f t="shared" si="9"/>
        <v>0</v>
      </c>
    </row>
    <row r="5665" ht="15.0" customHeight="1">
      <c r="A5665" s="157" t="s">
        <v>7168</v>
      </c>
      <c r="B5665" s="158" t="s">
        <v>37</v>
      </c>
      <c r="C5665" s="158" t="s">
        <v>7142</v>
      </c>
      <c r="D5665" s="159">
        <v>45742.0</v>
      </c>
      <c r="E5665" s="157" t="s">
        <v>731</v>
      </c>
      <c r="F5665" s="160">
        <v>1723105.09</v>
      </c>
      <c r="G5665" s="160">
        <f>'FACP$'!$F5665*0.16</f>
        <v>275696.8144</v>
      </c>
      <c r="H5665" s="160">
        <f t="shared" si="129"/>
        <v>1998801.904</v>
      </c>
      <c r="I5665" s="160"/>
      <c r="J5665" s="161"/>
      <c r="K5665" s="160"/>
      <c r="L5665" s="160">
        <f>+'FACP$'!$H5665-'FACP$'!$I5665-'FACP$'!$K5665</f>
        <v>1998801.904</v>
      </c>
      <c r="M5665" s="162" t="s">
        <v>116</v>
      </c>
      <c r="N5665" s="162" t="s">
        <v>554</v>
      </c>
      <c r="O5665" s="164">
        <v>45754.0</v>
      </c>
      <c r="P5665" s="164">
        <f t="array" ref="P5665">XLOOKUP('FACP$'!$B5665,'perfil de pagos'!$A$4:$A$46,'perfil de pagos'!$B$4:$B$46+'FACP$'!$D5665)</f>
        <v>45752</v>
      </c>
      <c r="Q5665" s="165">
        <f t="shared" si="128"/>
        <v>0</v>
      </c>
      <c r="R5665" s="167"/>
      <c r="S5665" s="167">
        <v>3738.0</v>
      </c>
      <c r="T5665" s="168">
        <f t="shared" si="3"/>
        <v>1998801.904</v>
      </c>
      <c r="U5665" s="168">
        <f t="shared" si="4"/>
        <v>0</v>
      </c>
      <c r="V5665" s="168">
        <f t="shared" si="5"/>
        <v>0</v>
      </c>
      <c r="W5665" s="168">
        <f t="shared" si="6"/>
        <v>0</v>
      </c>
      <c r="X5665" s="168">
        <f t="shared" si="7"/>
        <v>0</v>
      </c>
      <c r="Y5665" s="168">
        <f t="shared" si="8"/>
        <v>0</v>
      </c>
      <c r="Z5665" s="168">
        <f t="shared" si="9"/>
        <v>0</v>
      </c>
    </row>
    <row r="5666" ht="15.0" customHeight="1">
      <c r="A5666" s="157" t="s">
        <v>7169</v>
      </c>
      <c r="B5666" s="158" t="s">
        <v>38</v>
      </c>
      <c r="C5666" s="158" t="s">
        <v>7142</v>
      </c>
      <c r="D5666" s="159">
        <v>45742.0</v>
      </c>
      <c r="E5666" s="157" t="s">
        <v>731</v>
      </c>
      <c r="F5666" s="160">
        <v>614576.88</v>
      </c>
      <c r="G5666" s="160">
        <f>'FACP$'!$F5666*0.16</f>
        <v>98332.3008</v>
      </c>
      <c r="H5666" s="160">
        <f t="shared" si="129"/>
        <v>712909.1808</v>
      </c>
      <c r="I5666" s="160"/>
      <c r="J5666" s="161"/>
      <c r="K5666" s="160"/>
      <c r="L5666" s="160">
        <f>+'FACP$'!$H5666-'FACP$'!$I5666-'FACP$'!$K5666</f>
        <v>712909.1808</v>
      </c>
      <c r="M5666" s="162" t="s">
        <v>145</v>
      </c>
      <c r="N5666" s="162" t="s">
        <v>554</v>
      </c>
      <c r="O5666" s="164">
        <v>45749.0</v>
      </c>
      <c r="P5666" s="164">
        <f t="array" ref="P5666">XLOOKUP('FACP$'!$B5666,'perfil de pagos'!$A$4:$A$46,'perfil de pagos'!$B$4:$B$46+'FACP$'!$D5666)</f>
        <v>45772</v>
      </c>
      <c r="Q5666" s="165">
        <f t="shared" si="128"/>
        <v>0</v>
      </c>
      <c r="R5666" s="167"/>
      <c r="S5666" s="167">
        <v>3719.0</v>
      </c>
      <c r="T5666" s="168">
        <f t="shared" si="3"/>
        <v>712909.1808</v>
      </c>
      <c r="U5666" s="168">
        <f t="shared" si="4"/>
        <v>0</v>
      </c>
      <c r="V5666" s="168">
        <f t="shared" si="5"/>
        <v>0</v>
      </c>
      <c r="W5666" s="168">
        <f t="shared" si="6"/>
        <v>0</v>
      </c>
      <c r="X5666" s="168">
        <f t="shared" si="7"/>
        <v>0</v>
      </c>
      <c r="Y5666" s="168">
        <f t="shared" si="8"/>
        <v>0</v>
      </c>
      <c r="Z5666" s="168">
        <f t="shared" si="9"/>
        <v>0</v>
      </c>
    </row>
    <row r="5667" ht="15.0" customHeight="1">
      <c r="A5667" s="157" t="s">
        <v>7170</v>
      </c>
      <c r="B5667" s="158" t="s">
        <v>54</v>
      </c>
      <c r="C5667" s="158" t="s">
        <v>7142</v>
      </c>
      <c r="D5667" s="159">
        <v>45742.0</v>
      </c>
      <c r="E5667" s="157" t="s">
        <v>731</v>
      </c>
      <c r="F5667" s="160">
        <v>246927.68</v>
      </c>
      <c r="G5667" s="160">
        <f>'FACP$'!$F5667*0.16</f>
        <v>39508.4288</v>
      </c>
      <c r="H5667" s="160">
        <f t="shared" si="129"/>
        <v>286436.1088</v>
      </c>
      <c r="I5667" s="160"/>
      <c r="J5667" s="161"/>
      <c r="K5667" s="160"/>
      <c r="L5667" s="160">
        <f>+'FACP$'!$H5667-'FACP$'!$I5667-'FACP$'!$K5667</f>
        <v>286436.1088</v>
      </c>
      <c r="M5667" s="162" t="s">
        <v>7011</v>
      </c>
      <c r="N5667" s="162"/>
      <c r="O5667" s="164"/>
      <c r="P5667" s="164">
        <f t="array" ref="P5667">XLOOKUP('FACP$'!$B5667,'perfil de pagos'!$A$4:$A$46,'perfil de pagos'!$B$4:$B$46+'FACP$'!$D5667)</f>
        <v>45802</v>
      </c>
      <c r="Q5667" s="165">
        <f t="shared" si="128"/>
        <v>-13</v>
      </c>
      <c r="R5667" s="167"/>
      <c r="S5667" s="167"/>
      <c r="T5667" s="168">
        <f t="shared" si="3"/>
        <v>286436.1088</v>
      </c>
      <c r="U5667" s="168">
        <f t="shared" si="4"/>
        <v>0</v>
      </c>
      <c r="V5667" s="168">
        <f t="shared" si="5"/>
        <v>0</v>
      </c>
      <c r="W5667" s="168">
        <f t="shared" si="6"/>
        <v>0</v>
      </c>
      <c r="X5667" s="168">
        <f t="shared" si="7"/>
        <v>0</v>
      </c>
      <c r="Y5667" s="168">
        <f t="shared" si="8"/>
        <v>0</v>
      </c>
      <c r="Z5667" s="168">
        <f t="shared" si="9"/>
        <v>0</v>
      </c>
    </row>
    <row r="5668" ht="15.0" customHeight="1">
      <c r="A5668" s="157" t="s">
        <v>7171</v>
      </c>
      <c r="B5668" s="158" t="s">
        <v>54</v>
      </c>
      <c r="C5668" s="158" t="s">
        <v>7145</v>
      </c>
      <c r="D5668" s="159">
        <v>45742.0</v>
      </c>
      <c r="E5668" s="157" t="s">
        <v>731</v>
      </c>
      <c r="F5668" s="160">
        <v>363498.23</v>
      </c>
      <c r="G5668" s="160">
        <f>'FACP$'!$F5668*0.16</f>
        <v>58159.7168</v>
      </c>
      <c r="H5668" s="160">
        <f t="shared" si="129"/>
        <v>421657.9468</v>
      </c>
      <c r="I5668" s="160"/>
      <c r="J5668" s="161"/>
      <c r="K5668" s="160"/>
      <c r="L5668" s="160">
        <f>+'FACP$'!$H5668-'FACP$'!$I5668-'FACP$'!$K5668</f>
        <v>421657.9468</v>
      </c>
      <c r="M5668" s="162" t="s">
        <v>7011</v>
      </c>
      <c r="N5668" s="162"/>
      <c r="O5668" s="164"/>
      <c r="P5668" s="164">
        <f t="array" ref="P5668">XLOOKUP('FACP$'!$B5668,'perfil de pagos'!$A$4:$A$46,'perfil de pagos'!$B$4:$B$46+'FACP$'!$D5668)</f>
        <v>45802</v>
      </c>
      <c r="Q5668" s="165">
        <f t="shared" si="128"/>
        <v>-13</v>
      </c>
      <c r="R5668" s="167"/>
      <c r="S5668" s="167"/>
      <c r="T5668" s="168">
        <f t="shared" si="3"/>
        <v>421657.9468</v>
      </c>
      <c r="U5668" s="168">
        <f t="shared" si="4"/>
        <v>0</v>
      </c>
      <c r="V5668" s="168">
        <f t="shared" si="5"/>
        <v>0</v>
      </c>
      <c r="W5668" s="168">
        <f t="shared" si="6"/>
        <v>0</v>
      </c>
      <c r="X5668" s="168">
        <f t="shared" si="7"/>
        <v>0</v>
      </c>
      <c r="Y5668" s="168">
        <f t="shared" si="8"/>
        <v>0</v>
      </c>
      <c r="Z5668" s="168">
        <f t="shared" si="9"/>
        <v>0</v>
      </c>
    </row>
    <row r="5669" ht="15.0" customHeight="1">
      <c r="A5669" s="157" t="s">
        <v>7172</v>
      </c>
      <c r="B5669" s="158" t="s">
        <v>55</v>
      </c>
      <c r="C5669" s="158" t="s">
        <v>7142</v>
      </c>
      <c r="D5669" s="159">
        <v>45742.0</v>
      </c>
      <c r="E5669" s="157" t="s">
        <v>731</v>
      </c>
      <c r="F5669" s="160">
        <v>177693.56</v>
      </c>
      <c r="G5669" s="160">
        <f>'FACP$'!$F5669*0.16</f>
        <v>28430.9696</v>
      </c>
      <c r="H5669" s="160">
        <f t="shared" si="129"/>
        <v>206124.5296</v>
      </c>
      <c r="I5669" s="160"/>
      <c r="J5669" s="161"/>
      <c r="K5669" s="160"/>
      <c r="L5669" s="160">
        <f>+'FACP$'!$H5669-'FACP$'!$I5669-'FACP$'!$K5669</f>
        <v>206124.5296</v>
      </c>
      <c r="M5669" s="162" t="s">
        <v>7029</v>
      </c>
      <c r="N5669" s="162" t="s">
        <v>554</v>
      </c>
      <c r="O5669" s="164">
        <v>45749.0</v>
      </c>
      <c r="P5669" s="164">
        <f t="array" ref="P5669">XLOOKUP('FACP$'!$B5669,'perfil de pagos'!$A$4:$A$46,'perfil de pagos'!$B$4:$B$46+'FACP$'!$D5669)</f>
        <v>45752</v>
      </c>
      <c r="Q5669" s="165">
        <f t="shared" si="128"/>
        <v>0</v>
      </c>
      <c r="R5669" s="167"/>
      <c r="S5669" s="167">
        <v>3720.0</v>
      </c>
      <c r="T5669" s="168">
        <f t="shared" si="3"/>
        <v>206124.5296</v>
      </c>
      <c r="U5669" s="168">
        <f t="shared" si="4"/>
        <v>0</v>
      </c>
      <c r="V5669" s="168">
        <f t="shared" si="5"/>
        <v>0</v>
      </c>
      <c r="W5669" s="168">
        <f t="shared" si="6"/>
        <v>0</v>
      </c>
      <c r="X5669" s="168">
        <f t="shared" si="7"/>
        <v>0</v>
      </c>
      <c r="Y5669" s="168">
        <f t="shared" si="8"/>
        <v>0</v>
      </c>
      <c r="Z5669" s="168">
        <f t="shared" si="9"/>
        <v>0</v>
      </c>
    </row>
    <row r="5670" ht="15.0" customHeight="1">
      <c r="A5670" s="299" t="s">
        <v>7173</v>
      </c>
      <c r="B5670" s="300" t="s">
        <v>55</v>
      </c>
      <c r="C5670" s="300" t="s">
        <v>7145</v>
      </c>
      <c r="D5670" s="301">
        <v>45742.0</v>
      </c>
      <c r="E5670" s="299" t="s">
        <v>731</v>
      </c>
      <c r="F5670" s="302">
        <v>56870.8</v>
      </c>
      <c r="G5670" s="302">
        <f>'FACP$'!$F5670*0.16</f>
        <v>9099.328</v>
      </c>
      <c r="H5670" s="302">
        <f t="shared" si="129"/>
        <v>65970.128</v>
      </c>
      <c r="I5670" s="302"/>
      <c r="J5670" s="304"/>
      <c r="K5670" s="302"/>
      <c r="L5670" s="302">
        <f>+'FACP$'!$H5670-'FACP$'!$I5670-'FACP$'!$K5670</f>
        <v>65970.128</v>
      </c>
      <c r="M5670" s="305" t="s">
        <v>7029</v>
      </c>
      <c r="N5670" s="305" t="s">
        <v>127</v>
      </c>
      <c r="O5670" s="306">
        <v>45742.0</v>
      </c>
      <c r="P5670" s="164">
        <f t="array" ref="P5670">XLOOKUP('FACP$'!$B5670,'perfil de pagos'!$A$4:$A$46,'perfil de pagos'!$B$4:$B$46+'FACP$'!$D5670)</f>
        <v>45752</v>
      </c>
      <c r="Q5670" s="307">
        <f t="shared" si="128"/>
        <v>0</v>
      </c>
      <c r="R5670" s="308"/>
      <c r="S5670" s="308"/>
      <c r="T5670" s="309">
        <f t="shared" si="3"/>
        <v>65970.128</v>
      </c>
      <c r="U5670" s="309">
        <f t="shared" si="4"/>
        <v>0</v>
      </c>
      <c r="V5670" s="309">
        <f t="shared" si="5"/>
        <v>0</v>
      </c>
      <c r="W5670" s="168">
        <f t="shared" si="6"/>
        <v>0</v>
      </c>
      <c r="X5670" s="168">
        <f t="shared" si="7"/>
        <v>0</v>
      </c>
      <c r="Y5670" s="168">
        <f t="shared" si="8"/>
        <v>0</v>
      </c>
      <c r="Z5670" s="168">
        <f t="shared" si="9"/>
        <v>0</v>
      </c>
    </row>
    <row r="5671" ht="15.0" customHeight="1">
      <c r="A5671" s="157" t="s">
        <v>7174</v>
      </c>
      <c r="B5671" s="158" t="s">
        <v>55</v>
      </c>
      <c r="C5671" s="158" t="s">
        <v>7145</v>
      </c>
      <c r="D5671" s="159">
        <v>45742.0</v>
      </c>
      <c r="E5671" s="157" t="s">
        <v>731</v>
      </c>
      <c r="F5671" s="160">
        <v>60041.21</v>
      </c>
      <c r="G5671" s="160">
        <f>'FACP$'!$F5671*0.16</f>
        <v>9606.5936</v>
      </c>
      <c r="H5671" s="160">
        <f t="shared" si="129"/>
        <v>69647.8036</v>
      </c>
      <c r="I5671" s="160"/>
      <c r="J5671" s="161"/>
      <c r="K5671" s="160"/>
      <c r="L5671" s="160">
        <f>+'FACP$'!$H5671-'FACP$'!$I5671-'FACP$'!$K5671</f>
        <v>69647.8036</v>
      </c>
      <c r="M5671" s="162" t="s">
        <v>7029</v>
      </c>
      <c r="N5671" s="162" t="s">
        <v>554</v>
      </c>
      <c r="O5671" s="164">
        <v>45749.0</v>
      </c>
      <c r="P5671" s="164">
        <f t="array" ref="P5671">XLOOKUP('FACP$'!$B5671,'perfil de pagos'!$A$4:$A$46,'perfil de pagos'!$B$4:$B$46+'FACP$'!$D5671)</f>
        <v>45752</v>
      </c>
      <c r="Q5671" s="165">
        <f t="shared" si="128"/>
        <v>0</v>
      </c>
      <c r="R5671" s="167"/>
      <c r="S5671" s="167">
        <v>3720.0</v>
      </c>
      <c r="T5671" s="168">
        <f t="shared" si="3"/>
        <v>69647.8036</v>
      </c>
      <c r="U5671" s="168">
        <f t="shared" si="4"/>
        <v>0</v>
      </c>
      <c r="V5671" s="168">
        <f t="shared" si="5"/>
        <v>0</v>
      </c>
      <c r="W5671" s="168">
        <f t="shared" si="6"/>
        <v>0</v>
      </c>
      <c r="X5671" s="168">
        <f t="shared" si="7"/>
        <v>0</v>
      </c>
      <c r="Y5671" s="168">
        <f t="shared" si="8"/>
        <v>0</v>
      </c>
      <c r="Z5671" s="168">
        <f t="shared" si="9"/>
        <v>0</v>
      </c>
    </row>
    <row r="5672" ht="15.0" customHeight="1">
      <c r="A5672" s="157" t="s">
        <v>7175</v>
      </c>
      <c r="B5672" s="158" t="s">
        <v>44</v>
      </c>
      <c r="C5672" s="158" t="s">
        <v>7142</v>
      </c>
      <c r="D5672" s="159">
        <v>45743.0</v>
      </c>
      <c r="E5672" s="157" t="s">
        <v>731</v>
      </c>
      <c r="F5672" s="160">
        <v>217146.66</v>
      </c>
      <c r="G5672" s="160">
        <f>'FACP$'!$F5672*0.16</f>
        <v>34743.4656</v>
      </c>
      <c r="H5672" s="160">
        <f t="shared" si="129"/>
        <v>251890.1256</v>
      </c>
      <c r="I5672" s="160"/>
      <c r="J5672" s="161"/>
      <c r="K5672" s="160"/>
      <c r="L5672" s="160">
        <f>+'FACP$'!$H5672-'FACP$'!$I5672-'FACP$'!$K5672</f>
        <v>251890.1256</v>
      </c>
      <c r="M5672" s="162" t="s">
        <v>361</v>
      </c>
      <c r="N5672" s="162" t="s">
        <v>554</v>
      </c>
      <c r="O5672" s="164">
        <v>45751.0</v>
      </c>
      <c r="P5672" s="164">
        <f t="array" ref="P5672">XLOOKUP('FACP$'!$B5672,'perfil de pagos'!$A$4:$A$46,'perfil de pagos'!$B$4:$B$46+'FACP$'!$D5672)</f>
        <v>45753</v>
      </c>
      <c r="Q5672" s="165">
        <f t="shared" si="128"/>
        <v>0</v>
      </c>
      <c r="R5672" s="167"/>
      <c r="S5672" s="167">
        <v>3724.0</v>
      </c>
      <c r="T5672" s="168">
        <f t="shared" si="3"/>
        <v>251890.1256</v>
      </c>
      <c r="U5672" s="168">
        <f t="shared" si="4"/>
        <v>0</v>
      </c>
      <c r="V5672" s="168">
        <f t="shared" si="5"/>
        <v>0</v>
      </c>
      <c r="W5672" s="168">
        <f t="shared" si="6"/>
        <v>0</v>
      </c>
      <c r="X5672" s="168">
        <f t="shared" si="7"/>
        <v>0</v>
      </c>
      <c r="Y5672" s="168">
        <f t="shared" si="8"/>
        <v>0</v>
      </c>
      <c r="Z5672" s="168">
        <f t="shared" si="9"/>
        <v>0</v>
      </c>
    </row>
    <row r="5673" ht="15.0" customHeight="1">
      <c r="A5673" s="157" t="s">
        <v>7176</v>
      </c>
      <c r="B5673" s="158" t="s">
        <v>27</v>
      </c>
      <c r="C5673" s="158" t="s">
        <v>7177</v>
      </c>
      <c r="D5673" s="159">
        <v>45747.0</v>
      </c>
      <c r="E5673" s="157" t="s">
        <v>731</v>
      </c>
      <c r="F5673" s="160">
        <v>186249.26</v>
      </c>
      <c r="G5673" s="160">
        <f>'FACP$'!$F5673*0.16</f>
        <v>29799.8816</v>
      </c>
      <c r="H5673" s="160">
        <f t="shared" si="129"/>
        <v>216049.1416</v>
      </c>
      <c r="I5673" s="160"/>
      <c r="J5673" s="161"/>
      <c r="K5673" s="160"/>
      <c r="L5673" s="160">
        <f>+'FACP$'!$H5673-'FACP$'!$I5673-'FACP$'!$K5673</f>
        <v>216049.1416</v>
      </c>
      <c r="M5673" s="162" t="s">
        <v>158</v>
      </c>
      <c r="N5673" s="162"/>
      <c r="O5673" s="164"/>
      <c r="P5673" s="164">
        <f t="array" ref="P5673">XLOOKUP('FACP$'!$B5673,'perfil de pagos'!$A$4:$A$46,'perfil de pagos'!$B$4:$B$46+'FACP$'!$D5673)</f>
        <v>45777</v>
      </c>
      <c r="Q5673" s="165">
        <f t="shared" si="128"/>
        <v>12</v>
      </c>
      <c r="R5673" s="167"/>
      <c r="S5673" s="167"/>
      <c r="T5673" s="168">
        <f t="shared" si="3"/>
        <v>0</v>
      </c>
      <c r="U5673" s="168">
        <f t="shared" si="4"/>
        <v>216049.1416</v>
      </c>
      <c r="V5673" s="168">
        <f t="shared" si="5"/>
        <v>0</v>
      </c>
      <c r="W5673" s="168">
        <f t="shared" si="6"/>
        <v>0</v>
      </c>
      <c r="X5673" s="168">
        <f t="shared" si="7"/>
        <v>0</v>
      </c>
      <c r="Y5673" s="168">
        <f t="shared" si="8"/>
        <v>0</v>
      </c>
      <c r="Z5673" s="168">
        <f t="shared" si="9"/>
        <v>0</v>
      </c>
    </row>
    <row r="5674" ht="15.0" customHeight="1">
      <c r="A5674" s="157" t="s">
        <v>7178</v>
      </c>
      <c r="B5674" s="158" t="s">
        <v>27</v>
      </c>
      <c r="C5674" s="158" t="s">
        <v>7179</v>
      </c>
      <c r="D5674" s="159">
        <v>45747.0</v>
      </c>
      <c r="E5674" s="157" t="s">
        <v>731</v>
      </c>
      <c r="F5674" s="160">
        <v>110252.13</v>
      </c>
      <c r="G5674" s="160">
        <f>'FACP$'!$F5674*0.16</f>
        <v>17640.3408</v>
      </c>
      <c r="H5674" s="160">
        <f t="shared" si="129"/>
        <v>127892.4708</v>
      </c>
      <c r="I5674" s="160"/>
      <c r="J5674" s="161"/>
      <c r="K5674" s="160"/>
      <c r="L5674" s="160">
        <f>+'FACP$'!$H5674-'FACP$'!$I5674-'FACP$'!$K5674</f>
        <v>127892.4708</v>
      </c>
      <c r="M5674" s="162" t="s">
        <v>158</v>
      </c>
      <c r="N5674" s="162"/>
      <c r="O5674" s="164"/>
      <c r="P5674" s="164">
        <f t="array" ref="P5674">XLOOKUP('FACP$'!$B5674,'perfil de pagos'!$A$4:$A$46,'perfil de pagos'!$B$4:$B$46+'FACP$'!$D5674)</f>
        <v>45777</v>
      </c>
      <c r="Q5674" s="165">
        <f t="shared" si="128"/>
        <v>12</v>
      </c>
      <c r="R5674" s="167"/>
      <c r="S5674" s="167"/>
      <c r="T5674" s="168">
        <f t="shared" si="3"/>
        <v>0</v>
      </c>
      <c r="U5674" s="168">
        <f t="shared" si="4"/>
        <v>127892.4708</v>
      </c>
      <c r="V5674" s="168">
        <f t="shared" si="5"/>
        <v>0</v>
      </c>
      <c r="W5674" s="168">
        <f t="shared" si="6"/>
        <v>0</v>
      </c>
      <c r="X5674" s="168">
        <f t="shared" si="7"/>
        <v>0</v>
      </c>
      <c r="Y5674" s="168">
        <f t="shared" si="8"/>
        <v>0</v>
      </c>
      <c r="Z5674" s="168">
        <f t="shared" si="9"/>
        <v>0</v>
      </c>
    </row>
    <row r="5675" ht="15.0" customHeight="1">
      <c r="A5675" s="157" t="s">
        <v>7180</v>
      </c>
      <c r="B5675" s="158" t="s">
        <v>44</v>
      </c>
      <c r="C5675" s="158" t="s">
        <v>7181</v>
      </c>
      <c r="D5675" s="159">
        <v>45750.0</v>
      </c>
      <c r="E5675" s="157" t="s">
        <v>731</v>
      </c>
      <c r="F5675" s="160">
        <v>205014.78</v>
      </c>
      <c r="G5675" s="160">
        <f>'FACP$'!$F5675*0.16</f>
        <v>32802.3648</v>
      </c>
      <c r="H5675" s="160">
        <f t="shared" si="129"/>
        <v>237817.1448</v>
      </c>
      <c r="I5675" s="160"/>
      <c r="J5675" s="161"/>
      <c r="K5675" s="160"/>
      <c r="L5675" s="160">
        <f>+'FACP$'!$H5675-'FACP$'!$I5675-'FACP$'!$K5675</f>
        <v>237817.1448</v>
      </c>
      <c r="M5675" s="162" t="s">
        <v>361</v>
      </c>
      <c r="N5675" s="162" t="s">
        <v>554</v>
      </c>
      <c r="O5675" s="164">
        <v>45758.0</v>
      </c>
      <c r="P5675" s="164">
        <f t="array" ref="P5675">XLOOKUP('FACP$'!$B5675,'perfil de pagos'!$A$4:$A$46,'perfil de pagos'!$B$4:$B$46+'FACP$'!$D5675)</f>
        <v>45760</v>
      </c>
      <c r="Q5675" s="165">
        <f t="shared" si="128"/>
        <v>0</v>
      </c>
      <c r="R5675" s="167"/>
      <c r="S5675" s="167">
        <v>3746.0</v>
      </c>
      <c r="T5675" s="168">
        <f t="shared" si="3"/>
        <v>237817.1448</v>
      </c>
      <c r="U5675" s="168">
        <f t="shared" si="4"/>
        <v>0</v>
      </c>
      <c r="V5675" s="168">
        <f t="shared" si="5"/>
        <v>0</v>
      </c>
      <c r="W5675" s="168">
        <f t="shared" si="6"/>
        <v>0</v>
      </c>
      <c r="X5675" s="168">
        <f t="shared" si="7"/>
        <v>0</v>
      </c>
      <c r="Y5675" s="168">
        <f t="shared" si="8"/>
        <v>0</v>
      </c>
      <c r="Z5675" s="168">
        <f t="shared" si="9"/>
        <v>0</v>
      </c>
    </row>
    <row r="5676" ht="15.0" customHeight="1">
      <c r="A5676" s="157" t="s">
        <v>7182</v>
      </c>
      <c r="B5676" s="158" t="s">
        <v>41</v>
      </c>
      <c r="C5676" s="158" t="s">
        <v>7181</v>
      </c>
      <c r="D5676" s="159">
        <v>45750.0</v>
      </c>
      <c r="E5676" s="157" t="s">
        <v>731</v>
      </c>
      <c r="F5676" s="160">
        <v>1996706.04</v>
      </c>
      <c r="G5676" s="160">
        <f>'FACP$'!$F5676*0.16</f>
        <v>319472.9664</v>
      </c>
      <c r="H5676" s="160">
        <f t="shared" si="129"/>
        <v>2316179.006</v>
      </c>
      <c r="I5676" s="160"/>
      <c r="J5676" s="161"/>
      <c r="K5676" s="160"/>
      <c r="L5676" s="160">
        <f>+'FACP$'!$H5676-'FACP$'!$I5676-'FACP$'!$K5676</f>
        <v>2316179.006</v>
      </c>
      <c r="M5676" s="162" t="s">
        <v>121</v>
      </c>
      <c r="N5676" s="162"/>
      <c r="O5676" s="164"/>
      <c r="P5676" s="164">
        <f t="array" ref="P5676">XLOOKUP('FACP$'!$B5676,'perfil de pagos'!$A$4:$A$46,'perfil de pagos'!$B$4:$B$46+'FACP$'!$D5676)</f>
        <v>45760</v>
      </c>
      <c r="Q5676" s="165">
        <f t="shared" si="128"/>
        <v>29</v>
      </c>
      <c r="R5676" s="167"/>
      <c r="S5676" s="167"/>
      <c r="T5676" s="168">
        <f t="shared" si="3"/>
        <v>0</v>
      </c>
      <c r="U5676" s="168">
        <f t="shared" si="4"/>
        <v>0</v>
      </c>
      <c r="V5676" s="168">
        <f t="shared" si="5"/>
        <v>2316179.006</v>
      </c>
      <c r="W5676" s="168">
        <f t="shared" si="6"/>
        <v>0</v>
      </c>
      <c r="X5676" s="168">
        <f t="shared" si="7"/>
        <v>0</v>
      </c>
      <c r="Y5676" s="168">
        <f t="shared" si="8"/>
        <v>0</v>
      </c>
      <c r="Z5676" s="168">
        <f t="shared" si="9"/>
        <v>0</v>
      </c>
    </row>
    <row r="5677" ht="15.0" customHeight="1">
      <c r="A5677" s="157" t="s">
        <v>7183</v>
      </c>
      <c r="B5677" s="158" t="s">
        <v>53</v>
      </c>
      <c r="C5677" s="158" t="s">
        <v>7181</v>
      </c>
      <c r="D5677" s="159">
        <v>45750.0</v>
      </c>
      <c r="E5677" s="157" t="s">
        <v>731</v>
      </c>
      <c r="F5677" s="160">
        <v>218777.2</v>
      </c>
      <c r="G5677" s="160">
        <f>'FACP$'!$F5677*0.16</f>
        <v>35004.352</v>
      </c>
      <c r="H5677" s="160">
        <f t="shared" si="129"/>
        <v>253781.552</v>
      </c>
      <c r="I5677" s="160"/>
      <c r="J5677" s="161"/>
      <c r="K5677" s="160"/>
      <c r="L5677" s="160">
        <f>+'FACP$'!$H5677-'FACP$'!$I5677-'FACP$'!$K5677</f>
        <v>253781.552</v>
      </c>
      <c r="M5677" s="162" t="s">
        <v>53</v>
      </c>
      <c r="N5677" s="162"/>
      <c r="O5677" s="164"/>
      <c r="P5677" s="164">
        <f t="array" ref="P5677">XLOOKUP('FACP$'!$B5677,'perfil de pagos'!$A$4:$A$46,'perfil de pagos'!$B$4:$B$46+'FACP$'!$D5677)</f>
        <v>45765</v>
      </c>
      <c r="Q5677" s="165">
        <f t="shared" si="128"/>
        <v>24</v>
      </c>
      <c r="R5677" s="167"/>
      <c r="S5677" s="167"/>
      <c r="T5677" s="168">
        <f t="shared" si="3"/>
        <v>0</v>
      </c>
      <c r="U5677" s="168">
        <f t="shared" si="4"/>
        <v>0</v>
      </c>
      <c r="V5677" s="168">
        <f t="shared" si="5"/>
        <v>253781.552</v>
      </c>
      <c r="W5677" s="168">
        <f t="shared" si="6"/>
        <v>0</v>
      </c>
      <c r="X5677" s="168">
        <f t="shared" si="7"/>
        <v>0</v>
      </c>
      <c r="Y5677" s="168">
        <f t="shared" si="8"/>
        <v>0</v>
      </c>
      <c r="Z5677" s="168">
        <f t="shared" si="9"/>
        <v>0</v>
      </c>
    </row>
    <row r="5678" ht="15.0" customHeight="1">
      <c r="A5678" s="157" t="s">
        <v>7184</v>
      </c>
      <c r="B5678" s="158" t="s">
        <v>53</v>
      </c>
      <c r="C5678" s="158" t="s">
        <v>7179</v>
      </c>
      <c r="D5678" s="159">
        <v>45750.0</v>
      </c>
      <c r="E5678" s="157" t="s">
        <v>731</v>
      </c>
      <c r="F5678" s="160">
        <v>45306.53</v>
      </c>
      <c r="G5678" s="160">
        <f>'FACP$'!$F5678*0.16</f>
        <v>7249.0448</v>
      </c>
      <c r="H5678" s="160">
        <f t="shared" si="129"/>
        <v>52555.5748</v>
      </c>
      <c r="I5678" s="160"/>
      <c r="J5678" s="161"/>
      <c r="K5678" s="160"/>
      <c r="L5678" s="160">
        <f>+'FACP$'!$H5678-'FACP$'!$I5678-'FACP$'!$K5678</f>
        <v>52555.5748</v>
      </c>
      <c r="M5678" s="162" t="s">
        <v>53</v>
      </c>
      <c r="N5678" s="162"/>
      <c r="O5678" s="164"/>
      <c r="P5678" s="164">
        <f t="array" ref="P5678">XLOOKUP('FACP$'!$B5678,'perfil de pagos'!$A$4:$A$46,'perfil de pagos'!$B$4:$B$46+'FACP$'!$D5678)</f>
        <v>45765</v>
      </c>
      <c r="Q5678" s="165">
        <f t="shared" si="128"/>
        <v>24</v>
      </c>
      <c r="R5678" s="167"/>
      <c r="S5678" s="167"/>
      <c r="T5678" s="168">
        <f t="shared" si="3"/>
        <v>0</v>
      </c>
      <c r="U5678" s="168">
        <f t="shared" si="4"/>
        <v>0</v>
      </c>
      <c r="V5678" s="168">
        <f t="shared" si="5"/>
        <v>52555.5748</v>
      </c>
      <c r="W5678" s="168">
        <f t="shared" si="6"/>
        <v>0</v>
      </c>
      <c r="X5678" s="168">
        <f t="shared" si="7"/>
        <v>0</v>
      </c>
      <c r="Y5678" s="168">
        <f t="shared" si="8"/>
        <v>0</v>
      </c>
      <c r="Z5678" s="168">
        <f t="shared" si="9"/>
        <v>0</v>
      </c>
    </row>
    <row r="5679" ht="15.0" customHeight="1">
      <c r="A5679" s="157" t="s">
        <v>7185</v>
      </c>
      <c r="B5679" s="158" t="s">
        <v>35</v>
      </c>
      <c r="C5679" s="158" t="s">
        <v>7181</v>
      </c>
      <c r="D5679" s="159">
        <v>45750.0</v>
      </c>
      <c r="E5679" s="157" t="s">
        <v>731</v>
      </c>
      <c r="F5679" s="160">
        <v>436560.93</v>
      </c>
      <c r="G5679" s="160">
        <f>'FACP$'!$F5679*0.16</f>
        <v>69849.7488</v>
      </c>
      <c r="H5679" s="160">
        <f t="shared" si="129"/>
        <v>506410.6788</v>
      </c>
      <c r="I5679" s="160"/>
      <c r="J5679" s="161"/>
      <c r="K5679" s="160"/>
      <c r="L5679" s="160">
        <f>+'FACP$'!$H5679-'FACP$'!$I5679-'FACP$'!$K5679</f>
        <v>506410.6788</v>
      </c>
      <c r="M5679" s="162" t="s">
        <v>276</v>
      </c>
      <c r="N5679" s="162" t="s">
        <v>554</v>
      </c>
      <c r="O5679" s="164">
        <v>45758.0</v>
      </c>
      <c r="P5679" s="164">
        <f t="array" ref="P5679">XLOOKUP('FACP$'!$B5679,'perfil de pagos'!$A$4:$A$46,'perfil de pagos'!$B$4:$B$46+'FACP$'!$D5679)</f>
        <v>45760</v>
      </c>
      <c r="Q5679" s="165">
        <f t="shared" si="128"/>
        <v>0</v>
      </c>
      <c r="R5679" s="167"/>
      <c r="S5679" s="167">
        <v>3745.0</v>
      </c>
      <c r="T5679" s="168">
        <f t="shared" si="3"/>
        <v>506410.6788</v>
      </c>
      <c r="U5679" s="168">
        <f t="shared" si="4"/>
        <v>0</v>
      </c>
      <c r="V5679" s="168">
        <f t="shared" si="5"/>
        <v>0</v>
      </c>
      <c r="W5679" s="168">
        <f t="shared" si="6"/>
        <v>0</v>
      </c>
      <c r="X5679" s="168">
        <f t="shared" si="7"/>
        <v>0</v>
      </c>
      <c r="Y5679" s="168">
        <f t="shared" si="8"/>
        <v>0</v>
      </c>
      <c r="Z5679" s="168">
        <f t="shared" si="9"/>
        <v>0</v>
      </c>
    </row>
    <row r="5680" ht="15.0" customHeight="1">
      <c r="A5680" s="157" t="s">
        <v>7186</v>
      </c>
      <c r="B5680" s="158" t="s">
        <v>36</v>
      </c>
      <c r="C5680" s="158" t="s">
        <v>7181</v>
      </c>
      <c r="D5680" s="159">
        <v>45750.0</v>
      </c>
      <c r="E5680" s="157" t="s">
        <v>731</v>
      </c>
      <c r="F5680" s="160">
        <v>73458.48</v>
      </c>
      <c r="G5680" s="160">
        <f>'FACP$'!$F5680*0.16</f>
        <v>11753.3568</v>
      </c>
      <c r="H5680" s="160">
        <f t="shared" si="129"/>
        <v>85211.8368</v>
      </c>
      <c r="I5680" s="160"/>
      <c r="J5680" s="161"/>
      <c r="K5680" s="160"/>
      <c r="L5680" s="160">
        <f>+'FACP$'!$H5680-'FACP$'!$I5680-'FACP$'!$K5680</f>
        <v>85211.8368</v>
      </c>
      <c r="M5680" s="162" t="s">
        <v>7100</v>
      </c>
      <c r="N5680" s="162" t="s">
        <v>554</v>
      </c>
      <c r="O5680" s="164">
        <v>45757.0</v>
      </c>
      <c r="P5680" s="164">
        <f t="array" ref="P5680">XLOOKUP('FACP$'!$B5680,'perfil de pagos'!$A$4:$A$46,'perfil de pagos'!$B$4:$B$46+'FACP$'!$D5680)</f>
        <v>45760</v>
      </c>
      <c r="Q5680" s="165">
        <f t="shared" si="128"/>
        <v>0</v>
      </c>
      <c r="R5680" s="167"/>
      <c r="S5680" s="167">
        <v>3744.0</v>
      </c>
      <c r="T5680" s="168">
        <f t="shared" si="3"/>
        <v>85211.8368</v>
      </c>
      <c r="U5680" s="168">
        <f t="shared" si="4"/>
        <v>0</v>
      </c>
      <c r="V5680" s="168">
        <f t="shared" si="5"/>
        <v>0</v>
      </c>
      <c r="W5680" s="168">
        <f t="shared" si="6"/>
        <v>0</v>
      </c>
      <c r="X5680" s="168">
        <f t="shared" si="7"/>
        <v>0</v>
      </c>
      <c r="Y5680" s="168">
        <f t="shared" si="8"/>
        <v>0</v>
      </c>
      <c r="Z5680" s="168">
        <f t="shared" si="9"/>
        <v>0</v>
      </c>
    </row>
    <row r="5681" ht="15.0" customHeight="1">
      <c r="A5681" s="157" t="s">
        <v>7187</v>
      </c>
      <c r="B5681" s="158" t="s">
        <v>36</v>
      </c>
      <c r="C5681" s="158" t="s">
        <v>7179</v>
      </c>
      <c r="D5681" s="159">
        <v>45750.0</v>
      </c>
      <c r="E5681" s="157" t="s">
        <v>731</v>
      </c>
      <c r="F5681" s="160">
        <v>68232.0</v>
      </c>
      <c r="G5681" s="160">
        <f>'FACP$'!$F5681*0.16</f>
        <v>10917.12</v>
      </c>
      <c r="H5681" s="160">
        <f t="shared" si="129"/>
        <v>79149.12</v>
      </c>
      <c r="I5681" s="160"/>
      <c r="J5681" s="161"/>
      <c r="K5681" s="160"/>
      <c r="L5681" s="160">
        <f>+'FACP$'!$H5681-'FACP$'!$I5681-'FACP$'!$K5681</f>
        <v>79149.12</v>
      </c>
      <c r="M5681" s="162" t="s">
        <v>7100</v>
      </c>
      <c r="N5681" s="162" t="s">
        <v>554</v>
      </c>
      <c r="O5681" s="164">
        <v>45757.0</v>
      </c>
      <c r="P5681" s="164">
        <f t="array" ref="P5681">XLOOKUP('FACP$'!$B5681,'perfil de pagos'!$A$4:$A$46,'perfil de pagos'!$B$4:$B$46+'FACP$'!$D5681)</f>
        <v>45760</v>
      </c>
      <c r="Q5681" s="165">
        <f t="shared" si="128"/>
        <v>0</v>
      </c>
      <c r="R5681" s="167"/>
      <c r="S5681" s="167">
        <v>3743.0</v>
      </c>
      <c r="T5681" s="168">
        <f t="shared" si="3"/>
        <v>79149.12</v>
      </c>
      <c r="U5681" s="168">
        <f t="shared" si="4"/>
        <v>0</v>
      </c>
      <c r="V5681" s="168">
        <f t="shared" si="5"/>
        <v>0</v>
      </c>
      <c r="W5681" s="168">
        <f t="shared" si="6"/>
        <v>0</v>
      </c>
      <c r="X5681" s="168">
        <f t="shared" si="7"/>
        <v>0</v>
      </c>
      <c r="Y5681" s="168">
        <f t="shared" si="8"/>
        <v>0</v>
      </c>
      <c r="Z5681" s="168">
        <f t="shared" si="9"/>
        <v>0</v>
      </c>
    </row>
    <row r="5682" ht="15.0" customHeight="1">
      <c r="A5682" s="157" t="s">
        <v>7188</v>
      </c>
      <c r="B5682" s="158" t="s">
        <v>36</v>
      </c>
      <c r="C5682" s="158" t="s">
        <v>7181</v>
      </c>
      <c r="D5682" s="159">
        <v>45750.0</v>
      </c>
      <c r="E5682" s="157" t="s">
        <v>731</v>
      </c>
      <c r="F5682" s="160">
        <v>43593.05</v>
      </c>
      <c r="G5682" s="160">
        <f>'FACP$'!$F5682*0.16</f>
        <v>6974.888</v>
      </c>
      <c r="H5682" s="160">
        <f t="shared" si="129"/>
        <v>50567.938</v>
      </c>
      <c r="I5682" s="160"/>
      <c r="J5682" s="161"/>
      <c r="K5682" s="160"/>
      <c r="L5682" s="160">
        <f>+'FACP$'!$H5682-'FACP$'!$I5682-'FACP$'!$K5682</f>
        <v>50567.938</v>
      </c>
      <c r="M5682" s="162" t="s">
        <v>7103</v>
      </c>
      <c r="N5682" s="162" t="s">
        <v>554</v>
      </c>
      <c r="O5682" s="164">
        <v>45762.0</v>
      </c>
      <c r="P5682" s="164">
        <f t="array" ref="P5682">XLOOKUP('FACP$'!$B5682,'perfil de pagos'!$A$4:$A$46,'perfil de pagos'!$B$4:$B$46+'FACP$'!$D5682)</f>
        <v>45760</v>
      </c>
      <c r="Q5682" s="165">
        <f t="shared" si="128"/>
        <v>0</v>
      </c>
      <c r="R5682" s="167"/>
      <c r="S5682" s="167">
        <v>3755.0</v>
      </c>
      <c r="T5682" s="168">
        <f t="shared" si="3"/>
        <v>50567.938</v>
      </c>
      <c r="U5682" s="168">
        <f t="shared" si="4"/>
        <v>0</v>
      </c>
      <c r="V5682" s="168">
        <f t="shared" si="5"/>
        <v>0</v>
      </c>
      <c r="W5682" s="168">
        <f t="shared" si="6"/>
        <v>0</v>
      </c>
      <c r="X5682" s="168">
        <f t="shared" si="7"/>
        <v>0</v>
      </c>
      <c r="Y5682" s="168">
        <f t="shared" si="8"/>
        <v>0</v>
      </c>
      <c r="Z5682" s="168">
        <f t="shared" si="9"/>
        <v>0</v>
      </c>
    </row>
    <row r="5683" ht="15.0" customHeight="1">
      <c r="A5683" s="157" t="s">
        <v>7189</v>
      </c>
      <c r="B5683" s="158" t="s">
        <v>36</v>
      </c>
      <c r="C5683" s="158" t="s">
        <v>7190</v>
      </c>
      <c r="D5683" s="159">
        <v>45750.0</v>
      </c>
      <c r="E5683" s="157" t="s">
        <v>731</v>
      </c>
      <c r="F5683" s="160">
        <v>43456.2</v>
      </c>
      <c r="G5683" s="160">
        <f>'FACP$'!$F5683*0.16</f>
        <v>6952.992</v>
      </c>
      <c r="H5683" s="160">
        <f t="shared" si="129"/>
        <v>50409.192</v>
      </c>
      <c r="I5683" s="160"/>
      <c r="J5683" s="161"/>
      <c r="K5683" s="160"/>
      <c r="L5683" s="160">
        <f>+'FACP$'!$H5683-'FACP$'!$I5683-'FACP$'!$K5683</f>
        <v>50409.192</v>
      </c>
      <c r="M5683" s="162" t="s">
        <v>7103</v>
      </c>
      <c r="N5683" s="162" t="s">
        <v>554</v>
      </c>
      <c r="O5683" s="164">
        <v>45763.0</v>
      </c>
      <c r="P5683" s="164">
        <f t="array" ref="P5683">XLOOKUP('FACP$'!$B5683,'perfil de pagos'!$A$4:$A$46,'perfil de pagos'!$B$4:$B$46+'FACP$'!$D5683)</f>
        <v>45760</v>
      </c>
      <c r="Q5683" s="165">
        <f t="shared" si="128"/>
        <v>0</v>
      </c>
      <c r="R5683" s="167"/>
      <c r="S5683" s="167">
        <v>3759.0</v>
      </c>
      <c r="T5683" s="168">
        <f t="shared" si="3"/>
        <v>50409.192</v>
      </c>
      <c r="U5683" s="168">
        <f t="shared" si="4"/>
        <v>0</v>
      </c>
      <c r="V5683" s="168">
        <f t="shared" si="5"/>
        <v>0</v>
      </c>
      <c r="W5683" s="168">
        <f t="shared" si="6"/>
        <v>0</v>
      </c>
      <c r="X5683" s="168">
        <f t="shared" si="7"/>
        <v>0</v>
      </c>
      <c r="Y5683" s="168">
        <f t="shared" si="8"/>
        <v>0</v>
      </c>
      <c r="Z5683" s="168">
        <f t="shared" si="9"/>
        <v>0</v>
      </c>
    </row>
    <row r="5684" ht="15.0" customHeight="1">
      <c r="A5684" s="157" t="s">
        <v>7191</v>
      </c>
      <c r="B5684" s="158" t="s">
        <v>42</v>
      </c>
      <c r="C5684" s="158" t="s">
        <v>7181</v>
      </c>
      <c r="D5684" s="159">
        <v>45750.0</v>
      </c>
      <c r="E5684" s="157" t="s">
        <v>731</v>
      </c>
      <c r="F5684" s="160">
        <v>147714.93</v>
      </c>
      <c r="G5684" s="160">
        <f>'FACP$'!$F5684*0.16</f>
        <v>23634.3888</v>
      </c>
      <c r="H5684" s="160">
        <f t="shared" si="129"/>
        <v>171349.3188</v>
      </c>
      <c r="I5684" s="160"/>
      <c r="J5684" s="161"/>
      <c r="K5684" s="160"/>
      <c r="L5684" s="160">
        <f>+'FACP$'!$H5684-'FACP$'!$I5684-'FACP$'!$K5684</f>
        <v>171349.3188</v>
      </c>
      <c r="M5684" s="162" t="s">
        <v>42</v>
      </c>
      <c r="N5684" s="162" t="s">
        <v>554</v>
      </c>
      <c r="O5684" s="164">
        <v>45763.0</v>
      </c>
      <c r="P5684" s="164">
        <f t="array" ref="P5684">XLOOKUP('FACP$'!$B5684,'perfil de pagos'!$A$4:$A$46,'perfil de pagos'!$B$4:$B$46+'FACP$'!$D5684)</f>
        <v>45760</v>
      </c>
      <c r="Q5684" s="165">
        <f t="shared" si="128"/>
        <v>0</v>
      </c>
      <c r="R5684" s="167"/>
      <c r="S5684" s="167">
        <v>3761.0</v>
      </c>
      <c r="T5684" s="168">
        <f t="shared" si="3"/>
        <v>171349.3188</v>
      </c>
      <c r="U5684" s="168">
        <f t="shared" si="4"/>
        <v>0</v>
      </c>
      <c r="V5684" s="168">
        <f t="shared" si="5"/>
        <v>0</v>
      </c>
      <c r="W5684" s="168">
        <f t="shared" si="6"/>
        <v>0</v>
      </c>
      <c r="X5684" s="168">
        <f t="shared" si="7"/>
        <v>0</v>
      </c>
      <c r="Y5684" s="168">
        <f t="shared" si="8"/>
        <v>0</v>
      </c>
      <c r="Z5684" s="168">
        <f t="shared" si="9"/>
        <v>0</v>
      </c>
    </row>
    <row r="5685" ht="15.0" customHeight="1">
      <c r="A5685" s="157" t="s">
        <v>7192</v>
      </c>
      <c r="B5685" s="158" t="s">
        <v>27</v>
      </c>
      <c r="C5685" s="158" t="s">
        <v>7181</v>
      </c>
      <c r="D5685" s="159">
        <v>45750.0</v>
      </c>
      <c r="E5685" s="157" t="s">
        <v>731</v>
      </c>
      <c r="F5685" s="160">
        <v>14436.18</v>
      </c>
      <c r="G5685" s="160">
        <f>'FACP$'!$F5685*0.16</f>
        <v>2309.7888</v>
      </c>
      <c r="H5685" s="160">
        <f t="shared" si="129"/>
        <v>16745.9688</v>
      </c>
      <c r="I5685" s="160"/>
      <c r="J5685" s="161"/>
      <c r="K5685" s="160"/>
      <c r="L5685" s="160">
        <f>+'FACP$'!$H5685-'FACP$'!$I5685-'FACP$'!$K5685</f>
        <v>16745.9688</v>
      </c>
      <c r="M5685" s="162" t="s">
        <v>158</v>
      </c>
      <c r="N5685" s="162"/>
      <c r="O5685" s="164"/>
      <c r="P5685" s="164">
        <f t="array" ref="P5685">XLOOKUP('FACP$'!$B5685,'perfil de pagos'!$A$4:$A$46,'perfil de pagos'!$B$4:$B$46+'FACP$'!$D5685)</f>
        <v>45780</v>
      </c>
      <c r="Q5685" s="165">
        <f t="shared" si="128"/>
        <v>9</v>
      </c>
      <c r="R5685" s="167"/>
      <c r="S5685" s="167"/>
      <c r="T5685" s="168">
        <f t="shared" si="3"/>
        <v>0</v>
      </c>
      <c r="U5685" s="168">
        <f t="shared" si="4"/>
        <v>16745.9688</v>
      </c>
      <c r="V5685" s="168">
        <f t="shared" si="5"/>
        <v>0</v>
      </c>
      <c r="W5685" s="168">
        <f t="shared" si="6"/>
        <v>0</v>
      </c>
      <c r="X5685" s="168">
        <f t="shared" si="7"/>
        <v>0</v>
      </c>
      <c r="Y5685" s="168">
        <f t="shared" si="8"/>
        <v>0</v>
      </c>
      <c r="Z5685" s="168">
        <f t="shared" si="9"/>
        <v>0</v>
      </c>
    </row>
    <row r="5686" ht="15.0" customHeight="1">
      <c r="A5686" s="157" t="s">
        <v>7193</v>
      </c>
      <c r="B5686" s="158" t="s">
        <v>27</v>
      </c>
      <c r="C5686" s="158" t="s">
        <v>7190</v>
      </c>
      <c r="D5686" s="159">
        <v>45750.0</v>
      </c>
      <c r="E5686" s="157" t="s">
        <v>731</v>
      </c>
      <c r="F5686" s="160">
        <v>7800.23</v>
      </c>
      <c r="G5686" s="160">
        <f>'FACP$'!$F5686*0.16</f>
        <v>1248.0368</v>
      </c>
      <c r="H5686" s="160">
        <f t="shared" si="129"/>
        <v>9048.2668</v>
      </c>
      <c r="I5686" s="160"/>
      <c r="J5686" s="161"/>
      <c r="K5686" s="160"/>
      <c r="L5686" s="160">
        <f>+'FACP$'!$H5686-'FACP$'!$I5686-'FACP$'!$K5686</f>
        <v>9048.2668</v>
      </c>
      <c r="M5686" s="162" t="s">
        <v>158</v>
      </c>
      <c r="N5686" s="162"/>
      <c r="O5686" s="164"/>
      <c r="P5686" s="164">
        <f t="array" ref="P5686">XLOOKUP('FACP$'!$B5686,'perfil de pagos'!$A$4:$A$46,'perfil de pagos'!$B$4:$B$46+'FACP$'!$D5686)</f>
        <v>45780</v>
      </c>
      <c r="Q5686" s="165">
        <f t="shared" si="128"/>
        <v>9</v>
      </c>
      <c r="R5686" s="167"/>
      <c r="S5686" s="167"/>
      <c r="T5686" s="168">
        <f t="shared" si="3"/>
        <v>0</v>
      </c>
      <c r="U5686" s="168">
        <f t="shared" si="4"/>
        <v>9048.2668</v>
      </c>
      <c r="V5686" s="168">
        <f t="shared" si="5"/>
        <v>0</v>
      </c>
      <c r="W5686" s="168">
        <f t="shared" si="6"/>
        <v>0</v>
      </c>
      <c r="X5686" s="168">
        <f t="shared" si="7"/>
        <v>0</v>
      </c>
      <c r="Y5686" s="168">
        <f t="shared" si="8"/>
        <v>0</v>
      </c>
      <c r="Z5686" s="168">
        <f t="shared" si="9"/>
        <v>0</v>
      </c>
    </row>
    <row r="5687" ht="15.0" customHeight="1">
      <c r="A5687" s="157" t="s">
        <v>7194</v>
      </c>
      <c r="B5687" s="158" t="s">
        <v>38</v>
      </c>
      <c r="C5687" s="158" t="s">
        <v>7181</v>
      </c>
      <c r="D5687" s="159">
        <v>45754.0</v>
      </c>
      <c r="E5687" s="157" t="s">
        <v>731</v>
      </c>
      <c r="F5687" s="160">
        <v>148340.57</v>
      </c>
      <c r="G5687" s="160">
        <f>'FACP$'!$F5687*0.16</f>
        <v>23734.4912</v>
      </c>
      <c r="H5687" s="160">
        <f t="shared" si="129"/>
        <v>172075.0612</v>
      </c>
      <c r="I5687" s="160"/>
      <c r="J5687" s="161"/>
      <c r="K5687" s="160"/>
      <c r="L5687" s="160">
        <f>+'FACP$'!$H5687-'FACP$'!$I5687-'FACP$'!$K5687</f>
        <v>172075.0612</v>
      </c>
      <c r="M5687" s="162" t="s">
        <v>4654</v>
      </c>
      <c r="N5687" s="162"/>
      <c r="O5687" s="164"/>
      <c r="P5687" s="164">
        <f t="array" ref="P5687">XLOOKUP('FACP$'!$B5687,'perfil de pagos'!$A$4:$A$46,'perfil de pagos'!$B$4:$B$46+'FACP$'!$D5687)</f>
        <v>45784</v>
      </c>
      <c r="Q5687" s="165">
        <f t="shared" si="128"/>
        <v>5</v>
      </c>
      <c r="R5687" s="167"/>
      <c r="S5687" s="167"/>
      <c r="T5687" s="168">
        <f t="shared" si="3"/>
        <v>0</v>
      </c>
      <c r="U5687" s="168">
        <f t="shared" si="4"/>
        <v>172075.0612</v>
      </c>
      <c r="V5687" s="168">
        <f t="shared" si="5"/>
        <v>0</v>
      </c>
      <c r="W5687" s="168">
        <f t="shared" si="6"/>
        <v>0</v>
      </c>
      <c r="X5687" s="168">
        <f t="shared" si="7"/>
        <v>0</v>
      </c>
      <c r="Y5687" s="168">
        <f t="shared" si="8"/>
        <v>0</v>
      </c>
      <c r="Z5687" s="168">
        <f t="shared" si="9"/>
        <v>0</v>
      </c>
    </row>
    <row r="5688" ht="15.0" customHeight="1">
      <c r="A5688" s="157" t="s">
        <v>7195</v>
      </c>
      <c r="B5688" s="158" t="s">
        <v>16</v>
      </c>
      <c r="C5688" s="158" t="s">
        <v>7181</v>
      </c>
      <c r="D5688" s="159">
        <v>45754.0</v>
      </c>
      <c r="E5688" s="157" t="s">
        <v>731</v>
      </c>
      <c r="F5688" s="160">
        <v>424130.72</v>
      </c>
      <c r="G5688" s="160">
        <f>'FACP$'!$F5688*0.16</f>
        <v>67860.9152</v>
      </c>
      <c r="H5688" s="160">
        <f t="shared" si="129"/>
        <v>491991.6352</v>
      </c>
      <c r="I5688" s="160"/>
      <c r="J5688" s="161"/>
      <c r="K5688" s="160"/>
      <c r="L5688" s="160">
        <f>+'FACP$'!$H5688-'FACP$'!$I5688-'FACP$'!$K5688</f>
        <v>491991.6352</v>
      </c>
      <c r="M5688" s="162" t="s">
        <v>985</v>
      </c>
      <c r="N5688" s="162" t="s">
        <v>554</v>
      </c>
      <c r="O5688" s="164">
        <v>45758.0</v>
      </c>
      <c r="P5688" s="164">
        <f t="array" ref="P5688">XLOOKUP('FACP$'!$B5688,'perfil de pagos'!$A$4:$A$46,'perfil de pagos'!$B$4:$B$46+'FACP$'!$D5688)</f>
        <v>45764</v>
      </c>
      <c r="Q5688" s="165">
        <f t="shared" si="128"/>
        <v>0</v>
      </c>
      <c r="R5688" s="167"/>
      <c r="S5688" s="167">
        <v>3747.0</v>
      </c>
      <c r="T5688" s="168">
        <f t="shared" si="3"/>
        <v>491991.6352</v>
      </c>
      <c r="U5688" s="168">
        <f t="shared" si="4"/>
        <v>0</v>
      </c>
      <c r="V5688" s="168">
        <f t="shared" si="5"/>
        <v>0</v>
      </c>
      <c r="W5688" s="168">
        <f t="shared" si="6"/>
        <v>0</v>
      </c>
      <c r="X5688" s="168">
        <f t="shared" si="7"/>
        <v>0</v>
      </c>
      <c r="Y5688" s="168">
        <f t="shared" si="8"/>
        <v>0</v>
      </c>
      <c r="Z5688" s="168">
        <f t="shared" si="9"/>
        <v>0</v>
      </c>
    </row>
    <row r="5689" ht="15.0" customHeight="1">
      <c r="A5689" s="157" t="s">
        <v>7196</v>
      </c>
      <c r="B5689" s="158" t="s">
        <v>16</v>
      </c>
      <c r="C5689" s="158" t="s">
        <v>7179</v>
      </c>
      <c r="D5689" s="159">
        <v>45754.0</v>
      </c>
      <c r="E5689" s="157" t="s">
        <v>731</v>
      </c>
      <c r="F5689" s="160">
        <v>490242.08</v>
      </c>
      <c r="G5689" s="160">
        <f>'FACP$'!$F5689*0.16</f>
        <v>78438.7328</v>
      </c>
      <c r="H5689" s="160">
        <f t="shared" si="129"/>
        <v>568680.8128</v>
      </c>
      <c r="I5689" s="160"/>
      <c r="J5689" s="161"/>
      <c r="K5689" s="160"/>
      <c r="L5689" s="160">
        <f>+'FACP$'!$H5689-'FACP$'!$I5689-'FACP$'!$K5689</f>
        <v>568680.8128</v>
      </c>
      <c r="M5689" s="162" t="s">
        <v>985</v>
      </c>
      <c r="N5689" s="162" t="s">
        <v>554</v>
      </c>
      <c r="O5689" s="164">
        <v>45758.0</v>
      </c>
      <c r="P5689" s="164">
        <f t="array" ref="P5689">XLOOKUP('FACP$'!$B5689,'perfil de pagos'!$A$4:$A$46,'perfil de pagos'!$B$4:$B$46+'FACP$'!$D5689)</f>
        <v>45764</v>
      </c>
      <c r="Q5689" s="165">
        <f t="shared" si="128"/>
        <v>0</v>
      </c>
      <c r="R5689" s="167"/>
      <c r="S5689" s="167">
        <v>3747.0</v>
      </c>
      <c r="T5689" s="168">
        <f t="shared" si="3"/>
        <v>568680.8128</v>
      </c>
      <c r="U5689" s="168">
        <f t="shared" si="4"/>
        <v>0</v>
      </c>
      <c r="V5689" s="168">
        <f t="shared" si="5"/>
        <v>0</v>
      </c>
      <c r="W5689" s="168">
        <f t="shared" si="6"/>
        <v>0</v>
      </c>
      <c r="X5689" s="168">
        <f t="shared" si="7"/>
        <v>0</v>
      </c>
      <c r="Y5689" s="168">
        <f t="shared" si="8"/>
        <v>0</v>
      </c>
      <c r="Z5689" s="168">
        <f t="shared" si="9"/>
        <v>0</v>
      </c>
    </row>
    <row r="5690" ht="15.0" customHeight="1">
      <c r="A5690" s="157" t="s">
        <v>7197</v>
      </c>
      <c r="B5690" s="158" t="s">
        <v>18</v>
      </c>
      <c r="C5690" s="158" t="s">
        <v>7181</v>
      </c>
      <c r="D5690" s="159">
        <v>45754.0</v>
      </c>
      <c r="E5690" s="157" t="s">
        <v>731</v>
      </c>
      <c r="F5690" s="160">
        <v>117718.53</v>
      </c>
      <c r="G5690" s="160">
        <f>'FACP$'!$F5690*0.16</f>
        <v>18834.9648</v>
      </c>
      <c r="H5690" s="160">
        <f t="shared" si="129"/>
        <v>136553.4948</v>
      </c>
      <c r="I5690" s="160"/>
      <c r="J5690" s="161"/>
      <c r="K5690" s="160"/>
      <c r="L5690" s="160">
        <f>+'FACP$'!$H5690-'FACP$'!$I5690-'FACP$'!$K5690</f>
        <v>136553.4948</v>
      </c>
      <c r="M5690" s="162" t="s">
        <v>586</v>
      </c>
      <c r="N5690" s="162" t="s">
        <v>554</v>
      </c>
      <c r="O5690" s="164">
        <v>45775.0</v>
      </c>
      <c r="P5690" s="164">
        <f t="array" ref="P5690">XLOOKUP('FACP$'!$B5690,'perfil de pagos'!$A$4:$A$46,'perfil de pagos'!$B$4:$B$46+'FACP$'!$D5690)</f>
        <v>45764</v>
      </c>
      <c r="Q5690" s="165">
        <f t="shared" si="128"/>
        <v>0</v>
      </c>
      <c r="R5690" s="167"/>
      <c r="S5690" s="167">
        <v>3780.0</v>
      </c>
      <c r="T5690" s="168">
        <f t="shared" si="3"/>
        <v>136553.4948</v>
      </c>
      <c r="U5690" s="168">
        <f t="shared" si="4"/>
        <v>0</v>
      </c>
      <c r="V5690" s="168">
        <f t="shared" si="5"/>
        <v>0</v>
      </c>
      <c r="W5690" s="168">
        <f t="shared" si="6"/>
        <v>0</v>
      </c>
      <c r="X5690" s="168">
        <f t="shared" si="7"/>
        <v>0</v>
      </c>
      <c r="Y5690" s="168">
        <f t="shared" si="8"/>
        <v>0</v>
      </c>
      <c r="Z5690" s="168">
        <f t="shared" si="9"/>
        <v>0</v>
      </c>
    </row>
    <row r="5691" ht="15.0" customHeight="1">
      <c r="A5691" s="157" t="s">
        <v>7198</v>
      </c>
      <c r="B5691" s="158" t="s">
        <v>19</v>
      </c>
      <c r="C5691" s="158" t="s">
        <v>7181</v>
      </c>
      <c r="D5691" s="159">
        <v>45754.0</v>
      </c>
      <c r="E5691" s="157" t="s">
        <v>731</v>
      </c>
      <c r="F5691" s="160">
        <v>257989.34</v>
      </c>
      <c r="G5691" s="160">
        <f>'FACP$'!$F5691*0.16</f>
        <v>41278.2944</v>
      </c>
      <c r="H5691" s="160">
        <f t="shared" si="129"/>
        <v>299267.6344</v>
      </c>
      <c r="I5691" s="160"/>
      <c r="J5691" s="161"/>
      <c r="K5691" s="160"/>
      <c r="L5691" s="160">
        <f>+'FACP$'!$H5691-'FACP$'!$I5691-'FACP$'!$K5691</f>
        <v>299267.6344</v>
      </c>
      <c r="M5691" s="162" t="s">
        <v>732</v>
      </c>
      <c r="N5691" s="162"/>
      <c r="O5691" s="164"/>
      <c r="P5691" s="164">
        <f t="array" ref="P5691">XLOOKUP('FACP$'!$B5691,'perfil de pagos'!$A$4:$A$46,'perfil de pagos'!$B$4:$B$46+'FACP$'!$D5691)</f>
        <v>45764</v>
      </c>
      <c r="Q5691" s="165">
        <f t="shared" si="128"/>
        <v>25</v>
      </c>
      <c r="R5691" s="167"/>
      <c r="S5691" s="167"/>
      <c r="T5691" s="168">
        <f t="shared" si="3"/>
        <v>0</v>
      </c>
      <c r="U5691" s="168">
        <f t="shared" si="4"/>
        <v>0</v>
      </c>
      <c r="V5691" s="168">
        <f t="shared" si="5"/>
        <v>299267.6344</v>
      </c>
      <c r="W5691" s="168">
        <f t="shared" si="6"/>
        <v>0</v>
      </c>
      <c r="X5691" s="168">
        <f t="shared" si="7"/>
        <v>0</v>
      </c>
      <c r="Y5691" s="168">
        <f t="shared" si="8"/>
        <v>0</v>
      </c>
      <c r="Z5691" s="168">
        <f t="shared" si="9"/>
        <v>0</v>
      </c>
    </row>
    <row r="5692" ht="15.0" customHeight="1">
      <c r="A5692" s="157" t="s">
        <v>7199</v>
      </c>
      <c r="B5692" s="158" t="s">
        <v>25</v>
      </c>
      <c r="C5692" s="158" t="s">
        <v>7181</v>
      </c>
      <c r="D5692" s="159">
        <v>45754.0</v>
      </c>
      <c r="E5692" s="157" t="s">
        <v>731</v>
      </c>
      <c r="F5692" s="160">
        <v>80523.17</v>
      </c>
      <c r="G5692" s="160">
        <f>'FACP$'!$F5692*0.16</f>
        <v>12883.7072</v>
      </c>
      <c r="H5692" s="160">
        <f t="shared" si="129"/>
        <v>93406.8772</v>
      </c>
      <c r="I5692" s="160"/>
      <c r="J5692" s="161"/>
      <c r="K5692" s="160"/>
      <c r="L5692" s="160">
        <f>+'FACP$'!$H5692-'FACP$'!$I5692-'FACP$'!$K5692</f>
        <v>93406.8772</v>
      </c>
      <c r="M5692" s="162" t="s">
        <v>4388</v>
      </c>
      <c r="N5692" s="162" t="s">
        <v>554</v>
      </c>
      <c r="O5692" s="164">
        <v>45763.0</v>
      </c>
      <c r="P5692" s="164">
        <f t="array" ref="P5692">XLOOKUP('FACP$'!$B5692,'perfil de pagos'!$A$4:$A$46,'perfil de pagos'!$B$4:$B$46+'FACP$'!$D5692)</f>
        <v>45764</v>
      </c>
      <c r="Q5692" s="165">
        <f t="shared" si="128"/>
        <v>0</v>
      </c>
      <c r="R5692" s="167"/>
      <c r="S5692" s="167">
        <v>3766.0</v>
      </c>
      <c r="T5692" s="168">
        <f t="shared" si="3"/>
        <v>93406.8772</v>
      </c>
      <c r="U5692" s="168">
        <f t="shared" si="4"/>
        <v>0</v>
      </c>
      <c r="V5692" s="168">
        <f t="shared" si="5"/>
        <v>0</v>
      </c>
      <c r="W5692" s="168">
        <f t="shared" si="6"/>
        <v>0</v>
      </c>
      <c r="X5692" s="168">
        <f t="shared" si="7"/>
        <v>0</v>
      </c>
      <c r="Y5692" s="168">
        <f t="shared" si="8"/>
        <v>0</v>
      </c>
      <c r="Z5692" s="168">
        <f t="shared" si="9"/>
        <v>0</v>
      </c>
    </row>
    <row r="5693" ht="15.0" customHeight="1">
      <c r="A5693" s="157" t="s">
        <v>7200</v>
      </c>
      <c r="B5693" s="158" t="s">
        <v>37</v>
      </c>
      <c r="C5693" s="158" t="s">
        <v>7181</v>
      </c>
      <c r="D5693" s="159">
        <v>45754.0</v>
      </c>
      <c r="E5693" s="157" t="s">
        <v>731</v>
      </c>
      <c r="F5693" s="160">
        <v>2132426.21</v>
      </c>
      <c r="G5693" s="160">
        <f>'FACP$'!$F5693*0.16</f>
        <v>341188.1936</v>
      </c>
      <c r="H5693" s="160">
        <f t="shared" si="129"/>
        <v>2473614.404</v>
      </c>
      <c r="I5693" s="160"/>
      <c r="J5693" s="161"/>
      <c r="K5693" s="160"/>
      <c r="L5693" s="160">
        <f>+'FACP$'!$H5693-'FACP$'!$I5693-'FACP$'!$K5693</f>
        <v>2473614.404</v>
      </c>
      <c r="M5693" s="162" t="s">
        <v>116</v>
      </c>
      <c r="N5693" s="162" t="s">
        <v>554</v>
      </c>
      <c r="O5693" s="164">
        <v>45768.0</v>
      </c>
      <c r="P5693" s="164">
        <f t="array" ref="P5693">XLOOKUP('FACP$'!$B5693,'perfil de pagos'!$A$4:$A$46,'perfil de pagos'!$B$4:$B$46+'FACP$'!$D5693)</f>
        <v>45764</v>
      </c>
      <c r="Q5693" s="165">
        <f t="shared" si="128"/>
        <v>0</v>
      </c>
      <c r="R5693" s="167"/>
      <c r="S5693" s="167">
        <v>3764.0</v>
      </c>
      <c r="T5693" s="168">
        <f t="shared" si="3"/>
        <v>2473614.404</v>
      </c>
      <c r="U5693" s="168">
        <f t="shared" si="4"/>
        <v>0</v>
      </c>
      <c r="V5693" s="168">
        <f t="shared" si="5"/>
        <v>0</v>
      </c>
      <c r="W5693" s="168">
        <f t="shared" si="6"/>
        <v>0</v>
      </c>
      <c r="X5693" s="168">
        <f t="shared" si="7"/>
        <v>0</v>
      </c>
      <c r="Y5693" s="168">
        <f t="shared" si="8"/>
        <v>0</v>
      </c>
      <c r="Z5693" s="168">
        <f t="shared" si="9"/>
        <v>0</v>
      </c>
    </row>
    <row r="5694" ht="15.0" customHeight="1">
      <c r="A5694" s="157" t="s">
        <v>7201</v>
      </c>
      <c r="B5694" s="158" t="s">
        <v>40</v>
      </c>
      <c r="C5694" s="158" t="s">
        <v>7181</v>
      </c>
      <c r="D5694" s="159">
        <v>45754.0</v>
      </c>
      <c r="E5694" s="157" t="s">
        <v>731</v>
      </c>
      <c r="F5694" s="160">
        <v>383610.28</v>
      </c>
      <c r="G5694" s="160">
        <f>'FACP$'!$F5694*0.16</f>
        <v>61377.6448</v>
      </c>
      <c r="H5694" s="160">
        <f t="shared" si="129"/>
        <v>444987.9248</v>
      </c>
      <c r="I5694" s="160"/>
      <c r="J5694" s="161"/>
      <c r="K5694" s="160"/>
      <c r="L5694" s="160">
        <f>+'FACP$'!$H5694-'FACP$'!$I5694-'FACP$'!$K5694</f>
        <v>444987.9248</v>
      </c>
      <c r="M5694" s="162" t="s">
        <v>490</v>
      </c>
      <c r="N5694" s="162"/>
      <c r="O5694" s="164"/>
      <c r="P5694" s="164">
        <f t="array" ref="P5694">XLOOKUP('FACP$'!$B5694,'perfil de pagos'!$A$4:$A$46,'perfil de pagos'!$B$4:$B$46+'FACP$'!$D5694)</f>
        <v>45784</v>
      </c>
      <c r="Q5694" s="165">
        <f t="shared" si="128"/>
        <v>5</v>
      </c>
      <c r="R5694" s="167"/>
      <c r="S5694" s="167"/>
      <c r="T5694" s="168">
        <f t="shared" si="3"/>
        <v>0</v>
      </c>
      <c r="U5694" s="168">
        <f t="shared" si="4"/>
        <v>444987.9248</v>
      </c>
      <c r="V5694" s="168">
        <f t="shared" si="5"/>
        <v>0</v>
      </c>
      <c r="W5694" s="168">
        <f t="shared" si="6"/>
        <v>0</v>
      </c>
      <c r="X5694" s="168">
        <f t="shared" si="7"/>
        <v>0</v>
      </c>
      <c r="Y5694" s="168">
        <f t="shared" si="8"/>
        <v>0</v>
      </c>
      <c r="Z5694" s="168">
        <f t="shared" si="9"/>
        <v>0</v>
      </c>
    </row>
    <row r="5695" ht="15.0" customHeight="1">
      <c r="A5695" s="157" t="s">
        <v>7202</v>
      </c>
      <c r="B5695" s="158" t="s">
        <v>40</v>
      </c>
      <c r="C5695" s="158" t="s">
        <v>7190</v>
      </c>
      <c r="D5695" s="159">
        <v>45754.0</v>
      </c>
      <c r="E5695" s="157" t="s">
        <v>731</v>
      </c>
      <c r="F5695" s="160">
        <v>284471.75</v>
      </c>
      <c r="G5695" s="160">
        <f>'FACP$'!$F5695*0.16</f>
        <v>45515.48</v>
      </c>
      <c r="H5695" s="160">
        <f t="shared" si="129"/>
        <v>329987.23</v>
      </c>
      <c r="I5695" s="160"/>
      <c r="J5695" s="161"/>
      <c r="K5695" s="160"/>
      <c r="L5695" s="160">
        <f>+'FACP$'!$H5695-'FACP$'!$I5695-'FACP$'!$K5695</f>
        <v>329987.23</v>
      </c>
      <c r="M5695" s="162" t="s">
        <v>490</v>
      </c>
      <c r="N5695" s="162"/>
      <c r="O5695" s="164"/>
      <c r="P5695" s="164">
        <f t="array" ref="P5695">XLOOKUP('FACP$'!$B5695,'perfil de pagos'!$A$4:$A$46,'perfil de pagos'!$B$4:$B$46+'FACP$'!$D5695)</f>
        <v>45784</v>
      </c>
      <c r="Q5695" s="165">
        <f t="shared" si="128"/>
        <v>5</v>
      </c>
      <c r="R5695" s="167"/>
      <c r="S5695" s="167"/>
      <c r="T5695" s="168">
        <f t="shared" si="3"/>
        <v>0</v>
      </c>
      <c r="U5695" s="168">
        <f t="shared" si="4"/>
        <v>329987.23</v>
      </c>
      <c r="V5695" s="168">
        <f t="shared" si="5"/>
        <v>0</v>
      </c>
      <c r="W5695" s="168">
        <f t="shared" si="6"/>
        <v>0</v>
      </c>
      <c r="X5695" s="168">
        <f t="shared" si="7"/>
        <v>0</v>
      </c>
      <c r="Y5695" s="168">
        <f t="shared" si="8"/>
        <v>0</v>
      </c>
      <c r="Z5695" s="168">
        <f t="shared" si="9"/>
        <v>0</v>
      </c>
    </row>
    <row r="5696" ht="15.0" customHeight="1">
      <c r="A5696" s="157" t="s">
        <v>7203</v>
      </c>
      <c r="B5696" s="158" t="s">
        <v>22</v>
      </c>
      <c r="C5696" s="158" t="s">
        <v>7204</v>
      </c>
      <c r="D5696" s="159">
        <v>45754.0</v>
      </c>
      <c r="E5696" s="157" t="s">
        <v>731</v>
      </c>
      <c r="F5696" s="160">
        <v>146874.79</v>
      </c>
      <c r="G5696" s="160">
        <f>'FACP$'!$F5696*0.16</f>
        <v>23499.9664</v>
      </c>
      <c r="H5696" s="160">
        <f t="shared" si="129"/>
        <v>170374.7564</v>
      </c>
      <c r="I5696" s="160"/>
      <c r="J5696" s="161"/>
      <c r="K5696" s="160"/>
      <c r="L5696" s="160">
        <f>+'FACP$'!$H5696-'FACP$'!$I5696-'FACP$'!$K5696</f>
        <v>170374.7564</v>
      </c>
      <c r="M5696" s="162" t="s">
        <v>6823</v>
      </c>
      <c r="N5696" s="162"/>
      <c r="O5696" s="164"/>
      <c r="P5696" s="164">
        <f t="array" ref="P5696">XLOOKUP('FACP$'!$B5696,'perfil de pagos'!$A$4:$A$46,'perfil de pagos'!$B$4:$B$46+'FACP$'!$D5696)</f>
        <v>45764</v>
      </c>
      <c r="Q5696" s="165">
        <f t="shared" si="128"/>
        <v>25</v>
      </c>
      <c r="R5696" s="167"/>
      <c r="S5696" s="167"/>
      <c r="T5696" s="168">
        <f t="shared" si="3"/>
        <v>0</v>
      </c>
      <c r="U5696" s="168">
        <f t="shared" si="4"/>
        <v>0</v>
      </c>
      <c r="V5696" s="168">
        <f t="shared" si="5"/>
        <v>170374.7564</v>
      </c>
      <c r="W5696" s="168">
        <f t="shared" si="6"/>
        <v>0</v>
      </c>
      <c r="X5696" s="168">
        <f t="shared" si="7"/>
        <v>0</v>
      </c>
      <c r="Y5696" s="168">
        <f t="shared" si="8"/>
        <v>0</v>
      </c>
      <c r="Z5696" s="168">
        <f t="shared" si="9"/>
        <v>0</v>
      </c>
    </row>
    <row r="5697" ht="15.0" customHeight="1">
      <c r="A5697" s="157" t="s">
        <v>7205</v>
      </c>
      <c r="B5697" s="158" t="s">
        <v>22</v>
      </c>
      <c r="C5697" s="158" t="s">
        <v>7204</v>
      </c>
      <c r="D5697" s="159">
        <v>45754.0</v>
      </c>
      <c r="E5697" s="157" t="s">
        <v>731</v>
      </c>
      <c r="F5697" s="160">
        <v>254867.89</v>
      </c>
      <c r="G5697" s="160">
        <f>'FACP$'!$F5697*0.16</f>
        <v>40778.8624</v>
      </c>
      <c r="H5697" s="160">
        <f t="shared" si="129"/>
        <v>295646.7524</v>
      </c>
      <c r="I5697" s="160"/>
      <c r="J5697" s="161"/>
      <c r="K5697" s="160"/>
      <c r="L5697" s="160">
        <f>+'FACP$'!$H5697-'FACP$'!$I5697-'FACP$'!$K5697</f>
        <v>295646.7524</v>
      </c>
      <c r="M5697" s="162" t="s">
        <v>6695</v>
      </c>
      <c r="N5697" s="162"/>
      <c r="O5697" s="164"/>
      <c r="P5697" s="164">
        <f t="array" ref="P5697">XLOOKUP('FACP$'!$B5697,'perfil de pagos'!$A$4:$A$46,'perfil de pagos'!$B$4:$B$46+'FACP$'!$D5697)</f>
        <v>45764</v>
      </c>
      <c r="Q5697" s="165">
        <f t="shared" si="128"/>
        <v>25</v>
      </c>
      <c r="R5697" s="167"/>
      <c r="S5697" s="167"/>
      <c r="T5697" s="168">
        <f t="shared" si="3"/>
        <v>0</v>
      </c>
      <c r="U5697" s="168">
        <f t="shared" si="4"/>
        <v>0</v>
      </c>
      <c r="V5697" s="168">
        <f t="shared" si="5"/>
        <v>295646.7524</v>
      </c>
      <c r="W5697" s="168">
        <f t="shared" si="6"/>
        <v>0</v>
      </c>
      <c r="X5697" s="168">
        <f t="shared" si="7"/>
        <v>0</v>
      </c>
      <c r="Y5697" s="168">
        <f t="shared" si="8"/>
        <v>0</v>
      </c>
      <c r="Z5697" s="168">
        <f t="shared" si="9"/>
        <v>0</v>
      </c>
    </row>
    <row r="5698" ht="15.0" customHeight="1">
      <c r="A5698" s="157" t="s">
        <v>7206</v>
      </c>
      <c r="B5698" s="158" t="s">
        <v>22</v>
      </c>
      <c r="C5698" s="158" t="s">
        <v>7204</v>
      </c>
      <c r="D5698" s="159">
        <v>45754.0</v>
      </c>
      <c r="E5698" s="157" t="s">
        <v>731</v>
      </c>
      <c r="F5698" s="160">
        <v>272183.72</v>
      </c>
      <c r="G5698" s="160">
        <f>'FACP$'!$F5698*0.16</f>
        <v>43549.3952</v>
      </c>
      <c r="H5698" s="160">
        <f t="shared" si="129"/>
        <v>315733.1152</v>
      </c>
      <c r="I5698" s="160"/>
      <c r="J5698" s="161"/>
      <c r="K5698" s="160"/>
      <c r="L5698" s="160">
        <f>+'FACP$'!$H5698-'FACP$'!$I5698-'FACP$'!$K5698</f>
        <v>315733.1152</v>
      </c>
      <c r="M5698" s="162" t="s">
        <v>6693</v>
      </c>
      <c r="N5698" s="162"/>
      <c r="O5698" s="164"/>
      <c r="P5698" s="164">
        <f t="array" ref="P5698">XLOOKUP('FACP$'!$B5698,'perfil de pagos'!$A$4:$A$46,'perfil de pagos'!$B$4:$B$46+'FACP$'!$D5698)</f>
        <v>45764</v>
      </c>
      <c r="Q5698" s="165">
        <f t="shared" si="128"/>
        <v>25</v>
      </c>
      <c r="R5698" s="167"/>
      <c r="S5698" s="167"/>
      <c r="T5698" s="168">
        <f t="shared" si="3"/>
        <v>0</v>
      </c>
      <c r="U5698" s="168">
        <f t="shared" si="4"/>
        <v>0</v>
      </c>
      <c r="V5698" s="168">
        <f t="shared" si="5"/>
        <v>315733.1152</v>
      </c>
      <c r="W5698" s="168">
        <f t="shared" si="6"/>
        <v>0</v>
      </c>
      <c r="X5698" s="168">
        <f t="shared" si="7"/>
        <v>0</v>
      </c>
      <c r="Y5698" s="168">
        <f t="shared" si="8"/>
        <v>0</v>
      </c>
      <c r="Z5698" s="168">
        <f t="shared" si="9"/>
        <v>0</v>
      </c>
    </row>
    <row r="5699" ht="15.0" customHeight="1">
      <c r="A5699" s="157" t="s">
        <v>7207</v>
      </c>
      <c r="B5699" s="158" t="s">
        <v>38</v>
      </c>
      <c r="C5699" s="158" t="s">
        <v>7181</v>
      </c>
      <c r="D5699" s="159">
        <v>45754.0</v>
      </c>
      <c r="E5699" s="157" t="s">
        <v>731</v>
      </c>
      <c r="F5699" s="160">
        <v>644011.53</v>
      </c>
      <c r="G5699" s="160">
        <f>'FACP$'!$F5699*0.16</f>
        <v>103041.8448</v>
      </c>
      <c r="H5699" s="160">
        <f t="shared" si="129"/>
        <v>747053.3748</v>
      </c>
      <c r="I5699" s="160"/>
      <c r="J5699" s="161"/>
      <c r="K5699" s="160"/>
      <c r="L5699" s="160">
        <f>+'FACP$'!$H5699-'FACP$'!$I5699-'FACP$'!$K5699</f>
        <v>747053.3748</v>
      </c>
      <c r="M5699" s="162" t="s">
        <v>145</v>
      </c>
      <c r="N5699" s="162"/>
      <c r="O5699" s="164"/>
      <c r="P5699" s="164">
        <f t="array" ref="P5699">XLOOKUP('FACP$'!$B5699,'perfil de pagos'!$A$4:$A$46,'perfil de pagos'!$B$4:$B$46+'FACP$'!$D5699)</f>
        <v>45784</v>
      </c>
      <c r="Q5699" s="165">
        <f t="shared" si="128"/>
        <v>5</v>
      </c>
      <c r="R5699" s="167"/>
      <c r="S5699" s="167"/>
      <c r="T5699" s="168">
        <f t="shared" si="3"/>
        <v>0</v>
      </c>
      <c r="U5699" s="168">
        <f t="shared" si="4"/>
        <v>747053.3748</v>
      </c>
      <c r="V5699" s="168">
        <f t="shared" si="5"/>
        <v>0</v>
      </c>
      <c r="W5699" s="168">
        <f t="shared" si="6"/>
        <v>0</v>
      </c>
      <c r="X5699" s="168">
        <f t="shared" si="7"/>
        <v>0</v>
      </c>
      <c r="Y5699" s="168">
        <f t="shared" si="8"/>
        <v>0</v>
      </c>
      <c r="Z5699" s="168">
        <f t="shared" si="9"/>
        <v>0</v>
      </c>
    </row>
    <row r="5700" ht="15.0" customHeight="1">
      <c r="A5700" s="157" t="s">
        <v>7208</v>
      </c>
      <c r="B5700" s="158" t="s">
        <v>54</v>
      </c>
      <c r="C5700" s="158" t="s">
        <v>7181</v>
      </c>
      <c r="D5700" s="159">
        <v>45754.0</v>
      </c>
      <c r="E5700" s="157" t="s">
        <v>731</v>
      </c>
      <c r="F5700" s="160">
        <v>370355.42</v>
      </c>
      <c r="G5700" s="160">
        <f>'FACP$'!$F5700*0.16</f>
        <v>59256.8672</v>
      </c>
      <c r="H5700" s="160">
        <f t="shared" si="129"/>
        <v>429612.2872</v>
      </c>
      <c r="I5700" s="160"/>
      <c r="J5700" s="161"/>
      <c r="K5700" s="160"/>
      <c r="L5700" s="160">
        <f>+'FACP$'!$H5700-'FACP$'!$I5700-'FACP$'!$K5700</f>
        <v>429612.2872</v>
      </c>
      <c r="M5700" s="162" t="s">
        <v>7209</v>
      </c>
      <c r="N5700" s="162"/>
      <c r="O5700" s="164"/>
      <c r="P5700" s="164">
        <f t="array" ref="P5700">XLOOKUP('FACP$'!$B5700,'perfil de pagos'!$A$4:$A$46,'perfil de pagos'!$B$4:$B$46+'FACP$'!$D5700)</f>
        <v>45814</v>
      </c>
      <c r="Q5700" s="165">
        <f t="shared" si="128"/>
        <v>-25</v>
      </c>
      <c r="R5700" s="167"/>
      <c r="S5700" s="167"/>
      <c r="T5700" s="168">
        <f t="shared" si="3"/>
        <v>429612.2872</v>
      </c>
      <c r="U5700" s="168">
        <f t="shared" si="4"/>
        <v>0</v>
      </c>
      <c r="V5700" s="168">
        <f t="shared" si="5"/>
        <v>0</v>
      </c>
      <c r="W5700" s="168">
        <f t="shared" si="6"/>
        <v>0</v>
      </c>
      <c r="X5700" s="168">
        <f t="shared" si="7"/>
        <v>0</v>
      </c>
      <c r="Y5700" s="168">
        <f t="shared" si="8"/>
        <v>0</v>
      </c>
      <c r="Z5700" s="168">
        <f t="shared" si="9"/>
        <v>0</v>
      </c>
    </row>
    <row r="5701" ht="15.0" customHeight="1">
      <c r="A5701" s="157" t="s">
        <v>7210</v>
      </c>
      <c r="B5701" s="158" t="s">
        <v>54</v>
      </c>
      <c r="C5701" s="158" t="s">
        <v>7181</v>
      </c>
      <c r="D5701" s="159">
        <v>45754.0</v>
      </c>
      <c r="E5701" s="157" t="s">
        <v>731</v>
      </c>
      <c r="F5701" s="160">
        <v>544438.71</v>
      </c>
      <c r="G5701" s="160">
        <f>'FACP$'!$F5701*0.16</f>
        <v>87110.1936</v>
      </c>
      <c r="H5701" s="160">
        <f t="shared" si="129"/>
        <v>631548.9036</v>
      </c>
      <c r="I5701" s="160"/>
      <c r="J5701" s="161"/>
      <c r="K5701" s="160"/>
      <c r="L5701" s="160">
        <f>+'FACP$'!$H5701-'FACP$'!$I5701-'FACP$'!$K5701</f>
        <v>631548.9036</v>
      </c>
      <c r="M5701" s="162" t="s">
        <v>7011</v>
      </c>
      <c r="N5701" s="162"/>
      <c r="O5701" s="164"/>
      <c r="P5701" s="164">
        <f t="array" ref="P5701">XLOOKUP('FACP$'!$B5701,'perfil de pagos'!$A$4:$A$46,'perfil de pagos'!$B$4:$B$46+'FACP$'!$D5701)</f>
        <v>45814</v>
      </c>
      <c r="Q5701" s="165">
        <f t="shared" si="128"/>
        <v>-25</v>
      </c>
      <c r="R5701" s="167"/>
      <c r="S5701" s="167"/>
      <c r="T5701" s="168">
        <f t="shared" si="3"/>
        <v>631548.9036</v>
      </c>
      <c r="U5701" s="168">
        <f t="shared" si="4"/>
        <v>0</v>
      </c>
      <c r="V5701" s="168">
        <f t="shared" si="5"/>
        <v>0</v>
      </c>
      <c r="W5701" s="168">
        <f t="shared" si="6"/>
        <v>0</v>
      </c>
      <c r="X5701" s="168">
        <f t="shared" si="7"/>
        <v>0</v>
      </c>
      <c r="Y5701" s="168">
        <f t="shared" si="8"/>
        <v>0</v>
      </c>
      <c r="Z5701" s="168">
        <f t="shared" si="9"/>
        <v>0</v>
      </c>
    </row>
    <row r="5702" ht="15.0" customHeight="1">
      <c r="A5702" s="194" t="s">
        <v>7211</v>
      </c>
      <c r="B5702" s="192" t="s">
        <v>55</v>
      </c>
      <c r="C5702" s="192" t="s">
        <v>7181</v>
      </c>
      <c r="D5702" s="193">
        <v>45755.0</v>
      </c>
      <c r="E5702" s="194" t="s">
        <v>731</v>
      </c>
      <c r="F5702" s="195">
        <v>296146.92</v>
      </c>
      <c r="G5702" s="195">
        <f>'FACP$'!$F5702*0.16</f>
        <v>47383.5072</v>
      </c>
      <c r="H5702" s="195">
        <f t="shared" si="129"/>
        <v>343530.4272</v>
      </c>
      <c r="I5702" s="195"/>
      <c r="J5702" s="196"/>
      <c r="K5702" s="195"/>
      <c r="L5702" s="195">
        <f>+'FACP$'!$H5702-'FACP$'!$I5702-'FACP$'!$K5702</f>
        <v>343530.4272</v>
      </c>
      <c r="M5702" s="318" t="s">
        <v>7029</v>
      </c>
      <c r="N5702" s="318" t="s">
        <v>127</v>
      </c>
      <c r="O5702" s="319"/>
      <c r="P5702" s="319">
        <f t="array" ref="P5702">XLOOKUP('FACP$'!$B5702,'perfil de pagos'!$A$4:$A$46,'perfil de pagos'!$B$4:$B$46+'FACP$'!$D5702)</f>
        <v>45765</v>
      </c>
      <c r="Q5702" s="320">
        <f t="shared" si="128"/>
        <v>0</v>
      </c>
      <c r="R5702" s="321"/>
      <c r="S5702" s="321"/>
      <c r="T5702" s="322">
        <f t="shared" si="3"/>
        <v>343530.4272</v>
      </c>
      <c r="U5702" s="322">
        <f t="shared" si="4"/>
        <v>0</v>
      </c>
      <c r="V5702" s="322">
        <f t="shared" si="5"/>
        <v>0</v>
      </c>
      <c r="W5702" s="322">
        <f t="shared" si="6"/>
        <v>0</v>
      </c>
      <c r="X5702" s="322">
        <f t="shared" si="7"/>
        <v>0</v>
      </c>
      <c r="Y5702" s="322">
        <f t="shared" si="8"/>
        <v>0</v>
      </c>
      <c r="Z5702" s="322">
        <f t="shared" si="9"/>
        <v>0</v>
      </c>
      <c r="AA5702" s="72"/>
      <c r="AB5702" s="72"/>
      <c r="AC5702" s="72"/>
    </row>
    <row r="5703" ht="15.0" customHeight="1">
      <c r="A5703" s="194" t="s">
        <v>7212</v>
      </c>
      <c r="B5703" s="192" t="s">
        <v>55</v>
      </c>
      <c r="C5703" s="192" t="s">
        <v>7179</v>
      </c>
      <c r="D5703" s="193">
        <v>45755.0</v>
      </c>
      <c r="E5703" s="194" t="s">
        <v>731</v>
      </c>
      <c r="F5703" s="195">
        <v>171162.68</v>
      </c>
      <c r="G5703" s="195">
        <f>'FACP$'!$F5703*0.16</f>
        <v>27386.0288</v>
      </c>
      <c r="H5703" s="195">
        <f t="shared" si="129"/>
        <v>198548.7088</v>
      </c>
      <c r="I5703" s="195"/>
      <c r="J5703" s="196"/>
      <c r="K5703" s="195"/>
      <c r="L5703" s="195">
        <f>+'FACP$'!$H5703-'FACP$'!$I5703-'FACP$'!$K5703</f>
        <v>198548.7088</v>
      </c>
      <c r="M5703" s="318" t="s">
        <v>7029</v>
      </c>
      <c r="N5703" s="318" t="s">
        <v>127</v>
      </c>
      <c r="O5703" s="319"/>
      <c r="P5703" s="319">
        <f t="array" ref="P5703">XLOOKUP('FACP$'!$B5703,'perfil de pagos'!$A$4:$A$46,'perfil de pagos'!$B$4:$B$46+'FACP$'!$D5703)</f>
        <v>45765</v>
      </c>
      <c r="Q5703" s="320">
        <f t="shared" si="128"/>
        <v>0</v>
      </c>
      <c r="R5703" s="321"/>
      <c r="S5703" s="321"/>
      <c r="T5703" s="322">
        <f t="shared" si="3"/>
        <v>198548.7088</v>
      </c>
      <c r="U5703" s="322">
        <f t="shared" si="4"/>
        <v>0</v>
      </c>
      <c r="V5703" s="322">
        <f t="shared" si="5"/>
        <v>0</v>
      </c>
      <c r="W5703" s="322">
        <f t="shared" si="6"/>
        <v>0</v>
      </c>
      <c r="X5703" s="322">
        <f t="shared" si="7"/>
        <v>0</v>
      </c>
      <c r="Y5703" s="322">
        <f t="shared" si="8"/>
        <v>0</v>
      </c>
      <c r="Z5703" s="322">
        <f t="shared" si="9"/>
        <v>0</v>
      </c>
      <c r="AA5703" s="72"/>
      <c r="AB5703" s="72"/>
      <c r="AC5703" s="72"/>
    </row>
    <row r="5704" ht="15.0" customHeight="1">
      <c r="A5704" s="157" t="s">
        <v>7213</v>
      </c>
      <c r="B5704" s="158" t="s">
        <v>55</v>
      </c>
      <c r="C5704" s="158" t="s">
        <v>7214</v>
      </c>
      <c r="D5704" s="159">
        <v>45755.0</v>
      </c>
      <c r="E5704" s="157" t="s">
        <v>731</v>
      </c>
      <c r="F5704" s="160">
        <v>15560.0</v>
      </c>
      <c r="G5704" s="160">
        <f>'FACP$'!$F5704*0.16</f>
        <v>2489.6</v>
      </c>
      <c r="H5704" s="160">
        <f t="shared" si="129"/>
        <v>18049.6</v>
      </c>
      <c r="I5704" s="160"/>
      <c r="J5704" s="161"/>
      <c r="K5704" s="160"/>
      <c r="L5704" s="160">
        <f>+'FACP$'!$H5704-'FACP$'!$I5704-'FACP$'!$K5704</f>
        <v>18049.6</v>
      </c>
      <c r="M5704" s="162" t="s">
        <v>7029</v>
      </c>
      <c r="N5704" s="162"/>
      <c r="O5704" s="164"/>
      <c r="P5704" s="164">
        <f t="array" ref="P5704">XLOOKUP('FACP$'!$B5704,'perfil de pagos'!$A$4:$A$46,'perfil de pagos'!$B$4:$B$46+'FACP$'!$D5704)</f>
        <v>45765</v>
      </c>
      <c r="Q5704" s="165">
        <f t="shared" si="128"/>
        <v>24</v>
      </c>
      <c r="R5704" s="167"/>
      <c r="S5704" s="167"/>
      <c r="T5704" s="168">
        <f t="shared" si="3"/>
        <v>0</v>
      </c>
      <c r="U5704" s="168">
        <f t="shared" si="4"/>
        <v>0</v>
      </c>
      <c r="V5704" s="168">
        <f t="shared" si="5"/>
        <v>18049.6</v>
      </c>
      <c r="W5704" s="168">
        <f t="shared" si="6"/>
        <v>0</v>
      </c>
      <c r="X5704" s="168">
        <f t="shared" si="7"/>
        <v>0</v>
      </c>
      <c r="Y5704" s="168">
        <f t="shared" si="8"/>
        <v>0</v>
      </c>
      <c r="Z5704" s="168">
        <f t="shared" si="9"/>
        <v>0</v>
      </c>
    </row>
    <row r="5705" ht="15.0" customHeight="1">
      <c r="A5705" s="157" t="s">
        <v>7215</v>
      </c>
      <c r="B5705" s="158" t="s">
        <v>27</v>
      </c>
      <c r="C5705" s="158" t="s">
        <v>7216</v>
      </c>
      <c r="D5705" s="159">
        <v>45757.0</v>
      </c>
      <c r="E5705" s="157" t="s">
        <v>731</v>
      </c>
      <c r="F5705" s="160">
        <v>27600.0</v>
      </c>
      <c r="G5705" s="160">
        <f>'FACP$'!$F5705*0.16</f>
        <v>4416</v>
      </c>
      <c r="H5705" s="160">
        <f t="shared" si="129"/>
        <v>32016</v>
      </c>
      <c r="I5705" s="160"/>
      <c r="J5705" s="161"/>
      <c r="K5705" s="160"/>
      <c r="L5705" s="160">
        <f>+'FACP$'!$H5705-'FACP$'!$I5705-'FACP$'!$K5705</f>
        <v>32016</v>
      </c>
      <c r="M5705" s="162" t="s">
        <v>5804</v>
      </c>
      <c r="N5705" s="162" t="s">
        <v>554</v>
      </c>
      <c r="O5705" s="164">
        <v>45770.0</v>
      </c>
      <c r="P5705" s="164">
        <f t="array" ref="P5705">XLOOKUP('FACP$'!$B5705,'perfil de pagos'!$A$4:$A$46,'perfil de pagos'!$B$4:$B$46+'FACP$'!$D5705)</f>
        <v>45787</v>
      </c>
      <c r="Q5705" s="165">
        <f t="shared" si="128"/>
        <v>0</v>
      </c>
      <c r="R5705" s="167"/>
      <c r="S5705" s="167"/>
      <c r="T5705" s="168">
        <f t="shared" si="3"/>
        <v>32016</v>
      </c>
      <c r="U5705" s="168">
        <f t="shared" si="4"/>
        <v>0</v>
      </c>
      <c r="V5705" s="168">
        <f t="shared" si="5"/>
        <v>0</v>
      </c>
      <c r="W5705" s="168">
        <f t="shared" si="6"/>
        <v>0</v>
      </c>
      <c r="X5705" s="168">
        <f t="shared" si="7"/>
        <v>0</v>
      </c>
      <c r="Y5705" s="168">
        <f t="shared" si="8"/>
        <v>0</v>
      </c>
      <c r="Z5705" s="168">
        <f t="shared" si="9"/>
        <v>0</v>
      </c>
    </row>
    <row r="5706" ht="15.0" customHeight="1">
      <c r="A5706" s="157" t="s">
        <v>7217</v>
      </c>
      <c r="B5706" s="158" t="s">
        <v>56</v>
      </c>
      <c r="C5706" s="158" t="s">
        <v>7216</v>
      </c>
      <c r="D5706" s="159">
        <v>45757.0</v>
      </c>
      <c r="E5706" s="157" t="s">
        <v>731</v>
      </c>
      <c r="F5706" s="160">
        <v>9200.0</v>
      </c>
      <c r="G5706" s="160">
        <f>'FACP$'!$F5706*0.16</f>
        <v>1472</v>
      </c>
      <c r="H5706" s="160">
        <f t="shared" si="129"/>
        <v>10672</v>
      </c>
      <c r="I5706" s="160"/>
      <c r="J5706" s="161"/>
      <c r="K5706" s="160"/>
      <c r="L5706" s="160">
        <f>+'FACP$'!$H5706-'FACP$'!$I5706-'FACP$'!$K5706</f>
        <v>10672</v>
      </c>
      <c r="M5706" s="162" t="s">
        <v>7218</v>
      </c>
      <c r="N5706" s="162" t="s">
        <v>554</v>
      </c>
      <c r="O5706" s="164">
        <v>45770.0</v>
      </c>
      <c r="P5706" s="164">
        <f t="array" ref="P5706">XLOOKUP('FACP$'!$B5706,'perfil de pagos'!$A$4:$A$46,'perfil de pagos'!$B$4:$B$46+'FACP$'!$D5706)</f>
        <v>45787</v>
      </c>
      <c r="Q5706" s="165">
        <f t="shared" si="128"/>
        <v>0</v>
      </c>
      <c r="R5706" s="167"/>
      <c r="S5706" s="167"/>
      <c r="T5706" s="168">
        <f t="shared" si="3"/>
        <v>10672</v>
      </c>
      <c r="U5706" s="168">
        <f t="shared" si="4"/>
        <v>0</v>
      </c>
      <c r="V5706" s="168">
        <f t="shared" si="5"/>
        <v>0</v>
      </c>
      <c r="W5706" s="168">
        <f t="shared" si="6"/>
        <v>0</v>
      </c>
      <c r="X5706" s="168">
        <f t="shared" si="7"/>
        <v>0</v>
      </c>
      <c r="Y5706" s="168">
        <f t="shared" si="8"/>
        <v>0</v>
      </c>
      <c r="Z5706" s="168">
        <f t="shared" si="9"/>
        <v>0</v>
      </c>
    </row>
    <row r="5707" ht="15.0" customHeight="1">
      <c r="A5707" s="157" t="s">
        <v>7219</v>
      </c>
      <c r="B5707" s="158" t="s">
        <v>57</v>
      </c>
      <c r="C5707" s="158" t="s">
        <v>7216</v>
      </c>
      <c r="D5707" s="159">
        <v>45757.0</v>
      </c>
      <c r="E5707" s="157" t="s">
        <v>731</v>
      </c>
      <c r="F5707" s="160">
        <v>9200.0</v>
      </c>
      <c r="G5707" s="160">
        <f>'FACP$'!$F5707*0.16</f>
        <v>1472</v>
      </c>
      <c r="H5707" s="160">
        <f t="shared" si="129"/>
        <v>10672</v>
      </c>
      <c r="I5707" s="160"/>
      <c r="J5707" s="161"/>
      <c r="K5707" s="160"/>
      <c r="L5707" s="160">
        <f>+'FACP$'!$H5707-'FACP$'!$I5707-'FACP$'!$K5707</f>
        <v>10672</v>
      </c>
      <c r="M5707" s="162" t="s">
        <v>7220</v>
      </c>
      <c r="N5707" s="162" t="s">
        <v>554</v>
      </c>
      <c r="O5707" s="164">
        <v>45769.0</v>
      </c>
      <c r="P5707" s="164">
        <f t="array" ref="P5707">XLOOKUP('FACP$'!$B5707,'perfil de pagos'!$A$4:$A$46,'perfil de pagos'!$B$4:$B$46+'FACP$'!$D5707)</f>
        <v>45787</v>
      </c>
      <c r="Q5707" s="165">
        <f t="shared" si="128"/>
        <v>0</v>
      </c>
      <c r="R5707" s="167"/>
      <c r="S5707" s="167"/>
      <c r="T5707" s="168">
        <f t="shared" si="3"/>
        <v>10672</v>
      </c>
      <c r="U5707" s="168">
        <f t="shared" si="4"/>
        <v>0</v>
      </c>
      <c r="V5707" s="168">
        <f t="shared" si="5"/>
        <v>0</v>
      </c>
      <c r="W5707" s="168">
        <f t="shared" si="6"/>
        <v>0</v>
      </c>
      <c r="X5707" s="168">
        <f t="shared" si="7"/>
        <v>0</v>
      </c>
      <c r="Y5707" s="168">
        <f t="shared" si="8"/>
        <v>0</v>
      </c>
      <c r="Z5707" s="168">
        <f t="shared" si="9"/>
        <v>0</v>
      </c>
    </row>
    <row r="5708" ht="15.0" customHeight="1">
      <c r="A5708" s="157" t="s">
        <v>7221</v>
      </c>
      <c r="B5708" s="158" t="s">
        <v>7222</v>
      </c>
      <c r="C5708" s="158" t="s">
        <v>7223</v>
      </c>
      <c r="D5708" s="159">
        <v>45758.0</v>
      </c>
      <c r="E5708" s="157" t="s">
        <v>731</v>
      </c>
      <c r="F5708" s="160">
        <v>1326.0</v>
      </c>
      <c r="G5708" s="160">
        <v>0.0</v>
      </c>
      <c r="H5708" s="160">
        <v>1326.0</v>
      </c>
      <c r="I5708" s="160"/>
      <c r="J5708" s="161"/>
      <c r="K5708" s="160"/>
      <c r="L5708" s="160">
        <f>+'FACP$'!$H5708-'FACP$'!$I5708-'FACP$'!$K5708</f>
        <v>1326</v>
      </c>
      <c r="M5708" s="162" t="s">
        <v>7224</v>
      </c>
      <c r="N5708" s="162"/>
      <c r="O5708" s="164"/>
      <c r="P5708" s="164" t="str">
        <f t="array" ref="P5708">XLOOKUP('FACP$'!$B5708,'perfil de pagos'!$A$4:$A$46,'perfil de pagos'!$B$4:$B$46+'FACP$'!$D5708)</f>
        <v>#N/A</v>
      </c>
      <c r="Q5708" s="165" t="str">
        <f t="shared" si="128"/>
        <v>#N/A</v>
      </c>
      <c r="R5708" s="167"/>
      <c r="S5708" s="167"/>
      <c r="T5708" s="168" t="str">
        <f t="shared" si="3"/>
        <v>#N/A</v>
      </c>
      <c r="U5708" s="168" t="str">
        <f t="shared" si="4"/>
        <v>#N/A</v>
      </c>
      <c r="V5708" s="168" t="str">
        <f t="shared" si="5"/>
        <v>#N/A</v>
      </c>
      <c r="W5708" s="168" t="str">
        <f t="shared" si="6"/>
        <v>#N/A</v>
      </c>
      <c r="X5708" s="168" t="str">
        <f t="shared" si="7"/>
        <v>#N/A</v>
      </c>
      <c r="Y5708" s="168" t="str">
        <f t="shared" si="8"/>
        <v>#N/A</v>
      </c>
      <c r="Z5708" s="168" t="str">
        <f t="shared" si="9"/>
        <v>#N/A</v>
      </c>
    </row>
    <row r="5709" ht="15.0" customHeight="1">
      <c r="A5709" s="157" t="s">
        <v>7225</v>
      </c>
      <c r="B5709" s="158" t="s">
        <v>55</v>
      </c>
      <c r="C5709" s="158" t="s">
        <v>7181</v>
      </c>
      <c r="D5709" s="159">
        <v>45762.0</v>
      </c>
      <c r="E5709" s="157" t="s">
        <v>731</v>
      </c>
      <c r="F5709" s="160">
        <v>296146.92</v>
      </c>
      <c r="G5709" s="160">
        <f>'FACP$'!$F5709*0.16</f>
        <v>47383.5072</v>
      </c>
      <c r="H5709" s="160">
        <f t="shared" ref="H5709:H5759" si="130">F5709+G5709</f>
        <v>343530.4272</v>
      </c>
      <c r="I5709" s="160"/>
      <c r="J5709" s="161"/>
      <c r="K5709" s="160"/>
      <c r="L5709" s="160">
        <f>+'FACP$'!$H5709-'FACP$'!$I5709-'FACP$'!$K5709</f>
        <v>343530.4272</v>
      </c>
      <c r="M5709" s="162" t="s">
        <v>7029</v>
      </c>
      <c r="N5709" s="162"/>
      <c r="O5709" s="164"/>
      <c r="P5709" s="164">
        <f t="array" ref="P5709">XLOOKUP('FACP$'!$B5709,'perfil de pagos'!$A$4:$A$46,'perfil de pagos'!$B$4:$B$46+'FACP$'!$D5709)</f>
        <v>45772</v>
      </c>
      <c r="Q5709" s="165">
        <f t="shared" si="128"/>
        <v>17</v>
      </c>
      <c r="R5709" s="167"/>
      <c r="S5709" s="167"/>
      <c r="T5709" s="168">
        <f t="shared" si="3"/>
        <v>0</v>
      </c>
      <c r="U5709" s="168">
        <f t="shared" si="4"/>
        <v>0</v>
      </c>
      <c r="V5709" s="168">
        <f t="shared" si="5"/>
        <v>343530.4272</v>
      </c>
      <c r="W5709" s="168">
        <f t="shared" si="6"/>
        <v>0</v>
      </c>
      <c r="X5709" s="168">
        <f t="shared" si="7"/>
        <v>0</v>
      </c>
      <c r="Y5709" s="168">
        <f t="shared" si="8"/>
        <v>0</v>
      </c>
      <c r="Z5709" s="168">
        <f t="shared" si="9"/>
        <v>0</v>
      </c>
    </row>
    <row r="5710" ht="15.0" customHeight="1">
      <c r="A5710" s="157" t="s">
        <v>7226</v>
      </c>
      <c r="B5710" s="158" t="s">
        <v>55</v>
      </c>
      <c r="C5710" s="158" t="s">
        <v>7179</v>
      </c>
      <c r="D5710" s="159">
        <v>45762.0</v>
      </c>
      <c r="E5710" s="157" t="s">
        <v>731</v>
      </c>
      <c r="F5710" s="160">
        <v>171162.68</v>
      </c>
      <c r="G5710" s="160">
        <f>'FACP$'!$F5710*0.16</f>
        <v>27386.0288</v>
      </c>
      <c r="H5710" s="160">
        <f t="shared" si="130"/>
        <v>198548.7088</v>
      </c>
      <c r="I5710" s="160"/>
      <c r="J5710" s="161"/>
      <c r="K5710" s="160"/>
      <c r="L5710" s="160">
        <f>+'FACP$'!$H5710-'FACP$'!$I5710-'FACP$'!$K5710</f>
        <v>198548.7088</v>
      </c>
      <c r="M5710" s="162" t="s">
        <v>7029</v>
      </c>
      <c r="N5710" s="162"/>
      <c r="O5710" s="164"/>
      <c r="P5710" s="164">
        <f t="array" ref="P5710">XLOOKUP('FACP$'!$B5710,'perfil de pagos'!$A$4:$A$46,'perfil de pagos'!$B$4:$B$46+'FACP$'!$D5710)</f>
        <v>45772</v>
      </c>
      <c r="Q5710" s="165">
        <f t="shared" si="128"/>
        <v>17</v>
      </c>
      <c r="R5710" s="167"/>
      <c r="S5710" s="167"/>
      <c r="T5710" s="168">
        <f t="shared" si="3"/>
        <v>0</v>
      </c>
      <c r="U5710" s="168">
        <f t="shared" si="4"/>
        <v>0</v>
      </c>
      <c r="V5710" s="168">
        <f t="shared" si="5"/>
        <v>198548.7088</v>
      </c>
      <c r="W5710" s="168">
        <f t="shared" si="6"/>
        <v>0</v>
      </c>
      <c r="X5710" s="168">
        <f t="shared" si="7"/>
        <v>0</v>
      </c>
      <c r="Y5710" s="168">
        <f t="shared" si="8"/>
        <v>0</v>
      </c>
      <c r="Z5710" s="168">
        <f t="shared" si="9"/>
        <v>0</v>
      </c>
    </row>
    <row r="5711" ht="15.0" customHeight="1">
      <c r="A5711" s="157" t="s">
        <v>7227</v>
      </c>
      <c r="B5711" s="158" t="s">
        <v>44</v>
      </c>
      <c r="C5711" s="158" t="s">
        <v>7228</v>
      </c>
      <c r="D5711" s="159">
        <v>45764.0</v>
      </c>
      <c r="E5711" s="157" t="s">
        <v>731</v>
      </c>
      <c r="F5711" s="160">
        <v>105864.29</v>
      </c>
      <c r="G5711" s="160">
        <f>'FACP$'!$F5711*0.16</f>
        <v>16938.2864</v>
      </c>
      <c r="H5711" s="160">
        <f t="shared" si="130"/>
        <v>122802.5764</v>
      </c>
      <c r="I5711" s="160"/>
      <c r="J5711" s="161"/>
      <c r="K5711" s="160"/>
      <c r="L5711" s="160">
        <f>+'FACP$'!$H5711-'FACP$'!$I5711-'FACP$'!$K5711</f>
        <v>122802.5764</v>
      </c>
      <c r="M5711" s="162" t="s">
        <v>361</v>
      </c>
      <c r="N5711" s="162" t="s">
        <v>554</v>
      </c>
      <c r="O5711" s="164">
        <v>45772.0</v>
      </c>
      <c r="P5711" s="164">
        <f t="array" ref="P5711">XLOOKUP('FACP$'!$B5711,'perfil de pagos'!$A$4:$A$46,'perfil de pagos'!$B$4:$B$46+'FACP$'!$D5711)</f>
        <v>45774</v>
      </c>
      <c r="Q5711" s="165">
        <f t="shared" si="128"/>
        <v>0</v>
      </c>
      <c r="R5711" s="167"/>
      <c r="S5711" s="167">
        <v>3776.0</v>
      </c>
      <c r="T5711" s="168">
        <f t="shared" si="3"/>
        <v>122802.5764</v>
      </c>
      <c r="U5711" s="168">
        <f t="shared" si="4"/>
        <v>0</v>
      </c>
      <c r="V5711" s="168">
        <f t="shared" si="5"/>
        <v>0</v>
      </c>
      <c r="W5711" s="168">
        <f t="shared" si="6"/>
        <v>0</v>
      </c>
      <c r="X5711" s="168">
        <f t="shared" si="7"/>
        <v>0</v>
      </c>
      <c r="Y5711" s="168">
        <f t="shared" si="8"/>
        <v>0</v>
      </c>
      <c r="Z5711" s="168">
        <f t="shared" si="9"/>
        <v>0</v>
      </c>
    </row>
    <row r="5712" ht="15.0" customHeight="1">
      <c r="A5712" s="157" t="s">
        <v>7229</v>
      </c>
      <c r="B5712" s="158" t="s">
        <v>41</v>
      </c>
      <c r="C5712" s="158" t="s">
        <v>7228</v>
      </c>
      <c r="D5712" s="159">
        <v>45764.0</v>
      </c>
      <c r="E5712" s="157" t="s">
        <v>731</v>
      </c>
      <c r="F5712" s="160">
        <v>1620727.73</v>
      </c>
      <c r="G5712" s="160">
        <f>'FACP$'!$F5712*0.16</f>
        <v>259316.4368</v>
      </c>
      <c r="H5712" s="160">
        <f t="shared" si="130"/>
        <v>1880044.167</v>
      </c>
      <c r="I5712" s="160"/>
      <c r="J5712" s="161"/>
      <c r="K5712" s="160"/>
      <c r="L5712" s="160">
        <f>+'FACP$'!$H5712-'FACP$'!$I5712-'FACP$'!$K5712</f>
        <v>1880044.167</v>
      </c>
      <c r="M5712" s="162" t="s">
        <v>121</v>
      </c>
      <c r="N5712" s="162"/>
      <c r="O5712" s="164"/>
      <c r="P5712" s="164">
        <f t="array" ref="P5712">XLOOKUP('FACP$'!$B5712,'perfil de pagos'!$A$4:$A$46,'perfil de pagos'!$B$4:$B$46+'FACP$'!$D5712)</f>
        <v>45774</v>
      </c>
      <c r="Q5712" s="165">
        <f t="shared" si="128"/>
        <v>15</v>
      </c>
      <c r="R5712" s="167"/>
      <c r="S5712" s="167"/>
      <c r="T5712" s="168">
        <f t="shared" si="3"/>
        <v>0</v>
      </c>
      <c r="U5712" s="168">
        <f t="shared" si="4"/>
        <v>1880044.167</v>
      </c>
      <c r="V5712" s="168">
        <f t="shared" si="5"/>
        <v>0</v>
      </c>
      <c r="W5712" s="168">
        <f t="shared" si="6"/>
        <v>0</v>
      </c>
      <c r="X5712" s="168">
        <f t="shared" si="7"/>
        <v>0</v>
      </c>
      <c r="Y5712" s="168">
        <f t="shared" si="8"/>
        <v>0</v>
      </c>
      <c r="Z5712" s="168">
        <f t="shared" si="9"/>
        <v>0</v>
      </c>
    </row>
    <row r="5713" ht="15.0" customHeight="1">
      <c r="A5713" s="157" t="s">
        <v>7230</v>
      </c>
      <c r="B5713" s="158" t="s">
        <v>53</v>
      </c>
      <c r="C5713" s="158" t="s">
        <v>7228</v>
      </c>
      <c r="D5713" s="159">
        <v>45764.0</v>
      </c>
      <c r="E5713" s="157" t="s">
        <v>731</v>
      </c>
      <c r="F5713" s="160">
        <v>58434.94</v>
      </c>
      <c r="G5713" s="160">
        <f>'FACP$'!$F5713*0.16</f>
        <v>9349.5904</v>
      </c>
      <c r="H5713" s="160">
        <f t="shared" si="130"/>
        <v>67784.5304</v>
      </c>
      <c r="I5713" s="160"/>
      <c r="J5713" s="161"/>
      <c r="K5713" s="160"/>
      <c r="L5713" s="160">
        <f>+'FACP$'!$H5713-'FACP$'!$I5713-'FACP$'!$K5713</f>
        <v>67784.5304</v>
      </c>
      <c r="M5713" s="162" t="s">
        <v>53</v>
      </c>
      <c r="N5713" s="162"/>
      <c r="O5713" s="164"/>
      <c r="P5713" s="164">
        <f t="array" ref="P5713">XLOOKUP('FACP$'!$B5713,'perfil de pagos'!$A$4:$A$46,'perfil de pagos'!$B$4:$B$46+'FACP$'!$D5713)</f>
        <v>45779</v>
      </c>
      <c r="Q5713" s="165">
        <f t="shared" si="128"/>
        <v>10</v>
      </c>
      <c r="R5713" s="167"/>
      <c r="S5713" s="167"/>
      <c r="T5713" s="168">
        <f t="shared" si="3"/>
        <v>0</v>
      </c>
      <c r="U5713" s="168">
        <f t="shared" si="4"/>
        <v>67784.5304</v>
      </c>
      <c r="V5713" s="168">
        <f t="shared" si="5"/>
        <v>0</v>
      </c>
      <c r="W5713" s="168">
        <f t="shared" si="6"/>
        <v>0</v>
      </c>
      <c r="X5713" s="168">
        <f t="shared" si="7"/>
        <v>0</v>
      </c>
      <c r="Y5713" s="168">
        <f t="shared" si="8"/>
        <v>0</v>
      </c>
      <c r="Z5713" s="168">
        <f t="shared" si="9"/>
        <v>0</v>
      </c>
    </row>
    <row r="5714" ht="15.0" customHeight="1">
      <c r="A5714" s="157" t="s">
        <v>7231</v>
      </c>
      <c r="B5714" s="158" t="s">
        <v>53</v>
      </c>
      <c r="C5714" s="169" t="s">
        <v>7232</v>
      </c>
      <c r="D5714" s="159">
        <v>45764.0</v>
      </c>
      <c r="E5714" s="157" t="s">
        <v>731</v>
      </c>
      <c r="F5714" s="160">
        <v>12083.27</v>
      </c>
      <c r="G5714" s="160">
        <f>'FACP$'!$F5714*0.16</f>
        <v>1933.3232</v>
      </c>
      <c r="H5714" s="160">
        <f t="shared" si="130"/>
        <v>14016.5932</v>
      </c>
      <c r="I5714" s="160"/>
      <c r="J5714" s="161"/>
      <c r="K5714" s="160"/>
      <c r="L5714" s="160">
        <f>+'FACP$'!$H5714-'FACP$'!$I5714-'FACP$'!$K5714</f>
        <v>14016.5932</v>
      </c>
      <c r="M5714" s="162" t="s">
        <v>53</v>
      </c>
      <c r="N5714" s="162"/>
      <c r="O5714" s="164"/>
      <c r="P5714" s="164">
        <f t="array" ref="P5714">XLOOKUP('FACP$'!$B5714,'perfil de pagos'!$A$4:$A$46,'perfil de pagos'!$B$4:$B$46+'FACP$'!$D5714)</f>
        <v>45779</v>
      </c>
      <c r="Q5714" s="165">
        <f t="shared" si="128"/>
        <v>10</v>
      </c>
      <c r="R5714" s="167"/>
      <c r="S5714" s="167"/>
      <c r="T5714" s="168">
        <f t="shared" si="3"/>
        <v>0</v>
      </c>
      <c r="U5714" s="168">
        <f t="shared" si="4"/>
        <v>14016.5932</v>
      </c>
      <c r="V5714" s="168">
        <f t="shared" si="5"/>
        <v>0</v>
      </c>
      <c r="W5714" s="168">
        <f t="shared" si="6"/>
        <v>0</v>
      </c>
      <c r="X5714" s="168">
        <f t="shared" si="7"/>
        <v>0</v>
      </c>
      <c r="Y5714" s="168">
        <f t="shared" si="8"/>
        <v>0</v>
      </c>
      <c r="Z5714" s="168">
        <f t="shared" si="9"/>
        <v>0</v>
      </c>
    </row>
    <row r="5715" ht="15.0" customHeight="1">
      <c r="A5715" s="157" t="s">
        <v>7233</v>
      </c>
      <c r="B5715" s="158" t="s">
        <v>35</v>
      </c>
      <c r="C5715" s="158" t="s">
        <v>7228</v>
      </c>
      <c r="D5715" s="159">
        <v>45764.0</v>
      </c>
      <c r="E5715" s="157" t="s">
        <v>731</v>
      </c>
      <c r="F5715" s="160">
        <v>410521.31</v>
      </c>
      <c r="G5715" s="160">
        <f>'FACP$'!$F5715*0.16</f>
        <v>65683.4096</v>
      </c>
      <c r="H5715" s="160">
        <f t="shared" si="130"/>
        <v>476204.7196</v>
      </c>
      <c r="I5715" s="160"/>
      <c r="J5715" s="161"/>
      <c r="K5715" s="160"/>
      <c r="L5715" s="160">
        <f>+'FACP$'!$H5715-'FACP$'!$I5715-'FACP$'!$K5715</f>
        <v>476204.7196</v>
      </c>
      <c r="M5715" s="162" t="s">
        <v>276</v>
      </c>
      <c r="N5715" s="162"/>
      <c r="O5715" s="164"/>
      <c r="P5715" s="164">
        <f t="array" ref="P5715">XLOOKUP('FACP$'!$B5715,'perfil de pagos'!$A$4:$A$46,'perfil de pagos'!$B$4:$B$46+'FACP$'!$D5715)</f>
        <v>45774</v>
      </c>
      <c r="Q5715" s="165">
        <f t="shared" si="128"/>
        <v>15</v>
      </c>
      <c r="R5715" s="167"/>
      <c r="S5715" s="167"/>
      <c r="T5715" s="168">
        <f t="shared" si="3"/>
        <v>0</v>
      </c>
      <c r="U5715" s="168">
        <f t="shared" si="4"/>
        <v>476204.7196</v>
      </c>
      <c r="V5715" s="168">
        <f t="shared" si="5"/>
        <v>0</v>
      </c>
      <c r="W5715" s="168">
        <f t="shared" si="6"/>
        <v>0</v>
      </c>
      <c r="X5715" s="168">
        <f t="shared" si="7"/>
        <v>0</v>
      </c>
      <c r="Y5715" s="168">
        <f t="shared" si="8"/>
        <v>0</v>
      </c>
      <c r="Z5715" s="168">
        <f t="shared" si="9"/>
        <v>0</v>
      </c>
    </row>
    <row r="5716" ht="15.0" customHeight="1">
      <c r="A5716" s="157" t="s">
        <v>7234</v>
      </c>
      <c r="B5716" s="158" t="s">
        <v>36</v>
      </c>
      <c r="C5716" s="158" t="s">
        <v>7228</v>
      </c>
      <c r="D5716" s="159">
        <v>45764.0</v>
      </c>
      <c r="E5716" s="157" t="s">
        <v>731</v>
      </c>
      <c r="F5716" s="160">
        <v>66458.26</v>
      </c>
      <c r="G5716" s="160">
        <f>'FACP$'!$F5716*0.16</f>
        <v>10633.3216</v>
      </c>
      <c r="H5716" s="160">
        <f t="shared" si="130"/>
        <v>77091.5816</v>
      </c>
      <c r="I5716" s="160"/>
      <c r="J5716" s="161"/>
      <c r="K5716" s="160"/>
      <c r="L5716" s="160">
        <f>+'FACP$'!$H5716-'FACP$'!$I5716-'FACP$'!$K5716</f>
        <v>77091.5816</v>
      </c>
      <c r="M5716" s="162" t="s">
        <v>7100</v>
      </c>
      <c r="N5716" s="162"/>
      <c r="O5716" s="164"/>
      <c r="P5716" s="164">
        <f t="array" ref="P5716">XLOOKUP('FACP$'!$B5716,'perfil de pagos'!$A$4:$A$46,'perfil de pagos'!$B$4:$B$46+'FACP$'!$D5716)</f>
        <v>45774</v>
      </c>
      <c r="Q5716" s="165">
        <f t="shared" si="128"/>
        <v>15</v>
      </c>
      <c r="R5716" s="167"/>
      <c r="S5716" s="167"/>
      <c r="T5716" s="168">
        <f t="shared" si="3"/>
        <v>0</v>
      </c>
      <c r="U5716" s="168">
        <f t="shared" si="4"/>
        <v>77091.5816</v>
      </c>
      <c r="V5716" s="168">
        <f t="shared" si="5"/>
        <v>0</v>
      </c>
      <c r="W5716" s="168">
        <f t="shared" si="6"/>
        <v>0</v>
      </c>
      <c r="X5716" s="168">
        <f t="shared" si="7"/>
        <v>0</v>
      </c>
      <c r="Y5716" s="168">
        <f t="shared" si="8"/>
        <v>0</v>
      </c>
      <c r="Z5716" s="168">
        <f t="shared" si="9"/>
        <v>0</v>
      </c>
    </row>
    <row r="5717" ht="15.0" customHeight="1">
      <c r="A5717" s="157" t="s">
        <v>7235</v>
      </c>
      <c r="B5717" s="158" t="s">
        <v>36</v>
      </c>
      <c r="C5717" s="169" t="s">
        <v>7232</v>
      </c>
      <c r="D5717" s="159">
        <v>45764.0</v>
      </c>
      <c r="E5717" s="157" t="s">
        <v>731</v>
      </c>
      <c r="F5717" s="160">
        <v>62991.0</v>
      </c>
      <c r="G5717" s="160">
        <f>'FACP$'!$F5717*0.16</f>
        <v>10078.56</v>
      </c>
      <c r="H5717" s="160">
        <f t="shared" si="130"/>
        <v>73069.56</v>
      </c>
      <c r="I5717" s="160"/>
      <c r="J5717" s="161"/>
      <c r="K5717" s="160"/>
      <c r="L5717" s="160">
        <f>+'FACP$'!$H5717-'FACP$'!$I5717-'FACP$'!$K5717</f>
        <v>73069.56</v>
      </c>
      <c r="M5717" s="162" t="s">
        <v>7100</v>
      </c>
      <c r="N5717" s="162"/>
      <c r="O5717" s="164"/>
      <c r="P5717" s="164">
        <f t="array" ref="P5717">XLOOKUP('FACP$'!$B5717,'perfil de pagos'!$A$4:$A$46,'perfil de pagos'!$B$4:$B$46+'FACP$'!$D5717)</f>
        <v>45774</v>
      </c>
      <c r="Q5717" s="165">
        <f t="shared" si="128"/>
        <v>15</v>
      </c>
      <c r="R5717" s="167"/>
      <c r="S5717" s="167"/>
      <c r="T5717" s="168">
        <f t="shared" si="3"/>
        <v>0</v>
      </c>
      <c r="U5717" s="168">
        <f t="shared" si="4"/>
        <v>73069.56</v>
      </c>
      <c r="V5717" s="168">
        <f t="shared" si="5"/>
        <v>0</v>
      </c>
      <c r="W5717" s="168">
        <f t="shared" si="6"/>
        <v>0</v>
      </c>
      <c r="X5717" s="168">
        <f t="shared" si="7"/>
        <v>0</v>
      </c>
      <c r="Y5717" s="168">
        <f t="shared" si="8"/>
        <v>0</v>
      </c>
      <c r="Z5717" s="168">
        <f t="shared" si="9"/>
        <v>0</v>
      </c>
    </row>
    <row r="5718" ht="15.0" customHeight="1">
      <c r="A5718" s="157" t="s">
        <v>7236</v>
      </c>
      <c r="B5718" s="158" t="s">
        <v>36</v>
      </c>
      <c r="C5718" s="158" t="s">
        <v>7228</v>
      </c>
      <c r="D5718" s="159">
        <v>45764.0</v>
      </c>
      <c r="E5718" s="157" t="s">
        <v>731</v>
      </c>
      <c r="F5718" s="160">
        <v>28256.15</v>
      </c>
      <c r="G5718" s="160">
        <f>'FACP$'!$F5718*0.16</f>
        <v>4520.984</v>
      </c>
      <c r="H5718" s="160">
        <f t="shared" si="130"/>
        <v>32777.134</v>
      </c>
      <c r="I5718" s="160"/>
      <c r="J5718" s="161"/>
      <c r="K5718" s="160"/>
      <c r="L5718" s="160">
        <f>+'FACP$'!$H5718-'FACP$'!$I5718-'FACP$'!$K5718</f>
        <v>32777.134</v>
      </c>
      <c r="M5718" s="162" t="s">
        <v>7103</v>
      </c>
      <c r="N5718" s="162"/>
      <c r="O5718" s="164"/>
      <c r="P5718" s="164">
        <f t="array" ref="P5718">XLOOKUP('FACP$'!$B5718,'perfil de pagos'!$A$4:$A$46,'perfil de pagos'!$B$4:$B$46+'FACP$'!$D5718)</f>
        <v>45774</v>
      </c>
      <c r="Q5718" s="165">
        <f t="shared" si="128"/>
        <v>15</v>
      </c>
      <c r="R5718" s="167"/>
      <c r="S5718" s="167"/>
      <c r="T5718" s="168">
        <f t="shared" si="3"/>
        <v>0</v>
      </c>
      <c r="U5718" s="168">
        <f t="shared" si="4"/>
        <v>32777.134</v>
      </c>
      <c r="V5718" s="168">
        <f t="shared" si="5"/>
        <v>0</v>
      </c>
      <c r="W5718" s="168">
        <f t="shared" si="6"/>
        <v>0</v>
      </c>
      <c r="X5718" s="168">
        <f t="shared" si="7"/>
        <v>0</v>
      </c>
      <c r="Y5718" s="168">
        <f t="shared" si="8"/>
        <v>0</v>
      </c>
      <c r="Z5718" s="168">
        <f t="shared" si="9"/>
        <v>0</v>
      </c>
    </row>
    <row r="5719" ht="15.0" customHeight="1">
      <c r="A5719" s="157" t="s">
        <v>7237</v>
      </c>
      <c r="B5719" s="158" t="s">
        <v>36</v>
      </c>
      <c r="C5719" s="169" t="s">
        <v>7232</v>
      </c>
      <c r="D5719" s="159">
        <v>45764.0</v>
      </c>
      <c r="E5719" s="157" t="s">
        <v>731</v>
      </c>
      <c r="F5719" s="160">
        <v>28484.35</v>
      </c>
      <c r="G5719" s="160">
        <f>'FACP$'!$F5719*0.16</f>
        <v>4557.496</v>
      </c>
      <c r="H5719" s="160">
        <f t="shared" si="130"/>
        <v>33041.846</v>
      </c>
      <c r="I5719" s="160"/>
      <c r="J5719" s="161"/>
      <c r="K5719" s="160"/>
      <c r="L5719" s="160">
        <f>+'FACP$'!$H5719-'FACP$'!$I5719-'FACP$'!$K5719</f>
        <v>33041.846</v>
      </c>
      <c r="M5719" s="162" t="s">
        <v>7103</v>
      </c>
      <c r="N5719" s="162"/>
      <c r="O5719" s="164"/>
      <c r="P5719" s="164">
        <f t="array" ref="P5719">XLOOKUP('FACP$'!$B5719,'perfil de pagos'!$A$4:$A$46,'perfil de pagos'!$B$4:$B$46+'FACP$'!$D5719)</f>
        <v>45774</v>
      </c>
      <c r="Q5719" s="165">
        <f t="shared" si="128"/>
        <v>15</v>
      </c>
      <c r="R5719" s="167"/>
      <c r="S5719" s="167"/>
      <c r="T5719" s="168">
        <f t="shared" si="3"/>
        <v>0</v>
      </c>
      <c r="U5719" s="168">
        <f t="shared" si="4"/>
        <v>33041.846</v>
      </c>
      <c r="V5719" s="168">
        <f t="shared" si="5"/>
        <v>0</v>
      </c>
      <c r="W5719" s="168">
        <f t="shared" si="6"/>
        <v>0</v>
      </c>
      <c r="X5719" s="168">
        <f t="shared" si="7"/>
        <v>0</v>
      </c>
      <c r="Y5719" s="168">
        <f t="shared" si="8"/>
        <v>0</v>
      </c>
      <c r="Z5719" s="168">
        <f t="shared" si="9"/>
        <v>0</v>
      </c>
    </row>
    <row r="5720" ht="15.0" customHeight="1">
      <c r="A5720" s="157" t="s">
        <v>7238</v>
      </c>
      <c r="B5720" s="158" t="s">
        <v>42</v>
      </c>
      <c r="C5720" s="158" t="s">
        <v>7228</v>
      </c>
      <c r="D5720" s="159">
        <v>45764.0</v>
      </c>
      <c r="E5720" s="157" t="s">
        <v>731</v>
      </c>
      <c r="F5720" s="160">
        <v>130732.78</v>
      </c>
      <c r="G5720" s="160">
        <f>'FACP$'!$F5720*0.16</f>
        <v>20917.2448</v>
      </c>
      <c r="H5720" s="160">
        <f t="shared" si="130"/>
        <v>151650.0248</v>
      </c>
      <c r="I5720" s="160"/>
      <c r="J5720" s="161"/>
      <c r="K5720" s="160"/>
      <c r="L5720" s="160">
        <f>+'FACP$'!$H5720-'FACP$'!$I5720-'FACP$'!$K5720</f>
        <v>151650.0248</v>
      </c>
      <c r="M5720" s="162" t="s">
        <v>42</v>
      </c>
      <c r="N5720" s="162"/>
      <c r="O5720" s="164"/>
      <c r="P5720" s="164">
        <f t="array" ref="P5720">XLOOKUP('FACP$'!$B5720,'perfil de pagos'!$A$4:$A$46,'perfil de pagos'!$B$4:$B$46+'FACP$'!$D5720)</f>
        <v>45774</v>
      </c>
      <c r="Q5720" s="165">
        <f t="shared" si="128"/>
        <v>15</v>
      </c>
      <c r="R5720" s="167"/>
      <c r="S5720" s="167"/>
      <c r="T5720" s="168">
        <f t="shared" si="3"/>
        <v>0</v>
      </c>
      <c r="U5720" s="168">
        <f t="shared" si="4"/>
        <v>151650.0248</v>
      </c>
      <c r="V5720" s="168">
        <f t="shared" si="5"/>
        <v>0</v>
      </c>
      <c r="W5720" s="168">
        <f t="shared" si="6"/>
        <v>0</v>
      </c>
      <c r="X5720" s="168">
        <f t="shared" si="7"/>
        <v>0</v>
      </c>
      <c r="Y5720" s="168">
        <f t="shared" si="8"/>
        <v>0</v>
      </c>
      <c r="Z5720" s="168">
        <f t="shared" si="9"/>
        <v>0</v>
      </c>
    </row>
    <row r="5721" ht="15.0" customHeight="1">
      <c r="A5721" s="157" t="s">
        <v>7239</v>
      </c>
      <c r="B5721" s="158" t="s">
        <v>38</v>
      </c>
      <c r="C5721" s="158" t="s">
        <v>7228</v>
      </c>
      <c r="D5721" s="159">
        <v>45768.0</v>
      </c>
      <c r="E5721" s="157" t="s">
        <v>731</v>
      </c>
      <c r="F5721" s="160">
        <v>112263.27</v>
      </c>
      <c r="G5721" s="160">
        <f>'FACP$'!$F5721*0.16</f>
        <v>17962.1232</v>
      </c>
      <c r="H5721" s="160">
        <f t="shared" si="130"/>
        <v>130225.3932</v>
      </c>
      <c r="I5721" s="160"/>
      <c r="J5721" s="161"/>
      <c r="K5721" s="160"/>
      <c r="L5721" s="160">
        <f>+'FACP$'!$H5721-'FACP$'!$I5721-'FACP$'!$K5721</f>
        <v>130225.3932</v>
      </c>
      <c r="M5721" s="162" t="s">
        <v>4654</v>
      </c>
      <c r="N5721" s="162"/>
      <c r="O5721" s="164"/>
      <c r="P5721" s="164">
        <f t="array" ref="P5721">XLOOKUP('FACP$'!$B5721,'perfil de pagos'!$A$4:$A$46,'perfil de pagos'!$B$4:$B$46+'FACP$'!$D5721)</f>
        <v>45798</v>
      </c>
      <c r="Q5721" s="165">
        <f t="shared" si="128"/>
        <v>-9</v>
      </c>
      <c r="R5721" s="167"/>
      <c r="S5721" s="167"/>
      <c r="T5721" s="168">
        <f t="shared" si="3"/>
        <v>130225.3932</v>
      </c>
      <c r="U5721" s="168">
        <f t="shared" si="4"/>
        <v>0</v>
      </c>
      <c r="V5721" s="168">
        <f t="shared" si="5"/>
        <v>0</v>
      </c>
      <c r="W5721" s="168">
        <f t="shared" si="6"/>
        <v>0</v>
      </c>
      <c r="X5721" s="168">
        <f t="shared" si="7"/>
        <v>0</v>
      </c>
      <c r="Y5721" s="168">
        <f t="shared" si="8"/>
        <v>0</v>
      </c>
      <c r="Z5721" s="168">
        <f t="shared" si="9"/>
        <v>0</v>
      </c>
    </row>
    <row r="5722" ht="15.0" customHeight="1">
      <c r="A5722" s="157" t="s">
        <v>7240</v>
      </c>
      <c r="B5722" s="158" t="s">
        <v>37</v>
      </c>
      <c r="C5722" s="158" t="s">
        <v>7228</v>
      </c>
      <c r="D5722" s="159">
        <v>45769.0</v>
      </c>
      <c r="E5722" s="157" t="s">
        <v>731</v>
      </c>
      <c r="F5722" s="160">
        <v>1787578.23</v>
      </c>
      <c r="G5722" s="160">
        <f>'FACP$'!$F5722*0.16</f>
        <v>286012.5168</v>
      </c>
      <c r="H5722" s="160">
        <f t="shared" si="130"/>
        <v>2073590.747</v>
      </c>
      <c r="I5722" s="160"/>
      <c r="J5722" s="161"/>
      <c r="K5722" s="160"/>
      <c r="L5722" s="160">
        <f>+'FACP$'!$H5722-'FACP$'!$I5722-'FACP$'!$K5722</f>
        <v>2073590.747</v>
      </c>
      <c r="M5722" s="162" t="s">
        <v>116</v>
      </c>
      <c r="N5722" s="162"/>
      <c r="O5722" s="164"/>
      <c r="P5722" s="164">
        <f t="array" ref="P5722">XLOOKUP('FACP$'!$B5722,'perfil de pagos'!$A$4:$A$46,'perfil de pagos'!$B$4:$B$46+'FACP$'!$D5722)</f>
        <v>45779</v>
      </c>
      <c r="Q5722" s="165">
        <f t="shared" si="128"/>
        <v>10</v>
      </c>
      <c r="R5722" s="167"/>
      <c r="S5722" s="167"/>
      <c r="T5722" s="168">
        <f t="shared" si="3"/>
        <v>0</v>
      </c>
      <c r="U5722" s="168">
        <f t="shared" si="4"/>
        <v>2073590.747</v>
      </c>
      <c r="V5722" s="168">
        <f t="shared" si="5"/>
        <v>0</v>
      </c>
      <c r="W5722" s="168">
        <f t="shared" si="6"/>
        <v>0</v>
      </c>
      <c r="X5722" s="168">
        <f t="shared" si="7"/>
        <v>0</v>
      </c>
      <c r="Y5722" s="168">
        <f t="shared" si="8"/>
        <v>0</v>
      </c>
      <c r="Z5722" s="168">
        <f t="shared" si="9"/>
        <v>0</v>
      </c>
    </row>
    <row r="5723" ht="15.0" customHeight="1">
      <c r="A5723" s="157" t="s">
        <v>7241</v>
      </c>
      <c r="B5723" s="158" t="s">
        <v>16</v>
      </c>
      <c r="C5723" s="158" t="s">
        <v>7228</v>
      </c>
      <c r="D5723" s="159">
        <v>45769.0</v>
      </c>
      <c r="E5723" s="157" t="s">
        <v>731</v>
      </c>
      <c r="F5723" s="160">
        <v>360839.11</v>
      </c>
      <c r="G5723" s="160">
        <f>'FACP$'!$F5723*0.16</f>
        <v>57734.2576</v>
      </c>
      <c r="H5723" s="160">
        <f t="shared" si="130"/>
        <v>418573.3676</v>
      </c>
      <c r="I5723" s="160"/>
      <c r="J5723" s="161"/>
      <c r="K5723" s="160"/>
      <c r="L5723" s="160">
        <f>+'FACP$'!$H5723-'FACP$'!$I5723-'FACP$'!$K5723</f>
        <v>418573.3676</v>
      </c>
      <c r="M5723" s="162" t="s">
        <v>985</v>
      </c>
      <c r="N5723" s="162" t="s">
        <v>554</v>
      </c>
      <c r="O5723" s="164">
        <v>45775.0</v>
      </c>
      <c r="P5723" s="164">
        <f t="array" ref="P5723">XLOOKUP('FACP$'!$B5723,'perfil de pagos'!$A$4:$A$46,'perfil de pagos'!$B$4:$B$46+'FACP$'!$D5723)</f>
        <v>45779</v>
      </c>
      <c r="Q5723" s="165">
        <f t="shared" si="128"/>
        <v>0</v>
      </c>
      <c r="R5723" s="167"/>
      <c r="S5723" s="167">
        <v>3781.0</v>
      </c>
      <c r="T5723" s="168">
        <f t="shared" si="3"/>
        <v>418573.3676</v>
      </c>
      <c r="U5723" s="168">
        <f t="shared" si="4"/>
        <v>0</v>
      </c>
      <c r="V5723" s="168">
        <f t="shared" si="5"/>
        <v>0</v>
      </c>
      <c r="W5723" s="168">
        <f t="shared" si="6"/>
        <v>0</v>
      </c>
      <c r="X5723" s="168">
        <f t="shared" si="7"/>
        <v>0</v>
      </c>
      <c r="Y5723" s="168">
        <f t="shared" si="8"/>
        <v>0</v>
      </c>
      <c r="Z5723" s="168">
        <f t="shared" si="9"/>
        <v>0</v>
      </c>
    </row>
    <row r="5724" ht="15.0" customHeight="1">
      <c r="A5724" s="157" t="s">
        <v>7242</v>
      </c>
      <c r="B5724" s="158" t="s">
        <v>16</v>
      </c>
      <c r="C5724" s="169" t="s">
        <v>7232</v>
      </c>
      <c r="D5724" s="159">
        <v>45769.0</v>
      </c>
      <c r="E5724" s="157" t="s">
        <v>731</v>
      </c>
      <c r="F5724" s="160">
        <v>408070.87</v>
      </c>
      <c r="G5724" s="160">
        <f>'FACP$'!$F5724*0.16</f>
        <v>65291.3392</v>
      </c>
      <c r="H5724" s="160">
        <f t="shared" si="130"/>
        <v>473362.2092</v>
      </c>
      <c r="I5724" s="160"/>
      <c r="J5724" s="161"/>
      <c r="K5724" s="160"/>
      <c r="L5724" s="160">
        <f>+'FACP$'!$H5724-'FACP$'!$I5724-'FACP$'!$K5724</f>
        <v>473362.2092</v>
      </c>
      <c r="M5724" s="162" t="s">
        <v>985</v>
      </c>
      <c r="N5724" s="162" t="s">
        <v>554</v>
      </c>
      <c r="O5724" s="164">
        <v>45775.0</v>
      </c>
      <c r="P5724" s="164">
        <f t="array" ref="P5724">XLOOKUP('FACP$'!$B5724,'perfil de pagos'!$A$4:$A$46,'perfil de pagos'!$B$4:$B$46+'FACP$'!$D5724)</f>
        <v>45779</v>
      </c>
      <c r="Q5724" s="165">
        <f t="shared" si="128"/>
        <v>0</v>
      </c>
      <c r="R5724" s="167"/>
      <c r="S5724" s="167">
        <v>3781.0</v>
      </c>
      <c r="T5724" s="168">
        <f t="shared" si="3"/>
        <v>473362.2092</v>
      </c>
      <c r="U5724" s="168">
        <f t="shared" si="4"/>
        <v>0</v>
      </c>
      <c r="V5724" s="168">
        <f t="shared" si="5"/>
        <v>0</v>
      </c>
      <c r="W5724" s="168">
        <f t="shared" si="6"/>
        <v>0</v>
      </c>
      <c r="X5724" s="168">
        <f t="shared" si="7"/>
        <v>0</v>
      </c>
      <c r="Y5724" s="168">
        <f t="shared" si="8"/>
        <v>0</v>
      </c>
      <c r="Z5724" s="168">
        <f t="shared" si="9"/>
        <v>0</v>
      </c>
    </row>
    <row r="5725" ht="15.0" customHeight="1">
      <c r="A5725" s="157" t="s">
        <v>7243</v>
      </c>
      <c r="B5725" s="158" t="s">
        <v>18</v>
      </c>
      <c r="C5725" s="158" t="s">
        <v>7228</v>
      </c>
      <c r="D5725" s="159">
        <v>45769.0</v>
      </c>
      <c r="E5725" s="157" t="s">
        <v>731</v>
      </c>
      <c r="F5725" s="160">
        <v>118084.27</v>
      </c>
      <c r="G5725" s="160">
        <f>'FACP$'!$F5725*0.16</f>
        <v>18893.4832</v>
      </c>
      <c r="H5725" s="160">
        <f t="shared" si="130"/>
        <v>136977.7532</v>
      </c>
      <c r="I5725" s="160"/>
      <c r="J5725" s="161"/>
      <c r="K5725" s="160"/>
      <c r="L5725" s="160">
        <f>+'FACP$'!$H5725-'FACP$'!$I5725-'FACP$'!$K5725</f>
        <v>136977.7532</v>
      </c>
      <c r="M5725" s="162" t="s">
        <v>586</v>
      </c>
      <c r="N5725" s="162"/>
      <c r="O5725" s="164"/>
      <c r="P5725" s="164">
        <f t="array" ref="P5725">XLOOKUP('FACP$'!$B5725,'perfil de pagos'!$A$4:$A$46,'perfil de pagos'!$B$4:$B$46+'FACP$'!$D5725)</f>
        <v>45779</v>
      </c>
      <c r="Q5725" s="165">
        <f t="shared" si="128"/>
        <v>10</v>
      </c>
      <c r="R5725" s="167"/>
      <c r="S5725" s="167"/>
      <c r="T5725" s="168">
        <f t="shared" si="3"/>
        <v>0</v>
      </c>
      <c r="U5725" s="168">
        <f t="shared" si="4"/>
        <v>136977.7532</v>
      </c>
      <c r="V5725" s="168">
        <f t="shared" si="5"/>
        <v>0</v>
      </c>
      <c r="W5725" s="168">
        <f t="shared" si="6"/>
        <v>0</v>
      </c>
      <c r="X5725" s="168">
        <f t="shared" si="7"/>
        <v>0</v>
      </c>
      <c r="Y5725" s="168">
        <f t="shared" si="8"/>
        <v>0</v>
      </c>
      <c r="Z5725" s="168">
        <f t="shared" si="9"/>
        <v>0</v>
      </c>
    </row>
    <row r="5726" ht="15.0" customHeight="1">
      <c r="A5726" s="157" t="s">
        <v>7244</v>
      </c>
      <c r="B5726" s="158" t="s">
        <v>19</v>
      </c>
      <c r="C5726" s="158" t="s">
        <v>7228</v>
      </c>
      <c r="D5726" s="159">
        <v>45769.0</v>
      </c>
      <c r="E5726" s="157" t="s">
        <v>731</v>
      </c>
      <c r="F5726" s="160">
        <v>230153.71</v>
      </c>
      <c r="G5726" s="160">
        <f>'FACP$'!$F5726*0.16</f>
        <v>36824.5936</v>
      </c>
      <c r="H5726" s="160">
        <f t="shared" si="130"/>
        <v>266978.3036</v>
      </c>
      <c r="I5726" s="160"/>
      <c r="J5726" s="161"/>
      <c r="K5726" s="160"/>
      <c r="L5726" s="160">
        <f>+'FACP$'!$H5726-'FACP$'!$I5726-'FACP$'!$K5726</f>
        <v>266978.3036</v>
      </c>
      <c r="M5726" s="162" t="s">
        <v>732</v>
      </c>
      <c r="N5726" s="162"/>
      <c r="O5726" s="164"/>
      <c r="P5726" s="164">
        <f t="array" ref="P5726">XLOOKUP('FACP$'!$B5726,'perfil de pagos'!$A$4:$A$46,'perfil de pagos'!$B$4:$B$46+'FACP$'!$D5726)</f>
        <v>45779</v>
      </c>
      <c r="Q5726" s="165">
        <f t="shared" si="128"/>
        <v>10</v>
      </c>
      <c r="R5726" s="167"/>
      <c r="S5726" s="167"/>
      <c r="T5726" s="168">
        <f t="shared" si="3"/>
        <v>0</v>
      </c>
      <c r="U5726" s="168">
        <f t="shared" si="4"/>
        <v>266978.3036</v>
      </c>
      <c r="V5726" s="168">
        <f t="shared" si="5"/>
        <v>0</v>
      </c>
      <c r="W5726" s="168">
        <f t="shared" si="6"/>
        <v>0</v>
      </c>
      <c r="X5726" s="168">
        <f t="shared" si="7"/>
        <v>0</v>
      </c>
      <c r="Y5726" s="168">
        <f t="shared" si="8"/>
        <v>0</v>
      </c>
      <c r="Z5726" s="168">
        <f t="shared" si="9"/>
        <v>0</v>
      </c>
    </row>
    <row r="5727" ht="15.0" customHeight="1">
      <c r="A5727" s="157" t="s">
        <v>7245</v>
      </c>
      <c r="B5727" s="158" t="s">
        <v>40</v>
      </c>
      <c r="C5727" s="158" t="s">
        <v>7228</v>
      </c>
      <c r="D5727" s="159">
        <v>45769.0</v>
      </c>
      <c r="E5727" s="157" t="s">
        <v>731</v>
      </c>
      <c r="F5727" s="160">
        <v>293783.27</v>
      </c>
      <c r="G5727" s="160">
        <f>'FACP$'!$F5727*0.16</f>
        <v>47005.3232</v>
      </c>
      <c r="H5727" s="160">
        <f t="shared" si="130"/>
        <v>340788.5932</v>
      </c>
      <c r="I5727" s="160"/>
      <c r="J5727" s="161"/>
      <c r="K5727" s="160"/>
      <c r="L5727" s="160">
        <f>+'FACP$'!$H5727-'FACP$'!$I5727-'FACP$'!$K5727</f>
        <v>340788.5932</v>
      </c>
      <c r="M5727" s="162" t="s">
        <v>490</v>
      </c>
      <c r="N5727" s="162"/>
      <c r="O5727" s="164"/>
      <c r="P5727" s="164">
        <f t="array" ref="P5727">XLOOKUP('FACP$'!$B5727,'perfil de pagos'!$A$4:$A$46,'perfil de pagos'!$B$4:$B$46+'FACP$'!$D5727)</f>
        <v>45799</v>
      </c>
      <c r="Q5727" s="165">
        <f t="shared" si="128"/>
        <v>-10</v>
      </c>
      <c r="R5727" s="167"/>
      <c r="S5727" s="167"/>
      <c r="T5727" s="168">
        <f t="shared" si="3"/>
        <v>340788.5932</v>
      </c>
      <c r="U5727" s="168">
        <f t="shared" si="4"/>
        <v>0</v>
      </c>
      <c r="V5727" s="168">
        <f t="shared" si="5"/>
        <v>0</v>
      </c>
      <c r="W5727" s="168">
        <f t="shared" si="6"/>
        <v>0</v>
      </c>
      <c r="X5727" s="168">
        <f t="shared" si="7"/>
        <v>0</v>
      </c>
      <c r="Y5727" s="168">
        <f t="shared" si="8"/>
        <v>0</v>
      </c>
      <c r="Z5727" s="168">
        <f t="shared" si="9"/>
        <v>0</v>
      </c>
    </row>
    <row r="5728" ht="15.0" customHeight="1">
      <c r="A5728" s="157" t="s">
        <v>7246</v>
      </c>
      <c r="B5728" s="158" t="s">
        <v>40</v>
      </c>
      <c r="C5728" s="169" t="s">
        <v>7232</v>
      </c>
      <c r="D5728" s="159">
        <v>45769.0</v>
      </c>
      <c r="E5728" s="157" t="s">
        <v>731</v>
      </c>
      <c r="F5728" s="160">
        <v>200344.95</v>
      </c>
      <c r="G5728" s="160">
        <f>'FACP$'!$F5728*0.16</f>
        <v>32055.192</v>
      </c>
      <c r="H5728" s="160">
        <f t="shared" si="130"/>
        <v>232400.142</v>
      </c>
      <c r="I5728" s="160"/>
      <c r="J5728" s="161"/>
      <c r="K5728" s="160"/>
      <c r="L5728" s="160">
        <f>+'FACP$'!$H5728-'FACP$'!$I5728-'FACP$'!$K5728</f>
        <v>232400.142</v>
      </c>
      <c r="M5728" s="162" t="s">
        <v>490</v>
      </c>
      <c r="N5728" s="162"/>
      <c r="O5728" s="164"/>
      <c r="P5728" s="164">
        <f t="array" ref="P5728">XLOOKUP('FACP$'!$B5728,'perfil de pagos'!$A$4:$A$46,'perfil de pagos'!$B$4:$B$46+'FACP$'!$D5728)</f>
        <v>45799</v>
      </c>
      <c r="Q5728" s="165">
        <f t="shared" si="128"/>
        <v>-10</v>
      </c>
      <c r="R5728" s="167"/>
      <c r="S5728" s="167"/>
      <c r="T5728" s="168">
        <f t="shared" si="3"/>
        <v>232400.142</v>
      </c>
      <c r="U5728" s="168">
        <f t="shared" si="4"/>
        <v>0</v>
      </c>
      <c r="V5728" s="168">
        <f t="shared" si="5"/>
        <v>0</v>
      </c>
      <c r="W5728" s="168">
        <f t="shared" si="6"/>
        <v>0</v>
      </c>
      <c r="X5728" s="168">
        <f t="shared" si="7"/>
        <v>0</v>
      </c>
      <c r="Y5728" s="168">
        <f t="shared" si="8"/>
        <v>0</v>
      </c>
      <c r="Z5728" s="168">
        <f t="shared" si="9"/>
        <v>0</v>
      </c>
    </row>
    <row r="5729" ht="15.0" customHeight="1">
      <c r="A5729" s="157" t="s">
        <v>7247</v>
      </c>
      <c r="B5729" s="158" t="s">
        <v>38</v>
      </c>
      <c r="C5729" s="158" t="s">
        <v>7228</v>
      </c>
      <c r="D5729" s="159">
        <v>45769.0</v>
      </c>
      <c r="E5729" s="157" t="s">
        <v>731</v>
      </c>
      <c r="F5729" s="160">
        <v>616244.62</v>
      </c>
      <c r="G5729" s="160">
        <f>'FACP$'!$F5729*0.16</f>
        <v>98599.1392</v>
      </c>
      <c r="H5729" s="160">
        <f t="shared" si="130"/>
        <v>714843.7592</v>
      </c>
      <c r="I5729" s="160"/>
      <c r="J5729" s="161"/>
      <c r="K5729" s="160"/>
      <c r="L5729" s="160">
        <f>+'FACP$'!$H5729-'FACP$'!$I5729-'FACP$'!$K5729</f>
        <v>714843.7592</v>
      </c>
      <c r="M5729" s="162" t="s">
        <v>6978</v>
      </c>
      <c r="N5729" s="162"/>
      <c r="O5729" s="164"/>
      <c r="P5729" s="164">
        <f t="array" ref="P5729">XLOOKUP('FACP$'!$B5729,'perfil de pagos'!$A$4:$A$46,'perfil de pagos'!$B$4:$B$46+'FACP$'!$D5729)</f>
        <v>45799</v>
      </c>
      <c r="Q5729" s="165">
        <f t="shared" si="128"/>
        <v>-10</v>
      </c>
      <c r="R5729" s="167"/>
      <c r="S5729" s="167"/>
      <c r="T5729" s="168">
        <f t="shared" si="3"/>
        <v>714843.7592</v>
      </c>
      <c r="U5729" s="168">
        <f t="shared" si="4"/>
        <v>0</v>
      </c>
      <c r="V5729" s="168">
        <f t="shared" si="5"/>
        <v>0</v>
      </c>
      <c r="W5729" s="168">
        <f t="shared" si="6"/>
        <v>0</v>
      </c>
      <c r="X5729" s="168">
        <f t="shared" si="7"/>
        <v>0</v>
      </c>
      <c r="Y5729" s="168">
        <f t="shared" si="8"/>
        <v>0</v>
      </c>
      <c r="Z5729" s="168">
        <f t="shared" si="9"/>
        <v>0</v>
      </c>
    </row>
    <row r="5730" ht="15.0" customHeight="1">
      <c r="A5730" s="157" t="s">
        <v>7248</v>
      </c>
      <c r="B5730" s="158" t="s">
        <v>25</v>
      </c>
      <c r="C5730" s="158" t="s">
        <v>7228</v>
      </c>
      <c r="D5730" s="159">
        <v>45770.0</v>
      </c>
      <c r="E5730" s="157" t="s">
        <v>731</v>
      </c>
      <c r="F5730" s="160">
        <v>81308.16</v>
      </c>
      <c r="G5730" s="160">
        <f>'FACP$'!$F5730*0.16</f>
        <v>13009.3056</v>
      </c>
      <c r="H5730" s="160">
        <f t="shared" si="130"/>
        <v>94317.4656</v>
      </c>
      <c r="I5730" s="160"/>
      <c r="J5730" s="161"/>
      <c r="K5730" s="160"/>
      <c r="L5730" s="160">
        <f>+'FACP$'!$H5730-'FACP$'!$I5730-'FACP$'!$K5730</f>
        <v>94317.4656</v>
      </c>
      <c r="M5730" s="162" t="s">
        <v>4388</v>
      </c>
      <c r="N5730" s="162"/>
      <c r="O5730" s="164"/>
      <c r="P5730" s="164">
        <f>D5730+10</f>
        <v>45780</v>
      </c>
      <c r="Q5730" s="165">
        <f t="shared" si="128"/>
        <v>9</v>
      </c>
      <c r="R5730" s="167"/>
      <c r="S5730" s="167"/>
      <c r="T5730" s="168">
        <f t="shared" si="3"/>
        <v>0</v>
      </c>
      <c r="U5730" s="168">
        <f t="shared" si="4"/>
        <v>94317.4656</v>
      </c>
      <c r="V5730" s="168">
        <f t="shared" si="5"/>
        <v>0</v>
      </c>
      <c r="W5730" s="168">
        <f t="shared" si="6"/>
        <v>0</v>
      </c>
      <c r="X5730" s="168">
        <f t="shared" si="7"/>
        <v>0</v>
      </c>
      <c r="Y5730" s="168">
        <f t="shared" si="8"/>
        <v>0</v>
      </c>
      <c r="Z5730" s="168">
        <f t="shared" si="9"/>
        <v>0</v>
      </c>
    </row>
    <row r="5731" ht="15.0" customHeight="1">
      <c r="A5731" s="157" t="s">
        <v>7249</v>
      </c>
      <c r="B5731" s="158" t="s">
        <v>54</v>
      </c>
      <c r="C5731" s="158" t="s">
        <v>7228</v>
      </c>
      <c r="D5731" s="159">
        <v>45770.0</v>
      </c>
      <c r="E5731" s="157" t="s">
        <v>731</v>
      </c>
      <c r="F5731" s="160">
        <v>358009.41</v>
      </c>
      <c r="G5731" s="160">
        <f>'FACP$'!$F5731*0.16</f>
        <v>57281.5056</v>
      </c>
      <c r="H5731" s="160">
        <f t="shared" si="130"/>
        <v>415290.9156</v>
      </c>
      <c r="I5731" s="160"/>
      <c r="J5731" s="161"/>
      <c r="K5731" s="160"/>
      <c r="L5731" s="160">
        <f>+'FACP$'!$H5731-'FACP$'!$I5731-'FACP$'!$K5731</f>
        <v>415290.9156</v>
      </c>
      <c r="M5731" s="162" t="s">
        <v>7209</v>
      </c>
      <c r="N5731" s="162"/>
      <c r="O5731" s="164"/>
      <c r="P5731" s="164">
        <f t="array" ref="P5731">XLOOKUP('FACP$'!$B5731,'perfil de pagos'!$A$4:$A$46,'perfil de pagos'!$B$4:$B$46+'FACP$'!$D5731)</f>
        <v>45830</v>
      </c>
      <c r="Q5731" s="165">
        <f t="shared" si="128"/>
        <v>-41</v>
      </c>
      <c r="R5731" s="167"/>
      <c r="S5731" s="167"/>
      <c r="T5731" s="168">
        <f t="shared" si="3"/>
        <v>415290.9156</v>
      </c>
      <c r="U5731" s="168">
        <f t="shared" si="4"/>
        <v>0</v>
      </c>
      <c r="V5731" s="168">
        <f t="shared" si="5"/>
        <v>0</v>
      </c>
      <c r="W5731" s="168">
        <f t="shared" si="6"/>
        <v>0</v>
      </c>
      <c r="X5731" s="168">
        <f t="shared" si="7"/>
        <v>0</v>
      </c>
      <c r="Y5731" s="168">
        <f t="shared" si="8"/>
        <v>0</v>
      </c>
      <c r="Z5731" s="168">
        <f t="shared" si="9"/>
        <v>0</v>
      </c>
    </row>
    <row r="5732" ht="15.0" customHeight="1">
      <c r="A5732" s="157" t="s">
        <v>7250</v>
      </c>
      <c r="B5732" s="158" t="s">
        <v>54</v>
      </c>
      <c r="C5732" s="169" t="s">
        <v>7232</v>
      </c>
      <c r="D5732" s="159">
        <v>45770.0</v>
      </c>
      <c r="E5732" s="157" t="s">
        <v>731</v>
      </c>
      <c r="F5732" s="160">
        <v>503102.25</v>
      </c>
      <c r="G5732" s="160">
        <f>'FACP$'!$F5732*0.16</f>
        <v>80496.36</v>
      </c>
      <c r="H5732" s="160">
        <f t="shared" si="130"/>
        <v>583598.61</v>
      </c>
      <c r="I5732" s="160"/>
      <c r="J5732" s="161"/>
      <c r="K5732" s="160"/>
      <c r="L5732" s="160">
        <f>+'FACP$'!$H5732-'FACP$'!$I5732-'FACP$'!$K5732</f>
        <v>583598.61</v>
      </c>
      <c r="M5732" s="162" t="s">
        <v>7011</v>
      </c>
      <c r="N5732" s="162"/>
      <c r="O5732" s="164"/>
      <c r="P5732" s="164">
        <f t="array" ref="P5732">XLOOKUP('FACP$'!$B5732,'perfil de pagos'!$A$4:$A$46,'perfil de pagos'!$B$4:$B$46+'FACP$'!$D5732)</f>
        <v>45830</v>
      </c>
      <c r="Q5732" s="165">
        <f t="shared" si="128"/>
        <v>-41</v>
      </c>
      <c r="R5732" s="167"/>
      <c r="S5732" s="167"/>
      <c r="T5732" s="168">
        <f t="shared" si="3"/>
        <v>583598.61</v>
      </c>
      <c r="U5732" s="168">
        <f t="shared" si="4"/>
        <v>0</v>
      </c>
      <c r="V5732" s="168">
        <f t="shared" si="5"/>
        <v>0</v>
      </c>
      <c r="W5732" s="168">
        <f t="shared" si="6"/>
        <v>0</v>
      </c>
      <c r="X5732" s="168">
        <f t="shared" si="7"/>
        <v>0</v>
      </c>
      <c r="Y5732" s="168">
        <f t="shared" si="8"/>
        <v>0</v>
      </c>
      <c r="Z5732" s="168">
        <f t="shared" si="9"/>
        <v>0</v>
      </c>
    </row>
    <row r="5733" ht="15.0" customHeight="1">
      <c r="A5733" s="157" t="s">
        <v>7251</v>
      </c>
      <c r="B5733" s="158" t="s">
        <v>27</v>
      </c>
      <c r="C5733" s="158" t="s">
        <v>7252</v>
      </c>
      <c r="D5733" s="159">
        <v>45771.0</v>
      </c>
      <c r="E5733" s="157" t="s">
        <v>731</v>
      </c>
      <c r="F5733" s="160">
        <v>189916.26</v>
      </c>
      <c r="G5733" s="160">
        <f>'FACP$'!$F5733*0.16</f>
        <v>30386.6016</v>
      </c>
      <c r="H5733" s="160">
        <f t="shared" si="130"/>
        <v>220302.8616</v>
      </c>
      <c r="I5733" s="160"/>
      <c r="J5733" s="161"/>
      <c r="K5733" s="160"/>
      <c r="L5733" s="160">
        <f>+'FACP$'!$H5733-'FACP$'!$I5733-'FACP$'!$K5733</f>
        <v>220302.8616</v>
      </c>
      <c r="M5733" s="162" t="s">
        <v>158</v>
      </c>
      <c r="N5733" s="162"/>
      <c r="O5733" s="164"/>
      <c r="P5733" s="164">
        <f t="array" ref="P5733">XLOOKUP('FACP$'!$B5733,'perfil de pagos'!$A$4:$A$46,'perfil de pagos'!$B$4:$B$46+'FACP$'!$D5733)</f>
        <v>45801</v>
      </c>
      <c r="Q5733" s="165">
        <f t="shared" si="128"/>
        <v>-12</v>
      </c>
      <c r="R5733" s="167"/>
      <c r="S5733" s="167"/>
      <c r="T5733" s="168">
        <f t="shared" si="3"/>
        <v>220302.8616</v>
      </c>
      <c r="U5733" s="168">
        <f t="shared" si="4"/>
        <v>0</v>
      </c>
      <c r="V5733" s="168">
        <f t="shared" si="5"/>
        <v>0</v>
      </c>
      <c r="W5733" s="168">
        <f t="shared" si="6"/>
        <v>0</v>
      </c>
      <c r="X5733" s="168">
        <f t="shared" si="7"/>
        <v>0</v>
      </c>
      <c r="Y5733" s="168">
        <f t="shared" si="8"/>
        <v>0</v>
      </c>
      <c r="Z5733" s="168">
        <f t="shared" si="9"/>
        <v>0</v>
      </c>
    </row>
    <row r="5734" ht="15.0" customHeight="1">
      <c r="A5734" s="157" t="s">
        <v>7253</v>
      </c>
      <c r="B5734" s="158" t="s">
        <v>27</v>
      </c>
      <c r="C5734" s="169" t="s">
        <v>7254</v>
      </c>
      <c r="D5734" s="159">
        <v>45771.0</v>
      </c>
      <c r="E5734" s="157" t="s">
        <v>731</v>
      </c>
      <c r="F5734" s="160">
        <v>109412.47</v>
      </c>
      <c r="G5734" s="160">
        <f>'FACP$'!$F5734*0.16</f>
        <v>17505.9952</v>
      </c>
      <c r="H5734" s="160">
        <f t="shared" si="130"/>
        <v>126918.4652</v>
      </c>
      <c r="I5734" s="160"/>
      <c r="J5734" s="161"/>
      <c r="K5734" s="160"/>
      <c r="L5734" s="160">
        <f>+'FACP$'!$H5734-'FACP$'!$I5734-'FACP$'!$K5734</f>
        <v>126918.4652</v>
      </c>
      <c r="M5734" s="162" t="s">
        <v>158</v>
      </c>
      <c r="N5734" s="162"/>
      <c r="O5734" s="164"/>
      <c r="P5734" s="164">
        <f t="array" ref="P5734">XLOOKUP('FACP$'!$B5734,'perfil de pagos'!$A$4:$A$46,'perfil de pagos'!$B$4:$B$46+'FACP$'!$D5734)</f>
        <v>45801</v>
      </c>
      <c r="Q5734" s="165">
        <f t="shared" si="128"/>
        <v>-12</v>
      </c>
      <c r="R5734" s="167"/>
      <c r="S5734" s="167"/>
      <c r="T5734" s="168">
        <f t="shared" si="3"/>
        <v>126918.4652</v>
      </c>
      <c r="U5734" s="168">
        <f t="shared" si="4"/>
        <v>0</v>
      </c>
      <c r="V5734" s="168">
        <f t="shared" si="5"/>
        <v>0</v>
      </c>
      <c r="W5734" s="168">
        <f t="shared" si="6"/>
        <v>0</v>
      </c>
      <c r="X5734" s="168">
        <f t="shared" si="7"/>
        <v>0</v>
      </c>
      <c r="Y5734" s="168">
        <f t="shared" si="8"/>
        <v>0</v>
      </c>
      <c r="Z5734" s="168">
        <f t="shared" si="9"/>
        <v>0</v>
      </c>
    </row>
    <row r="5735" ht="15.0" customHeight="1">
      <c r="A5735" s="157" t="s">
        <v>7255</v>
      </c>
      <c r="B5735" s="158" t="s">
        <v>32</v>
      </c>
      <c r="C5735" s="158" t="s">
        <v>5245</v>
      </c>
      <c r="D5735" s="159">
        <v>45771.0</v>
      </c>
      <c r="E5735" s="157" t="s">
        <v>731</v>
      </c>
      <c r="F5735" s="160">
        <v>17030.42</v>
      </c>
      <c r="G5735" s="160">
        <f>'FACP$'!$F5735*0.16</f>
        <v>2724.8672</v>
      </c>
      <c r="H5735" s="160">
        <f t="shared" si="130"/>
        <v>19755.2872</v>
      </c>
      <c r="I5735" s="160"/>
      <c r="J5735" s="161"/>
      <c r="K5735" s="160"/>
      <c r="L5735" s="160">
        <f>+'FACP$'!$H5735-'FACP$'!$I5735-'FACP$'!$K5735</f>
        <v>19755.2872</v>
      </c>
      <c r="M5735" s="162" t="s">
        <v>395</v>
      </c>
      <c r="N5735" s="162"/>
      <c r="O5735" s="164"/>
      <c r="P5735" s="164">
        <f t="array" ref="P5735">XLOOKUP('FACP$'!$B5735,'perfil de pagos'!$A$4:$A$46,'perfil de pagos'!$B$4:$B$46+'FACP$'!$D5735)</f>
        <v>45781</v>
      </c>
      <c r="Q5735" s="165">
        <f t="shared" si="128"/>
        <v>8</v>
      </c>
      <c r="R5735" s="167"/>
      <c r="S5735" s="167"/>
      <c r="T5735" s="168">
        <f t="shared" si="3"/>
        <v>0</v>
      </c>
      <c r="U5735" s="168">
        <f t="shared" si="4"/>
        <v>19755.2872</v>
      </c>
      <c r="V5735" s="168">
        <f t="shared" si="5"/>
        <v>0</v>
      </c>
      <c r="W5735" s="168">
        <f t="shared" si="6"/>
        <v>0</v>
      </c>
      <c r="X5735" s="168">
        <f t="shared" si="7"/>
        <v>0</v>
      </c>
      <c r="Y5735" s="168">
        <f t="shared" si="8"/>
        <v>0</v>
      </c>
      <c r="Z5735" s="168">
        <f t="shared" si="9"/>
        <v>0</v>
      </c>
    </row>
    <row r="5736" ht="15.0" customHeight="1">
      <c r="A5736" s="157" t="s">
        <v>7256</v>
      </c>
      <c r="B5736" s="158" t="s">
        <v>55</v>
      </c>
      <c r="C5736" s="158" t="s">
        <v>7252</v>
      </c>
      <c r="D5736" s="159">
        <v>45772.0</v>
      </c>
      <c r="E5736" s="157" t="s">
        <v>731</v>
      </c>
      <c r="F5736" s="160">
        <v>211199.28</v>
      </c>
      <c r="G5736" s="160">
        <f>'FACP$'!$F5736*0.16</f>
        <v>33791.8848</v>
      </c>
      <c r="H5736" s="160">
        <f t="shared" si="130"/>
        <v>244991.1648</v>
      </c>
      <c r="I5736" s="160"/>
      <c r="J5736" s="161"/>
      <c r="K5736" s="160"/>
      <c r="L5736" s="160">
        <f>+'FACP$'!$H5736-'FACP$'!$I5736-'FACP$'!$K5736</f>
        <v>244991.1648</v>
      </c>
      <c r="M5736" s="162" t="s">
        <v>7029</v>
      </c>
      <c r="N5736" s="162"/>
      <c r="O5736" s="164"/>
      <c r="P5736" s="164">
        <f t="array" ref="P5736">XLOOKUP('FACP$'!$B5736,'perfil de pagos'!$A$4:$A$46,'perfil de pagos'!$B$4:$B$46+'FACP$'!$D5736)</f>
        <v>45782</v>
      </c>
      <c r="Q5736" s="165">
        <f t="shared" si="128"/>
        <v>7</v>
      </c>
      <c r="R5736" s="167"/>
      <c r="S5736" s="167"/>
      <c r="T5736" s="168">
        <f t="shared" si="3"/>
        <v>0</v>
      </c>
      <c r="U5736" s="168">
        <f t="shared" si="4"/>
        <v>244991.1648</v>
      </c>
      <c r="V5736" s="168">
        <f t="shared" si="5"/>
        <v>0</v>
      </c>
      <c r="W5736" s="168">
        <f t="shared" si="6"/>
        <v>0</v>
      </c>
      <c r="X5736" s="168">
        <f t="shared" si="7"/>
        <v>0</v>
      </c>
      <c r="Y5736" s="168">
        <f t="shared" si="8"/>
        <v>0</v>
      </c>
      <c r="Z5736" s="168">
        <f t="shared" si="9"/>
        <v>0</v>
      </c>
    </row>
    <row r="5737" ht="15.0" customHeight="1">
      <c r="A5737" s="157" t="s">
        <v>7257</v>
      </c>
      <c r="B5737" s="158" t="s">
        <v>55</v>
      </c>
      <c r="C5737" s="169" t="s">
        <v>7232</v>
      </c>
      <c r="D5737" s="159">
        <v>45772.0</v>
      </c>
      <c r="E5737" s="157" t="s">
        <v>731</v>
      </c>
      <c r="F5737" s="160">
        <v>112494.16</v>
      </c>
      <c r="G5737" s="160">
        <f>'FACP$'!$F5737*0.16</f>
        <v>17999.0656</v>
      </c>
      <c r="H5737" s="160">
        <f t="shared" si="130"/>
        <v>130493.2256</v>
      </c>
      <c r="I5737" s="160"/>
      <c r="J5737" s="161"/>
      <c r="K5737" s="160"/>
      <c r="L5737" s="160">
        <f>+'FACP$'!$H5737-'FACP$'!$I5737-'FACP$'!$K5737</f>
        <v>130493.2256</v>
      </c>
      <c r="M5737" s="162" t="s">
        <v>7029</v>
      </c>
      <c r="N5737" s="162"/>
      <c r="O5737" s="164"/>
      <c r="P5737" s="164">
        <f t="array" ref="P5737">XLOOKUP('FACP$'!$B5737,'perfil de pagos'!$A$4:$A$46,'perfil de pagos'!$B$4:$B$46+'FACP$'!$D5737)</f>
        <v>45782</v>
      </c>
      <c r="Q5737" s="165">
        <f t="shared" si="128"/>
        <v>7</v>
      </c>
      <c r="R5737" s="167"/>
      <c r="S5737" s="167"/>
      <c r="T5737" s="168">
        <f t="shared" si="3"/>
        <v>0</v>
      </c>
      <c r="U5737" s="168">
        <f t="shared" si="4"/>
        <v>130493.2256</v>
      </c>
      <c r="V5737" s="168">
        <f t="shared" si="5"/>
        <v>0</v>
      </c>
      <c r="W5737" s="168">
        <f t="shared" si="6"/>
        <v>0</v>
      </c>
      <c r="X5737" s="168">
        <f t="shared" si="7"/>
        <v>0</v>
      </c>
      <c r="Y5737" s="168">
        <f t="shared" si="8"/>
        <v>0</v>
      </c>
      <c r="Z5737" s="168">
        <f t="shared" si="9"/>
        <v>0</v>
      </c>
    </row>
    <row r="5738" ht="15.0" customHeight="1">
      <c r="A5738" s="157" t="s">
        <v>7258</v>
      </c>
      <c r="B5738" s="158" t="s">
        <v>55</v>
      </c>
      <c r="C5738" s="158" t="s">
        <v>7259</v>
      </c>
      <c r="D5738" s="159">
        <v>45772.0</v>
      </c>
      <c r="E5738" s="157" t="s">
        <v>731</v>
      </c>
      <c r="F5738" s="160">
        <v>15560.0</v>
      </c>
      <c r="G5738" s="160">
        <f>'FACP$'!$F5738*0.16</f>
        <v>2489.6</v>
      </c>
      <c r="H5738" s="160">
        <f t="shared" si="130"/>
        <v>18049.6</v>
      </c>
      <c r="I5738" s="160"/>
      <c r="J5738" s="161"/>
      <c r="K5738" s="160"/>
      <c r="L5738" s="160">
        <f>+'FACP$'!$H5738-'FACP$'!$I5738-'FACP$'!$K5738</f>
        <v>18049.6</v>
      </c>
      <c r="M5738" s="162" t="s">
        <v>7029</v>
      </c>
      <c r="N5738" s="162" t="s">
        <v>554</v>
      </c>
      <c r="O5738" s="164">
        <v>45776.0</v>
      </c>
      <c r="P5738" s="164">
        <f t="array" ref="P5738">XLOOKUP('FACP$'!$B5738,'perfil de pagos'!$A$4:$A$46,'perfil de pagos'!$B$4:$B$46+'FACP$'!$D5738)</f>
        <v>45782</v>
      </c>
      <c r="Q5738" s="165">
        <f t="shared" si="128"/>
        <v>0</v>
      </c>
      <c r="R5738" s="167"/>
      <c r="S5738" s="167">
        <v>3782.0</v>
      </c>
      <c r="T5738" s="168">
        <f t="shared" si="3"/>
        <v>18049.6</v>
      </c>
      <c r="U5738" s="168">
        <f t="shared" si="4"/>
        <v>0</v>
      </c>
      <c r="V5738" s="168">
        <f t="shared" si="5"/>
        <v>0</v>
      </c>
      <c r="W5738" s="168">
        <f t="shared" si="6"/>
        <v>0</v>
      </c>
      <c r="X5738" s="168">
        <f t="shared" si="7"/>
        <v>0</v>
      </c>
      <c r="Y5738" s="168">
        <f t="shared" si="8"/>
        <v>0</v>
      </c>
      <c r="Z5738" s="168">
        <f t="shared" si="9"/>
        <v>0</v>
      </c>
    </row>
    <row r="5739" ht="15.0" customHeight="1">
      <c r="A5739" s="157" t="s">
        <v>7260</v>
      </c>
      <c r="B5739" s="158" t="s">
        <v>53</v>
      </c>
      <c r="C5739" s="158" t="s">
        <v>7261</v>
      </c>
      <c r="D5739" s="159">
        <v>45772.0</v>
      </c>
      <c r="E5739" s="157" t="s">
        <v>731</v>
      </c>
      <c r="F5739" s="160">
        <v>4638.91</v>
      </c>
      <c r="G5739" s="160">
        <f>'FACP$'!$F5739*0.16</f>
        <v>742.2256</v>
      </c>
      <c r="H5739" s="160">
        <f t="shared" si="130"/>
        <v>5381.1356</v>
      </c>
      <c r="I5739" s="160"/>
      <c r="J5739" s="161"/>
      <c r="K5739" s="160"/>
      <c r="L5739" s="160">
        <f>+'FACP$'!$H5739-'FACP$'!$I5739-'FACP$'!$K5739</f>
        <v>5381.1356</v>
      </c>
      <c r="M5739" s="162" t="s">
        <v>53</v>
      </c>
      <c r="N5739" s="162"/>
      <c r="O5739" s="164"/>
      <c r="P5739" s="164">
        <f t="array" ref="P5739">XLOOKUP('FACP$'!$B5739,'perfil de pagos'!$A$4:$A$46,'perfil de pagos'!$B$4:$B$46+'FACP$'!$D5739)</f>
        <v>45787</v>
      </c>
      <c r="Q5739" s="165">
        <f t="shared" si="128"/>
        <v>2</v>
      </c>
      <c r="R5739" s="167"/>
      <c r="S5739" s="167"/>
      <c r="T5739" s="168">
        <f t="shared" si="3"/>
        <v>0</v>
      </c>
      <c r="U5739" s="168">
        <f t="shared" si="4"/>
        <v>5381.1356</v>
      </c>
      <c r="V5739" s="168">
        <f t="shared" si="5"/>
        <v>0</v>
      </c>
      <c r="W5739" s="168">
        <f t="shared" si="6"/>
        <v>0</v>
      </c>
      <c r="X5739" s="168">
        <f t="shared" si="7"/>
        <v>0</v>
      </c>
      <c r="Y5739" s="168">
        <f t="shared" si="8"/>
        <v>0</v>
      </c>
      <c r="Z5739" s="168">
        <f t="shared" si="9"/>
        <v>0</v>
      </c>
    </row>
    <row r="5740" ht="15.0" customHeight="1">
      <c r="A5740" s="157"/>
      <c r="B5740" s="158"/>
      <c r="C5740" s="158"/>
      <c r="D5740" s="159"/>
      <c r="E5740" s="157" t="s">
        <v>731</v>
      </c>
      <c r="F5740" s="160"/>
      <c r="G5740" s="160">
        <f>'FACP$'!$F5740*0.16</f>
        <v>0</v>
      </c>
      <c r="H5740" s="160">
        <f t="shared" si="130"/>
        <v>0</v>
      </c>
      <c r="I5740" s="160"/>
      <c r="J5740" s="161"/>
      <c r="K5740" s="160"/>
      <c r="L5740" s="160">
        <f>+'FACP$'!$H5740-'FACP$'!$I5740-'FACP$'!$K5740</f>
        <v>0</v>
      </c>
      <c r="M5740" s="162"/>
      <c r="N5740" s="162"/>
      <c r="O5740" s="164"/>
      <c r="P5740" s="164" t="str">
        <f t="array" ref="P5740">XLOOKUP('FACP$'!$B5740,'perfil de pagos'!$A$4:$A$46,'perfil de pagos'!$B$4:$B$46+'FACP$'!$D5740)</f>
        <v>#N/A</v>
      </c>
      <c r="Q5740" s="165" t="str">
        <f t="shared" si="128"/>
        <v>#N/A</v>
      </c>
      <c r="R5740" s="167"/>
      <c r="S5740" s="167"/>
      <c r="T5740" s="168" t="str">
        <f t="shared" si="3"/>
        <v>#N/A</v>
      </c>
      <c r="U5740" s="168" t="str">
        <f t="shared" si="4"/>
        <v>#N/A</v>
      </c>
      <c r="V5740" s="168" t="str">
        <f t="shared" si="5"/>
        <v>#N/A</v>
      </c>
      <c r="W5740" s="168" t="str">
        <f t="shared" si="6"/>
        <v>#N/A</v>
      </c>
      <c r="X5740" s="168" t="str">
        <f t="shared" si="7"/>
        <v>#N/A</v>
      </c>
      <c r="Y5740" s="168" t="str">
        <f t="shared" si="8"/>
        <v>#N/A</v>
      </c>
      <c r="Z5740" s="168" t="str">
        <f t="shared" si="9"/>
        <v>#N/A</v>
      </c>
    </row>
    <row r="5741" ht="15.0" customHeight="1">
      <c r="A5741" s="157"/>
      <c r="B5741" s="158"/>
      <c r="C5741" s="158"/>
      <c r="D5741" s="159"/>
      <c r="E5741" s="157" t="s">
        <v>731</v>
      </c>
      <c r="F5741" s="160"/>
      <c r="G5741" s="160">
        <f>'FACP$'!$F5741*0.16</f>
        <v>0</v>
      </c>
      <c r="H5741" s="160">
        <f t="shared" si="130"/>
        <v>0</v>
      </c>
      <c r="I5741" s="160"/>
      <c r="J5741" s="161"/>
      <c r="K5741" s="160"/>
      <c r="L5741" s="160">
        <f>+'FACP$'!$H5741-'FACP$'!$I5741-'FACP$'!$K5741</f>
        <v>0</v>
      </c>
      <c r="M5741" s="162"/>
      <c r="N5741" s="162"/>
      <c r="O5741" s="164"/>
      <c r="P5741" s="164" t="str">
        <f t="array" ref="P5741">XLOOKUP('FACP$'!$B5741,'perfil de pagos'!$A$4:$A$46,'perfil de pagos'!$B$4:$B$46+'FACP$'!$D5741)</f>
        <v>#N/A</v>
      </c>
      <c r="Q5741" s="165" t="str">
        <f t="shared" si="128"/>
        <v>#N/A</v>
      </c>
      <c r="R5741" s="167"/>
      <c r="S5741" s="167"/>
      <c r="T5741" s="168" t="str">
        <f t="shared" si="3"/>
        <v>#N/A</v>
      </c>
      <c r="U5741" s="168" t="str">
        <f t="shared" si="4"/>
        <v>#N/A</v>
      </c>
      <c r="V5741" s="168" t="str">
        <f t="shared" si="5"/>
        <v>#N/A</v>
      </c>
      <c r="W5741" s="168" t="str">
        <f t="shared" si="6"/>
        <v>#N/A</v>
      </c>
      <c r="X5741" s="168" t="str">
        <f t="shared" si="7"/>
        <v>#N/A</v>
      </c>
      <c r="Y5741" s="168" t="str">
        <f t="shared" si="8"/>
        <v>#N/A</v>
      </c>
      <c r="Z5741" s="168" t="str">
        <f t="shared" si="9"/>
        <v>#N/A</v>
      </c>
    </row>
    <row r="5742" ht="15.0" customHeight="1">
      <c r="A5742" s="157"/>
      <c r="B5742" s="158"/>
      <c r="C5742" s="158"/>
      <c r="D5742" s="159"/>
      <c r="E5742" s="157" t="s">
        <v>731</v>
      </c>
      <c r="F5742" s="160"/>
      <c r="G5742" s="160">
        <f>'FACP$'!$F5742*0.16</f>
        <v>0</v>
      </c>
      <c r="H5742" s="160">
        <f t="shared" si="130"/>
        <v>0</v>
      </c>
      <c r="I5742" s="160"/>
      <c r="J5742" s="161"/>
      <c r="K5742" s="160"/>
      <c r="L5742" s="160">
        <f>+'FACP$'!$H5742-'FACP$'!$I5742-'FACP$'!$K5742</f>
        <v>0</v>
      </c>
      <c r="M5742" s="162"/>
      <c r="N5742" s="162"/>
      <c r="O5742" s="164"/>
      <c r="P5742" s="164" t="str">
        <f t="array" ref="P5742">XLOOKUP('FACP$'!$B5742,'perfil de pagos'!$A$4:$A$46,'perfil de pagos'!$B$4:$B$46+'FACP$'!$D5742)</f>
        <v>#N/A</v>
      </c>
      <c r="Q5742" s="165" t="str">
        <f t="shared" si="128"/>
        <v>#N/A</v>
      </c>
      <c r="R5742" s="167"/>
      <c r="S5742" s="167"/>
      <c r="T5742" s="168" t="str">
        <f t="shared" si="3"/>
        <v>#N/A</v>
      </c>
      <c r="U5742" s="168" t="str">
        <f t="shared" si="4"/>
        <v>#N/A</v>
      </c>
      <c r="V5742" s="168" t="str">
        <f t="shared" si="5"/>
        <v>#N/A</v>
      </c>
      <c r="W5742" s="168" t="str">
        <f t="shared" si="6"/>
        <v>#N/A</v>
      </c>
      <c r="X5742" s="168" t="str">
        <f t="shared" si="7"/>
        <v>#N/A</v>
      </c>
      <c r="Y5742" s="168" t="str">
        <f t="shared" si="8"/>
        <v>#N/A</v>
      </c>
      <c r="Z5742" s="168" t="str">
        <f t="shared" si="9"/>
        <v>#N/A</v>
      </c>
    </row>
    <row r="5743" ht="15.0" customHeight="1">
      <c r="A5743" s="157"/>
      <c r="B5743" s="158"/>
      <c r="C5743" s="158"/>
      <c r="D5743" s="159"/>
      <c r="E5743" s="157" t="s">
        <v>731</v>
      </c>
      <c r="F5743" s="160"/>
      <c r="G5743" s="160">
        <f>'FACP$'!$F5743*0.16</f>
        <v>0</v>
      </c>
      <c r="H5743" s="160">
        <f t="shared" si="130"/>
        <v>0</v>
      </c>
      <c r="I5743" s="160"/>
      <c r="J5743" s="161"/>
      <c r="K5743" s="160"/>
      <c r="L5743" s="160">
        <f>+'FACP$'!$H5743-'FACP$'!$I5743-'FACP$'!$K5743</f>
        <v>0</v>
      </c>
      <c r="M5743" s="162"/>
      <c r="N5743" s="162"/>
      <c r="O5743" s="164"/>
      <c r="P5743" s="164" t="str">
        <f t="array" ref="P5743">XLOOKUP('FACP$'!$B5743,'perfil de pagos'!$A$4:$A$46,'perfil de pagos'!$B$4:$B$46+'FACP$'!$D5743)</f>
        <v>#N/A</v>
      </c>
      <c r="Q5743" s="165" t="str">
        <f t="shared" si="128"/>
        <v>#N/A</v>
      </c>
      <c r="R5743" s="167"/>
      <c r="S5743" s="167"/>
      <c r="T5743" s="168" t="str">
        <f t="shared" si="3"/>
        <v>#N/A</v>
      </c>
      <c r="U5743" s="168" t="str">
        <f t="shared" si="4"/>
        <v>#N/A</v>
      </c>
      <c r="V5743" s="168" t="str">
        <f t="shared" si="5"/>
        <v>#N/A</v>
      </c>
      <c r="W5743" s="168" t="str">
        <f t="shared" si="6"/>
        <v>#N/A</v>
      </c>
      <c r="X5743" s="168" t="str">
        <f t="shared" si="7"/>
        <v>#N/A</v>
      </c>
      <c r="Y5743" s="168" t="str">
        <f t="shared" si="8"/>
        <v>#N/A</v>
      </c>
      <c r="Z5743" s="168" t="str">
        <f t="shared" si="9"/>
        <v>#N/A</v>
      </c>
    </row>
    <row r="5744" ht="15.0" customHeight="1">
      <c r="A5744" s="157"/>
      <c r="B5744" s="158"/>
      <c r="C5744" s="158"/>
      <c r="D5744" s="159"/>
      <c r="E5744" s="157" t="s">
        <v>731</v>
      </c>
      <c r="F5744" s="160"/>
      <c r="G5744" s="160">
        <f>'FACP$'!$F5744*0.16</f>
        <v>0</v>
      </c>
      <c r="H5744" s="160">
        <f t="shared" si="130"/>
        <v>0</v>
      </c>
      <c r="I5744" s="160"/>
      <c r="J5744" s="161"/>
      <c r="K5744" s="160"/>
      <c r="L5744" s="160">
        <f>+'FACP$'!$H5744-'FACP$'!$I5744-'FACP$'!$K5744</f>
        <v>0</v>
      </c>
      <c r="M5744" s="162"/>
      <c r="N5744" s="162"/>
      <c r="O5744" s="164"/>
      <c r="P5744" s="164" t="str">
        <f t="array" ref="P5744">XLOOKUP('FACP$'!$B5744,'perfil de pagos'!$A$4:$A$46,'perfil de pagos'!$B$4:$B$46+'FACP$'!$D5744)</f>
        <v>#N/A</v>
      </c>
      <c r="Q5744" s="165" t="str">
        <f t="shared" si="128"/>
        <v>#N/A</v>
      </c>
      <c r="R5744" s="167"/>
      <c r="S5744" s="167"/>
      <c r="T5744" s="168" t="str">
        <f t="shared" si="3"/>
        <v>#N/A</v>
      </c>
      <c r="U5744" s="168" t="str">
        <f t="shared" si="4"/>
        <v>#N/A</v>
      </c>
      <c r="V5744" s="168" t="str">
        <f t="shared" si="5"/>
        <v>#N/A</v>
      </c>
      <c r="W5744" s="168" t="str">
        <f t="shared" si="6"/>
        <v>#N/A</v>
      </c>
      <c r="X5744" s="168" t="str">
        <f t="shared" si="7"/>
        <v>#N/A</v>
      </c>
      <c r="Y5744" s="168" t="str">
        <f t="shared" si="8"/>
        <v>#N/A</v>
      </c>
      <c r="Z5744" s="168" t="str">
        <f t="shared" si="9"/>
        <v>#N/A</v>
      </c>
    </row>
    <row r="5745" ht="15.0" customHeight="1">
      <c r="A5745" s="157"/>
      <c r="B5745" s="158"/>
      <c r="C5745" s="158"/>
      <c r="D5745" s="159"/>
      <c r="E5745" s="157" t="s">
        <v>731</v>
      </c>
      <c r="F5745" s="160"/>
      <c r="G5745" s="160">
        <f>'FACP$'!$F5745*0.16</f>
        <v>0</v>
      </c>
      <c r="H5745" s="160">
        <f t="shared" si="130"/>
        <v>0</v>
      </c>
      <c r="I5745" s="160"/>
      <c r="J5745" s="161"/>
      <c r="K5745" s="160"/>
      <c r="L5745" s="160">
        <f>+'FACP$'!$H5745-'FACP$'!$I5745-'FACP$'!$K5745</f>
        <v>0</v>
      </c>
      <c r="M5745" s="162"/>
      <c r="N5745" s="162"/>
      <c r="O5745" s="164"/>
      <c r="P5745" s="164" t="str">
        <f t="array" ref="P5745">XLOOKUP('FACP$'!$B5745,'perfil de pagos'!$A$4:$A$46,'perfil de pagos'!$B$4:$B$46+'FACP$'!$D5745)</f>
        <v>#N/A</v>
      </c>
      <c r="Q5745" s="165" t="str">
        <f t="shared" si="128"/>
        <v>#N/A</v>
      </c>
      <c r="R5745" s="167"/>
      <c r="S5745" s="167"/>
      <c r="T5745" s="168" t="str">
        <f t="shared" si="3"/>
        <v>#N/A</v>
      </c>
      <c r="U5745" s="168" t="str">
        <f t="shared" si="4"/>
        <v>#N/A</v>
      </c>
      <c r="V5745" s="168" t="str">
        <f t="shared" si="5"/>
        <v>#N/A</v>
      </c>
      <c r="W5745" s="168" t="str">
        <f t="shared" si="6"/>
        <v>#N/A</v>
      </c>
      <c r="X5745" s="168" t="str">
        <f t="shared" si="7"/>
        <v>#N/A</v>
      </c>
      <c r="Y5745" s="168" t="str">
        <f t="shared" si="8"/>
        <v>#N/A</v>
      </c>
      <c r="Z5745" s="168" t="str">
        <f t="shared" si="9"/>
        <v>#N/A</v>
      </c>
    </row>
    <row r="5746" ht="15.0" customHeight="1">
      <c r="A5746" s="157"/>
      <c r="B5746" s="158"/>
      <c r="C5746" s="158"/>
      <c r="D5746" s="159"/>
      <c r="E5746" s="157" t="s">
        <v>731</v>
      </c>
      <c r="F5746" s="160"/>
      <c r="G5746" s="160">
        <f>'FACP$'!$F5746*0.16</f>
        <v>0</v>
      </c>
      <c r="H5746" s="160">
        <f t="shared" si="130"/>
        <v>0</v>
      </c>
      <c r="I5746" s="160"/>
      <c r="J5746" s="161"/>
      <c r="K5746" s="160"/>
      <c r="L5746" s="160">
        <f>+'FACP$'!$H5746-'FACP$'!$I5746-'FACP$'!$K5746</f>
        <v>0</v>
      </c>
      <c r="M5746" s="162"/>
      <c r="N5746" s="162"/>
      <c r="O5746" s="164"/>
      <c r="P5746" s="164" t="str">
        <f t="array" ref="P5746">XLOOKUP('FACP$'!$B5746,'perfil de pagos'!$A$4:$A$46,'perfil de pagos'!$B$4:$B$46+'FACP$'!$D5746)</f>
        <v>#N/A</v>
      </c>
      <c r="Q5746" s="165" t="str">
        <f t="shared" si="128"/>
        <v>#N/A</v>
      </c>
      <c r="R5746" s="167"/>
      <c r="S5746" s="167"/>
      <c r="T5746" s="168" t="str">
        <f t="shared" si="3"/>
        <v>#N/A</v>
      </c>
      <c r="U5746" s="168" t="str">
        <f t="shared" si="4"/>
        <v>#N/A</v>
      </c>
      <c r="V5746" s="168" t="str">
        <f t="shared" si="5"/>
        <v>#N/A</v>
      </c>
      <c r="W5746" s="168" t="str">
        <f t="shared" si="6"/>
        <v>#N/A</v>
      </c>
      <c r="X5746" s="168" t="str">
        <f t="shared" si="7"/>
        <v>#N/A</v>
      </c>
      <c r="Y5746" s="168" t="str">
        <f t="shared" si="8"/>
        <v>#N/A</v>
      </c>
      <c r="Z5746" s="168" t="str">
        <f t="shared" si="9"/>
        <v>#N/A</v>
      </c>
    </row>
    <row r="5747" ht="15.0" customHeight="1">
      <c r="A5747" s="157"/>
      <c r="B5747" s="158"/>
      <c r="C5747" s="158"/>
      <c r="D5747" s="159"/>
      <c r="E5747" s="157" t="s">
        <v>731</v>
      </c>
      <c r="F5747" s="160"/>
      <c r="G5747" s="160">
        <f>'FACP$'!$F5747*0.16</f>
        <v>0</v>
      </c>
      <c r="H5747" s="160">
        <f t="shared" si="130"/>
        <v>0</v>
      </c>
      <c r="I5747" s="160"/>
      <c r="J5747" s="161"/>
      <c r="K5747" s="160"/>
      <c r="L5747" s="160">
        <f>+'FACP$'!$H5747-'FACP$'!$I5747-'FACP$'!$K5747</f>
        <v>0</v>
      </c>
      <c r="M5747" s="162"/>
      <c r="N5747" s="162"/>
      <c r="O5747" s="164"/>
      <c r="P5747" s="164" t="str">
        <f t="array" ref="P5747">XLOOKUP('FACP$'!$B5747,'perfil de pagos'!$A$4:$A$46,'perfil de pagos'!$B$4:$B$46+'FACP$'!$D5747)</f>
        <v>#N/A</v>
      </c>
      <c r="Q5747" s="165" t="str">
        <f t="shared" si="128"/>
        <v>#N/A</v>
      </c>
      <c r="R5747" s="167"/>
      <c r="S5747" s="167"/>
      <c r="T5747" s="168" t="str">
        <f t="shared" si="3"/>
        <v>#N/A</v>
      </c>
      <c r="U5747" s="168" t="str">
        <f t="shared" si="4"/>
        <v>#N/A</v>
      </c>
      <c r="V5747" s="168" t="str">
        <f t="shared" si="5"/>
        <v>#N/A</v>
      </c>
      <c r="W5747" s="168" t="str">
        <f t="shared" si="6"/>
        <v>#N/A</v>
      </c>
      <c r="X5747" s="168" t="str">
        <f t="shared" si="7"/>
        <v>#N/A</v>
      </c>
      <c r="Y5747" s="168" t="str">
        <f t="shared" si="8"/>
        <v>#N/A</v>
      </c>
      <c r="Z5747" s="168" t="str">
        <f t="shared" si="9"/>
        <v>#N/A</v>
      </c>
    </row>
    <row r="5748" ht="15.0" customHeight="1">
      <c r="A5748" s="157"/>
      <c r="B5748" s="158"/>
      <c r="C5748" s="158"/>
      <c r="D5748" s="159"/>
      <c r="E5748" s="157" t="s">
        <v>731</v>
      </c>
      <c r="F5748" s="160"/>
      <c r="G5748" s="160">
        <f>'FACP$'!$F5748*0.16</f>
        <v>0</v>
      </c>
      <c r="H5748" s="160">
        <f t="shared" si="130"/>
        <v>0</v>
      </c>
      <c r="I5748" s="160"/>
      <c r="J5748" s="161"/>
      <c r="K5748" s="160"/>
      <c r="L5748" s="160">
        <f>+'FACP$'!$H5748-'FACP$'!$I5748-'FACP$'!$K5748</f>
        <v>0</v>
      </c>
      <c r="M5748" s="162"/>
      <c r="N5748" s="162"/>
      <c r="O5748" s="164"/>
      <c r="P5748" s="164" t="str">
        <f t="array" ref="P5748">XLOOKUP('FACP$'!$B5748,'perfil de pagos'!$A$4:$A$46,'perfil de pagos'!$B$4:$B$46+'FACP$'!$D5748)</f>
        <v>#N/A</v>
      </c>
      <c r="Q5748" s="165" t="str">
        <f t="shared" si="128"/>
        <v>#N/A</v>
      </c>
      <c r="R5748" s="167"/>
      <c r="S5748" s="167"/>
      <c r="T5748" s="168" t="str">
        <f t="shared" si="3"/>
        <v>#N/A</v>
      </c>
      <c r="U5748" s="168" t="str">
        <f t="shared" si="4"/>
        <v>#N/A</v>
      </c>
      <c r="V5748" s="168" t="str">
        <f t="shared" si="5"/>
        <v>#N/A</v>
      </c>
      <c r="W5748" s="168" t="str">
        <f t="shared" si="6"/>
        <v>#N/A</v>
      </c>
      <c r="X5748" s="168" t="str">
        <f t="shared" si="7"/>
        <v>#N/A</v>
      </c>
      <c r="Y5748" s="168" t="str">
        <f t="shared" si="8"/>
        <v>#N/A</v>
      </c>
      <c r="Z5748" s="168" t="str">
        <f t="shared" si="9"/>
        <v>#N/A</v>
      </c>
    </row>
    <row r="5749" ht="15.0" customHeight="1">
      <c r="A5749" s="157"/>
      <c r="B5749" s="158"/>
      <c r="C5749" s="158"/>
      <c r="D5749" s="159"/>
      <c r="E5749" s="157" t="s">
        <v>731</v>
      </c>
      <c r="F5749" s="160"/>
      <c r="G5749" s="160">
        <f>'FACP$'!$F5749*0.16</f>
        <v>0</v>
      </c>
      <c r="H5749" s="160">
        <f t="shared" si="130"/>
        <v>0</v>
      </c>
      <c r="I5749" s="160"/>
      <c r="J5749" s="161"/>
      <c r="K5749" s="160"/>
      <c r="L5749" s="160">
        <f>+'FACP$'!$H5749-'FACP$'!$I5749-'FACP$'!$K5749</f>
        <v>0</v>
      </c>
      <c r="M5749" s="162"/>
      <c r="N5749" s="162"/>
      <c r="O5749" s="164"/>
      <c r="P5749" s="164" t="str">
        <f t="array" ref="P5749">XLOOKUP('FACP$'!$B5749,'perfil de pagos'!$A$4:$A$46,'perfil de pagos'!$B$4:$B$46+'FACP$'!$D5749)</f>
        <v>#N/A</v>
      </c>
      <c r="Q5749" s="165" t="str">
        <f t="shared" si="128"/>
        <v>#N/A</v>
      </c>
      <c r="R5749" s="167"/>
      <c r="S5749" s="167"/>
      <c r="T5749" s="168" t="str">
        <f t="shared" si="3"/>
        <v>#N/A</v>
      </c>
      <c r="U5749" s="168" t="str">
        <f t="shared" si="4"/>
        <v>#N/A</v>
      </c>
      <c r="V5749" s="168" t="str">
        <f t="shared" si="5"/>
        <v>#N/A</v>
      </c>
      <c r="W5749" s="168" t="str">
        <f t="shared" si="6"/>
        <v>#N/A</v>
      </c>
      <c r="X5749" s="168" t="str">
        <f t="shared" si="7"/>
        <v>#N/A</v>
      </c>
      <c r="Y5749" s="168" t="str">
        <f t="shared" si="8"/>
        <v>#N/A</v>
      </c>
      <c r="Z5749" s="168" t="str">
        <f t="shared" si="9"/>
        <v>#N/A</v>
      </c>
    </row>
    <row r="5750" ht="15.0" customHeight="1">
      <c r="A5750" s="157"/>
      <c r="B5750" s="158"/>
      <c r="C5750" s="158"/>
      <c r="D5750" s="159"/>
      <c r="E5750" s="157" t="s">
        <v>731</v>
      </c>
      <c r="F5750" s="160"/>
      <c r="G5750" s="160">
        <f>'FACP$'!$F5750*0.16</f>
        <v>0</v>
      </c>
      <c r="H5750" s="160">
        <f t="shared" si="130"/>
        <v>0</v>
      </c>
      <c r="I5750" s="160"/>
      <c r="J5750" s="161"/>
      <c r="K5750" s="160"/>
      <c r="L5750" s="160">
        <f>+'FACP$'!$H5750-'FACP$'!$I5750-'FACP$'!$K5750</f>
        <v>0</v>
      </c>
      <c r="M5750" s="162"/>
      <c r="N5750" s="162"/>
      <c r="O5750" s="164"/>
      <c r="P5750" s="164" t="str">
        <f t="array" ref="P5750">XLOOKUP('FACP$'!$B5750,'perfil de pagos'!$A$4:$A$46,'perfil de pagos'!$B$4:$B$46+'FACP$'!$D5750)</f>
        <v>#N/A</v>
      </c>
      <c r="Q5750" s="165" t="str">
        <f t="shared" si="128"/>
        <v>#N/A</v>
      </c>
      <c r="R5750" s="167"/>
      <c r="S5750" s="167"/>
      <c r="T5750" s="168" t="str">
        <f t="shared" si="3"/>
        <v>#N/A</v>
      </c>
      <c r="U5750" s="168" t="str">
        <f t="shared" si="4"/>
        <v>#N/A</v>
      </c>
      <c r="V5750" s="168" t="str">
        <f t="shared" si="5"/>
        <v>#N/A</v>
      </c>
      <c r="W5750" s="168" t="str">
        <f t="shared" si="6"/>
        <v>#N/A</v>
      </c>
      <c r="X5750" s="168" t="str">
        <f t="shared" si="7"/>
        <v>#N/A</v>
      </c>
      <c r="Y5750" s="168" t="str">
        <f t="shared" si="8"/>
        <v>#N/A</v>
      </c>
      <c r="Z5750" s="168" t="str">
        <f t="shared" si="9"/>
        <v>#N/A</v>
      </c>
    </row>
    <row r="5751" ht="15.0" customHeight="1">
      <c r="A5751" s="157"/>
      <c r="B5751" s="158"/>
      <c r="C5751" s="158"/>
      <c r="D5751" s="159"/>
      <c r="E5751" s="157" t="s">
        <v>731</v>
      </c>
      <c r="F5751" s="160"/>
      <c r="G5751" s="160">
        <f>'FACP$'!$F5751*0.16</f>
        <v>0</v>
      </c>
      <c r="H5751" s="160">
        <f t="shared" si="130"/>
        <v>0</v>
      </c>
      <c r="I5751" s="160"/>
      <c r="J5751" s="161"/>
      <c r="K5751" s="160"/>
      <c r="L5751" s="160">
        <f>+'FACP$'!$H5751-'FACP$'!$I5751-'FACP$'!$K5751</f>
        <v>0</v>
      </c>
      <c r="M5751" s="162"/>
      <c r="N5751" s="162"/>
      <c r="O5751" s="164"/>
      <c r="P5751" s="164" t="str">
        <f t="array" ref="P5751">XLOOKUP('FACP$'!$B5751,'perfil de pagos'!$A$4:$A$46,'perfil de pagos'!$B$4:$B$46+'FACP$'!$D5751)</f>
        <v>#N/A</v>
      </c>
      <c r="Q5751" s="165" t="str">
        <f t="shared" si="128"/>
        <v>#N/A</v>
      </c>
      <c r="R5751" s="167"/>
      <c r="S5751" s="167"/>
      <c r="T5751" s="168" t="str">
        <f t="shared" si="3"/>
        <v>#N/A</v>
      </c>
      <c r="U5751" s="168" t="str">
        <f t="shared" si="4"/>
        <v>#N/A</v>
      </c>
      <c r="V5751" s="168" t="str">
        <f t="shared" si="5"/>
        <v>#N/A</v>
      </c>
      <c r="W5751" s="168" t="str">
        <f t="shared" si="6"/>
        <v>#N/A</v>
      </c>
      <c r="X5751" s="168" t="str">
        <f t="shared" si="7"/>
        <v>#N/A</v>
      </c>
      <c r="Y5751" s="168" t="str">
        <f t="shared" si="8"/>
        <v>#N/A</v>
      </c>
      <c r="Z5751" s="168" t="str">
        <f t="shared" si="9"/>
        <v>#N/A</v>
      </c>
    </row>
    <row r="5752" ht="15.0" customHeight="1">
      <c r="A5752" s="157"/>
      <c r="B5752" s="158"/>
      <c r="C5752" s="158"/>
      <c r="D5752" s="159"/>
      <c r="E5752" s="157" t="s">
        <v>731</v>
      </c>
      <c r="F5752" s="160"/>
      <c r="G5752" s="160">
        <f>'FACP$'!$F5752*0.16</f>
        <v>0</v>
      </c>
      <c r="H5752" s="160">
        <f t="shared" si="130"/>
        <v>0</v>
      </c>
      <c r="I5752" s="160"/>
      <c r="J5752" s="161"/>
      <c r="K5752" s="160"/>
      <c r="L5752" s="160">
        <f>+'FACP$'!$H5752-'FACP$'!$I5752-'FACP$'!$K5752</f>
        <v>0</v>
      </c>
      <c r="M5752" s="162"/>
      <c r="N5752" s="162"/>
      <c r="O5752" s="164"/>
      <c r="P5752" s="164" t="str">
        <f t="array" ref="P5752">XLOOKUP('FACP$'!$B5752,'perfil de pagos'!$A$4:$A$46,'perfil de pagos'!$B$4:$B$46+'FACP$'!$D5752)</f>
        <v>#N/A</v>
      </c>
      <c r="Q5752" s="165" t="str">
        <f t="shared" si="128"/>
        <v>#N/A</v>
      </c>
      <c r="R5752" s="167"/>
      <c r="S5752" s="167"/>
      <c r="T5752" s="168" t="str">
        <f t="shared" si="3"/>
        <v>#N/A</v>
      </c>
      <c r="U5752" s="168" t="str">
        <f t="shared" si="4"/>
        <v>#N/A</v>
      </c>
      <c r="V5752" s="168" t="str">
        <f t="shared" si="5"/>
        <v>#N/A</v>
      </c>
      <c r="W5752" s="168" t="str">
        <f t="shared" si="6"/>
        <v>#N/A</v>
      </c>
      <c r="X5752" s="168" t="str">
        <f t="shared" si="7"/>
        <v>#N/A</v>
      </c>
      <c r="Y5752" s="168" t="str">
        <f t="shared" si="8"/>
        <v>#N/A</v>
      </c>
      <c r="Z5752" s="168" t="str">
        <f t="shared" si="9"/>
        <v>#N/A</v>
      </c>
    </row>
    <row r="5753" ht="15.0" customHeight="1">
      <c r="A5753" s="157"/>
      <c r="B5753" s="158"/>
      <c r="C5753" s="158"/>
      <c r="D5753" s="159"/>
      <c r="E5753" s="157" t="s">
        <v>731</v>
      </c>
      <c r="F5753" s="160"/>
      <c r="G5753" s="160">
        <f>'FACP$'!$F5753*0.16</f>
        <v>0</v>
      </c>
      <c r="H5753" s="160">
        <f t="shared" si="130"/>
        <v>0</v>
      </c>
      <c r="I5753" s="160"/>
      <c r="J5753" s="161"/>
      <c r="K5753" s="160"/>
      <c r="L5753" s="160">
        <f>+'FACP$'!$H5753-'FACP$'!$I5753-'FACP$'!$K5753</f>
        <v>0</v>
      </c>
      <c r="M5753" s="162"/>
      <c r="N5753" s="162"/>
      <c r="O5753" s="164"/>
      <c r="P5753" s="164" t="str">
        <f t="array" ref="P5753">XLOOKUP('FACP$'!$B5753,'perfil de pagos'!$A$4:$A$46,'perfil de pagos'!$B$4:$B$46+'FACP$'!$D5753)</f>
        <v>#N/A</v>
      </c>
      <c r="Q5753" s="165" t="str">
        <f t="shared" si="128"/>
        <v>#N/A</v>
      </c>
      <c r="R5753" s="167"/>
      <c r="S5753" s="167"/>
      <c r="T5753" s="168" t="str">
        <f t="shared" si="3"/>
        <v>#N/A</v>
      </c>
      <c r="U5753" s="168" t="str">
        <f t="shared" si="4"/>
        <v>#N/A</v>
      </c>
      <c r="V5753" s="168" t="str">
        <f t="shared" si="5"/>
        <v>#N/A</v>
      </c>
      <c r="W5753" s="168" t="str">
        <f t="shared" si="6"/>
        <v>#N/A</v>
      </c>
      <c r="X5753" s="168" t="str">
        <f t="shared" si="7"/>
        <v>#N/A</v>
      </c>
      <c r="Y5753" s="168" t="str">
        <f t="shared" si="8"/>
        <v>#N/A</v>
      </c>
      <c r="Z5753" s="168" t="str">
        <f t="shared" si="9"/>
        <v>#N/A</v>
      </c>
    </row>
    <row r="5754" ht="15.0" customHeight="1">
      <c r="A5754" s="157"/>
      <c r="B5754" s="158"/>
      <c r="C5754" s="158"/>
      <c r="D5754" s="159"/>
      <c r="E5754" s="157" t="s">
        <v>731</v>
      </c>
      <c r="F5754" s="160"/>
      <c r="G5754" s="160">
        <f>'FACP$'!$F5754*0.16</f>
        <v>0</v>
      </c>
      <c r="H5754" s="160">
        <f t="shared" si="130"/>
        <v>0</v>
      </c>
      <c r="I5754" s="160"/>
      <c r="J5754" s="161"/>
      <c r="K5754" s="160"/>
      <c r="L5754" s="160">
        <f>+'FACP$'!$H5754-'FACP$'!$I5754-'FACP$'!$K5754</f>
        <v>0</v>
      </c>
      <c r="M5754" s="162"/>
      <c r="N5754" s="162"/>
      <c r="O5754" s="164"/>
      <c r="P5754" s="164" t="str">
        <f t="array" ref="P5754">XLOOKUP('FACP$'!$B5754,'perfil de pagos'!$A$4:$A$46,'perfil de pagos'!$B$4:$B$46+'FACP$'!$D5754)</f>
        <v>#N/A</v>
      </c>
      <c r="Q5754" s="165" t="str">
        <f t="shared" si="128"/>
        <v>#N/A</v>
      </c>
      <c r="R5754" s="167"/>
      <c r="S5754" s="167"/>
      <c r="T5754" s="168" t="str">
        <f t="shared" si="3"/>
        <v>#N/A</v>
      </c>
      <c r="U5754" s="168" t="str">
        <f t="shared" si="4"/>
        <v>#N/A</v>
      </c>
      <c r="V5754" s="168" t="str">
        <f t="shared" si="5"/>
        <v>#N/A</v>
      </c>
      <c r="W5754" s="168" t="str">
        <f t="shared" si="6"/>
        <v>#N/A</v>
      </c>
      <c r="X5754" s="168" t="str">
        <f t="shared" si="7"/>
        <v>#N/A</v>
      </c>
      <c r="Y5754" s="168" t="str">
        <f t="shared" si="8"/>
        <v>#N/A</v>
      </c>
      <c r="Z5754" s="168" t="str">
        <f t="shared" si="9"/>
        <v>#N/A</v>
      </c>
    </row>
    <row r="5755" ht="15.0" customHeight="1">
      <c r="A5755" s="157"/>
      <c r="B5755" s="158"/>
      <c r="C5755" s="158"/>
      <c r="D5755" s="159"/>
      <c r="E5755" s="157" t="s">
        <v>731</v>
      </c>
      <c r="F5755" s="160"/>
      <c r="G5755" s="160">
        <f>'FACP$'!$F5755*0.16</f>
        <v>0</v>
      </c>
      <c r="H5755" s="160">
        <f t="shared" si="130"/>
        <v>0</v>
      </c>
      <c r="I5755" s="160"/>
      <c r="J5755" s="161"/>
      <c r="K5755" s="160"/>
      <c r="L5755" s="160">
        <f>+'FACP$'!$H5755-'FACP$'!$I5755-'FACP$'!$K5755</f>
        <v>0</v>
      </c>
      <c r="M5755" s="162"/>
      <c r="N5755" s="162"/>
      <c r="O5755" s="164"/>
      <c r="P5755" s="164" t="str">
        <f t="array" ref="P5755">XLOOKUP('FACP$'!$B5755,'perfil de pagos'!$A$4:$A$46,'perfil de pagos'!$B$4:$B$46+'FACP$'!$D5755)</f>
        <v>#N/A</v>
      </c>
      <c r="Q5755" s="165" t="str">
        <f t="shared" si="128"/>
        <v>#N/A</v>
      </c>
      <c r="R5755" s="167"/>
      <c r="S5755" s="167"/>
      <c r="T5755" s="168" t="str">
        <f t="shared" si="3"/>
        <v>#N/A</v>
      </c>
      <c r="U5755" s="168" t="str">
        <f t="shared" si="4"/>
        <v>#N/A</v>
      </c>
      <c r="V5755" s="168" t="str">
        <f t="shared" si="5"/>
        <v>#N/A</v>
      </c>
      <c r="W5755" s="168" t="str">
        <f t="shared" si="6"/>
        <v>#N/A</v>
      </c>
      <c r="X5755" s="168" t="str">
        <f t="shared" si="7"/>
        <v>#N/A</v>
      </c>
      <c r="Y5755" s="168" t="str">
        <f t="shared" si="8"/>
        <v>#N/A</v>
      </c>
      <c r="Z5755" s="168" t="str">
        <f t="shared" si="9"/>
        <v>#N/A</v>
      </c>
    </row>
    <row r="5756" ht="15.0" customHeight="1">
      <c r="A5756" s="157"/>
      <c r="B5756" s="158"/>
      <c r="C5756" s="158"/>
      <c r="D5756" s="159"/>
      <c r="E5756" s="157" t="s">
        <v>731</v>
      </c>
      <c r="F5756" s="160"/>
      <c r="G5756" s="160">
        <f>'FACP$'!$F5756*0.16</f>
        <v>0</v>
      </c>
      <c r="H5756" s="160">
        <f t="shared" si="130"/>
        <v>0</v>
      </c>
      <c r="I5756" s="160"/>
      <c r="J5756" s="161"/>
      <c r="K5756" s="160"/>
      <c r="L5756" s="160">
        <f>+'FACP$'!$H5756-'FACP$'!$I5756-'FACP$'!$K5756</f>
        <v>0</v>
      </c>
      <c r="M5756" s="162"/>
      <c r="N5756" s="162"/>
      <c r="O5756" s="164"/>
      <c r="P5756" s="164" t="str">
        <f t="array" ref="P5756">XLOOKUP('FACP$'!$B5756,'perfil de pagos'!$A$4:$A$46,'perfil de pagos'!$B$4:$B$46+'FACP$'!$D5756)</f>
        <v>#N/A</v>
      </c>
      <c r="Q5756" s="165" t="str">
        <f t="shared" si="128"/>
        <v>#N/A</v>
      </c>
      <c r="R5756" s="167"/>
      <c r="S5756" s="167"/>
      <c r="T5756" s="168" t="str">
        <f t="shared" si="3"/>
        <v>#N/A</v>
      </c>
      <c r="U5756" s="168" t="str">
        <f t="shared" si="4"/>
        <v>#N/A</v>
      </c>
      <c r="V5756" s="168" t="str">
        <f t="shared" si="5"/>
        <v>#N/A</v>
      </c>
      <c r="W5756" s="168" t="str">
        <f t="shared" si="6"/>
        <v>#N/A</v>
      </c>
      <c r="X5756" s="168" t="str">
        <f t="shared" si="7"/>
        <v>#N/A</v>
      </c>
      <c r="Y5756" s="168" t="str">
        <f t="shared" si="8"/>
        <v>#N/A</v>
      </c>
      <c r="Z5756" s="168" t="str">
        <f t="shared" si="9"/>
        <v>#N/A</v>
      </c>
    </row>
    <row r="5757" ht="15.0" customHeight="1">
      <c r="A5757" s="157"/>
      <c r="B5757" s="158"/>
      <c r="C5757" s="158"/>
      <c r="D5757" s="159"/>
      <c r="E5757" s="157" t="s">
        <v>731</v>
      </c>
      <c r="F5757" s="160"/>
      <c r="G5757" s="160">
        <f>'FACP$'!$F5757*0.16</f>
        <v>0</v>
      </c>
      <c r="H5757" s="160">
        <f t="shared" si="130"/>
        <v>0</v>
      </c>
      <c r="I5757" s="160"/>
      <c r="J5757" s="161"/>
      <c r="K5757" s="160"/>
      <c r="L5757" s="160">
        <f>+'FACP$'!$H5757-'FACP$'!$I5757-'FACP$'!$K5757</f>
        <v>0</v>
      </c>
      <c r="M5757" s="162"/>
      <c r="N5757" s="162"/>
      <c r="O5757" s="164"/>
      <c r="P5757" s="164" t="str">
        <f t="array" ref="P5757">XLOOKUP('FACP$'!$B5757,'perfil de pagos'!$A$4:$A$46,'perfil de pagos'!$B$4:$B$46+'FACP$'!$D5757)</f>
        <v>#N/A</v>
      </c>
      <c r="Q5757" s="165" t="str">
        <f t="shared" si="128"/>
        <v>#N/A</v>
      </c>
      <c r="R5757" s="167"/>
      <c r="S5757" s="167"/>
      <c r="T5757" s="168" t="str">
        <f t="shared" si="3"/>
        <v>#N/A</v>
      </c>
      <c r="U5757" s="168" t="str">
        <f t="shared" si="4"/>
        <v>#N/A</v>
      </c>
      <c r="V5757" s="168" t="str">
        <f t="shared" si="5"/>
        <v>#N/A</v>
      </c>
      <c r="W5757" s="168" t="str">
        <f t="shared" si="6"/>
        <v>#N/A</v>
      </c>
      <c r="X5757" s="168" t="str">
        <f t="shared" si="7"/>
        <v>#N/A</v>
      </c>
      <c r="Y5757" s="168" t="str">
        <f t="shared" si="8"/>
        <v>#N/A</v>
      </c>
      <c r="Z5757" s="168" t="str">
        <f t="shared" si="9"/>
        <v>#N/A</v>
      </c>
    </row>
    <row r="5758" ht="15.0" customHeight="1">
      <c r="A5758" s="157"/>
      <c r="B5758" s="158"/>
      <c r="C5758" s="158"/>
      <c r="D5758" s="159"/>
      <c r="E5758" s="157" t="s">
        <v>731</v>
      </c>
      <c r="F5758" s="160"/>
      <c r="G5758" s="160">
        <f>'FACP$'!$F5758*0.16</f>
        <v>0</v>
      </c>
      <c r="H5758" s="160">
        <f t="shared" si="130"/>
        <v>0</v>
      </c>
      <c r="I5758" s="160"/>
      <c r="J5758" s="161"/>
      <c r="K5758" s="160"/>
      <c r="L5758" s="160">
        <f>+'FACP$'!$H5758-'FACP$'!$I5758-'FACP$'!$K5758</f>
        <v>0</v>
      </c>
      <c r="M5758" s="162"/>
      <c r="N5758" s="162"/>
      <c r="O5758" s="164"/>
      <c r="P5758" s="164" t="str">
        <f t="array" ref="P5758">XLOOKUP('FACP$'!$B5758,'perfil de pagos'!$A$4:$A$46,'perfil de pagos'!$B$4:$B$46+'FACP$'!$D5758)</f>
        <v>#N/A</v>
      </c>
      <c r="Q5758" s="165" t="str">
        <f t="shared" si="128"/>
        <v>#N/A</v>
      </c>
      <c r="R5758" s="167"/>
      <c r="S5758" s="167"/>
      <c r="T5758" s="168" t="str">
        <f t="shared" si="3"/>
        <v>#N/A</v>
      </c>
      <c r="U5758" s="168" t="str">
        <f t="shared" si="4"/>
        <v>#N/A</v>
      </c>
      <c r="V5758" s="168" t="str">
        <f t="shared" si="5"/>
        <v>#N/A</v>
      </c>
      <c r="W5758" s="168" t="str">
        <f t="shared" si="6"/>
        <v>#N/A</v>
      </c>
      <c r="X5758" s="168" t="str">
        <f t="shared" si="7"/>
        <v>#N/A</v>
      </c>
      <c r="Y5758" s="168" t="str">
        <f t="shared" si="8"/>
        <v>#N/A</v>
      </c>
      <c r="Z5758" s="168" t="str">
        <f t="shared" si="9"/>
        <v>#N/A</v>
      </c>
    </row>
    <row r="5759" ht="15.0" customHeight="1">
      <c r="A5759" s="157"/>
      <c r="B5759" s="158"/>
      <c r="C5759" s="158"/>
      <c r="D5759" s="159"/>
      <c r="E5759" s="157" t="s">
        <v>731</v>
      </c>
      <c r="F5759" s="160"/>
      <c r="G5759" s="160">
        <f>'FACP$'!$F5759*0.16</f>
        <v>0</v>
      </c>
      <c r="H5759" s="160">
        <f t="shared" si="130"/>
        <v>0</v>
      </c>
      <c r="I5759" s="160"/>
      <c r="J5759" s="161"/>
      <c r="K5759" s="160"/>
      <c r="L5759" s="160">
        <f>+'FACP$'!$H5759-'FACP$'!$I5759-'FACP$'!$K5759</f>
        <v>0</v>
      </c>
      <c r="M5759" s="162"/>
      <c r="N5759" s="162"/>
      <c r="O5759" s="164"/>
      <c r="P5759" s="164" t="str">
        <f t="array" ref="P5759">XLOOKUP('FACP$'!$B5759,'perfil de pagos'!$A$4:$A$46,'perfil de pagos'!$B$4:$B$46+'FACP$'!$D5759)</f>
        <v>#N/A</v>
      </c>
      <c r="Q5759" s="165" t="str">
        <f t="shared" si="128"/>
        <v>#N/A</v>
      </c>
      <c r="R5759" s="167"/>
      <c r="S5759" s="167"/>
      <c r="T5759" s="168" t="str">
        <f t="shared" si="3"/>
        <v>#N/A</v>
      </c>
      <c r="U5759" s="168" t="str">
        <f t="shared" si="4"/>
        <v>#N/A</v>
      </c>
      <c r="V5759" s="168" t="str">
        <f t="shared" si="5"/>
        <v>#N/A</v>
      </c>
      <c r="W5759" s="168" t="str">
        <f t="shared" si="6"/>
        <v>#N/A</v>
      </c>
      <c r="X5759" s="168" t="str">
        <f t="shared" si="7"/>
        <v>#N/A</v>
      </c>
      <c r="Y5759" s="168" t="str">
        <f t="shared" si="8"/>
        <v>#N/A</v>
      </c>
      <c r="Z5759" s="168" t="str">
        <f t="shared" si="9"/>
        <v>#N/A</v>
      </c>
    </row>
    <row r="5760" ht="15.0" customHeight="1">
      <c r="A5760" s="157"/>
      <c r="B5760" s="158"/>
      <c r="C5760" s="158"/>
      <c r="D5760" s="159"/>
      <c r="E5760" s="157" t="s">
        <v>731</v>
      </c>
      <c r="F5760" s="160"/>
      <c r="G5760" s="160">
        <f>'FACP$'!$F5760*0.16</f>
        <v>0</v>
      </c>
      <c r="H5760" s="160"/>
      <c r="I5760" s="160"/>
      <c r="J5760" s="161"/>
      <c r="K5760" s="160"/>
      <c r="L5760" s="160">
        <f>+'FACP$'!$H5760-'FACP$'!$I5760-'FACP$'!$K5760</f>
        <v>0</v>
      </c>
      <c r="M5760" s="162"/>
      <c r="N5760" s="162"/>
      <c r="O5760" s="164"/>
      <c r="P5760" s="164" t="str">
        <f t="array" ref="P5760">XLOOKUP('FACP$'!$B5760,'perfil de pagos'!$A$4:$A$46,'perfil de pagos'!$B$4:$B$46+'FACP$'!$D5760)</f>
        <v>#N/A</v>
      </c>
      <c r="Q5760" s="165" t="str">
        <f t="shared" si="128"/>
        <v>#N/A</v>
      </c>
      <c r="R5760" s="167"/>
      <c r="S5760" s="167"/>
      <c r="T5760" s="168" t="str">
        <f t="shared" si="3"/>
        <v>#N/A</v>
      </c>
      <c r="U5760" s="168" t="str">
        <f t="shared" si="4"/>
        <v>#N/A</v>
      </c>
      <c r="V5760" s="168" t="str">
        <f t="shared" si="5"/>
        <v>#N/A</v>
      </c>
      <c r="W5760" s="168" t="str">
        <f t="shared" si="6"/>
        <v>#N/A</v>
      </c>
      <c r="X5760" s="168" t="str">
        <f t="shared" si="7"/>
        <v>#N/A</v>
      </c>
      <c r="Y5760" s="168" t="str">
        <f t="shared" si="8"/>
        <v>#N/A</v>
      </c>
      <c r="Z5760" s="168" t="str">
        <f t="shared" si="9"/>
        <v>#N/A</v>
      </c>
    </row>
    <row r="5761" ht="15.0" customHeight="1">
      <c r="A5761" s="157"/>
      <c r="B5761" s="158"/>
      <c r="C5761" s="158"/>
      <c r="D5761" s="159"/>
      <c r="E5761" s="157" t="s">
        <v>731</v>
      </c>
      <c r="F5761" s="160"/>
      <c r="G5761" s="160">
        <f>'FACP$'!$F5761*0.16</f>
        <v>0</v>
      </c>
      <c r="H5761" s="160"/>
      <c r="I5761" s="160"/>
      <c r="J5761" s="161"/>
      <c r="K5761" s="160"/>
      <c r="L5761" s="160">
        <f>+'FACP$'!$H5761-'FACP$'!$I5761-'FACP$'!$K5761</f>
        <v>0</v>
      </c>
      <c r="M5761" s="162"/>
      <c r="N5761" s="162"/>
      <c r="O5761" s="164"/>
      <c r="P5761" s="164" t="str">
        <f t="array" ref="P5761">XLOOKUP('FACP$'!$B5761,'perfil de pagos'!$A$4:$A$46,'perfil de pagos'!$B$4:$B$46+'FACP$'!$D5761)</f>
        <v>#N/A</v>
      </c>
      <c r="Q5761" s="165" t="str">
        <f t="shared" si="128"/>
        <v>#N/A</v>
      </c>
      <c r="R5761" s="167"/>
      <c r="S5761" s="167"/>
      <c r="T5761" s="168" t="str">
        <f t="shared" si="3"/>
        <v>#N/A</v>
      </c>
      <c r="U5761" s="168" t="str">
        <f t="shared" si="4"/>
        <v>#N/A</v>
      </c>
      <c r="V5761" s="168" t="str">
        <f t="shared" si="5"/>
        <v>#N/A</v>
      </c>
      <c r="W5761" s="168" t="str">
        <f t="shared" si="6"/>
        <v>#N/A</v>
      </c>
      <c r="X5761" s="168" t="str">
        <f t="shared" si="7"/>
        <v>#N/A</v>
      </c>
      <c r="Y5761" s="168" t="str">
        <f t="shared" si="8"/>
        <v>#N/A</v>
      </c>
      <c r="Z5761" s="168" t="str">
        <f t="shared" si="9"/>
        <v>#N/A</v>
      </c>
    </row>
    <row r="5762" ht="15.0" customHeight="1">
      <c r="A5762" s="157"/>
      <c r="B5762" s="158"/>
      <c r="C5762" s="158"/>
      <c r="D5762" s="159"/>
      <c r="E5762" s="157" t="s">
        <v>731</v>
      </c>
      <c r="F5762" s="160"/>
      <c r="G5762" s="160">
        <f>'FACP$'!$F5762*0.16</f>
        <v>0</v>
      </c>
      <c r="H5762" s="160"/>
      <c r="I5762" s="160"/>
      <c r="J5762" s="161"/>
      <c r="K5762" s="160"/>
      <c r="L5762" s="160">
        <f>+'FACP$'!$H5762-'FACP$'!$I5762-'FACP$'!$K5762</f>
        <v>0</v>
      </c>
      <c r="M5762" s="162"/>
      <c r="N5762" s="162"/>
      <c r="O5762" s="164"/>
      <c r="P5762" s="164" t="str">
        <f t="array" ref="P5762">XLOOKUP('FACP$'!$B5762,'perfil de pagos'!$A$4:$A$46,'perfil de pagos'!$B$4:$B$46+'FACP$'!$D5762)</f>
        <v>#N/A</v>
      </c>
      <c r="Q5762" s="165" t="str">
        <f t="shared" si="128"/>
        <v>#N/A</v>
      </c>
      <c r="R5762" s="167"/>
      <c r="S5762" s="167"/>
      <c r="T5762" s="168" t="str">
        <f t="shared" si="3"/>
        <v>#N/A</v>
      </c>
      <c r="U5762" s="168" t="str">
        <f t="shared" si="4"/>
        <v>#N/A</v>
      </c>
      <c r="V5762" s="168" t="str">
        <f t="shared" si="5"/>
        <v>#N/A</v>
      </c>
      <c r="W5762" s="168" t="str">
        <f t="shared" si="6"/>
        <v>#N/A</v>
      </c>
      <c r="X5762" s="168" t="str">
        <f t="shared" si="7"/>
        <v>#N/A</v>
      </c>
      <c r="Y5762" s="168" t="str">
        <f t="shared" si="8"/>
        <v>#N/A</v>
      </c>
      <c r="Z5762" s="168" t="str">
        <f t="shared" si="9"/>
        <v>#N/A</v>
      </c>
    </row>
    <row r="5763" ht="15.0" customHeight="1">
      <c r="A5763" s="157"/>
      <c r="B5763" s="158"/>
      <c r="C5763" s="158"/>
      <c r="D5763" s="159"/>
      <c r="E5763" s="157" t="s">
        <v>731</v>
      </c>
      <c r="F5763" s="160"/>
      <c r="G5763" s="160">
        <f>'FACP$'!$F5763*0.16</f>
        <v>0</v>
      </c>
      <c r="H5763" s="160"/>
      <c r="I5763" s="160"/>
      <c r="J5763" s="161"/>
      <c r="K5763" s="160"/>
      <c r="L5763" s="160">
        <f>+'FACP$'!$H5763-'FACP$'!$I5763-'FACP$'!$K5763</f>
        <v>0</v>
      </c>
      <c r="M5763" s="162"/>
      <c r="N5763" s="162"/>
      <c r="O5763" s="164"/>
      <c r="P5763" s="164" t="str">
        <f t="array" ref="P5763">XLOOKUP('FACP$'!$B5763,'perfil de pagos'!$A$4:$A$46,'perfil de pagos'!$B$4:$B$46+'FACP$'!$D5763)</f>
        <v>#N/A</v>
      </c>
      <c r="Q5763" s="165" t="str">
        <f t="shared" si="128"/>
        <v>#N/A</v>
      </c>
      <c r="R5763" s="167"/>
      <c r="S5763" s="167"/>
      <c r="T5763" s="168" t="str">
        <f t="shared" si="3"/>
        <v>#N/A</v>
      </c>
      <c r="U5763" s="168" t="str">
        <f t="shared" si="4"/>
        <v>#N/A</v>
      </c>
      <c r="V5763" s="168" t="str">
        <f t="shared" si="5"/>
        <v>#N/A</v>
      </c>
      <c r="W5763" s="168" t="str">
        <f t="shared" si="6"/>
        <v>#N/A</v>
      </c>
      <c r="X5763" s="168" t="str">
        <f t="shared" si="7"/>
        <v>#N/A</v>
      </c>
      <c r="Y5763" s="168" t="str">
        <f t="shared" si="8"/>
        <v>#N/A</v>
      </c>
      <c r="Z5763" s="168" t="str">
        <f t="shared" si="9"/>
        <v>#N/A</v>
      </c>
    </row>
    <row r="5764" ht="15.0" customHeight="1">
      <c r="A5764" s="157"/>
      <c r="B5764" s="158"/>
      <c r="C5764" s="158"/>
      <c r="D5764" s="159"/>
      <c r="E5764" s="157" t="s">
        <v>731</v>
      </c>
      <c r="F5764" s="160"/>
      <c r="G5764" s="160">
        <f>'FACP$'!$F5764*0.16</f>
        <v>0</v>
      </c>
      <c r="H5764" s="160"/>
      <c r="I5764" s="160"/>
      <c r="J5764" s="161"/>
      <c r="K5764" s="160"/>
      <c r="L5764" s="160">
        <f>+'FACP$'!$H5764-'FACP$'!$I5764-'FACP$'!$K5764</f>
        <v>0</v>
      </c>
      <c r="M5764" s="162"/>
      <c r="N5764" s="162"/>
      <c r="O5764" s="164"/>
      <c r="P5764" s="164" t="str">
        <f t="array" ref="P5764">XLOOKUP('FACP$'!$B5764,'perfil de pagos'!$A$4:$A$46,'perfil de pagos'!$B$4:$B$46+'FACP$'!$D5764)</f>
        <v>#N/A</v>
      </c>
      <c r="Q5764" s="165" t="str">
        <f t="shared" si="128"/>
        <v>#N/A</v>
      </c>
      <c r="R5764" s="167"/>
      <c r="S5764" s="167"/>
      <c r="T5764" s="168" t="str">
        <f t="shared" si="3"/>
        <v>#N/A</v>
      </c>
      <c r="U5764" s="168" t="str">
        <f t="shared" si="4"/>
        <v>#N/A</v>
      </c>
      <c r="V5764" s="168" t="str">
        <f t="shared" si="5"/>
        <v>#N/A</v>
      </c>
      <c r="W5764" s="168" t="str">
        <f t="shared" si="6"/>
        <v>#N/A</v>
      </c>
      <c r="X5764" s="168" t="str">
        <f t="shared" si="7"/>
        <v>#N/A</v>
      </c>
      <c r="Y5764" s="168" t="str">
        <f t="shared" si="8"/>
        <v>#N/A</v>
      </c>
      <c r="Z5764" s="168" t="str">
        <f t="shared" si="9"/>
        <v>#N/A</v>
      </c>
    </row>
    <row r="5765" ht="15.0" customHeight="1">
      <c r="A5765" s="157"/>
      <c r="B5765" s="158"/>
      <c r="C5765" s="158"/>
      <c r="D5765" s="159"/>
      <c r="E5765" s="157" t="s">
        <v>731</v>
      </c>
      <c r="F5765" s="160"/>
      <c r="G5765" s="160">
        <f>'FACP$'!$F5765*0.16</f>
        <v>0</v>
      </c>
      <c r="H5765" s="160"/>
      <c r="I5765" s="160"/>
      <c r="J5765" s="161"/>
      <c r="K5765" s="160"/>
      <c r="L5765" s="160">
        <f>+'FACP$'!$H5765-'FACP$'!$I5765-'FACP$'!$K5765</f>
        <v>0</v>
      </c>
      <c r="M5765" s="162"/>
      <c r="N5765" s="162"/>
      <c r="O5765" s="164"/>
      <c r="P5765" s="164" t="str">
        <f t="array" ref="P5765">XLOOKUP('FACP$'!$B5765,'perfil de pagos'!$A$4:$A$46,'perfil de pagos'!$B$4:$B$46+'FACP$'!$D5765)</f>
        <v>#N/A</v>
      </c>
      <c r="Q5765" s="165" t="str">
        <f t="shared" si="128"/>
        <v>#N/A</v>
      </c>
      <c r="R5765" s="167"/>
      <c r="S5765" s="167"/>
      <c r="T5765" s="168" t="str">
        <f t="shared" si="3"/>
        <v>#N/A</v>
      </c>
      <c r="U5765" s="168" t="str">
        <f t="shared" si="4"/>
        <v>#N/A</v>
      </c>
      <c r="V5765" s="168" t="str">
        <f t="shared" si="5"/>
        <v>#N/A</v>
      </c>
      <c r="W5765" s="168" t="str">
        <f t="shared" si="6"/>
        <v>#N/A</v>
      </c>
      <c r="X5765" s="168" t="str">
        <f t="shared" si="7"/>
        <v>#N/A</v>
      </c>
      <c r="Y5765" s="168" t="str">
        <f t="shared" si="8"/>
        <v>#N/A</v>
      </c>
      <c r="Z5765" s="168" t="str">
        <f t="shared" si="9"/>
        <v>#N/A</v>
      </c>
    </row>
    <row r="5766" ht="15.0" customHeight="1">
      <c r="A5766" s="157"/>
      <c r="B5766" s="158"/>
      <c r="C5766" s="158"/>
      <c r="D5766" s="159"/>
      <c r="E5766" s="157" t="s">
        <v>731</v>
      </c>
      <c r="F5766" s="160"/>
      <c r="G5766" s="160">
        <f>'FACP$'!$F5766*0.16</f>
        <v>0</v>
      </c>
      <c r="H5766" s="160"/>
      <c r="I5766" s="160"/>
      <c r="J5766" s="161"/>
      <c r="K5766" s="160"/>
      <c r="L5766" s="160">
        <f>+'FACP$'!$H5766-'FACP$'!$I5766-'FACP$'!$K5766</f>
        <v>0</v>
      </c>
      <c r="M5766" s="162"/>
      <c r="N5766" s="162"/>
      <c r="O5766" s="164"/>
      <c r="P5766" s="164" t="str">
        <f t="array" ref="P5766">XLOOKUP('FACP$'!$B5766,'perfil de pagos'!$A$4:$A$46,'perfil de pagos'!$B$4:$B$46+'FACP$'!$D5766)</f>
        <v>#N/A</v>
      </c>
      <c r="Q5766" s="165" t="str">
        <f t="shared" si="128"/>
        <v>#N/A</v>
      </c>
      <c r="R5766" s="167"/>
      <c r="S5766" s="167"/>
      <c r="T5766" s="168" t="str">
        <f t="shared" si="3"/>
        <v>#N/A</v>
      </c>
      <c r="U5766" s="168" t="str">
        <f t="shared" si="4"/>
        <v>#N/A</v>
      </c>
      <c r="V5766" s="168" t="str">
        <f t="shared" si="5"/>
        <v>#N/A</v>
      </c>
      <c r="W5766" s="168" t="str">
        <f t="shared" si="6"/>
        <v>#N/A</v>
      </c>
      <c r="X5766" s="168" t="str">
        <f t="shared" si="7"/>
        <v>#N/A</v>
      </c>
      <c r="Y5766" s="168" t="str">
        <f t="shared" si="8"/>
        <v>#N/A</v>
      </c>
      <c r="Z5766" s="168" t="str">
        <f t="shared" si="9"/>
        <v>#N/A</v>
      </c>
    </row>
    <row r="5767" ht="15.0" customHeight="1">
      <c r="A5767" s="157"/>
      <c r="B5767" s="158"/>
      <c r="C5767" s="158"/>
      <c r="D5767" s="159"/>
      <c r="E5767" s="157" t="s">
        <v>731</v>
      </c>
      <c r="F5767" s="160"/>
      <c r="G5767" s="160">
        <f>'FACP$'!$F5767*0.16</f>
        <v>0</v>
      </c>
      <c r="H5767" s="160"/>
      <c r="I5767" s="160"/>
      <c r="J5767" s="161"/>
      <c r="K5767" s="160"/>
      <c r="L5767" s="160">
        <f>+'FACP$'!$H5767-'FACP$'!$I5767-'FACP$'!$K5767</f>
        <v>0</v>
      </c>
      <c r="M5767" s="162"/>
      <c r="N5767" s="162"/>
      <c r="O5767" s="164"/>
      <c r="P5767" s="164" t="str">
        <f t="array" ref="P5767">XLOOKUP('FACP$'!$B5767,'perfil de pagos'!$A$4:$A$46,'perfil de pagos'!$B$4:$B$46+'FACP$'!$D5767)</f>
        <v>#N/A</v>
      </c>
      <c r="Q5767" s="165" t="str">
        <f t="shared" si="128"/>
        <v>#N/A</v>
      </c>
      <c r="R5767" s="167"/>
      <c r="S5767" s="167"/>
      <c r="T5767" s="168" t="str">
        <f t="shared" si="3"/>
        <v>#N/A</v>
      </c>
      <c r="U5767" s="168" t="str">
        <f t="shared" si="4"/>
        <v>#N/A</v>
      </c>
      <c r="V5767" s="168" t="str">
        <f t="shared" si="5"/>
        <v>#N/A</v>
      </c>
      <c r="W5767" s="168" t="str">
        <f t="shared" si="6"/>
        <v>#N/A</v>
      </c>
      <c r="X5767" s="168" t="str">
        <f t="shared" si="7"/>
        <v>#N/A</v>
      </c>
      <c r="Y5767" s="168" t="str">
        <f t="shared" si="8"/>
        <v>#N/A</v>
      </c>
      <c r="Z5767" s="168" t="str">
        <f t="shared" si="9"/>
        <v>#N/A</v>
      </c>
    </row>
    <row r="5768" ht="15.0" customHeight="1">
      <c r="A5768" s="157"/>
      <c r="B5768" s="158"/>
      <c r="C5768" s="158"/>
      <c r="D5768" s="159"/>
      <c r="E5768" s="157" t="s">
        <v>731</v>
      </c>
      <c r="F5768" s="160"/>
      <c r="G5768" s="160">
        <f>'FACP$'!$F5768*0.16</f>
        <v>0</v>
      </c>
      <c r="H5768" s="160"/>
      <c r="I5768" s="160"/>
      <c r="J5768" s="161"/>
      <c r="K5768" s="160"/>
      <c r="L5768" s="160">
        <f>+'FACP$'!$H5768-'FACP$'!$I5768-'FACP$'!$K5768</f>
        <v>0</v>
      </c>
      <c r="M5768" s="162"/>
      <c r="N5768" s="162"/>
      <c r="O5768" s="164"/>
      <c r="P5768" s="164" t="str">
        <f t="array" ref="P5768">XLOOKUP('FACP$'!$B5768,'perfil de pagos'!$A$4:$A$46,'perfil de pagos'!$B$4:$B$46+'FACP$'!$D5768)</f>
        <v>#N/A</v>
      </c>
      <c r="Q5768" s="165" t="str">
        <f t="shared" si="128"/>
        <v>#N/A</v>
      </c>
      <c r="R5768" s="167"/>
      <c r="S5768" s="167"/>
      <c r="T5768" s="168" t="str">
        <f t="shared" si="3"/>
        <v>#N/A</v>
      </c>
      <c r="U5768" s="168" t="str">
        <f t="shared" si="4"/>
        <v>#N/A</v>
      </c>
      <c r="V5768" s="168" t="str">
        <f t="shared" si="5"/>
        <v>#N/A</v>
      </c>
      <c r="W5768" s="168" t="str">
        <f t="shared" si="6"/>
        <v>#N/A</v>
      </c>
      <c r="X5768" s="168" t="str">
        <f t="shared" si="7"/>
        <v>#N/A</v>
      </c>
      <c r="Y5768" s="168" t="str">
        <f t="shared" si="8"/>
        <v>#N/A</v>
      </c>
      <c r="Z5768" s="168" t="str">
        <f t="shared" si="9"/>
        <v>#N/A</v>
      </c>
    </row>
    <row r="5769" ht="15.0" customHeight="1">
      <c r="A5769" s="157"/>
      <c r="B5769" s="158"/>
      <c r="C5769" s="158"/>
      <c r="D5769" s="159"/>
      <c r="E5769" s="157" t="s">
        <v>731</v>
      </c>
      <c r="F5769" s="160"/>
      <c r="G5769" s="160">
        <f>'FACP$'!$F5769*0.16</f>
        <v>0</v>
      </c>
      <c r="H5769" s="160"/>
      <c r="I5769" s="160"/>
      <c r="J5769" s="161"/>
      <c r="K5769" s="160"/>
      <c r="L5769" s="160">
        <f>+'FACP$'!$H5769-'FACP$'!$I5769-'FACP$'!$K5769</f>
        <v>0</v>
      </c>
      <c r="M5769" s="162"/>
      <c r="N5769" s="162"/>
      <c r="O5769" s="164"/>
      <c r="P5769" s="164" t="str">
        <f t="array" ref="P5769">XLOOKUP('FACP$'!$B5769,'perfil de pagos'!$A$4:$A$46,'perfil de pagos'!$B$4:$B$46+'FACP$'!$D5769)</f>
        <v>#N/A</v>
      </c>
      <c r="Q5769" s="165" t="str">
        <f t="shared" si="128"/>
        <v>#N/A</v>
      </c>
      <c r="R5769" s="167"/>
      <c r="S5769" s="167"/>
      <c r="T5769" s="168" t="str">
        <f t="shared" si="3"/>
        <v>#N/A</v>
      </c>
      <c r="U5769" s="168" t="str">
        <f t="shared" si="4"/>
        <v>#N/A</v>
      </c>
      <c r="V5769" s="168" t="str">
        <f t="shared" si="5"/>
        <v>#N/A</v>
      </c>
      <c r="W5769" s="168" t="str">
        <f t="shared" si="6"/>
        <v>#N/A</v>
      </c>
      <c r="X5769" s="168" t="str">
        <f t="shared" si="7"/>
        <v>#N/A</v>
      </c>
      <c r="Y5769" s="168" t="str">
        <f t="shared" si="8"/>
        <v>#N/A</v>
      </c>
      <c r="Z5769" s="168" t="str">
        <f t="shared" si="9"/>
        <v>#N/A</v>
      </c>
    </row>
    <row r="5770" ht="15.0" customHeight="1">
      <c r="A5770" s="157"/>
      <c r="B5770" s="158"/>
      <c r="C5770" s="158"/>
      <c r="D5770" s="159"/>
      <c r="E5770" s="157" t="s">
        <v>731</v>
      </c>
      <c r="F5770" s="160"/>
      <c r="G5770" s="160">
        <f>'FACP$'!$F5770*0.16</f>
        <v>0</v>
      </c>
      <c r="H5770" s="160"/>
      <c r="I5770" s="160"/>
      <c r="J5770" s="161"/>
      <c r="K5770" s="160"/>
      <c r="L5770" s="160">
        <f>+'FACP$'!$H5770-'FACP$'!$I5770-'FACP$'!$K5770</f>
        <v>0</v>
      </c>
      <c r="M5770" s="162"/>
      <c r="N5770" s="162"/>
      <c r="O5770" s="164"/>
      <c r="P5770" s="164" t="str">
        <f t="array" ref="P5770">XLOOKUP('FACP$'!$B5770,'perfil de pagos'!$A$4:$A$46,'perfil de pagos'!$B$4:$B$46+'FACP$'!$D5770)</f>
        <v>#N/A</v>
      </c>
      <c r="Q5770" s="165" t="str">
        <f t="shared" si="128"/>
        <v>#N/A</v>
      </c>
      <c r="R5770" s="167"/>
      <c r="S5770" s="167"/>
      <c r="T5770" s="168" t="str">
        <f t="shared" si="3"/>
        <v>#N/A</v>
      </c>
      <c r="U5770" s="168" t="str">
        <f t="shared" si="4"/>
        <v>#N/A</v>
      </c>
      <c r="V5770" s="168" t="str">
        <f t="shared" si="5"/>
        <v>#N/A</v>
      </c>
      <c r="W5770" s="168" t="str">
        <f t="shared" si="6"/>
        <v>#N/A</v>
      </c>
      <c r="X5770" s="168" t="str">
        <f t="shared" si="7"/>
        <v>#N/A</v>
      </c>
      <c r="Y5770" s="168" t="str">
        <f t="shared" si="8"/>
        <v>#N/A</v>
      </c>
      <c r="Z5770" s="168" t="str">
        <f t="shared" si="9"/>
        <v>#N/A</v>
      </c>
    </row>
    <row r="5771" ht="15.0" customHeight="1">
      <c r="A5771" s="157"/>
      <c r="B5771" s="158"/>
      <c r="C5771" s="158"/>
      <c r="D5771" s="159"/>
      <c r="E5771" s="157" t="s">
        <v>731</v>
      </c>
      <c r="F5771" s="160"/>
      <c r="G5771" s="160">
        <f>'FACP$'!$F5771*0.16</f>
        <v>0</v>
      </c>
      <c r="H5771" s="160"/>
      <c r="I5771" s="160"/>
      <c r="J5771" s="161"/>
      <c r="K5771" s="160"/>
      <c r="L5771" s="160">
        <f>+'FACP$'!$H5771-'FACP$'!$I5771-'FACP$'!$K5771</f>
        <v>0</v>
      </c>
      <c r="M5771" s="162"/>
      <c r="N5771" s="162"/>
      <c r="O5771" s="164"/>
      <c r="P5771" s="164" t="str">
        <f t="array" ref="P5771">XLOOKUP('FACP$'!$B5771,'perfil de pagos'!$A$4:$A$46,'perfil de pagos'!$B$4:$B$46+'FACP$'!$D5771)</f>
        <v>#N/A</v>
      </c>
      <c r="Q5771" s="165" t="str">
        <f t="shared" si="128"/>
        <v>#N/A</v>
      </c>
      <c r="R5771" s="167"/>
      <c r="S5771" s="167"/>
      <c r="T5771" s="168" t="str">
        <f t="shared" si="3"/>
        <v>#N/A</v>
      </c>
      <c r="U5771" s="168" t="str">
        <f t="shared" si="4"/>
        <v>#N/A</v>
      </c>
      <c r="V5771" s="168" t="str">
        <f t="shared" si="5"/>
        <v>#N/A</v>
      </c>
      <c r="W5771" s="168" t="str">
        <f t="shared" si="6"/>
        <v>#N/A</v>
      </c>
      <c r="X5771" s="168" t="str">
        <f t="shared" si="7"/>
        <v>#N/A</v>
      </c>
      <c r="Y5771" s="168" t="str">
        <f t="shared" si="8"/>
        <v>#N/A</v>
      </c>
      <c r="Z5771" s="168" t="str">
        <f t="shared" si="9"/>
        <v>#N/A</v>
      </c>
    </row>
    <row r="5772" ht="15.0" customHeight="1">
      <c r="A5772" s="157"/>
      <c r="B5772" s="158"/>
      <c r="C5772" s="158"/>
      <c r="D5772" s="159"/>
      <c r="E5772" s="157" t="s">
        <v>731</v>
      </c>
      <c r="F5772" s="160"/>
      <c r="G5772" s="160">
        <f>'FACP$'!$F5772*0.16</f>
        <v>0</v>
      </c>
      <c r="H5772" s="160"/>
      <c r="I5772" s="160"/>
      <c r="J5772" s="161"/>
      <c r="K5772" s="160"/>
      <c r="L5772" s="160">
        <f>+'FACP$'!$H5772-'FACP$'!$I5772-'FACP$'!$K5772</f>
        <v>0</v>
      </c>
      <c r="M5772" s="162"/>
      <c r="N5772" s="162"/>
      <c r="O5772" s="164"/>
      <c r="P5772" s="164" t="str">
        <f t="array" ref="P5772">XLOOKUP('FACP$'!$B5772,'perfil de pagos'!$A$4:$A$46,'perfil de pagos'!$B$4:$B$46+'FACP$'!$D5772)</f>
        <v>#N/A</v>
      </c>
      <c r="Q5772" s="165" t="str">
        <f t="shared" si="128"/>
        <v>#N/A</v>
      </c>
      <c r="R5772" s="167"/>
      <c r="S5772" s="167"/>
      <c r="T5772" s="168" t="str">
        <f t="shared" si="3"/>
        <v>#N/A</v>
      </c>
      <c r="U5772" s="168" t="str">
        <f t="shared" si="4"/>
        <v>#N/A</v>
      </c>
      <c r="V5772" s="168" t="str">
        <f t="shared" si="5"/>
        <v>#N/A</v>
      </c>
      <c r="W5772" s="168" t="str">
        <f t="shared" si="6"/>
        <v>#N/A</v>
      </c>
      <c r="X5772" s="168" t="str">
        <f t="shared" si="7"/>
        <v>#N/A</v>
      </c>
      <c r="Y5772" s="168" t="str">
        <f t="shared" si="8"/>
        <v>#N/A</v>
      </c>
      <c r="Z5772" s="168" t="str">
        <f t="shared" si="9"/>
        <v>#N/A</v>
      </c>
    </row>
    <row r="5773" ht="15.0" customHeight="1">
      <c r="A5773" s="157"/>
      <c r="B5773" s="158"/>
      <c r="C5773" s="158"/>
      <c r="D5773" s="159"/>
      <c r="E5773" s="157" t="s">
        <v>731</v>
      </c>
      <c r="F5773" s="160"/>
      <c r="G5773" s="160">
        <f>'FACP$'!$F5773*0.16</f>
        <v>0</v>
      </c>
      <c r="H5773" s="160"/>
      <c r="I5773" s="160"/>
      <c r="J5773" s="161"/>
      <c r="K5773" s="160"/>
      <c r="L5773" s="160">
        <f>+'FACP$'!$H5773-'FACP$'!$I5773-'FACP$'!$K5773</f>
        <v>0</v>
      </c>
      <c r="M5773" s="162"/>
      <c r="N5773" s="162"/>
      <c r="O5773" s="164"/>
      <c r="P5773" s="164" t="str">
        <f t="array" ref="P5773">XLOOKUP('FACP$'!$B5773,'perfil de pagos'!$A$4:$A$46,'perfil de pagos'!$B$4:$B$46+'FACP$'!$D5773)</f>
        <v>#N/A</v>
      </c>
      <c r="Q5773" s="165" t="str">
        <f t="shared" si="128"/>
        <v>#N/A</v>
      </c>
      <c r="R5773" s="167"/>
      <c r="S5773" s="167"/>
      <c r="T5773" s="168" t="str">
        <f t="shared" si="3"/>
        <v>#N/A</v>
      </c>
      <c r="U5773" s="168" t="str">
        <f t="shared" si="4"/>
        <v>#N/A</v>
      </c>
      <c r="V5773" s="168" t="str">
        <f t="shared" si="5"/>
        <v>#N/A</v>
      </c>
      <c r="W5773" s="168" t="str">
        <f t="shared" si="6"/>
        <v>#N/A</v>
      </c>
      <c r="X5773" s="168" t="str">
        <f t="shared" si="7"/>
        <v>#N/A</v>
      </c>
      <c r="Y5773" s="168" t="str">
        <f t="shared" si="8"/>
        <v>#N/A</v>
      </c>
      <c r="Z5773" s="168" t="str">
        <f t="shared" si="9"/>
        <v>#N/A</v>
      </c>
    </row>
    <row r="5774" ht="15.0" customHeight="1">
      <c r="A5774" s="157"/>
      <c r="B5774" s="158"/>
      <c r="C5774" s="158"/>
      <c r="D5774" s="159"/>
      <c r="E5774" s="157" t="s">
        <v>731</v>
      </c>
      <c r="F5774" s="160"/>
      <c r="G5774" s="160">
        <f>'FACP$'!$F5774*0.16</f>
        <v>0</v>
      </c>
      <c r="H5774" s="160"/>
      <c r="I5774" s="160"/>
      <c r="J5774" s="161"/>
      <c r="K5774" s="160"/>
      <c r="L5774" s="160">
        <f>+'FACP$'!$H5774-'FACP$'!$I5774-'FACP$'!$K5774</f>
        <v>0</v>
      </c>
      <c r="M5774" s="162"/>
      <c r="N5774" s="162"/>
      <c r="O5774" s="164"/>
      <c r="P5774" s="164" t="str">
        <f t="array" ref="P5774">XLOOKUP('FACP$'!$B5774,'perfil de pagos'!$A$4:$A$46,'perfil de pagos'!$B$4:$B$46+'FACP$'!$D5774)</f>
        <v>#N/A</v>
      </c>
      <c r="Q5774" s="165" t="str">
        <f t="shared" si="128"/>
        <v>#N/A</v>
      </c>
      <c r="R5774" s="167"/>
      <c r="S5774" s="167"/>
      <c r="T5774" s="168" t="str">
        <f t="shared" si="3"/>
        <v>#N/A</v>
      </c>
      <c r="U5774" s="168" t="str">
        <f t="shared" si="4"/>
        <v>#N/A</v>
      </c>
      <c r="V5774" s="168" t="str">
        <f t="shared" si="5"/>
        <v>#N/A</v>
      </c>
      <c r="W5774" s="168" t="str">
        <f t="shared" si="6"/>
        <v>#N/A</v>
      </c>
      <c r="X5774" s="168" t="str">
        <f t="shared" si="7"/>
        <v>#N/A</v>
      </c>
      <c r="Y5774" s="168" t="str">
        <f t="shared" si="8"/>
        <v>#N/A</v>
      </c>
      <c r="Z5774" s="168" t="str">
        <f t="shared" si="9"/>
        <v>#N/A</v>
      </c>
    </row>
    <row r="5775" ht="15.0" customHeight="1">
      <c r="A5775" s="157"/>
      <c r="B5775" s="158"/>
      <c r="C5775" s="158"/>
      <c r="D5775" s="159"/>
      <c r="E5775" s="157" t="s">
        <v>731</v>
      </c>
      <c r="F5775" s="160"/>
      <c r="G5775" s="160">
        <f>'FACP$'!$F5775*0.16</f>
        <v>0</v>
      </c>
      <c r="H5775" s="160"/>
      <c r="I5775" s="160"/>
      <c r="J5775" s="161"/>
      <c r="K5775" s="160"/>
      <c r="L5775" s="160">
        <f>+'FACP$'!$H5775-'FACP$'!$I5775-'FACP$'!$K5775</f>
        <v>0</v>
      </c>
      <c r="M5775" s="162"/>
      <c r="N5775" s="162"/>
      <c r="O5775" s="164"/>
      <c r="P5775" s="164" t="str">
        <f t="array" ref="P5775">XLOOKUP('FACP$'!$B5775,'perfil de pagos'!$A$4:$A$46,'perfil de pagos'!$B$4:$B$46+'FACP$'!$D5775)</f>
        <v>#N/A</v>
      </c>
      <c r="Q5775" s="165" t="str">
        <f t="shared" si="128"/>
        <v>#N/A</v>
      </c>
      <c r="R5775" s="167"/>
      <c r="S5775" s="167"/>
      <c r="T5775" s="168" t="str">
        <f t="shared" si="3"/>
        <v>#N/A</v>
      </c>
      <c r="U5775" s="168" t="str">
        <f t="shared" si="4"/>
        <v>#N/A</v>
      </c>
      <c r="V5775" s="168" t="str">
        <f t="shared" si="5"/>
        <v>#N/A</v>
      </c>
      <c r="W5775" s="168" t="str">
        <f t="shared" si="6"/>
        <v>#N/A</v>
      </c>
      <c r="X5775" s="168" t="str">
        <f t="shared" si="7"/>
        <v>#N/A</v>
      </c>
      <c r="Y5775" s="168" t="str">
        <f t="shared" si="8"/>
        <v>#N/A</v>
      </c>
      <c r="Z5775" s="168" t="str">
        <f t="shared" si="9"/>
        <v>#N/A</v>
      </c>
    </row>
    <row r="5776" ht="15.0" customHeight="1">
      <c r="A5776" s="157"/>
      <c r="B5776" s="158"/>
      <c r="C5776" s="158"/>
      <c r="D5776" s="159"/>
      <c r="E5776" s="157" t="s">
        <v>731</v>
      </c>
      <c r="F5776" s="160"/>
      <c r="G5776" s="160">
        <f>'FACP$'!$F5776*0.16</f>
        <v>0</v>
      </c>
      <c r="H5776" s="160"/>
      <c r="I5776" s="160"/>
      <c r="J5776" s="161"/>
      <c r="K5776" s="160"/>
      <c r="L5776" s="160">
        <f>+'FACP$'!$H5776-'FACP$'!$I5776-'FACP$'!$K5776</f>
        <v>0</v>
      </c>
      <c r="M5776" s="162"/>
      <c r="N5776" s="162"/>
      <c r="O5776" s="164"/>
      <c r="P5776" s="164" t="str">
        <f t="array" ref="P5776">XLOOKUP('FACP$'!$B5776,'perfil de pagos'!$A$4:$A$46,'perfil de pagos'!$B$4:$B$46+'FACP$'!$D5776)</f>
        <v>#N/A</v>
      </c>
      <c r="Q5776" s="165" t="str">
        <f t="shared" si="128"/>
        <v>#N/A</v>
      </c>
      <c r="R5776" s="167"/>
      <c r="S5776" s="167"/>
      <c r="T5776" s="168" t="str">
        <f t="shared" si="3"/>
        <v>#N/A</v>
      </c>
      <c r="U5776" s="168" t="str">
        <f t="shared" si="4"/>
        <v>#N/A</v>
      </c>
      <c r="V5776" s="168" t="str">
        <f t="shared" si="5"/>
        <v>#N/A</v>
      </c>
      <c r="W5776" s="168" t="str">
        <f t="shared" si="6"/>
        <v>#N/A</v>
      </c>
      <c r="X5776" s="168" t="str">
        <f t="shared" si="7"/>
        <v>#N/A</v>
      </c>
      <c r="Y5776" s="168" t="str">
        <f t="shared" si="8"/>
        <v>#N/A</v>
      </c>
      <c r="Z5776" s="168" t="str">
        <f t="shared" si="9"/>
        <v>#N/A</v>
      </c>
    </row>
    <row r="5777" ht="15.0" customHeight="1">
      <c r="A5777" s="157"/>
      <c r="B5777" s="158"/>
      <c r="C5777" s="158"/>
      <c r="D5777" s="159"/>
      <c r="E5777" s="157" t="s">
        <v>731</v>
      </c>
      <c r="F5777" s="160"/>
      <c r="G5777" s="160">
        <f>'FACP$'!$F5777*0.16</f>
        <v>0</v>
      </c>
      <c r="H5777" s="160"/>
      <c r="I5777" s="160"/>
      <c r="J5777" s="161"/>
      <c r="K5777" s="160"/>
      <c r="L5777" s="160">
        <f>+'FACP$'!$H5777-'FACP$'!$I5777-'FACP$'!$K5777</f>
        <v>0</v>
      </c>
      <c r="M5777" s="162"/>
      <c r="N5777" s="162"/>
      <c r="O5777" s="164"/>
      <c r="P5777" s="164" t="str">
        <f t="array" ref="P5777">XLOOKUP('FACP$'!$B5777,'perfil de pagos'!$A$4:$A$46,'perfil de pagos'!$B$4:$B$46+'FACP$'!$D5777)</f>
        <v>#N/A</v>
      </c>
      <c r="Q5777" s="165" t="str">
        <f t="shared" si="128"/>
        <v>#N/A</v>
      </c>
      <c r="R5777" s="167"/>
      <c r="S5777" s="167"/>
      <c r="T5777" s="168" t="str">
        <f t="shared" si="3"/>
        <v>#N/A</v>
      </c>
      <c r="U5777" s="168" t="str">
        <f t="shared" si="4"/>
        <v>#N/A</v>
      </c>
      <c r="V5777" s="168" t="str">
        <f t="shared" si="5"/>
        <v>#N/A</v>
      </c>
      <c r="W5777" s="168" t="str">
        <f t="shared" si="6"/>
        <v>#N/A</v>
      </c>
      <c r="X5777" s="168" t="str">
        <f t="shared" si="7"/>
        <v>#N/A</v>
      </c>
      <c r="Y5777" s="168" t="str">
        <f t="shared" si="8"/>
        <v>#N/A</v>
      </c>
      <c r="Z5777" s="168" t="str">
        <f t="shared" si="9"/>
        <v>#N/A</v>
      </c>
    </row>
    <row r="5778" ht="15.0" customHeight="1">
      <c r="A5778" s="157"/>
      <c r="B5778" s="158"/>
      <c r="C5778" s="158"/>
      <c r="D5778" s="159"/>
      <c r="E5778" s="157" t="s">
        <v>731</v>
      </c>
      <c r="F5778" s="160"/>
      <c r="G5778" s="160">
        <f>'FACP$'!$F5778*0.16</f>
        <v>0</v>
      </c>
      <c r="H5778" s="160"/>
      <c r="I5778" s="160"/>
      <c r="J5778" s="161"/>
      <c r="K5778" s="160"/>
      <c r="L5778" s="160">
        <f>+'FACP$'!$H5778-'FACP$'!$I5778-'FACP$'!$K5778</f>
        <v>0</v>
      </c>
      <c r="M5778" s="162"/>
      <c r="N5778" s="162"/>
      <c r="O5778" s="164"/>
      <c r="P5778" s="164" t="str">
        <f t="array" ref="P5778">XLOOKUP('FACP$'!$B5778,'perfil de pagos'!$A$4:$A$46,'perfil de pagos'!$B$4:$B$46+'FACP$'!$D5778)</f>
        <v>#N/A</v>
      </c>
      <c r="Q5778" s="165" t="str">
        <f t="shared" si="128"/>
        <v>#N/A</v>
      </c>
      <c r="R5778" s="167"/>
      <c r="S5778" s="167"/>
      <c r="T5778" s="168" t="str">
        <f t="shared" si="3"/>
        <v>#N/A</v>
      </c>
      <c r="U5778" s="168" t="str">
        <f t="shared" si="4"/>
        <v>#N/A</v>
      </c>
      <c r="V5778" s="168" t="str">
        <f t="shared" si="5"/>
        <v>#N/A</v>
      </c>
      <c r="W5778" s="168" t="str">
        <f t="shared" si="6"/>
        <v>#N/A</v>
      </c>
      <c r="X5778" s="168" t="str">
        <f t="shared" si="7"/>
        <v>#N/A</v>
      </c>
      <c r="Y5778" s="168" t="str">
        <f t="shared" si="8"/>
        <v>#N/A</v>
      </c>
      <c r="Z5778" s="168" t="str">
        <f t="shared" si="9"/>
        <v>#N/A</v>
      </c>
    </row>
    <row r="5779" ht="15.0" customHeight="1">
      <c r="A5779" s="157"/>
      <c r="B5779" s="158"/>
      <c r="C5779" s="158"/>
      <c r="D5779" s="159"/>
      <c r="E5779" s="157" t="s">
        <v>731</v>
      </c>
      <c r="F5779" s="160"/>
      <c r="G5779" s="160">
        <f>'FACP$'!$F5779*0.16</f>
        <v>0</v>
      </c>
      <c r="H5779" s="160"/>
      <c r="I5779" s="160"/>
      <c r="J5779" s="161"/>
      <c r="K5779" s="160"/>
      <c r="L5779" s="160">
        <f>+'FACP$'!$H5779-'FACP$'!$I5779-'FACP$'!$K5779</f>
        <v>0</v>
      </c>
      <c r="M5779" s="162"/>
      <c r="N5779" s="162"/>
      <c r="O5779" s="164"/>
      <c r="P5779" s="164" t="str">
        <f t="array" ref="P5779">XLOOKUP('FACP$'!$B5779,'perfil de pagos'!$A$4:$A$46,'perfil de pagos'!$B$4:$B$46+'FACP$'!$D5779)</f>
        <v>#N/A</v>
      </c>
      <c r="Q5779" s="165" t="str">
        <f t="shared" si="128"/>
        <v>#N/A</v>
      </c>
      <c r="R5779" s="167"/>
      <c r="S5779" s="167"/>
      <c r="T5779" s="168" t="str">
        <f t="shared" si="3"/>
        <v>#N/A</v>
      </c>
      <c r="U5779" s="168" t="str">
        <f t="shared" si="4"/>
        <v>#N/A</v>
      </c>
      <c r="V5779" s="168" t="str">
        <f t="shared" si="5"/>
        <v>#N/A</v>
      </c>
      <c r="W5779" s="168" t="str">
        <f t="shared" si="6"/>
        <v>#N/A</v>
      </c>
      <c r="X5779" s="168" t="str">
        <f t="shared" si="7"/>
        <v>#N/A</v>
      </c>
      <c r="Y5779" s="168" t="str">
        <f t="shared" si="8"/>
        <v>#N/A</v>
      </c>
      <c r="Z5779" s="168" t="str">
        <f t="shared" si="9"/>
        <v>#N/A</v>
      </c>
    </row>
    <row r="5780" ht="15.0" customHeight="1">
      <c r="A5780" s="157"/>
      <c r="B5780" s="158"/>
      <c r="C5780" s="158"/>
      <c r="D5780" s="159"/>
      <c r="E5780" s="157" t="s">
        <v>731</v>
      </c>
      <c r="F5780" s="160"/>
      <c r="G5780" s="160">
        <f>'FACP$'!$F5780*0.16</f>
        <v>0</v>
      </c>
      <c r="H5780" s="160"/>
      <c r="I5780" s="160"/>
      <c r="J5780" s="161"/>
      <c r="K5780" s="160"/>
      <c r="L5780" s="160">
        <f>+'FACP$'!$H5780-'FACP$'!$I5780-'FACP$'!$K5780</f>
        <v>0</v>
      </c>
      <c r="M5780" s="162"/>
      <c r="N5780" s="162"/>
      <c r="O5780" s="164"/>
      <c r="P5780" s="164" t="str">
        <f t="array" ref="P5780">XLOOKUP('FACP$'!$B5780,'perfil de pagos'!$A$4:$A$46,'perfil de pagos'!$B$4:$B$46+'FACP$'!$D5780)</f>
        <v>#N/A</v>
      </c>
      <c r="Q5780" s="165" t="str">
        <f t="shared" si="128"/>
        <v>#N/A</v>
      </c>
      <c r="R5780" s="167"/>
      <c r="S5780" s="167"/>
      <c r="T5780" s="168" t="str">
        <f t="shared" si="3"/>
        <v>#N/A</v>
      </c>
      <c r="U5780" s="168" t="str">
        <f t="shared" si="4"/>
        <v>#N/A</v>
      </c>
      <c r="V5780" s="168" t="str">
        <f t="shared" si="5"/>
        <v>#N/A</v>
      </c>
      <c r="W5780" s="168" t="str">
        <f t="shared" si="6"/>
        <v>#N/A</v>
      </c>
      <c r="X5780" s="168" t="str">
        <f t="shared" si="7"/>
        <v>#N/A</v>
      </c>
      <c r="Y5780" s="168" t="str">
        <f t="shared" si="8"/>
        <v>#N/A</v>
      </c>
      <c r="Z5780" s="168" t="str">
        <f t="shared" si="9"/>
        <v>#N/A</v>
      </c>
    </row>
    <row r="5781" ht="15.0" customHeight="1">
      <c r="A5781" s="157"/>
      <c r="B5781" s="158"/>
      <c r="C5781" s="158"/>
      <c r="D5781" s="159"/>
      <c r="E5781" s="157" t="s">
        <v>731</v>
      </c>
      <c r="F5781" s="160"/>
      <c r="G5781" s="160">
        <f>'FACP$'!$F5781*0.16</f>
        <v>0</v>
      </c>
      <c r="H5781" s="160"/>
      <c r="I5781" s="160"/>
      <c r="J5781" s="161"/>
      <c r="K5781" s="160"/>
      <c r="L5781" s="160">
        <f>+'FACP$'!$H5781-'FACP$'!$I5781-'FACP$'!$K5781</f>
        <v>0</v>
      </c>
      <c r="M5781" s="162"/>
      <c r="N5781" s="162"/>
      <c r="O5781" s="164"/>
      <c r="P5781" s="164" t="str">
        <f t="array" ref="P5781">XLOOKUP('FACP$'!$B5781,'perfil de pagos'!$A$4:$A$46,'perfil de pagos'!$B$4:$B$46+'FACP$'!$D5781)</f>
        <v>#N/A</v>
      </c>
      <c r="Q5781" s="165" t="str">
        <f t="shared" si="128"/>
        <v>#N/A</v>
      </c>
      <c r="R5781" s="167"/>
      <c r="S5781" s="167"/>
      <c r="T5781" s="168" t="str">
        <f t="shared" si="3"/>
        <v>#N/A</v>
      </c>
      <c r="U5781" s="168" t="str">
        <f t="shared" si="4"/>
        <v>#N/A</v>
      </c>
      <c r="V5781" s="168" t="str">
        <f t="shared" si="5"/>
        <v>#N/A</v>
      </c>
      <c r="W5781" s="168" t="str">
        <f t="shared" si="6"/>
        <v>#N/A</v>
      </c>
      <c r="X5781" s="168" t="str">
        <f t="shared" si="7"/>
        <v>#N/A</v>
      </c>
      <c r="Y5781" s="168" t="str">
        <f t="shared" si="8"/>
        <v>#N/A</v>
      </c>
      <c r="Z5781" s="168" t="str">
        <f t="shared" si="9"/>
        <v>#N/A</v>
      </c>
    </row>
    <row r="5782" ht="15.0" customHeight="1">
      <c r="A5782" s="157"/>
      <c r="B5782" s="158"/>
      <c r="C5782" s="158"/>
      <c r="D5782" s="159"/>
      <c r="E5782" s="157" t="s">
        <v>731</v>
      </c>
      <c r="F5782" s="160"/>
      <c r="G5782" s="160">
        <f>'FACP$'!$F5782*0.16</f>
        <v>0</v>
      </c>
      <c r="H5782" s="160"/>
      <c r="I5782" s="160"/>
      <c r="J5782" s="161"/>
      <c r="K5782" s="160"/>
      <c r="L5782" s="160">
        <f>+'FACP$'!$H5782-'FACP$'!$I5782-'FACP$'!$K5782</f>
        <v>0</v>
      </c>
      <c r="M5782" s="162"/>
      <c r="N5782" s="162"/>
      <c r="O5782" s="164"/>
      <c r="P5782" s="164" t="str">
        <f t="array" ref="P5782">XLOOKUP('FACP$'!$B5782,'perfil de pagos'!$A$4:$A$46,'perfil de pagos'!$B$4:$B$46+'FACP$'!$D5782)</f>
        <v>#N/A</v>
      </c>
      <c r="Q5782" s="165" t="str">
        <f t="shared" si="128"/>
        <v>#N/A</v>
      </c>
      <c r="R5782" s="167"/>
      <c r="S5782" s="167"/>
      <c r="T5782" s="168" t="str">
        <f t="shared" si="3"/>
        <v>#N/A</v>
      </c>
      <c r="U5782" s="168" t="str">
        <f t="shared" si="4"/>
        <v>#N/A</v>
      </c>
      <c r="V5782" s="168" t="str">
        <f t="shared" si="5"/>
        <v>#N/A</v>
      </c>
      <c r="W5782" s="168" t="str">
        <f t="shared" si="6"/>
        <v>#N/A</v>
      </c>
      <c r="X5782" s="168" t="str">
        <f t="shared" si="7"/>
        <v>#N/A</v>
      </c>
      <c r="Y5782" s="168" t="str">
        <f t="shared" si="8"/>
        <v>#N/A</v>
      </c>
      <c r="Z5782" s="168" t="str">
        <f t="shared" si="9"/>
        <v>#N/A</v>
      </c>
    </row>
    <row r="5783" ht="15.0" customHeight="1">
      <c r="A5783" s="157"/>
      <c r="B5783" s="158"/>
      <c r="C5783" s="158"/>
      <c r="D5783" s="159"/>
      <c r="E5783" s="157" t="s">
        <v>731</v>
      </c>
      <c r="F5783" s="160"/>
      <c r="G5783" s="160">
        <f>'FACP$'!$F5783*0.16</f>
        <v>0</v>
      </c>
      <c r="H5783" s="160"/>
      <c r="I5783" s="160"/>
      <c r="J5783" s="161"/>
      <c r="K5783" s="160"/>
      <c r="L5783" s="160">
        <f>+'FACP$'!$H5783-'FACP$'!$I5783-'FACP$'!$K5783</f>
        <v>0</v>
      </c>
      <c r="M5783" s="162"/>
      <c r="N5783" s="162"/>
      <c r="O5783" s="164"/>
      <c r="P5783" s="164" t="str">
        <f t="array" ref="P5783">XLOOKUP('FACP$'!$B5783,'perfil de pagos'!$A$4:$A$46,'perfil de pagos'!$B$4:$B$46+'FACP$'!$D5783)</f>
        <v>#N/A</v>
      </c>
      <c r="Q5783" s="165" t="str">
        <f t="shared" si="128"/>
        <v>#N/A</v>
      </c>
      <c r="R5783" s="167"/>
      <c r="S5783" s="167"/>
      <c r="T5783" s="168" t="str">
        <f t="shared" si="3"/>
        <v>#N/A</v>
      </c>
      <c r="U5783" s="168" t="str">
        <f t="shared" si="4"/>
        <v>#N/A</v>
      </c>
      <c r="V5783" s="168" t="str">
        <f t="shared" si="5"/>
        <v>#N/A</v>
      </c>
      <c r="W5783" s="168" t="str">
        <f t="shared" si="6"/>
        <v>#N/A</v>
      </c>
      <c r="X5783" s="168" t="str">
        <f t="shared" si="7"/>
        <v>#N/A</v>
      </c>
      <c r="Y5783" s="168" t="str">
        <f t="shared" si="8"/>
        <v>#N/A</v>
      </c>
      <c r="Z5783" s="168" t="str">
        <f t="shared" si="9"/>
        <v>#N/A</v>
      </c>
    </row>
    <row r="5784" ht="15.0" customHeight="1">
      <c r="A5784" s="157"/>
      <c r="B5784" s="158"/>
      <c r="C5784" s="158"/>
      <c r="D5784" s="159"/>
      <c r="E5784" s="157" t="s">
        <v>731</v>
      </c>
      <c r="F5784" s="160"/>
      <c r="G5784" s="160">
        <f>'FACP$'!$F5784*0.16</f>
        <v>0</v>
      </c>
      <c r="H5784" s="160"/>
      <c r="I5784" s="160"/>
      <c r="J5784" s="161"/>
      <c r="K5784" s="160"/>
      <c r="L5784" s="160">
        <f>+'FACP$'!$H5784-'FACP$'!$I5784-'FACP$'!$K5784</f>
        <v>0</v>
      </c>
      <c r="M5784" s="162"/>
      <c r="N5784" s="162"/>
      <c r="O5784" s="164"/>
      <c r="P5784" s="164" t="str">
        <f t="array" ref="P5784">XLOOKUP('FACP$'!$B5784,'perfil de pagos'!$A$4:$A$46,'perfil de pagos'!$B$4:$B$46+'FACP$'!$D5784)</f>
        <v>#N/A</v>
      </c>
      <c r="Q5784" s="165" t="str">
        <f t="shared" si="128"/>
        <v>#N/A</v>
      </c>
      <c r="R5784" s="167"/>
      <c r="S5784" s="167"/>
      <c r="T5784" s="168" t="str">
        <f t="shared" si="3"/>
        <v>#N/A</v>
      </c>
      <c r="U5784" s="168" t="str">
        <f t="shared" si="4"/>
        <v>#N/A</v>
      </c>
      <c r="V5784" s="168" t="str">
        <f t="shared" si="5"/>
        <v>#N/A</v>
      </c>
      <c r="W5784" s="168" t="str">
        <f t="shared" si="6"/>
        <v>#N/A</v>
      </c>
      <c r="X5784" s="168" t="str">
        <f t="shared" si="7"/>
        <v>#N/A</v>
      </c>
      <c r="Y5784" s="168" t="str">
        <f t="shared" si="8"/>
        <v>#N/A</v>
      </c>
      <c r="Z5784" s="168" t="str">
        <f t="shared" si="9"/>
        <v>#N/A</v>
      </c>
    </row>
    <row r="5785" ht="15.0" customHeight="1">
      <c r="A5785" s="157"/>
      <c r="B5785" s="158"/>
      <c r="C5785" s="158"/>
      <c r="D5785" s="159"/>
      <c r="E5785" s="157" t="s">
        <v>731</v>
      </c>
      <c r="F5785" s="160"/>
      <c r="G5785" s="160">
        <f>'FACP$'!$F5785*0.16</f>
        <v>0</v>
      </c>
      <c r="H5785" s="160"/>
      <c r="I5785" s="160"/>
      <c r="J5785" s="161"/>
      <c r="K5785" s="160"/>
      <c r="L5785" s="160">
        <f>+'FACP$'!$H5785-'FACP$'!$I5785-'FACP$'!$K5785</f>
        <v>0</v>
      </c>
      <c r="M5785" s="162"/>
      <c r="N5785" s="162"/>
      <c r="O5785" s="164"/>
      <c r="P5785" s="164" t="str">
        <f t="array" ref="P5785">XLOOKUP('FACP$'!$B5785,'perfil de pagos'!$A$4:$A$46,'perfil de pagos'!$B$4:$B$46+'FACP$'!$D5785)</f>
        <v>#N/A</v>
      </c>
      <c r="Q5785" s="165" t="str">
        <f t="shared" si="128"/>
        <v>#N/A</v>
      </c>
      <c r="R5785" s="167"/>
      <c r="S5785" s="167"/>
      <c r="T5785" s="168" t="str">
        <f t="shared" si="3"/>
        <v>#N/A</v>
      </c>
      <c r="U5785" s="168" t="str">
        <f t="shared" si="4"/>
        <v>#N/A</v>
      </c>
      <c r="V5785" s="168" t="str">
        <f t="shared" si="5"/>
        <v>#N/A</v>
      </c>
      <c r="W5785" s="168" t="str">
        <f t="shared" si="6"/>
        <v>#N/A</v>
      </c>
      <c r="X5785" s="168" t="str">
        <f t="shared" si="7"/>
        <v>#N/A</v>
      </c>
      <c r="Y5785" s="168" t="str">
        <f t="shared" si="8"/>
        <v>#N/A</v>
      </c>
      <c r="Z5785" s="168" t="str">
        <f t="shared" si="9"/>
        <v>#N/A</v>
      </c>
    </row>
    <row r="5786" ht="15.0" customHeight="1">
      <c r="A5786" s="157"/>
      <c r="B5786" s="158"/>
      <c r="C5786" s="158"/>
      <c r="D5786" s="159"/>
      <c r="E5786" s="157" t="s">
        <v>731</v>
      </c>
      <c r="F5786" s="160"/>
      <c r="G5786" s="160">
        <f>'FACP$'!$F5786*0.16</f>
        <v>0</v>
      </c>
      <c r="H5786" s="160"/>
      <c r="I5786" s="160"/>
      <c r="J5786" s="161"/>
      <c r="K5786" s="160"/>
      <c r="L5786" s="160">
        <f>+'FACP$'!$H5786-'FACP$'!$I5786-'FACP$'!$K5786</f>
        <v>0</v>
      </c>
      <c r="M5786" s="162"/>
      <c r="N5786" s="162"/>
      <c r="O5786" s="164"/>
      <c r="P5786" s="164" t="str">
        <f t="array" ref="P5786">XLOOKUP('FACP$'!$B5786,'perfil de pagos'!$A$4:$A$46,'perfil de pagos'!$B$4:$B$46+'FACP$'!$D5786)</f>
        <v>#N/A</v>
      </c>
      <c r="Q5786" s="165" t="str">
        <f t="shared" si="128"/>
        <v>#N/A</v>
      </c>
      <c r="R5786" s="167"/>
      <c r="S5786" s="167"/>
      <c r="T5786" s="168" t="str">
        <f t="shared" si="3"/>
        <v>#N/A</v>
      </c>
      <c r="U5786" s="168" t="str">
        <f t="shared" si="4"/>
        <v>#N/A</v>
      </c>
      <c r="V5786" s="168" t="str">
        <f t="shared" si="5"/>
        <v>#N/A</v>
      </c>
      <c r="W5786" s="168" t="str">
        <f t="shared" si="6"/>
        <v>#N/A</v>
      </c>
      <c r="X5786" s="168" t="str">
        <f t="shared" si="7"/>
        <v>#N/A</v>
      </c>
      <c r="Y5786" s="168" t="str">
        <f t="shared" si="8"/>
        <v>#N/A</v>
      </c>
      <c r="Z5786" s="168" t="str">
        <f t="shared" si="9"/>
        <v>#N/A</v>
      </c>
    </row>
    <row r="5787" ht="15.0" customHeight="1">
      <c r="A5787" s="157"/>
      <c r="B5787" s="158"/>
      <c r="C5787" s="158"/>
      <c r="D5787" s="159"/>
      <c r="E5787" s="157" t="s">
        <v>731</v>
      </c>
      <c r="F5787" s="160"/>
      <c r="G5787" s="160">
        <f>'FACP$'!$F5787*0.16</f>
        <v>0</v>
      </c>
      <c r="H5787" s="160"/>
      <c r="I5787" s="160"/>
      <c r="J5787" s="161"/>
      <c r="K5787" s="160"/>
      <c r="L5787" s="160">
        <f>+'FACP$'!$H5787-'FACP$'!$I5787-'FACP$'!$K5787</f>
        <v>0</v>
      </c>
      <c r="M5787" s="162"/>
      <c r="N5787" s="162"/>
      <c r="O5787" s="164"/>
      <c r="P5787" s="164" t="str">
        <f t="array" ref="P5787">XLOOKUP('FACP$'!$B5787,'perfil de pagos'!$A$4:$A$46,'perfil de pagos'!$B$4:$B$46+'FACP$'!$D5787)</f>
        <v>#N/A</v>
      </c>
      <c r="Q5787" s="165" t="str">
        <f t="shared" si="128"/>
        <v>#N/A</v>
      </c>
      <c r="R5787" s="167"/>
      <c r="S5787" s="167"/>
      <c r="T5787" s="168" t="str">
        <f t="shared" si="3"/>
        <v>#N/A</v>
      </c>
      <c r="U5787" s="168" t="str">
        <f t="shared" si="4"/>
        <v>#N/A</v>
      </c>
      <c r="V5787" s="168" t="str">
        <f t="shared" si="5"/>
        <v>#N/A</v>
      </c>
      <c r="W5787" s="168" t="str">
        <f t="shared" si="6"/>
        <v>#N/A</v>
      </c>
      <c r="X5787" s="168" t="str">
        <f t="shared" si="7"/>
        <v>#N/A</v>
      </c>
      <c r="Y5787" s="168" t="str">
        <f t="shared" si="8"/>
        <v>#N/A</v>
      </c>
      <c r="Z5787" s="168" t="str">
        <f t="shared" si="9"/>
        <v>#N/A</v>
      </c>
    </row>
    <row r="5788" ht="15.0" customHeight="1">
      <c r="A5788" s="157"/>
      <c r="B5788" s="158"/>
      <c r="C5788" s="158"/>
      <c r="D5788" s="159"/>
      <c r="E5788" s="157" t="s">
        <v>731</v>
      </c>
      <c r="F5788" s="160"/>
      <c r="G5788" s="160">
        <f>'FACP$'!$F5788*0.16</f>
        <v>0</v>
      </c>
      <c r="H5788" s="160"/>
      <c r="I5788" s="160"/>
      <c r="J5788" s="161"/>
      <c r="K5788" s="160"/>
      <c r="L5788" s="160">
        <f>+'FACP$'!$H5788-'FACP$'!$I5788-'FACP$'!$K5788</f>
        <v>0</v>
      </c>
      <c r="M5788" s="162"/>
      <c r="N5788" s="162"/>
      <c r="O5788" s="164"/>
      <c r="P5788" s="164" t="str">
        <f t="array" ref="P5788">XLOOKUP('FACP$'!$B5788,'perfil de pagos'!$A$4:$A$46,'perfil de pagos'!$B$4:$B$46+'FACP$'!$D5788)</f>
        <v>#N/A</v>
      </c>
      <c r="Q5788" s="165" t="str">
        <f t="shared" si="128"/>
        <v>#N/A</v>
      </c>
      <c r="R5788" s="167"/>
      <c r="S5788" s="167"/>
      <c r="T5788" s="168" t="str">
        <f t="shared" si="3"/>
        <v>#N/A</v>
      </c>
      <c r="U5788" s="168" t="str">
        <f t="shared" si="4"/>
        <v>#N/A</v>
      </c>
      <c r="V5788" s="168" t="str">
        <f t="shared" si="5"/>
        <v>#N/A</v>
      </c>
      <c r="W5788" s="168" t="str">
        <f t="shared" si="6"/>
        <v>#N/A</v>
      </c>
      <c r="X5788" s="168" t="str">
        <f t="shared" si="7"/>
        <v>#N/A</v>
      </c>
      <c r="Y5788" s="168" t="str">
        <f t="shared" si="8"/>
        <v>#N/A</v>
      </c>
      <c r="Z5788" s="168" t="str">
        <f t="shared" si="9"/>
        <v>#N/A</v>
      </c>
    </row>
    <row r="5789" ht="15.0" customHeight="1">
      <c r="A5789" s="157"/>
      <c r="B5789" s="158"/>
      <c r="C5789" s="158"/>
      <c r="D5789" s="159"/>
      <c r="E5789" s="157" t="s">
        <v>731</v>
      </c>
      <c r="F5789" s="160"/>
      <c r="G5789" s="160">
        <f>'FACP$'!$F5789*0.16</f>
        <v>0</v>
      </c>
      <c r="H5789" s="160"/>
      <c r="I5789" s="160"/>
      <c r="J5789" s="161"/>
      <c r="K5789" s="160"/>
      <c r="L5789" s="160">
        <f>+'FACP$'!$H5789-'FACP$'!$I5789-'FACP$'!$K5789</f>
        <v>0</v>
      </c>
      <c r="M5789" s="162"/>
      <c r="N5789" s="162"/>
      <c r="O5789" s="164"/>
      <c r="P5789" s="164" t="str">
        <f t="array" ref="P5789">XLOOKUP('FACP$'!$B5789,'perfil de pagos'!$A$4:$A$46,'perfil de pagos'!$B$4:$B$46+'FACP$'!$D5789)</f>
        <v>#N/A</v>
      </c>
      <c r="Q5789" s="165" t="str">
        <f t="shared" si="128"/>
        <v>#N/A</v>
      </c>
      <c r="R5789" s="167"/>
      <c r="S5789" s="167"/>
      <c r="T5789" s="168" t="str">
        <f t="shared" si="3"/>
        <v>#N/A</v>
      </c>
      <c r="U5789" s="168" t="str">
        <f t="shared" si="4"/>
        <v>#N/A</v>
      </c>
      <c r="V5789" s="168" t="str">
        <f t="shared" si="5"/>
        <v>#N/A</v>
      </c>
      <c r="W5789" s="168" t="str">
        <f t="shared" si="6"/>
        <v>#N/A</v>
      </c>
      <c r="X5789" s="168" t="str">
        <f t="shared" si="7"/>
        <v>#N/A</v>
      </c>
      <c r="Y5789" s="168" t="str">
        <f t="shared" si="8"/>
        <v>#N/A</v>
      </c>
      <c r="Z5789" s="168" t="str">
        <f t="shared" si="9"/>
        <v>#N/A</v>
      </c>
    </row>
    <row r="5790" ht="15.0" customHeight="1">
      <c r="A5790" s="157"/>
      <c r="B5790" s="158"/>
      <c r="C5790" s="158"/>
      <c r="D5790" s="159"/>
      <c r="E5790" s="157" t="s">
        <v>731</v>
      </c>
      <c r="F5790" s="160"/>
      <c r="G5790" s="160">
        <f>'FACP$'!$F5790*0.16</f>
        <v>0</v>
      </c>
      <c r="H5790" s="160"/>
      <c r="I5790" s="160"/>
      <c r="J5790" s="161"/>
      <c r="K5790" s="160"/>
      <c r="L5790" s="160">
        <f>+'FACP$'!$H5790-'FACP$'!$I5790-'FACP$'!$K5790</f>
        <v>0</v>
      </c>
      <c r="M5790" s="162"/>
      <c r="N5790" s="162"/>
      <c r="O5790" s="164"/>
      <c r="P5790" s="164" t="str">
        <f t="array" ref="P5790">XLOOKUP('FACP$'!$B5790,'perfil de pagos'!$A$4:$A$46,'perfil de pagos'!$B$4:$B$46+'FACP$'!$D5790)</f>
        <v>#N/A</v>
      </c>
      <c r="Q5790" s="165" t="str">
        <f t="shared" si="128"/>
        <v>#N/A</v>
      </c>
      <c r="R5790" s="167"/>
      <c r="S5790" s="167"/>
      <c r="T5790" s="168" t="str">
        <f t="shared" si="3"/>
        <v>#N/A</v>
      </c>
      <c r="U5790" s="168" t="str">
        <f t="shared" si="4"/>
        <v>#N/A</v>
      </c>
      <c r="V5790" s="168" t="str">
        <f t="shared" si="5"/>
        <v>#N/A</v>
      </c>
      <c r="W5790" s="168" t="str">
        <f t="shared" si="6"/>
        <v>#N/A</v>
      </c>
      <c r="X5790" s="168" t="str">
        <f t="shared" si="7"/>
        <v>#N/A</v>
      </c>
      <c r="Y5790" s="168" t="str">
        <f t="shared" si="8"/>
        <v>#N/A</v>
      </c>
      <c r="Z5790" s="168" t="str">
        <f t="shared" si="9"/>
        <v>#N/A</v>
      </c>
    </row>
    <row r="5791" ht="15.0" customHeight="1">
      <c r="A5791" s="157"/>
      <c r="B5791" s="158"/>
      <c r="C5791" s="158"/>
      <c r="D5791" s="159"/>
      <c r="E5791" s="157" t="s">
        <v>731</v>
      </c>
      <c r="F5791" s="160"/>
      <c r="G5791" s="160">
        <f>'FACP$'!$F5791*0.16</f>
        <v>0</v>
      </c>
      <c r="H5791" s="160"/>
      <c r="I5791" s="160"/>
      <c r="J5791" s="161"/>
      <c r="K5791" s="160"/>
      <c r="L5791" s="160">
        <f>+'FACP$'!$H5791-'FACP$'!$I5791-'FACP$'!$K5791</f>
        <v>0</v>
      </c>
      <c r="M5791" s="162"/>
      <c r="N5791" s="162"/>
      <c r="O5791" s="164"/>
      <c r="P5791" s="164" t="str">
        <f t="array" ref="P5791">XLOOKUP('FACP$'!$B5791,'perfil de pagos'!$A$4:$A$46,'perfil de pagos'!$B$4:$B$46+'FACP$'!$D5791)</f>
        <v>#N/A</v>
      </c>
      <c r="Q5791" s="165" t="str">
        <f t="shared" si="128"/>
        <v>#N/A</v>
      </c>
      <c r="R5791" s="167"/>
      <c r="S5791" s="167"/>
      <c r="T5791" s="168" t="str">
        <f t="shared" si="3"/>
        <v>#N/A</v>
      </c>
      <c r="U5791" s="168" t="str">
        <f t="shared" si="4"/>
        <v>#N/A</v>
      </c>
      <c r="V5791" s="168" t="str">
        <f t="shared" si="5"/>
        <v>#N/A</v>
      </c>
      <c r="W5791" s="168" t="str">
        <f t="shared" si="6"/>
        <v>#N/A</v>
      </c>
      <c r="X5791" s="168" t="str">
        <f t="shared" si="7"/>
        <v>#N/A</v>
      </c>
      <c r="Y5791" s="168" t="str">
        <f t="shared" si="8"/>
        <v>#N/A</v>
      </c>
      <c r="Z5791" s="168" t="str">
        <f t="shared" si="9"/>
        <v>#N/A</v>
      </c>
    </row>
    <row r="5792" ht="15.0" customHeight="1">
      <c r="A5792" s="157"/>
      <c r="B5792" s="158"/>
      <c r="C5792" s="158"/>
      <c r="D5792" s="159"/>
      <c r="E5792" s="157" t="s">
        <v>731</v>
      </c>
      <c r="F5792" s="160"/>
      <c r="G5792" s="160">
        <f>'FACP$'!$F5792*0.16</f>
        <v>0</v>
      </c>
      <c r="H5792" s="160"/>
      <c r="I5792" s="160"/>
      <c r="J5792" s="161"/>
      <c r="K5792" s="160"/>
      <c r="L5792" s="160">
        <f>+'FACP$'!$H5792-'FACP$'!$I5792-'FACP$'!$K5792</f>
        <v>0</v>
      </c>
      <c r="M5792" s="162"/>
      <c r="N5792" s="162"/>
      <c r="O5792" s="164"/>
      <c r="P5792" s="164" t="str">
        <f t="array" ref="P5792">XLOOKUP('FACP$'!$B5792,'perfil de pagos'!$A$4:$A$46,'perfil de pagos'!$B$4:$B$46+'FACP$'!$D5792)</f>
        <v>#N/A</v>
      </c>
      <c r="Q5792" s="165" t="str">
        <f t="shared" si="128"/>
        <v>#N/A</v>
      </c>
      <c r="R5792" s="167"/>
      <c r="S5792" s="167"/>
      <c r="T5792" s="168" t="str">
        <f t="shared" si="3"/>
        <v>#N/A</v>
      </c>
      <c r="U5792" s="168" t="str">
        <f t="shared" si="4"/>
        <v>#N/A</v>
      </c>
      <c r="V5792" s="168" t="str">
        <f t="shared" si="5"/>
        <v>#N/A</v>
      </c>
      <c r="W5792" s="168" t="str">
        <f t="shared" si="6"/>
        <v>#N/A</v>
      </c>
      <c r="X5792" s="168" t="str">
        <f t="shared" si="7"/>
        <v>#N/A</v>
      </c>
      <c r="Y5792" s="168" t="str">
        <f t="shared" si="8"/>
        <v>#N/A</v>
      </c>
      <c r="Z5792" s="168" t="str">
        <f t="shared" si="9"/>
        <v>#N/A</v>
      </c>
    </row>
    <row r="5793" ht="15.0" customHeight="1">
      <c r="A5793" s="157"/>
      <c r="B5793" s="158"/>
      <c r="C5793" s="158"/>
      <c r="D5793" s="159"/>
      <c r="E5793" s="157" t="s">
        <v>731</v>
      </c>
      <c r="F5793" s="160"/>
      <c r="G5793" s="160">
        <f>'FACP$'!$F5793*0.16</f>
        <v>0</v>
      </c>
      <c r="H5793" s="160"/>
      <c r="I5793" s="160"/>
      <c r="J5793" s="161"/>
      <c r="K5793" s="160"/>
      <c r="L5793" s="160">
        <f>+'FACP$'!$H5793-'FACP$'!$I5793-'FACP$'!$K5793</f>
        <v>0</v>
      </c>
      <c r="M5793" s="162"/>
      <c r="N5793" s="162"/>
      <c r="O5793" s="164"/>
      <c r="P5793" s="164" t="str">
        <f t="array" ref="P5793">XLOOKUP('FACP$'!$B5793,'perfil de pagos'!$A$4:$A$46,'perfil de pagos'!$B$4:$B$46+'FACP$'!$D5793)</f>
        <v>#N/A</v>
      </c>
      <c r="Q5793" s="165" t="str">
        <f t="shared" si="128"/>
        <v>#N/A</v>
      </c>
      <c r="R5793" s="167"/>
      <c r="S5793" s="167"/>
      <c r="T5793" s="168" t="str">
        <f t="shared" si="3"/>
        <v>#N/A</v>
      </c>
      <c r="U5793" s="168" t="str">
        <f t="shared" si="4"/>
        <v>#N/A</v>
      </c>
      <c r="V5793" s="168" t="str">
        <f t="shared" si="5"/>
        <v>#N/A</v>
      </c>
      <c r="W5793" s="168" t="str">
        <f t="shared" si="6"/>
        <v>#N/A</v>
      </c>
      <c r="X5793" s="168" t="str">
        <f t="shared" si="7"/>
        <v>#N/A</v>
      </c>
      <c r="Y5793" s="168" t="str">
        <f t="shared" si="8"/>
        <v>#N/A</v>
      </c>
      <c r="Z5793" s="168" t="str">
        <f t="shared" si="9"/>
        <v>#N/A</v>
      </c>
    </row>
    <row r="5794" ht="15.0" customHeight="1">
      <c r="A5794" s="157"/>
      <c r="B5794" s="158"/>
      <c r="C5794" s="158"/>
      <c r="D5794" s="159"/>
      <c r="E5794" s="157" t="s">
        <v>731</v>
      </c>
      <c r="F5794" s="160"/>
      <c r="G5794" s="160">
        <f>'FACP$'!$F5794*0.16</f>
        <v>0</v>
      </c>
      <c r="H5794" s="160"/>
      <c r="I5794" s="160"/>
      <c r="J5794" s="161"/>
      <c r="K5794" s="160"/>
      <c r="L5794" s="160">
        <f>+'FACP$'!$H5794-'FACP$'!$I5794-'FACP$'!$K5794</f>
        <v>0</v>
      </c>
      <c r="M5794" s="162"/>
      <c r="N5794" s="162"/>
      <c r="O5794" s="164"/>
      <c r="P5794" s="164" t="str">
        <f t="array" ref="P5794">XLOOKUP('FACP$'!$B5794,'perfil de pagos'!$A$4:$A$46,'perfil de pagos'!$B$4:$B$46+'FACP$'!$D5794)</f>
        <v>#N/A</v>
      </c>
      <c r="Q5794" s="165" t="str">
        <f t="shared" si="128"/>
        <v>#N/A</v>
      </c>
      <c r="R5794" s="167"/>
      <c r="S5794" s="167"/>
      <c r="T5794" s="168" t="str">
        <f t="shared" si="3"/>
        <v>#N/A</v>
      </c>
      <c r="U5794" s="168" t="str">
        <f t="shared" si="4"/>
        <v>#N/A</v>
      </c>
      <c r="V5794" s="168" t="str">
        <f t="shared" si="5"/>
        <v>#N/A</v>
      </c>
      <c r="W5794" s="168" t="str">
        <f t="shared" si="6"/>
        <v>#N/A</v>
      </c>
      <c r="X5794" s="168" t="str">
        <f t="shared" si="7"/>
        <v>#N/A</v>
      </c>
      <c r="Y5794" s="168" t="str">
        <f t="shared" si="8"/>
        <v>#N/A</v>
      </c>
      <c r="Z5794" s="168" t="str">
        <f t="shared" si="9"/>
        <v>#N/A</v>
      </c>
    </row>
    <row r="5795" ht="15.0" customHeight="1">
      <c r="A5795" s="157"/>
      <c r="B5795" s="158"/>
      <c r="C5795" s="158"/>
      <c r="D5795" s="159"/>
      <c r="E5795" s="157" t="s">
        <v>731</v>
      </c>
      <c r="F5795" s="160"/>
      <c r="G5795" s="160">
        <f>'FACP$'!$F5795*0.16</f>
        <v>0</v>
      </c>
      <c r="H5795" s="160"/>
      <c r="I5795" s="160"/>
      <c r="J5795" s="161"/>
      <c r="K5795" s="160"/>
      <c r="L5795" s="160">
        <f>+'FACP$'!$H5795-'FACP$'!$I5795-'FACP$'!$K5795</f>
        <v>0</v>
      </c>
      <c r="M5795" s="162"/>
      <c r="N5795" s="162"/>
      <c r="O5795" s="164"/>
      <c r="P5795" s="164" t="str">
        <f t="array" ref="P5795">XLOOKUP('FACP$'!$B5795,'perfil de pagos'!$A$4:$A$46,'perfil de pagos'!$B$4:$B$46+'FACP$'!$D5795)</f>
        <v>#N/A</v>
      </c>
      <c r="Q5795" s="165" t="str">
        <f t="shared" si="128"/>
        <v>#N/A</v>
      </c>
      <c r="R5795" s="167"/>
      <c r="S5795" s="167"/>
      <c r="T5795" s="168" t="str">
        <f t="shared" si="3"/>
        <v>#N/A</v>
      </c>
      <c r="U5795" s="168" t="str">
        <f t="shared" si="4"/>
        <v>#N/A</v>
      </c>
      <c r="V5795" s="168" t="str">
        <f t="shared" si="5"/>
        <v>#N/A</v>
      </c>
      <c r="W5795" s="168" t="str">
        <f t="shared" si="6"/>
        <v>#N/A</v>
      </c>
      <c r="X5795" s="168" t="str">
        <f t="shared" si="7"/>
        <v>#N/A</v>
      </c>
      <c r="Y5795" s="168" t="str">
        <f t="shared" si="8"/>
        <v>#N/A</v>
      </c>
      <c r="Z5795" s="168" t="str">
        <f t="shared" si="9"/>
        <v>#N/A</v>
      </c>
    </row>
    <row r="5796" ht="15.0" customHeight="1">
      <c r="A5796" s="157"/>
      <c r="B5796" s="158"/>
      <c r="C5796" s="158"/>
      <c r="D5796" s="159"/>
      <c r="E5796" s="157" t="s">
        <v>731</v>
      </c>
      <c r="F5796" s="160"/>
      <c r="G5796" s="160">
        <f>'FACP$'!$F5796*0.16</f>
        <v>0</v>
      </c>
      <c r="H5796" s="160"/>
      <c r="I5796" s="160"/>
      <c r="J5796" s="161"/>
      <c r="K5796" s="160"/>
      <c r="L5796" s="160">
        <f>+'FACP$'!$H5796-'FACP$'!$I5796-'FACP$'!$K5796</f>
        <v>0</v>
      </c>
      <c r="M5796" s="162"/>
      <c r="N5796" s="162"/>
      <c r="O5796" s="164"/>
      <c r="P5796" s="164" t="str">
        <f t="array" ref="P5796">XLOOKUP('FACP$'!$B5796,'perfil de pagos'!$A$4:$A$46,'perfil de pagos'!$B$4:$B$46+'FACP$'!$D5796)</f>
        <v>#N/A</v>
      </c>
      <c r="Q5796" s="165" t="str">
        <f t="shared" si="128"/>
        <v>#N/A</v>
      </c>
      <c r="R5796" s="167"/>
      <c r="S5796" s="167"/>
      <c r="T5796" s="168" t="str">
        <f t="shared" si="3"/>
        <v>#N/A</v>
      </c>
      <c r="U5796" s="168" t="str">
        <f t="shared" si="4"/>
        <v>#N/A</v>
      </c>
      <c r="V5796" s="168" t="str">
        <f t="shared" si="5"/>
        <v>#N/A</v>
      </c>
      <c r="W5796" s="168" t="str">
        <f t="shared" si="6"/>
        <v>#N/A</v>
      </c>
      <c r="X5796" s="168" t="str">
        <f t="shared" si="7"/>
        <v>#N/A</v>
      </c>
      <c r="Y5796" s="168" t="str">
        <f t="shared" si="8"/>
        <v>#N/A</v>
      </c>
      <c r="Z5796" s="168" t="str">
        <f t="shared" si="9"/>
        <v>#N/A</v>
      </c>
    </row>
    <row r="5797" ht="15.0" customHeight="1">
      <c r="A5797" s="157"/>
      <c r="B5797" s="158"/>
      <c r="C5797" s="158"/>
      <c r="D5797" s="159"/>
      <c r="E5797" s="157" t="s">
        <v>731</v>
      </c>
      <c r="F5797" s="160"/>
      <c r="G5797" s="160">
        <f>'FACP$'!$F5797*0.16</f>
        <v>0</v>
      </c>
      <c r="H5797" s="160"/>
      <c r="I5797" s="160"/>
      <c r="J5797" s="161"/>
      <c r="K5797" s="160"/>
      <c r="L5797" s="160">
        <f>+'FACP$'!$H5797-'FACP$'!$I5797-'FACP$'!$K5797</f>
        <v>0</v>
      </c>
      <c r="M5797" s="162"/>
      <c r="N5797" s="162"/>
      <c r="O5797" s="164"/>
      <c r="P5797" s="164" t="str">
        <f t="array" ref="P5797">XLOOKUP('FACP$'!$B5797,'perfil de pagos'!$A$4:$A$46,'perfil de pagos'!$B$4:$B$46+'FACP$'!$D5797)</f>
        <v>#N/A</v>
      </c>
      <c r="Q5797" s="165" t="str">
        <f t="shared" si="128"/>
        <v>#N/A</v>
      </c>
      <c r="R5797" s="167"/>
      <c r="S5797" s="167"/>
      <c r="T5797" s="168" t="str">
        <f t="shared" si="3"/>
        <v>#N/A</v>
      </c>
      <c r="U5797" s="168" t="str">
        <f t="shared" si="4"/>
        <v>#N/A</v>
      </c>
      <c r="V5797" s="168" t="str">
        <f t="shared" si="5"/>
        <v>#N/A</v>
      </c>
      <c r="W5797" s="168" t="str">
        <f t="shared" si="6"/>
        <v>#N/A</v>
      </c>
      <c r="X5797" s="168" t="str">
        <f t="shared" si="7"/>
        <v>#N/A</v>
      </c>
      <c r="Y5797" s="168" t="str">
        <f t="shared" si="8"/>
        <v>#N/A</v>
      </c>
      <c r="Z5797" s="168" t="str">
        <f t="shared" si="9"/>
        <v>#N/A</v>
      </c>
    </row>
    <row r="5798" ht="15.0" customHeight="1">
      <c r="A5798" s="157"/>
      <c r="B5798" s="158"/>
      <c r="C5798" s="158"/>
      <c r="D5798" s="159"/>
      <c r="E5798" s="157" t="s">
        <v>731</v>
      </c>
      <c r="F5798" s="160"/>
      <c r="G5798" s="160">
        <f>'FACP$'!$F5798*0.16</f>
        <v>0</v>
      </c>
      <c r="H5798" s="160"/>
      <c r="I5798" s="160"/>
      <c r="J5798" s="161"/>
      <c r="K5798" s="160"/>
      <c r="L5798" s="160">
        <f>+'FACP$'!$H5798-'FACP$'!$I5798-'FACP$'!$K5798</f>
        <v>0</v>
      </c>
      <c r="M5798" s="162"/>
      <c r="N5798" s="162"/>
      <c r="O5798" s="164"/>
      <c r="P5798" s="164" t="str">
        <f t="array" ref="P5798">XLOOKUP('FACP$'!$B5798,'perfil de pagos'!$A$4:$A$46,'perfil de pagos'!$B$4:$B$46+'FACP$'!$D5798)</f>
        <v>#N/A</v>
      </c>
      <c r="Q5798" s="165" t="str">
        <f t="shared" si="128"/>
        <v>#N/A</v>
      </c>
      <c r="R5798" s="167"/>
      <c r="S5798" s="167"/>
      <c r="T5798" s="168" t="str">
        <f t="shared" si="3"/>
        <v>#N/A</v>
      </c>
      <c r="U5798" s="168" t="str">
        <f t="shared" si="4"/>
        <v>#N/A</v>
      </c>
      <c r="V5798" s="168" t="str">
        <f t="shared" si="5"/>
        <v>#N/A</v>
      </c>
      <c r="W5798" s="168" t="str">
        <f t="shared" si="6"/>
        <v>#N/A</v>
      </c>
      <c r="X5798" s="168" t="str">
        <f t="shared" si="7"/>
        <v>#N/A</v>
      </c>
      <c r="Y5798" s="168" t="str">
        <f t="shared" si="8"/>
        <v>#N/A</v>
      </c>
      <c r="Z5798" s="168" t="str">
        <f t="shared" si="9"/>
        <v>#N/A</v>
      </c>
    </row>
    <row r="5799" ht="15.0" customHeight="1">
      <c r="A5799" s="157"/>
      <c r="B5799" s="158"/>
      <c r="C5799" s="158"/>
      <c r="D5799" s="159"/>
      <c r="E5799" s="157" t="s">
        <v>731</v>
      </c>
      <c r="F5799" s="160"/>
      <c r="G5799" s="160">
        <f>'FACP$'!$F5799*0.16</f>
        <v>0</v>
      </c>
      <c r="H5799" s="160"/>
      <c r="I5799" s="160"/>
      <c r="J5799" s="161"/>
      <c r="K5799" s="160"/>
      <c r="L5799" s="160">
        <f>+'FACP$'!$H5799-'FACP$'!$I5799-'FACP$'!$K5799</f>
        <v>0</v>
      </c>
      <c r="M5799" s="162"/>
      <c r="N5799" s="162"/>
      <c r="O5799" s="164"/>
      <c r="P5799" s="164" t="str">
        <f t="array" ref="P5799">XLOOKUP('FACP$'!$B5799,'perfil de pagos'!$A$4:$A$46,'perfil de pagos'!$B$4:$B$46+'FACP$'!$D5799)</f>
        <v>#N/A</v>
      </c>
      <c r="Q5799" s="165" t="str">
        <f t="shared" si="128"/>
        <v>#N/A</v>
      </c>
      <c r="R5799" s="167"/>
      <c r="S5799" s="167"/>
      <c r="T5799" s="168" t="str">
        <f t="shared" si="3"/>
        <v>#N/A</v>
      </c>
      <c r="U5799" s="168" t="str">
        <f t="shared" si="4"/>
        <v>#N/A</v>
      </c>
      <c r="V5799" s="168" t="str">
        <f t="shared" si="5"/>
        <v>#N/A</v>
      </c>
      <c r="W5799" s="168" t="str">
        <f t="shared" si="6"/>
        <v>#N/A</v>
      </c>
      <c r="X5799" s="168" t="str">
        <f t="shared" si="7"/>
        <v>#N/A</v>
      </c>
      <c r="Y5799" s="168" t="str">
        <f t="shared" si="8"/>
        <v>#N/A</v>
      </c>
      <c r="Z5799" s="168" t="str">
        <f t="shared" si="9"/>
        <v>#N/A</v>
      </c>
    </row>
    <row r="5800" ht="15.0" customHeight="1">
      <c r="A5800" s="157"/>
      <c r="B5800" s="158"/>
      <c r="C5800" s="158"/>
      <c r="D5800" s="159"/>
      <c r="E5800" s="157" t="s">
        <v>731</v>
      </c>
      <c r="F5800" s="160"/>
      <c r="G5800" s="160"/>
      <c r="H5800" s="160"/>
      <c r="I5800" s="160"/>
      <c r="J5800" s="161"/>
      <c r="K5800" s="160"/>
      <c r="L5800" s="160">
        <f>+'FACP$'!$H5800-'FACP$'!$I5800-'FACP$'!$K5800</f>
        <v>0</v>
      </c>
      <c r="M5800" s="162"/>
      <c r="N5800" s="162"/>
      <c r="O5800" s="164"/>
      <c r="P5800" s="164" t="str">
        <f t="array" ref="P5800">XLOOKUP('FACP$'!$B5800,'perfil de pagos'!$A$4:$A$46,'perfil de pagos'!$B$4:$B$46+'FACP$'!$D5800)</f>
        <v>#N/A</v>
      </c>
      <c r="Q5800" s="165" t="str">
        <f t="shared" si="128"/>
        <v>#N/A</v>
      </c>
      <c r="R5800" s="167"/>
      <c r="S5800" s="167"/>
      <c r="T5800" s="168" t="str">
        <f t="shared" si="3"/>
        <v>#N/A</v>
      </c>
      <c r="U5800" s="168" t="str">
        <f t="shared" si="4"/>
        <v>#N/A</v>
      </c>
      <c r="V5800" s="168" t="str">
        <f t="shared" si="5"/>
        <v>#N/A</v>
      </c>
      <c r="W5800" s="168" t="str">
        <f t="shared" si="6"/>
        <v>#N/A</v>
      </c>
      <c r="X5800" s="168" t="str">
        <f t="shared" si="7"/>
        <v>#N/A</v>
      </c>
      <c r="Y5800" s="168" t="str">
        <f t="shared" si="8"/>
        <v>#N/A</v>
      </c>
      <c r="Z5800" s="168" t="str">
        <f t="shared" si="9"/>
        <v>#N/A</v>
      </c>
    </row>
    <row r="5801" ht="15.0" customHeight="1">
      <c r="A5801" s="157"/>
      <c r="B5801" s="158"/>
      <c r="C5801" s="158"/>
      <c r="D5801" s="159"/>
      <c r="E5801" s="157" t="s">
        <v>731</v>
      </c>
      <c r="F5801" s="160"/>
      <c r="G5801" s="160"/>
      <c r="H5801" s="160"/>
      <c r="I5801" s="160"/>
      <c r="J5801" s="161"/>
      <c r="K5801" s="160"/>
      <c r="L5801" s="160">
        <f>+'FACP$'!$H5801-'FACP$'!$I5801-'FACP$'!$K5801</f>
        <v>0</v>
      </c>
      <c r="M5801" s="162"/>
      <c r="N5801" s="162"/>
      <c r="O5801" s="164"/>
      <c r="P5801" s="164" t="str">
        <f t="array" ref="P5801">XLOOKUP('FACP$'!$B5801,'perfil de pagos'!$A$4:$A$46,'perfil de pagos'!$B$4:$B$46+'FACP$'!$D5801)</f>
        <v>#N/A</v>
      </c>
      <c r="Q5801" s="165" t="str">
        <f t="shared" si="128"/>
        <v>#N/A</v>
      </c>
      <c r="R5801" s="167"/>
      <c r="S5801" s="167"/>
      <c r="T5801" s="168" t="str">
        <f t="shared" si="3"/>
        <v>#N/A</v>
      </c>
      <c r="U5801" s="168" t="str">
        <f t="shared" si="4"/>
        <v>#N/A</v>
      </c>
      <c r="V5801" s="168" t="str">
        <f t="shared" si="5"/>
        <v>#N/A</v>
      </c>
      <c r="W5801" s="168" t="str">
        <f t="shared" si="6"/>
        <v>#N/A</v>
      </c>
      <c r="X5801" s="168" t="str">
        <f t="shared" si="7"/>
        <v>#N/A</v>
      </c>
      <c r="Y5801" s="168" t="str">
        <f t="shared" si="8"/>
        <v>#N/A</v>
      </c>
      <c r="Z5801" s="168" t="str">
        <f t="shared" si="9"/>
        <v>#N/A</v>
      </c>
    </row>
    <row r="5802" ht="15.0" customHeight="1">
      <c r="A5802" s="157"/>
      <c r="B5802" s="158"/>
      <c r="C5802" s="158"/>
      <c r="D5802" s="159"/>
      <c r="E5802" s="157" t="s">
        <v>731</v>
      </c>
      <c r="F5802" s="160"/>
      <c r="G5802" s="160"/>
      <c r="H5802" s="160"/>
      <c r="I5802" s="160"/>
      <c r="J5802" s="161"/>
      <c r="K5802" s="160"/>
      <c r="L5802" s="160">
        <f>+'FACP$'!$H5802-'FACP$'!$I5802-'FACP$'!$K5802</f>
        <v>0</v>
      </c>
      <c r="M5802" s="162"/>
      <c r="N5802" s="162"/>
      <c r="O5802" s="164"/>
      <c r="P5802" s="164" t="str">
        <f t="array" ref="P5802">XLOOKUP('FACP$'!$B5802,'perfil de pagos'!$A$4:$A$46,'perfil de pagos'!$B$4:$B$46+'FACP$'!$D5802)</f>
        <v>#N/A</v>
      </c>
      <c r="Q5802" s="165" t="str">
        <f t="shared" si="128"/>
        <v>#N/A</v>
      </c>
      <c r="R5802" s="167"/>
      <c r="S5802" s="167"/>
      <c r="T5802" s="168" t="str">
        <f t="shared" si="3"/>
        <v>#N/A</v>
      </c>
      <c r="U5802" s="168" t="str">
        <f t="shared" si="4"/>
        <v>#N/A</v>
      </c>
      <c r="V5802" s="168" t="str">
        <f t="shared" si="5"/>
        <v>#N/A</v>
      </c>
      <c r="W5802" s="168" t="str">
        <f t="shared" si="6"/>
        <v>#N/A</v>
      </c>
      <c r="X5802" s="168" t="str">
        <f t="shared" si="7"/>
        <v>#N/A</v>
      </c>
      <c r="Y5802" s="168" t="str">
        <f t="shared" si="8"/>
        <v>#N/A</v>
      </c>
      <c r="Z5802" s="168" t="str">
        <f t="shared" si="9"/>
        <v>#N/A</v>
      </c>
    </row>
    <row r="5803" ht="15.0" customHeight="1">
      <c r="A5803" s="157"/>
      <c r="B5803" s="158"/>
      <c r="C5803" s="158"/>
      <c r="D5803" s="159"/>
      <c r="E5803" s="157" t="s">
        <v>731</v>
      </c>
      <c r="F5803" s="160"/>
      <c r="G5803" s="160"/>
      <c r="H5803" s="160"/>
      <c r="I5803" s="160"/>
      <c r="J5803" s="161"/>
      <c r="K5803" s="160"/>
      <c r="L5803" s="160">
        <f>+'FACP$'!$H5803-'FACP$'!$I5803-'FACP$'!$K5803</f>
        <v>0</v>
      </c>
      <c r="M5803" s="162"/>
      <c r="N5803" s="162"/>
      <c r="O5803" s="164"/>
      <c r="P5803" s="164" t="str">
        <f t="array" ref="P5803">XLOOKUP('FACP$'!$B5803,'perfil de pagos'!$A$4:$A$46,'perfil de pagos'!$B$4:$B$46+'FACP$'!$D5803)</f>
        <v>#N/A</v>
      </c>
      <c r="Q5803" s="165" t="str">
        <f t="shared" si="128"/>
        <v>#N/A</v>
      </c>
      <c r="R5803" s="167"/>
      <c r="S5803" s="167"/>
      <c r="T5803" s="168" t="str">
        <f t="shared" si="3"/>
        <v>#N/A</v>
      </c>
      <c r="U5803" s="168" t="str">
        <f t="shared" si="4"/>
        <v>#N/A</v>
      </c>
      <c r="V5803" s="168" t="str">
        <f t="shared" si="5"/>
        <v>#N/A</v>
      </c>
      <c r="W5803" s="168" t="str">
        <f t="shared" si="6"/>
        <v>#N/A</v>
      </c>
      <c r="X5803" s="168" t="str">
        <f t="shared" si="7"/>
        <v>#N/A</v>
      </c>
      <c r="Y5803" s="168" t="str">
        <f t="shared" si="8"/>
        <v>#N/A</v>
      </c>
      <c r="Z5803" s="168" t="str">
        <f t="shared" si="9"/>
        <v>#N/A</v>
      </c>
    </row>
    <row r="5804" ht="15.0" customHeight="1">
      <c r="A5804" s="157"/>
      <c r="B5804" s="158"/>
      <c r="C5804" s="158"/>
      <c r="D5804" s="159"/>
      <c r="E5804" s="157" t="s">
        <v>731</v>
      </c>
      <c r="F5804" s="160"/>
      <c r="G5804" s="160"/>
      <c r="H5804" s="160"/>
      <c r="I5804" s="160"/>
      <c r="J5804" s="161"/>
      <c r="K5804" s="160"/>
      <c r="L5804" s="160">
        <f>+'FACP$'!$H5804-'FACP$'!$I5804-'FACP$'!$K5804</f>
        <v>0</v>
      </c>
      <c r="M5804" s="162"/>
      <c r="N5804" s="162"/>
      <c r="O5804" s="164"/>
      <c r="P5804" s="164" t="str">
        <f t="array" ref="P5804">XLOOKUP('FACP$'!$B5804,'perfil de pagos'!$A$4:$A$46,'perfil de pagos'!$B$4:$B$46+'FACP$'!$D5804)</f>
        <v>#N/A</v>
      </c>
      <c r="Q5804" s="165" t="str">
        <f t="shared" si="128"/>
        <v>#N/A</v>
      </c>
      <c r="R5804" s="167"/>
      <c r="S5804" s="167"/>
      <c r="T5804" s="168" t="str">
        <f t="shared" si="3"/>
        <v>#N/A</v>
      </c>
      <c r="U5804" s="168" t="str">
        <f t="shared" si="4"/>
        <v>#N/A</v>
      </c>
      <c r="V5804" s="168" t="str">
        <f t="shared" si="5"/>
        <v>#N/A</v>
      </c>
      <c r="W5804" s="168" t="str">
        <f t="shared" si="6"/>
        <v>#N/A</v>
      </c>
      <c r="X5804" s="168" t="str">
        <f t="shared" si="7"/>
        <v>#N/A</v>
      </c>
      <c r="Y5804" s="168" t="str">
        <f t="shared" si="8"/>
        <v>#N/A</v>
      </c>
      <c r="Z5804" s="168" t="str">
        <f t="shared" si="9"/>
        <v>#N/A</v>
      </c>
    </row>
    <row r="5805" ht="15.0" customHeight="1">
      <c r="A5805" s="157"/>
      <c r="B5805" s="158"/>
      <c r="C5805" s="158"/>
      <c r="D5805" s="159"/>
      <c r="E5805" s="157" t="s">
        <v>731</v>
      </c>
      <c r="F5805" s="160"/>
      <c r="G5805" s="160"/>
      <c r="H5805" s="160"/>
      <c r="I5805" s="160"/>
      <c r="J5805" s="161"/>
      <c r="K5805" s="160"/>
      <c r="L5805" s="160">
        <f>+'FACP$'!$H5805-'FACP$'!$I5805-'FACP$'!$K5805</f>
        <v>0</v>
      </c>
      <c r="M5805" s="162"/>
      <c r="N5805" s="162"/>
      <c r="O5805" s="164"/>
      <c r="P5805" s="164" t="str">
        <f t="array" ref="P5805">XLOOKUP('FACP$'!$B5805,'perfil de pagos'!$A$4:$A$46,'perfil de pagos'!$B$4:$B$46+'FACP$'!$D5805)</f>
        <v>#N/A</v>
      </c>
      <c r="Q5805" s="165" t="str">
        <f t="shared" si="128"/>
        <v>#N/A</v>
      </c>
      <c r="R5805" s="167"/>
      <c r="S5805" s="167"/>
      <c r="T5805" s="168" t="str">
        <f t="shared" si="3"/>
        <v>#N/A</v>
      </c>
      <c r="U5805" s="168" t="str">
        <f t="shared" si="4"/>
        <v>#N/A</v>
      </c>
      <c r="V5805" s="168" t="str">
        <f t="shared" si="5"/>
        <v>#N/A</v>
      </c>
      <c r="W5805" s="168" t="str">
        <f t="shared" si="6"/>
        <v>#N/A</v>
      </c>
      <c r="X5805" s="168" t="str">
        <f t="shared" si="7"/>
        <v>#N/A</v>
      </c>
      <c r="Y5805" s="168" t="str">
        <f t="shared" si="8"/>
        <v>#N/A</v>
      </c>
      <c r="Z5805" s="168" t="str">
        <f t="shared" si="9"/>
        <v>#N/A</v>
      </c>
    </row>
    <row r="5806" ht="15.0" customHeight="1">
      <c r="A5806" s="30"/>
      <c r="B5806" s="102"/>
      <c r="D5806" s="118"/>
      <c r="F5806" s="100"/>
      <c r="G5806" s="100">
        <v>0.0</v>
      </c>
      <c r="H5806" s="100"/>
      <c r="I5806" s="324"/>
      <c r="J5806" s="325"/>
      <c r="K5806" s="324"/>
      <c r="L5806" s="100"/>
      <c r="M5806" s="112"/>
      <c r="N5806" s="117"/>
      <c r="O5806" s="118"/>
      <c r="Q5806" s="326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 outlineLevelCol="1"/>
  <cols>
    <col customWidth="1" min="1" max="1" width="7.29"/>
    <col customWidth="1" min="2" max="2" width="28.43"/>
    <col customWidth="1" min="3" max="3" width="43.57"/>
    <col customWidth="1" min="4" max="4" width="11.71" outlineLevel="1"/>
    <col customWidth="1" min="5" max="5" width="12.43" outlineLevel="1"/>
    <col customWidth="1" min="6" max="6" width="13.71" outlineLevel="1"/>
    <col customWidth="1" min="7" max="7" width="12.0" outlineLevel="1"/>
    <col customWidth="1" min="8" max="8" width="13.43" outlineLevel="1"/>
    <col customWidth="1" min="9" max="9" width="11.86" outlineLevel="1"/>
    <col customWidth="1" min="10" max="10" width="7.71" outlineLevel="1"/>
    <col customWidth="1" min="11" max="11" width="15.71" outlineLevel="1"/>
    <col customWidth="1" min="12" max="12" width="16.71"/>
    <col customWidth="1" min="13" max="13" width="22.71"/>
    <col customWidth="1" min="14" max="14" width="15.43"/>
    <col customWidth="1" min="15" max="15" width="17.0"/>
    <col customWidth="1" min="16" max="16" width="16.0"/>
    <col customWidth="1" min="17" max="17" width="13.14"/>
    <col customWidth="1" min="18" max="18" width="17.43"/>
    <col customWidth="1" min="19" max="19" width="14.0"/>
    <col customWidth="1" hidden="1" min="20" max="20" width="12.57"/>
    <col customWidth="1" hidden="1" min="21" max="21" width="16.71"/>
    <col customWidth="1" min="22" max="22" width="15.71"/>
    <col customWidth="1" min="23" max="23" width="14.86"/>
    <col customWidth="1" min="24" max="24" width="13.0"/>
    <col customWidth="1" min="25" max="25" width="13.29"/>
    <col customWidth="1" min="26" max="26" width="11.57"/>
    <col customWidth="1" min="27" max="27" width="10.71"/>
    <col customWidth="1" min="28" max="28" width="14.14"/>
    <col customWidth="1" min="29" max="31" width="17.29"/>
  </cols>
  <sheetData>
    <row r="1" ht="14.25" customHeight="1">
      <c r="A1" s="327" t="s">
        <v>7262</v>
      </c>
      <c r="B1" s="327" t="s">
        <v>59</v>
      </c>
      <c r="C1" s="327" t="s">
        <v>60</v>
      </c>
      <c r="D1" s="327" t="s">
        <v>7263</v>
      </c>
      <c r="E1" s="327" t="s">
        <v>62</v>
      </c>
      <c r="F1" s="328" t="s">
        <v>63</v>
      </c>
      <c r="G1" s="328" t="s">
        <v>64</v>
      </c>
      <c r="H1" s="328" t="s">
        <v>7264</v>
      </c>
      <c r="I1" s="328" t="s">
        <v>696</v>
      </c>
      <c r="J1" s="327" t="s">
        <v>697</v>
      </c>
      <c r="K1" s="328" t="s">
        <v>7265</v>
      </c>
      <c r="L1" s="328" t="s">
        <v>699</v>
      </c>
      <c r="M1" s="329" t="s">
        <v>66</v>
      </c>
      <c r="N1" s="329" t="s">
        <v>545</v>
      </c>
      <c r="O1" s="329" t="s">
        <v>700</v>
      </c>
      <c r="P1" s="329" t="s">
        <v>701</v>
      </c>
      <c r="Q1" s="329" t="s">
        <v>702</v>
      </c>
      <c r="R1" s="329" t="s">
        <v>7266</v>
      </c>
      <c r="S1" s="330" t="s">
        <v>7267</v>
      </c>
      <c r="T1" s="330" t="s">
        <v>7268</v>
      </c>
      <c r="U1" s="330" t="s">
        <v>7269</v>
      </c>
      <c r="V1" s="156" t="s">
        <v>705</v>
      </c>
      <c r="W1" s="156" t="s">
        <v>706</v>
      </c>
      <c r="X1" s="156" t="s">
        <v>707</v>
      </c>
      <c r="Y1" s="156" t="s">
        <v>708</v>
      </c>
      <c r="Z1" s="156" t="s">
        <v>709</v>
      </c>
      <c r="AA1" s="156" t="s">
        <v>710</v>
      </c>
      <c r="AB1" s="331" t="s">
        <v>711</v>
      </c>
    </row>
    <row r="2" ht="14.25" customHeight="1">
      <c r="A2" s="157">
        <v>7.0</v>
      </c>
      <c r="B2" s="169" t="s">
        <v>716</v>
      </c>
      <c r="C2" s="169" t="s">
        <v>7270</v>
      </c>
      <c r="D2" s="159">
        <v>43449.0</v>
      </c>
      <c r="E2" s="157" t="s">
        <v>2</v>
      </c>
      <c r="F2" s="160">
        <v>21360.5</v>
      </c>
      <c r="G2" s="160">
        <v>3417.68</v>
      </c>
      <c r="H2" s="160">
        <f t="shared" ref="H2:H18" si="1">F2+G2</f>
        <v>24778.18</v>
      </c>
      <c r="I2" s="160"/>
      <c r="J2" s="161"/>
      <c r="K2" s="160"/>
      <c r="L2" s="160">
        <f>+'FACUS$'!$H2-'FACUS$'!$I2-'FACUS$'!$K2</f>
        <v>24778.18</v>
      </c>
      <c r="M2" s="157" t="s">
        <v>717</v>
      </c>
      <c r="N2" s="162" t="s">
        <v>127</v>
      </c>
      <c r="O2" s="332"/>
      <c r="P2" s="164" t="str">
        <f t="array" ref="P2">XLOOKUP('FACUS$'!$B2,'perfil de pagos'!$A$4:$A$46,'perfil de pagos'!$C$4:$C$46+'FACUS$'!$D2)</f>
        <v>#N/A</v>
      </c>
      <c r="Q2" s="165" t="str">
        <f t="shared" ref="Q2:Q1923" si="2">IF(N2="CANCELADO","N/A",IF(N2="PAGADO",0,IF(ISBLANK(N2),TODAY()-P2)))</f>
        <v>N/A</v>
      </c>
      <c r="R2" s="171"/>
      <c r="S2" s="171"/>
      <c r="T2" s="171"/>
      <c r="U2" s="333" t="s">
        <v>7271</v>
      </c>
      <c r="V2" s="168">
        <f t="shared" ref="V2:V2984" si="3">IF(ISBLANK(Q2),0,IF(Q2&lt;=0,L2,0))</f>
        <v>0</v>
      </c>
      <c r="W2" s="168">
        <f t="shared" ref="W2:W2984" si="4">IF(Q2=" ",0,IF(AND(Q2&gt;=1,Q2&lt;=15),L2,0))</f>
        <v>0</v>
      </c>
      <c r="X2" s="168">
        <f t="shared" ref="X2:X2984" si="5">IF(Q2=" ",0,IF(AND(Q2&gt;=16,Q2&lt;=30),L2,0))</f>
        <v>0</v>
      </c>
      <c r="Y2" s="168">
        <f t="shared" ref="Y2:Y2984" si="6">IF(Q2=" ",0,IF(AND(Q2&gt;=31,Q2&lt;=45),L2,0))</f>
        <v>0</v>
      </c>
      <c r="Z2" s="168">
        <f t="shared" ref="Z2:Z2984" si="7">IF(Q2=" ",0,IF(AND(Q2&gt;=46,Q2&lt;=60),L2,0))</f>
        <v>0</v>
      </c>
      <c r="AA2" s="168">
        <f t="shared" ref="AA2:AA2984" si="8">IF(Q2=" ",0,IF(AND(Q2&gt;=61,Q2&lt;=90),L2,0))</f>
        <v>0</v>
      </c>
      <c r="AB2" s="168">
        <f t="shared" ref="AB2:AB2984" si="9">IF(Q2=" ",0,IF(Q2&gt;=91,L2,0))</f>
        <v>24778.18</v>
      </c>
    </row>
    <row r="3" ht="14.25" customHeight="1">
      <c r="A3" s="157">
        <v>9.0</v>
      </c>
      <c r="B3" s="169" t="s">
        <v>37</v>
      </c>
      <c r="C3" s="169" t="s">
        <v>724</v>
      </c>
      <c r="D3" s="159">
        <v>43435.0</v>
      </c>
      <c r="E3" s="157" t="s">
        <v>2</v>
      </c>
      <c r="F3" s="160">
        <v>95246.14</v>
      </c>
      <c r="G3" s="160">
        <v>15239.38</v>
      </c>
      <c r="H3" s="160">
        <f t="shared" si="1"/>
        <v>110485.52</v>
      </c>
      <c r="I3" s="160"/>
      <c r="J3" s="161"/>
      <c r="K3" s="160"/>
      <c r="L3" s="160">
        <f>+'FACUS$'!$H3-'FACUS$'!$I3-'FACUS$'!$K3</f>
        <v>110485.52</v>
      </c>
      <c r="M3" s="157" t="s">
        <v>718</v>
      </c>
      <c r="N3" s="162" t="s">
        <v>127</v>
      </c>
      <c r="O3" s="332"/>
      <c r="P3" s="164">
        <f t="array" ref="P3">XLOOKUP('FACUS$'!$B3,'perfil de pagos'!$A$4:$A$46,'perfil de pagos'!$C$4:$C$46+'FACUS$'!$D3)</f>
        <v>43445</v>
      </c>
      <c r="Q3" s="165" t="str">
        <f t="shared" si="2"/>
        <v>N/A</v>
      </c>
      <c r="R3" s="171"/>
      <c r="S3" s="171"/>
      <c r="T3" s="171"/>
      <c r="U3" s="333" t="s">
        <v>7271</v>
      </c>
      <c r="V3" s="168">
        <f t="shared" si="3"/>
        <v>0</v>
      </c>
      <c r="W3" s="168">
        <f t="shared" si="4"/>
        <v>0</v>
      </c>
      <c r="X3" s="168">
        <f t="shared" si="5"/>
        <v>0</v>
      </c>
      <c r="Y3" s="168">
        <f t="shared" si="6"/>
        <v>0</v>
      </c>
      <c r="Z3" s="168">
        <f t="shared" si="7"/>
        <v>0</v>
      </c>
      <c r="AA3" s="168">
        <f t="shared" si="8"/>
        <v>0</v>
      </c>
      <c r="AB3" s="168">
        <f t="shared" si="9"/>
        <v>110485.52</v>
      </c>
    </row>
    <row r="4" ht="14.25" customHeight="1">
      <c r="A4" s="157">
        <v>11.0</v>
      </c>
      <c r="B4" s="169" t="s">
        <v>103</v>
      </c>
      <c r="C4" s="169" t="s">
        <v>724</v>
      </c>
      <c r="D4" s="159">
        <v>43435.0</v>
      </c>
      <c r="E4" s="157" t="s">
        <v>2</v>
      </c>
      <c r="F4" s="160">
        <v>29051.46</v>
      </c>
      <c r="G4" s="160">
        <v>4648.23</v>
      </c>
      <c r="H4" s="160">
        <f t="shared" si="1"/>
        <v>33699.69</v>
      </c>
      <c r="I4" s="160"/>
      <c r="J4" s="161"/>
      <c r="K4" s="160"/>
      <c r="L4" s="160">
        <f>+'FACUS$'!$H4-'FACUS$'!$I4-'FACUS$'!$K4</f>
        <v>33699.69</v>
      </c>
      <c r="M4" s="157" t="s">
        <v>43</v>
      </c>
      <c r="N4" s="162" t="s">
        <v>554</v>
      </c>
      <c r="O4" s="332">
        <v>43111.0</v>
      </c>
      <c r="P4" s="164" t="str">
        <f t="array" ref="P4">XLOOKUP('FACUS$'!$B4,'perfil de pagos'!$A$4:$A$46,'perfil de pagos'!$C$4:$C$46+'FACUS$'!$D4)</f>
        <v>#N/A</v>
      </c>
      <c r="Q4" s="165">
        <f t="shared" si="2"/>
        <v>0</v>
      </c>
      <c r="R4" s="167"/>
      <c r="S4" s="167"/>
      <c r="T4" s="167"/>
      <c r="U4" s="334" t="s">
        <v>7271</v>
      </c>
      <c r="V4" s="168">
        <f t="shared" si="3"/>
        <v>33699.69</v>
      </c>
      <c r="W4" s="168">
        <f t="shared" si="4"/>
        <v>0</v>
      </c>
      <c r="X4" s="168">
        <f t="shared" si="5"/>
        <v>0</v>
      </c>
      <c r="Y4" s="168">
        <f t="shared" si="6"/>
        <v>0</v>
      </c>
      <c r="Z4" s="168">
        <f t="shared" si="7"/>
        <v>0</v>
      </c>
      <c r="AA4" s="168">
        <f t="shared" si="8"/>
        <v>0</v>
      </c>
      <c r="AB4" s="168">
        <f t="shared" si="9"/>
        <v>0</v>
      </c>
    </row>
    <row r="5" ht="14.25" customHeight="1">
      <c r="A5" s="157">
        <v>13.0</v>
      </c>
      <c r="B5" s="169" t="s">
        <v>90</v>
      </c>
      <c r="C5" s="169" t="s">
        <v>724</v>
      </c>
      <c r="D5" s="159">
        <v>43449.0</v>
      </c>
      <c r="E5" s="157" t="s">
        <v>2</v>
      </c>
      <c r="F5" s="160">
        <v>40860.0</v>
      </c>
      <c r="G5" s="160">
        <v>6537.6</v>
      </c>
      <c r="H5" s="160">
        <f t="shared" si="1"/>
        <v>47397.6</v>
      </c>
      <c r="I5" s="160"/>
      <c r="J5" s="161"/>
      <c r="K5" s="160"/>
      <c r="L5" s="160">
        <f>+'FACUS$'!$H5-'FACUS$'!$I5-'FACUS$'!$K5</f>
        <v>47397.6</v>
      </c>
      <c r="M5" s="157" t="s">
        <v>719</v>
      </c>
      <c r="N5" s="162" t="s">
        <v>554</v>
      </c>
      <c r="O5" s="332">
        <v>43112.0</v>
      </c>
      <c r="P5" s="164" t="str">
        <f t="array" ref="P5">XLOOKUP('FACUS$'!$B5,'perfil de pagos'!$A$4:$A$46,'perfil de pagos'!$C$4:$C$46+'FACUS$'!$D5)</f>
        <v>#N/A</v>
      </c>
      <c r="Q5" s="165">
        <f t="shared" si="2"/>
        <v>0</v>
      </c>
      <c r="R5" s="167"/>
      <c r="S5" s="167"/>
      <c r="T5" s="167"/>
      <c r="U5" s="334" t="s">
        <v>7271</v>
      </c>
      <c r="V5" s="168">
        <f t="shared" si="3"/>
        <v>47397.6</v>
      </c>
      <c r="W5" s="168">
        <f t="shared" si="4"/>
        <v>0</v>
      </c>
      <c r="X5" s="168">
        <f t="shared" si="5"/>
        <v>0</v>
      </c>
      <c r="Y5" s="168">
        <f t="shared" si="6"/>
        <v>0</v>
      </c>
      <c r="Z5" s="168">
        <f t="shared" si="7"/>
        <v>0</v>
      </c>
      <c r="AA5" s="168">
        <f t="shared" si="8"/>
        <v>0</v>
      </c>
      <c r="AB5" s="168">
        <f t="shared" si="9"/>
        <v>0</v>
      </c>
    </row>
    <row r="6" ht="14.25" customHeight="1">
      <c r="A6" s="157">
        <v>15.0</v>
      </c>
      <c r="B6" s="169" t="s">
        <v>720</v>
      </c>
      <c r="C6" s="169" t="s">
        <v>724</v>
      </c>
      <c r="D6" s="159">
        <v>43449.0</v>
      </c>
      <c r="E6" s="157" t="s">
        <v>2</v>
      </c>
      <c r="F6" s="160">
        <v>80630.4</v>
      </c>
      <c r="G6" s="160">
        <v>12900.86</v>
      </c>
      <c r="H6" s="160">
        <f t="shared" si="1"/>
        <v>93531.26</v>
      </c>
      <c r="I6" s="160"/>
      <c r="J6" s="161"/>
      <c r="K6" s="172"/>
      <c r="L6" s="160">
        <f>+'FACUS$'!$H6-'FACUS$'!$I6-'FACUS$'!$K6</f>
        <v>93531.26</v>
      </c>
      <c r="M6" s="157" t="s">
        <v>777</v>
      </c>
      <c r="N6" s="162" t="s">
        <v>127</v>
      </c>
      <c r="O6" s="335" t="s">
        <v>7272</v>
      </c>
      <c r="P6" s="164" t="str">
        <f t="array" ref="P6">XLOOKUP('FACUS$'!$B6,'perfil de pagos'!$A$4:$A$46,'perfil de pagos'!$C$4:$C$46+'FACUS$'!$D6)</f>
        <v>#N/A</v>
      </c>
      <c r="Q6" s="165" t="str">
        <f t="shared" si="2"/>
        <v>N/A</v>
      </c>
      <c r="R6" s="166" t="s">
        <v>7272</v>
      </c>
      <c r="S6" s="167"/>
      <c r="T6" s="167"/>
      <c r="U6" s="334" t="s">
        <v>7271</v>
      </c>
      <c r="V6" s="168">
        <f t="shared" si="3"/>
        <v>0</v>
      </c>
      <c r="W6" s="168">
        <f t="shared" si="4"/>
        <v>0</v>
      </c>
      <c r="X6" s="168">
        <f t="shared" si="5"/>
        <v>0</v>
      </c>
      <c r="Y6" s="168">
        <f t="shared" si="6"/>
        <v>0</v>
      </c>
      <c r="Z6" s="168">
        <f t="shared" si="7"/>
        <v>0</v>
      </c>
      <c r="AA6" s="168">
        <f t="shared" si="8"/>
        <v>0</v>
      </c>
      <c r="AB6" s="168">
        <f t="shared" si="9"/>
        <v>93531.26</v>
      </c>
    </row>
    <row r="7" ht="14.25" customHeight="1">
      <c r="A7" s="157">
        <v>17.0</v>
      </c>
      <c r="B7" s="169" t="s">
        <v>103</v>
      </c>
      <c r="C7" s="169" t="s">
        <v>724</v>
      </c>
      <c r="D7" s="159">
        <v>43449.0</v>
      </c>
      <c r="E7" s="157" t="s">
        <v>2</v>
      </c>
      <c r="F7" s="160">
        <v>32104.02</v>
      </c>
      <c r="G7" s="160">
        <v>5136.64</v>
      </c>
      <c r="H7" s="160">
        <f t="shared" si="1"/>
        <v>37240.66</v>
      </c>
      <c r="I7" s="160"/>
      <c r="J7" s="161"/>
      <c r="K7" s="160"/>
      <c r="L7" s="160">
        <f>+'FACUS$'!$H7-'FACUS$'!$I7-'FACUS$'!$K7</f>
        <v>37240.66</v>
      </c>
      <c r="M7" s="157" t="s">
        <v>43</v>
      </c>
      <c r="N7" s="162" t="s">
        <v>127</v>
      </c>
      <c r="O7" s="332"/>
      <c r="P7" s="164" t="str">
        <f t="array" ref="P7">XLOOKUP('FACUS$'!$B7,'perfil de pagos'!$A$4:$A$46,'perfil de pagos'!$C$4:$C$46+'FACUS$'!$D7)</f>
        <v>#N/A</v>
      </c>
      <c r="Q7" s="165" t="str">
        <f t="shared" si="2"/>
        <v>N/A</v>
      </c>
      <c r="R7" s="171"/>
      <c r="S7" s="171"/>
      <c r="T7" s="171"/>
      <c r="U7" s="333" t="s">
        <v>7271</v>
      </c>
      <c r="V7" s="168">
        <f t="shared" si="3"/>
        <v>0</v>
      </c>
      <c r="W7" s="168">
        <f t="shared" si="4"/>
        <v>0</v>
      </c>
      <c r="X7" s="168">
        <f t="shared" si="5"/>
        <v>0</v>
      </c>
      <c r="Y7" s="168">
        <f t="shared" si="6"/>
        <v>0</v>
      </c>
      <c r="Z7" s="168">
        <f t="shared" si="7"/>
        <v>0</v>
      </c>
      <c r="AA7" s="168">
        <f t="shared" si="8"/>
        <v>0</v>
      </c>
      <c r="AB7" s="168">
        <f t="shared" si="9"/>
        <v>37240.66</v>
      </c>
    </row>
    <row r="8" ht="14.25" customHeight="1">
      <c r="A8" s="157">
        <v>20.0</v>
      </c>
      <c r="B8" s="169" t="s">
        <v>37</v>
      </c>
      <c r="C8" s="169" t="s">
        <v>724</v>
      </c>
      <c r="D8" s="159">
        <v>43435.0</v>
      </c>
      <c r="E8" s="157" t="s">
        <v>2</v>
      </c>
      <c r="F8" s="160">
        <v>95246.14</v>
      </c>
      <c r="G8" s="160">
        <v>15239.38</v>
      </c>
      <c r="H8" s="160">
        <f t="shared" si="1"/>
        <v>110485.52</v>
      </c>
      <c r="I8" s="160"/>
      <c r="J8" s="161"/>
      <c r="K8" s="160"/>
      <c r="L8" s="160">
        <f>+'FACUS$'!$H8-'FACUS$'!$I8-'FACUS$'!$K8</f>
        <v>110485.52</v>
      </c>
      <c r="M8" s="157" t="s">
        <v>718</v>
      </c>
      <c r="N8" s="162" t="s">
        <v>554</v>
      </c>
      <c r="O8" s="332">
        <v>43144.0</v>
      </c>
      <c r="P8" s="164">
        <f t="array" ref="P8">XLOOKUP('FACUS$'!$B8,'perfil de pagos'!$A$4:$A$46,'perfil de pagos'!$C$4:$C$46+'FACUS$'!$D8)</f>
        <v>43445</v>
      </c>
      <c r="Q8" s="165">
        <f t="shared" si="2"/>
        <v>0</v>
      </c>
      <c r="R8" s="167"/>
      <c r="S8" s="167"/>
      <c r="T8" s="167"/>
      <c r="U8" s="334" t="s">
        <v>7271</v>
      </c>
      <c r="V8" s="168">
        <f t="shared" si="3"/>
        <v>110485.52</v>
      </c>
      <c r="W8" s="168">
        <f t="shared" si="4"/>
        <v>0</v>
      </c>
      <c r="X8" s="168">
        <f t="shared" si="5"/>
        <v>0</v>
      </c>
      <c r="Y8" s="168">
        <f t="shared" si="6"/>
        <v>0</v>
      </c>
      <c r="Z8" s="168">
        <f t="shared" si="7"/>
        <v>0</v>
      </c>
      <c r="AA8" s="168">
        <f t="shared" si="8"/>
        <v>0</v>
      </c>
      <c r="AB8" s="168">
        <f t="shared" si="9"/>
        <v>0</v>
      </c>
    </row>
    <row r="9" ht="14.25" customHeight="1">
      <c r="A9" s="157">
        <v>23.0</v>
      </c>
      <c r="B9" s="169" t="s">
        <v>37</v>
      </c>
      <c r="C9" s="169" t="s">
        <v>724</v>
      </c>
      <c r="D9" s="159">
        <v>43449.0</v>
      </c>
      <c r="E9" s="162" t="s">
        <v>2</v>
      </c>
      <c r="F9" s="160">
        <v>117321.82</v>
      </c>
      <c r="G9" s="160">
        <v>18771.49</v>
      </c>
      <c r="H9" s="160">
        <f t="shared" si="1"/>
        <v>136093.31</v>
      </c>
      <c r="I9" s="160"/>
      <c r="J9" s="161"/>
      <c r="K9" s="160"/>
      <c r="L9" s="160">
        <f>+'FACUS$'!$H9-'FACUS$'!$I9-'FACUS$'!$K9</f>
        <v>136093.31</v>
      </c>
      <c r="M9" s="157" t="s">
        <v>718</v>
      </c>
      <c r="N9" s="162" t="s">
        <v>554</v>
      </c>
      <c r="O9" s="335">
        <v>43123.0</v>
      </c>
      <c r="P9" s="164">
        <f t="array" ref="P9">XLOOKUP('FACUS$'!$B9,'perfil de pagos'!$A$4:$A$46,'perfil de pagos'!$C$4:$C$46+'FACUS$'!$D9)</f>
        <v>43459</v>
      </c>
      <c r="Q9" s="165">
        <f t="shared" si="2"/>
        <v>0</v>
      </c>
      <c r="R9" s="167"/>
      <c r="S9" s="167"/>
      <c r="T9" s="167"/>
      <c r="U9" s="334" t="s">
        <v>7271</v>
      </c>
      <c r="V9" s="168">
        <f t="shared" si="3"/>
        <v>136093.31</v>
      </c>
      <c r="W9" s="168">
        <f t="shared" si="4"/>
        <v>0</v>
      </c>
      <c r="X9" s="168">
        <f t="shared" si="5"/>
        <v>0</v>
      </c>
      <c r="Y9" s="168">
        <f t="shared" si="6"/>
        <v>0</v>
      </c>
      <c r="Z9" s="168">
        <f t="shared" si="7"/>
        <v>0</v>
      </c>
      <c r="AA9" s="168">
        <f t="shared" si="8"/>
        <v>0</v>
      </c>
      <c r="AB9" s="168">
        <f t="shared" si="9"/>
        <v>0</v>
      </c>
    </row>
    <row r="10" ht="14.25" customHeight="1">
      <c r="A10" s="157">
        <v>29.0</v>
      </c>
      <c r="B10" s="169" t="s">
        <v>7273</v>
      </c>
      <c r="C10" s="169" t="s">
        <v>724</v>
      </c>
      <c r="D10" s="159">
        <v>43435.0</v>
      </c>
      <c r="E10" s="162" t="s">
        <v>2</v>
      </c>
      <c r="F10" s="160">
        <v>2970.0</v>
      </c>
      <c r="G10" s="160">
        <v>475.2</v>
      </c>
      <c r="H10" s="160">
        <f t="shared" si="1"/>
        <v>3445.2</v>
      </c>
      <c r="I10" s="160"/>
      <c r="J10" s="161"/>
      <c r="K10" s="160"/>
      <c r="L10" s="160">
        <f>+'FACUS$'!$H10-'FACUS$'!$I10-'FACUS$'!$K10</f>
        <v>3445.2</v>
      </c>
      <c r="M10" s="157" t="s">
        <v>7274</v>
      </c>
      <c r="N10" s="162" t="s">
        <v>554</v>
      </c>
      <c r="O10" s="335">
        <v>43138.0</v>
      </c>
      <c r="P10" s="164" t="str">
        <f t="array" ref="P10">XLOOKUP('FACUS$'!$B10,'perfil de pagos'!$A$4:$A$46,'perfil de pagos'!$C$4:$C$46+'FACUS$'!$D10)</f>
        <v>#N/A</v>
      </c>
      <c r="Q10" s="165">
        <f t="shared" si="2"/>
        <v>0</v>
      </c>
      <c r="R10" s="167"/>
      <c r="S10" s="167"/>
      <c r="T10" s="167"/>
      <c r="U10" s="334" t="s">
        <v>7271</v>
      </c>
      <c r="V10" s="168">
        <f t="shared" si="3"/>
        <v>3445.2</v>
      </c>
      <c r="W10" s="168">
        <f t="shared" si="4"/>
        <v>0</v>
      </c>
      <c r="X10" s="168">
        <f t="shared" si="5"/>
        <v>0</v>
      </c>
      <c r="Y10" s="168">
        <f t="shared" si="6"/>
        <v>0</v>
      </c>
      <c r="Z10" s="168">
        <f t="shared" si="7"/>
        <v>0</v>
      </c>
      <c r="AA10" s="168">
        <f t="shared" si="8"/>
        <v>0</v>
      </c>
      <c r="AB10" s="168">
        <f t="shared" si="9"/>
        <v>0</v>
      </c>
    </row>
    <row r="11" ht="14.25" customHeight="1">
      <c r="A11" s="157">
        <v>32.0</v>
      </c>
      <c r="B11" s="169" t="s">
        <v>103</v>
      </c>
      <c r="C11" s="169" t="s">
        <v>724</v>
      </c>
      <c r="D11" s="159">
        <v>43084.0</v>
      </c>
      <c r="E11" s="162" t="s">
        <v>2</v>
      </c>
      <c r="F11" s="160">
        <v>32104.02</v>
      </c>
      <c r="G11" s="160">
        <v>5136.64</v>
      </c>
      <c r="H11" s="160">
        <f t="shared" si="1"/>
        <v>37240.66</v>
      </c>
      <c r="I11" s="160"/>
      <c r="J11" s="161"/>
      <c r="K11" s="160"/>
      <c r="L11" s="160">
        <f>+'FACUS$'!$H11-'FACUS$'!$I11-'FACUS$'!$K11</f>
        <v>37240.66</v>
      </c>
      <c r="M11" s="157" t="s">
        <v>43</v>
      </c>
      <c r="N11" s="162" t="s">
        <v>554</v>
      </c>
      <c r="O11" s="335">
        <v>43125.0</v>
      </c>
      <c r="P11" s="164" t="str">
        <f t="array" ref="P11">XLOOKUP('FACUS$'!$B11,'perfil de pagos'!$A$4:$A$46,'perfil de pagos'!$C$4:$C$46+'FACUS$'!$D11)</f>
        <v>#N/A</v>
      </c>
      <c r="Q11" s="165">
        <f t="shared" si="2"/>
        <v>0</v>
      </c>
      <c r="R11" s="167"/>
      <c r="S11" s="167"/>
      <c r="T11" s="167"/>
      <c r="U11" s="334" t="s">
        <v>7271</v>
      </c>
      <c r="V11" s="168">
        <f t="shared" si="3"/>
        <v>37240.66</v>
      </c>
      <c r="W11" s="168">
        <f t="shared" si="4"/>
        <v>0</v>
      </c>
      <c r="X11" s="168">
        <f t="shared" si="5"/>
        <v>0</v>
      </c>
      <c r="Y11" s="168">
        <f t="shared" si="6"/>
        <v>0</v>
      </c>
      <c r="Z11" s="168">
        <f t="shared" si="7"/>
        <v>0</v>
      </c>
      <c r="AA11" s="168">
        <f t="shared" si="8"/>
        <v>0</v>
      </c>
      <c r="AB11" s="168">
        <f t="shared" si="9"/>
        <v>0</v>
      </c>
    </row>
    <row r="12" ht="14.25" customHeight="1">
      <c r="A12" s="157">
        <v>35.0</v>
      </c>
      <c r="B12" s="169" t="s">
        <v>720</v>
      </c>
      <c r="C12" s="169" t="s">
        <v>724</v>
      </c>
      <c r="D12" s="159">
        <v>43118.0</v>
      </c>
      <c r="E12" s="162" t="s">
        <v>2</v>
      </c>
      <c r="F12" s="160">
        <v>71596.8</v>
      </c>
      <c r="G12" s="160">
        <v>11455.49</v>
      </c>
      <c r="H12" s="160">
        <f t="shared" si="1"/>
        <v>83052.29</v>
      </c>
      <c r="I12" s="160"/>
      <c r="J12" s="161"/>
      <c r="K12" s="160"/>
      <c r="L12" s="160">
        <f>+'FACUS$'!$H12-'FACUS$'!$I12-'FACUS$'!$K12</f>
        <v>83052.29</v>
      </c>
      <c r="M12" s="157" t="s">
        <v>777</v>
      </c>
      <c r="N12" s="162" t="s">
        <v>127</v>
      </c>
      <c r="O12" s="335"/>
      <c r="P12" s="164" t="str">
        <f t="array" ref="P12">XLOOKUP('FACUS$'!$B12,'perfil de pagos'!$A$4:$A$46,'perfil de pagos'!$C$4:$C$46+'FACUS$'!$D12)</f>
        <v>#N/A</v>
      </c>
      <c r="Q12" s="165" t="str">
        <f t="shared" si="2"/>
        <v>N/A</v>
      </c>
      <c r="R12" s="167"/>
      <c r="S12" s="167"/>
      <c r="T12" s="167"/>
      <c r="U12" s="334" t="s">
        <v>7271</v>
      </c>
      <c r="V12" s="168">
        <f t="shared" si="3"/>
        <v>0</v>
      </c>
      <c r="W12" s="168">
        <f t="shared" si="4"/>
        <v>0</v>
      </c>
      <c r="X12" s="168">
        <f t="shared" si="5"/>
        <v>0</v>
      </c>
      <c r="Y12" s="168">
        <f t="shared" si="6"/>
        <v>0</v>
      </c>
      <c r="Z12" s="168">
        <f t="shared" si="7"/>
        <v>0</v>
      </c>
      <c r="AA12" s="168">
        <f t="shared" si="8"/>
        <v>0</v>
      </c>
      <c r="AB12" s="168">
        <f t="shared" si="9"/>
        <v>83052.29</v>
      </c>
    </row>
    <row r="13" ht="14.25" customHeight="1">
      <c r="A13" s="157">
        <v>37.0</v>
      </c>
      <c r="B13" s="169" t="s">
        <v>103</v>
      </c>
      <c r="C13" s="169" t="s">
        <v>7275</v>
      </c>
      <c r="D13" s="159">
        <v>43101.0</v>
      </c>
      <c r="E13" s="162" t="s">
        <v>2</v>
      </c>
      <c r="F13" s="160">
        <v>30776.82</v>
      </c>
      <c r="G13" s="160">
        <v>4924.29</v>
      </c>
      <c r="H13" s="160">
        <f t="shared" si="1"/>
        <v>35701.11</v>
      </c>
      <c r="I13" s="160"/>
      <c r="J13" s="161"/>
      <c r="K13" s="160"/>
      <c r="L13" s="160">
        <f>+'FACUS$'!$H13-'FACUS$'!$I13-'FACUS$'!$K13</f>
        <v>35701.11</v>
      </c>
      <c r="M13" s="157" t="s">
        <v>103</v>
      </c>
      <c r="N13" s="162" t="s">
        <v>554</v>
      </c>
      <c r="O13" s="335">
        <v>43125.0</v>
      </c>
      <c r="P13" s="164" t="str">
        <f t="array" ref="P13">XLOOKUP('FACUS$'!$B13,'perfil de pagos'!$A$4:$A$46,'perfil de pagos'!$C$4:$C$46+'FACUS$'!$D13)</f>
        <v>#N/A</v>
      </c>
      <c r="Q13" s="165">
        <f t="shared" si="2"/>
        <v>0</v>
      </c>
      <c r="R13" s="167"/>
      <c r="S13" s="167"/>
      <c r="T13" s="167"/>
      <c r="U13" s="334" t="s">
        <v>7271</v>
      </c>
      <c r="V13" s="168">
        <f t="shared" si="3"/>
        <v>35701.11</v>
      </c>
      <c r="W13" s="168">
        <f t="shared" si="4"/>
        <v>0</v>
      </c>
      <c r="X13" s="168">
        <f t="shared" si="5"/>
        <v>0</v>
      </c>
      <c r="Y13" s="168">
        <f t="shared" si="6"/>
        <v>0</v>
      </c>
      <c r="Z13" s="168">
        <f t="shared" si="7"/>
        <v>0</v>
      </c>
      <c r="AA13" s="168">
        <f t="shared" si="8"/>
        <v>0</v>
      </c>
      <c r="AB13" s="168">
        <f t="shared" si="9"/>
        <v>0</v>
      </c>
    </row>
    <row r="14" ht="14.25" customHeight="1">
      <c r="A14" s="157">
        <v>39.0</v>
      </c>
      <c r="B14" s="169" t="s">
        <v>716</v>
      </c>
      <c r="C14" s="169" t="s">
        <v>724</v>
      </c>
      <c r="D14" s="159">
        <v>43118.0</v>
      </c>
      <c r="E14" s="162" t="s">
        <v>2</v>
      </c>
      <c r="F14" s="160">
        <v>21360.5</v>
      </c>
      <c r="G14" s="160">
        <v>3417.68</v>
      </c>
      <c r="H14" s="160">
        <f t="shared" si="1"/>
        <v>24778.18</v>
      </c>
      <c r="I14" s="160"/>
      <c r="J14" s="161"/>
      <c r="K14" s="160"/>
      <c r="L14" s="160">
        <f>+'FACUS$'!$H14-'FACUS$'!$I14-'FACUS$'!$K14</f>
        <v>24778.18</v>
      </c>
      <c r="M14" s="157" t="s">
        <v>717</v>
      </c>
      <c r="N14" s="162" t="s">
        <v>554</v>
      </c>
      <c r="O14" s="335">
        <v>43129.0</v>
      </c>
      <c r="P14" s="164" t="str">
        <f t="array" ref="P14">XLOOKUP('FACUS$'!$B14,'perfil de pagos'!$A$4:$A$46,'perfil de pagos'!$C$4:$C$46+'FACUS$'!$D14)</f>
        <v>#N/A</v>
      </c>
      <c r="Q14" s="165">
        <f t="shared" si="2"/>
        <v>0</v>
      </c>
      <c r="R14" s="167"/>
      <c r="S14" s="167"/>
      <c r="T14" s="167"/>
      <c r="U14" s="334" t="s">
        <v>7271</v>
      </c>
      <c r="V14" s="168">
        <f t="shared" si="3"/>
        <v>24778.18</v>
      </c>
      <c r="W14" s="168">
        <f t="shared" si="4"/>
        <v>0</v>
      </c>
      <c r="X14" s="168">
        <f t="shared" si="5"/>
        <v>0</v>
      </c>
      <c r="Y14" s="168">
        <f t="shared" si="6"/>
        <v>0</v>
      </c>
      <c r="Z14" s="168">
        <f t="shared" si="7"/>
        <v>0</v>
      </c>
      <c r="AA14" s="168">
        <f t="shared" si="8"/>
        <v>0</v>
      </c>
      <c r="AB14" s="168">
        <f t="shared" si="9"/>
        <v>0</v>
      </c>
    </row>
    <row r="15" ht="14.25" customHeight="1">
      <c r="A15" s="157">
        <v>102.0</v>
      </c>
      <c r="B15" s="169" t="s">
        <v>36</v>
      </c>
      <c r="C15" s="169" t="s">
        <v>7276</v>
      </c>
      <c r="D15" s="336">
        <v>44620.0</v>
      </c>
      <c r="E15" s="157" t="s">
        <v>600</v>
      </c>
      <c r="F15" s="160">
        <v>521.26</v>
      </c>
      <c r="G15" s="160">
        <v>83.4</v>
      </c>
      <c r="H15" s="160">
        <f t="shared" si="1"/>
        <v>604.66</v>
      </c>
      <c r="I15" s="172"/>
      <c r="J15" s="169"/>
      <c r="K15" s="172"/>
      <c r="L15" s="172">
        <f>+'FACUS$'!$H15-'FACUS$'!$I15-'FACUS$'!$K15</f>
        <v>604.66</v>
      </c>
      <c r="M15" s="162" t="s">
        <v>278</v>
      </c>
      <c r="N15" s="337" t="s">
        <v>554</v>
      </c>
      <c r="O15" s="338">
        <v>44672.0</v>
      </c>
      <c r="P15" s="164">
        <f t="array" ref="P15">XLOOKUP('FACUS$'!$B15,'perfil de pagos'!$A$4:$A$46,'perfil de pagos'!$C$4:$C$46+'FACUS$'!$D15)</f>
        <v>44630</v>
      </c>
      <c r="Q15" s="165">
        <f t="shared" si="2"/>
        <v>0</v>
      </c>
      <c r="R15" s="247" t="s">
        <v>7277</v>
      </c>
      <c r="S15" s="167"/>
      <c r="T15" s="167"/>
      <c r="U15" s="334" t="s">
        <v>7271</v>
      </c>
      <c r="V15" s="168">
        <f t="shared" si="3"/>
        <v>604.66</v>
      </c>
      <c r="W15" s="168">
        <f t="shared" si="4"/>
        <v>0</v>
      </c>
      <c r="X15" s="168">
        <f t="shared" si="5"/>
        <v>0</v>
      </c>
      <c r="Y15" s="168">
        <f t="shared" si="6"/>
        <v>0</v>
      </c>
      <c r="Z15" s="168">
        <f t="shared" si="7"/>
        <v>0</v>
      </c>
      <c r="AA15" s="168">
        <f t="shared" si="8"/>
        <v>0</v>
      </c>
      <c r="AB15" s="168">
        <f t="shared" si="9"/>
        <v>0</v>
      </c>
    </row>
    <row r="16" ht="14.25" customHeight="1">
      <c r="A16" s="157">
        <v>126.0</v>
      </c>
      <c r="B16" s="169" t="s">
        <v>70</v>
      </c>
      <c r="C16" s="169" t="s">
        <v>549</v>
      </c>
      <c r="D16" s="159">
        <v>42005.0</v>
      </c>
      <c r="E16" s="162" t="s">
        <v>2</v>
      </c>
      <c r="F16" s="160">
        <v>174000.0</v>
      </c>
      <c r="G16" s="160">
        <v>27840.0</v>
      </c>
      <c r="H16" s="160">
        <f t="shared" si="1"/>
        <v>201840</v>
      </c>
      <c r="I16" s="160"/>
      <c r="J16" s="161"/>
      <c r="K16" s="160"/>
      <c r="L16" s="160">
        <f>+'FACUS$'!$H16-'FACUS$'!$I16-'FACUS$'!$K16</f>
        <v>201840</v>
      </c>
      <c r="M16" s="157" t="s">
        <v>719</v>
      </c>
      <c r="N16" s="162" t="s">
        <v>127</v>
      </c>
      <c r="O16" s="335"/>
      <c r="P16" s="164" t="str">
        <f t="array" ref="P16">XLOOKUP('FACUS$'!$B16,'perfil de pagos'!$A$4:$A$46,'perfil de pagos'!$C$4:$C$46+'FACUS$'!$D16)</f>
        <v>#N/A</v>
      </c>
      <c r="Q16" s="165" t="str">
        <f t="shared" si="2"/>
        <v>N/A</v>
      </c>
      <c r="R16" s="167"/>
      <c r="S16" s="167"/>
      <c r="T16" s="167"/>
      <c r="U16" s="334" t="s">
        <v>7271</v>
      </c>
      <c r="V16" s="168">
        <f t="shared" si="3"/>
        <v>0</v>
      </c>
      <c r="W16" s="168">
        <f t="shared" si="4"/>
        <v>0</v>
      </c>
      <c r="X16" s="168">
        <f t="shared" si="5"/>
        <v>0</v>
      </c>
      <c r="Y16" s="168">
        <f t="shared" si="6"/>
        <v>0</v>
      </c>
      <c r="Z16" s="168">
        <f t="shared" si="7"/>
        <v>0</v>
      </c>
      <c r="AA16" s="168">
        <f t="shared" si="8"/>
        <v>0</v>
      </c>
      <c r="AB16" s="168">
        <f t="shared" si="9"/>
        <v>201840</v>
      </c>
    </row>
    <row r="17" ht="14.25" customHeight="1">
      <c r="A17" s="157">
        <v>127.0</v>
      </c>
      <c r="B17" s="169" t="s">
        <v>692</v>
      </c>
      <c r="C17" s="169" t="s">
        <v>7278</v>
      </c>
      <c r="D17" s="159">
        <v>42036.0</v>
      </c>
      <c r="E17" s="162" t="s">
        <v>2</v>
      </c>
      <c r="F17" s="160">
        <v>33015.36</v>
      </c>
      <c r="G17" s="160">
        <v>5282.46</v>
      </c>
      <c r="H17" s="160">
        <f t="shared" si="1"/>
        <v>38297.82</v>
      </c>
      <c r="I17" s="160"/>
      <c r="J17" s="161"/>
      <c r="K17" s="160"/>
      <c r="L17" s="160">
        <f>+'FACUS$'!$H17-'FACUS$'!$I17-'FACUS$'!$K17</f>
        <v>38297.82</v>
      </c>
      <c r="M17" s="157" t="s">
        <v>7279</v>
      </c>
      <c r="N17" s="162" t="s">
        <v>554</v>
      </c>
      <c r="O17" s="335"/>
      <c r="P17" s="164" t="str">
        <f t="array" ref="P17">XLOOKUP('FACUS$'!$B17,'perfil de pagos'!$A$4:$A$46,'perfil de pagos'!$C$4:$C$46+'FACUS$'!$D17)</f>
        <v>#N/A</v>
      </c>
      <c r="Q17" s="165">
        <f t="shared" si="2"/>
        <v>0</v>
      </c>
      <c r="R17" s="167"/>
      <c r="S17" s="167"/>
      <c r="T17" s="167"/>
      <c r="U17" s="334" t="s">
        <v>7271</v>
      </c>
      <c r="V17" s="168">
        <f t="shared" si="3"/>
        <v>38297.82</v>
      </c>
      <c r="W17" s="168">
        <f t="shared" si="4"/>
        <v>0</v>
      </c>
      <c r="X17" s="168">
        <f t="shared" si="5"/>
        <v>0</v>
      </c>
      <c r="Y17" s="168">
        <f t="shared" si="6"/>
        <v>0</v>
      </c>
      <c r="Z17" s="168">
        <f t="shared" si="7"/>
        <v>0</v>
      </c>
      <c r="AA17" s="168">
        <f t="shared" si="8"/>
        <v>0</v>
      </c>
      <c r="AB17" s="168">
        <f t="shared" si="9"/>
        <v>0</v>
      </c>
    </row>
    <row r="18" ht="14.25" customHeight="1">
      <c r="A18" s="157">
        <v>129.0</v>
      </c>
      <c r="B18" s="169" t="s">
        <v>70</v>
      </c>
      <c r="C18" s="169" t="s">
        <v>7280</v>
      </c>
      <c r="D18" s="159">
        <v>42036.0</v>
      </c>
      <c r="E18" s="162" t="s">
        <v>2</v>
      </c>
      <c r="F18" s="160">
        <v>174000.0</v>
      </c>
      <c r="G18" s="160">
        <v>27840.0</v>
      </c>
      <c r="H18" s="160">
        <f t="shared" si="1"/>
        <v>201840</v>
      </c>
      <c r="I18" s="160"/>
      <c r="J18" s="161"/>
      <c r="K18" s="160"/>
      <c r="L18" s="160">
        <f>+'FACUS$'!$H18-'FACUS$'!$I18-'FACUS$'!$K18</f>
        <v>201840</v>
      </c>
      <c r="M18" s="157" t="s">
        <v>719</v>
      </c>
      <c r="N18" s="162" t="s">
        <v>554</v>
      </c>
      <c r="O18" s="335">
        <v>42751.0</v>
      </c>
      <c r="P18" s="164" t="str">
        <f t="array" ref="P18">XLOOKUP('FACUS$'!$B18,'perfil de pagos'!$A$4:$A$46,'perfil de pagos'!$C$4:$C$46+'FACUS$'!$D18)</f>
        <v>#N/A</v>
      </c>
      <c r="Q18" s="165">
        <f t="shared" si="2"/>
        <v>0</v>
      </c>
      <c r="R18" s="167"/>
      <c r="S18" s="167"/>
      <c r="T18" s="167"/>
      <c r="U18" s="334" t="s">
        <v>7271</v>
      </c>
      <c r="V18" s="168">
        <f t="shared" si="3"/>
        <v>201840</v>
      </c>
      <c r="W18" s="168">
        <f t="shared" si="4"/>
        <v>0</v>
      </c>
      <c r="X18" s="168">
        <f t="shared" si="5"/>
        <v>0</v>
      </c>
      <c r="Y18" s="168">
        <f t="shared" si="6"/>
        <v>0</v>
      </c>
      <c r="Z18" s="168">
        <f t="shared" si="7"/>
        <v>0</v>
      </c>
      <c r="AA18" s="168">
        <f t="shared" si="8"/>
        <v>0</v>
      </c>
      <c r="AB18" s="168">
        <f t="shared" si="9"/>
        <v>0</v>
      </c>
    </row>
    <row r="19" ht="14.25" customHeight="1">
      <c r="A19" s="157">
        <v>130.0</v>
      </c>
      <c r="B19" s="169" t="s">
        <v>692</v>
      </c>
      <c r="C19" s="169" t="s">
        <v>7281</v>
      </c>
      <c r="D19" s="159">
        <v>42036.0</v>
      </c>
      <c r="E19" s="157" t="s">
        <v>2</v>
      </c>
      <c r="F19" s="160"/>
      <c r="G19" s="160"/>
      <c r="H19" s="160"/>
      <c r="I19" s="160"/>
      <c r="J19" s="161"/>
      <c r="K19" s="160"/>
      <c r="L19" s="160">
        <f>+'FACUS$'!$H19-'FACUS$'!$I19-'FACUS$'!$K19</f>
        <v>0</v>
      </c>
      <c r="M19" s="157" t="s">
        <v>7279</v>
      </c>
      <c r="N19" s="162" t="s">
        <v>127</v>
      </c>
      <c r="O19" s="332"/>
      <c r="P19" s="164" t="str">
        <f t="array" ref="P19">XLOOKUP('FACUS$'!$B19,'perfil de pagos'!$A$4:$A$46,'perfil de pagos'!$C$4:$C$46+'FACUS$'!$D19)</f>
        <v>#N/A</v>
      </c>
      <c r="Q19" s="165" t="str">
        <f t="shared" si="2"/>
        <v>N/A</v>
      </c>
      <c r="R19" s="167"/>
      <c r="S19" s="167"/>
      <c r="T19" s="167"/>
      <c r="U19" s="334" t="s">
        <v>7271</v>
      </c>
      <c r="V19" s="168">
        <f t="shared" si="3"/>
        <v>0</v>
      </c>
      <c r="W19" s="168">
        <f t="shared" si="4"/>
        <v>0</v>
      </c>
      <c r="X19" s="168">
        <f t="shared" si="5"/>
        <v>0</v>
      </c>
      <c r="Y19" s="168">
        <f t="shared" si="6"/>
        <v>0</v>
      </c>
      <c r="Z19" s="168">
        <f t="shared" si="7"/>
        <v>0</v>
      </c>
      <c r="AA19" s="168">
        <f t="shared" si="8"/>
        <v>0</v>
      </c>
      <c r="AB19" s="168">
        <f t="shared" si="9"/>
        <v>0</v>
      </c>
    </row>
    <row r="20" ht="14.25" customHeight="1">
      <c r="A20" s="157">
        <v>131.0</v>
      </c>
      <c r="B20" s="169" t="s">
        <v>692</v>
      </c>
      <c r="C20" s="169" t="s">
        <v>737</v>
      </c>
      <c r="D20" s="186">
        <v>42036.0</v>
      </c>
      <c r="E20" s="162" t="s">
        <v>2</v>
      </c>
      <c r="F20" s="160">
        <v>83483.35</v>
      </c>
      <c r="G20" s="160">
        <v>13357.34</v>
      </c>
      <c r="H20" s="160">
        <f t="shared" ref="H20:H28" si="10">F20+G20</f>
        <v>96840.69</v>
      </c>
      <c r="I20" s="160"/>
      <c r="J20" s="161"/>
      <c r="K20" s="160"/>
      <c r="L20" s="160">
        <f>+'FACUS$'!$H20-'FACUS$'!$I20-'FACUS$'!$K20</f>
        <v>96840.69</v>
      </c>
      <c r="M20" s="157" t="s">
        <v>7279</v>
      </c>
      <c r="N20" s="162" t="s">
        <v>554</v>
      </c>
      <c r="O20" s="335"/>
      <c r="P20" s="164" t="str">
        <f t="array" ref="P20">XLOOKUP('FACUS$'!$B20,'perfil de pagos'!$A$4:$A$46,'perfil de pagos'!$C$4:$C$46+'FACUS$'!$D20)</f>
        <v>#N/A</v>
      </c>
      <c r="Q20" s="165">
        <f t="shared" si="2"/>
        <v>0</v>
      </c>
      <c r="R20" s="167"/>
      <c r="S20" s="167"/>
      <c r="T20" s="167"/>
      <c r="U20" s="334" t="s">
        <v>7271</v>
      </c>
      <c r="V20" s="168">
        <f t="shared" si="3"/>
        <v>96840.69</v>
      </c>
      <c r="W20" s="168">
        <f t="shared" si="4"/>
        <v>0</v>
      </c>
      <c r="X20" s="168">
        <f t="shared" si="5"/>
        <v>0</v>
      </c>
      <c r="Y20" s="168">
        <f t="shared" si="6"/>
        <v>0</v>
      </c>
      <c r="Z20" s="168">
        <f t="shared" si="7"/>
        <v>0</v>
      </c>
      <c r="AA20" s="168">
        <f t="shared" si="8"/>
        <v>0</v>
      </c>
      <c r="AB20" s="168">
        <f t="shared" si="9"/>
        <v>0</v>
      </c>
    </row>
    <row r="21" ht="14.25" customHeight="1">
      <c r="A21" s="157">
        <v>133.0</v>
      </c>
      <c r="B21" s="169" t="s">
        <v>692</v>
      </c>
      <c r="C21" s="169" t="s">
        <v>7282</v>
      </c>
      <c r="D21" s="159">
        <v>42036.0</v>
      </c>
      <c r="E21" s="162" t="s">
        <v>2</v>
      </c>
      <c r="F21" s="160">
        <v>69623.9</v>
      </c>
      <c r="G21" s="160">
        <v>11139.83</v>
      </c>
      <c r="H21" s="160">
        <f t="shared" si="10"/>
        <v>80763.73</v>
      </c>
      <c r="I21" s="160"/>
      <c r="J21" s="161"/>
      <c r="K21" s="160"/>
      <c r="L21" s="160">
        <f>+'FACUS$'!$H21-'FACUS$'!$I21-'FACUS$'!$K21</f>
        <v>80763.73</v>
      </c>
      <c r="M21" s="157" t="s">
        <v>7279</v>
      </c>
      <c r="N21" s="162" t="s">
        <v>554</v>
      </c>
      <c r="O21" s="335"/>
      <c r="P21" s="164" t="str">
        <f t="array" ref="P21">XLOOKUP('FACUS$'!$B21,'perfil de pagos'!$A$4:$A$46,'perfil de pagos'!$C$4:$C$46+'FACUS$'!$D21)</f>
        <v>#N/A</v>
      </c>
      <c r="Q21" s="165">
        <f t="shared" si="2"/>
        <v>0</v>
      </c>
      <c r="R21" s="167"/>
      <c r="S21" s="167"/>
      <c r="T21" s="167"/>
      <c r="U21" s="334" t="s">
        <v>7271</v>
      </c>
      <c r="V21" s="168">
        <f t="shared" si="3"/>
        <v>80763.73</v>
      </c>
      <c r="W21" s="168">
        <f t="shared" si="4"/>
        <v>0</v>
      </c>
      <c r="X21" s="168">
        <f t="shared" si="5"/>
        <v>0</v>
      </c>
      <c r="Y21" s="168">
        <f t="shared" si="6"/>
        <v>0</v>
      </c>
      <c r="Z21" s="168">
        <f t="shared" si="7"/>
        <v>0</v>
      </c>
      <c r="AA21" s="168">
        <f t="shared" si="8"/>
        <v>0</v>
      </c>
      <c r="AB21" s="168">
        <f t="shared" si="9"/>
        <v>0</v>
      </c>
    </row>
    <row r="22" ht="14.25" customHeight="1">
      <c r="A22" s="157">
        <v>135.0</v>
      </c>
      <c r="B22" s="169" t="s">
        <v>70</v>
      </c>
      <c r="C22" s="169" t="s">
        <v>7283</v>
      </c>
      <c r="D22" s="159">
        <v>42064.0</v>
      </c>
      <c r="E22" s="162" t="s">
        <v>2</v>
      </c>
      <c r="F22" s="160">
        <v>165000.0</v>
      </c>
      <c r="G22" s="160">
        <v>26400.0</v>
      </c>
      <c r="H22" s="160">
        <f t="shared" si="10"/>
        <v>191400</v>
      </c>
      <c r="I22" s="160"/>
      <c r="J22" s="161"/>
      <c r="K22" s="160"/>
      <c r="L22" s="160">
        <f>+'FACUS$'!$H22-'FACUS$'!$I22-'FACUS$'!$K22</f>
        <v>191400</v>
      </c>
      <c r="M22" s="157" t="s">
        <v>719</v>
      </c>
      <c r="N22" s="162" t="s">
        <v>554</v>
      </c>
      <c r="O22" s="335">
        <v>42811.0</v>
      </c>
      <c r="P22" s="164" t="str">
        <f t="array" ref="P22">XLOOKUP('FACUS$'!$B22,'perfil de pagos'!$A$4:$A$46,'perfil de pagos'!$C$4:$C$46+'FACUS$'!$D22)</f>
        <v>#N/A</v>
      </c>
      <c r="Q22" s="165">
        <f t="shared" si="2"/>
        <v>0</v>
      </c>
      <c r="R22" s="167"/>
      <c r="S22" s="167"/>
      <c r="T22" s="167"/>
      <c r="U22" s="334" t="s">
        <v>7271</v>
      </c>
      <c r="V22" s="168">
        <f t="shared" si="3"/>
        <v>191400</v>
      </c>
      <c r="W22" s="168">
        <f t="shared" si="4"/>
        <v>0</v>
      </c>
      <c r="X22" s="168">
        <f t="shared" si="5"/>
        <v>0</v>
      </c>
      <c r="Y22" s="168">
        <f t="shared" si="6"/>
        <v>0</v>
      </c>
      <c r="Z22" s="168">
        <f t="shared" si="7"/>
        <v>0</v>
      </c>
      <c r="AA22" s="168">
        <f t="shared" si="8"/>
        <v>0</v>
      </c>
      <c r="AB22" s="168">
        <f t="shared" si="9"/>
        <v>0</v>
      </c>
    </row>
    <row r="23" ht="14.25" customHeight="1">
      <c r="A23" s="157">
        <v>137.0</v>
      </c>
      <c r="B23" s="169" t="s">
        <v>692</v>
      </c>
      <c r="C23" s="169" t="s">
        <v>737</v>
      </c>
      <c r="D23" s="186">
        <v>42064.0</v>
      </c>
      <c r="E23" s="162" t="s">
        <v>2</v>
      </c>
      <c r="F23" s="160">
        <v>70008.18</v>
      </c>
      <c r="G23" s="160">
        <v>11201.31</v>
      </c>
      <c r="H23" s="160">
        <f t="shared" si="10"/>
        <v>81209.49</v>
      </c>
      <c r="I23" s="160"/>
      <c r="J23" s="161"/>
      <c r="K23" s="160"/>
      <c r="L23" s="160">
        <f>+'FACUS$'!$H23-'FACUS$'!$I23-'FACUS$'!$K23</f>
        <v>81209.49</v>
      </c>
      <c r="M23" s="157" t="s">
        <v>7279</v>
      </c>
      <c r="N23" s="162" t="s">
        <v>554</v>
      </c>
      <c r="O23" s="335"/>
      <c r="P23" s="164" t="str">
        <f t="array" ref="P23">XLOOKUP('FACUS$'!$B23,'perfil de pagos'!$A$4:$A$46,'perfil de pagos'!$C$4:$C$46+'FACUS$'!$D23)</f>
        <v>#N/A</v>
      </c>
      <c r="Q23" s="165">
        <f t="shared" si="2"/>
        <v>0</v>
      </c>
      <c r="R23" s="167"/>
      <c r="S23" s="167"/>
      <c r="T23" s="167"/>
      <c r="U23" s="334" t="s">
        <v>7271</v>
      </c>
      <c r="V23" s="168">
        <f t="shared" si="3"/>
        <v>81209.49</v>
      </c>
      <c r="W23" s="168">
        <f t="shared" si="4"/>
        <v>0</v>
      </c>
      <c r="X23" s="168">
        <f t="shared" si="5"/>
        <v>0</v>
      </c>
      <c r="Y23" s="168">
        <f t="shared" si="6"/>
        <v>0</v>
      </c>
      <c r="Z23" s="168">
        <f t="shared" si="7"/>
        <v>0</v>
      </c>
      <c r="AA23" s="168">
        <f t="shared" si="8"/>
        <v>0</v>
      </c>
      <c r="AB23" s="168">
        <f t="shared" si="9"/>
        <v>0</v>
      </c>
    </row>
    <row r="24" ht="14.25" customHeight="1">
      <c r="A24" s="157">
        <v>139.0</v>
      </c>
      <c r="B24" s="169" t="s">
        <v>692</v>
      </c>
      <c r="C24" s="169" t="s">
        <v>7284</v>
      </c>
      <c r="D24" s="159">
        <v>42064.0</v>
      </c>
      <c r="E24" s="162" t="s">
        <v>2</v>
      </c>
      <c r="F24" s="160">
        <v>91893.9</v>
      </c>
      <c r="G24" s="160">
        <v>14703.02</v>
      </c>
      <c r="H24" s="160">
        <f t="shared" si="10"/>
        <v>106596.92</v>
      </c>
      <c r="I24" s="160"/>
      <c r="J24" s="161"/>
      <c r="K24" s="160"/>
      <c r="L24" s="160">
        <f>+'FACUS$'!$H24-'FACUS$'!$I24-'FACUS$'!$K24</f>
        <v>106596.92</v>
      </c>
      <c r="M24" s="157" t="s">
        <v>7279</v>
      </c>
      <c r="N24" s="162" t="s">
        <v>554</v>
      </c>
      <c r="O24" s="335"/>
      <c r="P24" s="164" t="str">
        <f t="array" ref="P24">XLOOKUP('FACUS$'!$B24,'perfil de pagos'!$A$4:$A$46,'perfil de pagos'!$C$4:$C$46+'FACUS$'!$D24)</f>
        <v>#N/A</v>
      </c>
      <c r="Q24" s="165">
        <f t="shared" si="2"/>
        <v>0</v>
      </c>
      <c r="R24" s="171"/>
      <c r="S24" s="171"/>
      <c r="T24" s="171"/>
      <c r="U24" s="333" t="s">
        <v>7271</v>
      </c>
      <c r="V24" s="168">
        <f t="shared" si="3"/>
        <v>106596.92</v>
      </c>
      <c r="W24" s="168">
        <f t="shared" si="4"/>
        <v>0</v>
      </c>
      <c r="X24" s="168">
        <f t="shared" si="5"/>
        <v>0</v>
      </c>
      <c r="Y24" s="168">
        <f t="shared" si="6"/>
        <v>0</v>
      </c>
      <c r="Z24" s="168">
        <f t="shared" si="7"/>
        <v>0</v>
      </c>
      <c r="AA24" s="168">
        <f t="shared" si="8"/>
        <v>0</v>
      </c>
      <c r="AB24" s="168">
        <f t="shared" si="9"/>
        <v>0</v>
      </c>
    </row>
    <row r="25" ht="14.25" customHeight="1">
      <c r="A25" s="157">
        <v>141.0</v>
      </c>
      <c r="B25" s="169" t="s">
        <v>70</v>
      </c>
      <c r="C25" s="169" t="s">
        <v>7285</v>
      </c>
      <c r="D25" s="159">
        <v>42095.0</v>
      </c>
      <c r="E25" s="162" t="s">
        <v>2</v>
      </c>
      <c r="F25" s="160">
        <v>142500.0</v>
      </c>
      <c r="G25" s="160">
        <v>22800.0</v>
      </c>
      <c r="H25" s="160">
        <f t="shared" si="10"/>
        <v>165300</v>
      </c>
      <c r="I25" s="160"/>
      <c r="J25" s="161"/>
      <c r="K25" s="160"/>
      <c r="L25" s="160">
        <f>+'FACUS$'!$H25-'FACUS$'!$I25-'FACUS$'!$K25</f>
        <v>165300</v>
      </c>
      <c r="M25" s="157" t="s">
        <v>719</v>
      </c>
      <c r="N25" s="162" t="s">
        <v>554</v>
      </c>
      <c r="O25" s="335">
        <v>42832.0</v>
      </c>
      <c r="P25" s="164" t="str">
        <f t="array" ref="P25">XLOOKUP('FACUS$'!$B25,'perfil de pagos'!$A$4:$A$46,'perfil de pagos'!$C$4:$C$46+'FACUS$'!$D25)</f>
        <v>#N/A</v>
      </c>
      <c r="Q25" s="165">
        <f t="shared" si="2"/>
        <v>0</v>
      </c>
      <c r="R25" s="167"/>
      <c r="S25" s="167"/>
      <c r="T25" s="167"/>
      <c r="U25" s="334" t="s">
        <v>7271</v>
      </c>
      <c r="V25" s="168">
        <f t="shared" si="3"/>
        <v>165300</v>
      </c>
      <c r="W25" s="168">
        <f t="shared" si="4"/>
        <v>0</v>
      </c>
      <c r="X25" s="168">
        <f t="shared" si="5"/>
        <v>0</v>
      </c>
      <c r="Y25" s="168">
        <f t="shared" si="6"/>
        <v>0</v>
      </c>
      <c r="Z25" s="168">
        <f t="shared" si="7"/>
        <v>0</v>
      </c>
      <c r="AA25" s="168">
        <f t="shared" si="8"/>
        <v>0</v>
      </c>
      <c r="AB25" s="168">
        <f t="shared" si="9"/>
        <v>0</v>
      </c>
    </row>
    <row r="26" ht="14.25" customHeight="1">
      <c r="A26" s="157">
        <v>146.0</v>
      </c>
      <c r="B26" s="169" t="s">
        <v>692</v>
      </c>
      <c r="C26" s="169" t="s">
        <v>737</v>
      </c>
      <c r="D26" s="186">
        <v>42095.0</v>
      </c>
      <c r="E26" s="162" t="s">
        <v>2</v>
      </c>
      <c r="F26" s="160">
        <v>84755.58</v>
      </c>
      <c r="G26" s="160">
        <v>13560.89</v>
      </c>
      <c r="H26" s="160">
        <f t="shared" si="10"/>
        <v>98316.47</v>
      </c>
      <c r="I26" s="160"/>
      <c r="J26" s="161"/>
      <c r="K26" s="160"/>
      <c r="L26" s="160">
        <f>+'FACUS$'!$H26-'FACUS$'!$I26-'FACUS$'!$K26</f>
        <v>98316.47</v>
      </c>
      <c r="M26" s="157" t="s">
        <v>7279</v>
      </c>
      <c r="N26" s="162" t="s">
        <v>554</v>
      </c>
      <c r="O26" s="335"/>
      <c r="P26" s="164" t="str">
        <f t="array" ref="P26">XLOOKUP('FACUS$'!$B26,'perfil de pagos'!$A$4:$A$46,'perfil de pagos'!$C$4:$C$46+'FACUS$'!$D26)</f>
        <v>#N/A</v>
      </c>
      <c r="Q26" s="165">
        <f t="shared" si="2"/>
        <v>0</v>
      </c>
      <c r="R26" s="339"/>
      <c r="S26" s="339"/>
      <c r="T26" s="339"/>
      <c r="U26" s="340" t="s">
        <v>7271</v>
      </c>
      <c r="V26" s="168">
        <f t="shared" si="3"/>
        <v>98316.47</v>
      </c>
      <c r="W26" s="168">
        <f t="shared" si="4"/>
        <v>0</v>
      </c>
      <c r="X26" s="168">
        <f t="shared" si="5"/>
        <v>0</v>
      </c>
      <c r="Y26" s="168">
        <f t="shared" si="6"/>
        <v>0</v>
      </c>
      <c r="Z26" s="168">
        <f t="shared" si="7"/>
        <v>0</v>
      </c>
      <c r="AA26" s="168">
        <f t="shared" si="8"/>
        <v>0</v>
      </c>
      <c r="AB26" s="168">
        <f t="shared" si="9"/>
        <v>0</v>
      </c>
    </row>
    <row r="27" ht="14.25" customHeight="1">
      <c r="A27" s="157">
        <v>149.0</v>
      </c>
      <c r="B27" s="169" t="s">
        <v>692</v>
      </c>
      <c r="C27" s="169" t="s">
        <v>737</v>
      </c>
      <c r="D27" s="186">
        <v>42095.0</v>
      </c>
      <c r="E27" s="162" t="s">
        <v>2</v>
      </c>
      <c r="F27" s="160">
        <v>119641.21</v>
      </c>
      <c r="G27" s="160">
        <v>19142.0</v>
      </c>
      <c r="H27" s="160">
        <f t="shared" si="10"/>
        <v>138783.21</v>
      </c>
      <c r="I27" s="160"/>
      <c r="J27" s="161"/>
      <c r="K27" s="160"/>
      <c r="L27" s="160">
        <f>+'FACUS$'!$H27-'FACUS$'!$I27-'FACUS$'!$K27</f>
        <v>138783.21</v>
      </c>
      <c r="M27" s="157" t="s">
        <v>7279</v>
      </c>
      <c r="N27" s="162" t="s">
        <v>554</v>
      </c>
      <c r="O27" s="335"/>
      <c r="P27" s="164" t="str">
        <f t="array" ref="P27">XLOOKUP('FACUS$'!$B27,'perfil de pagos'!$A$4:$A$46,'perfil de pagos'!$C$4:$C$46+'FACUS$'!$D27)</f>
        <v>#N/A</v>
      </c>
      <c r="Q27" s="165">
        <f t="shared" si="2"/>
        <v>0</v>
      </c>
      <c r="R27" s="167"/>
      <c r="S27" s="167"/>
      <c r="T27" s="167"/>
      <c r="U27" s="334" t="s">
        <v>7271</v>
      </c>
      <c r="V27" s="168">
        <f t="shared" si="3"/>
        <v>138783.21</v>
      </c>
      <c r="W27" s="168">
        <f t="shared" si="4"/>
        <v>0</v>
      </c>
      <c r="X27" s="168">
        <f t="shared" si="5"/>
        <v>0</v>
      </c>
      <c r="Y27" s="168">
        <f t="shared" si="6"/>
        <v>0</v>
      </c>
      <c r="Z27" s="168">
        <f t="shared" si="7"/>
        <v>0</v>
      </c>
      <c r="AA27" s="168">
        <f t="shared" si="8"/>
        <v>0</v>
      </c>
      <c r="AB27" s="168">
        <f t="shared" si="9"/>
        <v>0</v>
      </c>
    </row>
    <row r="28" ht="14.25" customHeight="1">
      <c r="A28" s="157">
        <v>152.0</v>
      </c>
      <c r="B28" s="169" t="s">
        <v>70</v>
      </c>
      <c r="C28" s="169" t="s">
        <v>7286</v>
      </c>
      <c r="D28" s="159">
        <v>42125.0</v>
      </c>
      <c r="E28" s="162" t="s">
        <v>2</v>
      </c>
      <c r="F28" s="160">
        <v>90000.0</v>
      </c>
      <c r="G28" s="160">
        <v>14400.0</v>
      </c>
      <c r="H28" s="160">
        <f t="shared" si="10"/>
        <v>104400</v>
      </c>
      <c r="I28" s="160"/>
      <c r="J28" s="161"/>
      <c r="K28" s="160"/>
      <c r="L28" s="160">
        <f>+'FACUS$'!$H28-'FACUS$'!$I28-'FACUS$'!$K28</f>
        <v>104400</v>
      </c>
      <c r="M28" s="157" t="s">
        <v>719</v>
      </c>
      <c r="N28" s="162" t="s">
        <v>554</v>
      </c>
      <c r="O28" s="335">
        <v>42874.0</v>
      </c>
      <c r="P28" s="164" t="str">
        <f t="array" ref="P28">XLOOKUP('FACUS$'!$B28,'perfil de pagos'!$A$4:$A$46,'perfil de pagos'!$C$4:$C$46+'FACUS$'!$D28)</f>
        <v>#N/A</v>
      </c>
      <c r="Q28" s="165">
        <f t="shared" si="2"/>
        <v>0</v>
      </c>
      <c r="R28" s="167"/>
      <c r="S28" s="167"/>
      <c r="T28" s="167"/>
      <c r="U28" s="334" t="s">
        <v>7271</v>
      </c>
      <c r="V28" s="168">
        <f t="shared" si="3"/>
        <v>104400</v>
      </c>
      <c r="W28" s="168">
        <f t="shared" si="4"/>
        <v>0</v>
      </c>
      <c r="X28" s="168">
        <f t="shared" si="5"/>
        <v>0</v>
      </c>
      <c r="Y28" s="168">
        <f t="shared" si="6"/>
        <v>0</v>
      </c>
      <c r="Z28" s="168">
        <f t="shared" si="7"/>
        <v>0</v>
      </c>
      <c r="AA28" s="168">
        <f t="shared" si="8"/>
        <v>0</v>
      </c>
      <c r="AB28" s="168">
        <f t="shared" si="9"/>
        <v>0</v>
      </c>
    </row>
    <row r="29" ht="14.25" customHeight="1">
      <c r="A29" s="178">
        <v>153.0</v>
      </c>
      <c r="B29" s="169" t="s">
        <v>692</v>
      </c>
      <c r="C29" s="169" t="s">
        <v>7287</v>
      </c>
      <c r="D29" s="174">
        <v>42125.0</v>
      </c>
      <c r="E29" s="178" t="s">
        <v>2</v>
      </c>
      <c r="F29" s="160"/>
      <c r="G29" s="160"/>
      <c r="H29" s="160"/>
      <c r="I29" s="160"/>
      <c r="J29" s="161"/>
      <c r="K29" s="160"/>
      <c r="L29" s="160">
        <f>+'FACUS$'!$H29-'FACUS$'!$I29-'FACUS$'!$K29</f>
        <v>0</v>
      </c>
      <c r="M29" s="157" t="s">
        <v>7279</v>
      </c>
      <c r="N29" s="162" t="s">
        <v>127</v>
      </c>
      <c r="O29" s="332"/>
      <c r="P29" s="164" t="str">
        <f t="array" ref="P29">XLOOKUP('FACUS$'!$B29,'perfil de pagos'!$A$4:$A$46,'perfil de pagos'!$C$4:$C$46+'FACUS$'!$D29)</f>
        <v>#N/A</v>
      </c>
      <c r="Q29" s="165" t="str">
        <f t="shared" si="2"/>
        <v>N/A</v>
      </c>
      <c r="R29" s="167"/>
      <c r="S29" s="167"/>
      <c r="T29" s="167"/>
      <c r="U29" s="334" t="s">
        <v>7271</v>
      </c>
      <c r="V29" s="168">
        <f t="shared" si="3"/>
        <v>0</v>
      </c>
      <c r="W29" s="168">
        <f t="shared" si="4"/>
        <v>0</v>
      </c>
      <c r="X29" s="168">
        <f t="shared" si="5"/>
        <v>0</v>
      </c>
      <c r="Y29" s="168">
        <f t="shared" si="6"/>
        <v>0</v>
      </c>
      <c r="Z29" s="168">
        <f t="shared" si="7"/>
        <v>0</v>
      </c>
      <c r="AA29" s="168">
        <f t="shared" si="8"/>
        <v>0</v>
      </c>
      <c r="AB29" s="168">
        <f t="shared" si="9"/>
        <v>0</v>
      </c>
    </row>
    <row r="30" ht="14.25" customHeight="1">
      <c r="A30" s="178">
        <v>155.0</v>
      </c>
      <c r="B30" s="169" t="s">
        <v>692</v>
      </c>
      <c r="C30" s="169" t="s">
        <v>7287</v>
      </c>
      <c r="D30" s="174">
        <v>42125.0</v>
      </c>
      <c r="E30" s="181" t="s">
        <v>2</v>
      </c>
      <c r="F30" s="160">
        <v>94045.58</v>
      </c>
      <c r="G30" s="160">
        <f t="shared" ref="G30:G36" si="11">+F30*0.16</f>
        <v>15047.2928</v>
      </c>
      <c r="H30" s="160">
        <f t="shared" ref="H30:H43" si="12">F30+G30</f>
        <v>109092.8728</v>
      </c>
      <c r="I30" s="160"/>
      <c r="J30" s="161"/>
      <c r="K30" s="160"/>
      <c r="L30" s="160">
        <f>+'FACUS$'!$H30-'FACUS$'!$I30-'FACUS$'!$K30</f>
        <v>109092.8728</v>
      </c>
      <c r="M30" s="157" t="s">
        <v>7279</v>
      </c>
      <c r="N30" s="162" t="s">
        <v>554</v>
      </c>
      <c r="O30" s="338"/>
      <c r="P30" s="164" t="str">
        <f t="array" ref="P30">XLOOKUP('FACUS$'!$B30,'perfil de pagos'!$A$4:$A$46,'perfil de pagos'!$C$4:$C$46+'FACUS$'!$D30)</f>
        <v>#N/A</v>
      </c>
      <c r="Q30" s="165">
        <f t="shared" si="2"/>
        <v>0</v>
      </c>
      <c r="R30" s="171"/>
      <c r="S30" s="171"/>
      <c r="T30" s="171"/>
      <c r="U30" s="333" t="s">
        <v>7271</v>
      </c>
      <c r="V30" s="168">
        <f t="shared" si="3"/>
        <v>109092.8728</v>
      </c>
      <c r="W30" s="168">
        <f t="shared" si="4"/>
        <v>0</v>
      </c>
      <c r="X30" s="168">
        <f t="shared" si="5"/>
        <v>0</v>
      </c>
      <c r="Y30" s="168">
        <f t="shared" si="6"/>
        <v>0</v>
      </c>
      <c r="Z30" s="168">
        <f t="shared" si="7"/>
        <v>0</v>
      </c>
      <c r="AA30" s="168">
        <f t="shared" si="8"/>
        <v>0</v>
      </c>
      <c r="AB30" s="168">
        <f t="shared" si="9"/>
        <v>0</v>
      </c>
    </row>
    <row r="31" ht="14.25" customHeight="1">
      <c r="A31" s="178">
        <v>159.0</v>
      </c>
      <c r="B31" s="169" t="s">
        <v>70</v>
      </c>
      <c r="C31" s="169" t="s">
        <v>7288</v>
      </c>
      <c r="D31" s="174">
        <v>42156.0</v>
      </c>
      <c r="E31" s="178" t="s">
        <v>2</v>
      </c>
      <c r="F31" s="160"/>
      <c r="G31" s="160">
        <f t="shared" si="11"/>
        <v>0</v>
      </c>
      <c r="H31" s="160">
        <f t="shared" si="12"/>
        <v>0</v>
      </c>
      <c r="I31" s="160"/>
      <c r="J31" s="161"/>
      <c r="K31" s="160"/>
      <c r="L31" s="160">
        <f>+'FACUS$'!$H31-'FACUS$'!$I31-'FACUS$'!$K31</f>
        <v>0</v>
      </c>
      <c r="M31" s="157" t="s">
        <v>719</v>
      </c>
      <c r="N31" s="162" t="s">
        <v>127</v>
      </c>
      <c r="O31" s="332"/>
      <c r="P31" s="164" t="str">
        <f t="array" ref="P31">XLOOKUP('FACUS$'!$B31,'perfil de pagos'!$A$4:$A$46,'perfil de pagos'!$C$4:$C$46+'FACUS$'!$D31)</f>
        <v>#N/A</v>
      </c>
      <c r="Q31" s="165" t="str">
        <f t="shared" si="2"/>
        <v>N/A</v>
      </c>
      <c r="R31" s="171"/>
      <c r="S31" s="171"/>
      <c r="T31" s="171"/>
      <c r="U31" s="333" t="s">
        <v>7271</v>
      </c>
      <c r="V31" s="168">
        <f t="shared" si="3"/>
        <v>0</v>
      </c>
      <c r="W31" s="168">
        <f t="shared" si="4"/>
        <v>0</v>
      </c>
      <c r="X31" s="168">
        <f t="shared" si="5"/>
        <v>0</v>
      </c>
      <c r="Y31" s="168">
        <f t="shared" si="6"/>
        <v>0</v>
      </c>
      <c r="Z31" s="168">
        <f t="shared" si="7"/>
        <v>0</v>
      </c>
      <c r="AA31" s="168">
        <f t="shared" si="8"/>
        <v>0</v>
      </c>
      <c r="AB31" s="168">
        <f t="shared" si="9"/>
        <v>0</v>
      </c>
    </row>
    <row r="32" ht="14.25" customHeight="1">
      <c r="A32" s="178">
        <v>160.0</v>
      </c>
      <c r="B32" s="169" t="s">
        <v>692</v>
      </c>
      <c r="C32" s="169" t="s">
        <v>7289</v>
      </c>
      <c r="D32" s="174">
        <v>42125.0</v>
      </c>
      <c r="E32" s="181" t="s">
        <v>2</v>
      </c>
      <c r="F32" s="160">
        <v>120504.59</v>
      </c>
      <c r="G32" s="160">
        <f t="shared" si="11"/>
        <v>19280.7344</v>
      </c>
      <c r="H32" s="160">
        <f t="shared" si="12"/>
        <v>139785.3244</v>
      </c>
      <c r="I32" s="160"/>
      <c r="J32" s="161"/>
      <c r="K32" s="160"/>
      <c r="L32" s="160">
        <f>+'FACUS$'!$H32-'FACUS$'!$I32-'FACUS$'!$K32</f>
        <v>139785.3244</v>
      </c>
      <c r="M32" s="157" t="s">
        <v>7279</v>
      </c>
      <c r="N32" s="162" t="s">
        <v>554</v>
      </c>
      <c r="O32" s="338"/>
      <c r="P32" s="164" t="str">
        <f t="array" ref="P32">XLOOKUP('FACUS$'!$B32,'perfil de pagos'!$A$4:$A$46,'perfil de pagos'!$C$4:$C$46+'FACUS$'!$D32)</f>
        <v>#N/A</v>
      </c>
      <c r="Q32" s="165">
        <f t="shared" si="2"/>
        <v>0</v>
      </c>
      <c r="R32" s="171"/>
      <c r="S32" s="171"/>
      <c r="T32" s="171"/>
      <c r="U32" s="333" t="s">
        <v>7271</v>
      </c>
      <c r="V32" s="168">
        <f t="shared" si="3"/>
        <v>139785.3244</v>
      </c>
      <c r="W32" s="168">
        <f t="shared" si="4"/>
        <v>0</v>
      </c>
      <c r="X32" s="168">
        <f t="shared" si="5"/>
        <v>0</v>
      </c>
      <c r="Y32" s="168">
        <f t="shared" si="6"/>
        <v>0</v>
      </c>
      <c r="Z32" s="168">
        <f t="shared" si="7"/>
        <v>0</v>
      </c>
      <c r="AA32" s="168">
        <f t="shared" si="8"/>
        <v>0</v>
      </c>
      <c r="AB32" s="168">
        <f t="shared" si="9"/>
        <v>0</v>
      </c>
    </row>
    <row r="33" ht="14.25" customHeight="1">
      <c r="A33" s="157">
        <v>163.0</v>
      </c>
      <c r="B33" s="169" t="s">
        <v>70</v>
      </c>
      <c r="C33" s="169" t="s">
        <v>7288</v>
      </c>
      <c r="D33" s="159">
        <v>42156.0</v>
      </c>
      <c r="E33" s="162" t="s">
        <v>2</v>
      </c>
      <c r="F33" s="160">
        <v>63750.0</v>
      </c>
      <c r="G33" s="160">
        <f t="shared" si="11"/>
        <v>10200</v>
      </c>
      <c r="H33" s="160">
        <f t="shared" si="12"/>
        <v>73950</v>
      </c>
      <c r="I33" s="160"/>
      <c r="J33" s="161"/>
      <c r="K33" s="160"/>
      <c r="L33" s="160">
        <f>+'FACUS$'!$H33-'FACUS$'!$I33-'FACUS$'!$K33</f>
        <v>73950</v>
      </c>
      <c r="M33" s="157" t="s">
        <v>719</v>
      </c>
      <c r="N33" s="162" t="s">
        <v>554</v>
      </c>
      <c r="O33" s="338">
        <v>42901.0</v>
      </c>
      <c r="P33" s="164" t="str">
        <f t="array" ref="P33">XLOOKUP('FACUS$'!$B33,'perfil de pagos'!$A$4:$A$46,'perfil de pagos'!$C$4:$C$46+'FACUS$'!$D33)</f>
        <v>#N/A</v>
      </c>
      <c r="Q33" s="165">
        <f t="shared" si="2"/>
        <v>0</v>
      </c>
      <c r="R33" s="171"/>
      <c r="S33" s="171"/>
      <c r="T33" s="171"/>
      <c r="U33" s="333" t="s">
        <v>7271</v>
      </c>
      <c r="V33" s="168">
        <f t="shared" si="3"/>
        <v>73950</v>
      </c>
      <c r="W33" s="168">
        <f t="shared" si="4"/>
        <v>0</v>
      </c>
      <c r="X33" s="168">
        <f t="shared" si="5"/>
        <v>0</v>
      </c>
      <c r="Y33" s="168">
        <f t="shared" si="6"/>
        <v>0</v>
      </c>
      <c r="Z33" s="168">
        <f t="shared" si="7"/>
        <v>0</v>
      </c>
      <c r="AA33" s="168">
        <f t="shared" si="8"/>
        <v>0</v>
      </c>
      <c r="AB33" s="168">
        <f t="shared" si="9"/>
        <v>0</v>
      </c>
    </row>
    <row r="34" ht="14.25" customHeight="1">
      <c r="A34" s="178">
        <v>164.0</v>
      </c>
      <c r="B34" s="169" t="s">
        <v>692</v>
      </c>
      <c r="C34" s="169" t="s">
        <v>7290</v>
      </c>
      <c r="D34" s="159">
        <v>42156.0</v>
      </c>
      <c r="E34" s="181" t="s">
        <v>2</v>
      </c>
      <c r="F34" s="160">
        <v>101011.17</v>
      </c>
      <c r="G34" s="160">
        <f t="shared" si="11"/>
        <v>16161.7872</v>
      </c>
      <c r="H34" s="160">
        <f t="shared" si="12"/>
        <v>117172.9572</v>
      </c>
      <c r="I34" s="160"/>
      <c r="J34" s="161"/>
      <c r="K34" s="160"/>
      <c r="L34" s="160">
        <f>+'FACUS$'!$H34-'FACUS$'!$I34-'FACUS$'!$K34</f>
        <v>117172.9572</v>
      </c>
      <c r="M34" s="157" t="s">
        <v>7279</v>
      </c>
      <c r="N34" s="162" t="s">
        <v>554</v>
      </c>
      <c r="O34" s="338"/>
      <c r="P34" s="164" t="str">
        <f t="array" ref="P34">XLOOKUP('FACUS$'!$B34,'perfil de pagos'!$A$4:$A$46,'perfil de pagos'!$C$4:$C$46+'FACUS$'!$D34)</f>
        <v>#N/A</v>
      </c>
      <c r="Q34" s="165">
        <f t="shared" si="2"/>
        <v>0</v>
      </c>
      <c r="R34" s="171"/>
      <c r="S34" s="171"/>
      <c r="T34" s="171"/>
      <c r="U34" s="333" t="s">
        <v>7271</v>
      </c>
      <c r="V34" s="168">
        <f t="shared" si="3"/>
        <v>117172.9572</v>
      </c>
      <c r="W34" s="168">
        <f t="shared" si="4"/>
        <v>0</v>
      </c>
      <c r="X34" s="168">
        <f t="shared" si="5"/>
        <v>0</v>
      </c>
      <c r="Y34" s="168">
        <f t="shared" si="6"/>
        <v>0</v>
      </c>
      <c r="Z34" s="168">
        <f t="shared" si="7"/>
        <v>0</v>
      </c>
      <c r="AA34" s="168">
        <f t="shared" si="8"/>
        <v>0</v>
      </c>
      <c r="AB34" s="168">
        <f t="shared" si="9"/>
        <v>0</v>
      </c>
    </row>
    <row r="35" ht="14.25" customHeight="1">
      <c r="A35" s="178">
        <v>166.0</v>
      </c>
      <c r="B35" s="169" t="s">
        <v>692</v>
      </c>
      <c r="C35" s="169" t="s">
        <v>7291</v>
      </c>
      <c r="D35" s="159">
        <v>42156.0</v>
      </c>
      <c r="E35" s="181" t="s">
        <v>2</v>
      </c>
      <c r="F35" s="160">
        <v>107847.44</v>
      </c>
      <c r="G35" s="160">
        <f t="shared" si="11"/>
        <v>17255.5904</v>
      </c>
      <c r="H35" s="160">
        <f t="shared" si="12"/>
        <v>125103.0304</v>
      </c>
      <c r="I35" s="160"/>
      <c r="J35" s="161"/>
      <c r="K35" s="160"/>
      <c r="L35" s="160">
        <f>+'FACUS$'!$H35-'FACUS$'!$I35-'FACUS$'!$K35</f>
        <v>125103.0304</v>
      </c>
      <c r="M35" s="157" t="s">
        <v>7279</v>
      </c>
      <c r="N35" s="162" t="s">
        <v>554</v>
      </c>
      <c r="O35" s="332"/>
      <c r="P35" s="164" t="str">
        <f t="array" ref="P35">XLOOKUP('FACUS$'!$B35,'perfil de pagos'!$A$4:$A$46,'perfil de pagos'!$C$4:$C$46+'FACUS$'!$D35)</f>
        <v>#N/A</v>
      </c>
      <c r="Q35" s="165">
        <f t="shared" si="2"/>
        <v>0</v>
      </c>
      <c r="R35" s="171"/>
      <c r="S35" s="171"/>
      <c r="T35" s="171"/>
      <c r="U35" s="333" t="s">
        <v>7271</v>
      </c>
      <c r="V35" s="168">
        <f t="shared" si="3"/>
        <v>125103.0304</v>
      </c>
      <c r="W35" s="168">
        <f t="shared" si="4"/>
        <v>0</v>
      </c>
      <c r="X35" s="168">
        <f t="shared" si="5"/>
        <v>0</v>
      </c>
      <c r="Y35" s="168">
        <f t="shared" si="6"/>
        <v>0</v>
      </c>
      <c r="Z35" s="168">
        <f t="shared" si="7"/>
        <v>0</v>
      </c>
      <c r="AA35" s="168">
        <f t="shared" si="8"/>
        <v>0</v>
      </c>
      <c r="AB35" s="168">
        <f t="shared" si="9"/>
        <v>0</v>
      </c>
    </row>
    <row r="36" ht="14.25" customHeight="1">
      <c r="A36" s="178">
        <v>173.0</v>
      </c>
      <c r="B36" s="169" t="s">
        <v>692</v>
      </c>
      <c r="C36" s="169" t="s">
        <v>7292</v>
      </c>
      <c r="D36" s="159">
        <v>42186.0</v>
      </c>
      <c r="E36" s="181" t="s">
        <v>2</v>
      </c>
      <c r="F36" s="160">
        <v>84523.33</v>
      </c>
      <c r="G36" s="160">
        <f t="shared" si="11"/>
        <v>13523.7328</v>
      </c>
      <c r="H36" s="160">
        <f t="shared" si="12"/>
        <v>98047.0628</v>
      </c>
      <c r="I36" s="160"/>
      <c r="J36" s="161"/>
      <c r="K36" s="160"/>
      <c r="L36" s="160">
        <f>+'FACUS$'!$H36-'FACUS$'!$I36-'FACUS$'!$K36</f>
        <v>98047.0628</v>
      </c>
      <c r="M36" s="157" t="s">
        <v>7279</v>
      </c>
      <c r="N36" s="162" t="s">
        <v>554</v>
      </c>
      <c r="O36" s="332"/>
      <c r="P36" s="164" t="str">
        <f t="array" ref="P36">XLOOKUP('FACUS$'!$B36,'perfil de pagos'!$A$4:$A$46,'perfil de pagos'!$C$4:$C$46+'FACUS$'!$D36)</f>
        <v>#N/A</v>
      </c>
      <c r="Q36" s="165">
        <f t="shared" si="2"/>
        <v>0</v>
      </c>
      <c r="R36" s="171"/>
      <c r="S36" s="171"/>
      <c r="T36" s="171"/>
      <c r="U36" s="333" t="s">
        <v>7271</v>
      </c>
      <c r="V36" s="168">
        <f t="shared" si="3"/>
        <v>98047.0628</v>
      </c>
      <c r="W36" s="168">
        <f t="shared" si="4"/>
        <v>0</v>
      </c>
      <c r="X36" s="168">
        <f t="shared" si="5"/>
        <v>0</v>
      </c>
      <c r="Y36" s="168">
        <f t="shared" si="6"/>
        <v>0</v>
      </c>
      <c r="Z36" s="168">
        <f t="shared" si="7"/>
        <v>0</v>
      </c>
      <c r="AA36" s="168">
        <f t="shared" si="8"/>
        <v>0</v>
      </c>
      <c r="AB36" s="168">
        <f t="shared" si="9"/>
        <v>0</v>
      </c>
    </row>
    <row r="37" ht="14.25" customHeight="1">
      <c r="A37" s="157">
        <v>177.0</v>
      </c>
      <c r="B37" s="169" t="s">
        <v>70</v>
      </c>
      <c r="C37" s="169" t="s">
        <v>7293</v>
      </c>
      <c r="D37" s="159">
        <v>42171.0</v>
      </c>
      <c r="E37" s="157" t="s">
        <v>2</v>
      </c>
      <c r="F37" s="160">
        <v>12562.5</v>
      </c>
      <c r="G37" s="160">
        <v>2010.0</v>
      </c>
      <c r="H37" s="160">
        <f t="shared" si="12"/>
        <v>14572.5</v>
      </c>
      <c r="I37" s="160"/>
      <c r="J37" s="161"/>
      <c r="K37" s="160"/>
      <c r="L37" s="160">
        <f>+'FACUS$'!$H37-'FACUS$'!$I37-'FACUS$'!$K37</f>
        <v>14572.5</v>
      </c>
      <c r="M37" s="157" t="s">
        <v>719</v>
      </c>
      <c r="N37" s="162" t="s">
        <v>127</v>
      </c>
      <c r="O37" s="332">
        <v>42987.0</v>
      </c>
      <c r="P37" s="164" t="str">
        <f t="array" ref="P37">XLOOKUP('FACUS$'!$B37,'perfil de pagos'!$A$4:$A$46,'perfil de pagos'!$C$4:$C$46+'FACUS$'!$D37)</f>
        <v>#N/A</v>
      </c>
      <c r="Q37" s="165" t="str">
        <f t="shared" si="2"/>
        <v>N/A</v>
      </c>
      <c r="R37" s="171"/>
      <c r="S37" s="171"/>
      <c r="T37" s="171"/>
      <c r="U37" s="333" t="s">
        <v>7271</v>
      </c>
      <c r="V37" s="168">
        <f t="shared" si="3"/>
        <v>0</v>
      </c>
      <c r="W37" s="168">
        <f t="shared" si="4"/>
        <v>0</v>
      </c>
      <c r="X37" s="168">
        <f t="shared" si="5"/>
        <v>0</v>
      </c>
      <c r="Y37" s="168">
        <f t="shared" si="6"/>
        <v>0</v>
      </c>
      <c r="Z37" s="168">
        <f t="shared" si="7"/>
        <v>0</v>
      </c>
      <c r="AA37" s="168">
        <f t="shared" si="8"/>
        <v>0</v>
      </c>
      <c r="AB37" s="168">
        <f t="shared" si="9"/>
        <v>14572.5</v>
      </c>
    </row>
    <row r="38" ht="14.25" customHeight="1">
      <c r="A38" s="157">
        <v>179.0</v>
      </c>
      <c r="B38" s="169" t="s">
        <v>70</v>
      </c>
      <c r="C38" s="169" t="s">
        <v>7293</v>
      </c>
      <c r="D38" s="159">
        <v>42186.0</v>
      </c>
      <c r="E38" s="157" t="s">
        <v>2</v>
      </c>
      <c r="F38" s="160">
        <v>12045.0</v>
      </c>
      <c r="G38" s="160">
        <f t="shared" ref="G38:G41" si="13">+F38*0.16</f>
        <v>1927.2</v>
      </c>
      <c r="H38" s="160">
        <f t="shared" si="12"/>
        <v>13972.2</v>
      </c>
      <c r="I38" s="160"/>
      <c r="J38" s="161"/>
      <c r="K38" s="160"/>
      <c r="L38" s="160">
        <f>+'FACUS$'!$H38-'FACUS$'!$I38-'FACUS$'!$K38</f>
        <v>13972.2</v>
      </c>
      <c r="M38" s="157" t="s">
        <v>719</v>
      </c>
      <c r="N38" s="162" t="s">
        <v>554</v>
      </c>
      <c r="O38" s="332">
        <v>42961.0</v>
      </c>
      <c r="P38" s="164" t="str">
        <f t="array" ref="P38">XLOOKUP('FACUS$'!$B38,'perfil de pagos'!$A$4:$A$46,'perfil de pagos'!$C$4:$C$46+'FACUS$'!$D38)</f>
        <v>#N/A</v>
      </c>
      <c r="Q38" s="165">
        <f t="shared" si="2"/>
        <v>0</v>
      </c>
      <c r="R38" s="171"/>
      <c r="S38" s="171"/>
      <c r="T38" s="171"/>
      <c r="U38" s="333" t="s">
        <v>7271</v>
      </c>
      <c r="V38" s="168">
        <f t="shared" si="3"/>
        <v>13972.2</v>
      </c>
      <c r="W38" s="168">
        <f t="shared" si="4"/>
        <v>0</v>
      </c>
      <c r="X38" s="168">
        <f t="shared" si="5"/>
        <v>0</v>
      </c>
      <c r="Y38" s="168">
        <f t="shared" si="6"/>
        <v>0</v>
      </c>
      <c r="Z38" s="168">
        <f t="shared" si="7"/>
        <v>0</v>
      </c>
      <c r="AA38" s="168">
        <f t="shared" si="8"/>
        <v>0</v>
      </c>
      <c r="AB38" s="168">
        <f t="shared" si="9"/>
        <v>0</v>
      </c>
    </row>
    <row r="39" ht="14.25" customHeight="1">
      <c r="A39" s="157">
        <v>183.0</v>
      </c>
      <c r="B39" s="169" t="s">
        <v>692</v>
      </c>
      <c r="C39" s="169" t="s">
        <v>737</v>
      </c>
      <c r="D39" s="159">
        <v>42200.0</v>
      </c>
      <c r="E39" s="157" t="s">
        <v>2</v>
      </c>
      <c r="F39" s="160">
        <v>116515.44</v>
      </c>
      <c r="G39" s="160">
        <f t="shared" si="13"/>
        <v>18642.4704</v>
      </c>
      <c r="H39" s="160">
        <f t="shared" si="12"/>
        <v>135157.9104</v>
      </c>
      <c r="I39" s="160"/>
      <c r="J39" s="161"/>
      <c r="K39" s="160"/>
      <c r="L39" s="160">
        <f>+'FACUS$'!$H39-'FACUS$'!$I39-'FACUS$'!$K39</f>
        <v>135157.9104</v>
      </c>
      <c r="M39" s="157" t="s">
        <v>7279</v>
      </c>
      <c r="N39" s="162" t="s">
        <v>554</v>
      </c>
      <c r="O39" s="332"/>
      <c r="P39" s="164" t="str">
        <f t="array" ref="P39">XLOOKUP('FACUS$'!$B39,'perfil de pagos'!$A$4:$A$46,'perfil de pagos'!$C$4:$C$46+'FACUS$'!$D39)</f>
        <v>#N/A</v>
      </c>
      <c r="Q39" s="165">
        <f t="shared" si="2"/>
        <v>0</v>
      </c>
      <c r="R39" s="171"/>
      <c r="S39" s="171"/>
      <c r="T39" s="171"/>
      <c r="U39" s="333" t="s">
        <v>7271</v>
      </c>
      <c r="V39" s="168">
        <f t="shared" si="3"/>
        <v>135157.9104</v>
      </c>
      <c r="W39" s="168">
        <f t="shared" si="4"/>
        <v>0</v>
      </c>
      <c r="X39" s="168">
        <f t="shared" si="5"/>
        <v>0</v>
      </c>
      <c r="Y39" s="168">
        <f t="shared" si="6"/>
        <v>0</v>
      </c>
      <c r="Z39" s="168">
        <f t="shared" si="7"/>
        <v>0</v>
      </c>
      <c r="AA39" s="168">
        <f t="shared" si="8"/>
        <v>0</v>
      </c>
      <c r="AB39" s="168">
        <f t="shared" si="9"/>
        <v>0</v>
      </c>
    </row>
    <row r="40" ht="14.25" customHeight="1">
      <c r="A40" s="157">
        <v>185.0</v>
      </c>
      <c r="B40" s="169" t="s">
        <v>70</v>
      </c>
      <c r="C40" s="169" t="s">
        <v>7293</v>
      </c>
      <c r="D40" s="159">
        <v>42186.0</v>
      </c>
      <c r="E40" s="157" t="s">
        <v>2</v>
      </c>
      <c r="F40" s="160">
        <v>1680.0</v>
      </c>
      <c r="G40" s="160">
        <f t="shared" si="13"/>
        <v>268.8</v>
      </c>
      <c r="H40" s="160">
        <f t="shared" si="12"/>
        <v>1948.8</v>
      </c>
      <c r="I40" s="160"/>
      <c r="J40" s="161"/>
      <c r="K40" s="160"/>
      <c r="L40" s="160">
        <f>+'FACUS$'!$H40-'FACUS$'!$I40-'FACUS$'!$K40</f>
        <v>1948.8</v>
      </c>
      <c r="M40" s="157" t="s">
        <v>719</v>
      </c>
      <c r="N40" s="162" t="s">
        <v>751</v>
      </c>
      <c r="O40" s="332">
        <v>42437.0</v>
      </c>
      <c r="P40" s="164" t="str">
        <f t="array" ref="P40">XLOOKUP('FACUS$'!$B40,'perfil de pagos'!$A$4:$A$46,'perfil de pagos'!$C$4:$C$46+'FACUS$'!$D40)</f>
        <v>#N/A</v>
      </c>
      <c r="Q40" s="165" t="b">
        <f t="shared" si="2"/>
        <v>0</v>
      </c>
      <c r="R40" s="171"/>
      <c r="S40" s="171"/>
      <c r="T40" s="171"/>
      <c r="U40" s="333" t="s">
        <v>7271</v>
      </c>
      <c r="V40" s="168">
        <f t="shared" si="3"/>
        <v>0</v>
      </c>
      <c r="W40" s="168">
        <f t="shared" si="4"/>
        <v>0</v>
      </c>
      <c r="X40" s="168">
        <f t="shared" si="5"/>
        <v>0</v>
      </c>
      <c r="Y40" s="168">
        <f t="shared" si="6"/>
        <v>0</v>
      </c>
      <c r="Z40" s="168">
        <f t="shared" si="7"/>
        <v>0</v>
      </c>
      <c r="AA40" s="168">
        <f t="shared" si="8"/>
        <v>0</v>
      </c>
      <c r="AB40" s="168">
        <f t="shared" si="9"/>
        <v>1948.8</v>
      </c>
    </row>
    <row r="41" ht="14.25" customHeight="1">
      <c r="A41" s="157">
        <v>187.0</v>
      </c>
      <c r="B41" s="169" t="s">
        <v>70</v>
      </c>
      <c r="C41" s="169" t="s">
        <v>7293</v>
      </c>
      <c r="D41" s="159">
        <v>42171.0</v>
      </c>
      <c r="E41" s="157" t="s">
        <v>2</v>
      </c>
      <c r="F41" s="160">
        <v>12562.5</v>
      </c>
      <c r="G41" s="160">
        <f t="shared" si="13"/>
        <v>2010</v>
      </c>
      <c r="H41" s="160">
        <f t="shared" si="12"/>
        <v>14572.5</v>
      </c>
      <c r="I41" s="160"/>
      <c r="J41" s="161"/>
      <c r="K41" s="160"/>
      <c r="L41" s="160">
        <f>+'FACUS$'!$H41-'FACUS$'!$I41-'FACUS$'!$K41</f>
        <v>14572.5</v>
      </c>
      <c r="M41" s="157" t="s">
        <v>719</v>
      </c>
      <c r="N41" s="162" t="s">
        <v>554</v>
      </c>
      <c r="O41" s="332">
        <v>42987.0</v>
      </c>
      <c r="P41" s="164" t="str">
        <f t="array" ref="P41">XLOOKUP('FACUS$'!$B41,'perfil de pagos'!$A$4:$A$46,'perfil de pagos'!$C$4:$C$46+'FACUS$'!$D41)</f>
        <v>#N/A</v>
      </c>
      <c r="Q41" s="165">
        <f t="shared" si="2"/>
        <v>0</v>
      </c>
      <c r="R41" s="171" t="s">
        <v>7294</v>
      </c>
      <c r="S41" s="171"/>
      <c r="T41" s="171"/>
      <c r="U41" s="333" t="s">
        <v>7271</v>
      </c>
      <c r="V41" s="168">
        <f t="shared" si="3"/>
        <v>14572.5</v>
      </c>
      <c r="W41" s="168">
        <f t="shared" si="4"/>
        <v>0</v>
      </c>
      <c r="X41" s="168">
        <f t="shared" si="5"/>
        <v>0</v>
      </c>
      <c r="Y41" s="168">
        <f t="shared" si="6"/>
        <v>0</v>
      </c>
      <c r="Z41" s="168">
        <f t="shared" si="7"/>
        <v>0</v>
      </c>
      <c r="AA41" s="168">
        <f t="shared" si="8"/>
        <v>0</v>
      </c>
      <c r="AB41" s="168">
        <f t="shared" si="9"/>
        <v>0</v>
      </c>
    </row>
    <row r="42" ht="14.25" customHeight="1">
      <c r="A42" s="157">
        <v>187.0</v>
      </c>
      <c r="B42" s="169" t="s">
        <v>70</v>
      </c>
      <c r="C42" s="169" t="s">
        <v>7293</v>
      </c>
      <c r="D42" s="159">
        <v>42902.0</v>
      </c>
      <c r="E42" s="157" t="s">
        <v>2</v>
      </c>
      <c r="F42" s="160">
        <v>12562.5</v>
      </c>
      <c r="G42" s="160">
        <v>2010.0</v>
      </c>
      <c r="H42" s="160">
        <f t="shared" si="12"/>
        <v>14572.5</v>
      </c>
      <c r="I42" s="160"/>
      <c r="J42" s="161"/>
      <c r="K42" s="160"/>
      <c r="L42" s="160">
        <f>+'FACUS$'!$H42-'FACUS$'!$I42-'FACUS$'!$K42</f>
        <v>14572.5</v>
      </c>
      <c r="M42" s="157" t="s">
        <v>719</v>
      </c>
      <c r="N42" s="162" t="s">
        <v>554</v>
      </c>
      <c r="O42" s="332">
        <v>42987.0</v>
      </c>
      <c r="P42" s="164" t="str">
        <f t="array" ref="P42">XLOOKUP('FACUS$'!$B42,'perfil de pagos'!$A$4:$A$46,'perfil de pagos'!$C$4:$C$46+'FACUS$'!$D42)</f>
        <v>#N/A</v>
      </c>
      <c r="Q42" s="165">
        <f t="shared" si="2"/>
        <v>0</v>
      </c>
      <c r="R42" s="171"/>
      <c r="S42" s="171"/>
      <c r="T42" s="171"/>
      <c r="U42" s="333" t="s">
        <v>7271</v>
      </c>
      <c r="V42" s="168">
        <f t="shared" si="3"/>
        <v>14572.5</v>
      </c>
      <c r="W42" s="168">
        <f t="shared" si="4"/>
        <v>0</v>
      </c>
      <c r="X42" s="168">
        <f t="shared" si="5"/>
        <v>0</v>
      </c>
      <c r="Y42" s="168">
        <f t="shared" si="6"/>
        <v>0</v>
      </c>
      <c r="Z42" s="168">
        <f t="shared" si="7"/>
        <v>0</v>
      </c>
      <c r="AA42" s="168">
        <f t="shared" si="8"/>
        <v>0</v>
      </c>
      <c r="AB42" s="168">
        <f t="shared" si="9"/>
        <v>0</v>
      </c>
    </row>
    <row r="43" ht="14.25" customHeight="1">
      <c r="A43" s="314">
        <v>189.0</v>
      </c>
      <c r="B43" s="169" t="s">
        <v>70</v>
      </c>
      <c r="C43" s="169" t="s">
        <v>7293</v>
      </c>
      <c r="D43" s="159">
        <v>42217.0</v>
      </c>
      <c r="E43" s="157" t="s">
        <v>2</v>
      </c>
      <c r="F43" s="160">
        <v>14640.0</v>
      </c>
      <c r="G43" s="160">
        <f>+F43*0.16</f>
        <v>2342.4</v>
      </c>
      <c r="H43" s="160">
        <f t="shared" si="12"/>
        <v>16982.4</v>
      </c>
      <c r="I43" s="160"/>
      <c r="J43" s="161"/>
      <c r="K43" s="160"/>
      <c r="L43" s="160">
        <f>+'FACUS$'!$H43-'FACUS$'!$I43-'FACUS$'!$K43</f>
        <v>16982.4</v>
      </c>
      <c r="M43" s="157" t="s">
        <v>719</v>
      </c>
      <c r="N43" s="162" t="s">
        <v>554</v>
      </c>
      <c r="O43" s="332">
        <v>42987.0</v>
      </c>
      <c r="P43" s="164" t="str">
        <f t="array" ref="P43">XLOOKUP('FACUS$'!$B43,'perfil de pagos'!$A$4:$A$46,'perfil de pagos'!$C$4:$C$46+'FACUS$'!$D43)</f>
        <v>#N/A</v>
      </c>
      <c r="Q43" s="165">
        <f t="shared" si="2"/>
        <v>0</v>
      </c>
      <c r="R43" s="171"/>
      <c r="S43" s="171"/>
      <c r="T43" s="171"/>
      <c r="U43" s="333" t="s">
        <v>7271</v>
      </c>
      <c r="V43" s="168">
        <f t="shared" si="3"/>
        <v>16982.4</v>
      </c>
      <c r="W43" s="168">
        <f t="shared" si="4"/>
        <v>0</v>
      </c>
      <c r="X43" s="168">
        <f t="shared" si="5"/>
        <v>0</v>
      </c>
      <c r="Y43" s="168">
        <f t="shared" si="6"/>
        <v>0</v>
      </c>
      <c r="Z43" s="168">
        <f t="shared" si="7"/>
        <v>0</v>
      </c>
      <c r="AA43" s="168">
        <f t="shared" si="8"/>
        <v>0</v>
      </c>
      <c r="AB43" s="168">
        <f t="shared" si="9"/>
        <v>0</v>
      </c>
    </row>
    <row r="44" ht="14.25" customHeight="1">
      <c r="A44" s="157">
        <v>189.0</v>
      </c>
      <c r="B44" s="169" t="s">
        <v>70</v>
      </c>
      <c r="C44" s="169" t="s">
        <v>759</v>
      </c>
      <c r="D44" s="159">
        <v>42948.0</v>
      </c>
      <c r="E44" s="157" t="s">
        <v>2</v>
      </c>
      <c r="F44" s="160">
        <v>14640.0</v>
      </c>
      <c r="G44" s="160">
        <v>2342.4</v>
      </c>
      <c r="H44" s="160">
        <v>16982.4</v>
      </c>
      <c r="I44" s="160"/>
      <c r="J44" s="161"/>
      <c r="K44" s="160"/>
      <c r="L44" s="160">
        <f>+'FACUS$'!$H44-'FACUS$'!$I44-'FACUS$'!$K44</f>
        <v>16982.4</v>
      </c>
      <c r="M44" s="157" t="s">
        <v>719</v>
      </c>
      <c r="N44" s="162" t="s">
        <v>554</v>
      </c>
      <c r="O44" s="332">
        <v>42987.0</v>
      </c>
      <c r="P44" s="164" t="str">
        <f t="array" ref="P44">XLOOKUP('FACUS$'!$B44,'perfil de pagos'!$A$4:$A$46,'perfil de pagos'!$C$4:$C$46+'FACUS$'!$D44)</f>
        <v>#N/A</v>
      </c>
      <c r="Q44" s="165">
        <f t="shared" si="2"/>
        <v>0</v>
      </c>
      <c r="R44" s="341">
        <v>43033.0</v>
      </c>
      <c r="S44" s="171"/>
      <c r="T44" s="171"/>
      <c r="U44" s="333" t="s">
        <v>7271</v>
      </c>
      <c r="V44" s="168">
        <f t="shared" si="3"/>
        <v>16982.4</v>
      </c>
      <c r="W44" s="168">
        <f t="shared" si="4"/>
        <v>0</v>
      </c>
      <c r="X44" s="168">
        <f t="shared" si="5"/>
        <v>0</v>
      </c>
      <c r="Y44" s="168">
        <f t="shared" si="6"/>
        <v>0</v>
      </c>
      <c r="Z44" s="168">
        <f t="shared" si="7"/>
        <v>0</v>
      </c>
      <c r="AA44" s="168">
        <f t="shared" si="8"/>
        <v>0</v>
      </c>
      <c r="AB44" s="168">
        <f t="shared" si="9"/>
        <v>0</v>
      </c>
    </row>
    <row r="45" ht="14.25" customHeight="1">
      <c r="A45" s="157">
        <v>190.0</v>
      </c>
      <c r="B45" s="169" t="s">
        <v>692</v>
      </c>
      <c r="C45" s="169" t="s">
        <v>737</v>
      </c>
      <c r="D45" s="159">
        <v>42217.0</v>
      </c>
      <c r="E45" s="157" t="s">
        <v>2</v>
      </c>
      <c r="F45" s="160">
        <v>105082.2</v>
      </c>
      <c r="G45" s="160">
        <f t="shared" ref="G45:G64" si="14">+F45*0.16</f>
        <v>16813.152</v>
      </c>
      <c r="H45" s="160">
        <f t="shared" ref="H45:H123" si="15">F45+G45</f>
        <v>121895.352</v>
      </c>
      <c r="I45" s="160"/>
      <c r="J45" s="161"/>
      <c r="K45" s="160"/>
      <c r="L45" s="160">
        <f>+'FACUS$'!$H45-'FACUS$'!$I45-'FACUS$'!$K45</f>
        <v>121895.352</v>
      </c>
      <c r="M45" s="157" t="s">
        <v>7279</v>
      </c>
      <c r="N45" s="162" t="s">
        <v>554</v>
      </c>
      <c r="O45" s="332"/>
      <c r="P45" s="164" t="str">
        <f t="array" ref="P45">XLOOKUP('FACUS$'!$B45,'perfil de pagos'!$A$4:$A$46,'perfil de pagos'!$C$4:$C$46+'FACUS$'!$D45)</f>
        <v>#N/A</v>
      </c>
      <c r="Q45" s="165">
        <f t="shared" si="2"/>
        <v>0</v>
      </c>
      <c r="R45" s="171"/>
      <c r="S45" s="171"/>
      <c r="T45" s="171"/>
      <c r="U45" s="333" t="s">
        <v>7271</v>
      </c>
      <c r="V45" s="168">
        <f t="shared" si="3"/>
        <v>121895.352</v>
      </c>
      <c r="W45" s="168">
        <f t="shared" si="4"/>
        <v>0</v>
      </c>
      <c r="X45" s="168">
        <f t="shared" si="5"/>
        <v>0</v>
      </c>
      <c r="Y45" s="168">
        <f t="shared" si="6"/>
        <v>0</v>
      </c>
      <c r="Z45" s="168">
        <f t="shared" si="7"/>
        <v>0</v>
      </c>
      <c r="AA45" s="168">
        <f t="shared" si="8"/>
        <v>0</v>
      </c>
      <c r="AB45" s="168">
        <f t="shared" si="9"/>
        <v>0</v>
      </c>
    </row>
    <row r="46" ht="14.25" customHeight="1">
      <c r="A46" s="157">
        <v>195.0</v>
      </c>
      <c r="B46" s="169" t="s">
        <v>692</v>
      </c>
      <c r="C46" s="169" t="s">
        <v>737</v>
      </c>
      <c r="D46" s="159">
        <v>42231.0</v>
      </c>
      <c r="E46" s="157" t="s">
        <v>2</v>
      </c>
      <c r="F46" s="160">
        <v>111500.77</v>
      </c>
      <c r="G46" s="160">
        <f t="shared" si="14"/>
        <v>17840.1232</v>
      </c>
      <c r="H46" s="160">
        <f t="shared" si="15"/>
        <v>129340.8932</v>
      </c>
      <c r="I46" s="160"/>
      <c r="J46" s="161"/>
      <c r="K46" s="160"/>
      <c r="L46" s="160">
        <f>+'FACUS$'!$H46-'FACUS$'!$I46-'FACUS$'!$K46</f>
        <v>129340.8932</v>
      </c>
      <c r="M46" s="157" t="s">
        <v>7279</v>
      </c>
      <c r="N46" s="162" t="s">
        <v>554</v>
      </c>
      <c r="O46" s="332"/>
      <c r="P46" s="164" t="str">
        <f t="array" ref="P46">XLOOKUP('FACUS$'!$B46,'perfil de pagos'!$A$4:$A$46,'perfil de pagos'!$C$4:$C$46+'FACUS$'!$D46)</f>
        <v>#N/A</v>
      </c>
      <c r="Q46" s="165">
        <f t="shared" si="2"/>
        <v>0</v>
      </c>
      <c r="R46" s="171"/>
      <c r="S46" s="171"/>
      <c r="T46" s="171"/>
      <c r="U46" s="333" t="s">
        <v>7271</v>
      </c>
      <c r="V46" s="168">
        <f t="shared" si="3"/>
        <v>129340.8932</v>
      </c>
      <c r="W46" s="168">
        <f t="shared" si="4"/>
        <v>0</v>
      </c>
      <c r="X46" s="168">
        <f t="shared" si="5"/>
        <v>0</v>
      </c>
      <c r="Y46" s="168">
        <f t="shared" si="6"/>
        <v>0</v>
      </c>
      <c r="Z46" s="168">
        <f t="shared" si="7"/>
        <v>0</v>
      </c>
      <c r="AA46" s="168">
        <f t="shared" si="8"/>
        <v>0</v>
      </c>
      <c r="AB46" s="168">
        <f t="shared" si="9"/>
        <v>0</v>
      </c>
    </row>
    <row r="47" ht="14.25" customHeight="1">
      <c r="A47" s="157">
        <v>197.0</v>
      </c>
      <c r="B47" s="169" t="s">
        <v>70</v>
      </c>
      <c r="C47" s="169" t="s">
        <v>759</v>
      </c>
      <c r="D47" s="159">
        <v>42231.0</v>
      </c>
      <c r="E47" s="157" t="s">
        <v>2</v>
      </c>
      <c r="F47" s="160">
        <v>14272.5</v>
      </c>
      <c r="G47" s="160">
        <f t="shared" si="14"/>
        <v>2283.6</v>
      </c>
      <c r="H47" s="160">
        <f t="shared" si="15"/>
        <v>16556.1</v>
      </c>
      <c r="I47" s="160"/>
      <c r="J47" s="161"/>
      <c r="K47" s="160"/>
      <c r="L47" s="160">
        <f>+'FACUS$'!$H47-'FACUS$'!$I47-'FACUS$'!$K47</f>
        <v>16556.1</v>
      </c>
      <c r="M47" s="157" t="s">
        <v>7295</v>
      </c>
      <c r="N47" s="162" t="s">
        <v>554</v>
      </c>
      <c r="O47" s="332">
        <v>42988.0</v>
      </c>
      <c r="P47" s="164" t="str">
        <f t="array" ref="P47">XLOOKUP('FACUS$'!$B47,'perfil de pagos'!$A$4:$A$46,'perfil de pagos'!$C$4:$C$46+'FACUS$'!$D47)</f>
        <v>#N/A</v>
      </c>
      <c r="Q47" s="165">
        <f t="shared" si="2"/>
        <v>0</v>
      </c>
      <c r="R47" s="171"/>
      <c r="S47" s="171"/>
      <c r="T47" s="171"/>
      <c r="U47" s="333" t="s">
        <v>7271</v>
      </c>
      <c r="V47" s="168">
        <f t="shared" si="3"/>
        <v>16556.1</v>
      </c>
      <c r="W47" s="168">
        <f t="shared" si="4"/>
        <v>0</v>
      </c>
      <c r="X47" s="168">
        <f t="shared" si="5"/>
        <v>0</v>
      </c>
      <c r="Y47" s="168">
        <f t="shared" si="6"/>
        <v>0</v>
      </c>
      <c r="Z47" s="168">
        <f t="shared" si="7"/>
        <v>0</v>
      </c>
      <c r="AA47" s="168">
        <f t="shared" si="8"/>
        <v>0</v>
      </c>
      <c r="AB47" s="168">
        <f t="shared" si="9"/>
        <v>0</v>
      </c>
    </row>
    <row r="48" ht="14.25" customHeight="1">
      <c r="A48" s="157">
        <v>198.0</v>
      </c>
      <c r="B48" s="169" t="s">
        <v>692</v>
      </c>
      <c r="C48" s="169" t="s">
        <v>737</v>
      </c>
      <c r="D48" s="159">
        <v>42248.0</v>
      </c>
      <c r="E48" s="157" t="s">
        <v>2</v>
      </c>
      <c r="F48" s="160">
        <v>110405.94</v>
      </c>
      <c r="G48" s="160">
        <f t="shared" si="14"/>
        <v>17664.9504</v>
      </c>
      <c r="H48" s="160">
        <f t="shared" si="15"/>
        <v>128070.8904</v>
      </c>
      <c r="I48" s="160"/>
      <c r="J48" s="161"/>
      <c r="K48" s="160"/>
      <c r="L48" s="160">
        <f>+'FACUS$'!$H48-'FACUS$'!$I48-'FACUS$'!$K48</f>
        <v>128070.8904</v>
      </c>
      <c r="M48" s="157" t="s">
        <v>7279</v>
      </c>
      <c r="N48" s="162" t="s">
        <v>554</v>
      </c>
      <c r="O48" s="332"/>
      <c r="P48" s="164" t="str">
        <f t="array" ref="P48">XLOOKUP('FACUS$'!$B48,'perfil de pagos'!$A$4:$A$46,'perfil de pagos'!$C$4:$C$46+'FACUS$'!$D48)</f>
        <v>#N/A</v>
      </c>
      <c r="Q48" s="165">
        <f t="shared" si="2"/>
        <v>0</v>
      </c>
      <c r="R48" s="171"/>
      <c r="S48" s="171"/>
      <c r="T48" s="171"/>
      <c r="U48" s="333" t="s">
        <v>7271</v>
      </c>
      <c r="V48" s="168">
        <f t="shared" si="3"/>
        <v>128070.8904</v>
      </c>
      <c r="W48" s="168">
        <f t="shared" si="4"/>
        <v>0</v>
      </c>
      <c r="X48" s="168">
        <f t="shared" si="5"/>
        <v>0</v>
      </c>
      <c r="Y48" s="168">
        <f t="shared" si="6"/>
        <v>0</v>
      </c>
      <c r="Z48" s="168">
        <f t="shared" si="7"/>
        <v>0</v>
      </c>
      <c r="AA48" s="168">
        <f t="shared" si="8"/>
        <v>0</v>
      </c>
      <c r="AB48" s="168">
        <f t="shared" si="9"/>
        <v>0</v>
      </c>
    </row>
    <row r="49" ht="14.25" customHeight="1">
      <c r="A49" s="157">
        <v>202.0</v>
      </c>
      <c r="B49" s="169" t="s">
        <v>70</v>
      </c>
      <c r="C49" s="169" t="s">
        <v>759</v>
      </c>
      <c r="D49" s="159">
        <v>42248.0</v>
      </c>
      <c r="E49" s="157" t="s">
        <v>2</v>
      </c>
      <c r="F49" s="160">
        <v>20625.0</v>
      </c>
      <c r="G49" s="160">
        <f t="shared" si="14"/>
        <v>3300</v>
      </c>
      <c r="H49" s="160">
        <f t="shared" si="15"/>
        <v>23925</v>
      </c>
      <c r="I49" s="160"/>
      <c r="J49" s="161"/>
      <c r="K49" s="160"/>
      <c r="L49" s="160">
        <f>+'FACUS$'!$H49-'FACUS$'!$I49-'FACUS$'!$K49</f>
        <v>23925</v>
      </c>
      <c r="M49" s="157" t="s">
        <v>719</v>
      </c>
      <c r="N49" s="162" t="s">
        <v>554</v>
      </c>
      <c r="O49" s="332">
        <v>43009.0</v>
      </c>
      <c r="P49" s="164" t="str">
        <f t="array" ref="P49">XLOOKUP('FACUS$'!$B49,'perfil de pagos'!$A$4:$A$46,'perfil de pagos'!$C$4:$C$46+'FACUS$'!$D49)</f>
        <v>#N/A</v>
      </c>
      <c r="Q49" s="165">
        <f t="shared" si="2"/>
        <v>0</v>
      </c>
      <c r="R49" s="171"/>
      <c r="S49" s="171"/>
      <c r="T49" s="171"/>
      <c r="U49" s="333" t="s">
        <v>7271</v>
      </c>
      <c r="V49" s="168">
        <f t="shared" si="3"/>
        <v>23925</v>
      </c>
      <c r="W49" s="168">
        <f t="shared" si="4"/>
        <v>0</v>
      </c>
      <c r="X49" s="168">
        <f t="shared" si="5"/>
        <v>0</v>
      </c>
      <c r="Y49" s="168">
        <f t="shared" si="6"/>
        <v>0</v>
      </c>
      <c r="Z49" s="168">
        <f t="shared" si="7"/>
        <v>0</v>
      </c>
      <c r="AA49" s="168">
        <f t="shared" si="8"/>
        <v>0</v>
      </c>
      <c r="AB49" s="168">
        <f t="shared" si="9"/>
        <v>0</v>
      </c>
    </row>
    <row r="50" ht="14.25" customHeight="1">
      <c r="A50" s="157">
        <v>204.0</v>
      </c>
      <c r="B50" s="169" t="s">
        <v>692</v>
      </c>
      <c r="C50" s="169" t="s">
        <v>737</v>
      </c>
      <c r="D50" s="159">
        <v>42262.0</v>
      </c>
      <c r="E50" s="157" t="s">
        <v>2</v>
      </c>
      <c r="F50" s="160">
        <v>114381.12</v>
      </c>
      <c r="G50" s="160">
        <f t="shared" si="14"/>
        <v>18300.9792</v>
      </c>
      <c r="H50" s="160">
        <f t="shared" si="15"/>
        <v>132682.0992</v>
      </c>
      <c r="I50" s="160"/>
      <c r="J50" s="161"/>
      <c r="K50" s="160"/>
      <c r="L50" s="160">
        <f>+'FACUS$'!$H50-'FACUS$'!$I50-'FACUS$'!$K50</f>
        <v>132682.0992</v>
      </c>
      <c r="M50" s="157" t="s">
        <v>7279</v>
      </c>
      <c r="N50" s="162" t="s">
        <v>554</v>
      </c>
      <c r="O50" s="332"/>
      <c r="P50" s="164" t="str">
        <f t="array" ref="P50">XLOOKUP('FACUS$'!$B50,'perfil de pagos'!$A$4:$A$46,'perfil de pagos'!$C$4:$C$46+'FACUS$'!$D50)</f>
        <v>#N/A</v>
      </c>
      <c r="Q50" s="165">
        <f t="shared" si="2"/>
        <v>0</v>
      </c>
      <c r="R50" s="171"/>
      <c r="S50" s="171"/>
      <c r="T50" s="171"/>
      <c r="U50" s="333" t="s">
        <v>7271</v>
      </c>
      <c r="V50" s="168">
        <f t="shared" si="3"/>
        <v>132682.0992</v>
      </c>
      <c r="W50" s="168">
        <f t="shared" si="4"/>
        <v>0</v>
      </c>
      <c r="X50" s="168">
        <f t="shared" si="5"/>
        <v>0</v>
      </c>
      <c r="Y50" s="168">
        <f t="shared" si="6"/>
        <v>0</v>
      </c>
      <c r="Z50" s="168">
        <f t="shared" si="7"/>
        <v>0</v>
      </c>
      <c r="AA50" s="168">
        <f t="shared" si="8"/>
        <v>0</v>
      </c>
      <c r="AB50" s="168">
        <f t="shared" si="9"/>
        <v>0</v>
      </c>
    </row>
    <row r="51" ht="14.25" customHeight="1">
      <c r="A51" s="157">
        <v>209.0</v>
      </c>
      <c r="B51" s="169" t="s">
        <v>70</v>
      </c>
      <c r="C51" s="169" t="s">
        <v>759</v>
      </c>
      <c r="D51" s="159">
        <v>42262.0</v>
      </c>
      <c r="E51" s="157" t="s">
        <v>2</v>
      </c>
      <c r="F51" s="160">
        <v>17017.5</v>
      </c>
      <c r="G51" s="160">
        <f t="shared" si="14"/>
        <v>2722.8</v>
      </c>
      <c r="H51" s="160">
        <f t="shared" si="15"/>
        <v>19740.3</v>
      </c>
      <c r="I51" s="160"/>
      <c r="J51" s="161"/>
      <c r="K51" s="160"/>
      <c r="L51" s="160">
        <f>+'FACUS$'!$H51-'FACUS$'!$I51-'FACUS$'!$K51</f>
        <v>19740.3</v>
      </c>
      <c r="M51" s="157" t="s">
        <v>719</v>
      </c>
      <c r="N51" s="162" t="s">
        <v>127</v>
      </c>
      <c r="O51" s="332"/>
      <c r="P51" s="164" t="str">
        <f t="array" ref="P51">XLOOKUP('FACUS$'!$B51,'perfil de pagos'!$A$4:$A$46,'perfil de pagos'!$C$4:$C$46+'FACUS$'!$D51)</f>
        <v>#N/A</v>
      </c>
      <c r="Q51" s="165" t="str">
        <f t="shared" si="2"/>
        <v>N/A</v>
      </c>
      <c r="R51" s="171"/>
      <c r="S51" s="171"/>
      <c r="T51" s="171"/>
      <c r="U51" s="333" t="s">
        <v>7271</v>
      </c>
      <c r="V51" s="168">
        <f t="shared" si="3"/>
        <v>0</v>
      </c>
      <c r="W51" s="168">
        <f t="shared" si="4"/>
        <v>0</v>
      </c>
      <c r="X51" s="168">
        <f t="shared" si="5"/>
        <v>0</v>
      </c>
      <c r="Y51" s="168">
        <f t="shared" si="6"/>
        <v>0</v>
      </c>
      <c r="Z51" s="168">
        <f t="shared" si="7"/>
        <v>0</v>
      </c>
      <c r="AA51" s="168">
        <f t="shared" si="8"/>
        <v>0</v>
      </c>
      <c r="AB51" s="168">
        <f t="shared" si="9"/>
        <v>19740.3</v>
      </c>
    </row>
    <row r="52" ht="14.25" customHeight="1">
      <c r="A52" s="157">
        <v>211.0</v>
      </c>
      <c r="B52" s="169" t="s">
        <v>70</v>
      </c>
      <c r="C52" s="169" t="s">
        <v>759</v>
      </c>
      <c r="D52" s="159">
        <v>42262.0</v>
      </c>
      <c r="E52" s="157" t="s">
        <v>2</v>
      </c>
      <c r="F52" s="160">
        <v>3885.0</v>
      </c>
      <c r="G52" s="160">
        <f t="shared" si="14"/>
        <v>621.6</v>
      </c>
      <c r="H52" s="160">
        <f t="shared" si="15"/>
        <v>4506.6</v>
      </c>
      <c r="I52" s="160"/>
      <c r="J52" s="161"/>
      <c r="K52" s="160"/>
      <c r="L52" s="160">
        <f>+'FACUS$'!$H52-'FACUS$'!$I52-'FACUS$'!$K52</f>
        <v>4506.6</v>
      </c>
      <c r="M52" s="157" t="s">
        <v>719</v>
      </c>
      <c r="N52" s="162" t="s">
        <v>554</v>
      </c>
      <c r="O52" s="332">
        <v>43022.0</v>
      </c>
      <c r="P52" s="164" t="str">
        <f t="array" ref="P52">XLOOKUP('FACUS$'!$B52,'perfil de pagos'!$A$4:$A$46,'perfil de pagos'!$C$4:$C$46+'FACUS$'!$D52)</f>
        <v>#N/A</v>
      </c>
      <c r="Q52" s="165">
        <f t="shared" si="2"/>
        <v>0</v>
      </c>
      <c r="R52" s="171"/>
      <c r="S52" s="171"/>
      <c r="T52" s="171"/>
      <c r="U52" s="333" t="s">
        <v>7271</v>
      </c>
      <c r="V52" s="168">
        <f t="shared" si="3"/>
        <v>4506.6</v>
      </c>
      <c r="W52" s="168">
        <f t="shared" si="4"/>
        <v>0</v>
      </c>
      <c r="X52" s="168">
        <f t="shared" si="5"/>
        <v>0</v>
      </c>
      <c r="Y52" s="168">
        <f t="shared" si="6"/>
        <v>0</v>
      </c>
      <c r="Z52" s="168">
        <f t="shared" si="7"/>
        <v>0</v>
      </c>
      <c r="AA52" s="168">
        <f t="shared" si="8"/>
        <v>0</v>
      </c>
      <c r="AB52" s="168">
        <f t="shared" si="9"/>
        <v>0</v>
      </c>
    </row>
    <row r="53" ht="14.25" customHeight="1">
      <c r="A53" s="157">
        <v>213.0</v>
      </c>
      <c r="B53" s="169" t="s">
        <v>70</v>
      </c>
      <c r="C53" s="169" t="s">
        <v>759</v>
      </c>
      <c r="D53" s="159">
        <v>42262.0</v>
      </c>
      <c r="E53" s="157" t="s">
        <v>2</v>
      </c>
      <c r="F53" s="160">
        <v>13125.0</v>
      </c>
      <c r="G53" s="160">
        <f t="shared" si="14"/>
        <v>2100</v>
      </c>
      <c r="H53" s="160">
        <f t="shared" si="15"/>
        <v>15225</v>
      </c>
      <c r="I53" s="160"/>
      <c r="J53" s="161"/>
      <c r="K53" s="160"/>
      <c r="L53" s="160">
        <f>+'FACUS$'!$H53-'FACUS$'!$I53-'FACUS$'!$K53</f>
        <v>15225</v>
      </c>
      <c r="M53" s="157" t="s">
        <v>719</v>
      </c>
      <c r="N53" s="162" t="s">
        <v>554</v>
      </c>
      <c r="O53" s="332">
        <v>43022.0</v>
      </c>
      <c r="P53" s="164" t="str">
        <f t="array" ref="P53">XLOOKUP('FACUS$'!$B53,'perfil de pagos'!$A$4:$A$46,'perfil de pagos'!$C$4:$C$46+'FACUS$'!$D53)</f>
        <v>#N/A</v>
      </c>
      <c r="Q53" s="165">
        <f t="shared" si="2"/>
        <v>0</v>
      </c>
      <c r="R53" s="171"/>
      <c r="S53" s="171"/>
      <c r="T53" s="171"/>
      <c r="U53" s="333" t="s">
        <v>7271</v>
      </c>
      <c r="V53" s="168">
        <f t="shared" si="3"/>
        <v>15225</v>
      </c>
      <c r="W53" s="168">
        <f t="shared" si="4"/>
        <v>0</v>
      </c>
      <c r="X53" s="168">
        <f t="shared" si="5"/>
        <v>0</v>
      </c>
      <c r="Y53" s="168">
        <f t="shared" si="6"/>
        <v>0</v>
      </c>
      <c r="Z53" s="168">
        <f t="shared" si="7"/>
        <v>0</v>
      </c>
      <c r="AA53" s="168">
        <f t="shared" si="8"/>
        <v>0</v>
      </c>
      <c r="AB53" s="168">
        <f t="shared" si="9"/>
        <v>0</v>
      </c>
    </row>
    <row r="54" ht="13.5" customHeight="1">
      <c r="A54" s="157">
        <v>216.0</v>
      </c>
      <c r="B54" s="169" t="s">
        <v>692</v>
      </c>
      <c r="C54" s="169" t="s">
        <v>737</v>
      </c>
      <c r="D54" s="159">
        <v>42278.0</v>
      </c>
      <c r="E54" s="157" t="s">
        <v>2</v>
      </c>
      <c r="F54" s="160">
        <v>106821.4</v>
      </c>
      <c r="G54" s="160">
        <f t="shared" si="14"/>
        <v>17091.424</v>
      </c>
      <c r="H54" s="160">
        <f t="shared" si="15"/>
        <v>123912.824</v>
      </c>
      <c r="I54" s="160"/>
      <c r="J54" s="161"/>
      <c r="K54" s="160"/>
      <c r="L54" s="160">
        <f>+'FACUS$'!$H54-'FACUS$'!$I54-'FACUS$'!$K54</f>
        <v>123912.824</v>
      </c>
      <c r="M54" s="157" t="s">
        <v>7279</v>
      </c>
      <c r="N54" s="162" t="s">
        <v>554</v>
      </c>
      <c r="O54" s="332"/>
      <c r="P54" s="164" t="str">
        <f t="array" ref="P54">XLOOKUP('FACUS$'!$B54,'perfil de pagos'!$A$4:$A$46,'perfil de pagos'!$C$4:$C$46+'FACUS$'!$D54)</f>
        <v>#N/A</v>
      </c>
      <c r="Q54" s="165">
        <f t="shared" si="2"/>
        <v>0</v>
      </c>
      <c r="R54" s="171"/>
      <c r="S54" s="171"/>
      <c r="T54" s="171"/>
      <c r="U54" s="333" t="s">
        <v>7271</v>
      </c>
      <c r="V54" s="168">
        <f t="shared" si="3"/>
        <v>123912.824</v>
      </c>
      <c r="W54" s="168">
        <f t="shared" si="4"/>
        <v>0</v>
      </c>
      <c r="X54" s="168">
        <f t="shared" si="5"/>
        <v>0</v>
      </c>
      <c r="Y54" s="168">
        <f t="shared" si="6"/>
        <v>0</v>
      </c>
      <c r="Z54" s="168">
        <f t="shared" si="7"/>
        <v>0</v>
      </c>
      <c r="AA54" s="168">
        <f t="shared" si="8"/>
        <v>0</v>
      </c>
      <c r="AB54" s="168">
        <f t="shared" si="9"/>
        <v>0</v>
      </c>
    </row>
    <row r="55" ht="13.5" customHeight="1">
      <c r="A55" s="157">
        <v>219.0</v>
      </c>
      <c r="B55" s="169" t="s">
        <v>70</v>
      </c>
      <c r="C55" s="169" t="s">
        <v>759</v>
      </c>
      <c r="D55" s="159">
        <v>42292.0</v>
      </c>
      <c r="E55" s="157" t="s">
        <v>2</v>
      </c>
      <c r="F55" s="160">
        <v>131272.5</v>
      </c>
      <c r="G55" s="160">
        <f t="shared" si="14"/>
        <v>21003.6</v>
      </c>
      <c r="H55" s="160">
        <f t="shared" si="15"/>
        <v>152276.1</v>
      </c>
      <c r="I55" s="160"/>
      <c r="J55" s="161"/>
      <c r="K55" s="160"/>
      <c r="L55" s="160">
        <f>+'FACUS$'!$H55-'FACUS$'!$I55-'FACUS$'!$K55</f>
        <v>152276.1</v>
      </c>
      <c r="M55" s="157" t="s">
        <v>719</v>
      </c>
      <c r="N55" s="162" t="s">
        <v>127</v>
      </c>
      <c r="O55" s="332">
        <v>42424.0</v>
      </c>
      <c r="P55" s="164" t="str">
        <f t="array" ref="P55">XLOOKUP('FACUS$'!$B55,'perfil de pagos'!$A$4:$A$46,'perfil de pagos'!$C$4:$C$46+'FACUS$'!$D55)</f>
        <v>#N/A</v>
      </c>
      <c r="Q55" s="165" t="str">
        <f t="shared" si="2"/>
        <v>N/A</v>
      </c>
      <c r="R55" s="171"/>
      <c r="S55" s="171"/>
      <c r="T55" s="171"/>
      <c r="U55" s="333" t="s">
        <v>7271</v>
      </c>
      <c r="V55" s="168">
        <f t="shared" si="3"/>
        <v>0</v>
      </c>
      <c r="W55" s="168">
        <f t="shared" si="4"/>
        <v>0</v>
      </c>
      <c r="X55" s="168">
        <f t="shared" si="5"/>
        <v>0</v>
      </c>
      <c r="Y55" s="168">
        <f t="shared" si="6"/>
        <v>0</v>
      </c>
      <c r="Z55" s="168">
        <f t="shared" si="7"/>
        <v>0</v>
      </c>
      <c r="AA55" s="168">
        <f t="shared" si="8"/>
        <v>0</v>
      </c>
      <c r="AB55" s="168">
        <f t="shared" si="9"/>
        <v>152276.1</v>
      </c>
    </row>
    <row r="56" ht="13.5" customHeight="1">
      <c r="A56" s="157">
        <v>220.0</v>
      </c>
      <c r="B56" s="169" t="s">
        <v>692</v>
      </c>
      <c r="C56" s="169" t="s">
        <v>737</v>
      </c>
      <c r="D56" s="159">
        <v>42292.0</v>
      </c>
      <c r="E56" s="157" t="s">
        <v>2</v>
      </c>
      <c r="F56" s="160">
        <v>121110.62</v>
      </c>
      <c r="G56" s="160">
        <f t="shared" si="14"/>
        <v>19377.6992</v>
      </c>
      <c r="H56" s="160">
        <f t="shared" si="15"/>
        <v>140488.3192</v>
      </c>
      <c r="I56" s="160"/>
      <c r="J56" s="161"/>
      <c r="K56" s="160"/>
      <c r="L56" s="160">
        <f>+'FACUS$'!$H56-'FACUS$'!$I56-'FACUS$'!$K56</f>
        <v>140488.3192</v>
      </c>
      <c r="M56" s="157" t="s">
        <v>7279</v>
      </c>
      <c r="N56" s="162" t="s">
        <v>554</v>
      </c>
      <c r="O56" s="332"/>
      <c r="P56" s="164" t="str">
        <f t="array" ref="P56">XLOOKUP('FACUS$'!$B56,'perfil de pagos'!$A$4:$A$46,'perfil de pagos'!$C$4:$C$46+'FACUS$'!$D56)</f>
        <v>#N/A</v>
      </c>
      <c r="Q56" s="165">
        <f t="shared" si="2"/>
        <v>0</v>
      </c>
      <c r="R56" s="171"/>
      <c r="S56" s="171"/>
      <c r="T56" s="171"/>
      <c r="U56" s="333" t="s">
        <v>7271</v>
      </c>
      <c r="V56" s="168">
        <f t="shared" si="3"/>
        <v>140488.3192</v>
      </c>
      <c r="W56" s="168">
        <f t="shared" si="4"/>
        <v>0</v>
      </c>
      <c r="X56" s="168">
        <f t="shared" si="5"/>
        <v>0</v>
      </c>
      <c r="Y56" s="168">
        <f t="shared" si="6"/>
        <v>0</v>
      </c>
      <c r="Z56" s="168">
        <f t="shared" si="7"/>
        <v>0</v>
      </c>
      <c r="AA56" s="168">
        <f t="shared" si="8"/>
        <v>0</v>
      </c>
      <c r="AB56" s="168">
        <f t="shared" si="9"/>
        <v>0</v>
      </c>
    </row>
    <row r="57" ht="13.5" customHeight="1">
      <c r="A57" s="157">
        <v>225.0</v>
      </c>
      <c r="B57" s="169" t="s">
        <v>70</v>
      </c>
      <c r="C57" s="169" t="s">
        <v>759</v>
      </c>
      <c r="D57" s="159">
        <v>42309.0</v>
      </c>
      <c r="E57" s="157" t="s">
        <v>2</v>
      </c>
      <c r="F57" s="160">
        <v>127050.0</v>
      </c>
      <c r="G57" s="160">
        <f t="shared" si="14"/>
        <v>20328</v>
      </c>
      <c r="H57" s="160">
        <f t="shared" si="15"/>
        <v>147378</v>
      </c>
      <c r="I57" s="160"/>
      <c r="J57" s="161"/>
      <c r="K57" s="160"/>
      <c r="L57" s="160">
        <f>+'FACUS$'!$H57-'FACUS$'!$I57-'FACUS$'!$K57</f>
        <v>147378</v>
      </c>
      <c r="M57" s="157" t="s">
        <v>719</v>
      </c>
      <c r="N57" s="162" t="s">
        <v>554</v>
      </c>
      <c r="O57" s="332">
        <v>43052.0</v>
      </c>
      <c r="P57" s="164" t="str">
        <f t="array" ref="P57">XLOOKUP('FACUS$'!$B57,'perfil de pagos'!$A$4:$A$46,'perfil de pagos'!$C$4:$C$46+'FACUS$'!$D57)</f>
        <v>#N/A</v>
      </c>
      <c r="Q57" s="165">
        <f t="shared" si="2"/>
        <v>0</v>
      </c>
      <c r="R57" s="171"/>
      <c r="S57" s="171"/>
      <c r="T57" s="171"/>
      <c r="U57" s="333" t="s">
        <v>7271</v>
      </c>
      <c r="V57" s="168">
        <f t="shared" si="3"/>
        <v>147378</v>
      </c>
      <c r="W57" s="168">
        <f t="shared" si="4"/>
        <v>0</v>
      </c>
      <c r="X57" s="168">
        <f t="shared" si="5"/>
        <v>0</v>
      </c>
      <c r="Y57" s="168">
        <f t="shared" si="6"/>
        <v>0</v>
      </c>
      <c r="Z57" s="168">
        <f t="shared" si="7"/>
        <v>0</v>
      </c>
      <c r="AA57" s="168">
        <f t="shared" si="8"/>
        <v>0</v>
      </c>
      <c r="AB57" s="168">
        <f t="shared" si="9"/>
        <v>0</v>
      </c>
    </row>
    <row r="58" ht="13.5" customHeight="1">
      <c r="A58" s="157">
        <v>226.0</v>
      </c>
      <c r="B58" s="169" t="s">
        <v>692</v>
      </c>
      <c r="C58" s="169" t="s">
        <v>737</v>
      </c>
      <c r="D58" s="159">
        <v>42309.0</v>
      </c>
      <c r="E58" s="157" t="s">
        <v>2</v>
      </c>
      <c r="F58" s="160">
        <v>106066.51</v>
      </c>
      <c r="G58" s="160">
        <f t="shared" si="14"/>
        <v>16970.6416</v>
      </c>
      <c r="H58" s="160">
        <f t="shared" si="15"/>
        <v>123037.1516</v>
      </c>
      <c r="I58" s="160"/>
      <c r="J58" s="161"/>
      <c r="K58" s="160"/>
      <c r="L58" s="160">
        <f>+'FACUS$'!$H58-'FACUS$'!$I58-'FACUS$'!$K58</f>
        <v>123037.1516</v>
      </c>
      <c r="M58" s="157" t="s">
        <v>7279</v>
      </c>
      <c r="N58" s="162" t="s">
        <v>554</v>
      </c>
      <c r="O58" s="332"/>
      <c r="P58" s="164" t="str">
        <f t="array" ref="P58">XLOOKUP('FACUS$'!$B58,'perfil de pagos'!$A$4:$A$46,'perfil de pagos'!$C$4:$C$46+'FACUS$'!$D58)</f>
        <v>#N/A</v>
      </c>
      <c r="Q58" s="165">
        <f t="shared" si="2"/>
        <v>0</v>
      </c>
      <c r="R58" s="171"/>
      <c r="S58" s="171"/>
      <c r="T58" s="171"/>
      <c r="U58" s="333" t="s">
        <v>7271</v>
      </c>
      <c r="V58" s="168">
        <f t="shared" si="3"/>
        <v>123037.1516</v>
      </c>
      <c r="W58" s="168">
        <f t="shared" si="4"/>
        <v>0</v>
      </c>
      <c r="X58" s="168">
        <f t="shared" si="5"/>
        <v>0</v>
      </c>
      <c r="Y58" s="168">
        <f t="shared" si="6"/>
        <v>0</v>
      </c>
      <c r="Z58" s="168">
        <f t="shared" si="7"/>
        <v>0</v>
      </c>
      <c r="AA58" s="168">
        <f t="shared" si="8"/>
        <v>0</v>
      </c>
      <c r="AB58" s="168">
        <f t="shared" si="9"/>
        <v>0</v>
      </c>
    </row>
    <row r="59" ht="13.5" customHeight="1">
      <c r="A59" s="157">
        <v>231.0</v>
      </c>
      <c r="B59" s="169" t="s">
        <v>692</v>
      </c>
      <c r="C59" s="169" t="s">
        <v>737</v>
      </c>
      <c r="D59" s="159">
        <v>42323.0</v>
      </c>
      <c r="E59" s="157" t="s">
        <v>2</v>
      </c>
      <c r="F59" s="160">
        <v>115282.82</v>
      </c>
      <c r="G59" s="160">
        <f t="shared" si="14"/>
        <v>18445.2512</v>
      </c>
      <c r="H59" s="160">
        <f t="shared" si="15"/>
        <v>133728.0712</v>
      </c>
      <c r="I59" s="160"/>
      <c r="J59" s="161"/>
      <c r="K59" s="160"/>
      <c r="L59" s="160">
        <f>+'FACUS$'!$H59-'FACUS$'!$I59-'FACUS$'!$K59</f>
        <v>133728.0712</v>
      </c>
      <c r="M59" s="157" t="s">
        <v>7279</v>
      </c>
      <c r="N59" s="162" t="s">
        <v>554</v>
      </c>
      <c r="O59" s="332"/>
      <c r="P59" s="164" t="str">
        <f t="array" ref="P59">XLOOKUP('FACUS$'!$B59,'perfil de pagos'!$A$4:$A$46,'perfil de pagos'!$C$4:$C$46+'FACUS$'!$D59)</f>
        <v>#N/A</v>
      </c>
      <c r="Q59" s="165">
        <f t="shared" si="2"/>
        <v>0</v>
      </c>
      <c r="R59" s="171"/>
      <c r="S59" s="171"/>
      <c r="T59" s="171"/>
      <c r="U59" s="333" t="s">
        <v>7271</v>
      </c>
      <c r="V59" s="168">
        <f t="shared" si="3"/>
        <v>133728.0712</v>
      </c>
      <c r="W59" s="168">
        <f t="shared" si="4"/>
        <v>0</v>
      </c>
      <c r="X59" s="168">
        <f t="shared" si="5"/>
        <v>0</v>
      </c>
      <c r="Y59" s="168">
        <f t="shared" si="6"/>
        <v>0</v>
      </c>
      <c r="Z59" s="168">
        <f t="shared" si="7"/>
        <v>0</v>
      </c>
      <c r="AA59" s="168">
        <f t="shared" si="8"/>
        <v>0</v>
      </c>
      <c r="AB59" s="168">
        <f t="shared" si="9"/>
        <v>0</v>
      </c>
    </row>
    <row r="60" ht="11.25" customHeight="1">
      <c r="A60" s="157">
        <v>236.0</v>
      </c>
      <c r="B60" s="169" t="s">
        <v>70</v>
      </c>
      <c r="C60" s="169" t="s">
        <v>759</v>
      </c>
      <c r="D60" s="159">
        <v>42309.0</v>
      </c>
      <c r="E60" s="157" t="s">
        <v>2</v>
      </c>
      <c r="F60" s="160">
        <v>29947.5</v>
      </c>
      <c r="G60" s="160">
        <f t="shared" si="14"/>
        <v>4791.6</v>
      </c>
      <c r="H60" s="160">
        <f t="shared" si="15"/>
        <v>34739.1</v>
      </c>
      <c r="I60" s="160"/>
      <c r="J60" s="161"/>
      <c r="K60" s="160"/>
      <c r="L60" s="160">
        <f>+'FACUS$'!$H60-'FACUS$'!$I60-'FACUS$'!$K60</f>
        <v>34739.1</v>
      </c>
      <c r="M60" s="157" t="s">
        <v>719</v>
      </c>
      <c r="N60" s="162" t="s">
        <v>127</v>
      </c>
      <c r="O60" s="332"/>
      <c r="P60" s="164" t="str">
        <f t="array" ref="P60">XLOOKUP('FACUS$'!$B60,'perfil de pagos'!$A$4:$A$46,'perfil de pagos'!$C$4:$C$46+'FACUS$'!$D60)</f>
        <v>#N/A</v>
      </c>
      <c r="Q60" s="165" t="str">
        <f t="shared" si="2"/>
        <v>N/A</v>
      </c>
      <c r="R60" s="171"/>
      <c r="S60" s="171"/>
      <c r="T60" s="171"/>
      <c r="U60" s="333" t="s">
        <v>7271</v>
      </c>
      <c r="V60" s="168">
        <f t="shared" si="3"/>
        <v>0</v>
      </c>
      <c r="W60" s="168">
        <f t="shared" si="4"/>
        <v>0</v>
      </c>
      <c r="X60" s="168">
        <f t="shared" si="5"/>
        <v>0</v>
      </c>
      <c r="Y60" s="168">
        <f t="shared" si="6"/>
        <v>0</v>
      </c>
      <c r="Z60" s="168">
        <f t="shared" si="7"/>
        <v>0</v>
      </c>
      <c r="AA60" s="168">
        <f t="shared" si="8"/>
        <v>0</v>
      </c>
      <c r="AB60" s="168">
        <f t="shared" si="9"/>
        <v>34739.1</v>
      </c>
    </row>
    <row r="61" ht="13.5" customHeight="1">
      <c r="A61" s="157">
        <v>239.0</v>
      </c>
      <c r="B61" s="169" t="s">
        <v>70</v>
      </c>
      <c r="C61" s="169" t="s">
        <v>759</v>
      </c>
      <c r="D61" s="159">
        <v>42339.0</v>
      </c>
      <c r="E61" s="157" t="s">
        <v>2</v>
      </c>
      <c r="F61" s="160">
        <v>131272.5</v>
      </c>
      <c r="G61" s="160">
        <f t="shared" si="14"/>
        <v>21003.6</v>
      </c>
      <c r="H61" s="160">
        <f t="shared" si="15"/>
        <v>152276.1</v>
      </c>
      <c r="I61" s="160"/>
      <c r="J61" s="161"/>
      <c r="K61" s="160"/>
      <c r="L61" s="160">
        <f>+'FACUS$'!$H61-'FACUS$'!$I61-'FACUS$'!$K61</f>
        <v>152276.1</v>
      </c>
      <c r="M61" s="157" t="s">
        <v>719</v>
      </c>
      <c r="N61" s="162" t="s">
        <v>127</v>
      </c>
      <c r="O61" s="332"/>
      <c r="P61" s="164" t="str">
        <f t="array" ref="P61">XLOOKUP('FACUS$'!$B61,'perfil de pagos'!$A$4:$A$46,'perfil de pagos'!$C$4:$C$46+'FACUS$'!$D61)</f>
        <v>#N/A</v>
      </c>
      <c r="Q61" s="165" t="str">
        <f t="shared" si="2"/>
        <v>N/A</v>
      </c>
      <c r="R61" s="171"/>
      <c r="S61" s="171"/>
      <c r="T61" s="171"/>
      <c r="U61" s="333" t="s">
        <v>7271</v>
      </c>
      <c r="V61" s="168">
        <f t="shared" si="3"/>
        <v>0</v>
      </c>
      <c r="W61" s="168">
        <f t="shared" si="4"/>
        <v>0</v>
      </c>
      <c r="X61" s="168">
        <f t="shared" si="5"/>
        <v>0</v>
      </c>
      <c r="Y61" s="168">
        <f t="shared" si="6"/>
        <v>0</v>
      </c>
      <c r="Z61" s="168">
        <f t="shared" si="7"/>
        <v>0</v>
      </c>
      <c r="AA61" s="168">
        <f t="shared" si="8"/>
        <v>0</v>
      </c>
      <c r="AB61" s="168">
        <f t="shared" si="9"/>
        <v>152276.1</v>
      </c>
    </row>
    <row r="62" ht="14.25" customHeight="1">
      <c r="A62" s="157">
        <v>242.0</v>
      </c>
      <c r="B62" s="169" t="s">
        <v>692</v>
      </c>
      <c r="C62" s="169" t="s">
        <v>737</v>
      </c>
      <c r="D62" s="159">
        <v>42339.0</v>
      </c>
      <c r="E62" s="157" t="s">
        <v>2</v>
      </c>
      <c r="F62" s="160">
        <v>105668.18</v>
      </c>
      <c r="G62" s="160">
        <f t="shared" si="14"/>
        <v>16906.9088</v>
      </c>
      <c r="H62" s="160">
        <f t="shared" si="15"/>
        <v>122575.0888</v>
      </c>
      <c r="I62" s="160"/>
      <c r="J62" s="161"/>
      <c r="K62" s="160"/>
      <c r="L62" s="160">
        <f>+'FACUS$'!$H62-'FACUS$'!$I62-'FACUS$'!$K62</f>
        <v>122575.0888</v>
      </c>
      <c r="M62" s="157" t="s">
        <v>7279</v>
      </c>
      <c r="N62" s="162" t="s">
        <v>554</v>
      </c>
      <c r="O62" s="332"/>
      <c r="P62" s="164" t="str">
        <f t="array" ref="P62">XLOOKUP('FACUS$'!$B62,'perfil de pagos'!$A$4:$A$46,'perfil de pagos'!$C$4:$C$46+'FACUS$'!$D62)</f>
        <v>#N/A</v>
      </c>
      <c r="Q62" s="165">
        <f t="shared" si="2"/>
        <v>0</v>
      </c>
      <c r="R62" s="171"/>
      <c r="S62" s="171"/>
      <c r="T62" s="171"/>
      <c r="U62" s="333" t="s">
        <v>7271</v>
      </c>
      <c r="V62" s="168">
        <f t="shared" si="3"/>
        <v>122575.0888</v>
      </c>
      <c r="W62" s="168">
        <f t="shared" si="4"/>
        <v>0</v>
      </c>
      <c r="X62" s="168">
        <f t="shared" si="5"/>
        <v>0</v>
      </c>
      <c r="Y62" s="168">
        <f t="shared" si="6"/>
        <v>0</v>
      </c>
      <c r="Z62" s="168">
        <f t="shared" si="7"/>
        <v>0</v>
      </c>
      <c r="AA62" s="168">
        <f t="shared" si="8"/>
        <v>0</v>
      </c>
      <c r="AB62" s="168">
        <f t="shared" si="9"/>
        <v>0</v>
      </c>
    </row>
    <row r="63" ht="14.25" customHeight="1">
      <c r="A63" s="157">
        <v>245.0</v>
      </c>
      <c r="B63" s="169" t="s">
        <v>70</v>
      </c>
      <c r="C63" s="169" t="s">
        <v>759</v>
      </c>
      <c r="D63" s="159">
        <v>42353.0</v>
      </c>
      <c r="E63" s="157" t="s">
        <v>2</v>
      </c>
      <c r="F63" s="160">
        <v>131272.5</v>
      </c>
      <c r="G63" s="160">
        <f t="shared" si="14"/>
        <v>21003.6</v>
      </c>
      <c r="H63" s="160">
        <f t="shared" si="15"/>
        <v>152276.1</v>
      </c>
      <c r="I63" s="160"/>
      <c r="J63" s="161"/>
      <c r="K63" s="160"/>
      <c r="L63" s="160">
        <f>+'FACUS$'!$H63-'FACUS$'!$I63-'FACUS$'!$K63</f>
        <v>152276.1</v>
      </c>
      <c r="M63" s="157" t="s">
        <v>719</v>
      </c>
      <c r="N63" s="162" t="s">
        <v>127</v>
      </c>
      <c r="O63" s="332"/>
      <c r="P63" s="164" t="str">
        <f t="array" ref="P63">XLOOKUP('FACUS$'!$B63,'perfil de pagos'!$A$4:$A$46,'perfil de pagos'!$C$4:$C$46+'FACUS$'!$D63)</f>
        <v>#N/A</v>
      </c>
      <c r="Q63" s="165" t="str">
        <f t="shared" si="2"/>
        <v>N/A</v>
      </c>
      <c r="R63" s="171"/>
      <c r="S63" s="171"/>
      <c r="T63" s="171"/>
      <c r="U63" s="333" t="s">
        <v>7271</v>
      </c>
      <c r="V63" s="168">
        <f t="shared" si="3"/>
        <v>0</v>
      </c>
      <c r="W63" s="168">
        <f t="shared" si="4"/>
        <v>0</v>
      </c>
      <c r="X63" s="168">
        <f t="shared" si="5"/>
        <v>0</v>
      </c>
      <c r="Y63" s="168">
        <f t="shared" si="6"/>
        <v>0</v>
      </c>
      <c r="Z63" s="168">
        <f t="shared" si="7"/>
        <v>0</v>
      </c>
      <c r="AA63" s="168">
        <f t="shared" si="8"/>
        <v>0</v>
      </c>
      <c r="AB63" s="168">
        <f t="shared" si="9"/>
        <v>152276.1</v>
      </c>
    </row>
    <row r="64" ht="14.25" customHeight="1">
      <c r="A64" s="157">
        <v>252.0</v>
      </c>
      <c r="B64" s="169" t="s">
        <v>692</v>
      </c>
      <c r="C64" s="169" t="s">
        <v>737</v>
      </c>
      <c r="D64" s="159">
        <v>42719.0</v>
      </c>
      <c r="E64" s="157" t="s">
        <v>2</v>
      </c>
      <c r="F64" s="160">
        <v>83121.75</v>
      </c>
      <c r="G64" s="160">
        <f t="shared" si="14"/>
        <v>13299.48</v>
      </c>
      <c r="H64" s="160">
        <f t="shared" si="15"/>
        <v>96421.23</v>
      </c>
      <c r="I64" s="160"/>
      <c r="J64" s="161"/>
      <c r="K64" s="160"/>
      <c r="L64" s="160">
        <f>+'FACUS$'!$H64-'FACUS$'!$I64-'FACUS$'!$K64</f>
        <v>96421.23</v>
      </c>
      <c r="M64" s="157" t="s">
        <v>7279</v>
      </c>
      <c r="N64" s="162" t="s">
        <v>554</v>
      </c>
      <c r="O64" s="332">
        <v>42754.0</v>
      </c>
      <c r="P64" s="164" t="str">
        <f t="array" ref="P64">XLOOKUP('FACUS$'!$B64,'perfil de pagos'!$A$4:$A$46,'perfil de pagos'!$C$4:$C$46+'FACUS$'!$D64)</f>
        <v>#N/A</v>
      </c>
      <c r="Q64" s="165">
        <f t="shared" si="2"/>
        <v>0</v>
      </c>
      <c r="R64" s="171"/>
      <c r="S64" s="171"/>
      <c r="T64" s="171"/>
      <c r="U64" s="333" t="s">
        <v>7271</v>
      </c>
      <c r="V64" s="168">
        <f t="shared" si="3"/>
        <v>96421.23</v>
      </c>
      <c r="W64" s="168">
        <f t="shared" si="4"/>
        <v>0</v>
      </c>
      <c r="X64" s="168">
        <f t="shared" si="5"/>
        <v>0</v>
      </c>
      <c r="Y64" s="168">
        <f t="shared" si="6"/>
        <v>0</v>
      </c>
      <c r="Z64" s="168">
        <f t="shared" si="7"/>
        <v>0</v>
      </c>
      <c r="AA64" s="168">
        <f t="shared" si="8"/>
        <v>0</v>
      </c>
      <c r="AB64" s="168">
        <f t="shared" si="9"/>
        <v>0</v>
      </c>
    </row>
    <row r="65" ht="14.25" customHeight="1">
      <c r="A65" s="157">
        <v>254.0</v>
      </c>
      <c r="B65" s="169" t="s">
        <v>692</v>
      </c>
      <c r="C65" s="169" t="s">
        <v>737</v>
      </c>
      <c r="D65" s="159">
        <v>42370.0</v>
      </c>
      <c r="E65" s="157" t="s">
        <v>2</v>
      </c>
      <c r="F65" s="160">
        <v>112623.84</v>
      </c>
      <c r="G65" s="160">
        <v>18019.82</v>
      </c>
      <c r="H65" s="160">
        <f t="shared" si="15"/>
        <v>130643.66</v>
      </c>
      <c r="I65" s="160"/>
      <c r="J65" s="161"/>
      <c r="K65" s="160"/>
      <c r="L65" s="160">
        <f>+'FACUS$'!$H65-'FACUS$'!$I65-'FACUS$'!$K65</f>
        <v>130643.66</v>
      </c>
      <c r="M65" s="157" t="s">
        <v>7279</v>
      </c>
      <c r="N65" s="162" t="s">
        <v>554</v>
      </c>
      <c r="O65" s="332">
        <v>42768.0</v>
      </c>
      <c r="P65" s="164" t="str">
        <f t="array" ref="P65">XLOOKUP('FACUS$'!$B65,'perfil de pagos'!$A$4:$A$46,'perfil de pagos'!$C$4:$C$46+'FACUS$'!$D65)</f>
        <v>#N/A</v>
      </c>
      <c r="Q65" s="165">
        <f t="shared" si="2"/>
        <v>0</v>
      </c>
      <c r="R65" s="171"/>
      <c r="S65" s="171"/>
      <c r="T65" s="171"/>
      <c r="U65" s="333" t="s">
        <v>7271</v>
      </c>
      <c r="V65" s="168">
        <f t="shared" si="3"/>
        <v>130643.66</v>
      </c>
      <c r="W65" s="168">
        <f t="shared" si="4"/>
        <v>0</v>
      </c>
      <c r="X65" s="168">
        <f t="shared" si="5"/>
        <v>0</v>
      </c>
      <c r="Y65" s="168">
        <f t="shared" si="6"/>
        <v>0</v>
      </c>
      <c r="Z65" s="168">
        <f t="shared" si="7"/>
        <v>0</v>
      </c>
      <c r="AA65" s="168">
        <f t="shared" si="8"/>
        <v>0</v>
      </c>
      <c r="AB65" s="168">
        <f t="shared" si="9"/>
        <v>0</v>
      </c>
    </row>
    <row r="66" ht="14.25" customHeight="1">
      <c r="A66" s="157">
        <v>259.0</v>
      </c>
      <c r="B66" s="169" t="s">
        <v>70</v>
      </c>
      <c r="C66" s="169" t="s">
        <v>759</v>
      </c>
      <c r="D66" s="159">
        <v>42370.0</v>
      </c>
      <c r="E66" s="157" t="s">
        <v>2</v>
      </c>
      <c r="F66" s="160">
        <v>127035.0</v>
      </c>
      <c r="G66" s="160">
        <f>+F66*0.16</f>
        <v>20325.6</v>
      </c>
      <c r="H66" s="160">
        <f t="shared" si="15"/>
        <v>147360.6</v>
      </c>
      <c r="I66" s="160"/>
      <c r="J66" s="161"/>
      <c r="K66" s="160"/>
      <c r="L66" s="160">
        <f>+'FACUS$'!$H66-'FACUS$'!$I66-'FACUS$'!$K66</f>
        <v>147360.6</v>
      </c>
      <c r="M66" s="157" t="s">
        <v>719</v>
      </c>
      <c r="N66" s="162" t="s">
        <v>554</v>
      </c>
      <c r="O66" s="332">
        <v>42761.0</v>
      </c>
      <c r="P66" s="164" t="str">
        <f t="array" ref="P66">XLOOKUP('FACUS$'!$B66,'perfil de pagos'!$A$4:$A$46,'perfil de pagos'!$C$4:$C$46+'FACUS$'!$D66)</f>
        <v>#N/A</v>
      </c>
      <c r="Q66" s="165">
        <f t="shared" si="2"/>
        <v>0</v>
      </c>
      <c r="R66" s="171"/>
      <c r="S66" s="171"/>
      <c r="T66" s="171"/>
      <c r="U66" s="333" t="s">
        <v>7271</v>
      </c>
      <c r="V66" s="168">
        <f t="shared" si="3"/>
        <v>147360.6</v>
      </c>
      <c r="W66" s="168">
        <f t="shared" si="4"/>
        <v>0</v>
      </c>
      <c r="X66" s="168">
        <f t="shared" si="5"/>
        <v>0</v>
      </c>
      <c r="Y66" s="168">
        <f t="shared" si="6"/>
        <v>0</v>
      </c>
      <c r="Z66" s="168">
        <f t="shared" si="7"/>
        <v>0</v>
      </c>
      <c r="AA66" s="168">
        <f t="shared" si="8"/>
        <v>0</v>
      </c>
      <c r="AB66" s="168">
        <f t="shared" si="9"/>
        <v>0</v>
      </c>
    </row>
    <row r="67" ht="14.25" customHeight="1">
      <c r="A67" s="157">
        <v>260.0</v>
      </c>
      <c r="B67" s="169" t="s">
        <v>692</v>
      </c>
      <c r="C67" s="169" t="s">
        <v>737</v>
      </c>
      <c r="D67" s="159">
        <v>42384.0</v>
      </c>
      <c r="E67" s="157" t="s">
        <v>2</v>
      </c>
      <c r="F67" s="160">
        <v>126183.41</v>
      </c>
      <c r="G67" s="160">
        <v>20189.35</v>
      </c>
      <c r="H67" s="160">
        <f t="shared" si="15"/>
        <v>146372.76</v>
      </c>
      <c r="I67" s="160"/>
      <c r="J67" s="161"/>
      <c r="K67" s="160"/>
      <c r="L67" s="160">
        <f>+'FACUS$'!$H67-'FACUS$'!$I67-'FACUS$'!$K67</f>
        <v>146372.76</v>
      </c>
      <c r="M67" s="157" t="s">
        <v>7279</v>
      </c>
      <c r="N67" s="162" t="s">
        <v>554</v>
      </c>
      <c r="O67" s="332">
        <v>42781.0</v>
      </c>
      <c r="P67" s="164" t="str">
        <f t="array" ref="P67">XLOOKUP('FACUS$'!$B67,'perfil de pagos'!$A$4:$A$46,'perfil de pagos'!$C$4:$C$46+'FACUS$'!$D67)</f>
        <v>#N/A</v>
      </c>
      <c r="Q67" s="165">
        <f t="shared" si="2"/>
        <v>0</v>
      </c>
      <c r="R67" s="171"/>
      <c r="S67" s="171"/>
      <c r="T67" s="171"/>
      <c r="U67" s="333" t="s">
        <v>7271</v>
      </c>
      <c r="V67" s="168">
        <f t="shared" si="3"/>
        <v>146372.76</v>
      </c>
      <c r="W67" s="168">
        <f t="shared" si="4"/>
        <v>0</v>
      </c>
      <c r="X67" s="168">
        <f t="shared" si="5"/>
        <v>0</v>
      </c>
      <c r="Y67" s="168">
        <f t="shared" si="6"/>
        <v>0</v>
      </c>
      <c r="Z67" s="168">
        <f t="shared" si="7"/>
        <v>0</v>
      </c>
      <c r="AA67" s="168">
        <f t="shared" si="8"/>
        <v>0</v>
      </c>
      <c r="AB67" s="168">
        <f t="shared" si="9"/>
        <v>0</v>
      </c>
    </row>
    <row r="68" ht="14.25" customHeight="1">
      <c r="A68" s="157">
        <v>265.0</v>
      </c>
      <c r="B68" s="169" t="s">
        <v>70</v>
      </c>
      <c r="C68" s="169" t="s">
        <v>759</v>
      </c>
      <c r="D68" s="159">
        <v>42384.0</v>
      </c>
      <c r="E68" s="157" t="s">
        <v>2</v>
      </c>
      <c r="F68" s="160">
        <v>13657.5</v>
      </c>
      <c r="G68" s="160">
        <f t="shared" ref="G68:G72" si="16">+F68*0.16</f>
        <v>2185.2</v>
      </c>
      <c r="H68" s="160">
        <f t="shared" si="15"/>
        <v>15842.7</v>
      </c>
      <c r="I68" s="160"/>
      <c r="J68" s="161"/>
      <c r="K68" s="160"/>
      <c r="L68" s="160">
        <f>+'FACUS$'!$H68-'FACUS$'!$I68-'FACUS$'!$K68</f>
        <v>15842.7</v>
      </c>
      <c r="M68" s="157" t="s">
        <v>719</v>
      </c>
      <c r="N68" s="162" t="s">
        <v>554</v>
      </c>
      <c r="O68" s="332">
        <v>42777.0</v>
      </c>
      <c r="P68" s="164" t="str">
        <f t="array" ref="P68">XLOOKUP('FACUS$'!$B68,'perfil de pagos'!$A$4:$A$46,'perfil de pagos'!$C$4:$C$46+'FACUS$'!$D68)</f>
        <v>#N/A</v>
      </c>
      <c r="Q68" s="165">
        <f t="shared" si="2"/>
        <v>0</v>
      </c>
      <c r="R68" s="171"/>
      <c r="S68" s="171"/>
      <c r="T68" s="171"/>
      <c r="U68" s="333" t="s">
        <v>7271</v>
      </c>
      <c r="V68" s="168">
        <f t="shared" si="3"/>
        <v>15842.7</v>
      </c>
      <c r="W68" s="168">
        <f t="shared" si="4"/>
        <v>0</v>
      </c>
      <c r="X68" s="168">
        <f t="shared" si="5"/>
        <v>0</v>
      </c>
      <c r="Y68" s="168">
        <f t="shared" si="6"/>
        <v>0</v>
      </c>
      <c r="Z68" s="168">
        <f t="shared" si="7"/>
        <v>0</v>
      </c>
      <c r="AA68" s="168">
        <f t="shared" si="8"/>
        <v>0</v>
      </c>
      <c r="AB68" s="168">
        <f t="shared" si="9"/>
        <v>0</v>
      </c>
    </row>
    <row r="69" ht="14.25" customHeight="1">
      <c r="A69" s="157">
        <v>268.0</v>
      </c>
      <c r="B69" s="169" t="s">
        <v>722</v>
      </c>
      <c r="C69" s="169" t="s">
        <v>7296</v>
      </c>
      <c r="D69" s="159">
        <v>42401.0</v>
      </c>
      <c r="E69" s="157" t="s">
        <v>2</v>
      </c>
      <c r="F69" s="160">
        <v>185851.24</v>
      </c>
      <c r="G69" s="160">
        <f t="shared" si="16"/>
        <v>29736.1984</v>
      </c>
      <c r="H69" s="160">
        <f t="shared" si="15"/>
        <v>215587.4384</v>
      </c>
      <c r="I69" s="160"/>
      <c r="J69" s="161"/>
      <c r="K69" s="160"/>
      <c r="L69" s="160">
        <f>+'FACUS$'!$H69-'FACUS$'!$I69-'FACUS$'!$K69</f>
        <v>215587.4384</v>
      </c>
      <c r="M69" s="157" t="s">
        <v>93</v>
      </c>
      <c r="N69" s="162" t="s">
        <v>127</v>
      </c>
      <c r="O69" s="332"/>
      <c r="P69" s="164" t="str">
        <f t="array" ref="P69">XLOOKUP('FACUS$'!$B69,'perfil de pagos'!$A$4:$A$46,'perfil de pagos'!$C$4:$C$46+'FACUS$'!$D69)</f>
        <v>#N/A</v>
      </c>
      <c r="Q69" s="165" t="str">
        <f t="shared" si="2"/>
        <v>N/A</v>
      </c>
      <c r="R69" s="171"/>
      <c r="S69" s="171"/>
      <c r="T69" s="171"/>
      <c r="U69" s="333" t="s">
        <v>7271</v>
      </c>
      <c r="V69" s="168">
        <f t="shared" si="3"/>
        <v>0</v>
      </c>
      <c r="W69" s="168">
        <f t="shared" si="4"/>
        <v>0</v>
      </c>
      <c r="X69" s="168">
        <f t="shared" si="5"/>
        <v>0</v>
      </c>
      <c r="Y69" s="168">
        <f t="shared" si="6"/>
        <v>0</v>
      </c>
      <c r="Z69" s="168">
        <f t="shared" si="7"/>
        <v>0</v>
      </c>
      <c r="AA69" s="168">
        <f t="shared" si="8"/>
        <v>0</v>
      </c>
      <c r="AB69" s="168">
        <f t="shared" si="9"/>
        <v>215587.4384</v>
      </c>
    </row>
    <row r="70" ht="14.25" customHeight="1">
      <c r="A70" s="157">
        <v>270.0</v>
      </c>
      <c r="B70" s="169" t="s">
        <v>722</v>
      </c>
      <c r="C70" s="169" t="s">
        <v>7296</v>
      </c>
      <c r="D70" s="159">
        <v>42401.0</v>
      </c>
      <c r="E70" s="157" t="s">
        <v>2</v>
      </c>
      <c r="F70" s="160">
        <v>185851.24</v>
      </c>
      <c r="G70" s="160">
        <f t="shared" si="16"/>
        <v>29736.1984</v>
      </c>
      <c r="H70" s="160">
        <f t="shared" si="15"/>
        <v>215587.4384</v>
      </c>
      <c r="I70" s="160"/>
      <c r="J70" s="161"/>
      <c r="K70" s="160"/>
      <c r="L70" s="160">
        <f>+'FACUS$'!$H70-'FACUS$'!$I70-'FACUS$'!$K70</f>
        <v>215587.4384</v>
      </c>
      <c r="M70" s="157" t="s">
        <v>93</v>
      </c>
      <c r="N70" s="162" t="s">
        <v>127</v>
      </c>
      <c r="O70" s="332"/>
      <c r="P70" s="164" t="str">
        <f t="array" ref="P70">XLOOKUP('FACUS$'!$B70,'perfil de pagos'!$A$4:$A$46,'perfil de pagos'!$C$4:$C$46+'FACUS$'!$D70)</f>
        <v>#N/A</v>
      </c>
      <c r="Q70" s="165" t="str">
        <f t="shared" si="2"/>
        <v>N/A</v>
      </c>
      <c r="R70" s="171"/>
      <c r="S70" s="171"/>
      <c r="T70" s="171"/>
      <c r="U70" s="333" t="s">
        <v>7271</v>
      </c>
      <c r="V70" s="168">
        <f t="shared" si="3"/>
        <v>0</v>
      </c>
      <c r="W70" s="168">
        <f t="shared" si="4"/>
        <v>0</v>
      </c>
      <c r="X70" s="168">
        <f t="shared" si="5"/>
        <v>0</v>
      </c>
      <c r="Y70" s="168">
        <f t="shared" si="6"/>
        <v>0</v>
      </c>
      <c r="Z70" s="168">
        <f t="shared" si="7"/>
        <v>0</v>
      </c>
      <c r="AA70" s="168">
        <f t="shared" si="8"/>
        <v>0</v>
      </c>
      <c r="AB70" s="168">
        <f t="shared" si="9"/>
        <v>215587.4384</v>
      </c>
    </row>
    <row r="71" ht="14.25" customHeight="1">
      <c r="A71" s="157">
        <v>271.0</v>
      </c>
      <c r="B71" s="169" t="s">
        <v>722</v>
      </c>
      <c r="C71" s="169" t="s">
        <v>7296</v>
      </c>
      <c r="D71" s="159">
        <v>42401.0</v>
      </c>
      <c r="E71" s="157" t="s">
        <v>2</v>
      </c>
      <c r="F71" s="160">
        <v>185851.24</v>
      </c>
      <c r="G71" s="160">
        <f t="shared" si="16"/>
        <v>29736.1984</v>
      </c>
      <c r="H71" s="160">
        <f t="shared" si="15"/>
        <v>215587.4384</v>
      </c>
      <c r="I71" s="160"/>
      <c r="J71" s="161"/>
      <c r="K71" s="160"/>
      <c r="L71" s="160">
        <f>+'FACUS$'!$H71-'FACUS$'!$I71-'FACUS$'!$K71</f>
        <v>215587.4384</v>
      </c>
      <c r="M71" s="157" t="s">
        <v>93</v>
      </c>
      <c r="N71" s="162" t="s">
        <v>127</v>
      </c>
      <c r="O71" s="332"/>
      <c r="P71" s="164" t="str">
        <f t="array" ref="P71">XLOOKUP('FACUS$'!$B71,'perfil de pagos'!$A$4:$A$46,'perfil de pagos'!$C$4:$C$46+'FACUS$'!$D71)</f>
        <v>#N/A</v>
      </c>
      <c r="Q71" s="165" t="str">
        <f t="shared" si="2"/>
        <v>N/A</v>
      </c>
      <c r="R71" s="171" t="s">
        <v>7297</v>
      </c>
      <c r="S71" s="171"/>
      <c r="T71" s="171"/>
      <c r="U71" s="333" t="s">
        <v>7271</v>
      </c>
      <c r="V71" s="168">
        <f t="shared" si="3"/>
        <v>0</v>
      </c>
      <c r="W71" s="168">
        <f t="shared" si="4"/>
        <v>0</v>
      </c>
      <c r="X71" s="168">
        <f t="shared" si="5"/>
        <v>0</v>
      </c>
      <c r="Y71" s="168">
        <f t="shared" si="6"/>
        <v>0</v>
      </c>
      <c r="Z71" s="168">
        <f t="shared" si="7"/>
        <v>0</v>
      </c>
      <c r="AA71" s="168">
        <f t="shared" si="8"/>
        <v>0</v>
      </c>
      <c r="AB71" s="168">
        <f t="shared" si="9"/>
        <v>215587.4384</v>
      </c>
    </row>
    <row r="72" ht="14.25" customHeight="1">
      <c r="A72" s="157">
        <v>272.0</v>
      </c>
      <c r="B72" s="169" t="s">
        <v>692</v>
      </c>
      <c r="C72" s="169" t="s">
        <v>737</v>
      </c>
      <c r="D72" s="159">
        <v>42401.0</v>
      </c>
      <c r="E72" s="157" t="s">
        <v>2</v>
      </c>
      <c r="F72" s="160">
        <v>115765.71</v>
      </c>
      <c r="G72" s="160">
        <f t="shared" si="16"/>
        <v>18522.5136</v>
      </c>
      <c r="H72" s="160">
        <f t="shared" si="15"/>
        <v>134288.2236</v>
      </c>
      <c r="I72" s="160"/>
      <c r="J72" s="161"/>
      <c r="K72" s="160"/>
      <c r="L72" s="160">
        <f>+'FACUS$'!$H72-'FACUS$'!$I72-'FACUS$'!$K72</f>
        <v>134288.2236</v>
      </c>
      <c r="M72" s="157" t="s">
        <v>7298</v>
      </c>
      <c r="N72" s="162" t="s">
        <v>554</v>
      </c>
      <c r="O72" s="332">
        <v>42797.0</v>
      </c>
      <c r="P72" s="164" t="str">
        <f t="array" ref="P72">XLOOKUP('FACUS$'!$B72,'perfil de pagos'!$A$4:$A$46,'perfil de pagos'!$C$4:$C$46+'FACUS$'!$D72)</f>
        <v>#N/A</v>
      </c>
      <c r="Q72" s="165">
        <f t="shared" si="2"/>
        <v>0</v>
      </c>
      <c r="R72" s="171"/>
      <c r="S72" s="171"/>
      <c r="T72" s="171"/>
      <c r="U72" s="333" t="s">
        <v>7271</v>
      </c>
      <c r="V72" s="168">
        <f t="shared" si="3"/>
        <v>134288.2236</v>
      </c>
      <c r="W72" s="168">
        <f t="shared" si="4"/>
        <v>0</v>
      </c>
      <c r="X72" s="168">
        <f t="shared" si="5"/>
        <v>0</v>
      </c>
      <c r="Y72" s="168">
        <f t="shared" si="6"/>
        <v>0</v>
      </c>
      <c r="Z72" s="168">
        <f t="shared" si="7"/>
        <v>0</v>
      </c>
      <c r="AA72" s="168">
        <f t="shared" si="8"/>
        <v>0</v>
      </c>
      <c r="AB72" s="168">
        <f t="shared" si="9"/>
        <v>0</v>
      </c>
    </row>
    <row r="73" ht="14.25" customHeight="1">
      <c r="A73" s="157">
        <v>277.0</v>
      </c>
      <c r="B73" s="169" t="s">
        <v>722</v>
      </c>
      <c r="C73" s="169" t="s">
        <v>7296</v>
      </c>
      <c r="D73" s="159">
        <v>42401.0</v>
      </c>
      <c r="E73" s="157" t="s">
        <v>2</v>
      </c>
      <c r="F73" s="160">
        <v>68459.93</v>
      </c>
      <c r="G73" s="160">
        <v>10953.59</v>
      </c>
      <c r="H73" s="160">
        <f t="shared" si="15"/>
        <v>79413.52</v>
      </c>
      <c r="I73" s="160"/>
      <c r="J73" s="161"/>
      <c r="K73" s="160"/>
      <c r="L73" s="160">
        <f>+'FACUS$'!$H73-'FACUS$'!$I73-'FACUS$'!$K73</f>
        <v>79413.52</v>
      </c>
      <c r="M73" s="157" t="s">
        <v>93</v>
      </c>
      <c r="N73" s="162" t="s">
        <v>127</v>
      </c>
      <c r="O73" s="332"/>
      <c r="P73" s="164" t="str">
        <f t="array" ref="P73">XLOOKUP('FACUS$'!$B73,'perfil de pagos'!$A$4:$A$46,'perfil de pagos'!$C$4:$C$46+'FACUS$'!$D73)</f>
        <v>#N/A</v>
      </c>
      <c r="Q73" s="165" t="str">
        <f t="shared" si="2"/>
        <v>N/A</v>
      </c>
      <c r="R73" s="171" t="s">
        <v>7299</v>
      </c>
      <c r="S73" s="171"/>
      <c r="T73" s="171"/>
      <c r="U73" s="333" t="s">
        <v>7271</v>
      </c>
      <c r="V73" s="168">
        <f t="shared" si="3"/>
        <v>0</v>
      </c>
      <c r="W73" s="168">
        <f t="shared" si="4"/>
        <v>0</v>
      </c>
      <c r="X73" s="168">
        <f t="shared" si="5"/>
        <v>0</v>
      </c>
      <c r="Y73" s="168">
        <f t="shared" si="6"/>
        <v>0</v>
      </c>
      <c r="Z73" s="168">
        <f t="shared" si="7"/>
        <v>0</v>
      </c>
      <c r="AA73" s="168">
        <f t="shared" si="8"/>
        <v>0</v>
      </c>
      <c r="AB73" s="168">
        <f t="shared" si="9"/>
        <v>79413.52</v>
      </c>
    </row>
    <row r="74" ht="14.25" customHeight="1">
      <c r="A74" s="157">
        <v>278.0</v>
      </c>
      <c r="B74" s="169" t="s">
        <v>722</v>
      </c>
      <c r="C74" s="169" t="s">
        <v>7296</v>
      </c>
      <c r="D74" s="159">
        <v>42401.0</v>
      </c>
      <c r="E74" s="157" t="s">
        <v>2</v>
      </c>
      <c r="F74" s="160">
        <v>185851.24</v>
      </c>
      <c r="G74" s="160">
        <f>+F74*0.16</f>
        <v>29736.1984</v>
      </c>
      <c r="H74" s="160">
        <f t="shared" si="15"/>
        <v>215587.4384</v>
      </c>
      <c r="I74" s="160"/>
      <c r="J74" s="161"/>
      <c r="K74" s="160"/>
      <c r="L74" s="160">
        <f>+'FACUS$'!$H74-'FACUS$'!$I74-'FACUS$'!$K74</f>
        <v>215587.4384</v>
      </c>
      <c r="M74" s="157" t="s">
        <v>93</v>
      </c>
      <c r="N74" s="162" t="s">
        <v>127</v>
      </c>
      <c r="O74" s="332"/>
      <c r="P74" s="164" t="str">
        <f t="array" ref="P74">XLOOKUP('FACUS$'!$B74,'perfil de pagos'!$A$4:$A$46,'perfil de pagos'!$C$4:$C$46+'FACUS$'!$D74)</f>
        <v>#N/A</v>
      </c>
      <c r="Q74" s="165" t="str">
        <f t="shared" si="2"/>
        <v>N/A</v>
      </c>
      <c r="R74" s="171"/>
      <c r="S74" s="171"/>
      <c r="T74" s="171"/>
      <c r="U74" s="333" t="s">
        <v>7271</v>
      </c>
      <c r="V74" s="168">
        <f t="shared" si="3"/>
        <v>0</v>
      </c>
      <c r="W74" s="168">
        <f t="shared" si="4"/>
        <v>0</v>
      </c>
      <c r="X74" s="168">
        <f t="shared" si="5"/>
        <v>0</v>
      </c>
      <c r="Y74" s="168">
        <f t="shared" si="6"/>
        <v>0</v>
      </c>
      <c r="Z74" s="168">
        <f t="shared" si="7"/>
        <v>0</v>
      </c>
      <c r="AA74" s="168">
        <f t="shared" si="8"/>
        <v>0</v>
      </c>
      <c r="AB74" s="168">
        <f t="shared" si="9"/>
        <v>215587.4384</v>
      </c>
    </row>
    <row r="75" ht="14.25" customHeight="1">
      <c r="A75" s="157">
        <v>281.0</v>
      </c>
      <c r="B75" s="169" t="s">
        <v>722</v>
      </c>
      <c r="C75" s="169" t="s">
        <v>7296</v>
      </c>
      <c r="D75" s="159">
        <v>42401.0</v>
      </c>
      <c r="E75" s="157" t="s">
        <v>2</v>
      </c>
      <c r="F75" s="160">
        <v>68459.93</v>
      </c>
      <c r="G75" s="160">
        <v>10953.59</v>
      </c>
      <c r="H75" s="160">
        <f t="shared" si="15"/>
        <v>79413.52</v>
      </c>
      <c r="I75" s="160"/>
      <c r="J75" s="161"/>
      <c r="K75" s="160"/>
      <c r="L75" s="160">
        <f>+'FACUS$'!$H75-'FACUS$'!$I75-'FACUS$'!$K75</f>
        <v>79413.52</v>
      </c>
      <c r="M75" s="157" t="s">
        <v>93</v>
      </c>
      <c r="N75" s="162" t="s">
        <v>127</v>
      </c>
      <c r="O75" s="332"/>
      <c r="P75" s="164" t="str">
        <f t="array" ref="P75">XLOOKUP('FACUS$'!$B75,'perfil de pagos'!$A$4:$A$46,'perfil de pagos'!$C$4:$C$46+'FACUS$'!$D75)</f>
        <v>#N/A</v>
      </c>
      <c r="Q75" s="165" t="str">
        <f t="shared" si="2"/>
        <v>N/A</v>
      </c>
      <c r="R75" s="171"/>
      <c r="S75" s="171"/>
      <c r="T75" s="171"/>
      <c r="U75" s="333" t="s">
        <v>7271</v>
      </c>
      <c r="V75" s="168">
        <f t="shared" si="3"/>
        <v>0</v>
      </c>
      <c r="W75" s="168">
        <f t="shared" si="4"/>
        <v>0</v>
      </c>
      <c r="X75" s="168">
        <f t="shared" si="5"/>
        <v>0</v>
      </c>
      <c r="Y75" s="168">
        <f t="shared" si="6"/>
        <v>0</v>
      </c>
      <c r="Z75" s="168">
        <f t="shared" si="7"/>
        <v>0</v>
      </c>
      <c r="AA75" s="168">
        <f t="shared" si="8"/>
        <v>0</v>
      </c>
      <c r="AB75" s="168">
        <f t="shared" si="9"/>
        <v>79413.52</v>
      </c>
    </row>
    <row r="76" ht="14.25" customHeight="1">
      <c r="A76" s="157">
        <v>282.0</v>
      </c>
      <c r="B76" s="169" t="s">
        <v>722</v>
      </c>
      <c r="C76" s="169" t="s">
        <v>7296</v>
      </c>
      <c r="D76" s="159">
        <v>42401.0</v>
      </c>
      <c r="E76" s="157" t="s">
        <v>2</v>
      </c>
      <c r="F76" s="160">
        <v>185851.24</v>
      </c>
      <c r="G76" s="160">
        <v>29736.2</v>
      </c>
      <c r="H76" s="160">
        <f t="shared" si="15"/>
        <v>215587.44</v>
      </c>
      <c r="I76" s="160"/>
      <c r="J76" s="161"/>
      <c r="K76" s="160"/>
      <c r="L76" s="160">
        <f>+'FACUS$'!$H76-'FACUS$'!$I76-'FACUS$'!$K76</f>
        <v>215587.44</v>
      </c>
      <c r="M76" s="157" t="s">
        <v>93</v>
      </c>
      <c r="N76" s="162" t="s">
        <v>554</v>
      </c>
      <c r="O76" s="332"/>
      <c r="P76" s="164" t="str">
        <f t="array" ref="P76">XLOOKUP('FACUS$'!$B76,'perfil de pagos'!$A$4:$A$46,'perfil de pagos'!$C$4:$C$46+'FACUS$'!$D76)</f>
        <v>#N/A</v>
      </c>
      <c r="Q76" s="165">
        <f t="shared" si="2"/>
        <v>0</v>
      </c>
      <c r="R76" s="171"/>
      <c r="S76" s="171"/>
      <c r="T76" s="171"/>
      <c r="U76" s="333" t="s">
        <v>7271</v>
      </c>
      <c r="V76" s="168">
        <f t="shared" si="3"/>
        <v>215587.44</v>
      </c>
      <c r="W76" s="168">
        <f t="shared" si="4"/>
        <v>0</v>
      </c>
      <c r="X76" s="168">
        <f t="shared" si="5"/>
        <v>0</v>
      </c>
      <c r="Y76" s="168">
        <f t="shared" si="6"/>
        <v>0</v>
      </c>
      <c r="Z76" s="168">
        <f t="shared" si="7"/>
        <v>0</v>
      </c>
      <c r="AA76" s="168">
        <f t="shared" si="8"/>
        <v>0</v>
      </c>
      <c r="AB76" s="168">
        <f t="shared" si="9"/>
        <v>0</v>
      </c>
    </row>
    <row r="77" ht="14.25" customHeight="1">
      <c r="A77" s="157">
        <v>285.0</v>
      </c>
      <c r="B77" s="169" t="s">
        <v>722</v>
      </c>
      <c r="C77" s="169" t="s">
        <v>7296</v>
      </c>
      <c r="D77" s="159">
        <v>42401.0</v>
      </c>
      <c r="E77" s="157" t="s">
        <v>2</v>
      </c>
      <c r="F77" s="160">
        <v>68459.93</v>
      </c>
      <c r="G77" s="160">
        <v>10953.59</v>
      </c>
      <c r="H77" s="160">
        <f t="shared" si="15"/>
        <v>79413.52</v>
      </c>
      <c r="I77" s="160"/>
      <c r="J77" s="161"/>
      <c r="K77" s="160"/>
      <c r="L77" s="160">
        <f>+'FACUS$'!$H77-'FACUS$'!$I77-'FACUS$'!$K77</f>
        <v>79413.52</v>
      </c>
      <c r="M77" s="157" t="s">
        <v>93</v>
      </c>
      <c r="N77" s="162" t="s">
        <v>554</v>
      </c>
      <c r="O77" s="332"/>
      <c r="P77" s="164" t="str">
        <f t="array" ref="P77">XLOOKUP('FACUS$'!$B77,'perfil de pagos'!$A$4:$A$46,'perfil de pagos'!$C$4:$C$46+'FACUS$'!$D77)</f>
        <v>#N/A</v>
      </c>
      <c r="Q77" s="165">
        <f t="shared" si="2"/>
        <v>0</v>
      </c>
      <c r="R77" s="171"/>
      <c r="S77" s="171"/>
      <c r="T77" s="171"/>
      <c r="U77" s="333" t="s">
        <v>7271</v>
      </c>
      <c r="V77" s="168">
        <f t="shared" si="3"/>
        <v>79413.52</v>
      </c>
      <c r="W77" s="168">
        <f t="shared" si="4"/>
        <v>0</v>
      </c>
      <c r="X77" s="168">
        <f t="shared" si="5"/>
        <v>0</v>
      </c>
      <c r="Y77" s="168">
        <f t="shared" si="6"/>
        <v>0</v>
      </c>
      <c r="Z77" s="168">
        <f t="shared" si="7"/>
        <v>0</v>
      </c>
      <c r="AA77" s="168">
        <f t="shared" si="8"/>
        <v>0</v>
      </c>
      <c r="AB77" s="168">
        <f t="shared" si="9"/>
        <v>0</v>
      </c>
    </row>
    <row r="78" ht="14.25" customHeight="1">
      <c r="A78" s="157">
        <v>287.0</v>
      </c>
      <c r="B78" s="169" t="s">
        <v>70</v>
      </c>
      <c r="C78" s="170" t="s">
        <v>759</v>
      </c>
      <c r="D78" s="159">
        <v>42401.0</v>
      </c>
      <c r="E78" s="157" t="s">
        <v>2</v>
      </c>
      <c r="F78" s="160">
        <v>131272.5</v>
      </c>
      <c r="G78" s="160">
        <v>21003.6</v>
      </c>
      <c r="H78" s="160">
        <f t="shared" si="15"/>
        <v>152276.1</v>
      </c>
      <c r="I78" s="160"/>
      <c r="J78" s="161"/>
      <c r="K78" s="160"/>
      <c r="L78" s="160">
        <f>+'FACUS$'!$H78-'FACUS$'!$I78-'FACUS$'!$K78</f>
        <v>152276.1</v>
      </c>
      <c r="M78" s="157" t="s">
        <v>719</v>
      </c>
      <c r="N78" s="162" t="s">
        <v>554</v>
      </c>
      <c r="O78" s="335">
        <v>43087.0</v>
      </c>
      <c r="P78" s="164" t="str">
        <f t="array" ref="P78">XLOOKUP('FACUS$'!$B78,'perfil de pagos'!$A$4:$A$46,'perfil de pagos'!$C$4:$C$46+'FACUS$'!$D78)</f>
        <v>#N/A</v>
      </c>
      <c r="Q78" s="165">
        <f t="shared" si="2"/>
        <v>0</v>
      </c>
      <c r="R78" s="171"/>
      <c r="S78" s="171"/>
      <c r="T78" s="171"/>
      <c r="U78" s="333" t="s">
        <v>7271</v>
      </c>
      <c r="V78" s="168">
        <f t="shared" si="3"/>
        <v>152276.1</v>
      </c>
      <c r="W78" s="168">
        <f t="shared" si="4"/>
        <v>0</v>
      </c>
      <c r="X78" s="168">
        <f t="shared" si="5"/>
        <v>0</v>
      </c>
      <c r="Y78" s="168">
        <f t="shared" si="6"/>
        <v>0</v>
      </c>
      <c r="Z78" s="168">
        <f t="shared" si="7"/>
        <v>0</v>
      </c>
      <c r="AA78" s="168">
        <f t="shared" si="8"/>
        <v>0</v>
      </c>
      <c r="AB78" s="168">
        <f t="shared" si="9"/>
        <v>0</v>
      </c>
    </row>
    <row r="79" ht="14.25" customHeight="1">
      <c r="A79" s="157">
        <v>289.0</v>
      </c>
      <c r="B79" s="169" t="s">
        <v>70</v>
      </c>
      <c r="C79" s="169" t="s">
        <v>759</v>
      </c>
      <c r="D79" s="159">
        <v>42401.0</v>
      </c>
      <c r="E79" s="157" t="s">
        <v>2</v>
      </c>
      <c r="F79" s="160">
        <v>37830.0</v>
      </c>
      <c r="G79" s="160">
        <v>6052.8</v>
      </c>
      <c r="H79" s="160">
        <f t="shared" si="15"/>
        <v>43882.8</v>
      </c>
      <c r="I79" s="160"/>
      <c r="J79" s="161"/>
      <c r="K79" s="160"/>
      <c r="L79" s="160">
        <f>+'FACUS$'!$H79-'FACUS$'!$I79-'FACUS$'!$K79</f>
        <v>43882.8</v>
      </c>
      <c r="M79" s="157" t="s">
        <v>719</v>
      </c>
      <c r="N79" s="162" t="s">
        <v>554</v>
      </c>
      <c r="O79" s="332">
        <v>42795.0</v>
      </c>
      <c r="P79" s="164" t="str">
        <f t="array" ref="P79">XLOOKUP('FACUS$'!$B79,'perfil de pagos'!$A$4:$A$46,'perfil de pagos'!$C$4:$C$46+'FACUS$'!$D79)</f>
        <v>#N/A</v>
      </c>
      <c r="Q79" s="165">
        <f t="shared" si="2"/>
        <v>0</v>
      </c>
      <c r="R79" s="171"/>
      <c r="S79" s="171"/>
      <c r="T79" s="171"/>
      <c r="U79" s="333" t="s">
        <v>7271</v>
      </c>
      <c r="V79" s="168">
        <f t="shared" si="3"/>
        <v>43882.8</v>
      </c>
      <c r="W79" s="168">
        <f t="shared" si="4"/>
        <v>0</v>
      </c>
      <c r="X79" s="168">
        <f t="shared" si="5"/>
        <v>0</v>
      </c>
      <c r="Y79" s="168">
        <f t="shared" si="6"/>
        <v>0</v>
      </c>
      <c r="Z79" s="168">
        <f t="shared" si="7"/>
        <v>0</v>
      </c>
      <c r="AA79" s="168">
        <f t="shared" si="8"/>
        <v>0</v>
      </c>
      <c r="AB79" s="168">
        <f t="shared" si="9"/>
        <v>0</v>
      </c>
    </row>
    <row r="80" ht="14.25" customHeight="1">
      <c r="A80" s="157">
        <v>293.0</v>
      </c>
      <c r="B80" s="169" t="s">
        <v>692</v>
      </c>
      <c r="C80" s="169" t="s">
        <v>737</v>
      </c>
      <c r="D80" s="159">
        <v>42415.0</v>
      </c>
      <c r="E80" s="157" t="s">
        <v>2</v>
      </c>
      <c r="F80" s="160">
        <v>117638.51</v>
      </c>
      <c r="G80" s="160">
        <v>18822.16</v>
      </c>
      <c r="H80" s="160">
        <f t="shared" si="15"/>
        <v>136460.67</v>
      </c>
      <c r="I80" s="160"/>
      <c r="J80" s="161"/>
      <c r="K80" s="160"/>
      <c r="L80" s="160">
        <f>+'FACUS$'!$H80-'FACUS$'!$I80-'FACUS$'!$K80</f>
        <v>136460.67</v>
      </c>
      <c r="M80" s="157" t="s">
        <v>7298</v>
      </c>
      <c r="N80" s="162" t="s">
        <v>554</v>
      </c>
      <c r="O80" s="332">
        <v>42809.0</v>
      </c>
      <c r="P80" s="164" t="str">
        <f t="array" ref="P80">XLOOKUP('FACUS$'!$B80,'perfil de pagos'!$A$4:$A$46,'perfil de pagos'!$C$4:$C$46+'FACUS$'!$D80)</f>
        <v>#N/A</v>
      </c>
      <c r="Q80" s="165">
        <f t="shared" si="2"/>
        <v>0</v>
      </c>
      <c r="R80" s="171"/>
      <c r="S80" s="171"/>
      <c r="T80" s="171"/>
      <c r="U80" s="333" t="s">
        <v>7271</v>
      </c>
      <c r="V80" s="168">
        <f t="shared" si="3"/>
        <v>136460.67</v>
      </c>
      <c r="W80" s="168">
        <f t="shared" si="4"/>
        <v>0</v>
      </c>
      <c r="X80" s="168">
        <f t="shared" si="5"/>
        <v>0</v>
      </c>
      <c r="Y80" s="168">
        <f t="shared" si="6"/>
        <v>0</v>
      </c>
      <c r="Z80" s="168">
        <f t="shared" si="7"/>
        <v>0</v>
      </c>
      <c r="AA80" s="168">
        <f t="shared" si="8"/>
        <v>0</v>
      </c>
      <c r="AB80" s="168">
        <f t="shared" si="9"/>
        <v>0</v>
      </c>
    </row>
    <row r="81" ht="14.25" customHeight="1">
      <c r="A81" s="157">
        <v>295.0</v>
      </c>
      <c r="B81" s="169" t="s">
        <v>722</v>
      </c>
      <c r="C81" s="169" t="s">
        <v>7296</v>
      </c>
      <c r="D81" s="159">
        <v>42415.0</v>
      </c>
      <c r="E81" s="157" t="s">
        <v>2</v>
      </c>
      <c r="F81" s="160">
        <v>109067.63</v>
      </c>
      <c r="G81" s="160">
        <v>17450.82</v>
      </c>
      <c r="H81" s="160">
        <f t="shared" si="15"/>
        <v>126518.45</v>
      </c>
      <c r="I81" s="160"/>
      <c r="J81" s="161"/>
      <c r="K81" s="160"/>
      <c r="L81" s="160">
        <f>+'FACUS$'!$H81-'FACUS$'!$I81-'FACUS$'!$K81</f>
        <v>126518.45</v>
      </c>
      <c r="M81" s="157" t="s">
        <v>93</v>
      </c>
      <c r="N81" s="162" t="s">
        <v>127</v>
      </c>
      <c r="O81" s="332"/>
      <c r="P81" s="164" t="str">
        <f t="array" ref="P81">XLOOKUP('FACUS$'!$B81,'perfil de pagos'!$A$4:$A$46,'perfil de pagos'!$C$4:$C$46+'FACUS$'!$D81)</f>
        <v>#N/A</v>
      </c>
      <c r="Q81" s="165" t="str">
        <f t="shared" si="2"/>
        <v>N/A</v>
      </c>
      <c r="R81" s="171"/>
      <c r="S81" s="171"/>
      <c r="T81" s="171"/>
      <c r="U81" s="333" t="s">
        <v>7271</v>
      </c>
      <c r="V81" s="168">
        <f t="shared" si="3"/>
        <v>0</v>
      </c>
      <c r="W81" s="168">
        <f t="shared" si="4"/>
        <v>0</v>
      </c>
      <c r="X81" s="168">
        <f t="shared" si="5"/>
        <v>0</v>
      </c>
      <c r="Y81" s="168">
        <f t="shared" si="6"/>
        <v>0</v>
      </c>
      <c r="Z81" s="168">
        <f t="shared" si="7"/>
        <v>0</v>
      </c>
      <c r="AA81" s="168">
        <f t="shared" si="8"/>
        <v>0</v>
      </c>
      <c r="AB81" s="168">
        <f t="shared" si="9"/>
        <v>126518.45</v>
      </c>
    </row>
    <row r="82" ht="14.25" customHeight="1">
      <c r="A82" s="157">
        <v>301.0</v>
      </c>
      <c r="B82" s="169" t="s">
        <v>692</v>
      </c>
      <c r="C82" s="169" t="s">
        <v>737</v>
      </c>
      <c r="D82" s="159">
        <v>42430.0</v>
      </c>
      <c r="E82" s="157" t="s">
        <v>2</v>
      </c>
      <c r="F82" s="160">
        <v>111186.23</v>
      </c>
      <c r="G82" s="160">
        <v>17789.8</v>
      </c>
      <c r="H82" s="160">
        <f t="shared" si="15"/>
        <v>128976.03</v>
      </c>
      <c r="I82" s="160"/>
      <c r="J82" s="161"/>
      <c r="K82" s="160"/>
      <c r="L82" s="160">
        <f>+'FACUS$'!$H82-'FACUS$'!$I82-'FACUS$'!$K82</f>
        <v>128976.03</v>
      </c>
      <c r="M82" s="157" t="s">
        <v>7298</v>
      </c>
      <c r="N82" s="162" t="s">
        <v>127</v>
      </c>
      <c r="O82" s="332"/>
      <c r="P82" s="164" t="str">
        <f t="array" ref="P82">XLOOKUP('FACUS$'!$B82,'perfil de pagos'!$A$4:$A$46,'perfil de pagos'!$C$4:$C$46+'FACUS$'!$D82)</f>
        <v>#N/A</v>
      </c>
      <c r="Q82" s="165" t="str">
        <f t="shared" si="2"/>
        <v>N/A</v>
      </c>
      <c r="R82" s="171"/>
      <c r="S82" s="171"/>
      <c r="T82" s="171"/>
      <c r="U82" s="333" t="s">
        <v>7271</v>
      </c>
      <c r="V82" s="168">
        <f t="shared" si="3"/>
        <v>0</v>
      </c>
      <c r="W82" s="168">
        <f t="shared" si="4"/>
        <v>0</v>
      </c>
      <c r="X82" s="168">
        <f t="shared" si="5"/>
        <v>0</v>
      </c>
      <c r="Y82" s="168">
        <f t="shared" si="6"/>
        <v>0</v>
      </c>
      <c r="Z82" s="168">
        <f t="shared" si="7"/>
        <v>0</v>
      </c>
      <c r="AA82" s="168">
        <f t="shared" si="8"/>
        <v>0</v>
      </c>
      <c r="AB82" s="168">
        <f t="shared" si="9"/>
        <v>128976.03</v>
      </c>
    </row>
    <row r="83" ht="14.25" customHeight="1">
      <c r="A83" s="157">
        <v>306.0</v>
      </c>
      <c r="B83" s="169" t="s">
        <v>722</v>
      </c>
      <c r="C83" s="169" t="s">
        <v>7296</v>
      </c>
      <c r="D83" s="159">
        <v>42430.0</v>
      </c>
      <c r="E83" s="157" t="s">
        <v>2</v>
      </c>
      <c r="F83" s="160">
        <v>91775.18</v>
      </c>
      <c r="G83" s="160">
        <v>14684.03</v>
      </c>
      <c r="H83" s="160">
        <f t="shared" si="15"/>
        <v>106459.21</v>
      </c>
      <c r="I83" s="160"/>
      <c r="J83" s="161"/>
      <c r="K83" s="160"/>
      <c r="L83" s="160">
        <f>+'FACUS$'!$H83-'FACUS$'!$I83-'FACUS$'!$K83</f>
        <v>106459.21</v>
      </c>
      <c r="M83" s="157" t="s">
        <v>93</v>
      </c>
      <c r="N83" s="162" t="s">
        <v>127</v>
      </c>
      <c r="O83" s="332"/>
      <c r="P83" s="164" t="str">
        <f t="array" ref="P83">XLOOKUP('FACUS$'!$B83,'perfil de pagos'!$A$4:$A$46,'perfil de pagos'!$C$4:$C$46+'FACUS$'!$D83)</f>
        <v>#N/A</v>
      </c>
      <c r="Q83" s="165" t="str">
        <f t="shared" si="2"/>
        <v>N/A</v>
      </c>
      <c r="R83" s="167"/>
      <c r="S83" s="171"/>
      <c r="T83" s="171"/>
      <c r="U83" s="333" t="s">
        <v>7271</v>
      </c>
      <c r="V83" s="168">
        <f t="shared" si="3"/>
        <v>0</v>
      </c>
      <c r="W83" s="168">
        <f t="shared" si="4"/>
        <v>0</v>
      </c>
      <c r="X83" s="168">
        <f t="shared" si="5"/>
        <v>0</v>
      </c>
      <c r="Y83" s="168">
        <f t="shared" si="6"/>
        <v>0</v>
      </c>
      <c r="Z83" s="168">
        <f t="shared" si="7"/>
        <v>0</v>
      </c>
      <c r="AA83" s="168">
        <f t="shared" si="8"/>
        <v>0</v>
      </c>
      <c r="AB83" s="168">
        <f t="shared" si="9"/>
        <v>106459.21</v>
      </c>
    </row>
    <row r="84" ht="14.25" customHeight="1">
      <c r="A84" s="157">
        <v>308.0</v>
      </c>
      <c r="B84" s="169" t="s">
        <v>70</v>
      </c>
      <c r="C84" s="169" t="s">
        <v>759</v>
      </c>
      <c r="D84" s="159">
        <v>42430.0</v>
      </c>
      <c r="E84" s="157" t="s">
        <v>2</v>
      </c>
      <c r="F84" s="160">
        <v>85875.0</v>
      </c>
      <c r="G84" s="160">
        <v>13740.0</v>
      </c>
      <c r="H84" s="160">
        <f t="shared" si="15"/>
        <v>99615</v>
      </c>
      <c r="I84" s="160"/>
      <c r="J84" s="161"/>
      <c r="K84" s="160"/>
      <c r="L84" s="160">
        <f>+'FACUS$'!$H84-'FACUS$'!$I84-'FACUS$'!$K84</f>
        <v>99615</v>
      </c>
      <c r="M84" s="157" t="s">
        <v>719</v>
      </c>
      <c r="N84" s="162" t="s">
        <v>127</v>
      </c>
      <c r="O84" s="332">
        <v>42807.0</v>
      </c>
      <c r="P84" s="164" t="str">
        <f t="array" ref="P84">XLOOKUP('FACUS$'!$B84,'perfil de pagos'!$A$4:$A$46,'perfil de pagos'!$C$4:$C$46+'FACUS$'!$D84)</f>
        <v>#N/A</v>
      </c>
      <c r="Q84" s="165" t="str">
        <f t="shared" si="2"/>
        <v>N/A</v>
      </c>
      <c r="R84" s="171"/>
      <c r="S84" s="171"/>
      <c r="T84" s="171"/>
      <c r="U84" s="333" t="s">
        <v>7271</v>
      </c>
      <c r="V84" s="168">
        <f t="shared" si="3"/>
        <v>0</v>
      </c>
      <c r="W84" s="168">
        <f t="shared" si="4"/>
        <v>0</v>
      </c>
      <c r="X84" s="168">
        <f t="shared" si="5"/>
        <v>0</v>
      </c>
      <c r="Y84" s="168">
        <f t="shared" si="6"/>
        <v>0</v>
      </c>
      <c r="Z84" s="168">
        <f t="shared" si="7"/>
        <v>0</v>
      </c>
      <c r="AA84" s="168">
        <f t="shared" si="8"/>
        <v>0</v>
      </c>
      <c r="AB84" s="168">
        <f t="shared" si="9"/>
        <v>99615</v>
      </c>
    </row>
    <row r="85" ht="14.25" customHeight="1">
      <c r="A85" s="157">
        <v>312.0</v>
      </c>
      <c r="B85" s="169" t="s">
        <v>692</v>
      </c>
      <c r="C85" s="169" t="s">
        <v>737</v>
      </c>
      <c r="D85" s="159">
        <v>42430.0</v>
      </c>
      <c r="E85" s="157" t="s">
        <v>2</v>
      </c>
      <c r="F85" s="160">
        <v>121697.0</v>
      </c>
      <c r="G85" s="160">
        <v>19471.52</v>
      </c>
      <c r="H85" s="160">
        <f t="shared" si="15"/>
        <v>141168.52</v>
      </c>
      <c r="I85" s="160"/>
      <c r="J85" s="161"/>
      <c r="K85" s="160"/>
      <c r="L85" s="160">
        <f>+'FACUS$'!$H85-'FACUS$'!$I85-'FACUS$'!$K85</f>
        <v>141168.52</v>
      </c>
      <c r="M85" s="157" t="s">
        <v>7298</v>
      </c>
      <c r="N85" s="162" t="s">
        <v>554</v>
      </c>
      <c r="O85" s="332">
        <v>42831.0</v>
      </c>
      <c r="P85" s="164" t="str">
        <f t="array" ref="P85">XLOOKUP('FACUS$'!$B85,'perfil de pagos'!$A$4:$A$46,'perfil de pagos'!$C$4:$C$46+'FACUS$'!$D85)</f>
        <v>#N/A</v>
      </c>
      <c r="Q85" s="165">
        <f t="shared" si="2"/>
        <v>0</v>
      </c>
      <c r="R85" s="171"/>
      <c r="S85" s="171"/>
      <c r="T85" s="171"/>
      <c r="U85" s="333" t="s">
        <v>7271</v>
      </c>
      <c r="V85" s="168">
        <f t="shared" si="3"/>
        <v>141168.52</v>
      </c>
      <c r="W85" s="168">
        <f t="shared" si="4"/>
        <v>0</v>
      </c>
      <c r="X85" s="168">
        <f t="shared" si="5"/>
        <v>0</v>
      </c>
      <c r="Y85" s="168">
        <f t="shared" si="6"/>
        <v>0</v>
      </c>
      <c r="Z85" s="168">
        <f t="shared" si="7"/>
        <v>0</v>
      </c>
      <c r="AA85" s="168">
        <f t="shared" si="8"/>
        <v>0</v>
      </c>
      <c r="AB85" s="168">
        <f t="shared" si="9"/>
        <v>0</v>
      </c>
    </row>
    <row r="86" ht="14.25" customHeight="1">
      <c r="A86" s="157">
        <v>314.0</v>
      </c>
      <c r="B86" s="170" t="s">
        <v>722</v>
      </c>
      <c r="C86" s="169" t="s">
        <v>7296</v>
      </c>
      <c r="D86" s="159">
        <v>42430.0</v>
      </c>
      <c r="E86" s="157" t="s">
        <v>2</v>
      </c>
      <c r="F86" s="160">
        <v>91775.18</v>
      </c>
      <c r="G86" s="160">
        <v>14684.03</v>
      </c>
      <c r="H86" s="160">
        <f t="shared" si="15"/>
        <v>106459.21</v>
      </c>
      <c r="I86" s="160"/>
      <c r="J86" s="161"/>
      <c r="K86" s="160"/>
      <c r="L86" s="160">
        <f>+'FACUS$'!$H86-'FACUS$'!$I86-'FACUS$'!$K86</f>
        <v>106459.21</v>
      </c>
      <c r="M86" s="157" t="s">
        <v>93</v>
      </c>
      <c r="N86" s="162" t="s">
        <v>554</v>
      </c>
      <c r="O86" s="332">
        <v>42825.0</v>
      </c>
      <c r="P86" s="164" t="str">
        <f t="array" ref="P86">XLOOKUP('FACUS$'!$B86,'perfil de pagos'!$A$4:$A$46,'perfil de pagos'!$C$4:$C$46+'FACUS$'!$D86)</f>
        <v>#N/A</v>
      </c>
      <c r="Q86" s="165">
        <f t="shared" si="2"/>
        <v>0</v>
      </c>
      <c r="R86" s="171"/>
      <c r="S86" s="171"/>
      <c r="T86" s="171"/>
      <c r="U86" s="333" t="s">
        <v>7271</v>
      </c>
      <c r="V86" s="168">
        <f t="shared" si="3"/>
        <v>106459.21</v>
      </c>
      <c r="W86" s="168">
        <f t="shared" si="4"/>
        <v>0</v>
      </c>
      <c r="X86" s="168">
        <f t="shared" si="5"/>
        <v>0</v>
      </c>
      <c r="Y86" s="168">
        <f t="shared" si="6"/>
        <v>0</v>
      </c>
      <c r="Z86" s="168">
        <f t="shared" si="7"/>
        <v>0</v>
      </c>
      <c r="AA86" s="168">
        <f t="shared" si="8"/>
        <v>0</v>
      </c>
      <c r="AB86" s="168">
        <f t="shared" si="9"/>
        <v>0</v>
      </c>
    </row>
    <row r="87" ht="14.25" customHeight="1">
      <c r="A87" s="157">
        <v>317.0</v>
      </c>
      <c r="B87" s="169" t="s">
        <v>70</v>
      </c>
      <c r="C87" s="169" t="s">
        <v>759</v>
      </c>
      <c r="D87" s="159">
        <v>42430.0</v>
      </c>
      <c r="E87" s="157" t="s">
        <v>2</v>
      </c>
      <c r="F87" s="160">
        <v>85875.0</v>
      </c>
      <c r="G87" s="160">
        <v>13740.0</v>
      </c>
      <c r="H87" s="160">
        <f t="shared" si="15"/>
        <v>99615</v>
      </c>
      <c r="I87" s="160"/>
      <c r="J87" s="161"/>
      <c r="K87" s="160"/>
      <c r="L87" s="160">
        <f>+'FACUS$'!$H87-'FACUS$'!$I87-'FACUS$'!$K87</f>
        <v>99615</v>
      </c>
      <c r="M87" s="157" t="s">
        <v>719</v>
      </c>
      <c r="N87" s="162" t="s">
        <v>554</v>
      </c>
      <c r="O87" s="332">
        <v>42816.0</v>
      </c>
      <c r="P87" s="164" t="str">
        <f t="array" ref="P87">XLOOKUP('FACUS$'!$B87,'perfil de pagos'!$A$4:$A$46,'perfil de pagos'!$C$4:$C$46+'FACUS$'!$D87)</f>
        <v>#N/A</v>
      </c>
      <c r="Q87" s="165">
        <f t="shared" si="2"/>
        <v>0</v>
      </c>
      <c r="R87" s="171"/>
      <c r="S87" s="171"/>
      <c r="T87" s="171"/>
      <c r="U87" s="333" t="s">
        <v>7271</v>
      </c>
      <c r="V87" s="168">
        <f t="shared" si="3"/>
        <v>99615</v>
      </c>
      <c r="W87" s="168">
        <f t="shared" si="4"/>
        <v>0</v>
      </c>
      <c r="X87" s="168">
        <f t="shared" si="5"/>
        <v>0</v>
      </c>
      <c r="Y87" s="168">
        <f t="shared" si="6"/>
        <v>0</v>
      </c>
      <c r="Z87" s="168">
        <f t="shared" si="7"/>
        <v>0</v>
      </c>
      <c r="AA87" s="168">
        <f t="shared" si="8"/>
        <v>0</v>
      </c>
      <c r="AB87" s="168">
        <f t="shared" si="9"/>
        <v>0</v>
      </c>
    </row>
    <row r="88" ht="14.25" customHeight="1">
      <c r="A88" s="157">
        <v>319.0</v>
      </c>
      <c r="B88" s="169" t="s">
        <v>70</v>
      </c>
      <c r="C88" s="169" t="s">
        <v>759</v>
      </c>
      <c r="D88" s="159">
        <v>42444.0</v>
      </c>
      <c r="E88" s="157" t="s">
        <v>2</v>
      </c>
      <c r="F88" s="160">
        <v>66450.0</v>
      </c>
      <c r="G88" s="160">
        <v>10632.0</v>
      </c>
      <c r="H88" s="160">
        <f t="shared" si="15"/>
        <v>77082</v>
      </c>
      <c r="I88" s="160"/>
      <c r="J88" s="161"/>
      <c r="K88" s="160"/>
      <c r="L88" s="160">
        <f>+'FACUS$'!$H88-'FACUS$'!$I88-'FACUS$'!$K88</f>
        <v>77082</v>
      </c>
      <c r="M88" s="157" t="s">
        <v>719</v>
      </c>
      <c r="N88" s="162" t="s">
        <v>554</v>
      </c>
      <c r="O88" s="332">
        <v>42847.0</v>
      </c>
      <c r="P88" s="164" t="str">
        <f t="array" ref="P88">XLOOKUP('FACUS$'!$B88,'perfil de pagos'!$A$4:$A$46,'perfil de pagos'!$C$4:$C$46+'FACUS$'!$D88)</f>
        <v>#N/A</v>
      </c>
      <c r="Q88" s="165">
        <f t="shared" si="2"/>
        <v>0</v>
      </c>
      <c r="R88" s="171"/>
      <c r="S88" s="171"/>
      <c r="T88" s="171"/>
      <c r="U88" s="333" t="s">
        <v>7271</v>
      </c>
      <c r="V88" s="168">
        <f t="shared" si="3"/>
        <v>77082</v>
      </c>
      <c r="W88" s="168">
        <f t="shared" si="4"/>
        <v>0</v>
      </c>
      <c r="X88" s="168">
        <f t="shared" si="5"/>
        <v>0</v>
      </c>
      <c r="Y88" s="168">
        <f t="shared" si="6"/>
        <v>0</v>
      </c>
      <c r="Z88" s="168">
        <f t="shared" si="7"/>
        <v>0</v>
      </c>
      <c r="AA88" s="168">
        <f t="shared" si="8"/>
        <v>0</v>
      </c>
      <c r="AB88" s="168">
        <f t="shared" si="9"/>
        <v>0</v>
      </c>
    </row>
    <row r="89" ht="14.25" customHeight="1">
      <c r="A89" s="157">
        <v>322.0</v>
      </c>
      <c r="B89" s="169" t="s">
        <v>722</v>
      </c>
      <c r="C89" s="169" t="s">
        <v>7296</v>
      </c>
      <c r="D89" s="159">
        <v>42444.0</v>
      </c>
      <c r="E89" s="157" t="s">
        <v>2</v>
      </c>
      <c r="F89" s="160">
        <v>79296.82</v>
      </c>
      <c r="G89" s="160">
        <v>12687.49</v>
      </c>
      <c r="H89" s="160">
        <f t="shared" si="15"/>
        <v>91984.31</v>
      </c>
      <c r="I89" s="160"/>
      <c r="J89" s="161"/>
      <c r="K89" s="160"/>
      <c r="L89" s="160">
        <f>+'FACUS$'!$H89-'FACUS$'!$I89-'FACUS$'!$K89</f>
        <v>91984.31</v>
      </c>
      <c r="M89" s="157" t="s">
        <v>93</v>
      </c>
      <c r="N89" s="162" t="s">
        <v>554</v>
      </c>
      <c r="O89" s="332">
        <v>42839.0</v>
      </c>
      <c r="P89" s="164" t="str">
        <f t="array" ref="P89">XLOOKUP('FACUS$'!$B89,'perfil de pagos'!$A$4:$A$46,'perfil de pagos'!$C$4:$C$46+'FACUS$'!$D89)</f>
        <v>#N/A</v>
      </c>
      <c r="Q89" s="165">
        <f t="shared" si="2"/>
        <v>0</v>
      </c>
      <c r="R89" s="171"/>
      <c r="S89" s="171"/>
      <c r="T89" s="171"/>
      <c r="U89" s="333" t="s">
        <v>7271</v>
      </c>
      <c r="V89" s="168">
        <f t="shared" si="3"/>
        <v>91984.31</v>
      </c>
      <c r="W89" s="168">
        <f t="shared" si="4"/>
        <v>0</v>
      </c>
      <c r="X89" s="168">
        <f t="shared" si="5"/>
        <v>0</v>
      </c>
      <c r="Y89" s="168">
        <f t="shared" si="6"/>
        <v>0</v>
      </c>
      <c r="Z89" s="168">
        <f t="shared" si="7"/>
        <v>0</v>
      </c>
      <c r="AA89" s="168">
        <f t="shared" si="8"/>
        <v>0</v>
      </c>
      <c r="AB89" s="168">
        <f t="shared" si="9"/>
        <v>0</v>
      </c>
    </row>
    <row r="90" ht="14.25" customHeight="1">
      <c r="A90" s="342">
        <v>323.0</v>
      </c>
      <c r="B90" s="169" t="s">
        <v>692</v>
      </c>
      <c r="C90" s="169" t="s">
        <v>737</v>
      </c>
      <c r="D90" s="159">
        <v>42444.0</v>
      </c>
      <c r="E90" s="157" t="s">
        <v>2</v>
      </c>
      <c r="F90" s="160">
        <v>107872.59</v>
      </c>
      <c r="G90" s="160">
        <v>17259.62</v>
      </c>
      <c r="H90" s="160">
        <f t="shared" si="15"/>
        <v>125132.21</v>
      </c>
      <c r="I90" s="160"/>
      <c r="J90" s="161"/>
      <c r="K90" s="160"/>
      <c r="L90" s="160">
        <f>+'FACUS$'!$H90-'FACUS$'!$I90-'FACUS$'!$K90</f>
        <v>125132.21</v>
      </c>
      <c r="M90" s="157" t="s">
        <v>7298</v>
      </c>
      <c r="N90" s="162" t="s">
        <v>554</v>
      </c>
      <c r="O90" s="332">
        <v>42836.0</v>
      </c>
      <c r="P90" s="164" t="str">
        <f t="array" ref="P90">XLOOKUP('FACUS$'!$B90,'perfil de pagos'!$A$4:$A$46,'perfil de pagos'!$C$4:$C$46+'FACUS$'!$D90)</f>
        <v>#N/A</v>
      </c>
      <c r="Q90" s="165">
        <f t="shared" si="2"/>
        <v>0</v>
      </c>
      <c r="R90" s="171"/>
      <c r="S90" s="171"/>
      <c r="T90" s="171"/>
      <c r="U90" s="333" t="s">
        <v>7271</v>
      </c>
      <c r="V90" s="168">
        <f t="shared" si="3"/>
        <v>125132.21</v>
      </c>
      <c r="W90" s="168">
        <f t="shared" si="4"/>
        <v>0</v>
      </c>
      <c r="X90" s="168">
        <f t="shared" si="5"/>
        <v>0</v>
      </c>
      <c r="Y90" s="168">
        <f t="shared" si="6"/>
        <v>0</v>
      </c>
      <c r="Z90" s="168">
        <f t="shared" si="7"/>
        <v>0</v>
      </c>
      <c r="AA90" s="168">
        <f t="shared" si="8"/>
        <v>0</v>
      </c>
      <c r="AB90" s="168">
        <f t="shared" si="9"/>
        <v>0</v>
      </c>
    </row>
    <row r="91" ht="14.25" customHeight="1">
      <c r="A91" s="157">
        <v>330.0</v>
      </c>
      <c r="B91" s="169" t="s">
        <v>722</v>
      </c>
      <c r="C91" s="169" t="s">
        <v>7296</v>
      </c>
      <c r="D91" s="159">
        <v>42480.0</v>
      </c>
      <c r="E91" s="157" t="s">
        <v>2</v>
      </c>
      <c r="F91" s="160">
        <v>60465.44</v>
      </c>
      <c r="G91" s="160">
        <v>9674.47</v>
      </c>
      <c r="H91" s="160">
        <f t="shared" si="15"/>
        <v>70139.91</v>
      </c>
      <c r="I91" s="160"/>
      <c r="J91" s="161"/>
      <c r="K91" s="160"/>
      <c r="L91" s="160">
        <f>+'FACUS$'!$H91-'FACUS$'!$I91-'FACUS$'!$K91</f>
        <v>70139.91</v>
      </c>
      <c r="M91" s="157" t="s">
        <v>93</v>
      </c>
      <c r="N91" s="162" t="s">
        <v>554</v>
      </c>
      <c r="O91" s="332">
        <v>42860.0</v>
      </c>
      <c r="P91" s="164" t="str">
        <f t="array" ref="P91">XLOOKUP('FACUS$'!$B91,'perfil de pagos'!$A$4:$A$46,'perfil de pagos'!$C$4:$C$46+'FACUS$'!$D91)</f>
        <v>#N/A</v>
      </c>
      <c r="Q91" s="165">
        <f t="shared" si="2"/>
        <v>0</v>
      </c>
      <c r="R91" s="171"/>
      <c r="S91" s="171"/>
      <c r="T91" s="171"/>
      <c r="U91" s="333" t="s">
        <v>7271</v>
      </c>
      <c r="V91" s="168">
        <f t="shared" si="3"/>
        <v>70139.91</v>
      </c>
      <c r="W91" s="168">
        <f t="shared" si="4"/>
        <v>0</v>
      </c>
      <c r="X91" s="168">
        <f t="shared" si="5"/>
        <v>0</v>
      </c>
      <c r="Y91" s="168">
        <f t="shared" si="6"/>
        <v>0</v>
      </c>
      <c r="Z91" s="168">
        <f t="shared" si="7"/>
        <v>0</v>
      </c>
      <c r="AA91" s="168">
        <f t="shared" si="8"/>
        <v>0</v>
      </c>
      <c r="AB91" s="168">
        <f t="shared" si="9"/>
        <v>0</v>
      </c>
    </row>
    <row r="92" ht="14.25" customHeight="1">
      <c r="A92" s="157">
        <v>332.0</v>
      </c>
      <c r="B92" s="169" t="s">
        <v>70</v>
      </c>
      <c r="C92" s="169" t="s">
        <v>759</v>
      </c>
      <c r="D92" s="159">
        <v>42461.0</v>
      </c>
      <c r="E92" s="157" t="s">
        <v>2</v>
      </c>
      <c r="F92" s="160">
        <v>80362.5</v>
      </c>
      <c r="G92" s="160">
        <v>12858.0</v>
      </c>
      <c r="H92" s="160">
        <f t="shared" si="15"/>
        <v>93220.5</v>
      </c>
      <c r="I92" s="160"/>
      <c r="J92" s="161"/>
      <c r="K92" s="160"/>
      <c r="L92" s="160">
        <f>+'FACUS$'!$H92-'FACUS$'!$I92-'FACUS$'!$K92</f>
        <v>93220.5</v>
      </c>
      <c r="M92" s="157" t="s">
        <v>719</v>
      </c>
      <c r="N92" s="162" t="s">
        <v>554</v>
      </c>
      <c r="O92" s="332">
        <v>42857.0</v>
      </c>
      <c r="P92" s="164" t="str">
        <f t="array" ref="P92">XLOOKUP('FACUS$'!$B92,'perfil de pagos'!$A$4:$A$46,'perfil de pagos'!$C$4:$C$46+'FACUS$'!$D92)</f>
        <v>#N/A</v>
      </c>
      <c r="Q92" s="165">
        <f t="shared" si="2"/>
        <v>0</v>
      </c>
      <c r="R92" s="171"/>
      <c r="S92" s="171"/>
      <c r="T92" s="171"/>
      <c r="U92" s="333" t="s">
        <v>7271</v>
      </c>
      <c r="V92" s="168">
        <f t="shared" si="3"/>
        <v>93220.5</v>
      </c>
      <c r="W92" s="168">
        <f t="shared" si="4"/>
        <v>0</v>
      </c>
      <c r="X92" s="168">
        <f t="shared" si="5"/>
        <v>0</v>
      </c>
      <c r="Y92" s="168">
        <f t="shared" si="6"/>
        <v>0</v>
      </c>
      <c r="Z92" s="168">
        <f t="shared" si="7"/>
        <v>0</v>
      </c>
      <c r="AA92" s="168">
        <f t="shared" si="8"/>
        <v>0</v>
      </c>
      <c r="AB92" s="168">
        <f t="shared" si="9"/>
        <v>0</v>
      </c>
    </row>
    <row r="93" ht="14.25" customHeight="1">
      <c r="A93" s="157">
        <v>337.0</v>
      </c>
      <c r="B93" s="169" t="s">
        <v>692</v>
      </c>
      <c r="C93" s="169" t="s">
        <v>737</v>
      </c>
      <c r="D93" s="159">
        <v>42461.0</v>
      </c>
      <c r="E93" s="157" t="s">
        <v>2</v>
      </c>
      <c r="F93" s="160">
        <v>118366.76</v>
      </c>
      <c r="G93" s="160">
        <v>18938.68</v>
      </c>
      <c r="H93" s="160">
        <f t="shared" si="15"/>
        <v>137305.44</v>
      </c>
      <c r="I93" s="160"/>
      <c r="J93" s="161"/>
      <c r="K93" s="160"/>
      <c r="L93" s="160">
        <f>+'FACUS$'!$H93-'FACUS$'!$I93-'FACUS$'!$K93</f>
        <v>137305.44</v>
      </c>
      <c r="M93" s="157" t="s">
        <v>7279</v>
      </c>
      <c r="N93" s="162" t="s">
        <v>554</v>
      </c>
      <c r="O93" s="332">
        <v>42858.0</v>
      </c>
      <c r="P93" s="164" t="str">
        <f t="array" ref="P93">XLOOKUP('FACUS$'!$B93,'perfil de pagos'!$A$4:$A$46,'perfil de pagos'!$C$4:$C$46+'FACUS$'!$D93)</f>
        <v>#N/A</v>
      </c>
      <c r="Q93" s="165">
        <f t="shared" si="2"/>
        <v>0</v>
      </c>
      <c r="R93" s="171"/>
      <c r="S93" s="171"/>
      <c r="T93" s="171"/>
      <c r="U93" s="333" t="s">
        <v>7271</v>
      </c>
      <c r="V93" s="168">
        <f t="shared" si="3"/>
        <v>137305.44</v>
      </c>
      <c r="W93" s="168">
        <f t="shared" si="4"/>
        <v>0</v>
      </c>
      <c r="X93" s="168">
        <f t="shared" si="5"/>
        <v>0</v>
      </c>
      <c r="Y93" s="168">
        <f t="shared" si="6"/>
        <v>0</v>
      </c>
      <c r="Z93" s="168">
        <f t="shared" si="7"/>
        <v>0</v>
      </c>
      <c r="AA93" s="168">
        <f t="shared" si="8"/>
        <v>0</v>
      </c>
      <c r="AB93" s="168">
        <f t="shared" si="9"/>
        <v>0</v>
      </c>
    </row>
    <row r="94" ht="14.25" customHeight="1">
      <c r="A94" s="157">
        <v>340.0</v>
      </c>
      <c r="B94" s="169" t="s">
        <v>70</v>
      </c>
      <c r="C94" s="170" t="s">
        <v>759</v>
      </c>
      <c r="D94" s="159">
        <v>42475.0</v>
      </c>
      <c r="E94" s="157" t="s">
        <v>2</v>
      </c>
      <c r="F94" s="160">
        <v>48667.5</v>
      </c>
      <c r="G94" s="160">
        <v>7786.8</v>
      </c>
      <c r="H94" s="160">
        <f t="shared" si="15"/>
        <v>56454.3</v>
      </c>
      <c r="I94" s="160"/>
      <c r="J94" s="161"/>
      <c r="K94" s="160"/>
      <c r="L94" s="160">
        <f>+'FACUS$'!$H94-'FACUS$'!$I94-'FACUS$'!$K94</f>
        <v>56454.3</v>
      </c>
      <c r="M94" s="157" t="s">
        <v>719</v>
      </c>
      <c r="N94" s="162" t="s">
        <v>554</v>
      </c>
      <c r="O94" s="332">
        <v>42861.0</v>
      </c>
      <c r="P94" s="164" t="str">
        <f t="array" ref="P94">XLOOKUP('FACUS$'!$B94,'perfil de pagos'!$A$4:$A$46,'perfil de pagos'!$C$4:$C$46+'FACUS$'!$D94)</f>
        <v>#N/A</v>
      </c>
      <c r="Q94" s="165">
        <f t="shared" si="2"/>
        <v>0</v>
      </c>
      <c r="R94" s="171"/>
      <c r="S94" s="171"/>
      <c r="T94" s="171"/>
      <c r="U94" s="333" t="s">
        <v>7271</v>
      </c>
      <c r="V94" s="168">
        <f t="shared" si="3"/>
        <v>56454.3</v>
      </c>
      <c r="W94" s="168">
        <f t="shared" si="4"/>
        <v>0</v>
      </c>
      <c r="X94" s="168">
        <f t="shared" si="5"/>
        <v>0</v>
      </c>
      <c r="Y94" s="168">
        <f t="shared" si="6"/>
        <v>0</v>
      </c>
      <c r="Z94" s="168">
        <f t="shared" si="7"/>
        <v>0</v>
      </c>
      <c r="AA94" s="168">
        <f t="shared" si="8"/>
        <v>0</v>
      </c>
      <c r="AB94" s="168">
        <f t="shared" si="9"/>
        <v>0</v>
      </c>
    </row>
    <row r="95" ht="14.25" customHeight="1">
      <c r="A95" s="157">
        <v>342.0</v>
      </c>
      <c r="B95" s="169" t="s">
        <v>722</v>
      </c>
      <c r="C95" s="169" t="s">
        <v>7296</v>
      </c>
      <c r="D95" s="159">
        <v>42475.0</v>
      </c>
      <c r="E95" s="157" t="s">
        <v>2</v>
      </c>
      <c r="F95" s="160">
        <v>110606.52</v>
      </c>
      <c r="G95" s="160">
        <v>17697.04</v>
      </c>
      <c r="H95" s="160">
        <f t="shared" si="15"/>
        <v>128303.56</v>
      </c>
      <c r="I95" s="160"/>
      <c r="J95" s="161"/>
      <c r="K95" s="160"/>
      <c r="L95" s="160">
        <f>+'FACUS$'!$H95-'FACUS$'!$I95-'FACUS$'!$K95</f>
        <v>128303.56</v>
      </c>
      <c r="M95" s="157" t="s">
        <v>93</v>
      </c>
      <c r="N95" s="162" t="s">
        <v>554</v>
      </c>
      <c r="O95" s="332">
        <v>42867.0</v>
      </c>
      <c r="P95" s="164" t="str">
        <f t="array" ref="P95">XLOOKUP('FACUS$'!$B95,'perfil de pagos'!$A$4:$A$46,'perfil de pagos'!$C$4:$C$46+'FACUS$'!$D95)</f>
        <v>#N/A</v>
      </c>
      <c r="Q95" s="165">
        <f t="shared" si="2"/>
        <v>0</v>
      </c>
      <c r="R95" s="171"/>
      <c r="S95" s="171"/>
      <c r="T95" s="171"/>
      <c r="U95" s="333" t="s">
        <v>7271</v>
      </c>
      <c r="V95" s="168">
        <f t="shared" si="3"/>
        <v>128303.56</v>
      </c>
      <c r="W95" s="168">
        <f t="shared" si="4"/>
        <v>0</v>
      </c>
      <c r="X95" s="168">
        <f t="shared" si="5"/>
        <v>0</v>
      </c>
      <c r="Y95" s="168">
        <f t="shared" si="6"/>
        <v>0</v>
      </c>
      <c r="Z95" s="168">
        <f t="shared" si="7"/>
        <v>0</v>
      </c>
      <c r="AA95" s="168">
        <f t="shared" si="8"/>
        <v>0</v>
      </c>
      <c r="AB95" s="168">
        <f t="shared" si="9"/>
        <v>0</v>
      </c>
    </row>
    <row r="96" ht="14.25" customHeight="1">
      <c r="A96" s="157">
        <v>343.0</v>
      </c>
      <c r="B96" s="169" t="s">
        <v>692</v>
      </c>
      <c r="C96" s="170" t="s">
        <v>737</v>
      </c>
      <c r="D96" s="159">
        <v>42475.0</v>
      </c>
      <c r="E96" s="157" t="s">
        <v>2</v>
      </c>
      <c r="F96" s="160">
        <v>107872.59</v>
      </c>
      <c r="G96" s="160">
        <v>17259.62</v>
      </c>
      <c r="H96" s="160">
        <f t="shared" si="15"/>
        <v>125132.21</v>
      </c>
      <c r="I96" s="160"/>
      <c r="J96" s="161"/>
      <c r="K96" s="160"/>
      <c r="L96" s="160">
        <f>+'FACUS$'!$H96-'FACUS$'!$I96-'FACUS$'!$K96</f>
        <v>125132.21</v>
      </c>
      <c r="M96" s="157" t="s">
        <v>7298</v>
      </c>
      <c r="N96" s="162" t="s">
        <v>554</v>
      </c>
      <c r="O96" s="332">
        <v>42872.0</v>
      </c>
      <c r="P96" s="164" t="str">
        <f t="array" ref="P96">XLOOKUP('FACUS$'!$B96,'perfil de pagos'!$A$4:$A$46,'perfil de pagos'!$C$4:$C$46+'FACUS$'!$D96)</f>
        <v>#N/A</v>
      </c>
      <c r="Q96" s="165">
        <f t="shared" si="2"/>
        <v>0</v>
      </c>
      <c r="R96" s="171"/>
      <c r="S96" s="171"/>
      <c r="T96" s="171"/>
      <c r="U96" s="333" t="s">
        <v>7271</v>
      </c>
      <c r="V96" s="168">
        <f t="shared" si="3"/>
        <v>125132.21</v>
      </c>
      <c r="W96" s="168">
        <f t="shared" si="4"/>
        <v>0</v>
      </c>
      <c r="X96" s="168">
        <f t="shared" si="5"/>
        <v>0</v>
      </c>
      <c r="Y96" s="168">
        <f t="shared" si="6"/>
        <v>0</v>
      </c>
      <c r="Z96" s="168">
        <f t="shared" si="7"/>
        <v>0</v>
      </c>
      <c r="AA96" s="168">
        <f t="shared" si="8"/>
        <v>0</v>
      </c>
      <c r="AB96" s="168">
        <f t="shared" si="9"/>
        <v>0</v>
      </c>
    </row>
    <row r="97" ht="14.25" customHeight="1">
      <c r="A97" s="157">
        <v>348.0</v>
      </c>
      <c r="B97" s="169" t="s">
        <v>70</v>
      </c>
      <c r="C97" s="169" t="s">
        <v>759</v>
      </c>
      <c r="D97" s="159">
        <v>42491.0</v>
      </c>
      <c r="E97" s="157" t="s">
        <v>2</v>
      </c>
      <c r="F97" s="160">
        <v>60480.0</v>
      </c>
      <c r="G97" s="160">
        <v>9676.8</v>
      </c>
      <c r="H97" s="160">
        <f t="shared" si="15"/>
        <v>70156.8</v>
      </c>
      <c r="I97" s="160"/>
      <c r="J97" s="161"/>
      <c r="K97" s="160"/>
      <c r="L97" s="160">
        <f>+'FACUS$'!$H97-'FACUS$'!$I97-'FACUS$'!$K97</f>
        <v>70156.8</v>
      </c>
      <c r="M97" s="157" t="s">
        <v>719</v>
      </c>
      <c r="N97" s="162" t="s">
        <v>554</v>
      </c>
      <c r="O97" s="332">
        <v>42879.0</v>
      </c>
      <c r="P97" s="164" t="str">
        <f t="array" ref="P97">XLOOKUP('FACUS$'!$B97,'perfil de pagos'!$A$4:$A$46,'perfil de pagos'!$C$4:$C$46+'FACUS$'!$D97)</f>
        <v>#N/A</v>
      </c>
      <c r="Q97" s="165">
        <f t="shared" si="2"/>
        <v>0</v>
      </c>
      <c r="R97" s="171"/>
      <c r="S97" s="171"/>
      <c r="T97" s="171"/>
      <c r="U97" s="333" t="s">
        <v>7271</v>
      </c>
      <c r="V97" s="168">
        <f t="shared" si="3"/>
        <v>70156.8</v>
      </c>
      <c r="W97" s="168">
        <f t="shared" si="4"/>
        <v>0</v>
      </c>
      <c r="X97" s="168">
        <f t="shared" si="5"/>
        <v>0</v>
      </c>
      <c r="Y97" s="168">
        <f t="shared" si="6"/>
        <v>0</v>
      </c>
      <c r="Z97" s="168">
        <f t="shared" si="7"/>
        <v>0</v>
      </c>
      <c r="AA97" s="168">
        <f t="shared" si="8"/>
        <v>0</v>
      </c>
      <c r="AB97" s="168">
        <f t="shared" si="9"/>
        <v>0</v>
      </c>
    </row>
    <row r="98" ht="14.25" customHeight="1">
      <c r="A98" s="157">
        <v>350.0</v>
      </c>
      <c r="B98" s="169" t="s">
        <v>722</v>
      </c>
      <c r="C98" s="169" t="s">
        <v>7296</v>
      </c>
      <c r="D98" s="159">
        <v>42491.0</v>
      </c>
      <c r="E98" s="157" t="s">
        <v>2</v>
      </c>
      <c r="F98" s="160">
        <v>90510.83</v>
      </c>
      <c r="G98" s="160">
        <v>14481.73</v>
      </c>
      <c r="H98" s="160">
        <f t="shared" si="15"/>
        <v>104992.56</v>
      </c>
      <c r="I98" s="160"/>
      <c r="J98" s="161"/>
      <c r="K98" s="160"/>
      <c r="L98" s="160">
        <f>+'FACUS$'!$H98-'FACUS$'!$I98-'FACUS$'!$K98</f>
        <v>104992.56</v>
      </c>
      <c r="M98" s="157" t="s">
        <v>93</v>
      </c>
      <c r="N98" s="162" t="s">
        <v>554</v>
      </c>
      <c r="O98" s="332">
        <v>42881.0</v>
      </c>
      <c r="P98" s="164" t="str">
        <f t="array" ref="P98">XLOOKUP('FACUS$'!$B98,'perfil de pagos'!$A$4:$A$46,'perfil de pagos'!$C$4:$C$46+'FACUS$'!$D98)</f>
        <v>#N/A</v>
      </c>
      <c r="Q98" s="165">
        <f t="shared" si="2"/>
        <v>0</v>
      </c>
      <c r="R98" s="171" t="s">
        <v>7300</v>
      </c>
      <c r="S98" s="171"/>
      <c r="T98" s="171"/>
      <c r="U98" s="333" t="s">
        <v>7271</v>
      </c>
      <c r="V98" s="168">
        <f t="shared" si="3"/>
        <v>104992.56</v>
      </c>
      <c r="W98" s="168">
        <f t="shared" si="4"/>
        <v>0</v>
      </c>
      <c r="X98" s="168">
        <f t="shared" si="5"/>
        <v>0</v>
      </c>
      <c r="Y98" s="168">
        <f t="shared" si="6"/>
        <v>0</v>
      </c>
      <c r="Z98" s="168">
        <f t="shared" si="7"/>
        <v>0</v>
      </c>
      <c r="AA98" s="168">
        <f t="shared" si="8"/>
        <v>0</v>
      </c>
      <c r="AB98" s="168">
        <f t="shared" si="9"/>
        <v>0</v>
      </c>
    </row>
    <row r="99" ht="14.25" customHeight="1">
      <c r="A99" s="157">
        <v>351.0</v>
      </c>
      <c r="B99" s="169" t="s">
        <v>692</v>
      </c>
      <c r="C99" s="169" t="s">
        <v>737</v>
      </c>
      <c r="D99" s="159">
        <v>42491.0</v>
      </c>
      <c r="E99" s="157" t="s">
        <v>2</v>
      </c>
      <c r="F99" s="160">
        <v>106815.18</v>
      </c>
      <c r="G99" s="160">
        <v>17090.43</v>
      </c>
      <c r="H99" s="160">
        <f t="shared" si="15"/>
        <v>123905.61</v>
      </c>
      <c r="I99" s="160"/>
      <c r="J99" s="161"/>
      <c r="K99" s="160"/>
      <c r="L99" s="160">
        <f>+'FACUS$'!$H99-'FACUS$'!$I99-'FACUS$'!$K99</f>
        <v>123905.61</v>
      </c>
      <c r="M99" s="157" t="s">
        <v>7298</v>
      </c>
      <c r="N99" s="162" t="s">
        <v>554</v>
      </c>
      <c r="O99" s="332">
        <v>42887.0</v>
      </c>
      <c r="P99" s="164" t="str">
        <f t="array" ref="P99">XLOOKUP('FACUS$'!$B99,'perfil de pagos'!$A$4:$A$46,'perfil de pagos'!$C$4:$C$46+'FACUS$'!$D99)</f>
        <v>#N/A</v>
      </c>
      <c r="Q99" s="165">
        <f t="shared" si="2"/>
        <v>0</v>
      </c>
      <c r="R99" s="171"/>
      <c r="S99" s="171"/>
      <c r="T99" s="171"/>
      <c r="U99" s="333" t="s">
        <v>7271</v>
      </c>
      <c r="V99" s="168">
        <f t="shared" si="3"/>
        <v>123905.61</v>
      </c>
      <c r="W99" s="168">
        <f t="shared" si="4"/>
        <v>0</v>
      </c>
      <c r="X99" s="168">
        <f t="shared" si="5"/>
        <v>0</v>
      </c>
      <c r="Y99" s="168">
        <f t="shared" si="6"/>
        <v>0</v>
      </c>
      <c r="Z99" s="168">
        <f t="shared" si="7"/>
        <v>0</v>
      </c>
      <c r="AA99" s="168">
        <f t="shared" si="8"/>
        <v>0</v>
      </c>
      <c r="AB99" s="168">
        <f t="shared" si="9"/>
        <v>0</v>
      </c>
    </row>
    <row r="100" ht="14.25" customHeight="1">
      <c r="A100" s="157">
        <v>357.0</v>
      </c>
      <c r="B100" s="169" t="s">
        <v>722</v>
      </c>
      <c r="C100" s="169" t="s">
        <v>7296</v>
      </c>
      <c r="D100" s="159">
        <v>42505.0</v>
      </c>
      <c r="E100" s="157" t="s">
        <v>2</v>
      </c>
      <c r="F100" s="160">
        <v>80559.39</v>
      </c>
      <c r="G100" s="160">
        <v>12889.5</v>
      </c>
      <c r="H100" s="160">
        <f t="shared" si="15"/>
        <v>93448.89</v>
      </c>
      <c r="I100" s="160"/>
      <c r="J100" s="161"/>
      <c r="K100" s="160"/>
      <c r="L100" s="160">
        <f>+'FACUS$'!$H100-'FACUS$'!$I100-'FACUS$'!$K100</f>
        <v>93448.89</v>
      </c>
      <c r="M100" s="157" t="s">
        <v>93</v>
      </c>
      <c r="N100" s="162" t="s">
        <v>554</v>
      </c>
      <c r="O100" s="332">
        <v>42895.0</v>
      </c>
      <c r="P100" s="164" t="str">
        <f t="array" ref="P100">XLOOKUP('FACUS$'!$B100,'perfil de pagos'!$A$4:$A$46,'perfil de pagos'!$C$4:$C$46+'FACUS$'!$D100)</f>
        <v>#N/A</v>
      </c>
      <c r="Q100" s="165">
        <f t="shared" si="2"/>
        <v>0</v>
      </c>
      <c r="R100" s="171"/>
      <c r="S100" s="171"/>
      <c r="T100" s="171"/>
      <c r="U100" s="333" t="s">
        <v>7271</v>
      </c>
      <c r="V100" s="168">
        <f t="shared" si="3"/>
        <v>93448.89</v>
      </c>
      <c r="W100" s="168">
        <f t="shared" si="4"/>
        <v>0</v>
      </c>
      <c r="X100" s="168">
        <f t="shared" si="5"/>
        <v>0</v>
      </c>
      <c r="Y100" s="168">
        <f t="shared" si="6"/>
        <v>0</v>
      </c>
      <c r="Z100" s="168">
        <f t="shared" si="7"/>
        <v>0</v>
      </c>
      <c r="AA100" s="168">
        <f t="shared" si="8"/>
        <v>0</v>
      </c>
      <c r="AB100" s="168">
        <f t="shared" si="9"/>
        <v>0</v>
      </c>
    </row>
    <row r="101" ht="14.25" customHeight="1">
      <c r="A101" s="157">
        <v>359.0</v>
      </c>
      <c r="B101" s="169" t="s">
        <v>70</v>
      </c>
      <c r="C101" s="169" t="s">
        <v>759</v>
      </c>
      <c r="D101" s="159">
        <v>42505.0</v>
      </c>
      <c r="E101" s="157" t="s">
        <v>2</v>
      </c>
      <c r="F101" s="160">
        <v>4702.5</v>
      </c>
      <c r="G101" s="160">
        <v>752.4</v>
      </c>
      <c r="H101" s="160">
        <f t="shared" si="15"/>
        <v>5454.9</v>
      </c>
      <c r="I101" s="160"/>
      <c r="J101" s="161"/>
      <c r="K101" s="160"/>
      <c r="L101" s="160">
        <f>+'FACUS$'!$H101-'FACUS$'!$I101-'FACUS$'!$K101</f>
        <v>5454.9</v>
      </c>
      <c r="M101" s="157" t="s">
        <v>719</v>
      </c>
      <c r="N101" s="162" t="s">
        <v>554</v>
      </c>
      <c r="O101" s="332">
        <v>42899.0</v>
      </c>
      <c r="P101" s="164" t="str">
        <f t="array" ref="P101">XLOOKUP('FACUS$'!$B101,'perfil de pagos'!$A$4:$A$46,'perfil de pagos'!$C$4:$C$46+'FACUS$'!$D101)</f>
        <v>#N/A</v>
      </c>
      <c r="Q101" s="165">
        <f t="shared" si="2"/>
        <v>0</v>
      </c>
      <c r="R101" s="171"/>
      <c r="S101" s="171"/>
      <c r="T101" s="171"/>
      <c r="U101" s="333" t="s">
        <v>7271</v>
      </c>
      <c r="V101" s="168">
        <f t="shared" si="3"/>
        <v>5454.9</v>
      </c>
      <c r="W101" s="168">
        <f t="shared" si="4"/>
        <v>0</v>
      </c>
      <c r="X101" s="168">
        <f t="shared" si="5"/>
        <v>0</v>
      </c>
      <c r="Y101" s="168">
        <f t="shared" si="6"/>
        <v>0</v>
      </c>
      <c r="Z101" s="168">
        <f t="shared" si="7"/>
        <v>0</v>
      </c>
      <c r="AA101" s="168">
        <f t="shared" si="8"/>
        <v>0</v>
      </c>
      <c r="AB101" s="168">
        <f t="shared" si="9"/>
        <v>0</v>
      </c>
    </row>
    <row r="102" ht="14.25" customHeight="1">
      <c r="A102" s="157">
        <v>363.0</v>
      </c>
      <c r="B102" s="169" t="s">
        <v>692</v>
      </c>
      <c r="C102" s="169" t="s">
        <v>737</v>
      </c>
      <c r="D102" s="159">
        <v>42505.0</v>
      </c>
      <c r="E102" s="157" t="s">
        <v>2</v>
      </c>
      <c r="F102" s="160">
        <v>116945.49</v>
      </c>
      <c r="G102" s="160">
        <v>18711.28</v>
      </c>
      <c r="H102" s="160">
        <f t="shared" si="15"/>
        <v>135656.77</v>
      </c>
      <c r="I102" s="160"/>
      <c r="J102" s="161"/>
      <c r="K102" s="160"/>
      <c r="L102" s="160">
        <f>+'FACUS$'!$H102-'FACUS$'!$I102-'FACUS$'!$K102</f>
        <v>135656.77</v>
      </c>
      <c r="M102" s="157" t="s">
        <v>7298</v>
      </c>
      <c r="N102" s="162" t="s">
        <v>554</v>
      </c>
      <c r="O102" s="332">
        <v>42900.0</v>
      </c>
      <c r="P102" s="164" t="str">
        <f t="array" ref="P102">XLOOKUP('FACUS$'!$B102,'perfil de pagos'!$A$4:$A$46,'perfil de pagos'!$C$4:$C$46+'FACUS$'!$D102)</f>
        <v>#N/A</v>
      </c>
      <c r="Q102" s="165">
        <f t="shared" si="2"/>
        <v>0</v>
      </c>
      <c r="R102" s="171"/>
      <c r="S102" s="171"/>
      <c r="T102" s="171"/>
      <c r="U102" s="333" t="s">
        <v>7271</v>
      </c>
      <c r="V102" s="168">
        <f t="shared" si="3"/>
        <v>135656.77</v>
      </c>
      <c r="W102" s="168">
        <f t="shared" si="4"/>
        <v>0</v>
      </c>
      <c r="X102" s="168">
        <f t="shared" si="5"/>
        <v>0</v>
      </c>
      <c r="Y102" s="168">
        <f t="shared" si="6"/>
        <v>0</v>
      </c>
      <c r="Z102" s="168">
        <f t="shared" si="7"/>
        <v>0</v>
      </c>
      <c r="AA102" s="168">
        <f t="shared" si="8"/>
        <v>0</v>
      </c>
      <c r="AB102" s="168">
        <f t="shared" si="9"/>
        <v>0</v>
      </c>
    </row>
    <row r="103" ht="14.25" customHeight="1">
      <c r="A103" s="157">
        <v>368.0</v>
      </c>
      <c r="B103" s="169" t="s">
        <v>722</v>
      </c>
      <c r="C103" s="169" t="s">
        <v>7296</v>
      </c>
      <c r="D103" s="159">
        <v>42522.0</v>
      </c>
      <c r="E103" s="157" t="s">
        <v>2</v>
      </c>
      <c r="F103" s="160">
        <v>74098.41</v>
      </c>
      <c r="G103" s="160">
        <v>11855.75</v>
      </c>
      <c r="H103" s="160">
        <f t="shared" si="15"/>
        <v>85954.16</v>
      </c>
      <c r="I103" s="160"/>
      <c r="J103" s="161"/>
      <c r="K103" s="160"/>
      <c r="L103" s="160">
        <f>+'FACUS$'!$H103-'FACUS$'!$I103-'FACUS$'!$K103</f>
        <v>85954.16</v>
      </c>
      <c r="M103" s="157" t="s">
        <v>93</v>
      </c>
      <c r="N103" s="162" t="s">
        <v>127</v>
      </c>
      <c r="O103" s="332"/>
      <c r="P103" s="164" t="str">
        <f t="array" ref="P103">XLOOKUP('FACUS$'!$B103,'perfil de pagos'!$A$4:$A$46,'perfil de pagos'!$C$4:$C$46+'FACUS$'!$D103)</f>
        <v>#N/A</v>
      </c>
      <c r="Q103" s="165" t="str">
        <f t="shared" si="2"/>
        <v>N/A</v>
      </c>
      <c r="R103" s="171"/>
      <c r="S103" s="171"/>
      <c r="T103" s="171"/>
      <c r="U103" s="333" t="s">
        <v>7271</v>
      </c>
      <c r="V103" s="168">
        <f t="shared" si="3"/>
        <v>0</v>
      </c>
      <c r="W103" s="168">
        <f t="shared" si="4"/>
        <v>0</v>
      </c>
      <c r="X103" s="168">
        <f t="shared" si="5"/>
        <v>0</v>
      </c>
      <c r="Y103" s="168">
        <f t="shared" si="6"/>
        <v>0</v>
      </c>
      <c r="Z103" s="168">
        <f t="shared" si="7"/>
        <v>0</v>
      </c>
      <c r="AA103" s="168">
        <f t="shared" si="8"/>
        <v>0</v>
      </c>
      <c r="AB103" s="168">
        <f t="shared" si="9"/>
        <v>85954.16</v>
      </c>
    </row>
    <row r="104" ht="14.25" customHeight="1">
      <c r="A104" s="157">
        <v>370.0</v>
      </c>
      <c r="B104" s="169" t="s">
        <v>722</v>
      </c>
      <c r="C104" s="169" t="s">
        <v>7296</v>
      </c>
      <c r="D104" s="159">
        <v>42522.0</v>
      </c>
      <c r="E104" s="157" t="s">
        <v>2</v>
      </c>
      <c r="F104" s="160">
        <v>93443.29</v>
      </c>
      <c r="G104" s="160">
        <v>14950.93</v>
      </c>
      <c r="H104" s="160">
        <f t="shared" si="15"/>
        <v>108394.22</v>
      </c>
      <c r="I104" s="160"/>
      <c r="J104" s="161"/>
      <c r="K104" s="160"/>
      <c r="L104" s="160">
        <f>+'FACUS$'!$H104-'FACUS$'!$I104-'FACUS$'!$K104</f>
        <v>108394.22</v>
      </c>
      <c r="M104" s="157" t="s">
        <v>93</v>
      </c>
      <c r="N104" s="162" t="s">
        <v>127</v>
      </c>
      <c r="O104" s="332"/>
      <c r="P104" s="164" t="str">
        <f t="array" ref="P104">XLOOKUP('FACUS$'!$B104,'perfil de pagos'!$A$4:$A$46,'perfil de pagos'!$C$4:$C$46+'FACUS$'!$D104)</f>
        <v>#N/A</v>
      </c>
      <c r="Q104" s="165" t="str">
        <f t="shared" si="2"/>
        <v>N/A</v>
      </c>
      <c r="R104" s="171"/>
      <c r="S104" s="171"/>
      <c r="T104" s="171"/>
      <c r="U104" s="333" t="s">
        <v>7271</v>
      </c>
      <c r="V104" s="168">
        <f t="shared" si="3"/>
        <v>0</v>
      </c>
      <c r="W104" s="168">
        <f t="shared" si="4"/>
        <v>0</v>
      </c>
      <c r="X104" s="168">
        <f t="shared" si="5"/>
        <v>0</v>
      </c>
      <c r="Y104" s="168">
        <f t="shared" si="6"/>
        <v>0</v>
      </c>
      <c r="Z104" s="168">
        <f t="shared" si="7"/>
        <v>0</v>
      </c>
      <c r="AA104" s="168">
        <f t="shared" si="8"/>
        <v>0</v>
      </c>
      <c r="AB104" s="168">
        <f t="shared" si="9"/>
        <v>108394.22</v>
      </c>
    </row>
    <row r="105" ht="14.25" customHeight="1">
      <c r="A105" s="157">
        <v>372.0</v>
      </c>
      <c r="B105" s="169" t="s">
        <v>722</v>
      </c>
      <c r="C105" s="169" t="s">
        <v>7296</v>
      </c>
      <c r="D105" s="159">
        <v>42522.0</v>
      </c>
      <c r="E105" s="157" t="s">
        <v>2</v>
      </c>
      <c r="F105" s="160">
        <v>167454.8</v>
      </c>
      <c r="G105" s="160">
        <v>26792.77</v>
      </c>
      <c r="H105" s="160">
        <f t="shared" si="15"/>
        <v>194247.57</v>
      </c>
      <c r="I105" s="160"/>
      <c r="J105" s="161"/>
      <c r="K105" s="160"/>
      <c r="L105" s="160">
        <f>+'FACUS$'!$H105-'FACUS$'!$I105-'FACUS$'!$K105</f>
        <v>194247.57</v>
      </c>
      <c r="M105" s="157" t="s">
        <v>93</v>
      </c>
      <c r="N105" s="162" t="s">
        <v>127</v>
      </c>
      <c r="O105" s="332"/>
      <c r="P105" s="164" t="str">
        <f t="array" ref="P105">XLOOKUP('FACUS$'!$B105,'perfil de pagos'!$A$4:$A$46,'perfil de pagos'!$C$4:$C$46+'FACUS$'!$D105)</f>
        <v>#N/A</v>
      </c>
      <c r="Q105" s="165" t="str">
        <f t="shared" si="2"/>
        <v>N/A</v>
      </c>
      <c r="R105" s="171"/>
      <c r="S105" s="171"/>
      <c r="T105" s="171"/>
      <c r="U105" s="333" t="s">
        <v>7271</v>
      </c>
      <c r="V105" s="168">
        <f t="shared" si="3"/>
        <v>0</v>
      </c>
      <c r="W105" s="168">
        <f t="shared" si="4"/>
        <v>0</v>
      </c>
      <c r="X105" s="168">
        <f t="shared" si="5"/>
        <v>0</v>
      </c>
      <c r="Y105" s="168">
        <f t="shared" si="6"/>
        <v>0</v>
      </c>
      <c r="Z105" s="168">
        <f t="shared" si="7"/>
        <v>0</v>
      </c>
      <c r="AA105" s="168">
        <f t="shared" si="8"/>
        <v>0</v>
      </c>
      <c r="AB105" s="168">
        <f t="shared" si="9"/>
        <v>194247.57</v>
      </c>
    </row>
    <row r="106" ht="14.25" customHeight="1">
      <c r="A106" s="157">
        <v>375.0</v>
      </c>
      <c r="B106" s="169" t="s">
        <v>722</v>
      </c>
      <c r="C106" s="169" t="s">
        <v>7296</v>
      </c>
      <c r="D106" s="159">
        <v>42522.0</v>
      </c>
      <c r="E106" s="157" t="s">
        <v>2</v>
      </c>
      <c r="F106" s="160">
        <v>167153.72</v>
      </c>
      <c r="G106" s="160">
        <v>26744.6</v>
      </c>
      <c r="H106" s="160">
        <f t="shared" si="15"/>
        <v>193898.32</v>
      </c>
      <c r="I106" s="160"/>
      <c r="J106" s="161"/>
      <c r="K106" s="160"/>
      <c r="L106" s="160">
        <f>+'FACUS$'!$H106-'FACUS$'!$I106-'FACUS$'!$K106</f>
        <v>193898.32</v>
      </c>
      <c r="M106" s="157" t="s">
        <v>93</v>
      </c>
      <c r="N106" s="162" t="s">
        <v>127</v>
      </c>
      <c r="O106" s="332"/>
      <c r="P106" s="164" t="str">
        <f t="array" ref="P106">XLOOKUP('FACUS$'!$B106,'perfil de pagos'!$A$4:$A$46,'perfil de pagos'!$C$4:$C$46+'FACUS$'!$D106)</f>
        <v>#N/A</v>
      </c>
      <c r="Q106" s="165" t="str">
        <f t="shared" si="2"/>
        <v>N/A</v>
      </c>
      <c r="R106" s="171"/>
      <c r="S106" s="171"/>
      <c r="T106" s="171"/>
      <c r="U106" s="333" t="s">
        <v>7271</v>
      </c>
      <c r="V106" s="168">
        <f t="shared" si="3"/>
        <v>0</v>
      </c>
      <c r="W106" s="168">
        <f t="shared" si="4"/>
        <v>0</v>
      </c>
      <c r="X106" s="168">
        <f t="shared" si="5"/>
        <v>0</v>
      </c>
      <c r="Y106" s="168">
        <f t="shared" si="6"/>
        <v>0</v>
      </c>
      <c r="Z106" s="168">
        <f t="shared" si="7"/>
        <v>0</v>
      </c>
      <c r="AA106" s="168">
        <f t="shared" si="8"/>
        <v>0</v>
      </c>
      <c r="AB106" s="168">
        <f t="shared" si="9"/>
        <v>193898.32</v>
      </c>
    </row>
    <row r="107" ht="14.25" customHeight="1">
      <c r="A107" s="157">
        <v>376.0</v>
      </c>
      <c r="B107" s="169" t="s">
        <v>722</v>
      </c>
      <c r="C107" s="169" t="s">
        <v>7296</v>
      </c>
      <c r="D107" s="159">
        <v>42522.0</v>
      </c>
      <c r="E107" s="157" t="s">
        <v>2</v>
      </c>
      <c r="F107" s="160">
        <v>301.68</v>
      </c>
      <c r="G107" s="160">
        <v>48.17</v>
      </c>
      <c r="H107" s="160">
        <f t="shared" si="15"/>
        <v>349.85</v>
      </c>
      <c r="I107" s="160"/>
      <c r="J107" s="161"/>
      <c r="K107" s="160"/>
      <c r="L107" s="160">
        <f>+'FACUS$'!$H107-'FACUS$'!$I107-'FACUS$'!$K107</f>
        <v>349.85</v>
      </c>
      <c r="M107" s="157" t="s">
        <v>93</v>
      </c>
      <c r="N107" s="162" t="s">
        <v>127</v>
      </c>
      <c r="O107" s="332"/>
      <c r="P107" s="164" t="str">
        <f t="array" ref="P107">XLOOKUP('FACUS$'!$B107,'perfil de pagos'!$A$4:$A$46,'perfil de pagos'!$C$4:$C$46+'FACUS$'!$D107)</f>
        <v>#N/A</v>
      </c>
      <c r="Q107" s="165" t="str">
        <f t="shared" si="2"/>
        <v>N/A</v>
      </c>
      <c r="R107" s="171"/>
      <c r="S107" s="171"/>
      <c r="T107" s="171"/>
      <c r="U107" s="333" t="s">
        <v>7271</v>
      </c>
      <c r="V107" s="168">
        <f t="shared" si="3"/>
        <v>0</v>
      </c>
      <c r="W107" s="168">
        <f t="shared" si="4"/>
        <v>0</v>
      </c>
      <c r="X107" s="168">
        <f t="shared" si="5"/>
        <v>0</v>
      </c>
      <c r="Y107" s="168">
        <f t="shared" si="6"/>
        <v>0</v>
      </c>
      <c r="Z107" s="168">
        <f t="shared" si="7"/>
        <v>0</v>
      </c>
      <c r="AA107" s="168">
        <f t="shared" si="8"/>
        <v>0</v>
      </c>
      <c r="AB107" s="168">
        <f t="shared" si="9"/>
        <v>349.85</v>
      </c>
    </row>
    <row r="108" ht="14.25" customHeight="1">
      <c r="A108" s="157">
        <v>377.0</v>
      </c>
      <c r="B108" s="169" t="s">
        <v>692</v>
      </c>
      <c r="C108" s="169" t="s">
        <v>737</v>
      </c>
      <c r="D108" s="159">
        <v>42522.0</v>
      </c>
      <c r="E108" s="157" t="s">
        <v>2</v>
      </c>
      <c r="F108" s="160">
        <v>107674.17</v>
      </c>
      <c r="G108" s="160">
        <v>17227.87</v>
      </c>
      <c r="H108" s="160">
        <f t="shared" si="15"/>
        <v>124902.04</v>
      </c>
      <c r="I108" s="160"/>
      <c r="J108" s="161"/>
      <c r="K108" s="160"/>
      <c r="L108" s="160">
        <f>+'FACUS$'!$H108-'FACUS$'!$I108-'FACUS$'!$K108</f>
        <v>124902.04</v>
      </c>
      <c r="M108" s="157" t="s">
        <v>7298</v>
      </c>
      <c r="N108" s="162" t="s">
        <v>554</v>
      </c>
      <c r="O108" s="332">
        <v>42914.0</v>
      </c>
      <c r="P108" s="164" t="str">
        <f t="array" ref="P108">XLOOKUP('FACUS$'!$B108,'perfil de pagos'!$A$4:$A$46,'perfil de pagos'!$C$4:$C$46+'FACUS$'!$D108)</f>
        <v>#N/A</v>
      </c>
      <c r="Q108" s="165">
        <f t="shared" si="2"/>
        <v>0</v>
      </c>
      <c r="R108" s="171"/>
      <c r="S108" s="171"/>
      <c r="T108" s="171"/>
      <c r="U108" s="333" t="s">
        <v>7271</v>
      </c>
      <c r="V108" s="168">
        <f t="shared" si="3"/>
        <v>124902.04</v>
      </c>
      <c r="W108" s="168">
        <f t="shared" si="4"/>
        <v>0</v>
      </c>
      <c r="X108" s="168">
        <f t="shared" si="5"/>
        <v>0</v>
      </c>
      <c r="Y108" s="168">
        <f t="shared" si="6"/>
        <v>0</v>
      </c>
      <c r="Z108" s="168">
        <f t="shared" si="7"/>
        <v>0</v>
      </c>
      <c r="AA108" s="168">
        <f t="shared" si="8"/>
        <v>0</v>
      </c>
      <c r="AB108" s="168">
        <f t="shared" si="9"/>
        <v>0</v>
      </c>
    </row>
    <row r="109" ht="14.25" customHeight="1">
      <c r="A109" s="157">
        <v>385.0</v>
      </c>
      <c r="B109" s="169" t="s">
        <v>722</v>
      </c>
      <c r="C109" s="169" t="s">
        <v>7296</v>
      </c>
      <c r="D109" s="159">
        <v>42522.0</v>
      </c>
      <c r="E109" s="157" t="s">
        <v>2</v>
      </c>
      <c r="F109" s="160">
        <v>165876.01</v>
      </c>
      <c r="G109" s="160">
        <v>26540.16</v>
      </c>
      <c r="H109" s="160">
        <f t="shared" si="15"/>
        <v>192416.17</v>
      </c>
      <c r="I109" s="160"/>
      <c r="J109" s="161"/>
      <c r="K109" s="160"/>
      <c r="L109" s="160">
        <f>+'FACUS$'!$H109-'FACUS$'!$I109-'FACUS$'!$K109</f>
        <v>192416.17</v>
      </c>
      <c r="M109" s="157" t="s">
        <v>93</v>
      </c>
      <c r="N109" s="162" t="s">
        <v>554</v>
      </c>
      <c r="O109" s="332">
        <v>42916.0</v>
      </c>
      <c r="P109" s="164" t="str">
        <f t="array" ref="P109">XLOOKUP('FACUS$'!$B109,'perfil de pagos'!$A$4:$A$46,'perfil de pagos'!$C$4:$C$46+'FACUS$'!$D109)</f>
        <v>#N/A</v>
      </c>
      <c r="Q109" s="165">
        <f t="shared" si="2"/>
        <v>0</v>
      </c>
      <c r="R109" s="171"/>
      <c r="S109" s="171"/>
      <c r="T109" s="171"/>
      <c r="U109" s="333" t="s">
        <v>7271</v>
      </c>
      <c r="V109" s="168">
        <f t="shared" si="3"/>
        <v>192416.17</v>
      </c>
      <c r="W109" s="168">
        <f t="shared" si="4"/>
        <v>0</v>
      </c>
      <c r="X109" s="168">
        <f t="shared" si="5"/>
        <v>0</v>
      </c>
      <c r="Y109" s="168">
        <f t="shared" si="6"/>
        <v>0</v>
      </c>
      <c r="Z109" s="168">
        <f t="shared" si="7"/>
        <v>0</v>
      </c>
      <c r="AA109" s="168">
        <f t="shared" si="8"/>
        <v>0</v>
      </c>
      <c r="AB109" s="168">
        <f t="shared" si="9"/>
        <v>0</v>
      </c>
    </row>
    <row r="110" ht="14.25" customHeight="1">
      <c r="A110" s="157">
        <v>386.0</v>
      </c>
      <c r="B110" s="169" t="s">
        <v>692</v>
      </c>
      <c r="C110" s="169" t="s">
        <v>737</v>
      </c>
      <c r="D110" s="159">
        <v>42536.0</v>
      </c>
      <c r="E110" s="157" t="s">
        <v>2</v>
      </c>
      <c r="F110" s="160">
        <v>116985.45</v>
      </c>
      <c r="G110" s="160">
        <v>18717.67</v>
      </c>
      <c r="H110" s="160">
        <f t="shared" si="15"/>
        <v>135703.12</v>
      </c>
      <c r="I110" s="160"/>
      <c r="J110" s="161"/>
      <c r="K110" s="160"/>
      <c r="L110" s="160">
        <f>+'FACUS$'!$H110-'FACUS$'!$I110-'FACUS$'!$K110</f>
        <v>135703.12</v>
      </c>
      <c r="M110" s="157" t="s">
        <v>7279</v>
      </c>
      <c r="N110" s="162" t="s">
        <v>554</v>
      </c>
      <c r="O110" s="332">
        <v>42936.0</v>
      </c>
      <c r="P110" s="164" t="str">
        <f t="array" ref="P110">XLOOKUP('FACUS$'!$B110,'perfil de pagos'!$A$4:$A$46,'perfil de pagos'!$C$4:$C$46+'FACUS$'!$D110)</f>
        <v>#N/A</v>
      </c>
      <c r="Q110" s="165">
        <f t="shared" si="2"/>
        <v>0</v>
      </c>
      <c r="R110" s="171"/>
      <c r="S110" s="171"/>
      <c r="T110" s="171"/>
      <c r="U110" s="333" t="s">
        <v>7271</v>
      </c>
      <c r="V110" s="168">
        <f t="shared" si="3"/>
        <v>135703.12</v>
      </c>
      <c r="W110" s="168">
        <f t="shared" si="4"/>
        <v>0</v>
      </c>
      <c r="X110" s="168">
        <f t="shared" si="5"/>
        <v>0</v>
      </c>
      <c r="Y110" s="168">
        <f t="shared" si="6"/>
        <v>0</v>
      </c>
      <c r="Z110" s="168">
        <f t="shared" si="7"/>
        <v>0</v>
      </c>
      <c r="AA110" s="168">
        <f t="shared" si="8"/>
        <v>0</v>
      </c>
      <c r="AB110" s="168">
        <f t="shared" si="9"/>
        <v>0</v>
      </c>
    </row>
    <row r="111" ht="14.25" customHeight="1">
      <c r="A111" s="157">
        <v>390.0</v>
      </c>
      <c r="B111" s="169" t="s">
        <v>70</v>
      </c>
      <c r="C111" s="169" t="s">
        <v>759</v>
      </c>
      <c r="D111" s="159">
        <v>42541.0</v>
      </c>
      <c r="E111" s="157" t="s">
        <v>2</v>
      </c>
      <c r="F111" s="160">
        <v>15000.0</v>
      </c>
      <c r="G111" s="160">
        <v>2400.0</v>
      </c>
      <c r="H111" s="160">
        <f t="shared" si="15"/>
        <v>17400</v>
      </c>
      <c r="I111" s="160"/>
      <c r="J111" s="161"/>
      <c r="K111" s="160"/>
      <c r="L111" s="160">
        <f>+'FACUS$'!$H111-'FACUS$'!$I111-'FACUS$'!$K111</f>
        <v>17400</v>
      </c>
      <c r="M111" s="157" t="s">
        <v>719</v>
      </c>
      <c r="N111" s="162" t="s">
        <v>554</v>
      </c>
      <c r="O111" s="332">
        <v>42928.0</v>
      </c>
      <c r="P111" s="164" t="str">
        <f t="array" ref="P111">XLOOKUP('FACUS$'!$B111,'perfil de pagos'!$A$4:$A$46,'perfil de pagos'!$C$4:$C$46+'FACUS$'!$D111)</f>
        <v>#N/A</v>
      </c>
      <c r="Q111" s="165">
        <f t="shared" si="2"/>
        <v>0</v>
      </c>
      <c r="R111" s="171"/>
      <c r="S111" s="171"/>
      <c r="T111" s="171"/>
      <c r="U111" s="333" t="s">
        <v>7271</v>
      </c>
      <c r="V111" s="168">
        <f t="shared" si="3"/>
        <v>17400</v>
      </c>
      <c r="W111" s="168">
        <f t="shared" si="4"/>
        <v>0</v>
      </c>
      <c r="X111" s="168">
        <f t="shared" si="5"/>
        <v>0</v>
      </c>
      <c r="Y111" s="168">
        <f t="shared" si="6"/>
        <v>0</v>
      </c>
      <c r="Z111" s="168">
        <f t="shared" si="7"/>
        <v>0</v>
      </c>
      <c r="AA111" s="168">
        <f t="shared" si="8"/>
        <v>0</v>
      </c>
      <c r="AB111" s="168">
        <f t="shared" si="9"/>
        <v>0</v>
      </c>
    </row>
    <row r="112" ht="14.25" customHeight="1">
      <c r="A112" s="157">
        <v>391.0</v>
      </c>
      <c r="B112" s="169" t="s">
        <v>70</v>
      </c>
      <c r="C112" s="170" t="s">
        <v>759</v>
      </c>
      <c r="D112" s="159">
        <v>42541.0</v>
      </c>
      <c r="E112" s="157" t="s">
        <v>2</v>
      </c>
      <c r="F112" s="160">
        <v>11250.0</v>
      </c>
      <c r="G112" s="160">
        <v>1800.0</v>
      </c>
      <c r="H112" s="160">
        <f t="shared" si="15"/>
        <v>13050</v>
      </c>
      <c r="I112" s="160"/>
      <c r="J112" s="161"/>
      <c r="K112" s="160"/>
      <c r="L112" s="160">
        <f>+'FACUS$'!$H112-'FACUS$'!$I112-'FACUS$'!$K112</f>
        <v>13050</v>
      </c>
      <c r="M112" s="157" t="s">
        <v>719</v>
      </c>
      <c r="N112" s="162" t="s">
        <v>554</v>
      </c>
      <c r="O112" s="332">
        <v>42928.0</v>
      </c>
      <c r="P112" s="164" t="str">
        <f t="array" ref="P112">XLOOKUP('FACUS$'!$B112,'perfil de pagos'!$A$4:$A$46,'perfil de pagos'!$C$4:$C$46+'FACUS$'!$D112)</f>
        <v>#N/A</v>
      </c>
      <c r="Q112" s="165">
        <f t="shared" si="2"/>
        <v>0</v>
      </c>
      <c r="R112" s="171" t="s">
        <v>7301</v>
      </c>
      <c r="S112" s="171"/>
      <c r="T112" s="171"/>
      <c r="U112" s="333" t="s">
        <v>7271</v>
      </c>
      <c r="V112" s="168">
        <f t="shared" si="3"/>
        <v>13050</v>
      </c>
      <c r="W112" s="168">
        <f t="shared" si="4"/>
        <v>0</v>
      </c>
      <c r="X112" s="168">
        <f t="shared" si="5"/>
        <v>0</v>
      </c>
      <c r="Y112" s="168">
        <f t="shared" si="6"/>
        <v>0</v>
      </c>
      <c r="Z112" s="168">
        <f t="shared" si="7"/>
        <v>0</v>
      </c>
      <c r="AA112" s="168">
        <f t="shared" si="8"/>
        <v>0</v>
      </c>
      <c r="AB112" s="168">
        <f t="shared" si="9"/>
        <v>0</v>
      </c>
    </row>
    <row r="113" ht="14.25" customHeight="1">
      <c r="A113" s="157">
        <v>395.0</v>
      </c>
      <c r="B113" s="169" t="s">
        <v>722</v>
      </c>
      <c r="C113" s="169" t="s">
        <v>7296</v>
      </c>
      <c r="D113" s="159">
        <v>42536.0</v>
      </c>
      <c r="E113" s="157" t="s">
        <v>2</v>
      </c>
      <c r="F113" s="160">
        <v>44306.81</v>
      </c>
      <c r="G113" s="160">
        <v>7089.09</v>
      </c>
      <c r="H113" s="160">
        <f t="shared" si="15"/>
        <v>51395.9</v>
      </c>
      <c r="I113" s="160"/>
      <c r="J113" s="161"/>
      <c r="K113" s="160"/>
      <c r="L113" s="160">
        <f>+'FACUS$'!$H113-'FACUS$'!$I113-'FACUS$'!$K113</f>
        <v>51395.9</v>
      </c>
      <c r="M113" s="157" t="s">
        <v>93</v>
      </c>
      <c r="N113" s="162" t="s">
        <v>554</v>
      </c>
      <c r="O113" s="332">
        <v>42930.0</v>
      </c>
      <c r="P113" s="164" t="str">
        <f t="array" ref="P113">XLOOKUP('FACUS$'!$B113,'perfil de pagos'!$A$4:$A$46,'perfil de pagos'!$C$4:$C$46+'FACUS$'!$D113)</f>
        <v>#N/A</v>
      </c>
      <c r="Q113" s="165">
        <f t="shared" si="2"/>
        <v>0</v>
      </c>
      <c r="R113" s="343">
        <v>42598.0</v>
      </c>
      <c r="S113" s="171"/>
      <c r="T113" s="171"/>
      <c r="U113" s="333" t="s">
        <v>7271</v>
      </c>
      <c r="V113" s="168">
        <f t="shared" si="3"/>
        <v>51395.9</v>
      </c>
      <c r="W113" s="168">
        <f t="shared" si="4"/>
        <v>0</v>
      </c>
      <c r="X113" s="168">
        <f t="shared" si="5"/>
        <v>0</v>
      </c>
      <c r="Y113" s="168">
        <f t="shared" si="6"/>
        <v>0</v>
      </c>
      <c r="Z113" s="168">
        <f t="shared" si="7"/>
        <v>0</v>
      </c>
      <c r="AA113" s="168">
        <f t="shared" si="8"/>
        <v>0</v>
      </c>
      <c r="AB113" s="168">
        <f t="shared" si="9"/>
        <v>0</v>
      </c>
    </row>
    <row r="114" ht="14.25" customHeight="1">
      <c r="A114" s="157">
        <v>398.0</v>
      </c>
      <c r="B114" s="169" t="s">
        <v>722</v>
      </c>
      <c r="C114" s="169" t="s">
        <v>7296</v>
      </c>
      <c r="D114" s="159">
        <v>42552.0</v>
      </c>
      <c r="E114" s="157" t="s">
        <v>2</v>
      </c>
      <c r="F114" s="160">
        <v>151083.06</v>
      </c>
      <c r="G114" s="160">
        <v>24173.29</v>
      </c>
      <c r="H114" s="160">
        <f t="shared" si="15"/>
        <v>175256.35</v>
      </c>
      <c r="I114" s="160"/>
      <c r="J114" s="161"/>
      <c r="K114" s="160"/>
      <c r="L114" s="160">
        <f>+'FACUS$'!$H114-'FACUS$'!$I114-'FACUS$'!$K114</f>
        <v>175256.35</v>
      </c>
      <c r="M114" s="157" t="s">
        <v>93</v>
      </c>
      <c r="N114" s="162" t="s">
        <v>127</v>
      </c>
      <c r="O114" s="332"/>
      <c r="P114" s="164" t="str">
        <f t="array" ref="P114">XLOOKUP('FACUS$'!$B114,'perfil de pagos'!$A$4:$A$46,'perfil de pagos'!$C$4:$C$46+'FACUS$'!$D114)</f>
        <v>#N/A</v>
      </c>
      <c r="Q114" s="165" t="str">
        <f t="shared" si="2"/>
        <v>N/A</v>
      </c>
      <c r="R114" s="171" t="s">
        <v>7302</v>
      </c>
      <c r="S114" s="171"/>
      <c r="T114" s="171"/>
      <c r="U114" s="333" t="s">
        <v>7271</v>
      </c>
      <c r="V114" s="168">
        <f t="shared" si="3"/>
        <v>0</v>
      </c>
      <c r="W114" s="168">
        <f t="shared" si="4"/>
        <v>0</v>
      </c>
      <c r="X114" s="168">
        <f t="shared" si="5"/>
        <v>0</v>
      </c>
      <c r="Y114" s="168">
        <f t="shared" si="6"/>
        <v>0</v>
      </c>
      <c r="Z114" s="168">
        <f t="shared" si="7"/>
        <v>0</v>
      </c>
      <c r="AA114" s="168">
        <f t="shared" si="8"/>
        <v>0</v>
      </c>
      <c r="AB114" s="168">
        <f t="shared" si="9"/>
        <v>175256.35</v>
      </c>
    </row>
    <row r="115" ht="14.25" customHeight="1">
      <c r="A115" s="157">
        <v>400.0</v>
      </c>
      <c r="B115" s="169" t="s">
        <v>722</v>
      </c>
      <c r="C115" s="169" t="s">
        <v>7296</v>
      </c>
      <c r="D115" s="159">
        <v>42552.0</v>
      </c>
      <c r="E115" s="157" t="s">
        <v>2</v>
      </c>
      <c r="F115" s="160">
        <v>112131.96</v>
      </c>
      <c r="G115" s="160">
        <v>17941.11</v>
      </c>
      <c r="H115" s="160">
        <f t="shared" si="15"/>
        <v>130073.07</v>
      </c>
      <c r="I115" s="160"/>
      <c r="J115" s="161"/>
      <c r="K115" s="160"/>
      <c r="L115" s="160">
        <f>+'FACUS$'!$H115-'FACUS$'!$I115-'FACUS$'!$K115</f>
        <v>130073.07</v>
      </c>
      <c r="M115" s="157" t="s">
        <v>93</v>
      </c>
      <c r="N115" s="162" t="s">
        <v>554</v>
      </c>
      <c r="O115" s="332">
        <v>42944.0</v>
      </c>
      <c r="P115" s="164" t="str">
        <f t="array" ref="P115">XLOOKUP('FACUS$'!$B115,'perfil de pagos'!$A$4:$A$46,'perfil de pagos'!$C$4:$C$46+'FACUS$'!$D115)</f>
        <v>#N/A</v>
      </c>
      <c r="Q115" s="165">
        <f t="shared" si="2"/>
        <v>0</v>
      </c>
      <c r="R115" s="171"/>
      <c r="S115" s="171"/>
      <c r="T115" s="171"/>
      <c r="U115" s="333" t="s">
        <v>7271</v>
      </c>
      <c r="V115" s="168">
        <f t="shared" si="3"/>
        <v>130073.07</v>
      </c>
      <c r="W115" s="168">
        <f t="shared" si="4"/>
        <v>0</v>
      </c>
      <c r="X115" s="168">
        <f t="shared" si="5"/>
        <v>0</v>
      </c>
      <c r="Y115" s="168">
        <f t="shared" si="6"/>
        <v>0</v>
      </c>
      <c r="Z115" s="168">
        <f t="shared" si="7"/>
        <v>0</v>
      </c>
      <c r="AA115" s="168">
        <f t="shared" si="8"/>
        <v>0</v>
      </c>
      <c r="AB115" s="168">
        <f t="shared" si="9"/>
        <v>0</v>
      </c>
    </row>
    <row r="116" ht="14.25" customHeight="1">
      <c r="A116" s="157">
        <v>401.0</v>
      </c>
      <c r="B116" s="169" t="s">
        <v>692</v>
      </c>
      <c r="C116" s="169" t="s">
        <v>737</v>
      </c>
      <c r="D116" s="159">
        <v>42552.0</v>
      </c>
      <c r="E116" s="157" t="s">
        <v>2</v>
      </c>
      <c r="F116" s="160">
        <v>107871.67</v>
      </c>
      <c r="G116" s="160">
        <v>17259.47</v>
      </c>
      <c r="H116" s="160">
        <f t="shared" si="15"/>
        <v>125131.14</v>
      </c>
      <c r="I116" s="160"/>
      <c r="J116" s="161"/>
      <c r="K116" s="160"/>
      <c r="L116" s="160">
        <f>+'FACUS$'!$H116-'FACUS$'!$I116-'FACUS$'!$K116</f>
        <v>125131.14</v>
      </c>
      <c r="M116" s="157" t="s">
        <v>7298</v>
      </c>
      <c r="N116" s="162" t="s">
        <v>127</v>
      </c>
      <c r="O116" s="332"/>
      <c r="P116" s="164" t="str">
        <f t="array" ref="P116">XLOOKUP('FACUS$'!$B116,'perfil de pagos'!$A$4:$A$46,'perfil de pagos'!$C$4:$C$46+'FACUS$'!$D116)</f>
        <v>#N/A</v>
      </c>
      <c r="Q116" s="165" t="str">
        <f t="shared" si="2"/>
        <v>N/A</v>
      </c>
      <c r="R116" s="171"/>
      <c r="S116" s="171"/>
      <c r="T116" s="171"/>
      <c r="U116" s="333" t="s">
        <v>7271</v>
      </c>
      <c r="V116" s="168">
        <f t="shared" si="3"/>
        <v>0</v>
      </c>
      <c r="W116" s="168">
        <f t="shared" si="4"/>
        <v>0</v>
      </c>
      <c r="X116" s="168">
        <f t="shared" si="5"/>
        <v>0</v>
      </c>
      <c r="Y116" s="168">
        <f t="shared" si="6"/>
        <v>0</v>
      </c>
      <c r="Z116" s="168">
        <f t="shared" si="7"/>
        <v>0</v>
      </c>
      <c r="AA116" s="168">
        <f t="shared" si="8"/>
        <v>0</v>
      </c>
      <c r="AB116" s="168">
        <f t="shared" si="9"/>
        <v>125131.14</v>
      </c>
    </row>
    <row r="117" ht="14.25" customHeight="1">
      <c r="A117" s="157">
        <v>408.0</v>
      </c>
      <c r="B117" s="169" t="s">
        <v>692</v>
      </c>
      <c r="C117" s="169" t="s">
        <v>737</v>
      </c>
      <c r="D117" s="159">
        <v>42552.0</v>
      </c>
      <c r="E117" s="157" t="s">
        <v>2</v>
      </c>
      <c r="F117" s="160">
        <v>105128.24</v>
      </c>
      <c r="G117" s="160">
        <v>16820.52</v>
      </c>
      <c r="H117" s="160">
        <f t="shared" si="15"/>
        <v>121948.76</v>
      </c>
      <c r="I117" s="160"/>
      <c r="J117" s="161"/>
      <c r="K117" s="160"/>
      <c r="L117" s="160">
        <f>+'FACUS$'!$H117-'FACUS$'!$I117-'FACUS$'!$K117</f>
        <v>121948.76</v>
      </c>
      <c r="M117" s="157" t="s">
        <v>7298</v>
      </c>
      <c r="N117" s="162" t="s">
        <v>554</v>
      </c>
      <c r="O117" s="332"/>
      <c r="P117" s="164" t="str">
        <f t="array" ref="P117">XLOOKUP('FACUS$'!$B117,'perfil de pagos'!$A$4:$A$46,'perfil de pagos'!$C$4:$C$46+'FACUS$'!$D117)</f>
        <v>#N/A</v>
      </c>
      <c r="Q117" s="165">
        <f t="shared" si="2"/>
        <v>0</v>
      </c>
      <c r="R117" s="171"/>
      <c r="S117" s="171"/>
      <c r="T117" s="171"/>
      <c r="U117" s="333" t="s">
        <v>7271</v>
      </c>
      <c r="V117" s="168">
        <f t="shared" si="3"/>
        <v>121948.76</v>
      </c>
      <c r="W117" s="168">
        <f t="shared" si="4"/>
        <v>0</v>
      </c>
      <c r="X117" s="168">
        <f t="shared" si="5"/>
        <v>0</v>
      </c>
      <c r="Y117" s="168">
        <f t="shared" si="6"/>
        <v>0</v>
      </c>
      <c r="Z117" s="168">
        <f t="shared" si="7"/>
        <v>0</v>
      </c>
      <c r="AA117" s="168">
        <f t="shared" si="8"/>
        <v>0</v>
      </c>
      <c r="AB117" s="168">
        <f t="shared" si="9"/>
        <v>0</v>
      </c>
    </row>
    <row r="118" ht="14.25" customHeight="1">
      <c r="A118" s="157">
        <v>416.0</v>
      </c>
      <c r="B118" s="169" t="s">
        <v>70</v>
      </c>
      <c r="C118" s="170" t="s">
        <v>759</v>
      </c>
      <c r="D118" s="159">
        <v>42552.0</v>
      </c>
      <c r="E118" s="157" t="s">
        <v>2</v>
      </c>
      <c r="F118" s="160">
        <v>24630.0</v>
      </c>
      <c r="G118" s="160">
        <v>3940.0</v>
      </c>
      <c r="H118" s="160">
        <f t="shared" si="15"/>
        <v>28570</v>
      </c>
      <c r="I118" s="160"/>
      <c r="J118" s="161"/>
      <c r="K118" s="160"/>
      <c r="L118" s="160">
        <f>+'FACUS$'!$H118-'FACUS$'!$I118-'FACUS$'!$K118</f>
        <v>28570</v>
      </c>
      <c r="M118" s="157" t="s">
        <v>719</v>
      </c>
      <c r="N118" s="162" t="s">
        <v>127</v>
      </c>
      <c r="O118" s="335"/>
      <c r="P118" s="164" t="str">
        <f t="array" ref="P118">XLOOKUP('FACUS$'!$B118,'perfil de pagos'!$A$4:$A$46,'perfil de pagos'!$C$4:$C$46+'FACUS$'!$D118)</f>
        <v>#N/A</v>
      </c>
      <c r="Q118" s="165" t="str">
        <f t="shared" si="2"/>
        <v>N/A</v>
      </c>
      <c r="R118" s="171" t="s">
        <v>7303</v>
      </c>
      <c r="S118" s="171"/>
      <c r="T118" s="171"/>
      <c r="U118" s="333" t="s">
        <v>7271</v>
      </c>
      <c r="V118" s="168">
        <f t="shared" si="3"/>
        <v>0</v>
      </c>
      <c r="W118" s="168">
        <f t="shared" si="4"/>
        <v>0</v>
      </c>
      <c r="X118" s="168">
        <f t="shared" si="5"/>
        <v>0</v>
      </c>
      <c r="Y118" s="168">
        <f t="shared" si="6"/>
        <v>0</v>
      </c>
      <c r="Z118" s="168">
        <f t="shared" si="7"/>
        <v>0</v>
      </c>
      <c r="AA118" s="168">
        <f t="shared" si="8"/>
        <v>0</v>
      </c>
      <c r="AB118" s="168">
        <f t="shared" si="9"/>
        <v>28570</v>
      </c>
    </row>
    <row r="119" ht="14.25" customHeight="1">
      <c r="A119" s="157">
        <v>417.0</v>
      </c>
      <c r="B119" s="169" t="s">
        <v>692</v>
      </c>
      <c r="C119" s="169" t="s">
        <v>737</v>
      </c>
      <c r="D119" s="159">
        <v>42552.0</v>
      </c>
      <c r="E119" s="157" t="s">
        <v>2</v>
      </c>
      <c r="F119" s="160">
        <v>105018.5</v>
      </c>
      <c r="G119" s="160">
        <v>16802.96</v>
      </c>
      <c r="H119" s="160">
        <f t="shared" si="15"/>
        <v>121821.46</v>
      </c>
      <c r="I119" s="160"/>
      <c r="J119" s="161"/>
      <c r="K119" s="160"/>
      <c r="L119" s="160">
        <f>+'FACUS$'!$H119-'FACUS$'!$I119-'FACUS$'!$K119</f>
        <v>121821.46</v>
      </c>
      <c r="M119" s="157" t="s">
        <v>7298</v>
      </c>
      <c r="N119" s="162" t="s">
        <v>554</v>
      </c>
      <c r="O119" s="335">
        <v>42963.0</v>
      </c>
      <c r="P119" s="164" t="str">
        <f t="array" ref="P119">XLOOKUP('FACUS$'!$B119,'perfil de pagos'!$A$4:$A$46,'perfil de pagos'!$C$4:$C$46+'FACUS$'!$D119)</f>
        <v>#N/A</v>
      </c>
      <c r="Q119" s="165">
        <f t="shared" si="2"/>
        <v>0</v>
      </c>
      <c r="R119" s="343"/>
      <c r="S119" s="171"/>
      <c r="T119" s="171"/>
      <c r="U119" s="333" t="s">
        <v>7271</v>
      </c>
      <c r="V119" s="168">
        <f t="shared" si="3"/>
        <v>121821.46</v>
      </c>
      <c r="W119" s="168">
        <f t="shared" si="4"/>
        <v>0</v>
      </c>
      <c r="X119" s="168">
        <f t="shared" si="5"/>
        <v>0</v>
      </c>
      <c r="Y119" s="168">
        <f t="shared" si="6"/>
        <v>0</v>
      </c>
      <c r="Z119" s="168">
        <f t="shared" si="7"/>
        <v>0</v>
      </c>
      <c r="AA119" s="168">
        <f t="shared" si="8"/>
        <v>0</v>
      </c>
      <c r="AB119" s="168">
        <f t="shared" si="9"/>
        <v>0</v>
      </c>
    </row>
    <row r="120" ht="14.25" customHeight="1">
      <c r="A120" s="157">
        <v>419.0</v>
      </c>
      <c r="B120" s="169" t="s">
        <v>70</v>
      </c>
      <c r="C120" s="170" t="s">
        <v>759</v>
      </c>
      <c r="D120" s="159">
        <v>42556.0</v>
      </c>
      <c r="E120" s="157" t="s">
        <v>2</v>
      </c>
      <c r="F120" s="160">
        <v>18517.5</v>
      </c>
      <c r="G120" s="160">
        <v>2962.8</v>
      </c>
      <c r="H120" s="160">
        <f t="shared" si="15"/>
        <v>21480.3</v>
      </c>
      <c r="I120" s="160"/>
      <c r="J120" s="161"/>
      <c r="K120" s="160"/>
      <c r="L120" s="160">
        <f>+'FACUS$'!$H120-'FACUS$'!$I120-'FACUS$'!$K120</f>
        <v>21480.3</v>
      </c>
      <c r="M120" s="157" t="s">
        <v>719</v>
      </c>
      <c r="N120" s="162" t="s">
        <v>554</v>
      </c>
      <c r="O120" s="335">
        <v>42952.0</v>
      </c>
      <c r="P120" s="164" t="str">
        <f t="array" ref="P120">XLOOKUP('FACUS$'!$B120,'perfil de pagos'!$A$4:$A$46,'perfil de pagos'!$C$4:$C$46+'FACUS$'!$D120)</f>
        <v>#N/A</v>
      </c>
      <c r="Q120" s="165">
        <f t="shared" si="2"/>
        <v>0</v>
      </c>
      <c r="R120" s="171"/>
      <c r="S120" s="171"/>
      <c r="T120" s="171"/>
      <c r="U120" s="333" t="s">
        <v>7271</v>
      </c>
      <c r="V120" s="168">
        <f t="shared" si="3"/>
        <v>21480.3</v>
      </c>
      <c r="W120" s="168">
        <f t="shared" si="4"/>
        <v>0</v>
      </c>
      <c r="X120" s="168">
        <f t="shared" si="5"/>
        <v>0</v>
      </c>
      <c r="Y120" s="168">
        <f t="shared" si="6"/>
        <v>0</v>
      </c>
      <c r="Z120" s="168">
        <f t="shared" si="7"/>
        <v>0</v>
      </c>
      <c r="AA120" s="168">
        <f t="shared" si="8"/>
        <v>0</v>
      </c>
      <c r="AB120" s="168">
        <f t="shared" si="9"/>
        <v>0</v>
      </c>
    </row>
    <row r="121" ht="14.25" customHeight="1">
      <c r="A121" s="157">
        <v>420.0</v>
      </c>
      <c r="B121" s="169" t="s">
        <v>692</v>
      </c>
      <c r="C121" s="169" t="s">
        <v>737</v>
      </c>
      <c r="D121" s="159">
        <v>42566.0</v>
      </c>
      <c r="E121" s="157" t="s">
        <v>2</v>
      </c>
      <c r="F121" s="160">
        <v>94445.47</v>
      </c>
      <c r="G121" s="160">
        <v>15111.28</v>
      </c>
      <c r="H121" s="160">
        <f t="shared" si="15"/>
        <v>109556.75</v>
      </c>
      <c r="I121" s="160"/>
      <c r="J121" s="161"/>
      <c r="K121" s="160"/>
      <c r="L121" s="160">
        <f>+'FACUS$'!$H121-'FACUS$'!$I121-'FACUS$'!$K121</f>
        <v>109556.75</v>
      </c>
      <c r="M121" s="157" t="s">
        <v>7298</v>
      </c>
      <c r="N121" s="162" t="s">
        <v>554</v>
      </c>
      <c r="O121" s="332">
        <v>42963.0</v>
      </c>
      <c r="P121" s="164" t="str">
        <f t="array" ref="P121">XLOOKUP('FACUS$'!$B121,'perfil de pagos'!$A$4:$A$46,'perfil de pagos'!$C$4:$C$46+'FACUS$'!$D121)</f>
        <v>#N/A</v>
      </c>
      <c r="Q121" s="165">
        <f t="shared" si="2"/>
        <v>0</v>
      </c>
      <c r="R121" s="171"/>
      <c r="S121" s="171"/>
      <c r="T121" s="171"/>
      <c r="U121" s="333" t="s">
        <v>7271</v>
      </c>
      <c r="V121" s="168">
        <f t="shared" si="3"/>
        <v>109556.75</v>
      </c>
      <c r="W121" s="168">
        <f t="shared" si="4"/>
        <v>0</v>
      </c>
      <c r="X121" s="168">
        <f t="shared" si="5"/>
        <v>0</v>
      </c>
      <c r="Y121" s="168">
        <f t="shared" si="6"/>
        <v>0</v>
      </c>
      <c r="Z121" s="168">
        <f t="shared" si="7"/>
        <v>0</v>
      </c>
      <c r="AA121" s="168">
        <f t="shared" si="8"/>
        <v>0</v>
      </c>
      <c r="AB121" s="168">
        <f t="shared" si="9"/>
        <v>0</v>
      </c>
    </row>
    <row r="122" ht="14.25" customHeight="1">
      <c r="A122" s="157">
        <v>432.0</v>
      </c>
      <c r="B122" s="169" t="s">
        <v>722</v>
      </c>
      <c r="C122" s="169" t="s">
        <v>7296</v>
      </c>
      <c r="D122" s="159">
        <v>42566.0</v>
      </c>
      <c r="E122" s="157" t="s">
        <v>2</v>
      </c>
      <c r="F122" s="160">
        <v>99049.02</v>
      </c>
      <c r="G122" s="160">
        <v>15847.84</v>
      </c>
      <c r="H122" s="160">
        <f t="shared" si="15"/>
        <v>114896.86</v>
      </c>
      <c r="I122" s="160"/>
      <c r="J122" s="161"/>
      <c r="K122" s="160"/>
      <c r="L122" s="160">
        <f>+'FACUS$'!$H122-'FACUS$'!$I122-'FACUS$'!$K122</f>
        <v>114896.86</v>
      </c>
      <c r="M122" s="157" t="s">
        <v>93</v>
      </c>
      <c r="N122" s="162" t="s">
        <v>554</v>
      </c>
      <c r="O122" s="332">
        <v>42965.0</v>
      </c>
      <c r="P122" s="164" t="str">
        <f t="array" ref="P122">XLOOKUP('FACUS$'!$B122,'perfil de pagos'!$A$4:$A$46,'perfil de pagos'!$C$4:$C$46+'FACUS$'!$D122)</f>
        <v>#N/A</v>
      </c>
      <c r="Q122" s="165">
        <f t="shared" si="2"/>
        <v>0</v>
      </c>
      <c r="R122" s="343"/>
      <c r="S122" s="171"/>
      <c r="T122" s="171"/>
      <c r="U122" s="333" t="s">
        <v>7271</v>
      </c>
      <c r="V122" s="168">
        <f t="shared" si="3"/>
        <v>114896.86</v>
      </c>
      <c r="W122" s="168">
        <f t="shared" si="4"/>
        <v>0</v>
      </c>
      <c r="X122" s="168">
        <f t="shared" si="5"/>
        <v>0</v>
      </c>
      <c r="Y122" s="168">
        <f t="shared" si="6"/>
        <v>0</v>
      </c>
      <c r="Z122" s="168">
        <f t="shared" si="7"/>
        <v>0</v>
      </c>
      <c r="AA122" s="168">
        <f t="shared" si="8"/>
        <v>0</v>
      </c>
      <c r="AB122" s="168">
        <f t="shared" si="9"/>
        <v>0</v>
      </c>
    </row>
    <row r="123" ht="14.25" customHeight="1">
      <c r="A123" s="157">
        <v>435.0</v>
      </c>
      <c r="B123" s="169" t="s">
        <v>722</v>
      </c>
      <c r="C123" s="169" t="s">
        <v>7296</v>
      </c>
      <c r="D123" s="159">
        <v>42583.0</v>
      </c>
      <c r="E123" s="157" t="s">
        <v>2</v>
      </c>
      <c r="F123" s="160">
        <v>128339.68</v>
      </c>
      <c r="G123" s="160">
        <v>355.2</v>
      </c>
      <c r="H123" s="160">
        <f t="shared" si="15"/>
        <v>128694.88</v>
      </c>
      <c r="I123" s="160"/>
      <c r="J123" s="161"/>
      <c r="K123" s="160"/>
      <c r="L123" s="160">
        <f>+'FACUS$'!$H123-'FACUS$'!$I123-'FACUS$'!$K123</f>
        <v>128694.88</v>
      </c>
      <c r="M123" s="157" t="s">
        <v>93</v>
      </c>
      <c r="N123" s="162" t="s">
        <v>554</v>
      </c>
      <c r="O123" s="332">
        <v>42972.0</v>
      </c>
      <c r="P123" s="164" t="str">
        <f t="array" ref="P123">XLOOKUP('FACUS$'!$B123,'perfil de pagos'!$A$4:$A$46,'perfil de pagos'!$C$4:$C$46+'FACUS$'!$D123)</f>
        <v>#N/A</v>
      </c>
      <c r="Q123" s="165">
        <f t="shared" si="2"/>
        <v>0</v>
      </c>
      <c r="R123" s="171"/>
      <c r="S123" s="171"/>
      <c r="T123" s="171"/>
      <c r="U123" s="333" t="s">
        <v>7271</v>
      </c>
      <c r="V123" s="168">
        <f t="shared" si="3"/>
        <v>128694.88</v>
      </c>
      <c r="W123" s="168">
        <f t="shared" si="4"/>
        <v>0</v>
      </c>
      <c r="X123" s="168">
        <f t="shared" si="5"/>
        <v>0</v>
      </c>
      <c r="Y123" s="168">
        <f t="shared" si="6"/>
        <v>0</v>
      </c>
      <c r="Z123" s="168">
        <f t="shared" si="7"/>
        <v>0</v>
      </c>
      <c r="AA123" s="168">
        <f t="shared" si="8"/>
        <v>0</v>
      </c>
      <c r="AB123" s="168">
        <f t="shared" si="9"/>
        <v>0</v>
      </c>
    </row>
    <row r="124" ht="14.25" customHeight="1">
      <c r="A124" s="157">
        <v>437.0</v>
      </c>
      <c r="B124" s="169" t="s">
        <v>70</v>
      </c>
      <c r="C124" s="170" t="s">
        <v>759</v>
      </c>
      <c r="D124" s="159">
        <v>42583.0</v>
      </c>
      <c r="E124" s="157" t="s">
        <v>2</v>
      </c>
      <c r="F124" s="160">
        <v>2220.0</v>
      </c>
      <c r="G124" s="160">
        <v>355.2</v>
      </c>
      <c r="H124" s="160">
        <v>3.0</v>
      </c>
      <c r="I124" s="160"/>
      <c r="J124" s="161"/>
      <c r="K124" s="160"/>
      <c r="L124" s="160">
        <f>+'FACUS$'!$H124-'FACUS$'!$I124-'FACUS$'!$K124</f>
        <v>3</v>
      </c>
      <c r="M124" s="157" t="s">
        <v>719</v>
      </c>
      <c r="N124" s="162" t="s">
        <v>554</v>
      </c>
      <c r="O124" s="332">
        <v>42611.0</v>
      </c>
      <c r="P124" s="164" t="str">
        <f t="array" ref="P124">XLOOKUP('FACUS$'!$B124,'perfil de pagos'!$A$4:$A$46,'perfil de pagos'!$C$4:$C$46+'FACUS$'!$D124)</f>
        <v>#N/A</v>
      </c>
      <c r="Q124" s="165">
        <f t="shared" si="2"/>
        <v>0</v>
      </c>
      <c r="R124" s="171"/>
      <c r="S124" s="171"/>
      <c r="T124" s="171"/>
      <c r="U124" s="333" t="s">
        <v>7271</v>
      </c>
      <c r="V124" s="168">
        <f t="shared" si="3"/>
        <v>3</v>
      </c>
      <c r="W124" s="168">
        <f t="shared" si="4"/>
        <v>0</v>
      </c>
      <c r="X124" s="168">
        <f t="shared" si="5"/>
        <v>0</v>
      </c>
      <c r="Y124" s="168">
        <f t="shared" si="6"/>
        <v>0</v>
      </c>
      <c r="Z124" s="168">
        <f t="shared" si="7"/>
        <v>0</v>
      </c>
      <c r="AA124" s="168">
        <f t="shared" si="8"/>
        <v>0</v>
      </c>
      <c r="AB124" s="168">
        <f t="shared" si="9"/>
        <v>0</v>
      </c>
    </row>
    <row r="125" ht="14.25" customHeight="1">
      <c r="A125" s="157">
        <v>439.0</v>
      </c>
      <c r="B125" s="169" t="s">
        <v>692</v>
      </c>
      <c r="C125" s="169" t="s">
        <v>737</v>
      </c>
      <c r="D125" s="159">
        <v>42583.0</v>
      </c>
      <c r="E125" s="157" t="s">
        <v>2</v>
      </c>
      <c r="F125" s="160">
        <v>106350.45</v>
      </c>
      <c r="G125" s="160">
        <v>17016.07</v>
      </c>
      <c r="H125" s="160">
        <f t="shared" ref="H125:H140" si="17">F125+G125</f>
        <v>123366.52</v>
      </c>
      <c r="I125" s="160"/>
      <c r="J125" s="161"/>
      <c r="K125" s="160"/>
      <c r="L125" s="160">
        <f>+'FACUS$'!$H125-'FACUS$'!$I125-'FACUS$'!$K125</f>
        <v>123366.52</v>
      </c>
      <c r="M125" s="157" t="s">
        <v>7298</v>
      </c>
      <c r="N125" s="162" t="s">
        <v>554</v>
      </c>
      <c r="O125" s="332">
        <v>42613.0</v>
      </c>
      <c r="P125" s="164" t="str">
        <f t="array" ref="P125">XLOOKUP('FACUS$'!$B125,'perfil de pagos'!$A$4:$A$46,'perfil de pagos'!$C$4:$C$46+'FACUS$'!$D125)</f>
        <v>#N/A</v>
      </c>
      <c r="Q125" s="165">
        <f t="shared" si="2"/>
        <v>0</v>
      </c>
      <c r="R125" s="171"/>
      <c r="S125" s="171"/>
      <c r="T125" s="171"/>
      <c r="U125" s="333" t="s">
        <v>7271</v>
      </c>
      <c r="V125" s="168">
        <f t="shared" si="3"/>
        <v>123366.52</v>
      </c>
      <c r="W125" s="168">
        <f t="shared" si="4"/>
        <v>0</v>
      </c>
      <c r="X125" s="168">
        <f t="shared" si="5"/>
        <v>0</v>
      </c>
      <c r="Y125" s="168">
        <f t="shared" si="6"/>
        <v>0</v>
      </c>
      <c r="Z125" s="168">
        <f t="shared" si="7"/>
        <v>0</v>
      </c>
      <c r="AA125" s="168">
        <f t="shared" si="8"/>
        <v>0</v>
      </c>
      <c r="AB125" s="168">
        <f t="shared" si="9"/>
        <v>0</v>
      </c>
    </row>
    <row r="126" ht="14.25" customHeight="1">
      <c r="A126" s="157">
        <v>443.0</v>
      </c>
      <c r="B126" s="169" t="s">
        <v>692</v>
      </c>
      <c r="C126" s="169" t="s">
        <v>737</v>
      </c>
      <c r="D126" s="159">
        <v>42596.0</v>
      </c>
      <c r="E126" s="157" t="s">
        <v>2</v>
      </c>
      <c r="F126" s="160">
        <v>7500.0</v>
      </c>
      <c r="G126" s="160">
        <v>1200.0</v>
      </c>
      <c r="H126" s="160">
        <f t="shared" si="17"/>
        <v>8700</v>
      </c>
      <c r="I126" s="160"/>
      <c r="J126" s="161"/>
      <c r="K126" s="160"/>
      <c r="L126" s="160">
        <f>+'FACUS$'!$H126-'FACUS$'!$I126-'FACUS$'!$K126</f>
        <v>8700</v>
      </c>
      <c r="M126" s="157" t="s">
        <v>7298</v>
      </c>
      <c r="N126" s="162" t="s">
        <v>127</v>
      </c>
      <c r="O126" s="332"/>
      <c r="P126" s="164" t="str">
        <f t="array" ref="P126">XLOOKUP('FACUS$'!$B126,'perfil de pagos'!$A$4:$A$46,'perfil de pagos'!$C$4:$C$46+'FACUS$'!$D126)</f>
        <v>#N/A</v>
      </c>
      <c r="Q126" s="165" t="str">
        <f t="shared" si="2"/>
        <v>N/A</v>
      </c>
      <c r="R126" s="171"/>
      <c r="S126" s="171"/>
      <c r="T126" s="171"/>
      <c r="U126" s="333" t="s">
        <v>7271</v>
      </c>
      <c r="V126" s="168">
        <f t="shared" si="3"/>
        <v>0</v>
      </c>
      <c r="W126" s="168">
        <f t="shared" si="4"/>
        <v>0</v>
      </c>
      <c r="X126" s="168">
        <f t="shared" si="5"/>
        <v>0</v>
      </c>
      <c r="Y126" s="168">
        <f t="shared" si="6"/>
        <v>0</v>
      </c>
      <c r="Z126" s="168">
        <f t="shared" si="7"/>
        <v>0</v>
      </c>
      <c r="AA126" s="168">
        <f t="shared" si="8"/>
        <v>0</v>
      </c>
      <c r="AB126" s="168">
        <f t="shared" si="9"/>
        <v>8700</v>
      </c>
    </row>
    <row r="127" ht="14.25" customHeight="1">
      <c r="A127" s="157">
        <v>453.0</v>
      </c>
      <c r="B127" s="169" t="s">
        <v>70</v>
      </c>
      <c r="C127" s="169" t="s">
        <v>759</v>
      </c>
      <c r="D127" s="159">
        <v>42597.0</v>
      </c>
      <c r="E127" s="157" t="s">
        <v>2</v>
      </c>
      <c r="F127" s="160">
        <v>4297.8</v>
      </c>
      <c r="G127" s="160">
        <v>687.65</v>
      </c>
      <c r="H127" s="160">
        <f t="shared" si="17"/>
        <v>4985.45</v>
      </c>
      <c r="I127" s="160"/>
      <c r="J127" s="161"/>
      <c r="K127" s="160"/>
      <c r="L127" s="160">
        <f>+'FACUS$'!$H127-'FACUS$'!$I127-'FACUS$'!$K127</f>
        <v>4985.45</v>
      </c>
      <c r="M127" s="157" t="s">
        <v>719</v>
      </c>
      <c r="N127" s="162" t="s">
        <v>554</v>
      </c>
      <c r="O127" s="332">
        <v>42632.0</v>
      </c>
      <c r="P127" s="164" t="str">
        <f t="array" ref="P127">XLOOKUP('FACUS$'!$B127,'perfil de pagos'!$A$4:$A$46,'perfil de pagos'!$C$4:$C$46+'FACUS$'!$D127)</f>
        <v>#N/A</v>
      </c>
      <c r="Q127" s="165">
        <f t="shared" si="2"/>
        <v>0</v>
      </c>
      <c r="R127" s="171"/>
      <c r="S127" s="171"/>
      <c r="T127" s="171"/>
      <c r="U127" s="333" t="s">
        <v>7271</v>
      </c>
      <c r="V127" s="168">
        <f t="shared" si="3"/>
        <v>4985.45</v>
      </c>
      <c r="W127" s="168">
        <f t="shared" si="4"/>
        <v>0</v>
      </c>
      <c r="X127" s="168">
        <f t="shared" si="5"/>
        <v>0</v>
      </c>
      <c r="Y127" s="168">
        <f t="shared" si="6"/>
        <v>0</v>
      </c>
      <c r="Z127" s="168">
        <f t="shared" si="7"/>
        <v>0</v>
      </c>
      <c r="AA127" s="168">
        <f t="shared" si="8"/>
        <v>0</v>
      </c>
      <c r="AB127" s="168">
        <f t="shared" si="9"/>
        <v>0</v>
      </c>
    </row>
    <row r="128" ht="14.25" customHeight="1">
      <c r="A128" s="157">
        <v>454.0</v>
      </c>
      <c r="B128" s="169" t="s">
        <v>722</v>
      </c>
      <c r="C128" s="169" t="s">
        <v>7296</v>
      </c>
      <c r="D128" s="159">
        <v>42597.0</v>
      </c>
      <c r="E128" s="157" t="s">
        <v>2</v>
      </c>
      <c r="F128" s="160">
        <v>35821.31</v>
      </c>
      <c r="G128" s="160">
        <v>5731.41</v>
      </c>
      <c r="H128" s="160">
        <f t="shared" si="17"/>
        <v>41552.72</v>
      </c>
      <c r="I128" s="160"/>
      <c r="J128" s="161"/>
      <c r="K128" s="160"/>
      <c r="L128" s="160">
        <f>+'FACUS$'!$H128-'FACUS$'!$I128-'FACUS$'!$K128</f>
        <v>41552.72</v>
      </c>
      <c r="M128" s="157" t="s">
        <v>93</v>
      </c>
      <c r="N128" s="162" t="s">
        <v>554</v>
      </c>
      <c r="O128" s="332">
        <v>42627.0</v>
      </c>
      <c r="P128" s="164" t="str">
        <f t="array" ref="P128">XLOOKUP('FACUS$'!$B128,'perfil de pagos'!$A$4:$A$46,'perfil de pagos'!$C$4:$C$46+'FACUS$'!$D128)</f>
        <v>#N/A</v>
      </c>
      <c r="Q128" s="165">
        <f t="shared" si="2"/>
        <v>0</v>
      </c>
      <c r="R128" s="171"/>
      <c r="S128" s="171"/>
      <c r="T128" s="171"/>
      <c r="U128" s="333" t="s">
        <v>7271</v>
      </c>
      <c r="V128" s="168">
        <f t="shared" si="3"/>
        <v>41552.72</v>
      </c>
      <c r="W128" s="168">
        <f t="shared" si="4"/>
        <v>0</v>
      </c>
      <c r="X128" s="168">
        <f t="shared" si="5"/>
        <v>0</v>
      </c>
      <c r="Y128" s="168">
        <f t="shared" si="6"/>
        <v>0</v>
      </c>
      <c r="Z128" s="168">
        <f t="shared" si="7"/>
        <v>0</v>
      </c>
      <c r="AA128" s="168">
        <f t="shared" si="8"/>
        <v>0</v>
      </c>
      <c r="AB128" s="168">
        <f t="shared" si="9"/>
        <v>0</v>
      </c>
    </row>
    <row r="129" ht="14.25" customHeight="1">
      <c r="A129" s="157">
        <v>457.0</v>
      </c>
      <c r="B129" s="169" t="s">
        <v>692</v>
      </c>
      <c r="C129" s="169" t="s">
        <v>737</v>
      </c>
      <c r="D129" s="159">
        <v>42596.0</v>
      </c>
      <c r="E129" s="157" t="s">
        <v>2</v>
      </c>
      <c r="F129" s="160">
        <v>6750.0</v>
      </c>
      <c r="G129" s="160">
        <v>1080.0</v>
      </c>
      <c r="H129" s="160">
        <f t="shared" si="17"/>
        <v>7830</v>
      </c>
      <c r="I129" s="160"/>
      <c r="J129" s="161"/>
      <c r="K129" s="160"/>
      <c r="L129" s="160">
        <f>+'FACUS$'!$H129-'FACUS$'!$I129-'FACUS$'!$K129</f>
        <v>7830</v>
      </c>
      <c r="M129" s="157" t="s">
        <v>7298</v>
      </c>
      <c r="N129" s="162" t="s">
        <v>554</v>
      </c>
      <c r="O129" s="332"/>
      <c r="P129" s="164" t="str">
        <f t="array" ref="P129">XLOOKUP('FACUS$'!$B129,'perfil de pagos'!$A$4:$A$46,'perfil de pagos'!$C$4:$C$46+'FACUS$'!$D129)</f>
        <v>#N/A</v>
      </c>
      <c r="Q129" s="165">
        <f t="shared" si="2"/>
        <v>0</v>
      </c>
      <c r="R129" s="171" t="s">
        <v>7304</v>
      </c>
      <c r="S129" s="171"/>
      <c r="T129" s="171"/>
      <c r="U129" s="333" t="s">
        <v>7271</v>
      </c>
      <c r="V129" s="168">
        <f t="shared" si="3"/>
        <v>7830</v>
      </c>
      <c r="W129" s="168">
        <f t="shared" si="4"/>
        <v>0</v>
      </c>
      <c r="X129" s="168">
        <f t="shared" si="5"/>
        <v>0</v>
      </c>
      <c r="Y129" s="168">
        <f t="shared" si="6"/>
        <v>0</v>
      </c>
      <c r="Z129" s="168">
        <f t="shared" si="7"/>
        <v>0</v>
      </c>
      <c r="AA129" s="168">
        <f t="shared" si="8"/>
        <v>0</v>
      </c>
      <c r="AB129" s="168">
        <f t="shared" si="9"/>
        <v>0</v>
      </c>
    </row>
    <row r="130" ht="14.25" customHeight="1">
      <c r="A130" s="157">
        <v>462.0</v>
      </c>
      <c r="B130" s="169" t="s">
        <v>70</v>
      </c>
      <c r="C130" s="169" t="s">
        <v>759</v>
      </c>
      <c r="D130" s="159">
        <v>42614.0</v>
      </c>
      <c r="E130" s="157" t="s">
        <v>2</v>
      </c>
      <c r="F130" s="160">
        <v>8272.5</v>
      </c>
      <c r="G130" s="160">
        <v>1323.6</v>
      </c>
      <c r="H130" s="160">
        <f t="shared" si="17"/>
        <v>9596.1</v>
      </c>
      <c r="I130" s="160"/>
      <c r="J130" s="161"/>
      <c r="K130" s="160"/>
      <c r="L130" s="160">
        <f>+'FACUS$'!$H130-'FACUS$'!$I130-'FACUS$'!$K130</f>
        <v>9596.1</v>
      </c>
      <c r="M130" s="157" t="s">
        <v>719</v>
      </c>
      <c r="N130" s="162" t="s">
        <v>554</v>
      </c>
      <c r="O130" s="332">
        <v>42642.0</v>
      </c>
      <c r="P130" s="164" t="str">
        <f t="array" ref="P130">XLOOKUP('FACUS$'!$B130,'perfil de pagos'!$A$4:$A$46,'perfil de pagos'!$C$4:$C$46+'FACUS$'!$D130)</f>
        <v>#N/A</v>
      </c>
      <c r="Q130" s="165">
        <f t="shared" si="2"/>
        <v>0</v>
      </c>
      <c r="R130" s="171"/>
      <c r="S130" s="171"/>
      <c r="T130" s="171"/>
      <c r="U130" s="333" t="s">
        <v>7271</v>
      </c>
      <c r="V130" s="168">
        <f t="shared" si="3"/>
        <v>9596.1</v>
      </c>
      <c r="W130" s="168">
        <f t="shared" si="4"/>
        <v>0</v>
      </c>
      <c r="X130" s="168">
        <f t="shared" si="5"/>
        <v>0</v>
      </c>
      <c r="Y130" s="168">
        <f t="shared" si="6"/>
        <v>0</v>
      </c>
      <c r="Z130" s="168">
        <f t="shared" si="7"/>
        <v>0</v>
      </c>
      <c r="AA130" s="168">
        <f t="shared" si="8"/>
        <v>0</v>
      </c>
      <c r="AB130" s="168">
        <f t="shared" si="9"/>
        <v>0</v>
      </c>
    </row>
    <row r="131" ht="14.25" customHeight="1">
      <c r="A131" s="157">
        <v>463.0</v>
      </c>
      <c r="B131" s="169" t="s">
        <v>722</v>
      </c>
      <c r="C131" s="169" t="s">
        <v>7296</v>
      </c>
      <c r="D131" s="159">
        <v>42614.0</v>
      </c>
      <c r="E131" s="157" t="s">
        <v>2</v>
      </c>
      <c r="F131" s="160">
        <v>121115.54</v>
      </c>
      <c r="G131" s="160">
        <v>19378.49</v>
      </c>
      <c r="H131" s="160">
        <f t="shared" si="17"/>
        <v>140494.03</v>
      </c>
      <c r="I131" s="160"/>
      <c r="J131" s="161"/>
      <c r="K131" s="160"/>
      <c r="L131" s="160">
        <f>+'FACUS$'!$H131-'FACUS$'!$I131-'FACUS$'!$K131</f>
        <v>140494.03</v>
      </c>
      <c r="M131" s="157" t="s">
        <v>93</v>
      </c>
      <c r="N131" s="162" t="s">
        <v>554</v>
      </c>
      <c r="O131" s="332">
        <v>43007.0</v>
      </c>
      <c r="P131" s="164" t="str">
        <f t="array" ref="P131">XLOOKUP('FACUS$'!$B131,'perfil de pagos'!$A$4:$A$46,'perfil de pagos'!$C$4:$C$46+'FACUS$'!$D131)</f>
        <v>#N/A</v>
      </c>
      <c r="Q131" s="165">
        <f t="shared" si="2"/>
        <v>0</v>
      </c>
      <c r="R131" s="171"/>
      <c r="S131" s="171"/>
      <c r="T131" s="171"/>
      <c r="U131" s="333" t="s">
        <v>7271</v>
      </c>
      <c r="V131" s="168">
        <f t="shared" si="3"/>
        <v>140494.03</v>
      </c>
      <c r="W131" s="168">
        <f t="shared" si="4"/>
        <v>0</v>
      </c>
      <c r="X131" s="168">
        <f t="shared" si="5"/>
        <v>0</v>
      </c>
      <c r="Y131" s="168">
        <f t="shared" si="6"/>
        <v>0</v>
      </c>
      <c r="Z131" s="168">
        <f t="shared" si="7"/>
        <v>0</v>
      </c>
      <c r="AA131" s="168">
        <f t="shared" si="8"/>
        <v>0</v>
      </c>
      <c r="AB131" s="168">
        <f t="shared" si="9"/>
        <v>0</v>
      </c>
    </row>
    <row r="132" ht="14.25" customHeight="1">
      <c r="A132" s="157">
        <v>470.0</v>
      </c>
      <c r="B132" s="169" t="s">
        <v>722</v>
      </c>
      <c r="C132" s="169" t="s">
        <v>7296</v>
      </c>
      <c r="D132" s="159">
        <v>42628.0</v>
      </c>
      <c r="E132" s="157" t="s">
        <v>2</v>
      </c>
      <c r="F132" s="160">
        <v>650616.88</v>
      </c>
      <c r="G132" s="160">
        <v>104098.7</v>
      </c>
      <c r="H132" s="160">
        <f t="shared" si="17"/>
        <v>754715.58</v>
      </c>
      <c r="I132" s="160"/>
      <c r="J132" s="161"/>
      <c r="K132" s="160"/>
      <c r="L132" s="160">
        <f>+'FACUS$'!$H132-'FACUS$'!$I132-'FACUS$'!$K132</f>
        <v>754715.58</v>
      </c>
      <c r="M132" s="157" t="s">
        <v>93</v>
      </c>
      <c r="N132" s="162" t="s">
        <v>127</v>
      </c>
      <c r="O132" s="332"/>
      <c r="P132" s="164" t="str">
        <f t="array" ref="P132">XLOOKUP('FACUS$'!$B132,'perfil de pagos'!$A$4:$A$46,'perfil de pagos'!$C$4:$C$46+'FACUS$'!$D132)</f>
        <v>#N/A</v>
      </c>
      <c r="Q132" s="165" t="str">
        <f t="shared" si="2"/>
        <v>N/A</v>
      </c>
      <c r="R132" s="171"/>
      <c r="S132" s="171"/>
      <c r="T132" s="171"/>
      <c r="U132" s="333" t="s">
        <v>7271</v>
      </c>
      <c r="V132" s="168">
        <f t="shared" si="3"/>
        <v>0</v>
      </c>
      <c r="W132" s="168">
        <f t="shared" si="4"/>
        <v>0</v>
      </c>
      <c r="X132" s="168">
        <f t="shared" si="5"/>
        <v>0</v>
      </c>
      <c r="Y132" s="168">
        <f t="shared" si="6"/>
        <v>0</v>
      </c>
      <c r="Z132" s="168">
        <f t="shared" si="7"/>
        <v>0</v>
      </c>
      <c r="AA132" s="168">
        <f t="shared" si="8"/>
        <v>0</v>
      </c>
      <c r="AB132" s="168">
        <f t="shared" si="9"/>
        <v>754715.58</v>
      </c>
    </row>
    <row r="133" ht="14.25" customHeight="1">
      <c r="A133" s="157">
        <v>474.0</v>
      </c>
      <c r="B133" s="169" t="s">
        <v>70</v>
      </c>
      <c r="C133" s="169" t="s">
        <v>759</v>
      </c>
      <c r="D133" s="159">
        <v>42628.0</v>
      </c>
      <c r="E133" s="157" t="s">
        <v>2</v>
      </c>
      <c r="F133" s="160">
        <v>10957.5</v>
      </c>
      <c r="G133" s="160">
        <v>1753.2</v>
      </c>
      <c r="H133" s="160">
        <f t="shared" si="17"/>
        <v>12710.7</v>
      </c>
      <c r="I133" s="160"/>
      <c r="J133" s="161"/>
      <c r="K133" s="160"/>
      <c r="L133" s="160">
        <f>+'FACUS$'!$H133-'FACUS$'!$I133-'FACUS$'!$K133</f>
        <v>12710.7</v>
      </c>
      <c r="M133" s="157" t="s">
        <v>719</v>
      </c>
      <c r="N133" s="162" t="s">
        <v>554</v>
      </c>
      <c r="O133" s="332">
        <v>42654.0</v>
      </c>
      <c r="P133" s="164" t="str">
        <f t="array" ref="P133">XLOOKUP('FACUS$'!$B133,'perfil de pagos'!$A$4:$A$46,'perfil de pagos'!$C$4:$C$46+'FACUS$'!$D133)</f>
        <v>#N/A</v>
      </c>
      <c r="Q133" s="165">
        <f t="shared" si="2"/>
        <v>0</v>
      </c>
      <c r="R133" s="171"/>
      <c r="S133" s="171"/>
      <c r="T133" s="171"/>
      <c r="U133" s="333" t="s">
        <v>7271</v>
      </c>
      <c r="V133" s="168">
        <f t="shared" si="3"/>
        <v>12710.7</v>
      </c>
      <c r="W133" s="168">
        <f t="shared" si="4"/>
        <v>0</v>
      </c>
      <c r="X133" s="168">
        <f t="shared" si="5"/>
        <v>0</v>
      </c>
      <c r="Y133" s="168">
        <f t="shared" si="6"/>
        <v>0</v>
      </c>
      <c r="Z133" s="168">
        <f t="shared" si="7"/>
        <v>0</v>
      </c>
      <c r="AA133" s="168">
        <f t="shared" si="8"/>
        <v>0</v>
      </c>
      <c r="AB133" s="168">
        <f t="shared" si="9"/>
        <v>0</v>
      </c>
    </row>
    <row r="134" ht="14.25" customHeight="1">
      <c r="A134" s="157">
        <v>475.0</v>
      </c>
      <c r="B134" s="169" t="s">
        <v>70</v>
      </c>
      <c r="C134" s="169" t="s">
        <v>759</v>
      </c>
      <c r="D134" s="159">
        <v>42628.0</v>
      </c>
      <c r="E134" s="157" t="s">
        <v>2</v>
      </c>
      <c r="F134" s="160">
        <v>79807.5</v>
      </c>
      <c r="G134" s="160">
        <v>12769.2</v>
      </c>
      <c r="H134" s="179">
        <f t="shared" si="17"/>
        <v>92576.7</v>
      </c>
      <c r="I134" s="173"/>
      <c r="J134" s="170"/>
      <c r="K134" s="173"/>
      <c r="L134" s="173">
        <f>+'FACUS$'!$H134-'FACUS$'!$I134-'FACUS$'!$K134</f>
        <v>92576.7</v>
      </c>
      <c r="M134" s="157" t="s">
        <v>719</v>
      </c>
      <c r="N134" s="162" t="s">
        <v>127</v>
      </c>
      <c r="O134" s="332" t="s">
        <v>7305</v>
      </c>
      <c r="P134" s="164" t="str">
        <f t="array" ref="P134">XLOOKUP('FACUS$'!$B134,'perfil de pagos'!$A$4:$A$46,'perfil de pagos'!$C$4:$C$46+'FACUS$'!$D134)</f>
        <v>#N/A</v>
      </c>
      <c r="Q134" s="165" t="str">
        <f t="shared" si="2"/>
        <v>N/A</v>
      </c>
      <c r="R134" s="171"/>
      <c r="S134" s="171"/>
      <c r="T134" s="171"/>
      <c r="U134" s="333" t="s">
        <v>7271</v>
      </c>
      <c r="V134" s="168">
        <f t="shared" si="3"/>
        <v>0</v>
      </c>
      <c r="W134" s="168">
        <f t="shared" si="4"/>
        <v>0</v>
      </c>
      <c r="X134" s="168">
        <f t="shared" si="5"/>
        <v>0</v>
      </c>
      <c r="Y134" s="168">
        <f t="shared" si="6"/>
        <v>0</v>
      </c>
      <c r="Z134" s="168">
        <f t="shared" si="7"/>
        <v>0</v>
      </c>
      <c r="AA134" s="168">
        <f t="shared" si="8"/>
        <v>0</v>
      </c>
      <c r="AB134" s="168">
        <f t="shared" si="9"/>
        <v>92576.7</v>
      </c>
    </row>
    <row r="135" ht="14.25" customHeight="1">
      <c r="A135" s="157">
        <v>480.0</v>
      </c>
      <c r="B135" s="169" t="s">
        <v>722</v>
      </c>
      <c r="C135" s="169" t="s">
        <v>7296</v>
      </c>
      <c r="D135" s="159">
        <v>42628.0</v>
      </c>
      <c r="E135" s="157" t="s">
        <v>2</v>
      </c>
      <c r="F135" s="160">
        <v>36133.26</v>
      </c>
      <c r="G135" s="160">
        <v>5781.32</v>
      </c>
      <c r="H135" s="211">
        <f t="shared" si="17"/>
        <v>41914.58</v>
      </c>
      <c r="I135" s="188"/>
      <c r="J135" s="189"/>
      <c r="K135" s="188"/>
      <c r="L135" s="188">
        <f>+'FACUS$'!$H135-'FACUS$'!$I135-'FACUS$'!$K135</f>
        <v>41914.58</v>
      </c>
      <c r="M135" s="157" t="s">
        <v>93</v>
      </c>
      <c r="N135" s="162" t="s">
        <v>554</v>
      </c>
      <c r="O135" s="332">
        <v>43021.0</v>
      </c>
      <c r="P135" s="164" t="str">
        <f t="array" ref="P135">XLOOKUP('FACUS$'!$B135,'perfil de pagos'!$A$4:$A$46,'perfil de pagos'!$C$4:$C$46+'FACUS$'!$D135)</f>
        <v>#N/A</v>
      </c>
      <c r="Q135" s="165">
        <f t="shared" si="2"/>
        <v>0</v>
      </c>
      <c r="R135" s="171"/>
      <c r="S135" s="171"/>
      <c r="T135" s="171"/>
      <c r="U135" s="333" t="s">
        <v>7271</v>
      </c>
      <c r="V135" s="168">
        <f t="shared" si="3"/>
        <v>41914.58</v>
      </c>
      <c r="W135" s="168">
        <f t="shared" si="4"/>
        <v>0</v>
      </c>
      <c r="X135" s="168">
        <f t="shared" si="5"/>
        <v>0</v>
      </c>
      <c r="Y135" s="168">
        <f t="shared" si="6"/>
        <v>0</v>
      </c>
      <c r="Z135" s="168">
        <f t="shared" si="7"/>
        <v>0</v>
      </c>
      <c r="AA135" s="168">
        <f t="shared" si="8"/>
        <v>0</v>
      </c>
      <c r="AB135" s="168">
        <f t="shared" si="9"/>
        <v>0</v>
      </c>
    </row>
    <row r="136" ht="14.25" customHeight="1">
      <c r="A136" s="157">
        <v>485.0</v>
      </c>
      <c r="B136" s="169" t="s">
        <v>70</v>
      </c>
      <c r="C136" s="170" t="s">
        <v>759</v>
      </c>
      <c r="D136" s="159">
        <v>42644.0</v>
      </c>
      <c r="E136" s="157" t="s">
        <v>2</v>
      </c>
      <c r="F136" s="160">
        <v>22890.0</v>
      </c>
      <c r="G136" s="160">
        <v>3662.0</v>
      </c>
      <c r="H136" s="179">
        <f t="shared" si="17"/>
        <v>26552</v>
      </c>
      <c r="I136" s="173"/>
      <c r="J136" s="170"/>
      <c r="K136" s="173"/>
      <c r="L136" s="173">
        <f>+'FACUS$'!$H136-'FACUS$'!$I136-'FACUS$'!$K136</f>
        <v>26552</v>
      </c>
      <c r="M136" s="157" t="s">
        <v>719</v>
      </c>
      <c r="N136" s="162" t="s">
        <v>554</v>
      </c>
      <c r="O136" s="332">
        <v>42663.0</v>
      </c>
      <c r="P136" s="164" t="str">
        <f t="array" ref="P136">XLOOKUP('FACUS$'!$B136,'perfil de pagos'!$A$4:$A$46,'perfil de pagos'!$C$4:$C$46+'FACUS$'!$D136)</f>
        <v>#N/A</v>
      </c>
      <c r="Q136" s="165">
        <f t="shared" si="2"/>
        <v>0</v>
      </c>
      <c r="R136" s="171"/>
      <c r="S136" s="171"/>
      <c r="T136" s="171"/>
      <c r="U136" s="333" t="s">
        <v>7271</v>
      </c>
      <c r="V136" s="168">
        <f t="shared" si="3"/>
        <v>26552</v>
      </c>
      <c r="W136" s="168">
        <f t="shared" si="4"/>
        <v>0</v>
      </c>
      <c r="X136" s="168">
        <f t="shared" si="5"/>
        <v>0</v>
      </c>
      <c r="Y136" s="168">
        <f t="shared" si="6"/>
        <v>0</v>
      </c>
      <c r="Z136" s="168">
        <f t="shared" si="7"/>
        <v>0</v>
      </c>
      <c r="AA136" s="168">
        <f t="shared" si="8"/>
        <v>0</v>
      </c>
      <c r="AB136" s="168">
        <f t="shared" si="9"/>
        <v>0</v>
      </c>
    </row>
    <row r="137" ht="14.25" customHeight="1">
      <c r="A137" s="157">
        <v>488.0</v>
      </c>
      <c r="B137" s="169" t="s">
        <v>722</v>
      </c>
      <c r="C137" s="169" t="s">
        <v>7296</v>
      </c>
      <c r="D137" s="159">
        <v>42644.0</v>
      </c>
      <c r="E137" s="157" t="s">
        <v>2</v>
      </c>
      <c r="F137" s="160">
        <v>127165.55</v>
      </c>
      <c r="G137" s="160">
        <v>20346.49</v>
      </c>
      <c r="H137" s="160">
        <f t="shared" si="17"/>
        <v>147512.04</v>
      </c>
      <c r="I137" s="160"/>
      <c r="J137" s="161"/>
      <c r="K137" s="160"/>
      <c r="L137" s="160">
        <f>+'FACUS$'!$H137-'FACUS$'!$I137-'FACUS$'!$K137</f>
        <v>147512.04</v>
      </c>
      <c r="M137" s="157" t="s">
        <v>93</v>
      </c>
      <c r="N137" s="162" t="s">
        <v>127</v>
      </c>
      <c r="O137" s="332"/>
      <c r="P137" s="164" t="str">
        <f t="array" ref="P137">XLOOKUP('FACUS$'!$B137,'perfil de pagos'!$A$4:$A$46,'perfil de pagos'!$C$4:$C$46+'FACUS$'!$D137)</f>
        <v>#N/A</v>
      </c>
      <c r="Q137" s="165" t="str">
        <f t="shared" si="2"/>
        <v>N/A</v>
      </c>
      <c r="R137" s="171"/>
      <c r="S137" s="171"/>
      <c r="T137" s="171"/>
      <c r="U137" s="333" t="s">
        <v>7271</v>
      </c>
      <c r="V137" s="168">
        <f t="shared" si="3"/>
        <v>0</v>
      </c>
      <c r="W137" s="168">
        <f t="shared" si="4"/>
        <v>0</v>
      </c>
      <c r="X137" s="168">
        <f t="shared" si="5"/>
        <v>0</v>
      </c>
      <c r="Y137" s="168">
        <f t="shared" si="6"/>
        <v>0</v>
      </c>
      <c r="Z137" s="168">
        <f t="shared" si="7"/>
        <v>0</v>
      </c>
      <c r="AA137" s="168">
        <f t="shared" si="8"/>
        <v>0</v>
      </c>
      <c r="AB137" s="168">
        <f t="shared" si="9"/>
        <v>147512.04</v>
      </c>
    </row>
    <row r="138" ht="14.25" customHeight="1">
      <c r="A138" s="157">
        <v>496.0</v>
      </c>
      <c r="B138" s="169" t="s">
        <v>722</v>
      </c>
      <c r="C138" s="169" t="s">
        <v>7296</v>
      </c>
      <c r="D138" s="159">
        <v>42644.0</v>
      </c>
      <c r="E138" s="157" t="s">
        <v>2</v>
      </c>
      <c r="F138" s="160">
        <v>127165.55</v>
      </c>
      <c r="G138" s="160">
        <v>20346.49</v>
      </c>
      <c r="H138" s="160">
        <f t="shared" si="17"/>
        <v>147512.04</v>
      </c>
      <c r="I138" s="160"/>
      <c r="J138" s="161"/>
      <c r="K138" s="160"/>
      <c r="L138" s="160">
        <f>+'FACUS$'!$H138-'FACUS$'!$I138-'FACUS$'!$K138</f>
        <v>147512.04</v>
      </c>
      <c r="M138" s="157" t="s">
        <v>93</v>
      </c>
      <c r="N138" s="162" t="s">
        <v>554</v>
      </c>
      <c r="O138" s="332">
        <v>43035.0</v>
      </c>
      <c r="P138" s="164" t="str">
        <f t="array" ref="P138">XLOOKUP('FACUS$'!$B138,'perfil de pagos'!$A$4:$A$46,'perfil de pagos'!$C$4:$C$46+'FACUS$'!$D138)</f>
        <v>#N/A</v>
      </c>
      <c r="Q138" s="165">
        <f t="shared" si="2"/>
        <v>0</v>
      </c>
      <c r="R138" s="171"/>
      <c r="S138" s="171"/>
      <c r="T138" s="171"/>
      <c r="U138" s="333" t="s">
        <v>7271</v>
      </c>
      <c r="V138" s="168">
        <f t="shared" si="3"/>
        <v>147512.04</v>
      </c>
      <c r="W138" s="168">
        <f t="shared" si="4"/>
        <v>0</v>
      </c>
      <c r="X138" s="168">
        <f t="shared" si="5"/>
        <v>0</v>
      </c>
      <c r="Y138" s="168">
        <f t="shared" si="6"/>
        <v>0</v>
      </c>
      <c r="Z138" s="168">
        <f t="shared" si="7"/>
        <v>0</v>
      </c>
      <c r="AA138" s="168">
        <f t="shared" si="8"/>
        <v>0</v>
      </c>
      <c r="AB138" s="168">
        <f t="shared" si="9"/>
        <v>0</v>
      </c>
    </row>
    <row r="139" ht="14.25" customHeight="1">
      <c r="A139" s="210">
        <v>500.0</v>
      </c>
      <c r="B139" s="189" t="s">
        <v>37</v>
      </c>
      <c r="C139" s="189" t="s">
        <v>794</v>
      </c>
      <c r="D139" s="186">
        <v>42644.0</v>
      </c>
      <c r="E139" s="210" t="s">
        <v>2</v>
      </c>
      <c r="F139" s="211">
        <v>17730.43</v>
      </c>
      <c r="G139" s="211">
        <v>2836.87</v>
      </c>
      <c r="H139" s="211">
        <f t="shared" si="17"/>
        <v>20567.3</v>
      </c>
      <c r="I139" s="211"/>
      <c r="J139" s="212"/>
      <c r="K139" s="211"/>
      <c r="L139" s="211">
        <f>+'FACUS$'!$H139-'FACUS$'!$I139-'FACUS$'!$K139</f>
        <v>20567.3</v>
      </c>
      <c r="M139" s="210" t="s">
        <v>116</v>
      </c>
      <c r="N139" s="227" t="s">
        <v>127</v>
      </c>
      <c r="O139" s="344"/>
      <c r="P139" s="245">
        <f t="array" ref="P139">XLOOKUP('FACUS$'!$B139,'perfil de pagos'!$A$4:$A$46,'perfil de pagos'!$C$4:$C$46+'FACUS$'!$D139)</f>
        <v>42654</v>
      </c>
      <c r="Q139" s="246" t="str">
        <f t="shared" si="2"/>
        <v>N/A</v>
      </c>
      <c r="R139" s="345" t="s">
        <v>7306</v>
      </c>
      <c r="S139" s="345"/>
      <c r="T139" s="345"/>
      <c r="U139" s="346" t="s">
        <v>7271</v>
      </c>
      <c r="V139" s="168">
        <f t="shared" si="3"/>
        <v>0</v>
      </c>
      <c r="W139" s="168">
        <f t="shared" si="4"/>
        <v>0</v>
      </c>
      <c r="X139" s="168">
        <f t="shared" si="5"/>
        <v>0</v>
      </c>
      <c r="Y139" s="168">
        <f t="shared" si="6"/>
        <v>0</v>
      </c>
      <c r="Z139" s="168">
        <f t="shared" si="7"/>
        <v>0</v>
      </c>
      <c r="AA139" s="168">
        <f t="shared" si="8"/>
        <v>0</v>
      </c>
      <c r="AB139" s="168">
        <f t="shared" si="9"/>
        <v>20567.3</v>
      </c>
    </row>
    <row r="140" ht="14.25" customHeight="1">
      <c r="A140" s="157">
        <v>506.0</v>
      </c>
      <c r="B140" s="169" t="s">
        <v>70</v>
      </c>
      <c r="C140" s="169" t="s">
        <v>759</v>
      </c>
      <c r="D140" s="159">
        <v>42658.0</v>
      </c>
      <c r="E140" s="157" t="s">
        <v>2</v>
      </c>
      <c r="F140" s="160">
        <v>26760.0</v>
      </c>
      <c r="G140" s="160">
        <v>4281.6</v>
      </c>
      <c r="H140" s="160">
        <f t="shared" si="17"/>
        <v>31041.6</v>
      </c>
      <c r="I140" s="160"/>
      <c r="J140" s="161"/>
      <c r="K140" s="160"/>
      <c r="L140" s="160">
        <f>+'FACUS$'!$H140-'FACUS$'!$I140-'FACUS$'!$K140</f>
        <v>31041.6</v>
      </c>
      <c r="M140" s="157" t="s">
        <v>719</v>
      </c>
      <c r="N140" s="162" t="s">
        <v>554</v>
      </c>
      <c r="O140" s="332">
        <v>42690.0</v>
      </c>
      <c r="P140" s="164" t="str">
        <f t="array" ref="P140">XLOOKUP('FACUS$'!$B140,'perfil de pagos'!$A$4:$A$46,'perfil de pagos'!$C$4:$C$46+'FACUS$'!$D140)</f>
        <v>#N/A</v>
      </c>
      <c r="Q140" s="165">
        <f t="shared" si="2"/>
        <v>0</v>
      </c>
      <c r="R140" s="171"/>
      <c r="S140" s="171"/>
      <c r="T140" s="171"/>
      <c r="U140" s="333" t="s">
        <v>7271</v>
      </c>
      <c r="V140" s="168">
        <f t="shared" si="3"/>
        <v>31041.6</v>
      </c>
      <c r="W140" s="168">
        <f t="shared" si="4"/>
        <v>0</v>
      </c>
      <c r="X140" s="168">
        <f t="shared" si="5"/>
        <v>0</v>
      </c>
      <c r="Y140" s="168">
        <f t="shared" si="6"/>
        <v>0</v>
      </c>
      <c r="Z140" s="168">
        <f t="shared" si="7"/>
        <v>0</v>
      </c>
      <c r="AA140" s="168">
        <f t="shared" si="8"/>
        <v>0</v>
      </c>
      <c r="AB140" s="168">
        <f t="shared" si="9"/>
        <v>0</v>
      </c>
    </row>
    <row r="141" ht="14.25" customHeight="1">
      <c r="A141" s="157">
        <v>508.0</v>
      </c>
      <c r="B141" s="169" t="s">
        <v>70</v>
      </c>
      <c r="C141" s="169" t="s">
        <v>759</v>
      </c>
      <c r="D141" s="159">
        <v>42667.0</v>
      </c>
      <c r="E141" s="157" t="s">
        <v>2</v>
      </c>
      <c r="F141" s="160">
        <v>10777.5</v>
      </c>
      <c r="G141" s="160">
        <v>1724.4</v>
      </c>
      <c r="H141" s="160">
        <v>12501.9</v>
      </c>
      <c r="I141" s="160"/>
      <c r="J141" s="161"/>
      <c r="K141" s="160"/>
      <c r="L141" s="160">
        <f>+'FACUS$'!$H141-'FACUS$'!$I141-'FACUS$'!$K141</f>
        <v>12501.9</v>
      </c>
      <c r="M141" s="157" t="s">
        <v>719</v>
      </c>
      <c r="N141" s="162" t="s">
        <v>554</v>
      </c>
      <c r="O141" s="332">
        <v>42690.0</v>
      </c>
      <c r="P141" s="164" t="str">
        <f t="array" ref="P141">XLOOKUP('FACUS$'!$B141,'perfil de pagos'!$A$4:$A$46,'perfil de pagos'!$C$4:$C$46+'FACUS$'!$D141)</f>
        <v>#N/A</v>
      </c>
      <c r="Q141" s="165">
        <f t="shared" si="2"/>
        <v>0</v>
      </c>
      <c r="R141" s="171"/>
      <c r="S141" s="171"/>
      <c r="T141" s="171"/>
      <c r="U141" s="333" t="s">
        <v>7271</v>
      </c>
      <c r="V141" s="168">
        <f t="shared" si="3"/>
        <v>12501.9</v>
      </c>
      <c r="W141" s="168">
        <f t="shared" si="4"/>
        <v>0</v>
      </c>
      <c r="X141" s="168">
        <f t="shared" si="5"/>
        <v>0</v>
      </c>
      <c r="Y141" s="168">
        <f t="shared" si="6"/>
        <v>0</v>
      </c>
      <c r="Z141" s="168">
        <f t="shared" si="7"/>
        <v>0</v>
      </c>
      <c r="AA141" s="168">
        <f t="shared" si="8"/>
        <v>0</v>
      </c>
      <c r="AB141" s="168">
        <f t="shared" si="9"/>
        <v>0</v>
      </c>
    </row>
    <row r="142" ht="14.25" customHeight="1">
      <c r="A142" s="157">
        <v>510.0</v>
      </c>
      <c r="B142" s="169" t="s">
        <v>70</v>
      </c>
      <c r="C142" s="169" t="s">
        <v>759</v>
      </c>
      <c r="D142" s="159">
        <v>42672.0</v>
      </c>
      <c r="E142" s="157" t="s">
        <v>2</v>
      </c>
      <c r="F142" s="160">
        <v>7290.0</v>
      </c>
      <c r="G142" s="160">
        <v>1166.4</v>
      </c>
      <c r="H142" s="160">
        <v>8456.4</v>
      </c>
      <c r="I142" s="160"/>
      <c r="J142" s="161"/>
      <c r="K142" s="160"/>
      <c r="L142" s="160">
        <f>+'FACUS$'!$H142-'FACUS$'!$I142-'FACUS$'!$K142</f>
        <v>8456.4</v>
      </c>
      <c r="M142" s="157" t="s">
        <v>719</v>
      </c>
      <c r="N142" s="162" t="s">
        <v>554</v>
      </c>
      <c r="O142" s="332">
        <v>42690.0</v>
      </c>
      <c r="P142" s="164" t="str">
        <f t="array" ref="P142">XLOOKUP('FACUS$'!$B142,'perfil de pagos'!$A$4:$A$46,'perfil de pagos'!$C$4:$C$46+'FACUS$'!$D142)</f>
        <v>#N/A</v>
      </c>
      <c r="Q142" s="165">
        <f t="shared" si="2"/>
        <v>0</v>
      </c>
      <c r="R142" s="171"/>
      <c r="S142" s="171"/>
      <c r="T142" s="171"/>
      <c r="U142" s="333" t="s">
        <v>7271</v>
      </c>
      <c r="V142" s="168">
        <f t="shared" si="3"/>
        <v>8456.4</v>
      </c>
      <c r="W142" s="168">
        <f t="shared" si="4"/>
        <v>0</v>
      </c>
      <c r="X142" s="168">
        <f t="shared" si="5"/>
        <v>0</v>
      </c>
      <c r="Y142" s="168">
        <f t="shared" si="6"/>
        <v>0</v>
      </c>
      <c r="Z142" s="168">
        <f t="shared" si="7"/>
        <v>0</v>
      </c>
      <c r="AA142" s="168">
        <f t="shared" si="8"/>
        <v>0</v>
      </c>
      <c r="AB142" s="168">
        <f t="shared" si="9"/>
        <v>0</v>
      </c>
    </row>
    <row r="143" ht="14.25" customHeight="1">
      <c r="A143" s="157">
        <v>511.0</v>
      </c>
      <c r="B143" s="169" t="s">
        <v>70</v>
      </c>
      <c r="C143" s="169" t="s">
        <v>759</v>
      </c>
      <c r="D143" s="159">
        <v>42658.0</v>
      </c>
      <c r="E143" s="157" t="s">
        <v>2</v>
      </c>
      <c r="F143" s="160">
        <v>24915.0</v>
      </c>
      <c r="G143" s="160">
        <v>3986.4</v>
      </c>
      <c r="H143" s="160">
        <v>28901.4</v>
      </c>
      <c r="I143" s="160"/>
      <c r="J143" s="161"/>
      <c r="K143" s="160"/>
      <c r="L143" s="160">
        <f>+'FACUS$'!$H143-'FACUS$'!$I143-'FACUS$'!$K143</f>
        <v>28901.4</v>
      </c>
      <c r="M143" s="157" t="s">
        <v>719</v>
      </c>
      <c r="N143" s="162" t="s">
        <v>127</v>
      </c>
      <c r="O143" s="332" t="s">
        <v>7307</v>
      </c>
      <c r="P143" s="164" t="str">
        <f t="array" ref="P143">XLOOKUP('FACUS$'!$B143,'perfil de pagos'!$A$4:$A$46,'perfil de pagos'!$C$4:$C$46+'FACUS$'!$D143)</f>
        <v>#N/A</v>
      </c>
      <c r="Q143" s="165" t="str">
        <f t="shared" si="2"/>
        <v>N/A</v>
      </c>
      <c r="R143" s="171"/>
      <c r="S143" s="171"/>
      <c r="T143" s="171"/>
      <c r="U143" s="333" t="s">
        <v>7271</v>
      </c>
      <c r="V143" s="168">
        <f t="shared" si="3"/>
        <v>0</v>
      </c>
      <c r="W143" s="168">
        <f t="shared" si="4"/>
        <v>0</v>
      </c>
      <c r="X143" s="168">
        <f t="shared" si="5"/>
        <v>0</v>
      </c>
      <c r="Y143" s="168">
        <f t="shared" si="6"/>
        <v>0</v>
      </c>
      <c r="Z143" s="168">
        <f t="shared" si="7"/>
        <v>0</v>
      </c>
      <c r="AA143" s="168">
        <f t="shared" si="8"/>
        <v>0</v>
      </c>
      <c r="AB143" s="168">
        <f t="shared" si="9"/>
        <v>28901.4</v>
      </c>
    </row>
    <row r="144" ht="14.25" customHeight="1">
      <c r="A144" s="157">
        <v>513.0</v>
      </c>
      <c r="B144" s="169" t="s">
        <v>722</v>
      </c>
      <c r="C144" s="169" t="s">
        <v>7296</v>
      </c>
      <c r="D144" s="159">
        <v>42689.0</v>
      </c>
      <c r="E144" s="157" t="s">
        <v>2</v>
      </c>
      <c r="F144" s="160">
        <v>30083.11</v>
      </c>
      <c r="G144" s="160">
        <v>4813.3</v>
      </c>
      <c r="H144" s="160">
        <v>34896.41</v>
      </c>
      <c r="I144" s="160"/>
      <c r="J144" s="161"/>
      <c r="K144" s="160"/>
      <c r="L144" s="160">
        <f>+'FACUS$'!$H144-'FACUS$'!$I144-'FACUS$'!$K144</f>
        <v>34896.41</v>
      </c>
      <c r="M144" s="157" t="s">
        <v>93</v>
      </c>
      <c r="N144" s="162" t="s">
        <v>127</v>
      </c>
      <c r="O144" s="332"/>
      <c r="P144" s="164" t="str">
        <f t="array" ref="P144">XLOOKUP('FACUS$'!$B144,'perfil de pagos'!$A$4:$A$46,'perfil de pagos'!$C$4:$C$46+'FACUS$'!$D144)</f>
        <v>#N/A</v>
      </c>
      <c r="Q144" s="165" t="str">
        <f t="shared" si="2"/>
        <v>N/A</v>
      </c>
      <c r="R144" s="171"/>
      <c r="S144" s="171"/>
      <c r="T144" s="171"/>
      <c r="U144" s="333" t="s">
        <v>7271</v>
      </c>
      <c r="V144" s="168">
        <f t="shared" si="3"/>
        <v>0</v>
      </c>
      <c r="W144" s="168">
        <f t="shared" si="4"/>
        <v>0</v>
      </c>
      <c r="X144" s="168">
        <f t="shared" si="5"/>
        <v>0</v>
      </c>
      <c r="Y144" s="168">
        <f t="shared" si="6"/>
        <v>0</v>
      </c>
      <c r="Z144" s="168">
        <f t="shared" si="7"/>
        <v>0</v>
      </c>
      <c r="AA144" s="168">
        <f t="shared" si="8"/>
        <v>0</v>
      </c>
      <c r="AB144" s="168">
        <f t="shared" si="9"/>
        <v>34896.41</v>
      </c>
    </row>
    <row r="145" ht="14.25" customHeight="1">
      <c r="A145" s="157">
        <v>516.0</v>
      </c>
      <c r="B145" s="169" t="s">
        <v>722</v>
      </c>
      <c r="C145" s="169" t="s">
        <v>7296</v>
      </c>
      <c r="D145" s="159">
        <v>42658.0</v>
      </c>
      <c r="E145" s="157" t="s">
        <v>2</v>
      </c>
      <c r="F145" s="160">
        <v>30083.11</v>
      </c>
      <c r="G145" s="160">
        <v>4813.3</v>
      </c>
      <c r="H145" s="160">
        <v>34896.41</v>
      </c>
      <c r="I145" s="160"/>
      <c r="J145" s="161"/>
      <c r="K145" s="160"/>
      <c r="L145" s="160">
        <f>+'FACUS$'!$H145-'FACUS$'!$I145-'FACUS$'!$K145</f>
        <v>34896.41</v>
      </c>
      <c r="M145" s="157" t="s">
        <v>93</v>
      </c>
      <c r="N145" s="162" t="s">
        <v>554</v>
      </c>
      <c r="O145" s="332">
        <v>43049.0</v>
      </c>
      <c r="P145" s="164" t="str">
        <f t="array" ref="P145">XLOOKUP('FACUS$'!$B145,'perfil de pagos'!$A$4:$A$46,'perfil de pagos'!$C$4:$C$46+'FACUS$'!$D145)</f>
        <v>#N/A</v>
      </c>
      <c r="Q145" s="165">
        <f t="shared" si="2"/>
        <v>0</v>
      </c>
      <c r="R145" s="171"/>
      <c r="S145" s="171"/>
      <c r="T145" s="171"/>
      <c r="U145" s="333" t="s">
        <v>7271</v>
      </c>
      <c r="V145" s="168">
        <f t="shared" si="3"/>
        <v>34896.41</v>
      </c>
      <c r="W145" s="168">
        <f t="shared" si="4"/>
        <v>0</v>
      </c>
      <c r="X145" s="168">
        <f t="shared" si="5"/>
        <v>0</v>
      </c>
      <c r="Y145" s="168">
        <f t="shared" si="6"/>
        <v>0</v>
      </c>
      <c r="Z145" s="168">
        <f t="shared" si="7"/>
        <v>0</v>
      </c>
      <c r="AA145" s="168">
        <f t="shared" si="8"/>
        <v>0</v>
      </c>
      <c r="AB145" s="168">
        <f t="shared" si="9"/>
        <v>0</v>
      </c>
    </row>
    <row r="146" ht="14.25" customHeight="1">
      <c r="A146" s="157">
        <v>519.0</v>
      </c>
      <c r="B146" s="169" t="s">
        <v>70</v>
      </c>
      <c r="C146" s="169" t="s">
        <v>759</v>
      </c>
      <c r="D146" s="159">
        <v>42644.0</v>
      </c>
      <c r="E146" s="157" t="s">
        <v>2</v>
      </c>
      <c r="F146" s="160">
        <v>23017.5</v>
      </c>
      <c r="G146" s="160">
        <v>3682.8</v>
      </c>
      <c r="H146" s="160">
        <v>26700.3</v>
      </c>
      <c r="I146" s="160"/>
      <c r="J146" s="161"/>
      <c r="K146" s="160"/>
      <c r="L146" s="160">
        <f>+'FACUS$'!$H146-'FACUS$'!$I146-'FACUS$'!$K146</f>
        <v>26700.3</v>
      </c>
      <c r="M146" s="157" t="s">
        <v>719</v>
      </c>
      <c r="N146" s="162" t="s">
        <v>127</v>
      </c>
      <c r="O146" s="332"/>
      <c r="P146" s="164" t="str">
        <f t="array" ref="P146">XLOOKUP('FACUS$'!$B146,'perfil de pagos'!$A$4:$A$46,'perfil de pagos'!$C$4:$C$46+'FACUS$'!$D146)</f>
        <v>#N/A</v>
      </c>
      <c r="Q146" s="165" t="str">
        <f t="shared" si="2"/>
        <v>N/A</v>
      </c>
      <c r="R146" s="171"/>
      <c r="S146" s="171"/>
      <c r="T146" s="171"/>
      <c r="U146" s="333" t="s">
        <v>7271</v>
      </c>
      <c r="V146" s="168">
        <f t="shared" si="3"/>
        <v>0</v>
      </c>
      <c r="W146" s="168">
        <f t="shared" si="4"/>
        <v>0</v>
      </c>
      <c r="X146" s="168">
        <f t="shared" si="5"/>
        <v>0</v>
      </c>
      <c r="Y146" s="168">
        <f t="shared" si="6"/>
        <v>0</v>
      </c>
      <c r="Z146" s="168">
        <f t="shared" si="7"/>
        <v>0</v>
      </c>
      <c r="AA146" s="168">
        <f t="shared" si="8"/>
        <v>0</v>
      </c>
      <c r="AB146" s="168">
        <f t="shared" si="9"/>
        <v>26700.3</v>
      </c>
    </row>
    <row r="147" ht="14.25" customHeight="1">
      <c r="A147" s="157">
        <v>520.0</v>
      </c>
      <c r="B147" s="169" t="s">
        <v>70</v>
      </c>
      <c r="C147" s="169" t="s">
        <v>759</v>
      </c>
      <c r="D147" s="159">
        <v>42644.0</v>
      </c>
      <c r="E147" s="157" t="s">
        <v>2</v>
      </c>
      <c r="F147" s="160">
        <v>23010.0</v>
      </c>
      <c r="G147" s="160">
        <v>3681.6</v>
      </c>
      <c r="H147" s="160">
        <v>26691.6</v>
      </c>
      <c r="I147" s="160"/>
      <c r="J147" s="161"/>
      <c r="K147" s="160"/>
      <c r="L147" s="160">
        <f>+'FACUS$'!$H147-'FACUS$'!$I147-'FACUS$'!$K147</f>
        <v>26691.6</v>
      </c>
      <c r="M147" s="157" t="s">
        <v>719</v>
      </c>
      <c r="N147" s="162" t="s">
        <v>127</v>
      </c>
      <c r="O147" s="332"/>
      <c r="P147" s="164" t="str">
        <f t="array" ref="P147">XLOOKUP('FACUS$'!$B147,'perfil de pagos'!$A$4:$A$46,'perfil de pagos'!$C$4:$C$46+'FACUS$'!$D147)</f>
        <v>#N/A</v>
      </c>
      <c r="Q147" s="165" t="str">
        <f t="shared" si="2"/>
        <v>N/A</v>
      </c>
      <c r="R147" s="347">
        <v>26700.3</v>
      </c>
      <c r="S147" s="171"/>
      <c r="T147" s="171"/>
      <c r="U147" s="333" t="s">
        <v>7271</v>
      </c>
      <c r="V147" s="168">
        <f t="shared" si="3"/>
        <v>0</v>
      </c>
      <c r="W147" s="168">
        <f t="shared" si="4"/>
        <v>0</v>
      </c>
      <c r="X147" s="168">
        <f t="shared" si="5"/>
        <v>0</v>
      </c>
      <c r="Y147" s="168">
        <f t="shared" si="6"/>
        <v>0</v>
      </c>
      <c r="Z147" s="168">
        <f t="shared" si="7"/>
        <v>0</v>
      </c>
      <c r="AA147" s="168">
        <f t="shared" si="8"/>
        <v>0</v>
      </c>
      <c r="AB147" s="168">
        <f t="shared" si="9"/>
        <v>26691.6</v>
      </c>
    </row>
    <row r="148" ht="14.25" customHeight="1">
      <c r="A148" s="157">
        <v>522.0</v>
      </c>
      <c r="B148" s="169" t="s">
        <v>37</v>
      </c>
      <c r="C148" s="170" t="s">
        <v>759</v>
      </c>
      <c r="D148" s="159">
        <v>42658.0</v>
      </c>
      <c r="E148" s="157" t="s">
        <v>2</v>
      </c>
      <c r="F148" s="160">
        <v>55506.13</v>
      </c>
      <c r="G148" s="160">
        <v>8880.98</v>
      </c>
      <c r="H148" s="160">
        <v>64387.11</v>
      </c>
      <c r="I148" s="160"/>
      <c r="J148" s="161"/>
      <c r="K148" s="160"/>
      <c r="L148" s="160">
        <f>+'FACUS$'!$H148-'FACUS$'!$I148-'FACUS$'!$K148</f>
        <v>64387.11</v>
      </c>
      <c r="M148" s="157" t="s">
        <v>116</v>
      </c>
      <c r="N148" s="162" t="s">
        <v>127</v>
      </c>
      <c r="O148" s="332"/>
      <c r="P148" s="164">
        <f t="array" ref="P148">XLOOKUP('FACUS$'!$B148,'perfil de pagos'!$A$4:$A$46,'perfil de pagos'!$C$4:$C$46+'FACUS$'!$D148)</f>
        <v>42668</v>
      </c>
      <c r="Q148" s="165" t="str">
        <f t="shared" si="2"/>
        <v>N/A</v>
      </c>
      <c r="R148" s="171"/>
      <c r="S148" s="171"/>
      <c r="T148" s="171"/>
      <c r="U148" s="333" t="s">
        <v>7271</v>
      </c>
      <c r="V148" s="168">
        <f t="shared" si="3"/>
        <v>0</v>
      </c>
      <c r="W148" s="168">
        <f t="shared" si="4"/>
        <v>0</v>
      </c>
      <c r="X148" s="168">
        <f t="shared" si="5"/>
        <v>0</v>
      </c>
      <c r="Y148" s="168">
        <f t="shared" si="6"/>
        <v>0</v>
      </c>
      <c r="Z148" s="168">
        <f t="shared" si="7"/>
        <v>0</v>
      </c>
      <c r="AA148" s="168">
        <f t="shared" si="8"/>
        <v>0</v>
      </c>
      <c r="AB148" s="168">
        <f t="shared" si="9"/>
        <v>64387.11</v>
      </c>
    </row>
    <row r="149" ht="14.25" customHeight="1">
      <c r="A149" s="157">
        <v>524.0</v>
      </c>
      <c r="B149" s="169" t="s">
        <v>722</v>
      </c>
      <c r="C149" s="169" t="s">
        <v>7296</v>
      </c>
      <c r="D149" s="159">
        <v>42675.0</v>
      </c>
      <c r="E149" s="157" t="s">
        <v>2</v>
      </c>
      <c r="F149" s="160">
        <v>117847.08</v>
      </c>
      <c r="G149" s="160">
        <v>18855.53</v>
      </c>
      <c r="H149" s="160">
        <v>136702.61</v>
      </c>
      <c r="I149" s="160"/>
      <c r="J149" s="161"/>
      <c r="K149" s="160"/>
      <c r="L149" s="160">
        <f>+'FACUS$'!$H149-'FACUS$'!$I149-'FACUS$'!$K149</f>
        <v>136702.61</v>
      </c>
      <c r="M149" s="157" t="s">
        <v>93</v>
      </c>
      <c r="N149" s="162" t="s">
        <v>554</v>
      </c>
      <c r="O149" s="332">
        <v>42698.0</v>
      </c>
      <c r="P149" s="164" t="str">
        <f t="array" ref="P149">XLOOKUP('FACUS$'!$B149,'perfil de pagos'!$A$4:$A$46,'perfil de pagos'!$C$4:$C$46+'FACUS$'!$D149)</f>
        <v>#N/A</v>
      </c>
      <c r="Q149" s="165">
        <f t="shared" si="2"/>
        <v>0</v>
      </c>
      <c r="R149" s="171"/>
      <c r="S149" s="171"/>
      <c r="T149" s="171"/>
      <c r="U149" s="333" t="s">
        <v>7271</v>
      </c>
      <c r="V149" s="168">
        <f t="shared" si="3"/>
        <v>136702.61</v>
      </c>
      <c r="W149" s="168">
        <f t="shared" si="4"/>
        <v>0</v>
      </c>
      <c r="X149" s="168">
        <f t="shared" si="5"/>
        <v>0</v>
      </c>
      <c r="Y149" s="168">
        <f t="shared" si="6"/>
        <v>0</v>
      </c>
      <c r="Z149" s="168">
        <f t="shared" si="7"/>
        <v>0</v>
      </c>
      <c r="AA149" s="168">
        <f t="shared" si="8"/>
        <v>0</v>
      </c>
      <c r="AB149" s="168">
        <f t="shared" si="9"/>
        <v>0</v>
      </c>
    </row>
    <row r="150" ht="14.25" customHeight="1">
      <c r="A150" s="157">
        <v>526.0</v>
      </c>
      <c r="B150" s="169" t="s">
        <v>70</v>
      </c>
      <c r="C150" s="170" t="s">
        <v>759</v>
      </c>
      <c r="D150" s="159">
        <v>42675.0</v>
      </c>
      <c r="E150" s="157" t="s">
        <v>2</v>
      </c>
      <c r="F150" s="160">
        <v>27547.5</v>
      </c>
      <c r="G150" s="160">
        <v>4407.6</v>
      </c>
      <c r="H150" s="160">
        <v>31955.1</v>
      </c>
      <c r="I150" s="160"/>
      <c r="J150" s="161"/>
      <c r="K150" s="160"/>
      <c r="L150" s="160">
        <f>+'FACUS$'!$H150-'FACUS$'!$I150-'FACUS$'!$K150</f>
        <v>31955.1</v>
      </c>
      <c r="M150" s="157" t="s">
        <v>719</v>
      </c>
      <c r="N150" s="162" t="s">
        <v>554</v>
      </c>
      <c r="O150" s="332">
        <v>43089.0</v>
      </c>
      <c r="P150" s="164" t="str">
        <f t="array" ref="P150">XLOOKUP('FACUS$'!$B150,'perfil de pagos'!$A$4:$A$46,'perfil de pagos'!$C$4:$C$46+'FACUS$'!$D150)</f>
        <v>#N/A</v>
      </c>
      <c r="Q150" s="165">
        <f t="shared" si="2"/>
        <v>0</v>
      </c>
      <c r="R150" s="171"/>
      <c r="S150" s="171"/>
      <c r="T150" s="171"/>
      <c r="U150" s="333" t="s">
        <v>7271</v>
      </c>
      <c r="V150" s="168">
        <f t="shared" si="3"/>
        <v>31955.1</v>
      </c>
      <c r="W150" s="168">
        <f t="shared" si="4"/>
        <v>0</v>
      </c>
      <c r="X150" s="168">
        <f t="shared" si="5"/>
        <v>0</v>
      </c>
      <c r="Y150" s="168">
        <f t="shared" si="6"/>
        <v>0</v>
      </c>
      <c r="Z150" s="168">
        <f t="shared" si="7"/>
        <v>0</v>
      </c>
      <c r="AA150" s="168">
        <f t="shared" si="8"/>
        <v>0</v>
      </c>
      <c r="AB150" s="168">
        <f t="shared" si="9"/>
        <v>0</v>
      </c>
    </row>
    <row r="151" ht="14.25" customHeight="1">
      <c r="A151" s="157">
        <v>530.0</v>
      </c>
      <c r="B151" s="169" t="s">
        <v>37</v>
      </c>
      <c r="C151" s="169" t="s">
        <v>759</v>
      </c>
      <c r="D151" s="159">
        <v>42644.0</v>
      </c>
      <c r="E151" s="157" t="s">
        <v>2</v>
      </c>
      <c r="F151" s="160">
        <v>17730.43</v>
      </c>
      <c r="G151" s="160">
        <v>2836.87</v>
      </c>
      <c r="H151" s="160">
        <v>20567.3</v>
      </c>
      <c r="I151" s="160"/>
      <c r="J151" s="161"/>
      <c r="K151" s="160"/>
      <c r="L151" s="160">
        <f>+'FACUS$'!$H151-'FACUS$'!$I151-'FACUS$'!$K151</f>
        <v>20567.3</v>
      </c>
      <c r="M151" s="157" t="s">
        <v>116</v>
      </c>
      <c r="N151" s="162" t="s">
        <v>127</v>
      </c>
      <c r="O151" s="332"/>
      <c r="P151" s="164">
        <f t="array" ref="P151">XLOOKUP('FACUS$'!$B151,'perfil de pagos'!$A$4:$A$46,'perfil de pagos'!$C$4:$C$46+'FACUS$'!$D151)</f>
        <v>42654</v>
      </c>
      <c r="Q151" s="165" t="str">
        <f t="shared" si="2"/>
        <v>N/A</v>
      </c>
      <c r="R151" s="171"/>
      <c r="S151" s="171"/>
      <c r="T151" s="171"/>
      <c r="U151" s="333" t="s">
        <v>7271</v>
      </c>
      <c r="V151" s="168">
        <f t="shared" si="3"/>
        <v>0</v>
      </c>
      <c r="W151" s="168">
        <f t="shared" si="4"/>
        <v>0</v>
      </c>
      <c r="X151" s="168">
        <f t="shared" si="5"/>
        <v>0</v>
      </c>
      <c r="Y151" s="168">
        <f t="shared" si="6"/>
        <v>0</v>
      </c>
      <c r="Z151" s="168">
        <f t="shared" si="7"/>
        <v>0</v>
      </c>
      <c r="AA151" s="168">
        <f t="shared" si="8"/>
        <v>0</v>
      </c>
      <c r="AB151" s="168">
        <f t="shared" si="9"/>
        <v>20567.3</v>
      </c>
    </row>
    <row r="152" ht="14.25" customHeight="1">
      <c r="A152" s="157">
        <v>532.0</v>
      </c>
      <c r="B152" s="169" t="s">
        <v>37</v>
      </c>
      <c r="C152" s="169" t="s">
        <v>759</v>
      </c>
      <c r="D152" s="159">
        <v>42658.0</v>
      </c>
      <c r="E152" s="157" t="s">
        <v>2</v>
      </c>
      <c r="F152" s="160">
        <v>55506.131</v>
      </c>
      <c r="G152" s="160">
        <v>8880.98</v>
      </c>
      <c r="H152" s="160">
        <v>64387.11</v>
      </c>
      <c r="I152" s="160"/>
      <c r="J152" s="161"/>
      <c r="K152" s="160"/>
      <c r="L152" s="160">
        <f>+'FACUS$'!$H152-'FACUS$'!$I152-'FACUS$'!$K152</f>
        <v>64387.11</v>
      </c>
      <c r="M152" s="157" t="s">
        <v>116</v>
      </c>
      <c r="N152" s="162" t="s">
        <v>127</v>
      </c>
      <c r="O152" s="332"/>
      <c r="P152" s="164">
        <f t="array" ref="P152">XLOOKUP('FACUS$'!$B152,'perfil de pagos'!$A$4:$A$46,'perfil de pagos'!$C$4:$C$46+'FACUS$'!$D152)</f>
        <v>42668</v>
      </c>
      <c r="Q152" s="165" t="str">
        <f t="shared" si="2"/>
        <v>N/A</v>
      </c>
      <c r="R152" s="171"/>
      <c r="S152" s="171"/>
      <c r="T152" s="171"/>
      <c r="U152" s="333" t="s">
        <v>7271</v>
      </c>
      <c r="V152" s="168">
        <f t="shared" si="3"/>
        <v>0</v>
      </c>
      <c r="W152" s="168">
        <f t="shared" si="4"/>
        <v>0</v>
      </c>
      <c r="X152" s="168">
        <f t="shared" si="5"/>
        <v>0</v>
      </c>
      <c r="Y152" s="168">
        <f t="shared" si="6"/>
        <v>0</v>
      </c>
      <c r="Z152" s="168">
        <f t="shared" si="7"/>
        <v>0</v>
      </c>
      <c r="AA152" s="168">
        <f t="shared" si="8"/>
        <v>0</v>
      </c>
      <c r="AB152" s="168">
        <f t="shared" si="9"/>
        <v>64387.11</v>
      </c>
    </row>
    <row r="153" ht="14.25" customHeight="1">
      <c r="A153" s="157">
        <v>536.0</v>
      </c>
      <c r="B153" s="169" t="s">
        <v>37</v>
      </c>
      <c r="C153" s="169" t="s">
        <v>759</v>
      </c>
      <c r="D153" s="159">
        <v>42658.0</v>
      </c>
      <c r="E153" s="157" t="s">
        <v>2</v>
      </c>
      <c r="F153" s="160">
        <v>55506.13</v>
      </c>
      <c r="G153" s="160">
        <v>8880.98</v>
      </c>
      <c r="H153" s="160">
        <v>64387.11</v>
      </c>
      <c r="I153" s="160"/>
      <c r="J153" s="161"/>
      <c r="K153" s="160"/>
      <c r="L153" s="160">
        <f>+'FACUS$'!$H153-'FACUS$'!$I153-'FACUS$'!$K153</f>
        <v>64387.11</v>
      </c>
      <c r="M153" s="157" t="s">
        <v>116</v>
      </c>
      <c r="N153" s="162" t="s">
        <v>127</v>
      </c>
      <c r="O153" s="332"/>
      <c r="P153" s="164">
        <f t="array" ref="P153">XLOOKUP('FACUS$'!$B153,'perfil de pagos'!$A$4:$A$46,'perfil de pagos'!$C$4:$C$46+'FACUS$'!$D153)</f>
        <v>42668</v>
      </c>
      <c r="Q153" s="165" t="str">
        <f t="shared" si="2"/>
        <v>N/A</v>
      </c>
      <c r="R153" s="171"/>
      <c r="S153" s="171"/>
      <c r="T153" s="171"/>
      <c r="U153" s="333" t="s">
        <v>7271</v>
      </c>
      <c r="V153" s="168">
        <f t="shared" si="3"/>
        <v>0</v>
      </c>
      <c r="W153" s="168">
        <f t="shared" si="4"/>
        <v>0</v>
      </c>
      <c r="X153" s="168">
        <f t="shared" si="5"/>
        <v>0</v>
      </c>
      <c r="Y153" s="168">
        <f t="shared" si="6"/>
        <v>0</v>
      </c>
      <c r="Z153" s="168">
        <f t="shared" si="7"/>
        <v>0</v>
      </c>
      <c r="AA153" s="168">
        <f t="shared" si="8"/>
        <v>0</v>
      </c>
      <c r="AB153" s="168">
        <f t="shared" si="9"/>
        <v>64387.11</v>
      </c>
    </row>
    <row r="154" ht="14.25" customHeight="1">
      <c r="A154" s="157">
        <v>538.0</v>
      </c>
      <c r="B154" s="169" t="s">
        <v>37</v>
      </c>
      <c r="C154" s="169" t="s">
        <v>759</v>
      </c>
      <c r="D154" s="159">
        <v>42644.0</v>
      </c>
      <c r="E154" s="157" t="s">
        <v>2</v>
      </c>
      <c r="F154" s="160">
        <v>17730.43</v>
      </c>
      <c r="G154" s="160">
        <v>2836.87</v>
      </c>
      <c r="H154" s="160">
        <v>20567.3</v>
      </c>
      <c r="I154" s="160"/>
      <c r="J154" s="161"/>
      <c r="K154" s="160"/>
      <c r="L154" s="160">
        <f>+'FACUS$'!$H154-'FACUS$'!$I154-'FACUS$'!$K154</f>
        <v>20567.3</v>
      </c>
      <c r="M154" s="157" t="s">
        <v>718</v>
      </c>
      <c r="N154" s="162" t="s">
        <v>127</v>
      </c>
      <c r="O154" s="332"/>
      <c r="P154" s="164">
        <f t="array" ref="P154">XLOOKUP('FACUS$'!$B154,'perfil de pagos'!$A$4:$A$46,'perfil de pagos'!$C$4:$C$46+'FACUS$'!$D154)</f>
        <v>42654</v>
      </c>
      <c r="Q154" s="165" t="str">
        <f t="shared" si="2"/>
        <v>N/A</v>
      </c>
      <c r="R154" s="171"/>
      <c r="S154" s="171"/>
      <c r="T154" s="171"/>
      <c r="U154" s="333" t="s">
        <v>7271</v>
      </c>
      <c r="V154" s="168">
        <f t="shared" si="3"/>
        <v>0</v>
      </c>
      <c r="W154" s="168">
        <f t="shared" si="4"/>
        <v>0</v>
      </c>
      <c r="X154" s="168">
        <f t="shared" si="5"/>
        <v>0</v>
      </c>
      <c r="Y154" s="168">
        <f t="shared" si="6"/>
        <v>0</v>
      </c>
      <c r="Z154" s="168">
        <f t="shared" si="7"/>
        <v>0</v>
      </c>
      <c r="AA154" s="168">
        <f t="shared" si="8"/>
        <v>0</v>
      </c>
      <c r="AB154" s="168">
        <f t="shared" si="9"/>
        <v>20567.3</v>
      </c>
    </row>
    <row r="155" ht="14.25" customHeight="1">
      <c r="A155" s="157">
        <v>540.0</v>
      </c>
      <c r="B155" s="169" t="s">
        <v>37</v>
      </c>
      <c r="C155" s="169" t="s">
        <v>759</v>
      </c>
      <c r="D155" s="159">
        <v>42675.0</v>
      </c>
      <c r="E155" s="157" t="s">
        <v>2</v>
      </c>
      <c r="F155" s="160">
        <v>60018.42</v>
      </c>
      <c r="G155" s="160">
        <v>9602.95</v>
      </c>
      <c r="H155" s="160">
        <v>69621.37</v>
      </c>
      <c r="I155" s="160"/>
      <c r="J155" s="161"/>
      <c r="K155" s="160"/>
      <c r="L155" s="160">
        <f>+'FACUS$'!$H155-'FACUS$'!$I155-'FACUS$'!$K155</f>
        <v>69621.37</v>
      </c>
      <c r="M155" s="157" t="s">
        <v>718</v>
      </c>
      <c r="N155" s="162" t="s">
        <v>127</v>
      </c>
      <c r="O155" s="332"/>
      <c r="P155" s="164">
        <f t="array" ref="P155">XLOOKUP('FACUS$'!$B155,'perfil de pagos'!$A$4:$A$46,'perfil de pagos'!$C$4:$C$46+'FACUS$'!$D155)</f>
        <v>42685</v>
      </c>
      <c r="Q155" s="165" t="str">
        <f t="shared" si="2"/>
        <v>N/A</v>
      </c>
      <c r="R155" s="171"/>
      <c r="S155" s="171"/>
      <c r="T155" s="171"/>
      <c r="U155" s="333" t="s">
        <v>7271</v>
      </c>
      <c r="V155" s="168">
        <f t="shared" si="3"/>
        <v>0</v>
      </c>
      <c r="W155" s="168">
        <f t="shared" si="4"/>
        <v>0</v>
      </c>
      <c r="X155" s="168">
        <f t="shared" si="5"/>
        <v>0</v>
      </c>
      <c r="Y155" s="168">
        <f t="shared" si="6"/>
        <v>0</v>
      </c>
      <c r="Z155" s="168">
        <f t="shared" si="7"/>
        <v>0</v>
      </c>
      <c r="AA155" s="168">
        <f t="shared" si="8"/>
        <v>0</v>
      </c>
      <c r="AB155" s="168">
        <f t="shared" si="9"/>
        <v>69621.37</v>
      </c>
    </row>
    <row r="156" ht="14.25" customHeight="1">
      <c r="A156" s="157">
        <v>542.0</v>
      </c>
      <c r="B156" s="169" t="s">
        <v>37</v>
      </c>
      <c r="C156" s="169" t="s">
        <v>759</v>
      </c>
      <c r="D156" s="159">
        <v>42658.0</v>
      </c>
      <c r="E156" s="157" t="s">
        <v>2</v>
      </c>
      <c r="F156" s="160">
        <v>55506.13</v>
      </c>
      <c r="G156" s="160">
        <v>8880.98</v>
      </c>
      <c r="H156" s="160">
        <v>64387.11</v>
      </c>
      <c r="I156" s="160"/>
      <c r="J156" s="161"/>
      <c r="K156" s="160"/>
      <c r="L156" s="160">
        <f>+'FACUS$'!$H156-'FACUS$'!$I156-'FACUS$'!$K156</f>
        <v>64387.11</v>
      </c>
      <c r="M156" s="157" t="s">
        <v>116</v>
      </c>
      <c r="N156" s="162" t="s">
        <v>127</v>
      </c>
      <c r="O156" s="332"/>
      <c r="P156" s="164">
        <f t="array" ref="P156">XLOOKUP('FACUS$'!$B156,'perfil de pagos'!$A$4:$A$46,'perfil de pagos'!$C$4:$C$46+'FACUS$'!$D156)</f>
        <v>42668</v>
      </c>
      <c r="Q156" s="165" t="str">
        <f t="shared" si="2"/>
        <v>N/A</v>
      </c>
      <c r="R156" s="171" t="s">
        <v>7308</v>
      </c>
      <c r="S156" s="171"/>
      <c r="T156" s="171"/>
      <c r="U156" s="333" t="s">
        <v>7271</v>
      </c>
      <c r="V156" s="168">
        <f t="shared" si="3"/>
        <v>0</v>
      </c>
      <c r="W156" s="168">
        <f t="shared" si="4"/>
        <v>0</v>
      </c>
      <c r="X156" s="168">
        <f t="shared" si="5"/>
        <v>0</v>
      </c>
      <c r="Y156" s="168">
        <f t="shared" si="6"/>
        <v>0</v>
      </c>
      <c r="Z156" s="168">
        <f t="shared" si="7"/>
        <v>0</v>
      </c>
      <c r="AA156" s="168">
        <f t="shared" si="8"/>
        <v>0</v>
      </c>
      <c r="AB156" s="168">
        <f t="shared" si="9"/>
        <v>64387.11</v>
      </c>
    </row>
    <row r="157" ht="14.25" customHeight="1">
      <c r="A157" s="157">
        <v>544.0</v>
      </c>
      <c r="B157" s="169" t="s">
        <v>37</v>
      </c>
      <c r="C157" s="169" t="s">
        <v>759</v>
      </c>
      <c r="D157" s="159">
        <v>42644.0</v>
      </c>
      <c r="E157" s="157" t="s">
        <v>2</v>
      </c>
      <c r="F157" s="160">
        <v>17730.43</v>
      </c>
      <c r="G157" s="160">
        <v>2836.87</v>
      </c>
      <c r="H157" s="160">
        <v>20567.3</v>
      </c>
      <c r="I157" s="160"/>
      <c r="J157" s="161"/>
      <c r="K157" s="160"/>
      <c r="L157" s="160">
        <f>+'FACUS$'!$H157-'FACUS$'!$I157-'FACUS$'!$K157</f>
        <v>20567.3</v>
      </c>
      <c r="M157" s="157" t="s">
        <v>116</v>
      </c>
      <c r="N157" s="162" t="s">
        <v>127</v>
      </c>
      <c r="O157" s="332"/>
      <c r="P157" s="164">
        <f t="array" ref="P157">XLOOKUP('FACUS$'!$B157,'perfil de pagos'!$A$4:$A$46,'perfil de pagos'!$C$4:$C$46+'FACUS$'!$D157)</f>
        <v>42654</v>
      </c>
      <c r="Q157" s="165" t="str">
        <f t="shared" si="2"/>
        <v>N/A</v>
      </c>
      <c r="R157" s="341">
        <v>43090.0</v>
      </c>
      <c r="S157" s="171"/>
      <c r="T157" s="171"/>
      <c r="U157" s="333" t="s">
        <v>7271</v>
      </c>
      <c r="V157" s="168">
        <f t="shared" si="3"/>
        <v>0</v>
      </c>
      <c r="W157" s="168">
        <f t="shared" si="4"/>
        <v>0</v>
      </c>
      <c r="X157" s="168">
        <f t="shared" si="5"/>
        <v>0</v>
      </c>
      <c r="Y157" s="168">
        <f t="shared" si="6"/>
        <v>0</v>
      </c>
      <c r="Z157" s="168">
        <f t="shared" si="7"/>
        <v>0</v>
      </c>
      <c r="AA157" s="168">
        <f t="shared" si="8"/>
        <v>0</v>
      </c>
      <c r="AB157" s="168">
        <f t="shared" si="9"/>
        <v>20567.3</v>
      </c>
    </row>
    <row r="158" ht="14.25" customHeight="1">
      <c r="A158" s="157">
        <v>546.0</v>
      </c>
      <c r="B158" s="169" t="s">
        <v>37</v>
      </c>
      <c r="C158" s="169" t="s">
        <v>759</v>
      </c>
      <c r="D158" s="159">
        <v>42675.0</v>
      </c>
      <c r="E158" s="157" t="s">
        <v>2</v>
      </c>
      <c r="F158" s="160">
        <v>60018.42</v>
      </c>
      <c r="G158" s="160">
        <v>9602.95</v>
      </c>
      <c r="H158" s="160">
        <v>69621.37</v>
      </c>
      <c r="I158" s="160"/>
      <c r="J158" s="161"/>
      <c r="K158" s="160"/>
      <c r="L158" s="160">
        <f>+'FACUS$'!$H158-'FACUS$'!$I158-'FACUS$'!$K158</f>
        <v>69621.37</v>
      </c>
      <c r="M158" s="157" t="s">
        <v>116</v>
      </c>
      <c r="N158" s="162" t="s">
        <v>127</v>
      </c>
      <c r="O158" s="332"/>
      <c r="P158" s="164">
        <f t="array" ref="P158">XLOOKUP('FACUS$'!$B158,'perfil de pagos'!$A$4:$A$46,'perfil de pagos'!$C$4:$C$46+'FACUS$'!$D158)</f>
        <v>42685</v>
      </c>
      <c r="Q158" s="165" t="str">
        <f t="shared" si="2"/>
        <v>N/A</v>
      </c>
      <c r="R158" s="171"/>
      <c r="S158" s="171"/>
      <c r="T158" s="171"/>
      <c r="U158" s="333" t="s">
        <v>7271</v>
      </c>
      <c r="V158" s="168">
        <f t="shared" si="3"/>
        <v>0</v>
      </c>
      <c r="W158" s="168">
        <f t="shared" si="4"/>
        <v>0</v>
      </c>
      <c r="X158" s="168">
        <f t="shared" si="5"/>
        <v>0</v>
      </c>
      <c r="Y158" s="168">
        <f t="shared" si="6"/>
        <v>0</v>
      </c>
      <c r="Z158" s="168">
        <f t="shared" si="7"/>
        <v>0</v>
      </c>
      <c r="AA158" s="168">
        <f t="shared" si="8"/>
        <v>0</v>
      </c>
      <c r="AB158" s="168">
        <f t="shared" si="9"/>
        <v>69621.37</v>
      </c>
    </row>
    <row r="159" ht="14.25" customHeight="1">
      <c r="A159" s="157">
        <v>548.0</v>
      </c>
      <c r="B159" s="169" t="s">
        <v>37</v>
      </c>
      <c r="C159" s="169" t="s">
        <v>759</v>
      </c>
      <c r="D159" s="159">
        <v>42675.0</v>
      </c>
      <c r="E159" s="157" t="s">
        <v>2</v>
      </c>
      <c r="F159" s="160">
        <v>60018.42</v>
      </c>
      <c r="G159" s="160">
        <v>9602.95</v>
      </c>
      <c r="H159" s="160">
        <v>69621.37</v>
      </c>
      <c r="I159" s="160"/>
      <c r="J159" s="161"/>
      <c r="K159" s="160"/>
      <c r="L159" s="160">
        <f>+'FACUS$'!$H159-'FACUS$'!$I159-'FACUS$'!$K159</f>
        <v>69621.37</v>
      </c>
      <c r="M159" s="157" t="s">
        <v>116</v>
      </c>
      <c r="N159" s="162" t="s">
        <v>554</v>
      </c>
      <c r="O159" s="332">
        <v>43085.0</v>
      </c>
      <c r="P159" s="164">
        <f t="array" ref="P159">XLOOKUP('FACUS$'!$B159,'perfil de pagos'!$A$4:$A$46,'perfil de pagos'!$C$4:$C$46+'FACUS$'!$D159)</f>
        <v>42685</v>
      </c>
      <c r="Q159" s="165">
        <f t="shared" si="2"/>
        <v>0</v>
      </c>
      <c r="R159" s="171"/>
      <c r="S159" s="171"/>
      <c r="T159" s="171"/>
      <c r="U159" s="333" t="s">
        <v>7271</v>
      </c>
      <c r="V159" s="168">
        <f t="shared" si="3"/>
        <v>69621.37</v>
      </c>
      <c r="W159" s="168">
        <f t="shared" si="4"/>
        <v>0</v>
      </c>
      <c r="X159" s="168">
        <f t="shared" si="5"/>
        <v>0</v>
      </c>
      <c r="Y159" s="168">
        <f t="shared" si="6"/>
        <v>0</v>
      </c>
      <c r="Z159" s="168">
        <f t="shared" si="7"/>
        <v>0</v>
      </c>
      <c r="AA159" s="168">
        <f t="shared" si="8"/>
        <v>0</v>
      </c>
      <c r="AB159" s="168">
        <f t="shared" si="9"/>
        <v>0</v>
      </c>
    </row>
    <row r="160" ht="14.25" customHeight="1">
      <c r="A160" s="157">
        <v>550.0</v>
      </c>
      <c r="B160" s="169" t="s">
        <v>37</v>
      </c>
      <c r="C160" s="169" t="s">
        <v>759</v>
      </c>
      <c r="D160" s="159">
        <v>42658.0</v>
      </c>
      <c r="E160" s="157" t="s">
        <v>2</v>
      </c>
      <c r="F160" s="160">
        <v>55506.13</v>
      </c>
      <c r="G160" s="160">
        <v>8880.98</v>
      </c>
      <c r="H160" s="160">
        <v>64387.11</v>
      </c>
      <c r="I160" s="160"/>
      <c r="J160" s="161"/>
      <c r="K160" s="160"/>
      <c r="L160" s="160">
        <f>+'FACUS$'!$H160-'FACUS$'!$I160-'FACUS$'!$K160</f>
        <v>64387.11</v>
      </c>
      <c r="M160" s="157" t="s">
        <v>116</v>
      </c>
      <c r="N160" s="162" t="s">
        <v>554</v>
      </c>
      <c r="O160" s="332">
        <v>43070.0</v>
      </c>
      <c r="P160" s="164">
        <f t="array" ref="P160">XLOOKUP('FACUS$'!$B160,'perfil de pagos'!$A$4:$A$46,'perfil de pagos'!$C$4:$C$46+'FACUS$'!$D160)</f>
        <v>42668</v>
      </c>
      <c r="Q160" s="165">
        <f t="shared" si="2"/>
        <v>0</v>
      </c>
      <c r="R160" s="171"/>
      <c r="S160" s="171"/>
      <c r="T160" s="171"/>
      <c r="U160" s="333" t="s">
        <v>7271</v>
      </c>
      <c r="V160" s="168">
        <f t="shared" si="3"/>
        <v>64387.11</v>
      </c>
      <c r="W160" s="168">
        <f t="shared" si="4"/>
        <v>0</v>
      </c>
      <c r="X160" s="168">
        <f t="shared" si="5"/>
        <v>0</v>
      </c>
      <c r="Y160" s="168">
        <f t="shared" si="6"/>
        <v>0</v>
      </c>
      <c r="Z160" s="168">
        <f t="shared" si="7"/>
        <v>0</v>
      </c>
      <c r="AA160" s="168">
        <f t="shared" si="8"/>
        <v>0</v>
      </c>
      <c r="AB160" s="168">
        <f t="shared" si="9"/>
        <v>0</v>
      </c>
    </row>
    <row r="161" ht="14.25" customHeight="1">
      <c r="A161" s="157">
        <v>552.0</v>
      </c>
      <c r="B161" s="169" t="s">
        <v>37</v>
      </c>
      <c r="C161" s="169" t="s">
        <v>759</v>
      </c>
      <c r="D161" s="159">
        <v>42644.0</v>
      </c>
      <c r="E161" s="157" t="s">
        <v>2</v>
      </c>
      <c r="F161" s="160">
        <v>17730.43</v>
      </c>
      <c r="G161" s="160">
        <v>2836.87</v>
      </c>
      <c r="H161" s="160">
        <v>20567.3</v>
      </c>
      <c r="I161" s="160"/>
      <c r="J161" s="161"/>
      <c r="K161" s="160"/>
      <c r="L161" s="160">
        <f>+'FACUS$'!$H161-'FACUS$'!$I161-'FACUS$'!$K161</f>
        <v>20567.3</v>
      </c>
      <c r="M161" s="157" t="s">
        <v>116</v>
      </c>
      <c r="N161" s="162" t="s">
        <v>554</v>
      </c>
      <c r="O161" s="332">
        <v>43070.0</v>
      </c>
      <c r="P161" s="164">
        <f t="array" ref="P161">XLOOKUP('FACUS$'!$B161,'perfil de pagos'!$A$4:$A$46,'perfil de pagos'!$C$4:$C$46+'FACUS$'!$D161)</f>
        <v>42654</v>
      </c>
      <c r="Q161" s="165">
        <f t="shared" si="2"/>
        <v>0</v>
      </c>
      <c r="R161" s="171"/>
      <c r="S161" s="171"/>
      <c r="T161" s="171"/>
      <c r="U161" s="333" t="s">
        <v>7271</v>
      </c>
      <c r="V161" s="168">
        <f t="shared" si="3"/>
        <v>20567.3</v>
      </c>
      <c r="W161" s="168">
        <f t="shared" si="4"/>
        <v>0</v>
      </c>
      <c r="X161" s="168">
        <f t="shared" si="5"/>
        <v>0</v>
      </c>
      <c r="Y161" s="168">
        <f t="shared" si="6"/>
        <v>0</v>
      </c>
      <c r="Z161" s="168">
        <f t="shared" si="7"/>
        <v>0</v>
      </c>
      <c r="AA161" s="168">
        <f t="shared" si="8"/>
        <v>0</v>
      </c>
      <c r="AB161" s="168">
        <f t="shared" si="9"/>
        <v>0</v>
      </c>
    </row>
    <row r="162" ht="14.25" customHeight="1">
      <c r="A162" s="157">
        <v>555.0</v>
      </c>
      <c r="B162" s="169" t="s">
        <v>70</v>
      </c>
      <c r="C162" s="169" t="s">
        <v>759</v>
      </c>
      <c r="D162" s="159">
        <v>43054.0</v>
      </c>
      <c r="E162" s="157" t="s">
        <v>2</v>
      </c>
      <c r="F162" s="160">
        <v>41865.0</v>
      </c>
      <c r="G162" s="160">
        <f t="shared" ref="G162:G183" si="18">+F162*0.16</f>
        <v>6698.4</v>
      </c>
      <c r="H162" s="160">
        <f t="shared" ref="H162:H218" si="19">F162+G162</f>
        <v>48563.4</v>
      </c>
      <c r="I162" s="160"/>
      <c r="J162" s="161"/>
      <c r="K162" s="160"/>
      <c r="L162" s="160">
        <f>+'FACUS$'!$H162-'FACUS$'!$I162-'FACUS$'!$K162</f>
        <v>48563.4</v>
      </c>
      <c r="M162" s="157" t="s">
        <v>719</v>
      </c>
      <c r="N162" s="162" t="s">
        <v>127</v>
      </c>
      <c r="O162" s="332"/>
      <c r="P162" s="164" t="str">
        <f t="array" ref="P162">XLOOKUP('FACUS$'!$B162,'perfil de pagos'!$A$4:$A$46,'perfil de pagos'!$C$4:$C$46+'FACUS$'!$D162)</f>
        <v>#N/A</v>
      </c>
      <c r="Q162" s="165" t="str">
        <f t="shared" si="2"/>
        <v>N/A</v>
      </c>
      <c r="R162" s="171"/>
      <c r="S162" s="171"/>
      <c r="T162" s="171"/>
      <c r="U162" s="333" t="s">
        <v>7271</v>
      </c>
      <c r="V162" s="168">
        <f t="shared" si="3"/>
        <v>0</v>
      </c>
      <c r="W162" s="168">
        <f t="shared" si="4"/>
        <v>0</v>
      </c>
      <c r="X162" s="168">
        <f t="shared" si="5"/>
        <v>0</v>
      </c>
      <c r="Y162" s="168">
        <f t="shared" si="6"/>
        <v>0</v>
      </c>
      <c r="Z162" s="168">
        <f t="shared" si="7"/>
        <v>0</v>
      </c>
      <c r="AA162" s="168">
        <f t="shared" si="8"/>
        <v>0</v>
      </c>
      <c r="AB162" s="168">
        <f t="shared" si="9"/>
        <v>48563.4</v>
      </c>
    </row>
    <row r="163" ht="14.25" customHeight="1">
      <c r="A163" s="157">
        <v>556.0</v>
      </c>
      <c r="B163" s="169" t="s">
        <v>70</v>
      </c>
      <c r="C163" s="169" t="s">
        <v>759</v>
      </c>
      <c r="D163" s="159">
        <v>43054.0</v>
      </c>
      <c r="E163" s="157" t="s">
        <v>2</v>
      </c>
      <c r="F163" s="160">
        <v>61087.5</v>
      </c>
      <c r="G163" s="160">
        <f t="shared" si="18"/>
        <v>9774</v>
      </c>
      <c r="H163" s="160">
        <f t="shared" si="19"/>
        <v>70861.5</v>
      </c>
      <c r="I163" s="160"/>
      <c r="J163" s="161"/>
      <c r="K163" s="160"/>
      <c r="L163" s="160">
        <f>+'FACUS$'!$H163-'FACUS$'!$I163-'FACUS$'!$K163</f>
        <v>70861.5</v>
      </c>
      <c r="M163" s="157" t="s">
        <v>719</v>
      </c>
      <c r="N163" s="162" t="s">
        <v>127</v>
      </c>
      <c r="O163" s="332"/>
      <c r="P163" s="164" t="str">
        <f t="array" ref="P163">XLOOKUP('FACUS$'!$B163,'perfil de pagos'!$A$4:$A$46,'perfil de pagos'!$C$4:$C$46+'FACUS$'!$D163)</f>
        <v>#N/A</v>
      </c>
      <c r="Q163" s="165" t="str">
        <f t="shared" si="2"/>
        <v>N/A</v>
      </c>
      <c r="R163" s="167"/>
      <c r="S163" s="171"/>
      <c r="T163" s="171"/>
      <c r="U163" s="333" t="s">
        <v>7271</v>
      </c>
      <c r="V163" s="168">
        <f t="shared" si="3"/>
        <v>0</v>
      </c>
      <c r="W163" s="168">
        <f t="shared" si="4"/>
        <v>0</v>
      </c>
      <c r="X163" s="168">
        <f t="shared" si="5"/>
        <v>0</v>
      </c>
      <c r="Y163" s="168">
        <f t="shared" si="6"/>
        <v>0</v>
      </c>
      <c r="Z163" s="168">
        <f t="shared" si="7"/>
        <v>0</v>
      </c>
      <c r="AA163" s="168">
        <f t="shared" si="8"/>
        <v>0</v>
      </c>
      <c r="AB163" s="168">
        <f t="shared" si="9"/>
        <v>70861.5</v>
      </c>
    </row>
    <row r="164" ht="14.25" customHeight="1">
      <c r="A164" s="157">
        <v>558.0</v>
      </c>
      <c r="B164" s="169" t="s">
        <v>722</v>
      </c>
      <c r="C164" s="169" t="s">
        <v>7296</v>
      </c>
      <c r="D164" s="159">
        <v>43054.0</v>
      </c>
      <c r="E164" s="157" t="s">
        <v>2</v>
      </c>
      <c r="F164" s="160">
        <v>39401.44</v>
      </c>
      <c r="G164" s="160">
        <f t="shared" si="18"/>
        <v>6304.2304</v>
      </c>
      <c r="H164" s="160">
        <f t="shared" si="19"/>
        <v>45705.6704</v>
      </c>
      <c r="I164" s="160"/>
      <c r="J164" s="161"/>
      <c r="K164" s="160"/>
      <c r="L164" s="160">
        <f>+'FACUS$'!$H164-'FACUS$'!$I164-'FACUS$'!$K164</f>
        <v>45705.6704</v>
      </c>
      <c r="M164" s="157" t="s">
        <v>93</v>
      </c>
      <c r="N164" s="162" t="s">
        <v>554</v>
      </c>
      <c r="O164" s="332">
        <v>43077.0</v>
      </c>
      <c r="P164" s="164" t="str">
        <f t="array" ref="P164">XLOOKUP('FACUS$'!$B164,'perfil de pagos'!$A$4:$A$46,'perfil de pagos'!$C$4:$C$46+'FACUS$'!$D164)</f>
        <v>#N/A</v>
      </c>
      <c r="Q164" s="165">
        <f t="shared" si="2"/>
        <v>0</v>
      </c>
      <c r="R164" s="171" t="s">
        <v>7306</v>
      </c>
      <c r="S164" s="171"/>
      <c r="T164" s="171"/>
      <c r="U164" s="333" t="s">
        <v>7271</v>
      </c>
      <c r="V164" s="168">
        <f t="shared" si="3"/>
        <v>45705.6704</v>
      </c>
      <c r="W164" s="168">
        <f t="shared" si="4"/>
        <v>0</v>
      </c>
      <c r="X164" s="168">
        <f t="shared" si="5"/>
        <v>0</v>
      </c>
      <c r="Y164" s="168">
        <f t="shared" si="6"/>
        <v>0</v>
      </c>
      <c r="Z164" s="168">
        <f t="shared" si="7"/>
        <v>0</v>
      </c>
      <c r="AA164" s="168">
        <f t="shared" si="8"/>
        <v>0</v>
      </c>
      <c r="AB164" s="168">
        <f t="shared" si="9"/>
        <v>0</v>
      </c>
    </row>
    <row r="165" ht="14.25" customHeight="1">
      <c r="A165" s="157">
        <v>561.0</v>
      </c>
      <c r="B165" s="169" t="s">
        <v>70</v>
      </c>
      <c r="C165" s="169" t="s">
        <v>759</v>
      </c>
      <c r="D165" s="159">
        <v>43054.0</v>
      </c>
      <c r="E165" s="157" t="s">
        <v>2</v>
      </c>
      <c r="F165" s="160">
        <v>41865.0</v>
      </c>
      <c r="G165" s="160">
        <f t="shared" si="18"/>
        <v>6698.4</v>
      </c>
      <c r="H165" s="160">
        <f t="shared" si="19"/>
        <v>48563.4</v>
      </c>
      <c r="I165" s="160"/>
      <c r="J165" s="161"/>
      <c r="K165" s="160"/>
      <c r="L165" s="160">
        <f>+'FACUS$'!$H165-'FACUS$'!$I165-'FACUS$'!$K165</f>
        <v>48563.4</v>
      </c>
      <c r="M165" s="157" t="s">
        <v>719</v>
      </c>
      <c r="N165" s="162" t="s">
        <v>554</v>
      </c>
      <c r="O165" s="348">
        <v>43090.0</v>
      </c>
      <c r="P165" s="164" t="str">
        <f t="array" ref="P165">XLOOKUP('FACUS$'!$B165,'perfil de pagos'!$A$4:$A$46,'perfil de pagos'!$C$4:$C$46+'FACUS$'!$D165)</f>
        <v>#N/A</v>
      </c>
      <c r="Q165" s="165">
        <f t="shared" si="2"/>
        <v>0</v>
      </c>
      <c r="R165" s="171"/>
      <c r="S165" s="171"/>
      <c r="T165" s="171"/>
      <c r="U165" s="333" t="s">
        <v>7271</v>
      </c>
      <c r="V165" s="168">
        <f t="shared" si="3"/>
        <v>48563.4</v>
      </c>
      <c r="W165" s="168">
        <f t="shared" si="4"/>
        <v>0</v>
      </c>
      <c r="X165" s="168">
        <f t="shared" si="5"/>
        <v>0</v>
      </c>
      <c r="Y165" s="168">
        <f t="shared" si="6"/>
        <v>0</v>
      </c>
      <c r="Z165" s="168">
        <f t="shared" si="7"/>
        <v>0</v>
      </c>
      <c r="AA165" s="168">
        <f t="shared" si="8"/>
        <v>0</v>
      </c>
      <c r="AB165" s="168">
        <f t="shared" si="9"/>
        <v>0</v>
      </c>
    </row>
    <row r="166" ht="14.25" customHeight="1">
      <c r="A166" s="157">
        <v>562.0</v>
      </c>
      <c r="B166" s="169" t="s">
        <v>70</v>
      </c>
      <c r="C166" s="170" t="s">
        <v>759</v>
      </c>
      <c r="D166" s="159">
        <v>42689.0</v>
      </c>
      <c r="E166" s="157" t="s">
        <v>2</v>
      </c>
      <c r="F166" s="160">
        <v>28462.5</v>
      </c>
      <c r="G166" s="160">
        <f t="shared" si="18"/>
        <v>4554</v>
      </c>
      <c r="H166" s="160">
        <f t="shared" si="19"/>
        <v>33016.5</v>
      </c>
      <c r="I166" s="160"/>
      <c r="J166" s="161"/>
      <c r="K166" s="160"/>
      <c r="L166" s="160">
        <f>+'FACUS$'!$H166-'FACUS$'!$I166-'FACUS$'!$K166</f>
        <v>33016.5</v>
      </c>
      <c r="M166" s="157" t="s">
        <v>719</v>
      </c>
      <c r="N166" s="162" t="s">
        <v>554</v>
      </c>
      <c r="O166" s="332" t="s">
        <v>7309</v>
      </c>
      <c r="P166" s="164" t="str">
        <f t="array" ref="P166">XLOOKUP('FACUS$'!$B166,'perfil de pagos'!$A$4:$A$46,'perfil de pagos'!$C$4:$C$46+'FACUS$'!$D166)</f>
        <v>#N/A</v>
      </c>
      <c r="Q166" s="165">
        <f t="shared" si="2"/>
        <v>0</v>
      </c>
      <c r="R166" s="171"/>
      <c r="S166" s="171"/>
      <c r="T166" s="171"/>
      <c r="U166" s="333" t="s">
        <v>7271</v>
      </c>
      <c r="V166" s="168">
        <f t="shared" si="3"/>
        <v>33016.5</v>
      </c>
      <c r="W166" s="168">
        <f t="shared" si="4"/>
        <v>0</v>
      </c>
      <c r="X166" s="168">
        <f t="shared" si="5"/>
        <v>0</v>
      </c>
      <c r="Y166" s="168">
        <f t="shared" si="6"/>
        <v>0</v>
      </c>
      <c r="Z166" s="168">
        <f t="shared" si="7"/>
        <v>0</v>
      </c>
      <c r="AA166" s="168">
        <f t="shared" si="8"/>
        <v>0</v>
      </c>
      <c r="AB166" s="168">
        <f t="shared" si="9"/>
        <v>0</v>
      </c>
    </row>
    <row r="167" ht="14.25" customHeight="1">
      <c r="A167" s="157">
        <v>570.0</v>
      </c>
      <c r="B167" s="169" t="s">
        <v>37</v>
      </c>
      <c r="C167" s="169" t="s">
        <v>759</v>
      </c>
      <c r="D167" s="159">
        <v>43054.0</v>
      </c>
      <c r="E167" s="157" t="s">
        <v>2</v>
      </c>
      <c r="F167" s="160">
        <v>66719.51</v>
      </c>
      <c r="G167" s="160">
        <f t="shared" si="18"/>
        <v>10675.1216</v>
      </c>
      <c r="H167" s="160">
        <f t="shared" si="19"/>
        <v>77394.6316</v>
      </c>
      <c r="I167" s="160"/>
      <c r="J167" s="161"/>
      <c r="K167" s="160"/>
      <c r="L167" s="160">
        <f>+'FACUS$'!$H167-'FACUS$'!$I167-'FACUS$'!$K167</f>
        <v>77394.6316</v>
      </c>
      <c r="M167" s="157" t="s">
        <v>116</v>
      </c>
      <c r="N167" s="162" t="s">
        <v>554</v>
      </c>
      <c r="O167" s="332">
        <v>43092.0</v>
      </c>
      <c r="P167" s="164">
        <f t="array" ref="P167">XLOOKUP('FACUS$'!$B167,'perfil de pagos'!$A$4:$A$46,'perfil de pagos'!$C$4:$C$46+'FACUS$'!$D167)</f>
        <v>43064</v>
      </c>
      <c r="Q167" s="165">
        <f t="shared" si="2"/>
        <v>0</v>
      </c>
      <c r="R167" s="171"/>
      <c r="S167" s="171"/>
      <c r="T167" s="171"/>
      <c r="U167" s="333" t="s">
        <v>7271</v>
      </c>
      <c r="V167" s="168">
        <f t="shared" si="3"/>
        <v>77394.6316</v>
      </c>
      <c r="W167" s="168">
        <f t="shared" si="4"/>
        <v>0</v>
      </c>
      <c r="X167" s="168">
        <f t="shared" si="5"/>
        <v>0</v>
      </c>
      <c r="Y167" s="168">
        <f t="shared" si="6"/>
        <v>0</v>
      </c>
      <c r="Z167" s="168">
        <f t="shared" si="7"/>
        <v>0</v>
      </c>
      <c r="AA167" s="168">
        <f t="shared" si="8"/>
        <v>0</v>
      </c>
      <c r="AB167" s="168">
        <f t="shared" si="9"/>
        <v>0</v>
      </c>
    </row>
    <row r="168" ht="14.25" customHeight="1">
      <c r="A168" s="157">
        <v>572.0</v>
      </c>
      <c r="B168" s="170" t="s">
        <v>720</v>
      </c>
      <c r="C168" s="169" t="s">
        <v>794</v>
      </c>
      <c r="D168" s="159">
        <v>43040.0</v>
      </c>
      <c r="E168" s="157" t="s">
        <v>2</v>
      </c>
      <c r="F168" s="160">
        <v>28610.87</v>
      </c>
      <c r="G168" s="160">
        <f t="shared" si="18"/>
        <v>4577.7392</v>
      </c>
      <c r="H168" s="160">
        <f t="shared" si="19"/>
        <v>33188.6092</v>
      </c>
      <c r="I168" s="160"/>
      <c r="J168" s="161"/>
      <c r="K168" s="160"/>
      <c r="L168" s="160">
        <f>+'FACUS$'!$H168-'FACUS$'!$I168-'FACUS$'!$K168</f>
        <v>33188.6092</v>
      </c>
      <c r="M168" s="157" t="s">
        <v>777</v>
      </c>
      <c r="N168" s="162" t="s">
        <v>127</v>
      </c>
      <c r="O168" s="332"/>
      <c r="P168" s="164" t="str">
        <f t="array" ref="P168">XLOOKUP('FACUS$'!$B168,'perfil de pagos'!$A$4:$A$46,'perfil de pagos'!$C$4:$C$46+'FACUS$'!$D168)</f>
        <v>#N/A</v>
      </c>
      <c r="Q168" s="165" t="str">
        <f t="shared" si="2"/>
        <v>N/A</v>
      </c>
      <c r="R168" s="171"/>
      <c r="S168" s="171"/>
      <c r="T168" s="171"/>
      <c r="U168" s="333" t="s">
        <v>7271</v>
      </c>
      <c r="V168" s="168">
        <f t="shared" si="3"/>
        <v>0</v>
      </c>
      <c r="W168" s="168">
        <f t="shared" si="4"/>
        <v>0</v>
      </c>
      <c r="X168" s="168">
        <f t="shared" si="5"/>
        <v>0</v>
      </c>
      <c r="Y168" s="168">
        <f t="shared" si="6"/>
        <v>0</v>
      </c>
      <c r="Z168" s="168">
        <f t="shared" si="7"/>
        <v>0</v>
      </c>
      <c r="AA168" s="168">
        <f t="shared" si="8"/>
        <v>0</v>
      </c>
      <c r="AB168" s="168">
        <f t="shared" si="9"/>
        <v>33188.6092</v>
      </c>
    </row>
    <row r="169" ht="14.25" customHeight="1">
      <c r="A169" s="157">
        <v>579.0</v>
      </c>
      <c r="B169" s="169" t="s">
        <v>720</v>
      </c>
      <c r="C169" s="169" t="s">
        <v>794</v>
      </c>
      <c r="D169" s="159">
        <v>43040.0</v>
      </c>
      <c r="E169" s="157" t="s">
        <v>2</v>
      </c>
      <c r="F169" s="160">
        <v>28610.87</v>
      </c>
      <c r="G169" s="160">
        <f t="shared" si="18"/>
        <v>4577.7392</v>
      </c>
      <c r="H169" s="160">
        <f t="shared" si="19"/>
        <v>33188.6092</v>
      </c>
      <c r="I169" s="160"/>
      <c r="J169" s="161"/>
      <c r="K169" s="160"/>
      <c r="L169" s="160">
        <f>+'FACUS$'!$H169-'FACUS$'!$I169-'FACUS$'!$K169</f>
        <v>33188.6092</v>
      </c>
      <c r="M169" s="157" t="s">
        <v>777</v>
      </c>
      <c r="N169" s="162" t="s">
        <v>554</v>
      </c>
      <c r="O169" s="332">
        <v>43092.0</v>
      </c>
      <c r="P169" s="164" t="str">
        <f t="array" ref="P169">XLOOKUP('FACUS$'!$B169,'perfil de pagos'!$A$4:$A$46,'perfil de pagos'!$C$4:$C$46+'FACUS$'!$D169)</f>
        <v>#N/A</v>
      </c>
      <c r="Q169" s="165">
        <f t="shared" si="2"/>
        <v>0</v>
      </c>
      <c r="R169" s="171"/>
      <c r="S169" s="171"/>
      <c r="T169" s="171"/>
      <c r="U169" s="333" t="s">
        <v>7271</v>
      </c>
      <c r="V169" s="168">
        <f t="shared" si="3"/>
        <v>33188.6092</v>
      </c>
      <c r="W169" s="168">
        <f t="shared" si="4"/>
        <v>0</v>
      </c>
      <c r="X169" s="168">
        <f t="shared" si="5"/>
        <v>0</v>
      </c>
      <c r="Y169" s="168">
        <f t="shared" si="6"/>
        <v>0</v>
      </c>
      <c r="Z169" s="168">
        <f t="shared" si="7"/>
        <v>0</v>
      </c>
      <c r="AA169" s="168">
        <f t="shared" si="8"/>
        <v>0</v>
      </c>
      <c r="AB169" s="168">
        <f t="shared" si="9"/>
        <v>0</v>
      </c>
    </row>
    <row r="170" ht="14.25" customHeight="1">
      <c r="A170" s="157">
        <v>581.0</v>
      </c>
      <c r="B170" s="169" t="s">
        <v>722</v>
      </c>
      <c r="C170" s="170" t="s">
        <v>7296</v>
      </c>
      <c r="D170" s="159">
        <v>43070.0</v>
      </c>
      <c r="E170" s="157" t="s">
        <v>2</v>
      </c>
      <c r="F170" s="160">
        <v>116146.83</v>
      </c>
      <c r="G170" s="160">
        <f t="shared" si="18"/>
        <v>18583.4928</v>
      </c>
      <c r="H170" s="160">
        <f t="shared" si="19"/>
        <v>134730.3228</v>
      </c>
      <c r="I170" s="160"/>
      <c r="J170" s="161"/>
      <c r="K170" s="160"/>
      <c r="L170" s="160">
        <f>+'FACUS$'!$H170-'FACUS$'!$I170-'FACUS$'!$K170</f>
        <v>134730.3228</v>
      </c>
      <c r="M170" s="157" t="s">
        <v>93</v>
      </c>
      <c r="N170" s="162" t="s">
        <v>554</v>
      </c>
      <c r="O170" s="332">
        <v>43091.0</v>
      </c>
      <c r="P170" s="164" t="str">
        <f t="array" ref="P170">XLOOKUP('FACUS$'!$B170,'perfil de pagos'!$A$4:$A$46,'perfil de pagos'!$C$4:$C$46+'FACUS$'!$D170)</f>
        <v>#N/A</v>
      </c>
      <c r="Q170" s="165">
        <f t="shared" si="2"/>
        <v>0</v>
      </c>
      <c r="R170" s="171"/>
      <c r="S170" s="171"/>
      <c r="T170" s="171"/>
      <c r="U170" s="333" t="s">
        <v>7271</v>
      </c>
      <c r="V170" s="168">
        <f t="shared" si="3"/>
        <v>134730.3228</v>
      </c>
      <c r="W170" s="168">
        <f t="shared" si="4"/>
        <v>0</v>
      </c>
      <c r="X170" s="168">
        <f t="shared" si="5"/>
        <v>0</v>
      </c>
      <c r="Y170" s="168">
        <f t="shared" si="6"/>
        <v>0</v>
      </c>
      <c r="Z170" s="168">
        <f t="shared" si="7"/>
        <v>0</v>
      </c>
      <c r="AA170" s="168">
        <f t="shared" si="8"/>
        <v>0</v>
      </c>
      <c r="AB170" s="168">
        <f t="shared" si="9"/>
        <v>0</v>
      </c>
    </row>
    <row r="171" ht="14.25" customHeight="1">
      <c r="A171" s="157">
        <v>583.0</v>
      </c>
      <c r="B171" s="169" t="s">
        <v>70</v>
      </c>
      <c r="C171" s="169" t="s">
        <v>759</v>
      </c>
      <c r="D171" s="159">
        <v>43070.0</v>
      </c>
      <c r="E171" s="157" t="s">
        <v>2</v>
      </c>
      <c r="F171" s="160">
        <v>37342.5</v>
      </c>
      <c r="G171" s="160">
        <f t="shared" si="18"/>
        <v>5974.8</v>
      </c>
      <c r="H171" s="160">
        <f t="shared" si="19"/>
        <v>43317.3</v>
      </c>
      <c r="I171" s="160"/>
      <c r="J171" s="161"/>
      <c r="K171" s="160"/>
      <c r="L171" s="160">
        <f>+'FACUS$'!$H171-'FACUS$'!$I171-'FACUS$'!$K171</f>
        <v>43317.3</v>
      </c>
      <c r="M171" s="157" t="s">
        <v>719</v>
      </c>
      <c r="N171" s="162" t="s">
        <v>554</v>
      </c>
      <c r="O171" s="332">
        <v>43090.0</v>
      </c>
      <c r="P171" s="164" t="str">
        <f t="array" ref="P171">XLOOKUP('FACUS$'!$B171,'perfil de pagos'!$A$4:$A$46,'perfil de pagos'!$C$4:$C$46+'FACUS$'!$D171)</f>
        <v>#N/A</v>
      </c>
      <c r="Q171" s="165">
        <f t="shared" si="2"/>
        <v>0</v>
      </c>
      <c r="R171" s="171"/>
      <c r="S171" s="171"/>
      <c r="T171" s="171"/>
      <c r="U171" s="333" t="s">
        <v>7271</v>
      </c>
      <c r="V171" s="168">
        <f t="shared" si="3"/>
        <v>43317.3</v>
      </c>
      <c r="W171" s="168">
        <f t="shared" si="4"/>
        <v>0</v>
      </c>
      <c r="X171" s="168">
        <f t="shared" si="5"/>
        <v>0</v>
      </c>
      <c r="Y171" s="168">
        <f t="shared" si="6"/>
        <v>0</v>
      </c>
      <c r="Z171" s="168">
        <f t="shared" si="7"/>
        <v>0</v>
      </c>
      <c r="AA171" s="168">
        <f t="shared" si="8"/>
        <v>0</v>
      </c>
      <c r="AB171" s="168">
        <f t="shared" si="9"/>
        <v>0</v>
      </c>
    </row>
    <row r="172" ht="14.25" customHeight="1">
      <c r="A172" s="157">
        <v>587.0</v>
      </c>
      <c r="B172" s="169" t="s">
        <v>720</v>
      </c>
      <c r="C172" s="170" t="s">
        <v>794</v>
      </c>
      <c r="D172" s="159">
        <v>43070.0</v>
      </c>
      <c r="E172" s="157" t="s">
        <v>2</v>
      </c>
      <c r="F172" s="160">
        <v>35912.23</v>
      </c>
      <c r="G172" s="160">
        <f t="shared" si="18"/>
        <v>5745.9568</v>
      </c>
      <c r="H172" s="160">
        <f t="shared" si="19"/>
        <v>41658.1868</v>
      </c>
      <c r="I172" s="160"/>
      <c r="J172" s="161"/>
      <c r="K172" s="160"/>
      <c r="L172" s="160">
        <f>+'FACUS$'!$H172-'FACUS$'!$I172-'FACUS$'!$K172</f>
        <v>41658.1868</v>
      </c>
      <c r="M172" s="157" t="s">
        <v>777</v>
      </c>
      <c r="N172" s="162" t="s">
        <v>554</v>
      </c>
      <c r="O172" s="332">
        <v>43096.0</v>
      </c>
      <c r="P172" s="164" t="str">
        <f t="array" ref="P172">XLOOKUP('FACUS$'!$B172,'perfil de pagos'!$A$4:$A$46,'perfil de pagos'!$C$4:$C$46+'FACUS$'!$D172)</f>
        <v>#N/A</v>
      </c>
      <c r="Q172" s="165">
        <f t="shared" si="2"/>
        <v>0</v>
      </c>
      <c r="R172" s="171"/>
      <c r="S172" s="171"/>
      <c r="T172" s="171"/>
      <c r="U172" s="333" t="s">
        <v>7271</v>
      </c>
      <c r="V172" s="168">
        <f t="shared" si="3"/>
        <v>41658.1868</v>
      </c>
      <c r="W172" s="168">
        <f t="shared" si="4"/>
        <v>0</v>
      </c>
      <c r="X172" s="168">
        <f t="shared" si="5"/>
        <v>0</v>
      </c>
      <c r="Y172" s="168">
        <f t="shared" si="6"/>
        <v>0</v>
      </c>
      <c r="Z172" s="168">
        <f t="shared" si="7"/>
        <v>0</v>
      </c>
      <c r="AA172" s="168">
        <f t="shared" si="8"/>
        <v>0</v>
      </c>
      <c r="AB172" s="168">
        <f t="shared" si="9"/>
        <v>0</v>
      </c>
    </row>
    <row r="173" ht="14.25" customHeight="1">
      <c r="A173" s="157">
        <v>588.0</v>
      </c>
      <c r="B173" s="169" t="s">
        <v>720</v>
      </c>
      <c r="C173" s="169" t="s">
        <v>794</v>
      </c>
      <c r="D173" s="159">
        <v>43040.0</v>
      </c>
      <c r="E173" s="157" t="s">
        <v>2</v>
      </c>
      <c r="F173" s="160">
        <v>28610.87</v>
      </c>
      <c r="G173" s="160">
        <f t="shared" si="18"/>
        <v>4577.7392</v>
      </c>
      <c r="H173" s="160">
        <f t="shared" si="19"/>
        <v>33188.6092</v>
      </c>
      <c r="I173" s="160"/>
      <c r="J173" s="161"/>
      <c r="K173" s="160"/>
      <c r="L173" s="160">
        <f>+'FACUS$'!$H173-'FACUS$'!$I173-'FACUS$'!$K173</f>
        <v>33188.6092</v>
      </c>
      <c r="M173" s="157" t="s">
        <v>777</v>
      </c>
      <c r="N173" s="162" t="s">
        <v>554</v>
      </c>
      <c r="O173" s="332">
        <v>43092.0</v>
      </c>
      <c r="P173" s="164" t="str">
        <f t="array" ref="P173">XLOOKUP('FACUS$'!$B173,'perfil de pagos'!$A$4:$A$46,'perfil de pagos'!$C$4:$C$46+'FACUS$'!$D173)</f>
        <v>#N/A</v>
      </c>
      <c r="Q173" s="165">
        <f t="shared" si="2"/>
        <v>0</v>
      </c>
      <c r="R173" s="171"/>
      <c r="S173" s="171"/>
      <c r="T173" s="171"/>
      <c r="U173" s="333" t="s">
        <v>7271</v>
      </c>
      <c r="V173" s="168">
        <f t="shared" si="3"/>
        <v>33188.6092</v>
      </c>
      <c r="W173" s="168">
        <f t="shared" si="4"/>
        <v>0</v>
      </c>
      <c r="X173" s="168">
        <f t="shared" si="5"/>
        <v>0</v>
      </c>
      <c r="Y173" s="168">
        <f t="shared" si="6"/>
        <v>0</v>
      </c>
      <c r="Z173" s="168">
        <f t="shared" si="7"/>
        <v>0</v>
      </c>
      <c r="AA173" s="168">
        <f t="shared" si="8"/>
        <v>0</v>
      </c>
      <c r="AB173" s="168">
        <f t="shared" si="9"/>
        <v>0</v>
      </c>
    </row>
    <row r="174" ht="14.25" customHeight="1">
      <c r="A174" s="157">
        <v>590.0</v>
      </c>
      <c r="B174" s="169" t="s">
        <v>37</v>
      </c>
      <c r="C174" s="169" t="s">
        <v>759</v>
      </c>
      <c r="D174" s="159">
        <v>43070.0</v>
      </c>
      <c r="E174" s="157" t="s">
        <v>2</v>
      </c>
      <c r="F174" s="160">
        <v>66267.14</v>
      </c>
      <c r="G174" s="160">
        <f t="shared" si="18"/>
        <v>10602.7424</v>
      </c>
      <c r="H174" s="160">
        <f t="shared" si="19"/>
        <v>76869.8824</v>
      </c>
      <c r="I174" s="160"/>
      <c r="J174" s="161"/>
      <c r="K174" s="160"/>
      <c r="L174" s="160">
        <f>+'FACUS$'!$H174-'FACUS$'!$I174-'FACUS$'!$K174</f>
        <v>76869.8824</v>
      </c>
      <c r="M174" s="157" t="s">
        <v>116</v>
      </c>
      <c r="N174" s="162" t="s">
        <v>554</v>
      </c>
      <c r="O174" s="332">
        <v>42752.0</v>
      </c>
      <c r="P174" s="164">
        <f t="array" ref="P174">XLOOKUP('FACUS$'!$B174,'perfil de pagos'!$A$4:$A$46,'perfil de pagos'!$C$4:$C$46+'FACUS$'!$D174)</f>
        <v>43080</v>
      </c>
      <c r="Q174" s="165">
        <f t="shared" si="2"/>
        <v>0</v>
      </c>
      <c r="R174" s="171"/>
      <c r="S174" s="171"/>
      <c r="T174" s="171"/>
      <c r="U174" s="333" t="s">
        <v>7271</v>
      </c>
      <c r="V174" s="168">
        <f t="shared" si="3"/>
        <v>76869.8824</v>
      </c>
      <c r="W174" s="168">
        <f t="shared" si="4"/>
        <v>0</v>
      </c>
      <c r="X174" s="168">
        <f t="shared" si="5"/>
        <v>0</v>
      </c>
      <c r="Y174" s="168">
        <f t="shared" si="6"/>
        <v>0</v>
      </c>
      <c r="Z174" s="168">
        <f t="shared" si="7"/>
        <v>0</v>
      </c>
      <c r="AA174" s="168">
        <f t="shared" si="8"/>
        <v>0</v>
      </c>
      <c r="AB174" s="168">
        <f t="shared" si="9"/>
        <v>0</v>
      </c>
    </row>
    <row r="175" ht="14.25" customHeight="1">
      <c r="A175" s="157">
        <v>596.0</v>
      </c>
      <c r="B175" s="169" t="s">
        <v>82</v>
      </c>
      <c r="C175" s="169" t="s">
        <v>7310</v>
      </c>
      <c r="D175" s="159">
        <v>43097.0</v>
      </c>
      <c r="E175" s="157" t="s">
        <v>2</v>
      </c>
      <c r="F175" s="160">
        <v>5110.07</v>
      </c>
      <c r="G175" s="160">
        <f t="shared" si="18"/>
        <v>817.6112</v>
      </c>
      <c r="H175" s="160">
        <f t="shared" si="19"/>
        <v>5927.6812</v>
      </c>
      <c r="I175" s="160"/>
      <c r="J175" s="161"/>
      <c r="K175" s="160"/>
      <c r="L175" s="160">
        <f>+'FACUS$'!$H175-'FACUS$'!$I175-'FACUS$'!$K175</f>
        <v>5927.6812</v>
      </c>
      <c r="M175" s="157" t="s">
        <v>714</v>
      </c>
      <c r="N175" s="162" t="s">
        <v>554</v>
      </c>
      <c r="O175" s="332">
        <v>43099.0</v>
      </c>
      <c r="P175" s="164" t="str">
        <f t="array" ref="P175">XLOOKUP('FACUS$'!$B175,'perfil de pagos'!$A$4:$A$46,'perfil de pagos'!$C$4:$C$46+'FACUS$'!$D175)</f>
        <v>#N/A</v>
      </c>
      <c r="Q175" s="165">
        <f t="shared" si="2"/>
        <v>0</v>
      </c>
      <c r="R175" s="171" t="s">
        <v>7311</v>
      </c>
      <c r="S175" s="171"/>
      <c r="T175" s="171"/>
      <c r="U175" s="333" t="s">
        <v>7271</v>
      </c>
      <c r="V175" s="168">
        <f t="shared" si="3"/>
        <v>5927.6812</v>
      </c>
      <c r="W175" s="168">
        <f t="shared" si="4"/>
        <v>0</v>
      </c>
      <c r="X175" s="168">
        <f t="shared" si="5"/>
        <v>0</v>
      </c>
      <c r="Y175" s="168">
        <f t="shared" si="6"/>
        <v>0</v>
      </c>
      <c r="Z175" s="168">
        <f t="shared" si="7"/>
        <v>0</v>
      </c>
      <c r="AA175" s="168">
        <f t="shared" si="8"/>
        <v>0</v>
      </c>
      <c r="AB175" s="168">
        <f t="shared" si="9"/>
        <v>0</v>
      </c>
    </row>
    <row r="176" ht="14.25" customHeight="1">
      <c r="A176" s="157">
        <v>597.0</v>
      </c>
      <c r="B176" s="169" t="s">
        <v>82</v>
      </c>
      <c r="C176" s="169" t="s">
        <v>7312</v>
      </c>
      <c r="D176" s="159">
        <v>43097.0</v>
      </c>
      <c r="E176" s="157" t="s">
        <v>2</v>
      </c>
      <c r="F176" s="160">
        <v>3877.31</v>
      </c>
      <c r="G176" s="160">
        <f t="shared" si="18"/>
        <v>620.3696</v>
      </c>
      <c r="H176" s="160">
        <f t="shared" si="19"/>
        <v>4497.6796</v>
      </c>
      <c r="I176" s="160"/>
      <c r="J176" s="161"/>
      <c r="K176" s="160"/>
      <c r="L176" s="160">
        <f>+'FACUS$'!$H176-'FACUS$'!$I176-'FACUS$'!$K176</f>
        <v>4497.6796</v>
      </c>
      <c r="M176" s="157" t="s">
        <v>714</v>
      </c>
      <c r="N176" s="162" t="s">
        <v>554</v>
      </c>
      <c r="O176" s="332">
        <v>43099.0</v>
      </c>
      <c r="P176" s="164" t="str">
        <f t="array" ref="P176">XLOOKUP('FACUS$'!$B176,'perfil de pagos'!$A$4:$A$46,'perfil de pagos'!$C$4:$C$46+'FACUS$'!$D176)</f>
        <v>#N/A</v>
      </c>
      <c r="Q176" s="165">
        <f t="shared" si="2"/>
        <v>0</v>
      </c>
      <c r="R176" s="171"/>
      <c r="S176" s="171"/>
      <c r="T176" s="171"/>
      <c r="U176" s="333" t="s">
        <v>7271</v>
      </c>
      <c r="V176" s="168">
        <f t="shared" si="3"/>
        <v>4497.6796</v>
      </c>
      <c r="W176" s="168">
        <f t="shared" si="4"/>
        <v>0</v>
      </c>
      <c r="X176" s="168">
        <f t="shared" si="5"/>
        <v>0</v>
      </c>
      <c r="Y176" s="168">
        <f t="shared" si="6"/>
        <v>0</v>
      </c>
      <c r="Z176" s="168">
        <f t="shared" si="7"/>
        <v>0</v>
      </c>
      <c r="AA176" s="168">
        <f t="shared" si="8"/>
        <v>0</v>
      </c>
      <c r="AB176" s="168">
        <f t="shared" si="9"/>
        <v>0</v>
      </c>
    </row>
    <row r="177" ht="14.25" customHeight="1">
      <c r="A177" s="157">
        <v>600.0</v>
      </c>
      <c r="B177" s="169" t="s">
        <v>722</v>
      </c>
      <c r="C177" s="169" t="s">
        <v>7296</v>
      </c>
      <c r="D177" s="159">
        <v>43084.0</v>
      </c>
      <c r="E177" s="157" t="s">
        <v>2</v>
      </c>
      <c r="F177" s="160">
        <v>41101.5</v>
      </c>
      <c r="G177" s="160">
        <f t="shared" si="18"/>
        <v>6576.24</v>
      </c>
      <c r="H177" s="160">
        <f t="shared" si="19"/>
        <v>47677.74</v>
      </c>
      <c r="I177" s="160"/>
      <c r="J177" s="161"/>
      <c r="K177" s="160"/>
      <c r="L177" s="160">
        <f>+'FACUS$'!$H177-'FACUS$'!$I177-'FACUS$'!$K177</f>
        <v>47677.74</v>
      </c>
      <c r="M177" s="157" t="s">
        <v>93</v>
      </c>
      <c r="N177" s="162" t="s">
        <v>554</v>
      </c>
      <c r="O177" s="332">
        <v>42747.0</v>
      </c>
      <c r="P177" s="164" t="str">
        <f t="array" ref="P177">XLOOKUP('FACUS$'!$B177,'perfil de pagos'!$A$4:$A$46,'perfil de pagos'!$C$4:$C$46+'FACUS$'!$D177)</f>
        <v>#N/A</v>
      </c>
      <c r="Q177" s="165">
        <f t="shared" si="2"/>
        <v>0</v>
      </c>
      <c r="R177" s="171"/>
      <c r="S177" s="171"/>
      <c r="T177" s="171"/>
      <c r="U177" s="333" t="s">
        <v>7271</v>
      </c>
      <c r="V177" s="168">
        <f t="shared" si="3"/>
        <v>47677.74</v>
      </c>
      <c r="W177" s="168">
        <f t="shared" si="4"/>
        <v>0</v>
      </c>
      <c r="X177" s="168">
        <f t="shared" si="5"/>
        <v>0</v>
      </c>
      <c r="Y177" s="168">
        <f t="shared" si="6"/>
        <v>0</v>
      </c>
      <c r="Z177" s="168">
        <f t="shared" si="7"/>
        <v>0</v>
      </c>
      <c r="AA177" s="168">
        <f t="shared" si="8"/>
        <v>0</v>
      </c>
      <c r="AB177" s="168">
        <f t="shared" si="9"/>
        <v>0</v>
      </c>
    </row>
    <row r="178" ht="14.25" customHeight="1">
      <c r="A178" s="157">
        <v>604.0</v>
      </c>
      <c r="B178" s="170" t="s">
        <v>720</v>
      </c>
      <c r="C178" s="169" t="s">
        <v>794</v>
      </c>
      <c r="D178" s="159">
        <v>43084.0</v>
      </c>
      <c r="E178" s="157" t="s">
        <v>2</v>
      </c>
      <c r="F178" s="160">
        <v>44974.86</v>
      </c>
      <c r="G178" s="160">
        <f t="shared" si="18"/>
        <v>7195.9776</v>
      </c>
      <c r="H178" s="160">
        <f t="shared" si="19"/>
        <v>52170.8376</v>
      </c>
      <c r="I178" s="160"/>
      <c r="J178" s="161"/>
      <c r="K178" s="160"/>
      <c r="L178" s="160">
        <f>+'FACUS$'!$H178-'FACUS$'!$I178-'FACUS$'!$K178</f>
        <v>52170.8376</v>
      </c>
      <c r="M178" s="157" t="s">
        <v>777</v>
      </c>
      <c r="N178" s="162" t="s">
        <v>554</v>
      </c>
      <c r="O178" s="332">
        <v>42754.0</v>
      </c>
      <c r="P178" s="164" t="str">
        <f t="array" ref="P178">XLOOKUP('FACUS$'!$B178,'perfil de pagos'!$A$4:$A$46,'perfil de pagos'!$C$4:$C$46+'FACUS$'!$D178)</f>
        <v>#N/A</v>
      </c>
      <c r="Q178" s="165">
        <f t="shared" si="2"/>
        <v>0</v>
      </c>
      <c r="R178" s="171"/>
      <c r="S178" s="171"/>
      <c r="T178" s="171"/>
      <c r="U178" s="333" t="s">
        <v>7271</v>
      </c>
      <c r="V178" s="168">
        <f t="shared" si="3"/>
        <v>52170.8376</v>
      </c>
      <c r="W178" s="168">
        <f t="shared" si="4"/>
        <v>0</v>
      </c>
      <c r="X178" s="168">
        <f t="shared" si="5"/>
        <v>0</v>
      </c>
      <c r="Y178" s="168">
        <f t="shared" si="6"/>
        <v>0</v>
      </c>
      <c r="Z178" s="168">
        <f t="shared" si="7"/>
        <v>0</v>
      </c>
      <c r="AA178" s="168">
        <f t="shared" si="8"/>
        <v>0</v>
      </c>
      <c r="AB178" s="168">
        <f t="shared" si="9"/>
        <v>0</v>
      </c>
    </row>
    <row r="179" ht="14.25" customHeight="1">
      <c r="A179" s="157">
        <v>606.0</v>
      </c>
      <c r="B179" s="169" t="s">
        <v>70</v>
      </c>
      <c r="C179" s="169" t="s">
        <v>759</v>
      </c>
      <c r="D179" s="159">
        <v>43084.0</v>
      </c>
      <c r="E179" s="157" t="s">
        <v>2</v>
      </c>
      <c r="F179" s="160">
        <v>28282.5</v>
      </c>
      <c r="G179" s="160">
        <f t="shared" si="18"/>
        <v>4525.2</v>
      </c>
      <c r="H179" s="160">
        <f t="shared" si="19"/>
        <v>32807.7</v>
      </c>
      <c r="I179" s="160"/>
      <c r="J179" s="161"/>
      <c r="K179" s="160"/>
      <c r="L179" s="160">
        <f>+'FACUS$'!$H179-'FACUS$'!$I179-'FACUS$'!$K179</f>
        <v>32807.7</v>
      </c>
      <c r="M179" s="157" t="s">
        <v>719</v>
      </c>
      <c r="N179" s="162" t="s">
        <v>554</v>
      </c>
      <c r="O179" s="332">
        <v>42748.0</v>
      </c>
      <c r="P179" s="164" t="str">
        <f t="array" ref="P179">XLOOKUP('FACUS$'!$B179,'perfil de pagos'!$A$4:$A$46,'perfil de pagos'!$C$4:$C$46+'FACUS$'!$D179)</f>
        <v>#N/A</v>
      </c>
      <c r="Q179" s="165">
        <f t="shared" si="2"/>
        <v>0</v>
      </c>
      <c r="R179" s="171"/>
      <c r="S179" s="171"/>
      <c r="T179" s="171"/>
      <c r="U179" s="333" t="s">
        <v>7271</v>
      </c>
      <c r="V179" s="168">
        <f t="shared" si="3"/>
        <v>32807.7</v>
      </c>
      <c r="W179" s="168">
        <f t="shared" si="4"/>
        <v>0</v>
      </c>
      <c r="X179" s="168">
        <f t="shared" si="5"/>
        <v>0</v>
      </c>
      <c r="Y179" s="168">
        <f t="shared" si="6"/>
        <v>0</v>
      </c>
      <c r="Z179" s="168">
        <f t="shared" si="7"/>
        <v>0</v>
      </c>
      <c r="AA179" s="168">
        <f t="shared" si="8"/>
        <v>0</v>
      </c>
      <c r="AB179" s="168">
        <f t="shared" si="9"/>
        <v>0</v>
      </c>
    </row>
    <row r="180" ht="14.25" customHeight="1">
      <c r="A180" s="157">
        <v>607.0</v>
      </c>
      <c r="B180" s="169" t="s">
        <v>70</v>
      </c>
      <c r="C180" s="169" t="s">
        <v>759</v>
      </c>
      <c r="D180" s="159">
        <v>43084.0</v>
      </c>
      <c r="E180" s="157" t="s">
        <v>2</v>
      </c>
      <c r="F180" s="160">
        <v>69322.5</v>
      </c>
      <c r="G180" s="160">
        <f t="shared" si="18"/>
        <v>11091.6</v>
      </c>
      <c r="H180" s="160">
        <f t="shared" si="19"/>
        <v>80414.1</v>
      </c>
      <c r="I180" s="160"/>
      <c r="J180" s="161"/>
      <c r="K180" s="160"/>
      <c r="L180" s="160">
        <f>+'FACUS$'!$H180-'FACUS$'!$I180-'FACUS$'!$K180</f>
        <v>80414.1</v>
      </c>
      <c r="M180" s="157" t="s">
        <v>719</v>
      </c>
      <c r="N180" s="162" t="s">
        <v>127</v>
      </c>
      <c r="O180" s="332" t="s">
        <v>7313</v>
      </c>
      <c r="P180" s="164" t="str">
        <f t="array" ref="P180">XLOOKUP('FACUS$'!$B180,'perfil de pagos'!$A$4:$A$46,'perfil de pagos'!$C$4:$C$46+'FACUS$'!$D180)</f>
        <v>#N/A</v>
      </c>
      <c r="Q180" s="165" t="str">
        <f t="shared" si="2"/>
        <v>N/A</v>
      </c>
      <c r="R180" s="171"/>
      <c r="S180" s="171"/>
      <c r="T180" s="171"/>
      <c r="U180" s="333" t="s">
        <v>7271</v>
      </c>
      <c r="V180" s="168">
        <f t="shared" si="3"/>
        <v>0</v>
      </c>
      <c r="W180" s="168">
        <f t="shared" si="4"/>
        <v>0</v>
      </c>
      <c r="X180" s="168">
        <f t="shared" si="5"/>
        <v>0</v>
      </c>
      <c r="Y180" s="168">
        <f t="shared" si="6"/>
        <v>0</v>
      </c>
      <c r="Z180" s="168">
        <f t="shared" si="7"/>
        <v>0</v>
      </c>
      <c r="AA180" s="168">
        <f t="shared" si="8"/>
        <v>0</v>
      </c>
      <c r="AB180" s="168">
        <f t="shared" si="9"/>
        <v>80414.1</v>
      </c>
    </row>
    <row r="181" ht="14.25" customHeight="1">
      <c r="A181" s="157">
        <v>612.0</v>
      </c>
      <c r="B181" s="169" t="s">
        <v>37</v>
      </c>
      <c r="C181" s="169" t="s">
        <v>759</v>
      </c>
      <c r="D181" s="159">
        <v>43070.0</v>
      </c>
      <c r="E181" s="157" t="s">
        <v>2</v>
      </c>
      <c r="F181" s="160">
        <v>66267.74</v>
      </c>
      <c r="G181" s="160">
        <f t="shared" si="18"/>
        <v>10602.8384</v>
      </c>
      <c r="H181" s="160">
        <f t="shared" si="19"/>
        <v>76870.5784</v>
      </c>
      <c r="I181" s="160"/>
      <c r="J181" s="161"/>
      <c r="K181" s="160"/>
      <c r="L181" s="160">
        <f>+'FACUS$'!$H181-'FACUS$'!$I181-'FACUS$'!$K181</f>
        <v>76870.5784</v>
      </c>
      <c r="M181" s="157" t="s">
        <v>116</v>
      </c>
      <c r="N181" s="157" t="s">
        <v>751</v>
      </c>
      <c r="O181" s="332"/>
      <c r="P181" s="164">
        <f t="array" ref="P181">XLOOKUP('FACUS$'!$B181,'perfil de pagos'!$A$4:$A$46,'perfil de pagos'!$C$4:$C$46+'FACUS$'!$D181)</f>
        <v>43080</v>
      </c>
      <c r="Q181" s="165" t="b">
        <f t="shared" si="2"/>
        <v>0</v>
      </c>
      <c r="R181" s="171"/>
      <c r="S181" s="171"/>
      <c r="T181" s="171"/>
      <c r="U181" s="333" t="s">
        <v>7271</v>
      </c>
      <c r="V181" s="168">
        <f t="shared" si="3"/>
        <v>0</v>
      </c>
      <c r="W181" s="168">
        <f t="shared" si="4"/>
        <v>0</v>
      </c>
      <c r="X181" s="168">
        <f t="shared" si="5"/>
        <v>0</v>
      </c>
      <c r="Y181" s="168">
        <f t="shared" si="6"/>
        <v>0</v>
      </c>
      <c r="Z181" s="168">
        <f t="shared" si="7"/>
        <v>0</v>
      </c>
      <c r="AA181" s="168">
        <f t="shared" si="8"/>
        <v>0</v>
      </c>
      <c r="AB181" s="168">
        <f t="shared" si="9"/>
        <v>76870.5784</v>
      </c>
    </row>
    <row r="182" ht="14.25" customHeight="1">
      <c r="A182" s="157">
        <v>614.0</v>
      </c>
      <c r="B182" s="169" t="s">
        <v>37</v>
      </c>
      <c r="C182" s="169" t="s">
        <v>759</v>
      </c>
      <c r="D182" s="159">
        <v>43084.0</v>
      </c>
      <c r="E182" s="157" t="s">
        <v>2</v>
      </c>
      <c r="F182" s="160">
        <v>74493.21</v>
      </c>
      <c r="G182" s="160">
        <f t="shared" si="18"/>
        <v>11918.9136</v>
      </c>
      <c r="H182" s="160">
        <f t="shared" si="19"/>
        <v>86412.1236</v>
      </c>
      <c r="I182" s="160"/>
      <c r="J182" s="161"/>
      <c r="K182" s="160"/>
      <c r="L182" s="160">
        <f>+'FACUS$'!$H182-'FACUS$'!$I182-'FACUS$'!$K182</f>
        <v>86412.1236</v>
      </c>
      <c r="M182" s="157" t="s">
        <v>116</v>
      </c>
      <c r="N182" s="162" t="s">
        <v>554</v>
      </c>
      <c r="O182" s="332">
        <v>42830.0</v>
      </c>
      <c r="P182" s="164">
        <f t="array" ref="P182">XLOOKUP('FACUS$'!$B182,'perfil de pagos'!$A$4:$A$46,'perfil de pagos'!$C$4:$C$46+'FACUS$'!$D182)</f>
        <v>43094</v>
      </c>
      <c r="Q182" s="165">
        <f t="shared" si="2"/>
        <v>0</v>
      </c>
      <c r="R182" s="171"/>
      <c r="S182" s="171"/>
      <c r="T182" s="171"/>
      <c r="U182" s="333" t="s">
        <v>7271</v>
      </c>
      <c r="V182" s="168">
        <f t="shared" si="3"/>
        <v>86412.1236</v>
      </c>
      <c r="W182" s="168">
        <f t="shared" si="4"/>
        <v>0</v>
      </c>
      <c r="X182" s="168">
        <f t="shared" si="5"/>
        <v>0</v>
      </c>
      <c r="Y182" s="168">
        <f t="shared" si="6"/>
        <v>0</v>
      </c>
      <c r="Z182" s="168">
        <f t="shared" si="7"/>
        <v>0</v>
      </c>
      <c r="AA182" s="168">
        <f t="shared" si="8"/>
        <v>0</v>
      </c>
      <c r="AB182" s="168">
        <f t="shared" si="9"/>
        <v>0</v>
      </c>
    </row>
    <row r="183" ht="14.25" customHeight="1">
      <c r="A183" s="157">
        <v>617.0</v>
      </c>
      <c r="B183" s="169" t="s">
        <v>720</v>
      </c>
      <c r="C183" s="169" t="s">
        <v>794</v>
      </c>
      <c r="D183" s="159">
        <v>43084.0</v>
      </c>
      <c r="E183" s="157" t="s">
        <v>2</v>
      </c>
      <c r="F183" s="160">
        <v>44974.86</v>
      </c>
      <c r="G183" s="160">
        <f t="shared" si="18"/>
        <v>7195.9776</v>
      </c>
      <c r="H183" s="160">
        <f t="shared" si="19"/>
        <v>52170.8376</v>
      </c>
      <c r="I183" s="160"/>
      <c r="J183" s="161"/>
      <c r="K183" s="160"/>
      <c r="L183" s="160">
        <f>+'FACUS$'!$H183-'FACUS$'!$I183-'FACUS$'!$K183</f>
        <v>52170.8376</v>
      </c>
      <c r="M183" s="157" t="s">
        <v>777</v>
      </c>
      <c r="N183" s="162" t="s">
        <v>554</v>
      </c>
      <c r="O183" s="332">
        <v>42752.0</v>
      </c>
      <c r="P183" s="164" t="str">
        <f t="array" ref="P183">XLOOKUP('FACUS$'!$B183,'perfil de pagos'!$A$4:$A$46,'perfil de pagos'!$C$4:$C$46+'FACUS$'!$D183)</f>
        <v>#N/A</v>
      </c>
      <c r="Q183" s="165">
        <f t="shared" si="2"/>
        <v>0</v>
      </c>
      <c r="R183" s="171"/>
      <c r="S183" s="171"/>
      <c r="T183" s="171"/>
      <c r="U183" s="333" t="s">
        <v>7271</v>
      </c>
      <c r="V183" s="168">
        <f t="shared" si="3"/>
        <v>52170.8376</v>
      </c>
      <c r="W183" s="168">
        <f t="shared" si="4"/>
        <v>0</v>
      </c>
      <c r="X183" s="168">
        <f t="shared" si="5"/>
        <v>0</v>
      </c>
      <c r="Y183" s="168">
        <f t="shared" si="6"/>
        <v>0</v>
      </c>
      <c r="Z183" s="168">
        <f t="shared" si="7"/>
        <v>0</v>
      </c>
      <c r="AA183" s="168">
        <f t="shared" si="8"/>
        <v>0</v>
      </c>
      <c r="AB183" s="168">
        <f t="shared" si="9"/>
        <v>0</v>
      </c>
    </row>
    <row r="184" ht="14.25" customHeight="1">
      <c r="A184" s="157">
        <v>621.0</v>
      </c>
      <c r="B184" s="169" t="s">
        <v>70</v>
      </c>
      <c r="C184" s="169" t="s">
        <v>759</v>
      </c>
      <c r="D184" s="159">
        <v>42736.0</v>
      </c>
      <c r="E184" s="157" t="s">
        <v>2</v>
      </c>
      <c r="F184" s="160">
        <v>40402.5</v>
      </c>
      <c r="G184" s="160">
        <v>6464.4</v>
      </c>
      <c r="H184" s="179">
        <f t="shared" si="19"/>
        <v>46866.9</v>
      </c>
      <c r="I184" s="173"/>
      <c r="J184" s="170"/>
      <c r="K184" s="173"/>
      <c r="L184" s="173">
        <f>+'FACUS$'!$H184-'FACUS$'!$I184-'FACUS$'!$K184</f>
        <v>46866.9</v>
      </c>
      <c r="M184" s="157" t="s">
        <v>719</v>
      </c>
      <c r="N184" s="162" t="s">
        <v>554</v>
      </c>
      <c r="O184" s="332">
        <v>42765.0</v>
      </c>
      <c r="P184" s="164" t="str">
        <f t="array" ref="P184">XLOOKUP('FACUS$'!$B184,'perfil de pagos'!$A$4:$A$46,'perfil de pagos'!$C$4:$C$46+'FACUS$'!$D184)</f>
        <v>#N/A</v>
      </c>
      <c r="Q184" s="165">
        <f t="shared" si="2"/>
        <v>0</v>
      </c>
      <c r="R184" s="166" t="s">
        <v>783</v>
      </c>
      <c r="S184" s="171"/>
      <c r="T184" s="171"/>
      <c r="U184" s="333" t="s">
        <v>7271</v>
      </c>
      <c r="V184" s="168">
        <f t="shared" si="3"/>
        <v>46866.9</v>
      </c>
      <c r="W184" s="168">
        <f t="shared" si="4"/>
        <v>0</v>
      </c>
      <c r="X184" s="168">
        <f t="shared" si="5"/>
        <v>0</v>
      </c>
      <c r="Y184" s="168">
        <f t="shared" si="6"/>
        <v>0</v>
      </c>
      <c r="Z184" s="168">
        <f t="shared" si="7"/>
        <v>0</v>
      </c>
      <c r="AA184" s="168">
        <f t="shared" si="8"/>
        <v>0</v>
      </c>
      <c r="AB184" s="168">
        <f t="shared" si="9"/>
        <v>0</v>
      </c>
    </row>
    <row r="185" ht="14.25" customHeight="1">
      <c r="A185" s="157">
        <v>623.0</v>
      </c>
      <c r="B185" s="169" t="s">
        <v>720</v>
      </c>
      <c r="C185" s="169" t="s">
        <v>794</v>
      </c>
      <c r="D185" s="159">
        <v>42736.0</v>
      </c>
      <c r="E185" s="157" t="s">
        <v>2</v>
      </c>
      <c r="F185" s="160">
        <v>43189.92</v>
      </c>
      <c r="G185" s="160">
        <v>6910.39</v>
      </c>
      <c r="H185" s="160">
        <f t="shared" si="19"/>
        <v>50100.31</v>
      </c>
      <c r="I185" s="160"/>
      <c r="J185" s="161"/>
      <c r="K185" s="160"/>
      <c r="L185" s="160">
        <f>+'FACUS$'!$H185-'FACUS$'!$I185-'FACUS$'!$K185</f>
        <v>50100.31</v>
      </c>
      <c r="M185" s="157" t="s">
        <v>777</v>
      </c>
      <c r="N185" s="162" t="s">
        <v>554</v>
      </c>
      <c r="O185" s="332"/>
      <c r="P185" s="164" t="str">
        <f t="array" ref="P185">XLOOKUP('FACUS$'!$B185,'perfil de pagos'!$A$4:$A$46,'perfil de pagos'!$C$4:$C$46+'FACUS$'!$D185)</f>
        <v>#N/A</v>
      </c>
      <c r="Q185" s="165">
        <f t="shared" si="2"/>
        <v>0</v>
      </c>
      <c r="R185" s="171"/>
      <c r="S185" s="171"/>
      <c r="T185" s="171"/>
      <c r="U185" s="333" t="s">
        <v>7271</v>
      </c>
      <c r="V185" s="168">
        <f t="shared" si="3"/>
        <v>50100.31</v>
      </c>
      <c r="W185" s="168">
        <f t="shared" si="4"/>
        <v>0</v>
      </c>
      <c r="X185" s="168">
        <f t="shared" si="5"/>
        <v>0</v>
      </c>
      <c r="Y185" s="168">
        <f t="shared" si="6"/>
        <v>0</v>
      </c>
      <c r="Z185" s="168">
        <f t="shared" si="7"/>
        <v>0</v>
      </c>
      <c r="AA185" s="168">
        <f t="shared" si="8"/>
        <v>0</v>
      </c>
      <c r="AB185" s="168">
        <f t="shared" si="9"/>
        <v>0</v>
      </c>
    </row>
    <row r="186" ht="14.25" customHeight="1">
      <c r="A186" s="157">
        <v>625.0</v>
      </c>
      <c r="B186" s="170" t="s">
        <v>722</v>
      </c>
      <c r="C186" s="169" t="s">
        <v>7296</v>
      </c>
      <c r="D186" s="159">
        <v>42736.0</v>
      </c>
      <c r="E186" s="157" t="s">
        <v>2</v>
      </c>
      <c r="F186" s="160">
        <v>120632.39</v>
      </c>
      <c r="G186" s="160">
        <f>+F186*0.16</f>
        <v>19301.1824</v>
      </c>
      <c r="H186" s="160">
        <f t="shared" si="19"/>
        <v>139933.5724</v>
      </c>
      <c r="I186" s="160"/>
      <c r="J186" s="161"/>
      <c r="K186" s="160"/>
      <c r="L186" s="160">
        <f>+'FACUS$'!$H186-'FACUS$'!$I186-'FACUS$'!$K186</f>
        <v>139933.5724</v>
      </c>
      <c r="M186" s="157" t="s">
        <v>93</v>
      </c>
      <c r="N186" s="162" t="s">
        <v>554</v>
      </c>
      <c r="O186" s="332">
        <v>42761.0</v>
      </c>
      <c r="P186" s="164" t="str">
        <f t="array" ref="P186">XLOOKUP('FACUS$'!$B186,'perfil de pagos'!$A$4:$A$46,'perfil de pagos'!$C$4:$C$46+'FACUS$'!$D186)</f>
        <v>#N/A</v>
      </c>
      <c r="Q186" s="165">
        <f t="shared" si="2"/>
        <v>0</v>
      </c>
      <c r="R186" s="171"/>
      <c r="S186" s="171"/>
      <c r="T186" s="171"/>
      <c r="U186" s="333" t="s">
        <v>7271</v>
      </c>
      <c r="V186" s="168">
        <f t="shared" si="3"/>
        <v>139933.5724</v>
      </c>
      <c r="W186" s="168">
        <f t="shared" si="4"/>
        <v>0</v>
      </c>
      <c r="X186" s="168">
        <f t="shared" si="5"/>
        <v>0</v>
      </c>
      <c r="Y186" s="168">
        <f t="shared" si="6"/>
        <v>0</v>
      </c>
      <c r="Z186" s="168">
        <f t="shared" si="7"/>
        <v>0</v>
      </c>
      <c r="AA186" s="168">
        <f t="shared" si="8"/>
        <v>0</v>
      </c>
      <c r="AB186" s="168">
        <f t="shared" si="9"/>
        <v>0</v>
      </c>
    </row>
    <row r="187" ht="14.25" customHeight="1">
      <c r="A187" s="157">
        <v>627.0</v>
      </c>
      <c r="B187" s="169" t="s">
        <v>37</v>
      </c>
      <c r="C187" s="169" t="s">
        <v>759</v>
      </c>
      <c r="D187" s="159">
        <v>42736.0</v>
      </c>
      <c r="E187" s="157" t="s">
        <v>2</v>
      </c>
      <c r="F187" s="160">
        <v>84480.99</v>
      </c>
      <c r="G187" s="160">
        <v>13516.96</v>
      </c>
      <c r="H187" s="160">
        <f t="shared" si="19"/>
        <v>97997.95</v>
      </c>
      <c r="I187" s="160"/>
      <c r="J187" s="161"/>
      <c r="K187" s="160"/>
      <c r="L187" s="160">
        <f>+'FACUS$'!$H187-'FACUS$'!$I187-'FACUS$'!$K187</f>
        <v>97997.95</v>
      </c>
      <c r="M187" s="157" t="s">
        <v>718</v>
      </c>
      <c r="N187" s="162" t="s">
        <v>554</v>
      </c>
      <c r="O187" s="332">
        <v>42774.0</v>
      </c>
      <c r="P187" s="164">
        <f t="array" ref="P187">XLOOKUP('FACUS$'!$B187,'perfil de pagos'!$A$4:$A$46,'perfil de pagos'!$C$4:$C$46+'FACUS$'!$D187)</f>
        <v>42746</v>
      </c>
      <c r="Q187" s="165">
        <f t="shared" si="2"/>
        <v>0</v>
      </c>
      <c r="R187" s="171"/>
      <c r="S187" s="171"/>
      <c r="T187" s="171"/>
      <c r="U187" s="333" t="s">
        <v>7271</v>
      </c>
      <c r="V187" s="168">
        <f t="shared" si="3"/>
        <v>97997.95</v>
      </c>
      <c r="W187" s="168">
        <f t="shared" si="4"/>
        <v>0</v>
      </c>
      <c r="X187" s="168">
        <f t="shared" si="5"/>
        <v>0</v>
      </c>
      <c r="Y187" s="168">
        <f t="shared" si="6"/>
        <v>0</v>
      </c>
      <c r="Z187" s="168">
        <f t="shared" si="7"/>
        <v>0</v>
      </c>
      <c r="AA187" s="168">
        <f t="shared" si="8"/>
        <v>0</v>
      </c>
      <c r="AB187" s="168">
        <f t="shared" si="9"/>
        <v>0</v>
      </c>
    </row>
    <row r="188" ht="14.25" customHeight="1">
      <c r="A188" s="157">
        <v>630.0</v>
      </c>
      <c r="B188" s="169" t="s">
        <v>82</v>
      </c>
      <c r="C188" s="170" t="s">
        <v>7314</v>
      </c>
      <c r="D188" s="159">
        <v>42766.0</v>
      </c>
      <c r="E188" s="157" t="s">
        <v>2</v>
      </c>
      <c r="F188" s="160">
        <v>10553.9</v>
      </c>
      <c r="G188" s="160">
        <v>1688.62</v>
      </c>
      <c r="H188" s="160">
        <f t="shared" si="19"/>
        <v>12242.52</v>
      </c>
      <c r="I188" s="160"/>
      <c r="J188" s="161"/>
      <c r="K188" s="160"/>
      <c r="L188" s="160">
        <f>+'FACUS$'!$H188-'FACUS$'!$I188-'FACUS$'!$K188</f>
        <v>12242.52</v>
      </c>
      <c r="M188" s="157" t="s">
        <v>714</v>
      </c>
      <c r="N188" s="162" t="s">
        <v>554</v>
      </c>
      <c r="O188" s="332">
        <v>43132.0</v>
      </c>
      <c r="P188" s="164" t="str">
        <f t="array" ref="P188">XLOOKUP('FACUS$'!$B188,'perfil de pagos'!$A$4:$A$46,'perfil de pagos'!$C$4:$C$46+'FACUS$'!$D188)</f>
        <v>#N/A</v>
      </c>
      <c r="Q188" s="165">
        <f t="shared" si="2"/>
        <v>0</v>
      </c>
      <c r="R188" s="171"/>
      <c r="S188" s="171"/>
      <c r="T188" s="171"/>
      <c r="U188" s="333" t="s">
        <v>7271</v>
      </c>
      <c r="V188" s="168">
        <f t="shared" si="3"/>
        <v>12242.52</v>
      </c>
      <c r="W188" s="168">
        <f t="shared" si="4"/>
        <v>0</v>
      </c>
      <c r="X188" s="168">
        <f t="shared" si="5"/>
        <v>0</v>
      </c>
      <c r="Y188" s="168">
        <f t="shared" si="6"/>
        <v>0</v>
      </c>
      <c r="Z188" s="168">
        <f t="shared" si="7"/>
        <v>0</v>
      </c>
      <c r="AA188" s="168">
        <f t="shared" si="8"/>
        <v>0</v>
      </c>
      <c r="AB188" s="168">
        <f t="shared" si="9"/>
        <v>0</v>
      </c>
    </row>
    <row r="189" ht="14.25" customHeight="1">
      <c r="A189" s="157">
        <v>635.0</v>
      </c>
      <c r="B189" s="169" t="s">
        <v>70</v>
      </c>
      <c r="C189" s="169" t="s">
        <v>759</v>
      </c>
      <c r="D189" s="159">
        <v>42750.0</v>
      </c>
      <c r="E189" s="157" t="s">
        <v>2</v>
      </c>
      <c r="F189" s="160">
        <v>73717.5</v>
      </c>
      <c r="G189" s="160">
        <v>11794.8</v>
      </c>
      <c r="H189" s="160">
        <f t="shared" si="19"/>
        <v>85512.3</v>
      </c>
      <c r="I189" s="160"/>
      <c r="J189" s="161"/>
      <c r="K189" s="160"/>
      <c r="L189" s="160">
        <f>+'FACUS$'!$H189-'FACUS$'!$I189-'FACUS$'!$K189</f>
        <v>85512.3</v>
      </c>
      <c r="M189" s="157" t="s">
        <v>753</v>
      </c>
      <c r="N189" s="162" t="s">
        <v>554</v>
      </c>
      <c r="O189" s="332">
        <v>42779.0</v>
      </c>
      <c r="P189" s="164" t="str">
        <f t="array" ref="P189">XLOOKUP('FACUS$'!$B189,'perfil de pagos'!$A$4:$A$46,'perfil de pagos'!$C$4:$C$46+'FACUS$'!$D189)</f>
        <v>#N/A</v>
      </c>
      <c r="Q189" s="165">
        <f t="shared" si="2"/>
        <v>0</v>
      </c>
      <c r="R189" s="171"/>
      <c r="S189" s="171"/>
      <c r="T189" s="171"/>
      <c r="U189" s="333" t="s">
        <v>7271</v>
      </c>
      <c r="V189" s="168">
        <f t="shared" si="3"/>
        <v>85512.3</v>
      </c>
      <c r="W189" s="168">
        <f t="shared" si="4"/>
        <v>0</v>
      </c>
      <c r="X189" s="168">
        <f t="shared" si="5"/>
        <v>0</v>
      </c>
      <c r="Y189" s="168">
        <f t="shared" si="6"/>
        <v>0</v>
      </c>
      <c r="Z189" s="168">
        <f t="shared" si="7"/>
        <v>0</v>
      </c>
      <c r="AA189" s="168">
        <f t="shared" si="8"/>
        <v>0</v>
      </c>
      <c r="AB189" s="168">
        <f t="shared" si="9"/>
        <v>0</v>
      </c>
    </row>
    <row r="190" ht="14.25" customHeight="1">
      <c r="A190" s="157">
        <v>636.0</v>
      </c>
      <c r="B190" s="169" t="s">
        <v>70</v>
      </c>
      <c r="C190" s="169" t="s">
        <v>759</v>
      </c>
      <c r="D190" s="159">
        <v>42750.0</v>
      </c>
      <c r="E190" s="157" t="s">
        <v>2</v>
      </c>
      <c r="F190" s="160">
        <v>21172.5</v>
      </c>
      <c r="G190" s="160">
        <v>3387.6</v>
      </c>
      <c r="H190" s="160">
        <f t="shared" si="19"/>
        <v>24560.1</v>
      </c>
      <c r="I190" s="160"/>
      <c r="J190" s="161"/>
      <c r="K190" s="160"/>
      <c r="L190" s="160">
        <f>+'FACUS$'!$H190-'FACUS$'!$I190-'FACUS$'!$K190</f>
        <v>24560.1</v>
      </c>
      <c r="M190" s="157" t="s">
        <v>753</v>
      </c>
      <c r="N190" s="162" t="s">
        <v>554</v>
      </c>
      <c r="O190" s="332" t="s">
        <v>7315</v>
      </c>
      <c r="P190" s="164" t="str">
        <f t="array" ref="P190">XLOOKUP('FACUS$'!$B190,'perfil de pagos'!$A$4:$A$46,'perfil de pagos'!$C$4:$C$46+'FACUS$'!$D190)</f>
        <v>#N/A</v>
      </c>
      <c r="Q190" s="165">
        <f t="shared" si="2"/>
        <v>0</v>
      </c>
      <c r="R190" s="171"/>
      <c r="S190" s="171"/>
      <c r="T190" s="171"/>
      <c r="U190" s="333" t="s">
        <v>7271</v>
      </c>
      <c r="V190" s="168">
        <f t="shared" si="3"/>
        <v>24560.1</v>
      </c>
      <c r="W190" s="168">
        <f t="shared" si="4"/>
        <v>0</v>
      </c>
      <c r="X190" s="168">
        <f t="shared" si="5"/>
        <v>0</v>
      </c>
      <c r="Y190" s="168">
        <f t="shared" si="6"/>
        <v>0</v>
      </c>
      <c r="Z190" s="168">
        <f t="shared" si="7"/>
        <v>0</v>
      </c>
      <c r="AA190" s="168">
        <f t="shared" si="8"/>
        <v>0</v>
      </c>
      <c r="AB190" s="168">
        <f t="shared" si="9"/>
        <v>0</v>
      </c>
    </row>
    <row r="191" ht="14.25" customHeight="1">
      <c r="A191" s="157">
        <v>640.0</v>
      </c>
      <c r="B191" s="169" t="s">
        <v>722</v>
      </c>
      <c r="C191" s="169" t="s">
        <v>7296</v>
      </c>
      <c r="D191" s="159">
        <v>42750.0</v>
      </c>
      <c r="E191" s="157" t="s">
        <v>2</v>
      </c>
      <c r="F191" s="160">
        <v>151735.2</v>
      </c>
      <c r="G191" s="160">
        <v>24277.63</v>
      </c>
      <c r="H191" s="160">
        <f t="shared" si="19"/>
        <v>176012.83</v>
      </c>
      <c r="I191" s="160"/>
      <c r="J191" s="161"/>
      <c r="K191" s="160"/>
      <c r="L191" s="160">
        <f>+'FACUS$'!$H191-'FACUS$'!$I191-'FACUS$'!$K191</f>
        <v>176012.83</v>
      </c>
      <c r="M191" s="157" t="s">
        <v>93</v>
      </c>
      <c r="N191" s="162" t="s">
        <v>127</v>
      </c>
      <c r="O191" s="332"/>
      <c r="P191" s="164" t="str">
        <f t="array" ref="P191">XLOOKUP('FACUS$'!$B191,'perfil de pagos'!$A$4:$A$46,'perfil de pagos'!$C$4:$C$46+'FACUS$'!$D191)</f>
        <v>#N/A</v>
      </c>
      <c r="Q191" s="165" t="str">
        <f t="shared" si="2"/>
        <v>N/A</v>
      </c>
      <c r="R191" s="171"/>
      <c r="S191" s="171"/>
      <c r="T191" s="171"/>
      <c r="U191" s="333" t="s">
        <v>7271</v>
      </c>
      <c r="V191" s="168">
        <f t="shared" si="3"/>
        <v>0</v>
      </c>
      <c r="W191" s="168">
        <f t="shared" si="4"/>
        <v>0</v>
      </c>
      <c r="X191" s="168">
        <f t="shared" si="5"/>
        <v>0</v>
      </c>
      <c r="Y191" s="168">
        <f t="shared" si="6"/>
        <v>0</v>
      </c>
      <c r="Z191" s="168">
        <f t="shared" si="7"/>
        <v>0</v>
      </c>
      <c r="AA191" s="168">
        <f t="shared" si="8"/>
        <v>0</v>
      </c>
      <c r="AB191" s="168">
        <f t="shared" si="9"/>
        <v>176012.83</v>
      </c>
    </row>
    <row r="192" ht="14.25" customHeight="1">
      <c r="A192" s="157">
        <v>643.0</v>
      </c>
      <c r="B192" s="169" t="s">
        <v>720</v>
      </c>
      <c r="C192" s="170" t="s">
        <v>794</v>
      </c>
      <c r="D192" s="159">
        <v>42750.0</v>
      </c>
      <c r="E192" s="157" t="s">
        <v>2</v>
      </c>
      <c r="F192" s="160">
        <v>59989.2</v>
      </c>
      <c r="G192" s="160">
        <v>9598.27</v>
      </c>
      <c r="H192" s="160">
        <f t="shared" si="19"/>
        <v>69587.47</v>
      </c>
      <c r="I192" s="160"/>
      <c r="J192" s="161"/>
      <c r="K192" s="160"/>
      <c r="L192" s="160">
        <f>+'FACUS$'!$H192-'FACUS$'!$I192-'FACUS$'!$K192</f>
        <v>69587.47</v>
      </c>
      <c r="M192" s="157" t="s">
        <v>777</v>
      </c>
      <c r="N192" s="162" t="s">
        <v>554</v>
      </c>
      <c r="O192" s="332">
        <v>42782.0</v>
      </c>
      <c r="P192" s="164" t="str">
        <f t="array" ref="P192">XLOOKUP('FACUS$'!$B192,'perfil de pagos'!$A$4:$A$46,'perfil de pagos'!$C$4:$C$46+'FACUS$'!$D192)</f>
        <v>#N/A</v>
      </c>
      <c r="Q192" s="165">
        <f t="shared" si="2"/>
        <v>0</v>
      </c>
      <c r="R192" s="171"/>
      <c r="S192" s="171"/>
      <c r="T192" s="171"/>
      <c r="U192" s="333" t="s">
        <v>7271</v>
      </c>
      <c r="V192" s="168">
        <f t="shared" si="3"/>
        <v>69587.47</v>
      </c>
      <c r="W192" s="168">
        <f t="shared" si="4"/>
        <v>0</v>
      </c>
      <c r="X192" s="168">
        <f t="shared" si="5"/>
        <v>0</v>
      </c>
      <c r="Y192" s="168">
        <f t="shared" si="6"/>
        <v>0</v>
      </c>
      <c r="Z192" s="168">
        <f t="shared" si="7"/>
        <v>0</v>
      </c>
      <c r="AA192" s="168">
        <f t="shared" si="8"/>
        <v>0</v>
      </c>
      <c r="AB192" s="168">
        <f t="shared" si="9"/>
        <v>0</v>
      </c>
    </row>
    <row r="193" ht="14.25" customHeight="1">
      <c r="A193" s="157">
        <v>646.0</v>
      </c>
      <c r="B193" s="169" t="s">
        <v>37</v>
      </c>
      <c r="C193" s="169" t="s">
        <v>759</v>
      </c>
      <c r="D193" s="159">
        <v>42750.0</v>
      </c>
      <c r="E193" s="157" t="s">
        <v>2</v>
      </c>
      <c r="F193" s="160">
        <v>89576.63</v>
      </c>
      <c r="G193" s="160">
        <v>14332.26</v>
      </c>
      <c r="H193" s="160">
        <f t="shared" si="19"/>
        <v>103908.89</v>
      </c>
      <c r="I193" s="160"/>
      <c r="J193" s="161"/>
      <c r="K193" s="160"/>
      <c r="L193" s="160">
        <f>+'FACUS$'!$H193-'FACUS$'!$I193-'FACUS$'!$K193</f>
        <v>103908.89</v>
      </c>
      <c r="M193" s="157" t="s">
        <v>718</v>
      </c>
      <c r="N193" s="162" t="s">
        <v>554</v>
      </c>
      <c r="O193" s="332">
        <v>42787.0</v>
      </c>
      <c r="P193" s="164">
        <f t="array" ref="P193">XLOOKUP('FACUS$'!$B193,'perfil de pagos'!$A$4:$A$46,'perfil de pagos'!$C$4:$C$46+'FACUS$'!$D193)</f>
        <v>42760</v>
      </c>
      <c r="Q193" s="165">
        <f t="shared" si="2"/>
        <v>0</v>
      </c>
      <c r="R193" s="171"/>
      <c r="S193" s="171"/>
      <c r="T193" s="171"/>
      <c r="U193" s="333" t="s">
        <v>7271</v>
      </c>
      <c r="V193" s="168">
        <f t="shared" si="3"/>
        <v>103908.89</v>
      </c>
      <c r="W193" s="168">
        <f t="shared" si="4"/>
        <v>0</v>
      </c>
      <c r="X193" s="168">
        <f t="shared" si="5"/>
        <v>0</v>
      </c>
      <c r="Y193" s="168">
        <f t="shared" si="6"/>
        <v>0</v>
      </c>
      <c r="Z193" s="168">
        <f t="shared" si="7"/>
        <v>0</v>
      </c>
      <c r="AA193" s="168">
        <f t="shared" si="8"/>
        <v>0</v>
      </c>
      <c r="AB193" s="168">
        <f t="shared" si="9"/>
        <v>0</v>
      </c>
    </row>
    <row r="194" ht="14.25" customHeight="1">
      <c r="A194" s="157">
        <v>649.0</v>
      </c>
      <c r="B194" s="169" t="s">
        <v>722</v>
      </c>
      <c r="C194" s="170" t="s">
        <v>7296</v>
      </c>
      <c r="D194" s="159">
        <v>42750.0</v>
      </c>
      <c r="E194" s="157" t="s">
        <v>2</v>
      </c>
      <c r="F194" s="160">
        <v>29703.58</v>
      </c>
      <c r="G194" s="160">
        <v>4752.57</v>
      </c>
      <c r="H194" s="160">
        <f t="shared" si="19"/>
        <v>34456.15</v>
      </c>
      <c r="I194" s="160"/>
      <c r="J194" s="161"/>
      <c r="K194" s="160"/>
      <c r="L194" s="160">
        <f>+'FACUS$'!$H194-'FACUS$'!$I194-'FACUS$'!$K194</f>
        <v>34456.15</v>
      </c>
      <c r="M194" s="157" t="s">
        <v>93</v>
      </c>
      <c r="N194" s="162" t="s">
        <v>554</v>
      </c>
      <c r="O194" s="332">
        <v>42775.0</v>
      </c>
      <c r="P194" s="164" t="str">
        <f t="array" ref="P194">XLOOKUP('FACUS$'!$B194,'perfil de pagos'!$A$4:$A$46,'perfil de pagos'!$C$4:$C$46+'FACUS$'!$D194)</f>
        <v>#N/A</v>
      </c>
      <c r="Q194" s="165">
        <f t="shared" si="2"/>
        <v>0</v>
      </c>
      <c r="R194" s="171"/>
      <c r="S194" s="171"/>
      <c r="T194" s="171"/>
      <c r="U194" s="333" t="s">
        <v>7271</v>
      </c>
      <c r="V194" s="168">
        <f t="shared" si="3"/>
        <v>34456.15</v>
      </c>
      <c r="W194" s="168">
        <f t="shared" si="4"/>
        <v>0</v>
      </c>
      <c r="X194" s="168">
        <f t="shared" si="5"/>
        <v>0</v>
      </c>
      <c r="Y194" s="168">
        <f t="shared" si="6"/>
        <v>0</v>
      </c>
      <c r="Z194" s="168">
        <f t="shared" si="7"/>
        <v>0</v>
      </c>
      <c r="AA194" s="168">
        <f t="shared" si="8"/>
        <v>0</v>
      </c>
      <c r="AB194" s="168">
        <f t="shared" si="9"/>
        <v>0</v>
      </c>
    </row>
    <row r="195" ht="14.25" customHeight="1">
      <c r="A195" s="157">
        <v>655.0</v>
      </c>
      <c r="B195" s="169" t="s">
        <v>720</v>
      </c>
      <c r="C195" s="169" t="s">
        <v>794</v>
      </c>
      <c r="D195" s="159">
        <v>42767.0</v>
      </c>
      <c r="E195" s="157" t="s">
        <v>2</v>
      </c>
      <c r="F195" s="160">
        <v>47931.18</v>
      </c>
      <c r="G195" s="160">
        <v>7668.99</v>
      </c>
      <c r="H195" s="160">
        <f t="shared" si="19"/>
        <v>55600.17</v>
      </c>
      <c r="I195" s="160"/>
      <c r="J195" s="161"/>
      <c r="K195" s="160"/>
      <c r="L195" s="160">
        <f>+'FACUS$'!$H195-'FACUS$'!$I195-'FACUS$'!$K195</f>
        <v>55600.17</v>
      </c>
      <c r="M195" s="157" t="s">
        <v>777</v>
      </c>
      <c r="N195" s="162" t="s">
        <v>127</v>
      </c>
      <c r="O195" s="332"/>
      <c r="P195" s="164" t="str">
        <f t="array" ref="P195">XLOOKUP('FACUS$'!$B195,'perfil de pagos'!$A$4:$A$46,'perfil de pagos'!$C$4:$C$46+'FACUS$'!$D195)</f>
        <v>#N/A</v>
      </c>
      <c r="Q195" s="165" t="str">
        <f t="shared" si="2"/>
        <v>N/A</v>
      </c>
      <c r="R195" s="171"/>
      <c r="S195" s="171"/>
      <c r="T195" s="171"/>
      <c r="U195" s="333" t="s">
        <v>7271</v>
      </c>
      <c r="V195" s="168">
        <f t="shared" si="3"/>
        <v>0</v>
      </c>
      <c r="W195" s="168">
        <f t="shared" si="4"/>
        <v>0</v>
      </c>
      <c r="X195" s="168">
        <f t="shared" si="5"/>
        <v>0</v>
      </c>
      <c r="Y195" s="168">
        <f t="shared" si="6"/>
        <v>0</v>
      </c>
      <c r="Z195" s="168">
        <f t="shared" si="7"/>
        <v>0</v>
      </c>
      <c r="AA195" s="168">
        <f t="shared" si="8"/>
        <v>0</v>
      </c>
      <c r="AB195" s="168">
        <f t="shared" si="9"/>
        <v>55600.17</v>
      </c>
    </row>
    <row r="196" ht="14.25" customHeight="1">
      <c r="A196" s="157">
        <v>657.0</v>
      </c>
      <c r="B196" s="169" t="s">
        <v>722</v>
      </c>
      <c r="C196" s="169" t="s">
        <v>7296</v>
      </c>
      <c r="D196" s="159">
        <v>42767.0</v>
      </c>
      <c r="E196" s="157" t="s">
        <v>2</v>
      </c>
      <c r="F196" s="160">
        <v>120632.39</v>
      </c>
      <c r="G196" s="160">
        <v>19301.18</v>
      </c>
      <c r="H196" s="160">
        <f t="shared" si="19"/>
        <v>139933.57</v>
      </c>
      <c r="I196" s="160"/>
      <c r="J196" s="161"/>
      <c r="K196" s="160"/>
      <c r="L196" s="160">
        <f>+'FACUS$'!$H196-'FACUS$'!$I196-'FACUS$'!$K196</f>
        <v>139933.57</v>
      </c>
      <c r="M196" s="157" t="s">
        <v>93</v>
      </c>
      <c r="N196" s="162" t="s">
        <v>127</v>
      </c>
      <c r="O196" s="332"/>
      <c r="P196" s="164" t="str">
        <f t="array" ref="P196">XLOOKUP('FACUS$'!$B196,'perfil de pagos'!$A$4:$A$46,'perfil de pagos'!$C$4:$C$46+'FACUS$'!$D196)</f>
        <v>#N/A</v>
      </c>
      <c r="Q196" s="165" t="str">
        <f t="shared" si="2"/>
        <v>N/A</v>
      </c>
      <c r="R196" s="171"/>
      <c r="S196" s="171"/>
      <c r="T196" s="171"/>
      <c r="U196" s="333" t="s">
        <v>7271</v>
      </c>
      <c r="V196" s="168">
        <f t="shared" si="3"/>
        <v>0</v>
      </c>
      <c r="W196" s="168">
        <f t="shared" si="4"/>
        <v>0</v>
      </c>
      <c r="X196" s="168">
        <f t="shared" si="5"/>
        <v>0</v>
      </c>
      <c r="Y196" s="168">
        <f t="shared" si="6"/>
        <v>0</v>
      </c>
      <c r="Z196" s="168">
        <f t="shared" si="7"/>
        <v>0</v>
      </c>
      <c r="AA196" s="168">
        <f t="shared" si="8"/>
        <v>0</v>
      </c>
      <c r="AB196" s="168">
        <f t="shared" si="9"/>
        <v>139933.57</v>
      </c>
    </row>
    <row r="197" ht="14.25" customHeight="1">
      <c r="A197" s="157">
        <v>659.0</v>
      </c>
      <c r="B197" s="169" t="s">
        <v>70</v>
      </c>
      <c r="C197" s="169" t="s">
        <v>759</v>
      </c>
      <c r="D197" s="159">
        <v>42767.0</v>
      </c>
      <c r="E197" s="157" t="s">
        <v>2</v>
      </c>
      <c r="F197" s="160">
        <v>76395.0</v>
      </c>
      <c r="G197" s="160">
        <v>12223.2</v>
      </c>
      <c r="H197" s="160">
        <f t="shared" si="19"/>
        <v>88618.2</v>
      </c>
      <c r="I197" s="160"/>
      <c r="J197" s="161"/>
      <c r="K197" s="160"/>
      <c r="L197" s="160">
        <f>+'FACUS$'!$H197-'FACUS$'!$I197-'FACUS$'!$K197</f>
        <v>88618.2</v>
      </c>
      <c r="M197" s="157" t="s">
        <v>753</v>
      </c>
      <c r="N197" s="162" t="s">
        <v>554</v>
      </c>
      <c r="O197" s="332">
        <v>42804.0</v>
      </c>
      <c r="P197" s="164" t="str">
        <f t="array" ref="P197">XLOOKUP('FACUS$'!$B197,'perfil de pagos'!$A$4:$A$46,'perfil de pagos'!$C$4:$C$46+'FACUS$'!$D197)</f>
        <v>#N/A</v>
      </c>
      <c r="Q197" s="165">
        <f t="shared" si="2"/>
        <v>0</v>
      </c>
      <c r="R197" s="171"/>
      <c r="S197" s="171"/>
      <c r="T197" s="171"/>
      <c r="U197" s="333" t="s">
        <v>7271</v>
      </c>
      <c r="V197" s="168">
        <f t="shared" si="3"/>
        <v>88618.2</v>
      </c>
      <c r="W197" s="168">
        <f t="shared" si="4"/>
        <v>0</v>
      </c>
      <c r="X197" s="168">
        <f t="shared" si="5"/>
        <v>0</v>
      </c>
      <c r="Y197" s="168">
        <f t="shared" si="6"/>
        <v>0</v>
      </c>
      <c r="Z197" s="168">
        <f t="shared" si="7"/>
        <v>0</v>
      </c>
      <c r="AA197" s="168">
        <f t="shared" si="8"/>
        <v>0</v>
      </c>
      <c r="AB197" s="168">
        <f t="shared" si="9"/>
        <v>0</v>
      </c>
    </row>
    <row r="198" ht="14.25" customHeight="1">
      <c r="A198" s="157">
        <v>661.0</v>
      </c>
      <c r="B198" s="169" t="s">
        <v>722</v>
      </c>
      <c r="C198" s="169" t="s">
        <v>7296</v>
      </c>
      <c r="D198" s="159">
        <v>42767.0</v>
      </c>
      <c r="E198" s="157" t="s">
        <v>2</v>
      </c>
      <c r="F198" s="160">
        <v>129589.74</v>
      </c>
      <c r="G198" s="160">
        <v>20734.36</v>
      </c>
      <c r="H198" s="160">
        <f t="shared" si="19"/>
        <v>150324.1</v>
      </c>
      <c r="I198" s="160"/>
      <c r="J198" s="161"/>
      <c r="K198" s="160"/>
      <c r="L198" s="160">
        <f>+'FACUS$'!$H198-'FACUS$'!$I198-'FACUS$'!$K198</f>
        <v>150324.1</v>
      </c>
      <c r="M198" s="157" t="s">
        <v>93</v>
      </c>
      <c r="N198" s="162" t="s">
        <v>554</v>
      </c>
      <c r="O198" s="332">
        <v>42789.0</v>
      </c>
      <c r="P198" s="164" t="str">
        <f t="array" ref="P198">XLOOKUP('FACUS$'!$B198,'perfil de pagos'!$A$4:$A$46,'perfil de pagos'!$C$4:$C$46+'FACUS$'!$D198)</f>
        <v>#N/A</v>
      </c>
      <c r="Q198" s="165">
        <f t="shared" si="2"/>
        <v>0</v>
      </c>
      <c r="R198" s="171"/>
      <c r="S198" s="171"/>
      <c r="T198" s="171"/>
      <c r="U198" s="333" t="s">
        <v>7271</v>
      </c>
      <c r="V198" s="168">
        <f t="shared" si="3"/>
        <v>150324.1</v>
      </c>
      <c r="W198" s="168">
        <f t="shared" si="4"/>
        <v>0</v>
      </c>
      <c r="X198" s="168">
        <f t="shared" si="5"/>
        <v>0</v>
      </c>
      <c r="Y198" s="168">
        <f t="shared" si="6"/>
        <v>0</v>
      </c>
      <c r="Z198" s="168">
        <f t="shared" si="7"/>
        <v>0</v>
      </c>
      <c r="AA198" s="168">
        <f t="shared" si="8"/>
        <v>0</v>
      </c>
      <c r="AB198" s="168">
        <f t="shared" si="9"/>
        <v>0</v>
      </c>
    </row>
    <row r="199" ht="14.25" customHeight="1">
      <c r="A199" s="157">
        <v>663.0</v>
      </c>
      <c r="B199" s="169" t="s">
        <v>720</v>
      </c>
      <c r="C199" s="169" t="s">
        <v>794</v>
      </c>
      <c r="D199" s="159">
        <v>42767.0</v>
      </c>
      <c r="E199" s="157" t="s">
        <v>2</v>
      </c>
      <c r="F199" s="160">
        <v>52288.56</v>
      </c>
      <c r="G199" s="160">
        <v>8366.17</v>
      </c>
      <c r="H199" s="160">
        <f t="shared" si="19"/>
        <v>60654.73</v>
      </c>
      <c r="I199" s="160"/>
      <c r="J199" s="161"/>
      <c r="K199" s="160"/>
      <c r="L199" s="160">
        <f>+'FACUS$'!$H199-'FACUS$'!$I199-'FACUS$'!$K199</f>
        <v>60654.73</v>
      </c>
      <c r="M199" s="157" t="s">
        <v>777</v>
      </c>
      <c r="N199" s="162" t="s">
        <v>554</v>
      </c>
      <c r="O199" s="332">
        <v>42797.0</v>
      </c>
      <c r="P199" s="164" t="str">
        <f t="array" ref="P199">XLOOKUP('FACUS$'!$B199,'perfil de pagos'!$A$4:$A$46,'perfil de pagos'!$C$4:$C$46+'FACUS$'!$D199)</f>
        <v>#N/A</v>
      </c>
      <c r="Q199" s="165">
        <f t="shared" si="2"/>
        <v>0</v>
      </c>
      <c r="R199" s="171"/>
      <c r="S199" s="171"/>
      <c r="T199" s="171"/>
      <c r="U199" s="333" t="s">
        <v>7271</v>
      </c>
      <c r="V199" s="168">
        <f t="shared" si="3"/>
        <v>60654.73</v>
      </c>
      <c r="W199" s="168">
        <f t="shared" si="4"/>
        <v>0</v>
      </c>
      <c r="X199" s="168">
        <f t="shared" si="5"/>
        <v>0</v>
      </c>
      <c r="Y199" s="168">
        <f t="shared" si="6"/>
        <v>0</v>
      </c>
      <c r="Z199" s="168">
        <f t="shared" si="7"/>
        <v>0</v>
      </c>
      <c r="AA199" s="168">
        <f t="shared" si="8"/>
        <v>0</v>
      </c>
      <c r="AB199" s="168">
        <f t="shared" si="9"/>
        <v>0</v>
      </c>
    </row>
    <row r="200" ht="14.25" customHeight="1">
      <c r="A200" s="157">
        <v>668.0</v>
      </c>
      <c r="B200" s="169" t="s">
        <v>37</v>
      </c>
      <c r="C200" s="169" t="s">
        <v>759</v>
      </c>
      <c r="D200" s="159">
        <v>42767.0</v>
      </c>
      <c r="E200" s="157" t="s">
        <v>2</v>
      </c>
      <c r="F200" s="160">
        <v>89356.85</v>
      </c>
      <c r="G200" s="160">
        <v>14297.1</v>
      </c>
      <c r="H200" s="160">
        <f t="shared" si="19"/>
        <v>103653.95</v>
      </c>
      <c r="I200" s="160"/>
      <c r="J200" s="161"/>
      <c r="K200" s="160"/>
      <c r="L200" s="160">
        <f>+'FACUS$'!$H200-'FACUS$'!$I200-'FACUS$'!$K200</f>
        <v>103653.95</v>
      </c>
      <c r="M200" s="157" t="s">
        <v>718</v>
      </c>
      <c r="N200" s="162" t="s">
        <v>554</v>
      </c>
      <c r="O200" s="332">
        <v>42801.0</v>
      </c>
      <c r="P200" s="164">
        <f t="array" ref="P200">XLOOKUP('FACUS$'!$B200,'perfil de pagos'!$A$4:$A$46,'perfil de pagos'!$C$4:$C$46+'FACUS$'!$D200)</f>
        <v>42777</v>
      </c>
      <c r="Q200" s="165">
        <f t="shared" si="2"/>
        <v>0</v>
      </c>
      <c r="R200" s="171"/>
      <c r="S200" s="171"/>
      <c r="T200" s="171"/>
      <c r="U200" s="333" t="s">
        <v>7271</v>
      </c>
      <c r="V200" s="168">
        <f t="shared" si="3"/>
        <v>103653.95</v>
      </c>
      <c r="W200" s="168">
        <f t="shared" si="4"/>
        <v>0</v>
      </c>
      <c r="X200" s="168">
        <f t="shared" si="5"/>
        <v>0</v>
      </c>
      <c r="Y200" s="168">
        <f t="shared" si="6"/>
        <v>0</v>
      </c>
      <c r="Z200" s="168">
        <f t="shared" si="7"/>
        <v>0</v>
      </c>
      <c r="AA200" s="168">
        <f t="shared" si="8"/>
        <v>0</v>
      </c>
      <c r="AB200" s="168">
        <f t="shared" si="9"/>
        <v>0</v>
      </c>
    </row>
    <row r="201" ht="14.25" customHeight="1">
      <c r="A201" s="157">
        <v>669.0</v>
      </c>
      <c r="B201" s="169" t="s">
        <v>82</v>
      </c>
      <c r="C201" s="169" t="s">
        <v>7316</v>
      </c>
      <c r="D201" s="159">
        <v>42795.0</v>
      </c>
      <c r="E201" s="157" t="s">
        <v>2</v>
      </c>
      <c r="F201" s="160">
        <v>8754.5</v>
      </c>
      <c r="G201" s="160">
        <v>1400.72</v>
      </c>
      <c r="H201" s="160">
        <f t="shared" si="19"/>
        <v>10155.22</v>
      </c>
      <c r="I201" s="160"/>
      <c r="J201" s="161"/>
      <c r="K201" s="160"/>
      <c r="L201" s="160">
        <f>+'FACUS$'!$H201-'FACUS$'!$I201-'FACUS$'!$K201</f>
        <v>10155.22</v>
      </c>
      <c r="M201" s="157" t="s">
        <v>714</v>
      </c>
      <c r="N201" s="162" t="s">
        <v>554</v>
      </c>
      <c r="O201" s="332">
        <v>43159.0</v>
      </c>
      <c r="P201" s="164" t="str">
        <f t="array" ref="P201">XLOOKUP('FACUS$'!$B201,'perfil de pagos'!$A$4:$A$46,'perfil de pagos'!$C$4:$C$46+'FACUS$'!$D201)</f>
        <v>#N/A</v>
      </c>
      <c r="Q201" s="165">
        <f t="shared" si="2"/>
        <v>0</v>
      </c>
      <c r="R201" s="171"/>
      <c r="S201" s="171"/>
      <c r="T201" s="171"/>
      <c r="U201" s="333" t="s">
        <v>7271</v>
      </c>
      <c r="V201" s="168">
        <f t="shared" si="3"/>
        <v>10155.22</v>
      </c>
      <c r="W201" s="168">
        <f t="shared" si="4"/>
        <v>0</v>
      </c>
      <c r="X201" s="168">
        <f t="shared" si="5"/>
        <v>0</v>
      </c>
      <c r="Y201" s="168">
        <f t="shared" si="6"/>
        <v>0</v>
      </c>
      <c r="Z201" s="168">
        <f t="shared" si="7"/>
        <v>0</v>
      </c>
      <c r="AA201" s="168">
        <f t="shared" si="8"/>
        <v>0</v>
      </c>
      <c r="AB201" s="168">
        <f t="shared" si="9"/>
        <v>0</v>
      </c>
    </row>
    <row r="202" ht="14.25" customHeight="1">
      <c r="A202" s="157">
        <v>671.0</v>
      </c>
      <c r="B202" s="169" t="s">
        <v>720</v>
      </c>
      <c r="C202" s="169" t="s">
        <v>794</v>
      </c>
      <c r="D202" s="159">
        <v>42780.0</v>
      </c>
      <c r="E202" s="157" t="s">
        <v>2</v>
      </c>
      <c r="F202" s="160">
        <v>50629.92</v>
      </c>
      <c r="G202" s="160">
        <v>8100.79</v>
      </c>
      <c r="H202" s="160">
        <f t="shared" si="19"/>
        <v>58730.71</v>
      </c>
      <c r="I202" s="160"/>
      <c r="J202" s="161"/>
      <c r="K202" s="160"/>
      <c r="L202" s="160">
        <f>+'FACUS$'!$H202-'FACUS$'!$I202-'FACUS$'!$K202</f>
        <v>58730.71</v>
      </c>
      <c r="M202" s="157" t="s">
        <v>777</v>
      </c>
      <c r="N202" s="162" t="s">
        <v>127</v>
      </c>
      <c r="O202" s="332"/>
      <c r="P202" s="164" t="str">
        <f t="array" ref="P202">XLOOKUP('FACUS$'!$B202,'perfil de pagos'!$A$4:$A$46,'perfil de pagos'!$C$4:$C$46+'FACUS$'!$D202)</f>
        <v>#N/A</v>
      </c>
      <c r="Q202" s="165" t="str">
        <f t="shared" si="2"/>
        <v>N/A</v>
      </c>
      <c r="R202" s="171"/>
      <c r="S202" s="171"/>
      <c r="T202" s="171"/>
      <c r="U202" s="333" t="s">
        <v>7271</v>
      </c>
      <c r="V202" s="168">
        <f t="shared" si="3"/>
        <v>0</v>
      </c>
      <c r="W202" s="168">
        <f t="shared" si="4"/>
        <v>0</v>
      </c>
      <c r="X202" s="168">
        <f t="shared" si="5"/>
        <v>0</v>
      </c>
      <c r="Y202" s="168">
        <f t="shared" si="6"/>
        <v>0</v>
      </c>
      <c r="Z202" s="168">
        <f t="shared" si="7"/>
        <v>0</v>
      </c>
      <c r="AA202" s="168">
        <f t="shared" si="8"/>
        <v>0</v>
      </c>
      <c r="AB202" s="168">
        <f t="shared" si="9"/>
        <v>58730.71</v>
      </c>
    </row>
    <row r="203" ht="14.25" customHeight="1">
      <c r="A203" s="157">
        <v>672.0</v>
      </c>
      <c r="B203" s="169" t="s">
        <v>692</v>
      </c>
      <c r="C203" s="169" t="s">
        <v>7317</v>
      </c>
      <c r="D203" s="159">
        <v>43076.0</v>
      </c>
      <c r="E203" s="157" t="s">
        <v>2</v>
      </c>
      <c r="F203" s="160">
        <v>41500.0</v>
      </c>
      <c r="G203" s="160">
        <v>6640.0</v>
      </c>
      <c r="H203" s="160">
        <f t="shared" si="19"/>
        <v>48140</v>
      </c>
      <c r="I203" s="160"/>
      <c r="J203" s="161"/>
      <c r="K203" s="160"/>
      <c r="L203" s="160">
        <f>+'FACUS$'!$H203-'FACUS$'!$I203-'FACUS$'!$K203</f>
        <v>48140</v>
      </c>
      <c r="M203" s="157" t="s">
        <v>7274</v>
      </c>
      <c r="N203" s="162" t="s">
        <v>554</v>
      </c>
      <c r="O203" s="332">
        <v>43105.0</v>
      </c>
      <c r="P203" s="164" t="str">
        <f t="array" ref="P203">XLOOKUP('FACUS$'!$B203,'perfil de pagos'!$A$4:$A$46,'perfil de pagos'!$C$4:$C$46+'FACUS$'!$D203)</f>
        <v>#N/A</v>
      </c>
      <c r="Q203" s="165">
        <f t="shared" si="2"/>
        <v>0</v>
      </c>
      <c r="R203" s="171"/>
      <c r="S203" s="171"/>
      <c r="T203" s="171"/>
      <c r="U203" s="333" t="s">
        <v>7271</v>
      </c>
      <c r="V203" s="168">
        <f t="shared" si="3"/>
        <v>48140</v>
      </c>
      <c r="W203" s="168">
        <f t="shared" si="4"/>
        <v>0</v>
      </c>
      <c r="X203" s="168">
        <f t="shared" si="5"/>
        <v>0</v>
      </c>
      <c r="Y203" s="168">
        <f t="shared" si="6"/>
        <v>0</v>
      </c>
      <c r="Z203" s="168">
        <f t="shared" si="7"/>
        <v>0</v>
      </c>
      <c r="AA203" s="168">
        <f t="shared" si="8"/>
        <v>0</v>
      </c>
      <c r="AB203" s="168">
        <f t="shared" si="9"/>
        <v>0</v>
      </c>
    </row>
    <row r="204" ht="14.25" customHeight="1">
      <c r="A204" s="157">
        <v>678.0</v>
      </c>
      <c r="B204" s="169" t="s">
        <v>70</v>
      </c>
      <c r="C204" s="169" t="s">
        <v>759</v>
      </c>
      <c r="D204" s="159">
        <v>42781.0</v>
      </c>
      <c r="E204" s="157" t="s">
        <v>2</v>
      </c>
      <c r="F204" s="160">
        <v>73020.0</v>
      </c>
      <c r="G204" s="160">
        <v>11683.2</v>
      </c>
      <c r="H204" s="160">
        <f t="shared" si="19"/>
        <v>84703.2</v>
      </c>
      <c r="I204" s="160"/>
      <c r="J204" s="161"/>
      <c r="K204" s="160"/>
      <c r="L204" s="160">
        <f>+'FACUS$'!$H204-'FACUS$'!$I204-'FACUS$'!$K204</f>
        <v>84703.2</v>
      </c>
      <c r="M204" s="157" t="s">
        <v>719</v>
      </c>
      <c r="N204" s="162" t="s">
        <v>554</v>
      </c>
      <c r="O204" s="349">
        <v>42835.0</v>
      </c>
      <c r="P204" s="164" t="str">
        <f t="array" ref="P204">XLOOKUP('FACUS$'!$B204,'perfil de pagos'!$A$4:$A$46,'perfil de pagos'!$C$4:$C$46+'FACUS$'!$D204)</f>
        <v>#N/A</v>
      </c>
      <c r="Q204" s="165">
        <f t="shared" si="2"/>
        <v>0</v>
      </c>
      <c r="R204" s="171"/>
      <c r="S204" s="171"/>
      <c r="T204" s="171"/>
      <c r="U204" s="333" t="s">
        <v>7271</v>
      </c>
      <c r="V204" s="168">
        <f t="shared" si="3"/>
        <v>84703.2</v>
      </c>
      <c r="W204" s="168">
        <f t="shared" si="4"/>
        <v>0</v>
      </c>
      <c r="X204" s="168">
        <f t="shared" si="5"/>
        <v>0</v>
      </c>
      <c r="Y204" s="168">
        <f t="shared" si="6"/>
        <v>0</v>
      </c>
      <c r="Z204" s="168">
        <f t="shared" si="7"/>
        <v>0</v>
      </c>
      <c r="AA204" s="168">
        <f t="shared" si="8"/>
        <v>0</v>
      </c>
      <c r="AB204" s="168">
        <f t="shared" si="9"/>
        <v>0</v>
      </c>
    </row>
    <row r="205" ht="14.25" customHeight="1">
      <c r="A205" s="157">
        <v>683.0</v>
      </c>
      <c r="B205" s="169" t="s">
        <v>37</v>
      </c>
      <c r="C205" s="169" t="s">
        <v>759</v>
      </c>
      <c r="D205" s="159">
        <v>42781.0</v>
      </c>
      <c r="E205" s="157" t="s">
        <v>2</v>
      </c>
      <c r="F205" s="160">
        <v>67130.58</v>
      </c>
      <c r="G205" s="160">
        <v>10740.89</v>
      </c>
      <c r="H205" s="160">
        <f t="shared" si="19"/>
        <v>77871.47</v>
      </c>
      <c r="I205" s="160"/>
      <c r="J205" s="161"/>
      <c r="K205" s="160"/>
      <c r="L205" s="160">
        <f>+'FACUS$'!$H205-'FACUS$'!$I205-'FACUS$'!$K205</f>
        <v>77871.47</v>
      </c>
      <c r="M205" s="157" t="s">
        <v>718</v>
      </c>
      <c r="N205" s="162" t="s">
        <v>554</v>
      </c>
      <c r="O205" s="332">
        <v>42822.0</v>
      </c>
      <c r="P205" s="164">
        <f t="array" ref="P205">XLOOKUP('FACUS$'!$B205,'perfil de pagos'!$A$4:$A$46,'perfil de pagos'!$C$4:$C$46+'FACUS$'!$D205)</f>
        <v>42791</v>
      </c>
      <c r="Q205" s="165">
        <f t="shared" si="2"/>
        <v>0</v>
      </c>
      <c r="R205" s="171"/>
      <c r="S205" s="171"/>
      <c r="T205" s="171"/>
      <c r="U205" s="333" t="s">
        <v>7271</v>
      </c>
      <c r="V205" s="168">
        <f t="shared" si="3"/>
        <v>77871.47</v>
      </c>
      <c r="W205" s="168">
        <f t="shared" si="4"/>
        <v>0</v>
      </c>
      <c r="X205" s="168">
        <f t="shared" si="5"/>
        <v>0</v>
      </c>
      <c r="Y205" s="168">
        <f t="shared" si="6"/>
        <v>0</v>
      </c>
      <c r="Z205" s="168">
        <f t="shared" si="7"/>
        <v>0</v>
      </c>
      <c r="AA205" s="168">
        <f t="shared" si="8"/>
        <v>0</v>
      </c>
      <c r="AB205" s="168">
        <f t="shared" si="9"/>
        <v>0</v>
      </c>
    </row>
    <row r="206" ht="14.25" customHeight="1">
      <c r="A206" s="157">
        <v>685.0</v>
      </c>
      <c r="B206" s="169" t="s">
        <v>720</v>
      </c>
      <c r="C206" s="169" t="s">
        <v>794</v>
      </c>
      <c r="D206" s="159">
        <v>42795.0</v>
      </c>
      <c r="E206" s="157" t="s">
        <v>2</v>
      </c>
      <c r="F206" s="160">
        <v>43008.29</v>
      </c>
      <c r="G206" s="160">
        <v>6881.33</v>
      </c>
      <c r="H206" s="160">
        <f t="shared" si="19"/>
        <v>49889.62</v>
      </c>
      <c r="I206" s="160"/>
      <c r="J206" s="161"/>
      <c r="K206" s="160"/>
      <c r="L206" s="160">
        <f>+'FACUS$'!$H206-'FACUS$'!$I206-'FACUS$'!$K206</f>
        <v>49889.62</v>
      </c>
      <c r="M206" s="157" t="s">
        <v>777</v>
      </c>
      <c r="N206" s="162" t="s">
        <v>127</v>
      </c>
      <c r="O206" s="332"/>
      <c r="P206" s="164" t="str">
        <f t="array" ref="P206">XLOOKUP('FACUS$'!$B206,'perfil de pagos'!$A$4:$A$46,'perfil de pagos'!$C$4:$C$46+'FACUS$'!$D206)</f>
        <v>#N/A</v>
      </c>
      <c r="Q206" s="165" t="str">
        <f t="shared" si="2"/>
        <v>N/A</v>
      </c>
      <c r="R206" s="171"/>
      <c r="S206" s="171"/>
      <c r="T206" s="171"/>
      <c r="U206" s="333" t="s">
        <v>7271</v>
      </c>
      <c r="V206" s="168">
        <f t="shared" si="3"/>
        <v>0</v>
      </c>
      <c r="W206" s="168">
        <f t="shared" si="4"/>
        <v>0</v>
      </c>
      <c r="X206" s="168">
        <f t="shared" si="5"/>
        <v>0</v>
      </c>
      <c r="Y206" s="168">
        <f t="shared" si="6"/>
        <v>0</v>
      </c>
      <c r="Z206" s="168">
        <f t="shared" si="7"/>
        <v>0</v>
      </c>
      <c r="AA206" s="168">
        <f t="shared" si="8"/>
        <v>0</v>
      </c>
      <c r="AB206" s="168">
        <f t="shared" si="9"/>
        <v>49889.62</v>
      </c>
    </row>
    <row r="207" ht="14.25" customHeight="1">
      <c r="A207" s="157">
        <v>687.0</v>
      </c>
      <c r="B207" s="169" t="s">
        <v>722</v>
      </c>
      <c r="C207" s="169" t="s">
        <v>7296</v>
      </c>
      <c r="D207" s="159">
        <v>42795.0</v>
      </c>
      <c r="E207" s="157" t="s">
        <v>2</v>
      </c>
      <c r="F207" s="160">
        <v>2687790.05</v>
      </c>
      <c r="G207" s="160">
        <v>430046.41</v>
      </c>
      <c r="H207" s="160">
        <f t="shared" si="19"/>
        <v>3117836.46</v>
      </c>
      <c r="I207" s="160"/>
      <c r="J207" s="161"/>
      <c r="K207" s="160"/>
      <c r="L207" s="160">
        <f>+'FACUS$'!$H207-'FACUS$'!$I207-'FACUS$'!$K207</f>
        <v>3117836.46</v>
      </c>
      <c r="M207" s="157" t="s">
        <v>93</v>
      </c>
      <c r="N207" s="162" t="s">
        <v>127</v>
      </c>
      <c r="O207" s="332"/>
      <c r="P207" s="164" t="str">
        <f t="array" ref="P207">XLOOKUP('FACUS$'!$B207,'perfil de pagos'!$A$4:$A$46,'perfil de pagos'!$C$4:$C$46+'FACUS$'!$D207)</f>
        <v>#N/A</v>
      </c>
      <c r="Q207" s="165" t="str">
        <f t="shared" si="2"/>
        <v>N/A</v>
      </c>
      <c r="R207" s="171"/>
      <c r="S207" s="171"/>
      <c r="T207" s="171"/>
      <c r="U207" s="333" t="s">
        <v>7271</v>
      </c>
      <c r="V207" s="168">
        <f t="shared" si="3"/>
        <v>0</v>
      </c>
      <c r="W207" s="168">
        <f t="shared" si="4"/>
        <v>0</v>
      </c>
      <c r="X207" s="168">
        <f t="shared" si="5"/>
        <v>0</v>
      </c>
      <c r="Y207" s="168">
        <f t="shared" si="6"/>
        <v>0</v>
      </c>
      <c r="Z207" s="168">
        <f t="shared" si="7"/>
        <v>0</v>
      </c>
      <c r="AA207" s="168">
        <f t="shared" si="8"/>
        <v>0</v>
      </c>
      <c r="AB207" s="168">
        <f t="shared" si="9"/>
        <v>3117836.46</v>
      </c>
    </row>
    <row r="208" ht="14.25" customHeight="1">
      <c r="A208" s="157">
        <v>689.0</v>
      </c>
      <c r="B208" s="169" t="s">
        <v>70</v>
      </c>
      <c r="C208" s="169" t="s">
        <v>759</v>
      </c>
      <c r="D208" s="159">
        <v>42795.0</v>
      </c>
      <c r="E208" s="157" t="s">
        <v>2</v>
      </c>
      <c r="F208" s="160">
        <v>67117.5</v>
      </c>
      <c r="G208" s="160">
        <v>10738.8</v>
      </c>
      <c r="H208" s="160">
        <f t="shared" si="19"/>
        <v>77856.3</v>
      </c>
      <c r="I208" s="160"/>
      <c r="J208" s="161"/>
      <c r="K208" s="160"/>
      <c r="L208" s="160">
        <f>+'FACUS$'!$H208-'FACUS$'!$I208-'FACUS$'!$K208</f>
        <v>77856.3</v>
      </c>
      <c r="M208" s="157" t="s">
        <v>719</v>
      </c>
      <c r="N208" s="162" t="s">
        <v>554</v>
      </c>
      <c r="O208" s="332">
        <v>42835.0</v>
      </c>
      <c r="P208" s="164" t="str">
        <f t="array" ref="P208">XLOOKUP('FACUS$'!$B208,'perfil de pagos'!$A$4:$A$46,'perfil de pagos'!$C$4:$C$46+'FACUS$'!$D208)</f>
        <v>#N/A</v>
      </c>
      <c r="Q208" s="165">
        <f t="shared" si="2"/>
        <v>0</v>
      </c>
      <c r="R208" s="171"/>
      <c r="S208" s="171"/>
      <c r="T208" s="171"/>
      <c r="U208" s="333" t="s">
        <v>7271</v>
      </c>
      <c r="V208" s="168">
        <f t="shared" si="3"/>
        <v>77856.3</v>
      </c>
      <c r="W208" s="168">
        <f t="shared" si="4"/>
        <v>0</v>
      </c>
      <c r="X208" s="168">
        <f t="shared" si="5"/>
        <v>0</v>
      </c>
      <c r="Y208" s="168">
        <f t="shared" si="6"/>
        <v>0</v>
      </c>
      <c r="Z208" s="168">
        <f t="shared" si="7"/>
        <v>0</v>
      </c>
      <c r="AA208" s="168">
        <f t="shared" si="8"/>
        <v>0</v>
      </c>
      <c r="AB208" s="168">
        <f t="shared" si="9"/>
        <v>0</v>
      </c>
    </row>
    <row r="209" ht="14.25" customHeight="1">
      <c r="A209" s="157">
        <v>695.0</v>
      </c>
      <c r="B209" s="169" t="s">
        <v>37</v>
      </c>
      <c r="C209" s="169" t="s">
        <v>759</v>
      </c>
      <c r="D209" s="159">
        <v>42795.0</v>
      </c>
      <c r="E209" s="157" t="s">
        <v>2</v>
      </c>
      <c r="F209" s="160">
        <v>88172.48</v>
      </c>
      <c r="G209" s="160">
        <v>14107.6</v>
      </c>
      <c r="H209" s="160">
        <f t="shared" si="19"/>
        <v>102280.08</v>
      </c>
      <c r="I209" s="160"/>
      <c r="J209" s="161"/>
      <c r="K209" s="160"/>
      <c r="L209" s="160">
        <f>+'FACUS$'!$H209-'FACUS$'!$I209-'FACUS$'!$K209</f>
        <v>102280.08</v>
      </c>
      <c r="M209" s="157" t="s">
        <v>718</v>
      </c>
      <c r="N209" s="162" t="s">
        <v>554</v>
      </c>
      <c r="O209" s="332">
        <v>42830.0</v>
      </c>
      <c r="P209" s="164">
        <f t="array" ref="P209">XLOOKUP('FACUS$'!$B209,'perfil de pagos'!$A$4:$A$46,'perfil de pagos'!$C$4:$C$46+'FACUS$'!$D209)</f>
        <v>42805</v>
      </c>
      <c r="Q209" s="165">
        <f t="shared" si="2"/>
        <v>0</v>
      </c>
      <c r="R209" s="171"/>
      <c r="S209" s="171"/>
      <c r="T209" s="171"/>
      <c r="U209" s="333" t="s">
        <v>7271</v>
      </c>
      <c r="V209" s="168">
        <f t="shared" si="3"/>
        <v>102280.08</v>
      </c>
      <c r="W209" s="168">
        <f t="shared" si="4"/>
        <v>0</v>
      </c>
      <c r="X209" s="168">
        <f t="shared" si="5"/>
        <v>0</v>
      </c>
      <c r="Y209" s="168">
        <f t="shared" si="6"/>
        <v>0</v>
      </c>
      <c r="Z209" s="168">
        <f t="shared" si="7"/>
        <v>0</v>
      </c>
      <c r="AA209" s="168">
        <f t="shared" si="8"/>
        <v>0</v>
      </c>
      <c r="AB209" s="168">
        <f t="shared" si="9"/>
        <v>0</v>
      </c>
    </row>
    <row r="210" ht="14.25" customHeight="1">
      <c r="A210" s="157">
        <v>697.0</v>
      </c>
      <c r="B210" s="169" t="s">
        <v>82</v>
      </c>
      <c r="C210" s="170" t="s">
        <v>7318</v>
      </c>
      <c r="D210" s="159">
        <v>42825.0</v>
      </c>
      <c r="E210" s="157" t="s">
        <v>2</v>
      </c>
      <c r="F210" s="160">
        <v>10093.16</v>
      </c>
      <c r="G210" s="160">
        <v>1614.91</v>
      </c>
      <c r="H210" s="160">
        <f t="shared" si="19"/>
        <v>11708.07</v>
      </c>
      <c r="I210" s="160"/>
      <c r="J210" s="161"/>
      <c r="K210" s="160"/>
      <c r="L210" s="160">
        <f>+'FACUS$'!$H210-'FACUS$'!$I210-'FACUS$'!$K210</f>
        <v>11708.07</v>
      </c>
      <c r="M210" s="157" t="s">
        <v>714</v>
      </c>
      <c r="N210" s="162" t="s">
        <v>554</v>
      </c>
      <c r="O210" s="332">
        <v>43193.0</v>
      </c>
      <c r="P210" s="164" t="str">
        <f t="array" ref="P210">XLOOKUP('FACUS$'!$B210,'perfil de pagos'!$A$4:$A$46,'perfil de pagos'!$C$4:$C$46+'FACUS$'!$D210)</f>
        <v>#N/A</v>
      </c>
      <c r="Q210" s="165">
        <f t="shared" si="2"/>
        <v>0</v>
      </c>
      <c r="R210" s="171"/>
      <c r="S210" s="171"/>
      <c r="T210" s="171"/>
      <c r="U210" s="333" t="s">
        <v>7271</v>
      </c>
      <c r="V210" s="168">
        <f t="shared" si="3"/>
        <v>11708.07</v>
      </c>
      <c r="W210" s="168">
        <f t="shared" si="4"/>
        <v>0</v>
      </c>
      <c r="X210" s="168">
        <f t="shared" si="5"/>
        <v>0</v>
      </c>
      <c r="Y210" s="168">
        <f t="shared" si="6"/>
        <v>0</v>
      </c>
      <c r="Z210" s="168">
        <f t="shared" si="7"/>
        <v>0</v>
      </c>
      <c r="AA210" s="168">
        <f t="shared" si="8"/>
        <v>0</v>
      </c>
      <c r="AB210" s="168">
        <f t="shared" si="9"/>
        <v>0</v>
      </c>
    </row>
    <row r="211" ht="14.25" customHeight="1">
      <c r="A211" s="157">
        <v>698.0</v>
      </c>
      <c r="B211" s="169" t="s">
        <v>720</v>
      </c>
      <c r="C211" s="169" t="s">
        <v>794</v>
      </c>
      <c r="D211" s="159">
        <v>42781.0</v>
      </c>
      <c r="E211" s="157" t="s">
        <v>2</v>
      </c>
      <c r="F211" s="160">
        <v>50629.92</v>
      </c>
      <c r="G211" s="160">
        <v>8100.79</v>
      </c>
      <c r="H211" s="160">
        <f t="shared" si="19"/>
        <v>58730.71</v>
      </c>
      <c r="I211" s="160"/>
      <c r="J211" s="161"/>
      <c r="K211" s="160"/>
      <c r="L211" s="160">
        <f>+'FACUS$'!$H211-'FACUS$'!$I211-'FACUS$'!$K211</f>
        <v>58730.71</v>
      </c>
      <c r="M211" s="157" t="s">
        <v>777</v>
      </c>
      <c r="N211" s="162" t="s">
        <v>554</v>
      </c>
      <c r="O211" s="332">
        <v>42837.0</v>
      </c>
      <c r="P211" s="164" t="str">
        <f t="array" ref="P211">XLOOKUP('FACUS$'!$B211,'perfil de pagos'!$A$4:$A$46,'perfil de pagos'!$C$4:$C$46+'FACUS$'!$D211)</f>
        <v>#N/A</v>
      </c>
      <c r="Q211" s="165">
        <f t="shared" si="2"/>
        <v>0</v>
      </c>
      <c r="R211" s="171"/>
      <c r="S211" s="171"/>
      <c r="T211" s="171"/>
      <c r="U211" s="333" t="s">
        <v>7271</v>
      </c>
      <c r="V211" s="168">
        <f t="shared" si="3"/>
        <v>58730.71</v>
      </c>
      <c r="W211" s="168">
        <f t="shared" si="4"/>
        <v>0</v>
      </c>
      <c r="X211" s="168">
        <f t="shared" si="5"/>
        <v>0</v>
      </c>
      <c r="Y211" s="168">
        <f t="shared" si="6"/>
        <v>0</v>
      </c>
      <c r="Z211" s="168">
        <f t="shared" si="7"/>
        <v>0</v>
      </c>
      <c r="AA211" s="168">
        <f t="shared" si="8"/>
        <v>0</v>
      </c>
      <c r="AB211" s="168">
        <f t="shared" si="9"/>
        <v>0</v>
      </c>
    </row>
    <row r="212" ht="14.25" customHeight="1">
      <c r="A212" s="157">
        <v>699.0</v>
      </c>
      <c r="B212" s="169" t="s">
        <v>720</v>
      </c>
      <c r="C212" s="170" t="s">
        <v>794</v>
      </c>
      <c r="D212" s="159">
        <v>42795.0</v>
      </c>
      <c r="E212" s="157" t="s">
        <v>2</v>
      </c>
      <c r="F212" s="160">
        <v>43008.29</v>
      </c>
      <c r="G212" s="160">
        <v>6881.33</v>
      </c>
      <c r="H212" s="160">
        <f t="shared" si="19"/>
        <v>49889.62</v>
      </c>
      <c r="I212" s="160"/>
      <c r="J212" s="161"/>
      <c r="K212" s="160"/>
      <c r="L212" s="160">
        <f>+'FACUS$'!$H212-'FACUS$'!$I212-'FACUS$'!$K212</f>
        <v>49889.62</v>
      </c>
      <c r="M212" s="157" t="s">
        <v>777</v>
      </c>
      <c r="N212" s="162" t="s">
        <v>554</v>
      </c>
      <c r="O212" s="332">
        <v>42837.0</v>
      </c>
      <c r="P212" s="164" t="str">
        <f t="array" ref="P212">XLOOKUP('FACUS$'!$B212,'perfil de pagos'!$A$4:$A$46,'perfil de pagos'!$C$4:$C$46+'FACUS$'!$D212)</f>
        <v>#N/A</v>
      </c>
      <c r="Q212" s="165">
        <f t="shared" si="2"/>
        <v>0</v>
      </c>
      <c r="R212" s="171"/>
      <c r="S212" s="171"/>
      <c r="T212" s="171"/>
      <c r="U212" s="333" t="s">
        <v>7271</v>
      </c>
      <c r="V212" s="168">
        <f t="shared" si="3"/>
        <v>49889.62</v>
      </c>
      <c r="W212" s="168">
        <f t="shared" si="4"/>
        <v>0</v>
      </c>
      <c r="X212" s="168">
        <f t="shared" si="5"/>
        <v>0</v>
      </c>
      <c r="Y212" s="168">
        <f t="shared" si="6"/>
        <v>0</v>
      </c>
      <c r="Z212" s="168">
        <f t="shared" si="7"/>
        <v>0</v>
      </c>
      <c r="AA212" s="168">
        <f t="shared" si="8"/>
        <v>0</v>
      </c>
      <c r="AB212" s="168">
        <f t="shared" si="9"/>
        <v>0</v>
      </c>
    </row>
    <row r="213" ht="14.25" customHeight="1">
      <c r="A213" s="157">
        <v>703.0</v>
      </c>
      <c r="B213" s="169" t="s">
        <v>70</v>
      </c>
      <c r="C213" s="169" t="s">
        <v>759</v>
      </c>
      <c r="D213" s="159">
        <v>42809.0</v>
      </c>
      <c r="E213" s="157" t="s">
        <v>2</v>
      </c>
      <c r="F213" s="160">
        <v>77010.0</v>
      </c>
      <c r="G213" s="160">
        <v>12321.6</v>
      </c>
      <c r="H213" s="160">
        <f t="shared" si="19"/>
        <v>89331.6</v>
      </c>
      <c r="I213" s="160"/>
      <c r="J213" s="161"/>
      <c r="K213" s="160"/>
      <c r="L213" s="160">
        <f>+'FACUS$'!$H213-'FACUS$'!$I213-'FACUS$'!$K213</f>
        <v>89331.6</v>
      </c>
      <c r="M213" s="157" t="s">
        <v>719</v>
      </c>
      <c r="N213" s="162" t="s">
        <v>554</v>
      </c>
      <c r="O213" s="332">
        <v>42849.0</v>
      </c>
      <c r="P213" s="164" t="str">
        <f t="array" ref="P213">XLOOKUP('FACUS$'!$B213,'perfil de pagos'!$A$4:$A$46,'perfil de pagos'!$C$4:$C$46+'FACUS$'!$D213)</f>
        <v>#N/A</v>
      </c>
      <c r="Q213" s="165">
        <f t="shared" si="2"/>
        <v>0</v>
      </c>
      <c r="R213" s="171"/>
      <c r="S213" s="171"/>
      <c r="T213" s="171"/>
      <c r="U213" s="333" t="s">
        <v>7271</v>
      </c>
      <c r="V213" s="168">
        <f t="shared" si="3"/>
        <v>89331.6</v>
      </c>
      <c r="W213" s="168">
        <f t="shared" si="4"/>
        <v>0</v>
      </c>
      <c r="X213" s="168">
        <f t="shared" si="5"/>
        <v>0</v>
      </c>
      <c r="Y213" s="168">
        <f t="shared" si="6"/>
        <v>0</v>
      </c>
      <c r="Z213" s="168">
        <f t="shared" si="7"/>
        <v>0</v>
      </c>
      <c r="AA213" s="168">
        <f t="shared" si="8"/>
        <v>0</v>
      </c>
      <c r="AB213" s="168">
        <f t="shared" si="9"/>
        <v>0</v>
      </c>
    </row>
    <row r="214" ht="14.25" customHeight="1">
      <c r="A214" s="157">
        <v>705.0</v>
      </c>
      <c r="B214" s="169" t="s">
        <v>720</v>
      </c>
      <c r="C214" s="170" t="s">
        <v>794</v>
      </c>
      <c r="D214" s="159">
        <v>42809.0</v>
      </c>
      <c r="E214" s="157" t="s">
        <v>2</v>
      </c>
      <c r="F214" s="160">
        <v>42604.02</v>
      </c>
      <c r="G214" s="160">
        <v>6816.64</v>
      </c>
      <c r="H214" s="160">
        <f t="shared" si="19"/>
        <v>49420.66</v>
      </c>
      <c r="I214" s="160"/>
      <c r="J214" s="161"/>
      <c r="K214" s="160"/>
      <c r="L214" s="160">
        <f>+'FACUS$'!$H214-'FACUS$'!$I214-'FACUS$'!$K214</f>
        <v>49420.66</v>
      </c>
      <c r="M214" s="157" t="s">
        <v>777</v>
      </c>
      <c r="N214" s="162" t="s">
        <v>554</v>
      </c>
      <c r="O214" s="332">
        <v>42837.0</v>
      </c>
      <c r="P214" s="164" t="str">
        <f t="array" ref="P214">XLOOKUP('FACUS$'!$B214,'perfil de pagos'!$A$4:$A$46,'perfil de pagos'!$C$4:$C$46+'FACUS$'!$D214)</f>
        <v>#N/A</v>
      </c>
      <c r="Q214" s="165">
        <f t="shared" si="2"/>
        <v>0</v>
      </c>
      <c r="R214" s="171"/>
      <c r="S214" s="171"/>
      <c r="T214" s="171"/>
      <c r="U214" s="333" t="s">
        <v>7271</v>
      </c>
      <c r="V214" s="168">
        <f t="shared" si="3"/>
        <v>49420.66</v>
      </c>
      <c r="W214" s="168">
        <f t="shared" si="4"/>
        <v>0</v>
      </c>
      <c r="X214" s="168">
        <f t="shared" si="5"/>
        <v>0</v>
      </c>
      <c r="Y214" s="168">
        <f t="shared" si="6"/>
        <v>0</v>
      </c>
      <c r="Z214" s="168">
        <f t="shared" si="7"/>
        <v>0</v>
      </c>
      <c r="AA214" s="168">
        <f t="shared" si="8"/>
        <v>0</v>
      </c>
      <c r="AB214" s="168">
        <f t="shared" si="9"/>
        <v>0</v>
      </c>
    </row>
    <row r="215" ht="14.25" customHeight="1">
      <c r="A215" s="157">
        <v>714.0</v>
      </c>
      <c r="B215" s="169" t="s">
        <v>37</v>
      </c>
      <c r="C215" s="169" t="s">
        <v>759</v>
      </c>
      <c r="D215" s="159">
        <v>42809.0</v>
      </c>
      <c r="E215" s="157" t="s">
        <v>2</v>
      </c>
      <c r="F215" s="160">
        <v>71070.34</v>
      </c>
      <c r="G215" s="160">
        <v>11371.25</v>
      </c>
      <c r="H215" s="160">
        <f t="shared" si="19"/>
        <v>82441.59</v>
      </c>
      <c r="I215" s="160"/>
      <c r="J215" s="161"/>
      <c r="K215" s="160"/>
      <c r="L215" s="160">
        <f>+'FACUS$'!$H215-'FACUS$'!$I215-'FACUS$'!$K215</f>
        <v>82441.59</v>
      </c>
      <c r="M215" s="157" t="s">
        <v>718</v>
      </c>
      <c r="N215" s="162" t="s">
        <v>554</v>
      </c>
      <c r="O215" s="332">
        <v>42864.0</v>
      </c>
      <c r="P215" s="164">
        <f t="array" ref="P215">XLOOKUP('FACUS$'!$B215,'perfil de pagos'!$A$4:$A$46,'perfil de pagos'!$C$4:$C$46+'FACUS$'!$D215)</f>
        <v>42819</v>
      </c>
      <c r="Q215" s="165">
        <f t="shared" si="2"/>
        <v>0</v>
      </c>
      <c r="R215" s="171"/>
      <c r="S215" s="171"/>
      <c r="T215" s="171"/>
      <c r="U215" s="333" t="s">
        <v>7271</v>
      </c>
      <c r="V215" s="168">
        <f t="shared" si="3"/>
        <v>82441.59</v>
      </c>
      <c r="W215" s="168">
        <f t="shared" si="4"/>
        <v>0</v>
      </c>
      <c r="X215" s="168">
        <f t="shared" si="5"/>
        <v>0</v>
      </c>
      <c r="Y215" s="168">
        <f t="shared" si="6"/>
        <v>0</v>
      </c>
      <c r="Z215" s="168">
        <f t="shared" si="7"/>
        <v>0</v>
      </c>
      <c r="AA215" s="168">
        <f t="shared" si="8"/>
        <v>0</v>
      </c>
      <c r="AB215" s="168">
        <f t="shared" si="9"/>
        <v>0</v>
      </c>
    </row>
    <row r="216" ht="14.25" customHeight="1">
      <c r="A216" s="157">
        <v>719.0</v>
      </c>
      <c r="B216" s="169" t="s">
        <v>70</v>
      </c>
      <c r="C216" s="169" t="s">
        <v>759</v>
      </c>
      <c r="D216" s="159">
        <v>42826.0</v>
      </c>
      <c r="E216" s="157" t="s">
        <v>2</v>
      </c>
      <c r="F216" s="160">
        <v>48240.0</v>
      </c>
      <c r="G216" s="160">
        <v>7718.4</v>
      </c>
      <c r="H216" s="179">
        <f t="shared" si="19"/>
        <v>55958.4</v>
      </c>
      <c r="I216" s="173"/>
      <c r="J216" s="170"/>
      <c r="K216" s="173"/>
      <c r="L216" s="173">
        <f>+'FACUS$'!$H216-'FACUS$'!$I216-'FACUS$'!$K216</f>
        <v>55958.4</v>
      </c>
      <c r="M216" s="157" t="s">
        <v>719</v>
      </c>
      <c r="N216" s="162" t="s">
        <v>554</v>
      </c>
      <c r="O216" s="332">
        <v>42867.0</v>
      </c>
      <c r="P216" s="164" t="str">
        <f t="array" ref="P216">XLOOKUP('FACUS$'!$B216,'perfil de pagos'!$A$4:$A$46,'perfil de pagos'!$C$4:$C$46+'FACUS$'!$D216)</f>
        <v>#N/A</v>
      </c>
      <c r="Q216" s="165">
        <f t="shared" si="2"/>
        <v>0</v>
      </c>
      <c r="R216" s="171"/>
      <c r="S216" s="171"/>
      <c r="T216" s="171"/>
      <c r="U216" s="333" t="s">
        <v>7271</v>
      </c>
      <c r="V216" s="168">
        <f t="shared" si="3"/>
        <v>55958.4</v>
      </c>
      <c r="W216" s="168">
        <f t="shared" si="4"/>
        <v>0</v>
      </c>
      <c r="X216" s="168">
        <f t="shared" si="5"/>
        <v>0</v>
      </c>
      <c r="Y216" s="168">
        <f t="shared" si="6"/>
        <v>0</v>
      </c>
      <c r="Z216" s="168">
        <f t="shared" si="7"/>
        <v>0</v>
      </c>
      <c r="AA216" s="168">
        <f t="shared" si="8"/>
        <v>0</v>
      </c>
      <c r="AB216" s="168">
        <f t="shared" si="9"/>
        <v>0</v>
      </c>
    </row>
    <row r="217" ht="14.25" customHeight="1">
      <c r="A217" s="157">
        <v>722.0</v>
      </c>
      <c r="B217" s="169" t="s">
        <v>720</v>
      </c>
      <c r="C217" s="169" t="s">
        <v>794</v>
      </c>
      <c r="D217" s="159">
        <v>42826.0</v>
      </c>
      <c r="E217" s="157" t="s">
        <v>2</v>
      </c>
      <c r="F217" s="160">
        <v>35812.8</v>
      </c>
      <c r="G217" s="160">
        <v>5730.05</v>
      </c>
      <c r="H217" s="160">
        <f t="shared" si="19"/>
        <v>41542.85</v>
      </c>
      <c r="I217" s="160"/>
      <c r="J217" s="161"/>
      <c r="K217" s="160"/>
      <c r="L217" s="160">
        <f>+'FACUS$'!$H217-'FACUS$'!$I217-'FACUS$'!$K217</f>
        <v>41542.85</v>
      </c>
      <c r="M217" s="157" t="s">
        <v>777</v>
      </c>
      <c r="N217" s="162" t="s">
        <v>554</v>
      </c>
      <c r="O217" s="332">
        <v>42860.0</v>
      </c>
      <c r="P217" s="164" t="str">
        <f t="array" ref="P217">XLOOKUP('FACUS$'!$B217,'perfil de pagos'!$A$4:$A$46,'perfil de pagos'!$C$4:$C$46+'FACUS$'!$D217)</f>
        <v>#N/A</v>
      </c>
      <c r="Q217" s="165">
        <f t="shared" si="2"/>
        <v>0</v>
      </c>
      <c r="R217" s="171"/>
      <c r="S217" s="171"/>
      <c r="T217" s="171"/>
      <c r="U217" s="333" t="s">
        <v>7271</v>
      </c>
      <c r="V217" s="168">
        <f t="shared" si="3"/>
        <v>41542.85</v>
      </c>
      <c r="W217" s="168">
        <f t="shared" si="4"/>
        <v>0</v>
      </c>
      <c r="X217" s="168">
        <f t="shared" si="5"/>
        <v>0</v>
      </c>
      <c r="Y217" s="168">
        <f t="shared" si="6"/>
        <v>0</v>
      </c>
      <c r="Z217" s="168">
        <f t="shared" si="7"/>
        <v>0</v>
      </c>
      <c r="AA217" s="168">
        <f t="shared" si="8"/>
        <v>0</v>
      </c>
      <c r="AB217" s="168">
        <f t="shared" si="9"/>
        <v>0</v>
      </c>
    </row>
    <row r="218" ht="14.25" customHeight="1">
      <c r="A218" s="157">
        <v>724.0</v>
      </c>
      <c r="B218" s="169" t="s">
        <v>37</v>
      </c>
      <c r="C218" s="169" t="s">
        <v>759</v>
      </c>
      <c r="D218" s="159">
        <v>42826.0</v>
      </c>
      <c r="E218" s="157" t="s">
        <v>2</v>
      </c>
      <c r="F218" s="160">
        <v>84293.77</v>
      </c>
      <c r="G218" s="160">
        <v>13487.0</v>
      </c>
      <c r="H218" s="160">
        <f t="shared" si="19"/>
        <v>97780.77</v>
      </c>
      <c r="I218" s="160"/>
      <c r="J218" s="161"/>
      <c r="K218" s="160"/>
      <c r="L218" s="160">
        <f>+'FACUS$'!$H218-'FACUS$'!$I218-'FACUS$'!$K218</f>
        <v>97780.77</v>
      </c>
      <c r="M218" s="157" t="s">
        <v>116</v>
      </c>
      <c r="N218" s="162" t="s">
        <v>554</v>
      </c>
      <c r="O218" s="332">
        <v>42864.0</v>
      </c>
      <c r="P218" s="164">
        <f t="array" ref="P218">XLOOKUP('FACUS$'!$B218,'perfil de pagos'!$A$4:$A$46,'perfil de pagos'!$C$4:$C$46+'FACUS$'!$D218)</f>
        <v>42836</v>
      </c>
      <c r="Q218" s="165">
        <f t="shared" si="2"/>
        <v>0</v>
      </c>
      <c r="R218" s="171" t="s">
        <v>7319</v>
      </c>
      <c r="S218" s="171"/>
      <c r="T218" s="171"/>
      <c r="U218" s="333" t="s">
        <v>7271</v>
      </c>
      <c r="V218" s="168">
        <f t="shared" si="3"/>
        <v>97780.77</v>
      </c>
      <c r="W218" s="168">
        <f t="shared" si="4"/>
        <v>0</v>
      </c>
      <c r="X218" s="168">
        <f t="shared" si="5"/>
        <v>0</v>
      </c>
      <c r="Y218" s="168">
        <f t="shared" si="6"/>
        <v>0</v>
      </c>
      <c r="Z218" s="168">
        <f t="shared" si="7"/>
        <v>0</v>
      </c>
      <c r="AA218" s="168">
        <f t="shared" si="8"/>
        <v>0</v>
      </c>
      <c r="AB218" s="168">
        <f t="shared" si="9"/>
        <v>0</v>
      </c>
    </row>
    <row r="219" ht="14.25" customHeight="1">
      <c r="A219" s="157">
        <v>725.0</v>
      </c>
      <c r="B219" s="169" t="s">
        <v>24</v>
      </c>
      <c r="C219" s="169"/>
      <c r="D219" s="159"/>
      <c r="E219" s="157" t="s">
        <v>2</v>
      </c>
      <c r="F219" s="160"/>
      <c r="G219" s="160"/>
      <c r="H219" s="160"/>
      <c r="I219" s="160"/>
      <c r="J219" s="161"/>
      <c r="K219" s="160"/>
      <c r="L219" s="160">
        <f>+'FACUS$'!$H219-'FACUS$'!$I219-'FACUS$'!$K219</f>
        <v>0</v>
      </c>
      <c r="M219" s="157" t="s">
        <v>7320</v>
      </c>
      <c r="N219" s="162" t="s">
        <v>127</v>
      </c>
      <c r="O219" s="332"/>
      <c r="P219" s="164">
        <f t="array" ref="P219">XLOOKUP('FACUS$'!$B219,'perfil de pagos'!$A$4:$A$46,'perfil de pagos'!$C$4:$C$46+'FACUS$'!$D219)</f>
        <v>10</v>
      </c>
      <c r="Q219" s="165" t="str">
        <f t="shared" si="2"/>
        <v>N/A</v>
      </c>
      <c r="R219" s="171"/>
      <c r="S219" s="171"/>
      <c r="T219" s="171"/>
      <c r="U219" s="333" t="s">
        <v>7271</v>
      </c>
      <c r="V219" s="168">
        <f t="shared" si="3"/>
        <v>0</v>
      </c>
      <c r="W219" s="168">
        <f t="shared" si="4"/>
        <v>0</v>
      </c>
      <c r="X219" s="168">
        <f t="shared" si="5"/>
        <v>0</v>
      </c>
      <c r="Y219" s="168">
        <f t="shared" si="6"/>
        <v>0</v>
      </c>
      <c r="Z219" s="168">
        <f t="shared" si="7"/>
        <v>0</v>
      </c>
      <c r="AA219" s="168">
        <f t="shared" si="8"/>
        <v>0</v>
      </c>
      <c r="AB219" s="168">
        <f t="shared" si="9"/>
        <v>0</v>
      </c>
    </row>
    <row r="220" ht="14.25" customHeight="1">
      <c r="A220" s="157">
        <v>726.0</v>
      </c>
      <c r="B220" s="169" t="s">
        <v>24</v>
      </c>
      <c r="C220" s="169" t="s">
        <v>7321</v>
      </c>
      <c r="D220" s="159">
        <v>42856.0</v>
      </c>
      <c r="E220" s="157" t="s">
        <v>2</v>
      </c>
      <c r="F220" s="160">
        <v>75000.0</v>
      </c>
      <c r="G220" s="160">
        <v>12000.0</v>
      </c>
      <c r="H220" s="160">
        <f>F220+G220</f>
        <v>87000</v>
      </c>
      <c r="I220" s="160"/>
      <c r="J220" s="161"/>
      <c r="K220" s="160"/>
      <c r="L220" s="160">
        <f>+'FACUS$'!$H220-'FACUS$'!$I220-'FACUS$'!$K220</f>
        <v>87000</v>
      </c>
      <c r="M220" s="157" t="s">
        <v>7320</v>
      </c>
      <c r="N220" s="162" t="s">
        <v>127</v>
      </c>
      <c r="O220" s="332"/>
      <c r="P220" s="164">
        <f t="array" ref="P220">XLOOKUP('FACUS$'!$B220,'perfil de pagos'!$A$4:$A$46,'perfil de pagos'!$C$4:$C$46+'FACUS$'!$D220)</f>
        <v>42866</v>
      </c>
      <c r="Q220" s="165" t="str">
        <f t="shared" si="2"/>
        <v>N/A</v>
      </c>
      <c r="R220" s="171"/>
      <c r="S220" s="171"/>
      <c r="T220" s="171"/>
      <c r="U220" s="333" t="s">
        <v>7271</v>
      </c>
      <c r="V220" s="168">
        <f t="shared" si="3"/>
        <v>0</v>
      </c>
      <c r="W220" s="168">
        <f t="shared" si="4"/>
        <v>0</v>
      </c>
      <c r="X220" s="168">
        <f t="shared" si="5"/>
        <v>0</v>
      </c>
      <c r="Y220" s="168">
        <f t="shared" si="6"/>
        <v>0</v>
      </c>
      <c r="Z220" s="168">
        <f t="shared" si="7"/>
        <v>0</v>
      </c>
      <c r="AA220" s="168">
        <f t="shared" si="8"/>
        <v>0</v>
      </c>
      <c r="AB220" s="168">
        <f t="shared" si="9"/>
        <v>87000</v>
      </c>
    </row>
    <row r="221" ht="14.25" customHeight="1">
      <c r="A221" s="157">
        <v>730.0</v>
      </c>
      <c r="B221" s="169"/>
      <c r="C221" s="169"/>
      <c r="D221" s="159"/>
      <c r="E221" s="157"/>
      <c r="F221" s="160"/>
      <c r="G221" s="160"/>
      <c r="H221" s="160"/>
      <c r="I221" s="160"/>
      <c r="J221" s="161"/>
      <c r="K221" s="160"/>
      <c r="L221" s="160">
        <f>+'FACUS$'!$H221-'FACUS$'!$I221-'FACUS$'!$K221</f>
        <v>0</v>
      </c>
      <c r="M221" s="157"/>
      <c r="N221" s="162" t="s">
        <v>127</v>
      </c>
      <c r="O221" s="332"/>
      <c r="P221" s="164" t="str">
        <f t="array" ref="P221">XLOOKUP('FACUS$'!$B221,'perfil de pagos'!$A$4:$A$46,'perfil de pagos'!$C$4:$C$46+'FACUS$'!$D221)</f>
        <v>#N/A</v>
      </c>
      <c r="Q221" s="165" t="str">
        <f t="shared" si="2"/>
        <v>N/A</v>
      </c>
      <c r="R221" s="171"/>
      <c r="S221" s="171"/>
      <c r="T221" s="171"/>
      <c r="U221" s="333" t="s">
        <v>7271</v>
      </c>
      <c r="V221" s="168">
        <f t="shared" si="3"/>
        <v>0</v>
      </c>
      <c r="W221" s="168">
        <f t="shared" si="4"/>
        <v>0</v>
      </c>
      <c r="X221" s="168">
        <f t="shared" si="5"/>
        <v>0</v>
      </c>
      <c r="Y221" s="168">
        <f t="shared" si="6"/>
        <v>0</v>
      </c>
      <c r="Z221" s="168">
        <f t="shared" si="7"/>
        <v>0</v>
      </c>
      <c r="AA221" s="168">
        <f t="shared" si="8"/>
        <v>0</v>
      </c>
      <c r="AB221" s="168">
        <f t="shared" si="9"/>
        <v>0</v>
      </c>
    </row>
    <row r="222" ht="14.25" customHeight="1">
      <c r="A222" s="157">
        <v>731.0</v>
      </c>
      <c r="B222" s="169" t="s">
        <v>720</v>
      </c>
      <c r="C222" s="169" t="s">
        <v>794</v>
      </c>
      <c r="D222" s="159">
        <v>42840.0</v>
      </c>
      <c r="E222" s="157" t="s">
        <v>2</v>
      </c>
      <c r="F222" s="160">
        <v>37577.96</v>
      </c>
      <c r="G222" s="160">
        <v>6012.47</v>
      </c>
      <c r="H222" s="160">
        <f t="shared" ref="H222:H266" si="20">F222+G222</f>
        <v>43590.43</v>
      </c>
      <c r="I222" s="160"/>
      <c r="J222" s="161"/>
      <c r="K222" s="160"/>
      <c r="L222" s="160">
        <f>+'FACUS$'!$H222-'FACUS$'!$I222-'FACUS$'!$K222</f>
        <v>43590.43</v>
      </c>
      <c r="M222" s="157" t="s">
        <v>777</v>
      </c>
      <c r="N222" s="162" t="s">
        <v>554</v>
      </c>
      <c r="O222" s="332">
        <v>42881.0</v>
      </c>
      <c r="P222" s="164" t="str">
        <f t="array" ref="P222">XLOOKUP('FACUS$'!$B222,'perfil de pagos'!$A$4:$A$46,'perfil de pagos'!$C$4:$C$46+'FACUS$'!$D222)</f>
        <v>#N/A</v>
      </c>
      <c r="Q222" s="165">
        <f t="shared" si="2"/>
        <v>0</v>
      </c>
      <c r="R222" s="171"/>
      <c r="S222" s="171"/>
      <c r="T222" s="171"/>
      <c r="U222" s="333" t="s">
        <v>7271</v>
      </c>
      <c r="V222" s="168">
        <f t="shared" si="3"/>
        <v>43590.43</v>
      </c>
      <c r="W222" s="168">
        <f t="shared" si="4"/>
        <v>0</v>
      </c>
      <c r="X222" s="168">
        <f t="shared" si="5"/>
        <v>0</v>
      </c>
      <c r="Y222" s="168">
        <f t="shared" si="6"/>
        <v>0</v>
      </c>
      <c r="Z222" s="168">
        <f t="shared" si="7"/>
        <v>0</v>
      </c>
      <c r="AA222" s="168">
        <f t="shared" si="8"/>
        <v>0</v>
      </c>
      <c r="AB222" s="168">
        <f t="shared" si="9"/>
        <v>0</v>
      </c>
    </row>
    <row r="223" ht="14.25" customHeight="1">
      <c r="A223" s="157">
        <v>735.0</v>
      </c>
      <c r="B223" s="169" t="s">
        <v>70</v>
      </c>
      <c r="C223" s="169" t="s">
        <v>759</v>
      </c>
      <c r="D223" s="159">
        <v>42840.0</v>
      </c>
      <c r="E223" s="157" t="s">
        <v>2</v>
      </c>
      <c r="F223" s="160">
        <v>32370.0</v>
      </c>
      <c r="G223" s="160">
        <v>5179.2</v>
      </c>
      <c r="H223" s="160">
        <f t="shared" si="20"/>
        <v>37549.2</v>
      </c>
      <c r="I223" s="160"/>
      <c r="J223" s="161"/>
      <c r="K223" s="160"/>
      <c r="L223" s="160">
        <f>+'FACUS$'!$H223-'FACUS$'!$I223-'FACUS$'!$K223</f>
        <v>37549.2</v>
      </c>
      <c r="M223" s="157" t="s">
        <v>719</v>
      </c>
      <c r="N223" s="162" t="s">
        <v>554</v>
      </c>
      <c r="O223" s="332">
        <v>42867.0</v>
      </c>
      <c r="P223" s="164" t="str">
        <f t="array" ref="P223">XLOOKUP('FACUS$'!$B223,'perfil de pagos'!$A$4:$A$46,'perfil de pagos'!$C$4:$C$46+'FACUS$'!$D223)</f>
        <v>#N/A</v>
      </c>
      <c r="Q223" s="165">
        <f t="shared" si="2"/>
        <v>0</v>
      </c>
      <c r="R223" s="171" t="s">
        <v>7306</v>
      </c>
      <c r="S223" s="171"/>
      <c r="T223" s="171"/>
      <c r="U223" s="333" t="s">
        <v>7271</v>
      </c>
      <c r="V223" s="168">
        <f t="shared" si="3"/>
        <v>37549.2</v>
      </c>
      <c r="W223" s="168">
        <f t="shared" si="4"/>
        <v>0</v>
      </c>
      <c r="X223" s="168">
        <f t="shared" si="5"/>
        <v>0</v>
      </c>
      <c r="Y223" s="168">
        <f t="shared" si="6"/>
        <v>0</v>
      </c>
      <c r="Z223" s="168">
        <f t="shared" si="7"/>
        <v>0</v>
      </c>
      <c r="AA223" s="168">
        <f t="shared" si="8"/>
        <v>0</v>
      </c>
      <c r="AB223" s="168">
        <f t="shared" si="9"/>
        <v>0</v>
      </c>
    </row>
    <row r="224" ht="14.25" customHeight="1">
      <c r="A224" s="157">
        <v>736.0</v>
      </c>
      <c r="B224" s="169" t="s">
        <v>24</v>
      </c>
      <c r="C224" s="169" t="s">
        <v>7321</v>
      </c>
      <c r="D224" s="159">
        <v>42856.0</v>
      </c>
      <c r="E224" s="157" t="s">
        <v>2</v>
      </c>
      <c r="F224" s="160">
        <v>76500.0</v>
      </c>
      <c r="G224" s="160">
        <v>12240.0</v>
      </c>
      <c r="H224" s="160">
        <f t="shared" si="20"/>
        <v>88740</v>
      </c>
      <c r="I224" s="160"/>
      <c r="J224" s="161"/>
      <c r="K224" s="160"/>
      <c r="L224" s="160">
        <f>+'FACUS$'!$H224-'FACUS$'!$I224-'FACUS$'!$K224</f>
        <v>88740</v>
      </c>
      <c r="M224" s="157" t="s">
        <v>7320</v>
      </c>
      <c r="N224" s="162" t="s">
        <v>554</v>
      </c>
      <c r="O224" s="332">
        <v>42853.0</v>
      </c>
      <c r="P224" s="164">
        <f t="array" ref="P224">XLOOKUP('FACUS$'!$B224,'perfil de pagos'!$A$4:$A$46,'perfil de pagos'!$C$4:$C$46+'FACUS$'!$D224)</f>
        <v>42866</v>
      </c>
      <c r="Q224" s="165">
        <f t="shared" si="2"/>
        <v>0</v>
      </c>
      <c r="R224" s="171" t="s">
        <v>7306</v>
      </c>
      <c r="S224" s="171"/>
      <c r="T224" s="171"/>
      <c r="U224" s="333" t="s">
        <v>7271</v>
      </c>
      <c r="V224" s="168">
        <f t="shared" si="3"/>
        <v>88740</v>
      </c>
      <c r="W224" s="168">
        <f t="shared" si="4"/>
        <v>0</v>
      </c>
      <c r="X224" s="168">
        <f t="shared" si="5"/>
        <v>0</v>
      </c>
      <c r="Y224" s="168">
        <f t="shared" si="6"/>
        <v>0</v>
      </c>
      <c r="Z224" s="168">
        <f t="shared" si="7"/>
        <v>0</v>
      </c>
      <c r="AA224" s="168">
        <f t="shared" si="8"/>
        <v>0</v>
      </c>
      <c r="AB224" s="168">
        <f t="shared" si="9"/>
        <v>0</v>
      </c>
    </row>
    <row r="225" ht="14.25" customHeight="1">
      <c r="A225" s="157">
        <v>739.0</v>
      </c>
      <c r="B225" s="169" t="s">
        <v>37</v>
      </c>
      <c r="C225" s="169" t="s">
        <v>759</v>
      </c>
      <c r="D225" s="159">
        <v>42840.0</v>
      </c>
      <c r="E225" s="157" t="s">
        <v>2</v>
      </c>
      <c r="F225" s="160">
        <v>79560.36</v>
      </c>
      <c r="G225" s="160">
        <v>12729.66</v>
      </c>
      <c r="H225" s="160">
        <f t="shared" si="20"/>
        <v>92290.02</v>
      </c>
      <c r="I225" s="160"/>
      <c r="J225" s="161"/>
      <c r="K225" s="160"/>
      <c r="L225" s="160">
        <f>+'FACUS$'!$H225-'FACUS$'!$I225-'FACUS$'!$K225</f>
        <v>92290.02</v>
      </c>
      <c r="M225" s="157" t="s">
        <v>718</v>
      </c>
      <c r="N225" s="162" t="s">
        <v>554</v>
      </c>
      <c r="O225" s="332">
        <v>42885.0</v>
      </c>
      <c r="P225" s="164">
        <f t="array" ref="P225">XLOOKUP('FACUS$'!$B225,'perfil de pagos'!$A$4:$A$46,'perfil de pagos'!$C$4:$C$46+'FACUS$'!$D225)</f>
        <v>42850</v>
      </c>
      <c r="Q225" s="165">
        <f t="shared" si="2"/>
        <v>0</v>
      </c>
      <c r="R225" s="171" t="s">
        <v>7306</v>
      </c>
      <c r="S225" s="171"/>
      <c r="T225" s="171"/>
      <c r="U225" s="333" t="s">
        <v>7271</v>
      </c>
      <c r="V225" s="168">
        <f t="shared" si="3"/>
        <v>92290.02</v>
      </c>
      <c r="W225" s="168">
        <f t="shared" si="4"/>
        <v>0</v>
      </c>
      <c r="X225" s="168">
        <f t="shared" si="5"/>
        <v>0</v>
      </c>
      <c r="Y225" s="168">
        <f t="shared" si="6"/>
        <v>0</v>
      </c>
      <c r="Z225" s="168">
        <f t="shared" si="7"/>
        <v>0</v>
      </c>
      <c r="AA225" s="168">
        <f t="shared" si="8"/>
        <v>0</v>
      </c>
      <c r="AB225" s="168">
        <f t="shared" si="9"/>
        <v>0</v>
      </c>
    </row>
    <row r="226" ht="14.25" customHeight="1">
      <c r="A226" s="157">
        <v>741.0</v>
      </c>
      <c r="B226" s="169" t="s">
        <v>70</v>
      </c>
      <c r="C226" s="169" t="s">
        <v>759</v>
      </c>
      <c r="D226" s="159">
        <v>42856.0</v>
      </c>
      <c r="E226" s="157" t="s">
        <v>2</v>
      </c>
      <c r="F226" s="160">
        <v>42165.0</v>
      </c>
      <c r="G226" s="160">
        <v>6746.4</v>
      </c>
      <c r="H226" s="160">
        <f t="shared" si="20"/>
        <v>48911.4</v>
      </c>
      <c r="I226" s="160"/>
      <c r="J226" s="161"/>
      <c r="K226" s="160"/>
      <c r="L226" s="160">
        <f>+'FACUS$'!$H226-'FACUS$'!$I226-'FACUS$'!$K226</f>
        <v>48911.4</v>
      </c>
      <c r="M226" s="157" t="s">
        <v>719</v>
      </c>
      <c r="N226" s="162" t="s">
        <v>554</v>
      </c>
      <c r="O226" s="332"/>
      <c r="P226" s="164" t="str">
        <f t="array" ref="P226">XLOOKUP('FACUS$'!$B226,'perfil de pagos'!$A$4:$A$46,'perfil de pagos'!$C$4:$C$46+'FACUS$'!$D226)</f>
        <v>#N/A</v>
      </c>
      <c r="Q226" s="165">
        <f t="shared" si="2"/>
        <v>0</v>
      </c>
      <c r="R226" s="171"/>
      <c r="S226" s="171"/>
      <c r="T226" s="171"/>
      <c r="U226" s="333" t="s">
        <v>7271</v>
      </c>
      <c r="V226" s="168">
        <f t="shared" si="3"/>
        <v>48911.4</v>
      </c>
      <c r="W226" s="168">
        <f t="shared" si="4"/>
        <v>0</v>
      </c>
      <c r="X226" s="168">
        <f t="shared" si="5"/>
        <v>0</v>
      </c>
      <c r="Y226" s="168">
        <f t="shared" si="6"/>
        <v>0</v>
      </c>
      <c r="Z226" s="168">
        <f t="shared" si="7"/>
        <v>0</v>
      </c>
      <c r="AA226" s="168">
        <f t="shared" si="8"/>
        <v>0</v>
      </c>
      <c r="AB226" s="168">
        <f t="shared" si="9"/>
        <v>0</v>
      </c>
    </row>
    <row r="227" ht="14.25" customHeight="1">
      <c r="A227" s="157">
        <v>744.0</v>
      </c>
      <c r="B227" s="169" t="s">
        <v>720</v>
      </c>
      <c r="C227" s="169" t="s">
        <v>794</v>
      </c>
      <c r="D227" s="159">
        <v>42856.0</v>
      </c>
      <c r="E227" s="157" t="s">
        <v>2</v>
      </c>
      <c r="F227" s="160">
        <v>21072.0</v>
      </c>
      <c r="G227" s="160">
        <v>3371.52</v>
      </c>
      <c r="H227" s="160">
        <f t="shared" si="20"/>
        <v>24443.52</v>
      </c>
      <c r="I227" s="160"/>
      <c r="J227" s="161"/>
      <c r="K227" s="160"/>
      <c r="L227" s="160">
        <f>+'FACUS$'!$H227-'FACUS$'!$I227-'FACUS$'!$K227</f>
        <v>24443.52</v>
      </c>
      <c r="M227" s="157" t="s">
        <v>777</v>
      </c>
      <c r="N227" s="162" t="s">
        <v>127</v>
      </c>
      <c r="O227" s="332"/>
      <c r="P227" s="164" t="str">
        <f t="array" ref="P227">XLOOKUP('FACUS$'!$B227,'perfil de pagos'!$A$4:$A$46,'perfil de pagos'!$C$4:$C$46+'FACUS$'!$D227)</f>
        <v>#N/A</v>
      </c>
      <c r="Q227" s="165" t="str">
        <f t="shared" si="2"/>
        <v>N/A</v>
      </c>
      <c r="R227" s="171"/>
      <c r="S227" s="171"/>
      <c r="T227" s="171"/>
      <c r="U227" s="333" t="s">
        <v>7271</v>
      </c>
      <c r="V227" s="168">
        <f t="shared" si="3"/>
        <v>0</v>
      </c>
      <c r="W227" s="168">
        <f t="shared" si="4"/>
        <v>0</v>
      </c>
      <c r="X227" s="168">
        <f t="shared" si="5"/>
        <v>0</v>
      </c>
      <c r="Y227" s="168">
        <f t="shared" si="6"/>
        <v>0</v>
      </c>
      <c r="Z227" s="168">
        <f t="shared" si="7"/>
        <v>0</v>
      </c>
      <c r="AA227" s="168">
        <f t="shared" si="8"/>
        <v>0</v>
      </c>
      <c r="AB227" s="168">
        <f t="shared" si="9"/>
        <v>24443.52</v>
      </c>
    </row>
    <row r="228" ht="14.25" customHeight="1">
      <c r="A228" s="157">
        <v>748.0</v>
      </c>
      <c r="B228" s="169" t="s">
        <v>720</v>
      </c>
      <c r="C228" s="169" t="s">
        <v>794</v>
      </c>
      <c r="D228" s="159">
        <v>42856.0</v>
      </c>
      <c r="E228" s="157" t="s">
        <v>2</v>
      </c>
      <c r="F228" s="160">
        <v>21072.0</v>
      </c>
      <c r="G228" s="160">
        <v>3371.52</v>
      </c>
      <c r="H228" s="160">
        <f t="shared" si="20"/>
        <v>24443.52</v>
      </c>
      <c r="I228" s="160"/>
      <c r="J228" s="161"/>
      <c r="K228" s="160"/>
      <c r="L228" s="160">
        <f>+'FACUS$'!$H228-'FACUS$'!$I228-'FACUS$'!$K228</f>
        <v>24443.52</v>
      </c>
      <c r="M228" s="157" t="s">
        <v>777</v>
      </c>
      <c r="N228" s="162" t="s">
        <v>554</v>
      </c>
      <c r="O228" s="332">
        <v>42879.0</v>
      </c>
      <c r="P228" s="164" t="str">
        <f t="array" ref="P228">XLOOKUP('FACUS$'!$B228,'perfil de pagos'!$A$4:$A$46,'perfil de pagos'!$C$4:$C$46+'FACUS$'!$D228)</f>
        <v>#N/A</v>
      </c>
      <c r="Q228" s="165">
        <f t="shared" si="2"/>
        <v>0</v>
      </c>
      <c r="R228" s="171"/>
      <c r="S228" s="171"/>
      <c r="T228" s="171"/>
      <c r="U228" s="333" t="s">
        <v>7271</v>
      </c>
      <c r="V228" s="168">
        <f t="shared" si="3"/>
        <v>24443.52</v>
      </c>
      <c r="W228" s="168">
        <f t="shared" si="4"/>
        <v>0</v>
      </c>
      <c r="X228" s="168">
        <f t="shared" si="5"/>
        <v>0</v>
      </c>
      <c r="Y228" s="168">
        <f t="shared" si="6"/>
        <v>0</v>
      </c>
      <c r="Z228" s="168">
        <f t="shared" si="7"/>
        <v>0</v>
      </c>
      <c r="AA228" s="168">
        <f t="shared" si="8"/>
        <v>0</v>
      </c>
      <c r="AB228" s="168">
        <f t="shared" si="9"/>
        <v>0</v>
      </c>
    </row>
    <row r="229" ht="14.25" customHeight="1">
      <c r="A229" s="157">
        <v>750.0</v>
      </c>
      <c r="B229" s="169" t="s">
        <v>37</v>
      </c>
      <c r="C229" s="169" t="s">
        <v>759</v>
      </c>
      <c r="D229" s="159">
        <v>42856.0</v>
      </c>
      <c r="E229" s="157" t="s">
        <v>2</v>
      </c>
      <c r="F229" s="160">
        <v>89662.1</v>
      </c>
      <c r="G229" s="160">
        <v>14345.94</v>
      </c>
      <c r="H229" s="160">
        <f t="shared" si="20"/>
        <v>104008.04</v>
      </c>
      <c r="I229" s="160"/>
      <c r="J229" s="161"/>
      <c r="K229" s="160"/>
      <c r="L229" s="160">
        <f>+'FACUS$'!$H229-'FACUS$'!$I229-'FACUS$'!$K229</f>
        <v>104008.04</v>
      </c>
      <c r="M229" s="157" t="s">
        <v>718</v>
      </c>
      <c r="N229" s="162" t="s">
        <v>554</v>
      </c>
      <c r="O229" s="332">
        <v>42892.0</v>
      </c>
      <c r="P229" s="164">
        <f t="array" ref="P229">XLOOKUP('FACUS$'!$B229,'perfil de pagos'!$A$4:$A$46,'perfil de pagos'!$C$4:$C$46+'FACUS$'!$D229)</f>
        <v>42866</v>
      </c>
      <c r="Q229" s="165">
        <f t="shared" si="2"/>
        <v>0</v>
      </c>
      <c r="R229" s="171"/>
      <c r="S229" s="171"/>
      <c r="T229" s="171"/>
      <c r="U229" s="333" t="s">
        <v>7271</v>
      </c>
      <c r="V229" s="168">
        <f t="shared" si="3"/>
        <v>104008.04</v>
      </c>
      <c r="W229" s="168">
        <f t="shared" si="4"/>
        <v>0</v>
      </c>
      <c r="X229" s="168">
        <f t="shared" si="5"/>
        <v>0</v>
      </c>
      <c r="Y229" s="168">
        <f t="shared" si="6"/>
        <v>0</v>
      </c>
      <c r="Z229" s="168">
        <f t="shared" si="7"/>
        <v>0</v>
      </c>
      <c r="AA229" s="168">
        <f t="shared" si="8"/>
        <v>0</v>
      </c>
      <c r="AB229" s="168">
        <f t="shared" si="9"/>
        <v>0</v>
      </c>
    </row>
    <row r="230" ht="14.25" customHeight="1">
      <c r="A230" s="157">
        <v>751.0</v>
      </c>
      <c r="B230" s="169" t="s">
        <v>70</v>
      </c>
      <c r="C230" s="170" t="s">
        <v>759</v>
      </c>
      <c r="D230" s="159">
        <v>42644.0</v>
      </c>
      <c r="E230" s="157" t="s">
        <v>2</v>
      </c>
      <c r="F230" s="160">
        <v>22837.5</v>
      </c>
      <c r="G230" s="160">
        <v>3654.0</v>
      </c>
      <c r="H230" s="160">
        <f t="shared" si="20"/>
        <v>26491.5</v>
      </c>
      <c r="I230" s="160"/>
      <c r="J230" s="161"/>
      <c r="K230" s="160"/>
      <c r="L230" s="160">
        <f>+'FACUS$'!$H230-'FACUS$'!$I230-'FACUS$'!$K230</f>
        <v>26491.5</v>
      </c>
      <c r="M230" s="157" t="s">
        <v>719</v>
      </c>
      <c r="N230" s="162" t="s">
        <v>127</v>
      </c>
      <c r="O230" s="332"/>
      <c r="P230" s="164" t="str">
        <f t="array" ref="P230">XLOOKUP('FACUS$'!$B230,'perfil de pagos'!$A$4:$A$46,'perfil de pagos'!$C$4:$C$46+'FACUS$'!$D230)</f>
        <v>#N/A</v>
      </c>
      <c r="Q230" s="165" t="str">
        <f t="shared" si="2"/>
        <v>N/A</v>
      </c>
      <c r="R230" s="171"/>
      <c r="S230" s="171"/>
      <c r="T230" s="171"/>
      <c r="U230" s="333" t="s">
        <v>7271</v>
      </c>
      <c r="V230" s="168">
        <f t="shared" si="3"/>
        <v>0</v>
      </c>
      <c r="W230" s="168">
        <f t="shared" si="4"/>
        <v>0</v>
      </c>
      <c r="X230" s="168">
        <f t="shared" si="5"/>
        <v>0</v>
      </c>
      <c r="Y230" s="168">
        <f t="shared" si="6"/>
        <v>0</v>
      </c>
      <c r="Z230" s="168">
        <f t="shared" si="7"/>
        <v>0</v>
      </c>
      <c r="AA230" s="168">
        <f t="shared" si="8"/>
        <v>0</v>
      </c>
      <c r="AB230" s="168">
        <f t="shared" si="9"/>
        <v>26491.5</v>
      </c>
    </row>
    <row r="231" ht="14.25" customHeight="1">
      <c r="A231" s="157">
        <v>752.0</v>
      </c>
      <c r="B231" s="169" t="s">
        <v>70</v>
      </c>
      <c r="C231" s="169" t="s">
        <v>759</v>
      </c>
      <c r="D231" s="159">
        <v>43009.0</v>
      </c>
      <c r="E231" s="157" t="s">
        <v>2</v>
      </c>
      <c r="F231" s="160">
        <v>22837.5</v>
      </c>
      <c r="G231" s="160">
        <v>3654.0</v>
      </c>
      <c r="H231" s="160">
        <f t="shared" si="20"/>
        <v>26491.5</v>
      </c>
      <c r="I231" s="160"/>
      <c r="J231" s="161"/>
      <c r="K231" s="160"/>
      <c r="L231" s="160">
        <f>+'FACUS$'!$H231-'FACUS$'!$I231-'FACUS$'!$K231</f>
        <v>26491.5</v>
      </c>
      <c r="M231" s="157" t="s">
        <v>719</v>
      </c>
      <c r="N231" s="162" t="s">
        <v>554</v>
      </c>
      <c r="O231" s="332">
        <v>42899.0</v>
      </c>
      <c r="P231" s="164" t="str">
        <f t="array" ref="P231">XLOOKUP('FACUS$'!$B231,'perfil de pagos'!$A$4:$A$46,'perfil de pagos'!$C$4:$C$46+'FACUS$'!$D231)</f>
        <v>#N/A</v>
      </c>
      <c r="Q231" s="165">
        <f t="shared" si="2"/>
        <v>0</v>
      </c>
      <c r="R231" s="171"/>
      <c r="S231" s="171"/>
      <c r="T231" s="171"/>
      <c r="U231" s="333" t="s">
        <v>7271</v>
      </c>
      <c r="V231" s="168">
        <f t="shared" si="3"/>
        <v>26491.5</v>
      </c>
      <c r="W231" s="168">
        <f t="shared" si="4"/>
        <v>0</v>
      </c>
      <c r="X231" s="168">
        <f t="shared" si="5"/>
        <v>0</v>
      </c>
      <c r="Y231" s="168">
        <f t="shared" si="6"/>
        <v>0</v>
      </c>
      <c r="Z231" s="168">
        <f t="shared" si="7"/>
        <v>0</v>
      </c>
      <c r="AA231" s="168">
        <f t="shared" si="8"/>
        <v>0</v>
      </c>
      <c r="AB231" s="168">
        <f t="shared" si="9"/>
        <v>0</v>
      </c>
    </row>
    <row r="232" ht="14.25" customHeight="1">
      <c r="A232" s="157">
        <v>753.0</v>
      </c>
      <c r="B232" s="169" t="s">
        <v>70</v>
      </c>
      <c r="C232" s="170" t="s">
        <v>759</v>
      </c>
      <c r="D232" s="159">
        <v>42689.0</v>
      </c>
      <c r="E232" s="157" t="s">
        <v>2</v>
      </c>
      <c r="F232" s="160">
        <v>28462.5</v>
      </c>
      <c r="G232" s="160">
        <v>4554.0</v>
      </c>
      <c r="H232" s="160">
        <f t="shared" si="20"/>
        <v>33016.5</v>
      </c>
      <c r="I232" s="160"/>
      <c r="J232" s="161"/>
      <c r="K232" s="160"/>
      <c r="L232" s="160">
        <f>+'FACUS$'!$H232-'FACUS$'!$I232-'FACUS$'!$K232</f>
        <v>33016.5</v>
      </c>
      <c r="M232" s="157" t="s">
        <v>719</v>
      </c>
      <c r="N232" s="162" t="s">
        <v>554</v>
      </c>
      <c r="O232" s="332">
        <v>42899.0</v>
      </c>
      <c r="P232" s="164" t="str">
        <f t="array" ref="P232">XLOOKUP('FACUS$'!$B232,'perfil de pagos'!$A$4:$A$46,'perfil de pagos'!$C$4:$C$46+'FACUS$'!$D232)</f>
        <v>#N/A</v>
      </c>
      <c r="Q232" s="165">
        <f t="shared" si="2"/>
        <v>0</v>
      </c>
      <c r="R232" s="171"/>
      <c r="S232" s="171"/>
      <c r="T232" s="171"/>
      <c r="U232" s="333" t="s">
        <v>7271</v>
      </c>
      <c r="V232" s="168">
        <f t="shared" si="3"/>
        <v>33016.5</v>
      </c>
      <c r="W232" s="168">
        <f t="shared" si="4"/>
        <v>0</v>
      </c>
      <c r="X232" s="168">
        <f t="shared" si="5"/>
        <v>0</v>
      </c>
      <c r="Y232" s="168">
        <f t="shared" si="6"/>
        <v>0</v>
      </c>
      <c r="Z232" s="168">
        <f t="shared" si="7"/>
        <v>0</v>
      </c>
      <c r="AA232" s="168">
        <f t="shared" si="8"/>
        <v>0</v>
      </c>
      <c r="AB232" s="168">
        <f t="shared" si="9"/>
        <v>0</v>
      </c>
    </row>
    <row r="233" ht="14.25" customHeight="1">
      <c r="A233" s="157">
        <v>755.0</v>
      </c>
      <c r="B233" s="169" t="s">
        <v>70</v>
      </c>
      <c r="C233" s="169" t="s">
        <v>759</v>
      </c>
      <c r="D233" s="159">
        <v>42491.0</v>
      </c>
      <c r="E233" s="157" t="s">
        <v>2</v>
      </c>
      <c r="F233" s="160">
        <v>32767.5</v>
      </c>
      <c r="G233" s="160">
        <v>5242.8</v>
      </c>
      <c r="H233" s="160">
        <f t="shared" si="20"/>
        <v>38010.3</v>
      </c>
      <c r="I233" s="160"/>
      <c r="J233" s="161"/>
      <c r="K233" s="160"/>
      <c r="L233" s="160">
        <f>+'FACUS$'!$H233-'FACUS$'!$I233-'FACUS$'!$K233</f>
        <v>38010.3</v>
      </c>
      <c r="M233" s="157" t="s">
        <v>719</v>
      </c>
      <c r="N233" s="162" t="s">
        <v>554</v>
      </c>
      <c r="O233" s="332">
        <v>42899.0</v>
      </c>
      <c r="P233" s="164" t="str">
        <f t="array" ref="P233">XLOOKUP('FACUS$'!$B233,'perfil de pagos'!$A$4:$A$46,'perfil de pagos'!$C$4:$C$46+'FACUS$'!$D233)</f>
        <v>#N/A</v>
      </c>
      <c r="Q233" s="165">
        <f t="shared" si="2"/>
        <v>0</v>
      </c>
      <c r="R233" s="171"/>
      <c r="S233" s="171"/>
      <c r="T233" s="171"/>
      <c r="U233" s="333" t="s">
        <v>7271</v>
      </c>
      <c r="V233" s="168">
        <f t="shared" si="3"/>
        <v>38010.3</v>
      </c>
      <c r="W233" s="168">
        <f t="shared" si="4"/>
        <v>0</v>
      </c>
      <c r="X233" s="168">
        <f t="shared" si="5"/>
        <v>0</v>
      </c>
      <c r="Y233" s="168">
        <f t="shared" si="6"/>
        <v>0</v>
      </c>
      <c r="Z233" s="168">
        <f t="shared" si="7"/>
        <v>0</v>
      </c>
      <c r="AA233" s="168">
        <f t="shared" si="8"/>
        <v>0</v>
      </c>
      <c r="AB233" s="168">
        <f t="shared" si="9"/>
        <v>0</v>
      </c>
    </row>
    <row r="234" ht="14.25" customHeight="1">
      <c r="A234" s="157">
        <v>757.0</v>
      </c>
      <c r="B234" s="169" t="s">
        <v>720</v>
      </c>
      <c r="C234" s="170" t="s">
        <v>794</v>
      </c>
      <c r="D234" s="159">
        <v>42870.0</v>
      </c>
      <c r="E234" s="157" t="s">
        <v>2</v>
      </c>
      <c r="F234" s="160">
        <v>18735.18</v>
      </c>
      <c r="G234" s="160">
        <v>2997.63</v>
      </c>
      <c r="H234" s="160">
        <f t="shared" si="20"/>
        <v>21732.81</v>
      </c>
      <c r="I234" s="160"/>
      <c r="J234" s="161"/>
      <c r="K234" s="160"/>
      <c r="L234" s="160">
        <f>+'FACUS$'!$H234-'FACUS$'!$I234-'FACUS$'!$K234</f>
        <v>21732.81</v>
      </c>
      <c r="M234" s="157" t="s">
        <v>777</v>
      </c>
      <c r="N234" s="162" t="s">
        <v>554</v>
      </c>
      <c r="O234" s="332">
        <v>42912.0</v>
      </c>
      <c r="P234" s="164" t="str">
        <f t="array" ref="P234">XLOOKUP('FACUS$'!$B234,'perfil de pagos'!$A$4:$A$46,'perfil de pagos'!$C$4:$C$46+'FACUS$'!$D234)</f>
        <v>#N/A</v>
      </c>
      <c r="Q234" s="165">
        <f t="shared" si="2"/>
        <v>0</v>
      </c>
      <c r="R234" s="171"/>
      <c r="S234" s="171"/>
      <c r="T234" s="171"/>
      <c r="U234" s="333" t="s">
        <v>7271</v>
      </c>
      <c r="V234" s="168">
        <f t="shared" si="3"/>
        <v>21732.81</v>
      </c>
      <c r="W234" s="168">
        <f t="shared" si="4"/>
        <v>0</v>
      </c>
      <c r="X234" s="168">
        <f t="shared" si="5"/>
        <v>0</v>
      </c>
      <c r="Y234" s="168">
        <f t="shared" si="6"/>
        <v>0</v>
      </c>
      <c r="Z234" s="168">
        <f t="shared" si="7"/>
        <v>0</v>
      </c>
      <c r="AA234" s="168">
        <f t="shared" si="8"/>
        <v>0</v>
      </c>
      <c r="AB234" s="168">
        <f t="shared" si="9"/>
        <v>0</v>
      </c>
    </row>
    <row r="235" ht="14.25" customHeight="1">
      <c r="A235" s="157">
        <v>760.0</v>
      </c>
      <c r="B235" s="169" t="s">
        <v>37</v>
      </c>
      <c r="C235" s="169" t="s">
        <v>759</v>
      </c>
      <c r="D235" s="159">
        <v>42870.0</v>
      </c>
      <c r="E235" s="157" t="s">
        <v>2</v>
      </c>
      <c r="F235" s="160">
        <v>99837.1</v>
      </c>
      <c r="G235" s="160">
        <v>15973.94</v>
      </c>
      <c r="H235" s="160">
        <f t="shared" si="20"/>
        <v>115811.04</v>
      </c>
      <c r="I235" s="160"/>
      <c r="J235" s="161"/>
      <c r="K235" s="160"/>
      <c r="L235" s="160">
        <f>+'FACUS$'!$H235-'FACUS$'!$I235-'FACUS$'!$K235</f>
        <v>115811.04</v>
      </c>
      <c r="M235" s="157" t="s">
        <v>718</v>
      </c>
      <c r="N235" s="162" t="s">
        <v>554</v>
      </c>
      <c r="O235" s="332">
        <v>42912.0</v>
      </c>
      <c r="P235" s="164">
        <f t="array" ref="P235">XLOOKUP('FACUS$'!$B235,'perfil de pagos'!$A$4:$A$46,'perfil de pagos'!$C$4:$C$46+'FACUS$'!$D235)</f>
        <v>42880</v>
      </c>
      <c r="Q235" s="165">
        <f t="shared" si="2"/>
        <v>0</v>
      </c>
      <c r="R235" s="171"/>
      <c r="S235" s="171"/>
      <c r="T235" s="171"/>
      <c r="U235" s="333" t="s">
        <v>7271</v>
      </c>
      <c r="V235" s="168">
        <f t="shared" si="3"/>
        <v>115811.04</v>
      </c>
      <c r="W235" s="168">
        <f t="shared" si="4"/>
        <v>0</v>
      </c>
      <c r="X235" s="168">
        <f t="shared" si="5"/>
        <v>0</v>
      </c>
      <c r="Y235" s="168">
        <f t="shared" si="6"/>
        <v>0</v>
      </c>
      <c r="Z235" s="168">
        <f t="shared" si="7"/>
        <v>0</v>
      </c>
      <c r="AA235" s="168">
        <f t="shared" si="8"/>
        <v>0</v>
      </c>
      <c r="AB235" s="168">
        <f t="shared" si="9"/>
        <v>0</v>
      </c>
    </row>
    <row r="236" ht="14.25" customHeight="1">
      <c r="A236" s="157">
        <v>763.0</v>
      </c>
      <c r="B236" s="169" t="s">
        <v>70</v>
      </c>
      <c r="C236" s="169" t="s">
        <v>759</v>
      </c>
      <c r="D236" s="159">
        <v>42870.0</v>
      </c>
      <c r="E236" s="157" t="s">
        <v>2</v>
      </c>
      <c r="F236" s="160">
        <v>22042.5</v>
      </c>
      <c r="G236" s="160">
        <v>3526.8</v>
      </c>
      <c r="H236" s="160">
        <f t="shared" si="20"/>
        <v>25569.3</v>
      </c>
      <c r="I236" s="160"/>
      <c r="J236" s="161"/>
      <c r="K236" s="160"/>
      <c r="L236" s="160">
        <f>+'FACUS$'!$H236-'FACUS$'!$I236-'FACUS$'!$K236</f>
        <v>25569.3</v>
      </c>
      <c r="M236" s="157" t="s">
        <v>719</v>
      </c>
      <c r="N236" s="162" t="s">
        <v>554</v>
      </c>
      <c r="O236" s="332">
        <v>42900.0</v>
      </c>
      <c r="P236" s="164" t="str">
        <f t="array" ref="P236">XLOOKUP('FACUS$'!$B236,'perfil de pagos'!$A$4:$A$46,'perfil de pagos'!$C$4:$C$46+'FACUS$'!$D236)</f>
        <v>#N/A</v>
      </c>
      <c r="Q236" s="165">
        <f t="shared" si="2"/>
        <v>0</v>
      </c>
      <c r="R236" s="171"/>
      <c r="S236" s="171"/>
      <c r="T236" s="171"/>
      <c r="U236" s="333" t="s">
        <v>7271</v>
      </c>
      <c r="V236" s="168">
        <f t="shared" si="3"/>
        <v>25569.3</v>
      </c>
      <c r="W236" s="168">
        <f t="shared" si="4"/>
        <v>0</v>
      </c>
      <c r="X236" s="168">
        <f t="shared" si="5"/>
        <v>0</v>
      </c>
      <c r="Y236" s="168">
        <f t="shared" si="6"/>
        <v>0</v>
      </c>
      <c r="Z236" s="168">
        <f t="shared" si="7"/>
        <v>0</v>
      </c>
      <c r="AA236" s="168">
        <f t="shared" si="8"/>
        <v>0</v>
      </c>
      <c r="AB236" s="168">
        <f t="shared" si="9"/>
        <v>0</v>
      </c>
    </row>
    <row r="237" ht="14.25" customHeight="1">
      <c r="A237" s="157">
        <v>764.0</v>
      </c>
      <c r="B237" s="169" t="s">
        <v>82</v>
      </c>
      <c r="C237" s="169" t="s">
        <v>788</v>
      </c>
      <c r="D237" s="159"/>
      <c r="E237" s="157" t="s">
        <v>2</v>
      </c>
      <c r="F237" s="160">
        <v>10589.17</v>
      </c>
      <c r="G237" s="160">
        <v>1694.27</v>
      </c>
      <c r="H237" s="160">
        <f t="shared" si="20"/>
        <v>12283.44</v>
      </c>
      <c r="I237" s="160"/>
      <c r="J237" s="161"/>
      <c r="K237" s="160"/>
      <c r="L237" s="160">
        <f>+'FACUS$'!$H237-'FACUS$'!$I237-'FACUS$'!$K237</f>
        <v>12283.44</v>
      </c>
      <c r="M237" s="157" t="s">
        <v>714</v>
      </c>
      <c r="N237" s="157" t="s">
        <v>7322</v>
      </c>
      <c r="O237" s="332"/>
      <c r="P237" s="164" t="str">
        <f t="array" ref="P237">XLOOKUP('FACUS$'!$B237,'perfil de pagos'!$A$4:$A$46,'perfil de pagos'!$C$4:$C$46+'FACUS$'!$D237)</f>
        <v>#N/A</v>
      </c>
      <c r="Q237" s="165" t="b">
        <f t="shared" si="2"/>
        <v>0</v>
      </c>
      <c r="R237" s="171"/>
      <c r="S237" s="171"/>
      <c r="T237" s="171"/>
      <c r="U237" s="333" t="s">
        <v>7271</v>
      </c>
      <c r="V237" s="168">
        <f t="shared" si="3"/>
        <v>0</v>
      </c>
      <c r="W237" s="168">
        <f t="shared" si="4"/>
        <v>0</v>
      </c>
      <c r="X237" s="168">
        <f t="shared" si="5"/>
        <v>0</v>
      </c>
      <c r="Y237" s="168">
        <f t="shared" si="6"/>
        <v>0</v>
      </c>
      <c r="Z237" s="168">
        <f t="shared" si="7"/>
        <v>0</v>
      </c>
      <c r="AA237" s="168">
        <f t="shared" si="8"/>
        <v>0</v>
      </c>
      <c r="AB237" s="168">
        <f t="shared" si="9"/>
        <v>12283.44</v>
      </c>
    </row>
    <row r="238" ht="14.25" customHeight="1">
      <c r="A238" s="157">
        <v>767.0</v>
      </c>
      <c r="B238" s="169" t="s">
        <v>720</v>
      </c>
      <c r="C238" s="169" t="s">
        <v>794</v>
      </c>
      <c r="D238" s="159">
        <v>42887.0</v>
      </c>
      <c r="E238" s="157" t="s">
        <v>2</v>
      </c>
      <c r="F238" s="160">
        <v>17997.71</v>
      </c>
      <c r="G238" s="160">
        <v>2879.63</v>
      </c>
      <c r="H238" s="160">
        <f t="shared" si="20"/>
        <v>20877.34</v>
      </c>
      <c r="I238" s="160"/>
      <c r="J238" s="161"/>
      <c r="K238" s="160"/>
      <c r="L238" s="160">
        <f>+'FACUS$'!$H238-'FACUS$'!$I238-'FACUS$'!$K238</f>
        <v>20877.34</v>
      </c>
      <c r="M238" s="157" t="s">
        <v>777</v>
      </c>
      <c r="N238" s="162" t="s">
        <v>554</v>
      </c>
      <c r="O238" s="332">
        <v>42916.0</v>
      </c>
      <c r="P238" s="164" t="str">
        <f t="array" ref="P238">XLOOKUP('FACUS$'!$B238,'perfil de pagos'!$A$4:$A$46,'perfil de pagos'!$C$4:$C$46+'FACUS$'!$D238)</f>
        <v>#N/A</v>
      </c>
      <c r="Q238" s="165">
        <f t="shared" si="2"/>
        <v>0</v>
      </c>
      <c r="R238" s="171"/>
      <c r="S238" s="171"/>
      <c r="T238" s="171"/>
      <c r="U238" s="333" t="s">
        <v>7271</v>
      </c>
      <c r="V238" s="168">
        <f t="shared" si="3"/>
        <v>20877.34</v>
      </c>
      <c r="W238" s="168">
        <f t="shared" si="4"/>
        <v>0</v>
      </c>
      <c r="X238" s="168">
        <f t="shared" si="5"/>
        <v>0</v>
      </c>
      <c r="Y238" s="168">
        <f t="shared" si="6"/>
        <v>0</v>
      </c>
      <c r="Z238" s="168">
        <f t="shared" si="7"/>
        <v>0</v>
      </c>
      <c r="AA238" s="168">
        <f t="shared" si="8"/>
        <v>0</v>
      </c>
      <c r="AB238" s="168">
        <f t="shared" si="9"/>
        <v>0</v>
      </c>
    </row>
    <row r="239" ht="14.25" customHeight="1">
      <c r="A239" s="157">
        <v>769.0</v>
      </c>
      <c r="B239" s="169" t="s">
        <v>70</v>
      </c>
      <c r="C239" s="169" t="s">
        <v>759</v>
      </c>
      <c r="D239" s="159">
        <v>42887.0</v>
      </c>
      <c r="E239" s="157" t="s">
        <v>2</v>
      </c>
      <c r="F239" s="160">
        <v>23407.5</v>
      </c>
      <c r="G239" s="160">
        <v>3745.2</v>
      </c>
      <c r="H239" s="160">
        <f t="shared" si="20"/>
        <v>27152.7</v>
      </c>
      <c r="I239" s="160"/>
      <c r="J239" s="161"/>
      <c r="K239" s="160"/>
      <c r="L239" s="160">
        <f>+'FACUS$'!$H239-'FACUS$'!$I239-'FACUS$'!$K239</f>
        <v>27152.7</v>
      </c>
      <c r="M239" s="157" t="s">
        <v>719</v>
      </c>
      <c r="N239" s="162" t="s">
        <v>554</v>
      </c>
      <c r="O239" s="332">
        <v>42923.0</v>
      </c>
      <c r="P239" s="164" t="str">
        <f t="array" ref="P239">XLOOKUP('FACUS$'!$B239,'perfil de pagos'!$A$4:$A$46,'perfil de pagos'!$C$4:$C$46+'FACUS$'!$D239)</f>
        <v>#N/A</v>
      </c>
      <c r="Q239" s="165">
        <f t="shared" si="2"/>
        <v>0</v>
      </c>
      <c r="R239" s="171"/>
      <c r="S239" s="171"/>
      <c r="T239" s="171"/>
      <c r="U239" s="333" t="s">
        <v>7271</v>
      </c>
      <c r="V239" s="168">
        <f t="shared" si="3"/>
        <v>27152.7</v>
      </c>
      <c r="W239" s="168">
        <f t="shared" si="4"/>
        <v>0</v>
      </c>
      <c r="X239" s="168">
        <f t="shared" si="5"/>
        <v>0</v>
      </c>
      <c r="Y239" s="168">
        <f t="shared" si="6"/>
        <v>0</v>
      </c>
      <c r="Z239" s="168">
        <f t="shared" si="7"/>
        <v>0</v>
      </c>
      <c r="AA239" s="168">
        <f t="shared" si="8"/>
        <v>0</v>
      </c>
      <c r="AB239" s="168">
        <f t="shared" si="9"/>
        <v>0</v>
      </c>
    </row>
    <row r="240" ht="14.25" customHeight="1">
      <c r="A240" s="157">
        <v>776.0</v>
      </c>
      <c r="B240" s="169" t="s">
        <v>720</v>
      </c>
      <c r="C240" s="169" t="s">
        <v>794</v>
      </c>
      <c r="D240" s="159">
        <v>42901.0</v>
      </c>
      <c r="E240" s="157" t="s">
        <v>2</v>
      </c>
      <c r="F240" s="160">
        <v>31073.93</v>
      </c>
      <c r="G240" s="160">
        <v>4971.83</v>
      </c>
      <c r="H240" s="160">
        <f t="shared" si="20"/>
        <v>36045.76</v>
      </c>
      <c r="I240" s="160"/>
      <c r="J240" s="161"/>
      <c r="K240" s="160"/>
      <c r="L240" s="160">
        <f>+'FACUS$'!$H240-'FACUS$'!$I240-'FACUS$'!$K240</f>
        <v>36045.76</v>
      </c>
      <c r="M240" s="157" t="s">
        <v>777</v>
      </c>
      <c r="N240" s="162" t="s">
        <v>554</v>
      </c>
      <c r="O240" s="332">
        <v>42936.0</v>
      </c>
      <c r="P240" s="164" t="str">
        <f t="array" ref="P240">XLOOKUP('FACUS$'!$B240,'perfil de pagos'!$A$4:$A$46,'perfil de pagos'!$C$4:$C$46+'FACUS$'!$D240)</f>
        <v>#N/A</v>
      </c>
      <c r="Q240" s="165">
        <f t="shared" si="2"/>
        <v>0</v>
      </c>
      <c r="R240" s="171"/>
      <c r="S240" s="171"/>
      <c r="T240" s="171"/>
      <c r="U240" s="333" t="s">
        <v>7271</v>
      </c>
      <c r="V240" s="168">
        <f t="shared" si="3"/>
        <v>36045.76</v>
      </c>
      <c r="W240" s="168">
        <f t="shared" si="4"/>
        <v>0</v>
      </c>
      <c r="X240" s="168">
        <f t="shared" si="5"/>
        <v>0</v>
      </c>
      <c r="Y240" s="168">
        <f t="shared" si="6"/>
        <v>0</v>
      </c>
      <c r="Z240" s="168">
        <f t="shared" si="7"/>
        <v>0</v>
      </c>
      <c r="AA240" s="168">
        <f t="shared" si="8"/>
        <v>0</v>
      </c>
      <c r="AB240" s="168">
        <f t="shared" si="9"/>
        <v>0</v>
      </c>
    </row>
    <row r="241" ht="14.25" customHeight="1">
      <c r="A241" s="157">
        <v>779.0</v>
      </c>
      <c r="B241" s="169" t="s">
        <v>37</v>
      </c>
      <c r="C241" s="169" t="s">
        <v>759</v>
      </c>
      <c r="D241" s="159">
        <v>42887.0</v>
      </c>
      <c r="E241" s="157" t="s">
        <v>2</v>
      </c>
      <c r="F241" s="160">
        <v>91200.56</v>
      </c>
      <c r="G241" s="160">
        <v>14592.09</v>
      </c>
      <c r="H241" s="160">
        <f t="shared" si="20"/>
        <v>105792.65</v>
      </c>
      <c r="I241" s="160"/>
      <c r="J241" s="161"/>
      <c r="K241" s="160"/>
      <c r="L241" s="160">
        <f>+'FACUS$'!$H241-'FACUS$'!$I241-'FACUS$'!$K241</f>
        <v>105792.65</v>
      </c>
      <c r="M241" s="157" t="s">
        <v>718</v>
      </c>
      <c r="N241" s="162" t="s">
        <v>127</v>
      </c>
      <c r="O241" s="332"/>
      <c r="P241" s="164">
        <f t="array" ref="P241">XLOOKUP('FACUS$'!$B241,'perfil de pagos'!$A$4:$A$46,'perfil de pagos'!$C$4:$C$46+'FACUS$'!$D241)</f>
        <v>42897</v>
      </c>
      <c r="Q241" s="165" t="str">
        <f t="shared" si="2"/>
        <v>N/A</v>
      </c>
      <c r="R241" s="171"/>
      <c r="S241" s="171"/>
      <c r="T241" s="171"/>
      <c r="U241" s="333" t="s">
        <v>7271</v>
      </c>
      <c r="V241" s="168">
        <f t="shared" si="3"/>
        <v>0</v>
      </c>
      <c r="W241" s="168">
        <f t="shared" si="4"/>
        <v>0</v>
      </c>
      <c r="X241" s="168">
        <f t="shared" si="5"/>
        <v>0</v>
      </c>
      <c r="Y241" s="168">
        <f t="shared" si="6"/>
        <v>0</v>
      </c>
      <c r="Z241" s="168">
        <f t="shared" si="7"/>
        <v>0</v>
      </c>
      <c r="AA241" s="168">
        <f t="shared" si="8"/>
        <v>0</v>
      </c>
      <c r="AB241" s="168">
        <f t="shared" si="9"/>
        <v>105792.65</v>
      </c>
    </row>
    <row r="242" ht="14.25" customHeight="1">
      <c r="A242" s="157">
        <v>782.0</v>
      </c>
      <c r="B242" s="169" t="s">
        <v>37</v>
      </c>
      <c r="C242" s="169" t="s">
        <v>759</v>
      </c>
      <c r="D242" s="159">
        <v>42901.0</v>
      </c>
      <c r="E242" s="157" t="s">
        <v>2</v>
      </c>
      <c r="F242" s="160">
        <v>93255.89</v>
      </c>
      <c r="G242" s="160">
        <v>14920.94</v>
      </c>
      <c r="H242" s="160">
        <f t="shared" si="20"/>
        <v>108176.83</v>
      </c>
      <c r="I242" s="160"/>
      <c r="J242" s="161"/>
      <c r="K242" s="160"/>
      <c r="L242" s="160">
        <f>+'FACUS$'!$H242-'FACUS$'!$I242-'FACUS$'!$K242</f>
        <v>108176.83</v>
      </c>
      <c r="M242" s="157" t="s">
        <v>718</v>
      </c>
      <c r="N242" s="162" t="s">
        <v>554</v>
      </c>
      <c r="O242" s="332">
        <v>42934.0</v>
      </c>
      <c r="P242" s="164">
        <f t="array" ref="P242">XLOOKUP('FACUS$'!$B242,'perfil de pagos'!$A$4:$A$46,'perfil de pagos'!$C$4:$C$46+'FACUS$'!$D242)</f>
        <v>42911</v>
      </c>
      <c r="Q242" s="165">
        <f t="shared" si="2"/>
        <v>0</v>
      </c>
      <c r="R242" s="171"/>
      <c r="S242" s="171"/>
      <c r="T242" s="171"/>
      <c r="U242" s="333" t="s">
        <v>7271</v>
      </c>
      <c r="V242" s="168">
        <f t="shared" si="3"/>
        <v>108176.83</v>
      </c>
      <c r="W242" s="168">
        <f t="shared" si="4"/>
        <v>0</v>
      </c>
      <c r="X242" s="168">
        <f t="shared" si="5"/>
        <v>0</v>
      </c>
      <c r="Y242" s="168">
        <f t="shared" si="6"/>
        <v>0</v>
      </c>
      <c r="Z242" s="168">
        <f t="shared" si="7"/>
        <v>0</v>
      </c>
      <c r="AA242" s="168">
        <f t="shared" si="8"/>
        <v>0</v>
      </c>
      <c r="AB242" s="168">
        <f t="shared" si="9"/>
        <v>0</v>
      </c>
    </row>
    <row r="243" ht="14.25" customHeight="1">
      <c r="A243" s="157">
        <v>785.0</v>
      </c>
      <c r="B243" s="169" t="s">
        <v>70</v>
      </c>
      <c r="C243" s="169" t="s">
        <v>759</v>
      </c>
      <c r="D243" s="159">
        <v>42901.0</v>
      </c>
      <c r="E243" s="157" t="s">
        <v>2</v>
      </c>
      <c r="F243" s="160">
        <v>39127.5</v>
      </c>
      <c r="G243" s="160">
        <v>6260.4</v>
      </c>
      <c r="H243" s="160">
        <f t="shared" si="20"/>
        <v>45387.9</v>
      </c>
      <c r="I243" s="160"/>
      <c r="J243" s="161"/>
      <c r="K243" s="160"/>
      <c r="L243" s="160">
        <f>+'FACUS$'!$H243-'FACUS$'!$I243-'FACUS$'!$K243</f>
        <v>45387.9</v>
      </c>
      <c r="M243" s="157" t="s">
        <v>719</v>
      </c>
      <c r="N243" s="162" t="s">
        <v>554</v>
      </c>
      <c r="O243" s="332">
        <v>42947.0</v>
      </c>
      <c r="P243" s="164" t="str">
        <f t="array" ref="P243">XLOOKUP('FACUS$'!$B243,'perfil de pagos'!$A$4:$A$46,'perfil de pagos'!$C$4:$C$46+'FACUS$'!$D243)</f>
        <v>#N/A</v>
      </c>
      <c r="Q243" s="165">
        <f t="shared" si="2"/>
        <v>0</v>
      </c>
      <c r="R243" s="171"/>
      <c r="S243" s="171"/>
      <c r="T243" s="171"/>
      <c r="U243" s="333" t="s">
        <v>7271</v>
      </c>
      <c r="V243" s="168">
        <f t="shared" si="3"/>
        <v>45387.9</v>
      </c>
      <c r="W243" s="168">
        <f t="shared" si="4"/>
        <v>0</v>
      </c>
      <c r="X243" s="168">
        <f t="shared" si="5"/>
        <v>0</v>
      </c>
      <c r="Y243" s="168">
        <f t="shared" si="6"/>
        <v>0</v>
      </c>
      <c r="Z243" s="168">
        <f t="shared" si="7"/>
        <v>0</v>
      </c>
      <c r="AA243" s="168">
        <f t="shared" si="8"/>
        <v>0</v>
      </c>
      <c r="AB243" s="168">
        <f t="shared" si="9"/>
        <v>0</v>
      </c>
    </row>
    <row r="244" ht="14.25" customHeight="1">
      <c r="A244" s="157">
        <v>787.0</v>
      </c>
      <c r="B244" s="169" t="s">
        <v>37</v>
      </c>
      <c r="C244" s="169" t="s">
        <v>759</v>
      </c>
      <c r="D244" s="159">
        <v>42887.0</v>
      </c>
      <c r="E244" s="157" t="s">
        <v>2</v>
      </c>
      <c r="F244" s="160">
        <v>91200.56</v>
      </c>
      <c r="G244" s="160">
        <v>14592.09</v>
      </c>
      <c r="H244" s="160">
        <f t="shared" si="20"/>
        <v>105792.65</v>
      </c>
      <c r="I244" s="160"/>
      <c r="J244" s="161"/>
      <c r="K244" s="160"/>
      <c r="L244" s="160">
        <f>+'FACUS$'!$H244-'FACUS$'!$I244-'FACUS$'!$K244</f>
        <v>105792.65</v>
      </c>
      <c r="M244" s="157" t="s">
        <v>116</v>
      </c>
      <c r="N244" s="162" t="s">
        <v>554</v>
      </c>
      <c r="O244" s="332">
        <v>42934.0</v>
      </c>
      <c r="P244" s="164">
        <f t="array" ref="P244">XLOOKUP('FACUS$'!$B244,'perfil de pagos'!$A$4:$A$46,'perfil de pagos'!$C$4:$C$46+'FACUS$'!$D244)</f>
        <v>42897</v>
      </c>
      <c r="Q244" s="165">
        <f t="shared" si="2"/>
        <v>0</v>
      </c>
      <c r="R244" s="171"/>
      <c r="S244" s="171"/>
      <c r="T244" s="171"/>
      <c r="U244" s="333" t="s">
        <v>7271</v>
      </c>
      <c r="V244" s="168">
        <f t="shared" si="3"/>
        <v>105792.65</v>
      </c>
      <c r="W244" s="168">
        <f t="shared" si="4"/>
        <v>0</v>
      </c>
      <c r="X244" s="168">
        <f t="shared" si="5"/>
        <v>0</v>
      </c>
      <c r="Y244" s="168">
        <f t="shared" si="6"/>
        <v>0</v>
      </c>
      <c r="Z244" s="168">
        <f t="shared" si="7"/>
        <v>0</v>
      </c>
      <c r="AA244" s="168">
        <f t="shared" si="8"/>
        <v>0</v>
      </c>
      <c r="AB244" s="168">
        <f t="shared" si="9"/>
        <v>0</v>
      </c>
    </row>
    <row r="245" ht="14.25" customHeight="1">
      <c r="A245" s="157">
        <v>793.0</v>
      </c>
      <c r="B245" s="169" t="s">
        <v>720</v>
      </c>
      <c r="C245" s="169" t="s">
        <v>794</v>
      </c>
      <c r="D245" s="159">
        <v>42917.0</v>
      </c>
      <c r="E245" s="157" t="s">
        <v>2</v>
      </c>
      <c r="F245" s="160">
        <v>18705.14</v>
      </c>
      <c r="G245" s="160">
        <v>2992.82</v>
      </c>
      <c r="H245" s="160">
        <f t="shared" si="20"/>
        <v>21697.96</v>
      </c>
      <c r="I245" s="160"/>
      <c r="J245" s="161"/>
      <c r="K245" s="160"/>
      <c r="L245" s="160">
        <f>+'FACUS$'!$H245-'FACUS$'!$I245-'FACUS$'!$K245</f>
        <v>21697.96</v>
      </c>
      <c r="M245" s="157" t="s">
        <v>777</v>
      </c>
      <c r="N245" s="162" t="s">
        <v>554</v>
      </c>
      <c r="O245" s="332">
        <v>42955.0</v>
      </c>
      <c r="P245" s="164" t="str">
        <f t="array" ref="P245">XLOOKUP('FACUS$'!$B245,'perfil de pagos'!$A$4:$A$46,'perfil de pagos'!$C$4:$C$46+'FACUS$'!$D245)</f>
        <v>#N/A</v>
      </c>
      <c r="Q245" s="165">
        <f t="shared" si="2"/>
        <v>0</v>
      </c>
      <c r="R245" s="171"/>
      <c r="S245" s="171"/>
      <c r="T245" s="171"/>
      <c r="U245" s="333" t="s">
        <v>7271</v>
      </c>
      <c r="V245" s="168">
        <f t="shared" si="3"/>
        <v>21697.96</v>
      </c>
      <c r="W245" s="168">
        <f t="shared" si="4"/>
        <v>0</v>
      </c>
      <c r="X245" s="168">
        <f t="shared" si="5"/>
        <v>0</v>
      </c>
      <c r="Y245" s="168">
        <f t="shared" si="6"/>
        <v>0</v>
      </c>
      <c r="Z245" s="168">
        <f t="shared" si="7"/>
        <v>0</v>
      </c>
      <c r="AA245" s="168">
        <f t="shared" si="8"/>
        <v>0</v>
      </c>
      <c r="AB245" s="168">
        <f t="shared" si="9"/>
        <v>0</v>
      </c>
    </row>
    <row r="246" ht="14.25" customHeight="1">
      <c r="A246" s="157">
        <v>795.0</v>
      </c>
      <c r="B246" s="169" t="s">
        <v>37</v>
      </c>
      <c r="C246" s="169" t="s">
        <v>759</v>
      </c>
      <c r="D246" s="159">
        <v>42917.0</v>
      </c>
      <c r="E246" s="157" t="s">
        <v>2</v>
      </c>
      <c r="F246" s="160">
        <v>88913.22</v>
      </c>
      <c r="G246" s="160">
        <v>14226.12</v>
      </c>
      <c r="H246" s="160">
        <f t="shared" si="20"/>
        <v>103139.34</v>
      </c>
      <c r="I246" s="160"/>
      <c r="J246" s="161"/>
      <c r="K246" s="160"/>
      <c r="L246" s="160">
        <f>+'FACUS$'!$H246-'FACUS$'!$I246-'FACUS$'!$K246</f>
        <v>103139.34</v>
      </c>
      <c r="M246" s="157" t="s">
        <v>116</v>
      </c>
      <c r="N246" s="162" t="s">
        <v>554</v>
      </c>
      <c r="O246" s="332">
        <v>42956.0</v>
      </c>
      <c r="P246" s="164">
        <f t="array" ref="P246">XLOOKUP('FACUS$'!$B246,'perfil de pagos'!$A$4:$A$46,'perfil de pagos'!$C$4:$C$46+'FACUS$'!$D246)</f>
        <v>42927</v>
      </c>
      <c r="Q246" s="165">
        <f t="shared" si="2"/>
        <v>0</v>
      </c>
      <c r="R246" s="171"/>
      <c r="S246" s="171"/>
      <c r="T246" s="171"/>
      <c r="U246" s="333" t="s">
        <v>7271</v>
      </c>
      <c r="V246" s="168">
        <f t="shared" si="3"/>
        <v>103139.34</v>
      </c>
      <c r="W246" s="168">
        <f t="shared" si="4"/>
        <v>0</v>
      </c>
      <c r="X246" s="168">
        <f t="shared" si="5"/>
        <v>0</v>
      </c>
      <c r="Y246" s="168">
        <f t="shared" si="6"/>
        <v>0</v>
      </c>
      <c r="Z246" s="168">
        <f t="shared" si="7"/>
        <v>0</v>
      </c>
      <c r="AA246" s="168">
        <f t="shared" si="8"/>
        <v>0</v>
      </c>
      <c r="AB246" s="168">
        <f t="shared" si="9"/>
        <v>0</v>
      </c>
    </row>
    <row r="247" ht="14.25" customHeight="1">
      <c r="A247" s="157">
        <v>797.0</v>
      </c>
      <c r="B247" s="169" t="s">
        <v>70</v>
      </c>
      <c r="C247" s="169" t="s">
        <v>759</v>
      </c>
      <c r="D247" s="159">
        <v>42917.0</v>
      </c>
      <c r="E247" s="157" t="s">
        <v>2</v>
      </c>
      <c r="F247" s="160">
        <v>29512.5</v>
      </c>
      <c r="G247" s="160">
        <v>4722.0</v>
      </c>
      <c r="H247" s="160">
        <f t="shared" si="20"/>
        <v>34234.5</v>
      </c>
      <c r="I247" s="160"/>
      <c r="J247" s="161"/>
      <c r="K247" s="160"/>
      <c r="L247" s="160">
        <f>+'FACUS$'!$H247-'FACUS$'!$I247-'FACUS$'!$K247</f>
        <v>34234.5</v>
      </c>
      <c r="M247" s="157" t="s">
        <v>719</v>
      </c>
      <c r="N247" s="162" t="s">
        <v>554</v>
      </c>
      <c r="O247" s="332">
        <v>42949.0</v>
      </c>
      <c r="P247" s="164" t="str">
        <f t="array" ref="P247">XLOOKUP('FACUS$'!$B247,'perfil de pagos'!$A$4:$A$46,'perfil de pagos'!$C$4:$C$46+'FACUS$'!$D247)</f>
        <v>#N/A</v>
      </c>
      <c r="Q247" s="165">
        <f t="shared" si="2"/>
        <v>0</v>
      </c>
      <c r="R247" s="171"/>
      <c r="S247" s="171"/>
      <c r="T247" s="171"/>
      <c r="U247" s="333" t="s">
        <v>7271</v>
      </c>
      <c r="V247" s="168">
        <f t="shared" si="3"/>
        <v>34234.5</v>
      </c>
      <c r="W247" s="168">
        <f t="shared" si="4"/>
        <v>0</v>
      </c>
      <c r="X247" s="168">
        <f t="shared" si="5"/>
        <v>0</v>
      </c>
      <c r="Y247" s="168">
        <f t="shared" si="6"/>
        <v>0</v>
      </c>
      <c r="Z247" s="168">
        <f t="shared" si="7"/>
        <v>0</v>
      </c>
      <c r="AA247" s="168">
        <f t="shared" si="8"/>
        <v>0</v>
      </c>
      <c r="AB247" s="168">
        <f t="shared" si="9"/>
        <v>0</v>
      </c>
    </row>
    <row r="248" ht="14.25" customHeight="1">
      <c r="A248" s="157">
        <v>803.0</v>
      </c>
      <c r="B248" s="169" t="s">
        <v>720</v>
      </c>
      <c r="C248" s="169" t="s">
        <v>794</v>
      </c>
      <c r="D248" s="159">
        <v>42931.0</v>
      </c>
      <c r="E248" s="162" t="s">
        <v>2</v>
      </c>
      <c r="F248" s="160">
        <v>23015.16</v>
      </c>
      <c r="G248" s="160">
        <v>3682.43</v>
      </c>
      <c r="H248" s="179">
        <f t="shared" si="20"/>
        <v>26697.59</v>
      </c>
      <c r="I248" s="173"/>
      <c r="J248" s="170"/>
      <c r="K248" s="173"/>
      <c r="L248" s="173">
        <f>+'FACUS$'!$H248-'FACUS$'!$I248-'FACUS$'!$K248</f>
        <v>26697.59</v>
      </c>
      <c r="M248" s="162" t="s">
        <v>777</v>
      </c>
      <c r="N248" s="162" t="s">
        <v>554</v>
      </c>
      <c r="O248" s="332">
        <v>42964.0</v>
      </c>
      <c r="P248" s="164" t="str">
        <f t="array" ref="P248">XLOOKUP('FACUS$'!$B248,'perfil de pagos'!$A$4:$A$46,'perfil de pagos'!$C$4:$C$46+'FACUS$'!$D248)</f>
        <v>#N/A</v>
      </c>
      <c r="Q248" s="165">
        <f t="shared" si="2"/>
        <v>0</v>
      </c>
      <c r="R248" s="171"/>
      <c r="S248" s="171"/>
      <c r="T248" s="171"/>
      <c r="U248" s="333" t="s">
        <v>7271</v>
      </c>
      <c r="V248" s="168">
        <f t="shared" si="3"/>
        <v>26697.59</v>
      </c>
      <c r="W248" s="168">
        <f t="shared" si="4"/>
        <v>0</v>
      </c>
      <c r="X248" s="168">
        <f t="shared" si="5"/>
        <v>0</v>
      </c>
      <c r="Y248" s="168">
        <f t="shared" si="6"/>
        <v>0</v>
      </c>
      <c r="Z248" s="168">
        <f t="shared" si="7"/>
        <v>0</v>
      </c>
      <c r="AA248" s="168">
        <f t="shared" si="8"/>
        <v>0</v>
      </c>
      <c r="AB248" s="168">
        <f t="shared" si="9"/>
        <v>0</v>
      </c>
    </row>
    <row r="249" ht="14.25" customHeight="1">
      <c r="A249" s="157">
        <v>806.0</v>
      </c>
      <c r="B249" s="169" t="s">
        <v>70</v>
      </c>
      <c r="C249" s="169" t="s">
        <v>759</v>
      </c>
      <c r="D249" s="159">
        <v>42931.0</v>
      </c>
      <c r="E249" s="157" t="s">
        <v>2</v>
      </c>
      <c r="F249" s="160">
        <v>3600.0</v>
      </c>
      <c r="G249" s="160">
        <v>575.0</v>
      </c>
      <c r="H249" s="160">
        <f t="shared" si="20"/>
        <v>4175</v>
      </c>
      <c r="I249" s="160"/>
      <c r="J249" s="161"/>
      <c r="K249" s="160"/>
      <c r="L249" s="160">
        <f>+'FACUS$'!$H249-'FACUS$'!$I249-'FACUS$'!$K249</f>
        <v>4175</v>
      </c>
      <c r="M249" s="157" t="s">
        <v>719</v>
      </c>
      <c r="N249" s="162" t="s">
        <v>554</v>
      </c>
      <c r="O249" s="332">
        <v>42951.0</v>
      </c>
      <c r="P249" s="164" t="str">
        <f t="array" ref="P249">XLOOKUP('FACUS$'!$B249,'perfil de pagos'!$A$4:$A$46,'perfil de pagos'!$C$4:$C$46+'FACUS$'!$D249)</f>
        <v>#N/A</v>
      </c>
      <c r="Q249" s="165">
        <f t="shared" si="2"/>
        <v>0</v>
      </c>
      <c r="R249" s="171"/>
      <c r="S249" s="171"/>
      <c r="T249" s="171"/>
      <c r="U249" s="333" t="s">
        <v>7271</v>
      </c>
      <c r="V249" s="168">
        <f t="shared" si="3"/>
        <v>4175</v>
      </c>
      <c r="W249" s="168">
        <f t="shared" si="4"/>
        <v>0</v>
      </c>
      <c r="X249" s="168">
        <f t="shared" si="5"/>
        <v>0</v>
      </c>
      <c r="Y249" s="168">
        <f t="shared" si="6"/>
        <v>0</v>
      </c>
      <c r="Z249" s="168">
        <f t="shared" si="7"/>
        <v>0</v>
      </c>
      <c r="AA249" s="168">
        <f t="shared" si="8"/>
        <v>0</v>
      </c>
      <c r="AB249" s="168">
        <f t="shared" si="9"/>
        <v>0</v>
      </c>
    </row>
    <row r="250" ht="14.25" customHeight="1">
      <c r="A250" s="157">
        <v>809.0</v>
      </c>
      <c r="B250" s="169" t="s">
        <v>37</v>
      </c>
      <c r="C250" s="170" t="s">
        <v>759</v>
      </c>
      <c r="D250" s="159">
        <v>42931.0</v>
      </c>
      <c r="E250" s="157" t="s">
        <v>2</v>
      </c>
      <c r="F250" s="160">
        <v>105343.81</v>
      </c>
      <c r="G250" s="160">
        <v>16855.01</v>
      </c>
      <c r="H250" s="160">
        <f t="shared" si="20"/>
        <v>122198.82</v>
      </c>
      <c r="I250" s="160"/>
      <c r="J250" s="161"/>
      <c r="K250" s="160"/>
      <c r="L250" s="160">
        <f>+'FACUS$'!$H250-'FACUS$'!$I250-'FACUS$'!$K250</f>
        <v>122198.82</v>
      </c>
      <c r="M250" s="157" t="s">
        <v>718</v>
      </c>
      <c r="N250" s="162" t="s">
        <v>554</v>
      </c>
      <c r="O250" s="332">
        <v>42976.0</v>
      </c>
      <c r="P250" s="164">
        <f t="array" ref="P250">XLOOKUP('FACUS$'!$B250,'perfil de pagos'!$A$4:$A$46,'perfil de pagos'!$C$4:$C$46+'FACUS$'!$D250)</f>
        <v>42941</v>
      </c>
      <c r="Q250" s="165">
        <f t="shared" si="2"/>
        <v>0</v>
      </c>
      <c r="R250" s="171"/>
      <c r="S250" s="171"/>
      <c r="T250" s="171"/>
      <c r="U250" s="333" t="s">
        <v>7271</v>
      </c>
      <c r="V250" s="168">
        <f t="shared" si="3"/>
        <v>122198.82</v>
      </c>
      <c r="W250" s="168">
        <f t="shared" si="4"/>
        <v>0</v>
      </c>
      <c r="X250" s="168">
        <f t="shared" si="5"/>
        <v>0</v>
      </c>
      <c r="Y250" s="168">
        <f t="shared" si="6"/>
        <v>0</v>
      </c>
      <c r="Z250" s="168">
        <f t="shared" si="7"/>
        <v>0</v>
      </c>
      <c r="AA250" s="168">
        <f t="shared" si="8"/>
        <v>0</v>
      </c>
      <c r="AB250" s="168">
        <f t="shared" si="9"/>
        <v>0</v>
      </c>
    </row>
    <row r="251" ht="14.25" customHeight="1">
      <c r="A251" s="157">
        <v>810.0</v>
      </c>
      <c r="B251" s="169" t="s">
        <v>692</v>
      </c>
      <c r="C251" s="169" t="s">
        <v>7323</v>
      </c>
      <c r="D251" s="159">
        <v>42956.0</v>
      </c>
      <c r="E251" s="157" t="s">
        <v>2</v>
      </c>
      <c r="F251" s="160">
        <v>35775.86</v>
      </c>
      <c r="G251" s="160">
        <v>5724.14</v>
      </c>
      <c r="H251" s="160">
        <f t="shared" si="20"/>
        <v>41500</v>
      </c>
      <c r="I251" s="160"/>
      <c r="J251" s="161"/>
      <c r="K251" s="160"/>
      <c r="L251" s="160">
        <f>+'FACUS$'!$H251-'FACUS$'!$I251-'FACUS$'!$K251</f>
        <v>41500</v>
      </c>
      <c r="M251" s="157" t="s">
        <v>725</v>
      </c>
      <c r="N251" s="162" t="s">
        <v>127</v>
      </c>
      <c r="O251" s="332"/>
      <c r="P251" s="164" t="str">
        <f t="array" ref="P251">XLOOKUP('FACUS$'!$B251,'perfil de pagos'!$A$4:$A$46,'perfil de pagos'!$C$4:$C$46+'FACUS$'!$D251)</f>
        <v>#N/A</v>
      </c>
      <c r="Q251" s="165" t="str">
        <f t="shared" si="2"/>
        <v>N/A</v>
      </c>
      <c r="R251" s="171"/>
      <c r="S251" s="171"/>
      <c r="T251" s="171"/>
      <c r="U251" s="333" t="s">
        <v>7271</v>
      </c>
      <c r="V251" s="168">
        <f t="shared" si="3"/>
        <v>0</v>
      </c>
      <c r="W251" s="168">
        <f t="shared" si="4"/>
        <v>0</v>
      </c>
      <c r="X251" s="168">
        <f t="shared" si="5"/>
        <v>0</v>
      </c>
      <c r="Y251" s="168">
        <f t="shared" si="6"/>
        <v>0</v>
      </c>
      <c r="Z251" s="168">
        <f t="shared" si="7"/>
        <v>0</v>
      </c>
      <c r="AA251" s="168">
        <f t="shared" si="8"/>
        <v>0</v>
      </c>
      <c r="AB251" s="168">
        <f t="shared" si="9"/>
        <v>41500</v>
      </c>
    </row>
    <row r="252" ht="14.25" customHeight="1">
      <c r="A252" s="157">
        <v>811.0</v>
      </c>
      <c r="B252" s="169" t="s">
        <v>82</v>
      </c>
      <c r="C252" s="169" t="s">
        <v>7324</v>
      </c>
      <c r="D252" s="159">
        <v>42856.0</v>
      </c>
      <c r="E252" s="157" t="s">
        <v>2</v>
      </c>
      <c r="F252" s="160">
        <v>45000.0</v>
      </c>
      <c r="G252" s="160">
        <v>7200.0</v>
      </c>
      <c r="H252" s="160">
        <f t="shared" si="20"/>
        <v>52200</v>
      </c>
      <c r="I252" s="160"/>
      <c r="J252" s="161"/>
      <c r="K252" s="160"/>
      <c r="L252" s="160">
        <f>+'FACUS$'!$H252-'FACUS$'!$I252-'FACUS$'!$K252</f>
        <v>52200</v>
      </c>
      <c r="M252" s="157" t="s">
        <v>714</v>
      </c>
      <c r="N252" s="162" t="s">
        <v>127</v>
      </c>
      <c r="O252" s="332"/>
      <c r="P252" s="164" t="str">
        <f t="array" ref="P252">XLOOKUP('FACUS$'!$B252,'perfil de pagos'!$A$4:$A$46,'perfil de pagos'!$C$4:$C$46+'FACUS$'!$D252)</f>
        <v>#N/A</v>
      </c>
      <c r="Q252" s="165" t="str">
        <f t="shared" si="2"/>
        <v>N/A</v>
      </c>
      <c r="R252" s="171"/>
      <c r="S252" s="171"/>
      <c r="T252" s="171"/>
      <c r="U252" s="333" t="s">
        <v>7271</v>
      </c>
      <c r="V252" s="168">
        <f t="shared" si="3"/>
        <v>0</v>
      </c>
      <c r="W252" s="168">
        <f t="shared" si="4"/>
        <v>0</v>
      </c>
      <c r="X252" s="168">
        <f t="shared" si="5"/>
        <v>0</v>
      </c>
      <c r="Y252" s="168">
        <f t="shared" si="6"/>
        <v>0</v>
      </c>
      <c r="Z252" s="168">
        <f t="shared" si="7"/>
        <v>0</v>
      </c>
      <c r="AA252" s="168">
        <f t="shared" si="8"/>
        <v>0</v>
      </c>
      <c r="AB252" s="168">
        <f t="shared" si="9"/>
        <v>52200</v>
      </c>
    </row>
    <row r="253" ht="14.25" customHeight="1">
      <c r="A253" s="157">
        <v>812.0</v>
      </c>
      <c r="B253" s="169" t="s">
        <v>82</v>
      </c>
      <c r="C253" s="169" t="s">
        <v>7325</v>
      </c>
      <c r="D253" s="159">
        <v>42907.0</v>
      </c>
      <c r="E253" s="157" t="s">
        <v>2</v>
      </c>
      <c r="F253" s="160">
        <v>9750.0</v>
      </c>
      <c r="G253" s="160">
        <v>1560.0</v>
      </c>
      <c r="H253" s="160">
        <f t="shared" si="20"/>
        <v>11310</v>
      </c>
      <c r="I253" s="160"/>
      <c r="J253" s="161"/>
      <c r="K253" s="160"/>
      <c r="L253" s="160">
        <f>+'FACUS$'!$H253-'FACUS$'!$I253-'FACUS$'!$K253</f>
        <v>11310</v>
      </c>
      <c r="M253" s="157" t="s">
        <v>714</v>
      </c>
      <c r="N253" s="162" t="s">
        <v>127</v>
      </c>
      <c r="O253" s="332"/>
      <c r="P253" s="164" t="str">
        <f t="array" ref="P253">XLOOKUP('FACUS$'!$B253,'perfil de pagos'!$A$4:$A$46,'perfil de pagos'!$C$4:$C$46+'FACUS$'!$D253)</f>
        <v>#N/A</v>
      </c>
      <c r="Q253" s="165" t="str">
        <f t="shared" si="2"/>
        <v>N/A</v>
      </c>
      <c r="R253" s="171"/>
      <c r="S253" s="171"/>
      <c r="T253" s="171"/>
      <c r="U253" s="333" t="s">
        <v>7271</v>
      </c>
      <c r="V253" s="168">
        <f t="shared" si="3"/>
        <v>0</v>
      </c>
      <c r="W253" s="168">
        <f t="shared" si="4"/>
        <v>0</v>
      </c>
      <c r="X253" s="168">
        <f t="shared" si="5"/>
        <v>0</v>
      </c>
      <c r="Y253" s="168">
        <f t="shared" si="6"/>
        <v>0</v>
      </c>
      <c r="Z253" s="168">
        <f t="shared" si="7"/>
        <v>0</v>
      </c>
      <c r="AA253" s="168">
        <f t="shared" si="8"/>
        <v>0</v>
      </c>
      <c r="AB253" s="168">
        <f t="shared" si="9"/>
        <v>11310</v>
      </c>
    </row>
    <row r="254" ht="14.25" customHeight="1">
      <c r="A254" s="157">
        <v>813.0</v>
      </c>
      <c r="B254" s="169" t="s">
        <v>82</v>
      </c>
      <c r="C254" s="169" t="s">
        <v>7326</v>
      </c>
      <c r="D254" s="159">
        <v>42856.0</v>
      </c>
      <c r="E254" s="157" t="s">
        <v>2</v>
      </c>
      <c r="F254" s="160">
        <v>7500.0</v>
      </c>
      <c r="G254" s="160">
        <v>1200.0</v>
      </c>
      <c r="H254" s="160">
        <f t="shared" si="20"/>
        <v>8700</v>
      </c>
      <c r="I254" s="160"/>
      <c r="J254" s="161"/>
      <c r="K254" s="160"/>
      <c r="L254" s="160">
        <f>+'FACUS$'!$H254-'FACUS$'!$I254-'FACUS$'!$K254</f>
        <v>8700</v>
      </c>
      <c r="M254" s="157" t="s">
        <v>714</v>
      </c>
      <c r="N254" s="162" t="s">
        <v>127</v>
      </c>
      <c r="O254" s="332"/>
      <c r="P254" s="164" t="str">
        <f t="array" ref="P254">XLOOKUP('FACUS$'!$B254,'perfil de pagos'!$A$4:$A$46,'perfil de pagos'!$C$4:$C$46+'FACUS$'!$D254)</f>
        <v>#N/A</v>
      </c>
      <c r="Q254" s="165" t="str">
        <f t="shared" si="2"/>
        <v>N/A</v>
      </c>
      <c r="R254" s="171"/>
      <c r="S254" s="171"/>
      <c r="T254" s="171"/>
      <c r="U254" s="333" t="s">
        <v>7271</v>
      </c>
      <c r="V254" s="168">
        <f t="shared" si="3"/>
        <v>0</v>
      </c>
      <c r="W254" s="168">
        <f t="shared" si="4"/>
        <v>0</v>
      </c>
      <c r="X254" s="168">
        <f t="shared" si="5"/>
        <v>0</v>
      </c>
      <c r="Y254" s="168">
        <f t="shared" si="6"/>
        <v>0</v>
      </c>
      <c r="Z254" s="168">
        <f t="shared" si="7"/>
        <v>0</v>
      </c>
      <c r="AA254" s="168">
        <f t="shared" si="8"/>
        <v>0</v>
      </c>
      <c r="AB254" s="168">
        <f t="shared" si="9"/>
        <v>8700</v>
      </c>
    </row>
    <row r="255" ht="14.25" customHeight="1">
      <c r="A255" s="157">
        <v>814.0</v>
      </c>
      <c r="B255" s="169" t="s">
        <v>82</v>
      </c>
      <c r="C255" s="169" t="s">
        <v>7325</v>
      </c>
      <c r="D255" s="159">
        <v>42907.0</v>
      </c>
      <c r="E255" s="157" t="s">
        <v>2</v>
      </c>
      <c r="F255" s="160">
        <v>9750.0</v>
      </c>
      <c r="G255" s="160">
        <v>1560.0</v>
      </c>
      <c r="H255" s="160">
        <f t="shared" si="20"/>
        <v>11310</v>
      </c>
      <c r="I255" s="160"/>
      <c r="J255" s="161"/>
      <c r="K255" s="160"/>
      <c r="L255" s="160">
        <f>+'FACUS$'!$H255-'FACUS$'!$I255-'FACUS$'!$K255</f>
        <v>11310</v>
      </c>
      <c r="M255" s="157" t="s">
        <v>714</v>
      </c>
      <c r="N255" s="162" t="s">
        <v>127</v>
      </c>
      <c r="O255" s="332"/>
      <c r="P255" s="164" t="str">
        <f t="array" ref="P255">XLOOKUP('FACUS$'!$B255,'perfil de pagos'!$A$4:$A$46,'perfil de pagos'!$C$4:$C$46+'FACUS$'!$D255)</f>
        <v>#N/A</v>
      </c>
      <c r="Q255" s="165" t="str">
        <f t="shared" si="2"/>
        <v>N/A</v>
      </c>
      <c r="R255" s="171"/>
      <c r="S255" s="171"/>
      <c r="T255" s="171"/>
      <c r="U255" s="333" t="s">
        <v>7271</v>
      </c>
      <c r="V255" s="168">
        <f t="shared" si="3"/>
        <v>0</v>
      </c>
      <c r="W255" s="168">
        <f t="shared" si="4"/>
        <v>0</v>
      </c>
      <c r="X255" s="168">
        <f t="shared" si="5"/>
        <v>0</v>
      </c>
      <c r="Y255" s="168">
        <f t="shared" si="6"/>
        <v>0</v>
      </c>
      <c r="Z255" s="168">
        <f t="shared" si="7"/>
        <v>0</v>
      </c>
      <c r="AA255" s="168">
        <f t="shared" si="8"/>
        <v>0</v>
      </c>
      <c r="AB255" s="168">
        <f t="shared" si="9"/>
        <v>11310</v>
      </c>
    </row>
    <row r="256" ht="14.25" customHeight="1">
      <c r="A256" s="157">
        <v>815.0</v>
      </c>
      <c r="B256" s="169" t="s">
        <v>82</v>
      </c>
      <c r="C256" s="169" t="s">
        <v>7327</v>
      </c>
      <c r="D256" s="159">
        <v>42917.0</v>
      </c>
      <c r="E256" s="157" t="s">
        <v>2</v>
      </c>
      <c r="F256" s="160">
        <v>45000.0</v>
      </c>
      <c r="G256" s="160">
        <v>7200.0</v>
      </c>
      <c r="H256" s="160">
        <f t="shared" si="20"/>
        <v>52200</v>
      </c>
      <c r="I256" s="160"/>
      <c r="J256" s="161"/>
      <c r="K256" s="160"/>
      <c r="L256" s="160">
        <f>+'FACUS$'!$H256-'FACUS$'!$I256-'FACUS$'!$K256</f>
        <v>52200</v>
      </c>
      <c r="M256" s="157" t="s">
        <v>714</v>
      </c>
      <c r="N256" s="162" t="s">
        <v>127</v>
      </c>
      <c r="O256" s="332"/>
      <c r="P256" s="164" t="str">
        <f t="array" ref="P256">XLOOKUP('FACUS$'!$B256,'perfil de pagos'!$A$4:$A$46,'perfil de pagos'!$C$4:$C$46+'FACUS$'!$D256)</f>
        <v>#N/A</v>
      </c>
      <c r="Q256" s="165" t="str">
        <f t="shared" si="2"/>
        <v>N/A</v>
      </c>
      <c r="R256" s="171"/>
      <c r="S256" s="171"/>
      <c r="T256" s="171"/>
      <c r="U256" s="333" t="s">
        <v>7271</v>
      </c>
      <c r="V256" s="168">
        <f t="shared" si="3"/>
        <v>0</v>
      </c>
      <c r="W256" s="168">
        <f t="shared" si="4"/>
        <v>0</v>
      </c>
      <c r="X256" s="168">
        <f t="shared" si="5"/>
        <v>0</v>
      </c>
      <c r="Y256" s="168">
        <f t="shared" si="6"/>
        <v>0</v>
      </c>
      <c r="Z256" s="168">
        <f t="shared" si="7"/>
        <v>0</v>
      </c>
      <c r="AA256" s="168">
        <f t="shared" si="8"/>
        <v>0</v>
      </c>
      <c r="AB256" s="168">
        <f t="shared" si="9"/>
        <v>52200</v>
      </c>
    </row>
    <row r="257" ht="14.25" customHeight="1">
      <c r="A257" s="157">
        <v>816.0</v>
      </c>
      <c r="B257" s="169" t="s">
        <v>82</v>
      </c>
      <c r="C257" s="169" t="s">
        <v>7328</v>
      </c>
      <c r="D257" s="159">
        <v>42907.0</v>
      </c>
      <c r="E257" s="157" t="s">
        <v>2</v>
      </c>
      <c r="F257" s="160">
        <v>9750.0</v>
      </c>
      <c r="G257" s="160">
        <v>1560.0</v>
      </c>
      <c r="H257" s="160">
        <f t="shared" si="20"/>
        <v>11310</v>
      </c>
      <c r="I257" s="160"/>
      <c r="J257" s="161"/>
      <c r="K257" s="160"/>
      <c r="L257" s="160">
        <f>+'FACUS$'!$H257-'FACUS$'!$I257-'FACUS$'!$K257</f>
        <v>11310</v>
      </c>
      <c r="M257" s="157" t="s">
        <v>714</v>
      </c>
      <c r="N257" s="162" t="s">
        <v>554</v>
      </c>
      <c r="O257" s="332">
        <v>43433.0</v>
      </c>
      <c r="P257" s="164" t="str">
        <f t="array" ref="P257">XLOOKUP('FACUS$'!$B257,'perfil de pagos'!$A$4:$A$46,'perfil de pagos'!$C$4:$C$46+'FACUS$'!$D257)</f>
        <v>#N/A</v>
      </c>
      <c r="Q257" s="165">
        <f t="shared" si="2"/>
        <v>0</v>
      </c>
      <c r="R257" s="171"/>
      <c r="S257" s="171"/>
      <c r="T257" s="171"/>
      <c r="U257" s="333" t="s">
        <v>7271</v>
      </c>
      <c r="V257" s="168">
        <f t="shared" si="3"/>
        <v>11310</v>
      </c>
      <c r="W257" s="168">
        <f t="shared" si="4"/>
        <v>0</v>
      </c>
      <c r="X257" s="168">
        <f t="shared" si="5"/>
        <v>0</v>
      </c>
      <c r="Y257" s="168">
        <f t="shared" si="6"/>
        <v>0</v>
      </c>
      <c r="Z257" s="168">
        <f t="shared" si="7"/>
        <v>0</v>
      </c>
      <c r="AA257" s="168">
        <f t="shared" si="8"/>
        <v>0</v>
      </c>
      <c r="AB257" s="168">
        <f t="shared" si="9"/>
        <v>0</v>
      </c>
    </row>
    <row r="258" ht="14.25" customHeight="1">
      <c r="A258" s="350">
        <v>817.0</v>
      </c>
      <c r="B258" s="351" t="s">
        <v>82</v>
      </c>
      <c r="C258" s="351" t="s">
        <v>7329</v>
      </c>
      <c r="D258" s="352">
        <v>42856.0</v>
      </c>
      <c r="E258" s="350" t="s">
        <v>2</v>
      </c>
      <c r="F258" s="353">
        <v>7500.0</v>
      </c>
      <c r="G258" s="353">
        <v>1200.0</v>
      </c>
      <c r="H258" s="353">
        <f t="shared" si="20"/>
        <v>8700</v>
      </c>
      <c r="I258" s="354"/>
      <c r="J258" s="351"/>
      <c r="K258" s="354"/>
      <c r="L258" s="354">
        <f>+'FACUS$'!$H258-'FACUS$'!$I258-'FACUS$'!$K258</f>
        <v>8700</v>
      </c>
      <c r="M258" s="350" t="s">
        <v>714</v>
      </c>
      <c r="N258" s="350" t="s">
        <v>554</v>
      </c>
      <c r="O258" s="355">
        <v>43236.0</v>
      </c>
      <c r="P258" s="164" t="str">
        <f t="array" ref="P258">XLOOKUP('FACUS$'!$B258,'perfil de pagos'!$A$4:$A$46,'perfil de pagos'!$C$4:$C$46+'FACUS$'!$D258)</f>
        <v>#N/A</v>
      </c>
      <c r="Q258" s="165">
        <f t="shared" si="2"/>
        <v>0</v>
      </c>
      <c r="R258" s="356" t="s">
        <v>7330</v>
      </c>
      <c r="S258" s="356"/>
      <c r="T258" s="356"/>
      <c r="U258" s="357" t="s">
        <v>7271</v>
      </c>
      <c r="V258" s="168">
        <f t="shared" si="3"/>
        <v>8700</v>
      </c>
      <c r="W258" s="168">
        <f t="shared" si="4"/>
        <v>0</v>
      </c>
      <c r="X258" s="168">
        <f t="shared" si="5"/>
        <v>0</v>
      </c>
      <c r="Y258" s="168">
        <f t="shared" si="6"/>
        <v>0</v>
      </c>
      <c r="Z258" s="168">
        <f t="shared" si="7"/>
        <v>0</v>
      </c>
      <c r="AA258" s="168">
        <f t="shared" si="8"/>
        <v>0</v>
      </c>
      <c r="AB258" s="168">
        <f t="shared" si="9"/>
        <v>0</v>
      </c>
    </row>
    <row r="259" ht="14.25" customHeight="1">
      <c r="A259" s="157">
        <v>820.0</v>
      </c>
      <c r="B259" s="169" t="s">
        <v>24</v>
      </c>
      <c r="C259" s="169" t="s">
        <v>794</v>
      </c>
      <c r="D259" s="159">
        <v>42925.0</v>
      </c>
      <c r="E259" s="157" t="s">
        <v>2</v>
      </c>
      <c r="F259" s="160">
        <v>15222.9</v>
      </c>
      <c r="G259" s="160">
        <v>2435.66</v>
      </c>
      <c r="H259" s="160">
        <f t="shared" si="20"/>
        <v>17658.56</v>
      </c>
      <c r="I259" s="172"/>
      <c r="J259" s="169"/>
      <c r="K259" s="172"/>
      <c r="L259" s="172">
        <f>+'FACUS$'!$H259-'FACUS$'!$I259-'FACUS$'!$K259</f>
        <v>17658.56</v>
      </c>
      <c r="M259" s="157" t="s">
        <v>91</v>
      </c>
      <c r="N259" s="162" t="s">
        <v>127</v>
      </c>
      <c r="O259" s="332"/>
      <c r="P259" s="164">
        <f t="array" ref="P259">XLOOKUP('FACUS$'!$B259,'perfil de pagos'!$A$4:$A$46,'perfil de pagos'!$C$4:$C$46+'FACUS$'!$D259)</f>
        <v>42935</v>
      </c>
      <c r="Q259" s="165" t="str">
        <f t="shared" si="2"/>
        <v>N/A</v>
      </c>
      <c r="R259" s="171"/>
      <c r="S259" s="171"/>
      <c r="T259" s="171"/>
      <c r="U259" s="333" t="s">
        <v>7271</v>
      </c>
      <c r="V259" s="168">
        <f t="shared" si="3"/>
        <v>0</v>
      </c>
      <c r="W259" s="168">
        <f t="shared" si="4"/>
        <v>0</v>
      </c>
      <c r="X259" s="168">
        <f t="shared" si="5"/>
        <v>0</v>
      </c>
      <c r="Y259" s="168">
        <f t="shared" si="6"/>
        <v>0</v>
      </c>
      <c r="Z259" s="168">
        <f t="shared" si="7"/>
        <v>0</v>
      </c>
      <c r="AA259" s="168">
        <f t="shared" si="8"/>
        <v>0</v>
      </c>
      <c r="AB259" s="168">
        <f t="shared" si="9"/>
        <v>17658.56</v>
      </c>
    </row>
    <row r="260" ht="14.25" customHeight="1">
      <c r="A260" s="157">
        <v>821.0</v>
      </c>
      <c r="B260" s="169" t="s">
        <v>692</v>
      </c>
      <c r="C260" s="169" t="s">
        <v>7331</v>
      </c>
      <c r="D260" s="159">
        <v>42956.0</v>
      </c>
      <c r="E260" s="157" t="s">
        <v>2</v>
      </c>
      <c r="F260" s="160">
        <v>41500.0</v>
      </c>
      <c r="G260" s="160">
        <v>6640.0</v>
      </c>
      <c r="H260" s="160">
        <f t="shared" si="20"/>
        <v>48140</v>
      </c>
      <c r="I260" s="172"/>
      <c r="J260" s="169"/>
      <c r="K260" s="172"/>
      <c r="L260" s="172">
        <f>+'FACUS$'!$H260-'FACUS$'!$I260-'FACUS$'!$K260</f>
        <v>48140</v>
      </c>
      <c r="M260" s="157" t="s">
        <v>725</v>
      </c>
      <c r="N260" s="162" t="s">
        <v>127</v>
      </c>
      <c r="O260" s="332"/>
      <c r="P260" s="164" t="str">
        <f t="array" ref="P260">XLOOKUP('FACUS$'!$B260,'perfil de pagos'!$A$4:$A$46,'perfil de pagos'!$C$4:$C$46+'FACUS$'!$D260)</f>
        <v>#N/A</v>
      </c>
      <c r="Q260" s="165" t="str">
        <f t="shared" si="2"/>
        <v>N/A</v>
      </c>
      <c r="R260" s="171"/>
      <c r="S260" s="171"/>
      <c r="T260" s="171"/>
      <c r="U260" s="333" t="s">
        <v>7271</v>
      </c>
      <c r="V260" s="168">
        <f t="shared" si="3"/>
        <v>0</v>
      </c>
      <c r="W260" s="168">
        <f t="shared" si="4"/>
        <v>0</v>
      </c>
      <c r="X260" s="168">
        <f t="shared" si="5"/>
        <v>0</v>
      </c>
      <c r="Y260" s="168">
        <f t="shared" si="6"/>
        <v>0</v>
      </c>
      <c r="Z260" s="168">
        <f t="shared" si="7"/>
        <v>0</v>
      </c>
      <c r="AA260" s="168">
        <f t="shared" si="8"/>
        <v>0</v>
      </c>
      <c r="AB260" s="168">
        <f t="shared" si="9"/>
        <v>48140</v>
      </c>
    </row>
    <row r="261" ht="14.25" customHeight="1">
      <c r="A261" s="157">
        <v>828.0</v>
      </c>
      <c r="B261" s="169" t="s">
        <v>79</v>
      </c>
      <c r="C261" s="169" t="s">
        <v>794</v>
      </c>
      <c r="D261" s="159">
        <v>42947.0</v>
      </c>
      <c r="E261" s="157" t="s">
        <v>2</v>
      </c>
      <c r="F261" s="160">
        <v>520263.12</v>
      </c>
      <c r="G261" s="160">
        <v>83242.1</v>
      </c>
      <c r="H261" s="160">
        <f t="shared" si="20"/>
        <v>603505.22</v>
      </c>
      <c r="I261" s="172"/>
      <c r="J261" s="169"/>
      <c r="K261" s="172"/>
      <c r="L261" s="172">
        <f>+'FACUS$'!$H261-'FACUS$'!$I261-'FACUS$'!$K261</f>
        <v>603505.22</v>
      </c>
      <c r="M261" s="157" t="s">
        <v>712</v>
      </c>
      <c r="N261" s="162" t="s">
        <v>127</v>
      </c>
      <c r="O261" s="332"/>
      <c r="P261" s="164" t="str">
        <f t="array" ref="P261">XLOOKUP('FACUS$'!$B261,'perfil de pagos'!$A$4:$A$46,'perfil de pagos'!$C$4:$C$46+'FACUS$'!$D261)</f>
        <v>#N/A</v>
      </c>
      <c r="Q261" s="165" t="str">
        <f t="shared" si="2"/>
        <v>N/A</v>
      </c>
      <c r="R261" s="171"/>
      <c r="S261" s="171"/>
      <c r="T261" s="171"/>
      <c r="U261" s="333" t="s">
        <v>7271</v>
      </c>
      <c r="V261" s="168">
        <f t="shared" si="3"/>
        <v>0</v>
      </c>
      <c r="W261" s="168">
        <f t="shared" si="4"/>
        <v>0</v>
      </c>
      <c r="X261" s="168">
        <f t="shared" si="5"/>
        <v>0</v>
      </c>
      <c r="Y261" s="168">
        <f t="shared" si="6"/>
        <v>0</v>
      </c>
      <c r="Z261" s="168">
        <f t="shared" si="7"/>
        <v>0</v>
      </c>
      <c r="AA261" s="168">
        <f t="shared" si="8"/>
        <v>0</v>
      </c>
      <c r="AB261" s="168">
        <f t="shared" si="9"/>
        <v>603505.22</v>
      </c>
    </row>
    <row r="262" ht="14.25" customHeight="1">
      <c r="A262" s="157">
        <v>830.0</v>
      </c>
      <c r="B262" s="169" t="s">
        <v>24</v>
      </c>
      <c r="C262" s="169" t="s">
        <v>794</v>
      </c>
      <c r="D262" s="358">
        <v>42925.0</v>
      </c>
      <c r="E262" s="157" t="s">
        <v>2</v>
      </c>
      <c r="F262" s="160">
        <v>15222.9</v>
      </c>
      <c r="G262" s="160">
        <v>2435.66</v>
      </c>
      <c r="H262" s="160">
        <f t="shared" si="20"/>
        <v>17658.56</v>
      </c>
      <c r="I262" s="172"/>
      <c r="J262" s="169"/>
      <c r="K262" s="172"/>
      <c r="L262" s="172">
        <f>+'FACUS$'!$H262-'FACUS$'!$I262-'FACUS$'!$K262</f>
        <v>17658.56</v>
      </c>
      <c r="M262" s="157" t="s">
        <v>91</v>
      </c>
      <c r="N262" s="162" t="s">
        <v>554</v>
      </c>
      <c r="O262" s="332">
        <v>42972.0</v>
      </c>
      <c r="P262" s="164">
        <f t="array" ref="P262">XLOOKUP('FACUS$'!$B262,'perfil de pagos'!$A$4:$A$46,'perfil de pagos'!$C$4:$C$46+'FACUS$'!$D262)</f>
        <v>42935</v>
      </c>
      <c r="Q262" s="165">
        <f t="shared" si="2"/>
        <v>0</v>
      </c>
      <c r="R262" s="171"/>
      <c r="S262" s="171"/>
      <c r="T262" s="171"/>
      <c r="U262" s="333" t="s">
        <v>7271</v>
      </c>
      <c r="V262" s="168">
        <f t="shared" si="3"/>
        <v>17658.56</v>
      </c>
      <c r="W262" s="168">
        <f t="shared" si="4"/>
        <v>0</v>
      </c>
      <c r="X262" s="168">
        <f t="shared" si="5"/>
        <v>0</v>
      </c>
      <c r="Y262" s="168">
        <f t="shared" si="6"/>
        <v>0</v>
      </c>
      <c r="Z262" s="168">
        <f t="shared" si="7"/>
        <v>0</v>
      </c>
      <c r="AA262" s="168">
        <f t="shared" si="8"/>
        <v>0</v>
      </c>
      <c r="AB262" s="168">
        <f t="shared" si="9"/>
        <v>0</v>
      </c>
    </row>
    <row r="263" ht="14.25" customHeight="1">
      <c r="A263" s="157">
        <v>832.0</v>
      </c>
      <c r="B263" s="169" t="s">
        <v>24</v>
      </c>
      <c r="C263" s="169" t="s">
        <v>7332</v>
      </c>
      <c r="D263" s="159">
        <v>42962.0</v>
      </c>
      <c r="E263" s="157" t="s">
        <v>2</v>
      </c>
      <c r="F263" s="160">
        <v>25500.0</v>
      </c>
      <c r="G263" s="160">
        <v>4080.0</v>
      </c>
      <c r="H263" s="160">
        <f t="shared" si="20"/>
        <v>29580</v>
      </c>
      <c r="I263" s="172"/>
      <c r="J263" s="169"/>
      <c r="K263" s="172"/>
      <c r="L263" s="172">
        <f>+'FACUS$'!$H263-'FACUS$'!$I263-'FACUS$'!$K263</f>
        <v>29580</v>
      </c>
      <c r="M263" s="157" t="s">
        <v>91</v>
      </c>
      <c r="N263" s="162" t="s">
        <v>127</v>
      </c>
      <c r="O263" s="332"/>
      <c r="P263" s="164">
        <f t="array" ref="P263">XLOOKUP('FACUS$'!$B263,'perfil de pagos'!$A$4:$A$46,'perfil de pagos'!$C$4:$C$46+'FACUS$'!$D263)</f>
        <v>42972</v>
      </c>
      <c r="Q263" s="165" t="str">
        <f t="shared" si="2"/>
        <v>N/A</v>
      </c>
      <c r="R263" s="171"/>
      <c r="S263" s="171"/>
      <c r="T263" s="171"/>
      <c r="U263" s="333" t="s">
        <v>7271</v>
      </c>
      <c r="V263" s="168">
        <f t="shared" si="3"/>
        <v>0</v>
      </c>
      <c r="W263" s="168">
        <f t="shared" si="4"/>
        <v>0</v>
      </c>
      <c r="X263" s="168">
        <f t="shared" si="5"/>
        <v>0</v>
      </c>
      <c r="Y263" s="168">
        <f t="shared" si="6"/>
        <v>0</v>
      </c>
      <c r="Z263" s="168">
        <f t="shared" si="7"/>
        <v>0</v>
      </c>
      <c r="AA263" s="168">
        <f t="shared" si="8"/>
        <v>0</v>
      </c>
      <c r="AB263" s="168">
        <f t="shared" si="9"/>
        <v>29580</v>
      </c>
    </row>
    <row r="264" ht="14.25" customHeight="1">
      <c r="A264" s="157">
        <v>841.0</v>
      </c>
      <c r="B264" s="169" t="s">
        <v>720</v>
      </c>
      <c r="C264" s="169" t="s">
        <v>794</v>
      </c>
      <c r="D264" s="159">
        <v>42948.0</v>
      </c>
      <c r="E264" s="157" t="s">
        <v>2</v>
      </c>
      <c r="F264" s="160">
        <v>13711.33</v>
      </c>
      <c r="G264" s="160">
        <v>2193.81</v>
      </c>
      <c r="H264" s="160">
        <f t="shared" si="20"/>
        <v>15905.14</v>
      </c>
      <c r="I264" s="172"/>
      <c r="J264" s="169"/>
      <c r="K264" s="172"/>
      <c r="L264" s="172">
        <f>+'FACUS$'!$H264-'FACUS$'!$I264-'FACUS$'!$K264</f>
        <v>15905.14</v>
      </c>
      <c r="M264" s="157" t="s">
        <v>777</v>
      </c>
      <c r="N264" s="162" t="s">
        <v>554</v>
      </c>
      <c r="O264" s="332">
        <v>42971.0</v>
      </c>
      <c r="P264" s="164" t="str">
        <f t="array" ref="P264">XLOOKUP('FACUS$'!$B264,'perfil de pagos'!$A$4:$A$46,'perfil de pagos'!$C$4:$C$46+'FACUS$'!$D264)</f>
        <v>#N/A</v>
      </c>
      <c r="Q264" s="165">
        <f t="shared" si="2"/>
        <v>0</v>
      </c>
      <c r="R264" s="171"/>
      <c r="S264" s="171"/>
      <c r="T264" s="171"/>
      <c r="U264" s="333" t="s">
        <v>7271</v>
      </c>
      <c r="V264" s="168">
        <f t="shared" si="3"/>
        <v>15905.14</v>
      </c>
      <c r="W264" s="168">
        <f t="shared" si="4"/>
        <v>0</v>
      </c>
      <c r="X264" s="168">
        <f t="shared" si="5"/>
        <v>0</v>
      </c>
      <c r="Y264" s="168">
        <f t="shared" si="6"/>
        <v>0</v>
      </c>
      <c r="Z264" s="168">
        <f t="shared" si="7"/>
        <v>0</v>
      </c>
      <c r="AA264" s="168">
        <f t="shared" si="8"/>
        <v>0</v>
      </c>
      <c r="AB264" s="168">
        <f t="shared" si="9"/>
        <v>0</v>
      </c>
    </row>
    <row r="265" ht="14.25" customHeight="1">
      <c r="A265" s="157">
        <v>843.0</v>
      </c>
      <c r="B265" s="169" t="s">
        <v>70</v>
      </c>
      <c r="C265" s="169" t="s">
        <v>759</v>
      </c>
      <c r="D265" s="159">
        <v>42948.0</v>
      </c>
      <c r="E265" s="157" t="s">
        <v>2</v>
      </c>
      <c r="F265" s="160">
        <v>2152.5</v>
      </c>
      <c r="G265" s="160">
        <v>344.4</v>
      </c>
      <c r="H265" s="160">
        <f t="shared" si="20"/>
        <v>2496.9</v>
      </c>
      <c r="I265" s="172"/>
      <c r="J265" s="169"/>
      <c r="K265" s="172"/>
      <c r="L265" s="172">
        <f>+'FACUS$'!$H265-'FACUS$'!$I265-'FACUS$'!$K265</f>
        <v>2496.9</v>
      </c>
      <c r="M265" s="157" t="s">
        <v>719</v>
      </c>
      <c r="N265" s="162" t="s">
        <v>554</v>
      </c>
      <c r="O265" s="332">
        <v>42972.0</v>
      </c>
      <c r="P265" s="164" t="str">
        <f t="array" ref="P265">XLOOKUP('FACUS$'!$B265,'perfil de pagos'!$A$4:$A$46,'perfil de pagos'!$C$4:$C$46+'FACUS$'!$D265)</f>
        <v>#N/A</v>
      </c>
      <c r="Q265" s="165">
        <f t="shared" si="2"/>
        <v>0</v>
      </c>
      <c r="R265" s="171"/>
      <c r="S265" s="171"/>
      <c r="T265" s="171"/>
      <c r="U265" s="333" t="s">
        <v>7271</v>
      </c>
      <c r="V265" s="168">
        <f t="shared" si="3"/>
        <v>2496.9</v>
      </c>
      <c r="W265" s="168">
        <f t="shared" si="4"/>
        <v>0</v>
      </c>
      <c r="X265" s="168">
        <f t="shared" si="5"/>
        <v>0</v>
      </c>
      <c r="Y265" s="168">
        <f t="shared" si="6"/>
        <v>0</v>
      </c>
      <c r="Z265" s="168">
        <f t="shared" si="7"/>
        <v>0</v>
      </c>
      <c r="AA265" s="168">
        <f t="shared" si="8"/>
        <v>0</v>
      </c>
      <c r="AB265" s="168">
        <f t="shared" si="9"/>
        <v>0</v>
      </c>
    </row>
    <row r="266" ht="14.25" customHeight="1">
      <c r="A266" s="157">
        <v>852.0</v>
      </c>
      <c r="B266" s="169" t="s">
        <v>82</v>
      </c>
      <c r="C266" s="169" t="s">
        <v>7333</v>
      </c>
      <c r="D266" s="159">
        <v>42965.0</v>
      </c>
      <c r="E266" s="157" t="s">
        <v>2</v>
      </c>
      <c r="F266" s="160">
        <v>15000.0</v>
      </c>
      <c r="G266" s="160">
        <v>2400.0</v>
      </c>
      <c r="H266" s="160">
        <f t="shared" si="20"/>
        <v>17400</v>
      </c>
      <c r="I266" s="172"/>
      <c r="J266" s="169"/>
      <c r="K266" s="172"/>
      <c r="L266" s="172">
        <f>+'FACUS$'!$H266-'FACUS$'!$I266-'FACUS$'!$K266</f>
        <v>17400</v>
      </c>
      <c r="M266" s="157" t="s">
        <v>96</v>
      </c>
      <c r="N266" s="162" t="s">
        <v>554</v>
      </c>
      <c r="O266" s="332">
        <v>43208.0</v>
      </c>
      <c r="P266" s="164" t="str">
        <f t="array" ref="P266">XLOOKUP('FACUS$'!$B266,'perfil de pagos'!$A$4:$A$46,'perfil de pagos'!$C$4:$C$46+'FACUS$'!$D266)</f>
        <v>#N/A</v>
      </c>
      <c r="Q266" s="165">
        <f t="shared" si="2"/>
        <v>0</v>
      </c>
      <c r="R266" s="171"/>
      <c r="S266" s="171"/>
      <c r="T266" s="171"/>
      <c r="U266" s="333" t="s">
        <v>7271</v>
      </c>
      <c r="V266" s="168">
        <f t="shared" si="3"/>
        <v>17400</v>
      </c>
      <c r="W266" s="168">
        <f t="shared" si="4"/>
        <v>0</v>
      </c>
      <c r="X266" s="168">
        <f t="shared" si="5"/>
        <v>0</v>
      </c>
      <c r="Y266" s="168">
        <f t="shared" si="6"/>
        <v>0</v>
      </c>
      <c r="Z266" s="168">
        <f t="shared" si="7"/>
        <v>0</v>
      </c>
      <c r="AA266" s="168">
        <f t="shared" si="8"/>
        <v>0</v>
      </c>
      <c r="AB266" s="168">
        <f t="shared" si="9"/>
        <v>0</v>
      </c>
    </row>
    <row r="267" ht="14.25" customHeight="1">
      <c r="A267" s="157">
        <v>853.0</v>
      </c>
      <c r="B267" s="169"/>
      <c r="C267" s="169"/>
      <c r="D267" s="159"/>
      <c r="E267" s="157"/>
      <c r="F267" s="160"/>
      <c r="G267" s="160"/>
      <c r="H267" s="160"/>
      <c r="I267" s="172"/>
      <c r="J267" s="169"/>
      <c r="K267" s="172"/>
      <c r="L267" s="172">
        <f>+'FACUS$'!$H267-'FACUS$'!$I267-'FACUS$'!$K267</f>
        <v>0</v>
      </c>
      <c r="M267" s="157"/>
      <c r="N267" s="162" t="s">
        <v>127</v>
      </c>
      <c r="O267" s="332"/>
      <c r="P267" s="164" t="str">
        <f t="array" ref="P267">XLOOKUP('FACUS$'!$B267,'perfil de pagos'!$A$4:$A$46,'perfil de pagos'!$C$4:$C$46+'FACUS$'!$D267)</f>
        <v>#N/A</v>
      </c>
      <c r="Q267" s="165" t="str">
        <f t="shared" si="2"/>
        <v>N/A</v>
      </c>
      <c r="R267" s="171"/>
      <c r="S267" s="171"/>
      <c r="T267" s="171"/>
      <c r="U267" s="333" t="s">
        <v>7271</v>
      </c>
      <c r="V267" s="168">
        <f t="shared" si="3"/>
        <v>0</v>
      </c>
      <c r="W267" s="168">
        <f t="shared" si="4"/>
        <v>0</v>
      </c>
      <c r="X267" s="168">
        <f t="shared" si="5"/>
        <v>0</v>
      </c>
      <c r="Y267" s="168">
        <f t="shared" si="6"/>
        <v>0</v>
      </c>
      <c r="Z267" s="168">
        <f t="shared" si="7"/>
        <v>0</v>
      </c>
      <c r="AA267" s="168">
        <f t="shared" si="8"/>
        <v>0</v>
      </c>
      <c r="AB267" s="168">
        <f t="shared" si="9"/>
        <v>0</v>
      </c>
    </row>
    <row r="268" ht="14.25" customHeight="1">
      <c r="A268" s="157">
        <v>854.0</v>
      </c>
      <c r="B268" s="170" t="s">
        <v>24</v>
      </c>
      <c r="C268" s="169" t="s">
        <v>794</v>
      </c>
      <c r="D268" s="159">
        <v>42925.0</v>
      </c>
      <c r="E268" s="157" t="s">
        <v>2</v>
      </c>
      <c r="F268" s="160">
        <v>15222.9</v>
      </c>
      <c r="G268" s="160">
        <v>2435.66</v>
      </c>
      <c r="H268" s="160">
        <f t="shared" ref="H268:H289" si="21">F268+G268</f>
        <v>17658.56</v>
      </c>
      <c r="I268" s="172"/>
      <c r="J268" s="169"/>
      <c r="K268" s="172"/>
      <c r="L268" s="172">
        <f>+'FACUS$'!$H268-'FACUS$'!$I268-'FACUS$'!$K268</f>
        <v>17658.56</v>
      </c>
      <c r="M268" s="157" t="s">
        <v>91</v>
      </c>
      <c r="N268" s="162" t="s">
        <v>554</v>
      </c>
      <c r="O268" s="332">
        <v>42993.0</v>
      </c>
      <c r="P268" s="164">
        <f t="array" ref="P268">XLOOKUP('FACUS$'!$B268,'perfil de pagos'!$A$4:$A$46,'perfil de pagos'!$C$4:$C$46+'FACUS$'!$D268)</f>
        <v>42935</v>
      </c>
      <c r="Q268" s="165">
        <f t="shared" si="2"/>
        <v>0</v>
      </c>
      <c r="R268" s="171"/>
      <c r="S268" s="171"/>
      <c r="T268" s="171"/>
      <c r="U268" s="333" t="s">
        <v>7271</v>
      </c>
      <c r="V268" s="168">
        <f t="shared" si="3"/>
        <v>17658.56</v>
      </c>
      <c r="W268" s="168">
        <f t="shared" si="4"/>
        <v>0</v>
      </c>
      <c r="X268" s="168">
        <f t="shared" si="5"/>
        <v>0</v>
      </c>
      <c r="Y268" s="168">
        <f t="shared" si="6"/>
        <v>0</v>
      </c>
      <c r="Z268" s="168">
        <f t="shared" si="7"/>
        <v>0</v>
      </c>
      <c r="AA268" s="168">
        <f t="shared" si="8"/>
        <v>0</v>
      </c>
      <c r="AB268" s="168">
        <f t="shared" si="9"/>
        <v>0</v>
      </c>
    </row>
    <row r="269" ht="14.25" customHeight="1">
      <c r="A269" s="157">
        <v>858.0</v>
      </c>
      <c r="B269" s="169" t="s">
        <v>24</v>
      </c>
      <c r="C269" s="169" t="s">
        <v>794</v>
      </c>
      <c r="D269" s="159">
        <v>42948.0</v>
      </c>
      <c r="E269" s="157" t="s">
        <v>2</v>
      </c>
      <c r="F269" s="160">
        <v>11535.3</v>
      </c>
      <c r="G269" s="160">
        <v>1845.65</v>
      </c>
      <c r="H269" s="160">
        <f t="shared" si="21"/>
        <v>13380.95</v>
      </c>
      <c r="I269" s="172"/>
      <c r="J269" s="169"/>
      <c r="K269" s="172"/>
      <c r="L269" s="172">
        <f>+'FACUS$'!$H269-'FACUS$'!$I269-'FACUS$'!$K269</f>
        <v>13380.95</v>
      </c>
      <c r="M269" s="157" t="s">
        <v>91</v>
      </c>
      <c r="N269" s="162" t="s">
        <v>127</v>
      </c>
      <c r="O269" s="332"/>
      <c r="P269" s="164">
        <f t="array" ref="P269">XLOOKUP('FACUS$'!$B269,'perfil de pagos'!$A$4:$A$46,'perfil de pagos'!$C$4:$C$46+'FACUS$'!$D269)</f>
        <v>42958</v>
      </c>
      <c r="Q269" s="165" t="str">
        <f t="shared" si="2"/>
        <v>N/A</v>
      </c>
      <c r="R269" s="171"/>
      <c r="S269" s="171"/>
      <c r="T269" s="171"/>
      <c r="U269" s="333" t="s">
        <v>7271</v>
      </c>
      <c r="V269" s="168">
        <f t="shared" si="3"/>
        <v>0</v>
      </c>
      <c r="W269" s="168">
        <f t="shared" si="4"/>
        <v>0</v>
      </c>
      <c r="X269" s="168">
        <f t="shared" si="5"/>
        <v>0</v>
      </c>
      <c r="Y269" s="168">
        <f t="shared" si="6"/>
        <v>0</v>
      </c>
      <c r="Z269" s="168">
        <f t="shared" si="7"/>
        <v>0</v>
      </c>
      <c r="AA269" s="168">
        <f t="shared" si="8"/>
        <v>0</v>
      </c>
      <c r="AB269" s="168">
        <f t="shared" si="9"/>
        <v>13380.95</v>
      </c>
    </row>
    <row r="270" ht="14.25" customHeight="1">
      <c r="A270" s="157">
        <v>859.0</v>
      </c>
      <c r="B270" s="169" t="s">
        <v>37</v>
      </c>
      <c r="C270" s="170" t="s">
        <v>759</v>
      </c>
      <c r="D270" s="159">
        <v>42948.0</v>
      </c>
      <c r="E270" s="157" t="s">
        <v>2</v>
      </c>
      <c r="F270" s="160">
        <v>95583.95</v>
      </c>
      <c r="G270" s="160">
        <v>15293.43</v>
      </c>
      <c r="H270" s="160">
        <f t="shared" si="21"/>
        <v>110877.38</v>
      </c>
      <c r="I270" s="172"/>
      <c r="J270" s="169"/>
      <c r="K270" s="172"/>
      <c r="L270" s="172">
        <f>+'FACUS$'!$H270-'FACUS$'!$I270-'FACUS$'!$K270</f>
        <v>110877.38</v>
      </c>
      <c r="M270" s="157" t="s">
        <v>718</v>
      </c>
      <c r="N270" s="162" t="s">
        <v>554</v>
      </c>
      <c r="O270" s="332">
        <v>42990.0</v>
      </c>
      <c r="P270" s="164">
        <f t="array" ref="P270">XLOOKUP('FACUS$'!$B270,'perfil de pagos'!$A$4:$A$46,'perfil de pagos'!$C$4:$C$46+'FACUS$'!$D270)</f>
        <v>42958</v>
      </c>
      <c r="Q270" s="165">
        <f t="shared" si="2"/>
        <v>0</v>
      </c>
      <c r="R270" s="171"/>
      <c r="S270" s="171"/>
      <c r="T270" s="171"/>
      <c r="U270" s="333" t="s">
        <v>7271</v>
      </c>
      <c r="V270" s="168">
        <f t="shared" si="3"/>
        <v>110877.38</v>
      </c>
      <c r="W270" s="168">
        <f t="shared" si="4"/>
        <v>0</v>
      </c>
      <c r="X270" s="168">
        <f t="shared" si="5"/>
        <v>0</v>
      </c>
      <c r="Y270" s="168">
        <f t="shared" si="6"/>
        <v>0</v>
      </c>
      <c r="Z270" s="168">
        <f t="shared" si="7"/>
        <v>0</v>
      </c>
      <c r="AA270" s="168">
        <f t="shared" si="8"/>
        <v>0</v>
      </c>
      <c r="AB270" s="168">
        <f t="shared" si="9"/>
        <v>0</v>
      </c>
    </row>
    <row r="271" ht="14.25" customHeight="1">
      <c r="A271" s="157">
        <v>860.0</v>
      </c>
      <c r="B271" s="169" t="s">
        <v>24</v>
      </c>
      <c r="C271" s="169" t="s">
        <v>564</v>
      </c>
      <c r="D271" s="159">
        <v>42948.0</v>
      </c>
      <c r="E271" s="157" t="s">
        <v>2</v>
      </c>
      <c r="F271" s="160">
        <v>11535.3</v>
      </c>
      <c r="G271" s="160">
        <v>1845.65</v>
      </c>
      <c r="H271" s="160">
        <f t="shared" si="21"/>
        <v>13380.95</v>
      </c>
      <c r="I271" s="172"/>
      <c r="J271" s="169"/>
      <c r="K271" s="172"/>
      <c r="L271" s="172">
        <f>+'FACUS$'!$H271-'FACUS$'!$I271-'FACUS$'!$K271</f>
        <v>13380.95</v>
      </c>
      <c r="M271" s="157" t="s">
        <v>91</v>
      </c>
      <c r="N271" s="162" t="s">
        <v>554</v>
      </c>
      <c r="O271" s="332">
        <v>42999.0</v>
      </c>
      <c r="P271" s="164">
        <f t="array" ref="P271">XLOOKUP('FACUS$'!$B271,'perfil de pagos'!$A$4:$A$46,'perfil de pagos'!$C$4:$C$46+'FACUS$'!$D271)</f>
        <v>42958</v>
      </c>
      <c r="Q271" s="165">
        <f t="shared" si="2"/>
        <v>0</v>
      </c>
      <c r="R271" s="171"/>
      <c r="S271" s="171"/>
      <c r="T271" s="171"/>
      <c r="U271" s="333" t="s">
        <v>7271</v>
      </c>
      <c r="V271" s="168">
        <f t="shared" si="3"/>
        <v>13380.95</v>
      </c>
      <c r="W271" s="168">
        <f t="shared" si="4"/>
        <v>0</v>
      </c>
      <c r="X271" s="168">
        <f t="shared" si="5"/>
        <v>0</v>
      </c>
      <c r="Y271" s="168">
        <f t="shared" si="6"/>
        <v>0</v>
      </c>
      <c r="Z271" s="168">
        <f t="shared" si="7"/>
        <v>0</v>
      </c>
      <c r="AA271" s="168">
        <f t="shared" si="8"/>
        <v>0</v>
      </c>
      <c r="AB271" s="168">
        <f t="shared" si="9"/>
        <v>0</v>
      </c>
    </row>
    <row r="272" ht="14.25" customHeight="1">
      <c r="A272" s="350">
        <v>861.0</v>
      </c>
      <c r="B272" s="351" t="s">
        <v>82</v>
      </c>
      <c r="C272" s="351" t="s">
        <v>7334</v>
      </c>
      <c r="D272" s="352">
        <v>42977.0</v>
      </c>
      <c r="E272" s="350" t="s">
        <v>2</v>
      </c>
      <c r="F272" s="353">
        <v>2500.0</v>
      </c>
      <c r="G272" s="353">
        <v>400.0</v>
      </c>
      <c r="H272" s="353">
        <f t="shared" si="21"/>
        <v>2900</v>
      </c>
      <c r="I272" s="354"/>
      <c r="J272" s="351"/>
      <c r="K272" s="354"/>
      <c r="L272" s="354">
        <f>+'FACUS$'!$H272-'FACUS$'!$I272-'FACUS$'!$K272</f>
        <v>2900</v>
      </c>
      <c r="M272" s="350" t="s">
        <v>96</v>
      </c>
      <c r="N272" s="359" t="s">
        <v>554</v>
      </c>
      <c r="O272" s="355">
        <v>43236.0</v>
      </c>
      <c r="P272" s="164" t="str">
        <f t="array" ref="P272">XLOOKUP('FACUS$'!$B272,'perfil de pagos'!$A$4:$A$46,'perfil de pagos'!$C$4:$C$46+'FACUS$'!$D272)</f>
        <v>#N/A</v>
      </c>
      <c r="Q272" s="165">
        <f t="shared" si="2"/>
        <v>0</v>
      </c>
      <c r="R272" s="356"/>
      <c r="S272" s="356"/>
      <c r="T272" s="356"/>
      <c r="U272" s="357" t="s">
        <v>7271</v>
      </c>
      <c r="V272" s="168">
        <f t="shared" si="3"/>
        <v>2900</v>
      </c>
      <c r="W272" s="168">
        <f t="shared" si="4"/>
        <v>0</v>
      </c>
      <c r="X272" s="168">
        <f t="shared" si="5"/>
        <v>0</v>
      </c>
      <c r="Y272" s="168">
        <f t="shared" si="6"/>
        <v>0</v>
      </c>
      <c r="Z272" s="168">
        <f t="shared" si="7"/>
        <v>0</v>
      </c>
      <c r="AA272" s="168">
        <f t="shared" si="8"/>
        <v>0</v>
      </c>
      <c r="AB272" s="168">
        <f t="shared" si="9"/>
        <v>0</v>
      </c>
    </row>
    <row r="273" ht="14.25" customHeight="1">
      <c r="A273" s="350">
        <v>862.0</v>
      </c>
      <c r="B273" s="351" t="s">
        <v>82</v>
      </c>
      <c r="C273" s="351" t="s">
        <v>7335</v>
      </c>
      <c r="D273" s="352">
        <v>42977.0</v>
      </c>
      <c r="E273" s="350" t="s">
        <v>2</v>
      </c>
      <c r="F273" s="353">
        <v>2500.0</v>
      </c>
      <c r="G273" s="353">
        <v>400.0</v>
      </c>
      <c r="H273" s="353">
        <f t="shared" si="21"/>
        <v>2900</v>
      </c>
      <c r="I273" s="354"/>
      <c r="J273" s="351"/>
      <c r="K273" s="354"/>
      <c r="L273" s="354">
        <f>+'FACUS$'!$H273-'FACUS$'!$I273-'FACUS$'!$K273</f>
        <v>2900</v>
      </c>
      <c r="M273" s="350" t="s">
        <v>96</v>
      </c>
      <c r="N273" s="359" t="s">
        <v>554</v>
      </c>
      <c r="O273" s="355">
        <v>43236.0</v>
      </c>
      <c r="P273" s="164" t="str">
        <f t="array" ref="P273">XLOOKUP('FACUS$'!$B273,'perfil de pagos'!$A$4:$A$46,'perfil de pagos'!$C$4:$C$46+'FACUS$'!$D273)</f>
        <v>#N/A</v>
      </c>
      <c r="Q273" s="165">
        <f t="shared" si="2"/>
        <v>0</v>
      </c>
      <c r="R273" s="356"/>
      <c r="S273" s="356"/>
      <c r="T273" s="356"/>
      <c r="U273" s="357" t="s">
        <v>7271</v>
      </c>
      <c r="V273" s="168">
        <f t="shared" si="3"/>
        <v>2900</v>
      </c>
      <c r="W273" s="168">
        <f t="shared" si="4"/>
        <v>0</v>
      </c>
      <c r="X273" s="168">
        <f t="shared" si="5"/>
        <v>0</v>
      </c>
      <c r="Y273" s="168">
        <f t="shared" si="6"/>
        <v>0</v>
      </c>
      <c r="Z273" s="168">
        <f t="shared" si="7"/>
        <v>0</v>
      </c>
      <c r="AA273" s="168">
        <f t="shared" si="8"/>
        <v>0</v>
      </c>
      <c r="AB273" s="168">
        <f t="shared" si="9"/>
        <v>0</v>
      </c>
    </row>
    <row r="274" ht="14.25" customHeight="1">
      <c r="A274" s="350">
        <v>863.0</v>
      </c>
      <c r="B274" s="351" t="s">
        <v>82</v>
      </c>
      <c r="C274" s="351" t="s">
        <v>7336</v>
      </c>
      <c r="D274" s="352">
        <v>42977.0</v>
      </c>
      <c r="E274" s="350" t="s">
        <v>2</v>
      </c>
      <c r="F274" s="353">
        <v>2500.0</v>
      </c>
      <c r="G274" s="353">
        <v>400.0</v>
      </c>
      <c r="H274" s="353">
        <f t="shared" si="21"/>
        <v>2900</v>
      </c>
      <c r="I274" s="354"/>
      <c r="J274" s="351"/>
      <c r="K274" s="354"/>
      <c r="L274" s="354">
        <f>+'FACUS$'!$H274-'FACUS$'!$I274-'FACUS$'!$K274</f>
        <v>2900</v>
      </c>
      <c r="M274" s="350" t="s">
        <v>96</v>
      </c>
      <c r="N274" s="359" t="s">
        <v>554</v>
      </c>
      <c r="O274" s="355">
        <v>43236.0</v>
      </c>
      <c r="P274" s="164" t="str">
        <f t="array" ref="P274">XLOOKUP('FACUS$'!$B274,'perfil de pagos'!$A$4:$A$46,'perfil de pagos'!$C$4:$C$46+'FACUS$'!$D274)</f>
        <v>#N/A</v>
      </c>
      <c r="Q274" s="165">
        <f t="shared" si="2"/>
        <v>0</v>
      </c>
      <c r="R274" s="356"/>
      <c r="S274" s="356"/>
      <c r="T274" s="356"/>
      <c r="U274" s="357" t="s">
        <v>7271</v>
      </c>
      <c r="V274" s="168">
        <f t="shared" si="3"/>
        <v>2900</v>
      </c>
      <c r="W274" s="168">
        <f t="shared" si="4"/>
        <v>0</v>
      </c>
      <c r="X274" s="168">
        <f t="shared" si="5"/>
        <v>0</v>
      </c>
      <c r="Y274" s="168">
        <f t="shared" si="6"/>
        <v>0</v>
      </c>
      <c r="Z274" s="168">
        <f t="shared" si="7"/>
        <v>0</v>
      </c>
      <c r="AA274" s="168">
        <f t="shared" si="8"/>
        <v>0</v>
      </c>
      <c r="AB274" s="168">
        <f t="shared" si="9"/>
        <v>0</v>
      </c>
    </row>
    <row r="275" ht="14.25" customHeight="1">
      <c r="A275" s="210">
        <v>864.0</v>
      </c>
      <c r="B275" s="169" t="s">
        <v>82</v>
      </c>
      <c r="C275" s="169" t="s">
        <v>7337</v>
      </c>
      <c r="D275" s="159">
        <v>42977.0</v>
      </c>
      <c r="E275" s="157" t="s">
        <v>2</v>
      </c>
      <c r="F275" s="160">
        <v>2500.0</v>
      </c>
      <c r="G275" s="160">
        <v>400.0</v>
      </c>
      <c r="H275" s="160">
        <f t="shared" si="21"/>
        <v>2900</v>
      </c>
      <c r="I275" s="172"/>
      <c r="J275" s="169"/>
      <c r="K275" s="172"/>
      <c r="L275" s="172">
        <f>+'FACUS$'!$H275-'FACUS$'!$I275-'FACUS$'!$K275</f>
        <v>2900</v>
      </c>
      <c r="M275" s="157" t="s">
        <v>96</v>
      </c>
      <c r="N275" s="162" t="s">
        <v>554</v>
      </c>
      <c r="O275" s="332">
        <v>43236.0</v>
      </c>
      <c r="P275" s="164" t="str">
        <f t="array" ref="P275">XLOOKUP('FACUS$'!$B275,'perfil de pagos'!$A$4:$A$46,'perfil de pagos'!$C$4:$C$46+'FACUS$'!$D275)</f>
        <v>#N/A</v>
      </c>
      <c r="Q275" s="165">
        <f t="shared" si="2"/>
        <v>0</v>
      </c>
      <c r="R275" s="171"/>
      <c r="S275" s="171"/>
      <c r="T275" s="171"/>
      <c r="U275" s="333" t="s">
        <v>7271</v>
      </c>
      <c r="V275" s="168">
        <f t="shared" si="3"/>
        <v>2900</v>
      </c>
      <c r="W275" s="168">
        <f t="shared" si="4"/>
        <v>0</v>
      </c>
      <c r="X275" s="168">
        <f t="shared" si="5"/>
        <v>0</v>
      </c>
      <c r="Y275" s="168">
        <f t="shared" si="6"/>
        <v>0</v>
      </c>
      <c r="Z275" s="168">
        <f t="shared" si="7"/>
        <v>0</v>
      </c>
      <c r="AA275" s="168">
        <f t="shared" si="8"/>
        <v>0</v>
      </c>
      <c r="AB275" s="168">
        <f t="shared" si="9"/>
        <v>0</v>
      </c>
    </row>
    <row r="276" ht="14.25" customHeight="1">
      <c r="A276" s="157">
        <v>865.0</v>
      </c>
      <c r="B276" s="169" t="s">
        <v>82</v>
      </c>
      <c r="C276" s="169" t="s">
        <v>7338</v>
      </c>
      <c r="D276" s="159">
        <v>42964.0</v>
      </c>
      <c r="E276" s="157" t="s">
        <v>2</v>
      </c>
      <c r="F276" s="160">
        <v>6500.0</v>
      </c>
      <c r="G276" s="160">
        <v>1040.0</v>
      </c>
      <c r="H276" s="160">
        <f t="shared" si="21"/>
        <v>7540</v>
      </c>
      <c r="I276" s="172"/>
      <c r="J276" s="169"/>
      <c r="K276" s="172"/>
      <c r="L276" s="172">
        <f>+'FACUS$'!$H276-'FACUS$'!$I276-'FACUS$'!$K276</f>
        <v>7540</v>
      </c>
      <c r="M276" s="157" t="s">
        <v>96</v>
      </c>
      <c r="N276" s="162" t="s">
        <v>554</v>
      </c>
      <c r="O276" s="332">
        <v>43208.0</v>
      </c>
      <c r="P276" s="164" t="str">
        <f t="array" ref="P276">XLOOKUP('FACUS$'!$B276,'perfil de pagos'!$A$4:$A$46,'perfil de pagos'!$C$4:$C$46+'FACUS$'!$D276)</f>
        <v>#N/A</v>
      </c>
      <c r="Q276" s="165">
        <f t="shared" si="2"/>
        <v>0</v>
      </c>
      <c r="R276" s="171"/>
      <c r="S276" s="171"/>
      <c r="T276" s="171"/>
      <c r="U276" s="333" t="s">
        <v>7271</v>
      </c>
      <c r="V276" s="168">
        <f t="shared" si="3"/>
        <v>7540</v>
      </c>
      <c r="W276" s="168">
        <f t="shared" si="4"/>
        <v>0</v>
      </c>
      <c r="X276" s="168">
        <f t="shared" si="5"/>
        <v>0</v>
      </c>
      <c r="Y276" s="168">
        <f t="shared" si="6"/>
        <v>0</v>
      </c>
      <c r="Z276" s="168">
        <f t="shared" si="7"/>
        <v>0</v>
      </c>
      <c r="AA276" s="168">
        <f t="shared" si="8"/>
        <v>0</v>
      </c>
      <c r="AB276" s="168">
        <f t="shared" si="9"/>
        <v>0</v>
      </c>
    </row>
    <row r="277" ht="14.25" customHeight="1">
      <c r="A277" s="157">
        <v>870.0</v>
      </c>
      <c r="B277" s="169" t="s">
        <v>24</v>
      </c>
      <c r="C277" s="169" t="s">
        <v>7339</v>
      </c>
      <c r="D277" s="159">
        <v>42962.0</v>
      </c>
      <c r="E277" s="157" t="s">
        <v>2</v>
      </c>
      <c r="F277" s="160">
        <v>25500.0</v>
      </c>
      <c r="G277" s="160">
        <v>4080.0</v>
      </c>
      <c r="H277" s="160">
        <f t="shared" si="21"/>
        <v>29580</v>
      </c>
      <c r="I277" s="172"/>
      <c r="J277" s="169"/>
      <c r="K277" s="172"/>
      <c r="L277" s="172">
        <f>+'FACUS$'!$H277-'FACUS$'!$I277-'FACUS$'!$K277</f>
        <v>29580</v>
      </c>
      <c r="M277" s="157" t="s">
        <v>91</v>
      </c>
      <c r="N277" s="162" t="s">
        <v>554</v>
      </c>
      <c r="O277" s="332">
        <v>42999.0</v>
      </c>
      <c r="P277" s="164">
        <f t="array" ref="P277">XLOOKUP('FACUS$'!$B277,'perfil de pagos'!$A$4:$A$46,'perfil de pagos'!$C$4:$C$46+'FACUS$'!$D277)</f>
        <v>42972</v>
      </c>
      <c r="Q277" s="165">
        <f t="shared" si="2"/>
        <v>0</v>
      </c>
      <c r="R277" s="171"/>
      <c r="S277" s="171"/>
      <c r="T277" s="171"/>
      <c r="U277" s="333" t="s">
        <v>7271</v>
      </c>
      <c r="V277" s="168">
        <f t="shared" si="3"/>
        <v>29580</v>
      </c>
      <c r="W277" s="168">
        <f t="shared" si="4"/>
        <v>0</v>
      </c>
      <c r="X277" s="168">
        <f t="shared" si="5"/>
        <v>0</v>
      </c>
      <c r="Y277" s="168">
        <f t="shared" si="6"/>
        <v>0</v>
      </c>
      <c r="Z277" s="168">
        <f t="shared" si="7"/>
        <v>0</v>
      </c>
      <c r="AA277" s="168">
        <f t="shared" si="8"/>
        <v>0</v>
      </c>
      <c r="AB277" s="168">
        <f t="shared" si="9"/>
        <v>0</v>
      </c>
    </row>
    <row r="278" ht="14.25" customHeight="1">
      <c r="A278" s="157">
        <v>873.0</v>
      </c>
      <c r="B278" s="169" t="s">
        <v>70</v>
      </c>
      <c r="C278" s="170" t="s">
        <v>759</v>
      </c>
      <c r="D278" s="159">
        <v>42962.0</v>
      </c>
      <c r="E278" s="157" t="s">
        <v>2</v>
      </c>
      <c r="F278" s="160">
        <v>6262.5</v>
      </c>
      <c r="G278" s="160">
        <v>1002.0</v>
      </c>
      <c r="H278" s="160">
        <f t="shared" si="21"/>
        <v>7264.5</v>
      </c>
      <c r="I278" s="172"/>
      <c r="J278" s="169"/>
      <c r="K278" s="172"/>
      <c r="L278" s="172">
        <f>+'FACUS$'!$H278-'FACUS$'!$I278-'FACUS$'!$K278</f>
        <v>7264.5</v>
      </c>
      <c r="M278" s="157" t="s">
        <v>719</v>
      </c>
      <c r="N278" s="162" t="s">
        <v>554</v>
      </c>
      <c r="O278" s="332">
        <v>42983.0</v>
      </c>
      <c r="P278" s="164" t="str">
        <f t="array" ref="P278">XLOOKUP('FACUS$'!$B278,'perfil de pagos'!$A$4:$A$46,'perfil de pagos'!$C$4:$C$46+'FACUS$'!$D278)</f>
        <v>#N/A</v>
      </c>
      <c r="Q278" s="165">
        <f t="shared" si="2"/>
        <v>0</v>
      </c>
      <c r="R278" s="171"/>
      <c r="S278" s="171"/>
      <c r="T278" s="171"/>
      <c r="U278" s="333" t="s">
        <v>7271</v>
      </c>
      <c r="V278" s="168">
        <f t="shared" si="3"/>
        <v>7264.5</v>
      </c>
      <c r="W278" s="168">
        <f t="shared" si="4"/>
        <v>0</v>
      </c>
      <c r="X278" s="168">
        <f t="shared" si="5"/>
        <v>0</v>
      </c>
      <c r="Y278" s="168">
        <f t="shared" si="6"/>
        <v>0</v>
      </c>
      <c r="Z278" s="168">
        <f t="shared" si="7"/>
        <v>0</v>
      </c>
      <c r="AA278" s="168">
        <f t="shared" si="8"/>
        <v>0</v>
      </c>
      <c r="AB278" s="168">
        <f t="shared" si="9"/>
        <v>0</v>
      </c>
    </row>
    <row r="279" ht="14.25" customHeight="1">
      <c r="A279" s="157">
        <v>876.0</v>
      </c>
      <c r="B279" s="169" t="s">
        <v>720</v>
      </c>
      <c r="C279" s="169" t="s">
        <v>794</v>
      </c>
      <c r="D279" s="159">
        <v>42962.0</v>
      </c>
      <c r="E279" s="157" t="s">
        <v>2</v>
      </c>
      <c r="F279" s="160">
        <v>13088.77</v>
      </c>
      <c r="G279" s="160">
        <v>2094.0</v>
      </c>
      <c r="H279" s="160">
        <f t="shared" si="21"/>
        <v>15182.77</v>
      </c>
      <c r="I279" s="172"/>
      <c r="J279" s="169"/>
      <c r="K279" s="172"/>
      <c r="L279" s="172">
        <f>+'FACUS$'!$H279-'FACUS$'!$I279-'FACUS$'!$K279</f>
        <v>15182.77</v>
      </c>
      <c r="M279" s="157" t="s">
        <v>777</v>
      </c>
      <c r="N279" s="162" t="s">
        <v>554</v>
      </c>
      <c r="O279" s="332">
        <v>43007.0</v>
      </c>
      <c r="P279" s="164" t="str">
        <f t="array" ref="P279">XLOOKUP('FACUS$'!$B279,'perfil de pagos'!$A$4:$A$46,'perfil de pagos'!$C$4:$C$46+'FACUS$'!$D279)</f>
        <v>#N/A</v>
      </c>
      <c r="Q279" s="165">
        <f t="shared" si="2"/>
        <v>0</v>
      </c>
      <c r="R279" s="171"/>
      <c r="S279" s="171"/>
      <c r="T279" s="171"/>
      <c r="U279" s="333" t="s">
        <v>7271</v>
      </c>
      <c r="V279" s="168">
        <f t="shared" si="3"/>
        <v>15182.77</v>
      </c>
      <c r="W279" s="168">
        <f t="shared" si="4"/>
        <v>0</v>
      </c>
      <c r="X279" s="168">
        <f t="shared" si="5"/>
        <v>0</v>
      </c>
      <c r="Y279" s="168">
        <f t="shared" si="6"/>
        <v>0</v>
      </c>
      <c r="Z279" s="168">
        <f t="shared" si="7"/>
        <v>0</v>
      </c>
      <c r="AA279" s="168">
        <f t="shared" si="8"/>
        <v>0</v>
      </c>
      <c r="AB279" s="168">
        <f t="shared" si="9"/>
        <v>0</v>
      </c>
    </row>
    <row r="280" ht="14.25" customHeight="1">
      <c r="A280" s="157">
        <v>878.0</v>
      </c>
      <c r="B280" s="169" t="s">
        <v>37</v>
      </c>
      <c r="C280" s="169" t="s">
        <v>759</v>
      </c>
      <c r="D280" s="159">
        <v>42962.0</v>
      </c>
      <c r="E280" s="157" t="s">
        <v>2</v>
      </c>
      <c r="F280" s="160">
        <v>100728.43</v>
      </c>
      <c r="G280" s="160">
        <v>16116.55</v>
      </c>
      <c r="H280" s="160">
        <f t="shared" si="21"/>
        <v>116844.98</v>
      </c>
      <c r="I280" s="172"/>
      <c r="J280" s="169"/>
      <c r="K280" s="172"/>
      <c r="L280" s="172">
        <f>+'FACUS$'!$H280-'FACUS$'!$I280-'FACUS$'!$K280</f>
        <v>116844.98</v>
      </c>
      <c r="M280" s="157" t="s">
        <v>718</v>
      </c>
      <c r="N280" s="162" t="s">
        <v>554</v>
      </c>
      <c r="O280" s="335">
        <v>42993.0</v>
      </c>
      <c r="P280" s="164">
        <f t="array" ref="P280">XLOOKUP('FACUS$'!$B280,'perfil de pagos'!$A$4:$A$46,'perfil de pagos'!$C$4:$C$46+'FACUS$'!$D280)</f>
        <v>42972</v>
      </c>
      <c r="Q280" s="165">
        <f t="shared" si="2"/>
        <v>0</v>
      </c>
      <c r="R280" s="171"/>
      <c r="S280" s="171"/>
      <c r="T280" s="171"/>
      <c r="U280" s="333" t="s">
        <v>7271</v>
      </c>
      <c r="V280" s="168">
        <f t="shared" si="3"/>
        <v>116844.98</v>
      </c>
      <c r="W280" s="168">
        <f t="shared" si="4"/>
        <v>0</v>
      </c>
      <c r="X280" s="168">
        <f t="shared" si="5"/>
        <v>0</v>
      </c>
      <c r="Y280" s="168">
        <f t="shared" si="6"/>
        <v>0</v>
      </c>
      <c r="Z280" s="168">
        <f t="shared" si="7"/>
        <v>0</v>
      </c>
      <c r="AA280" s="168">
        <f t="shared" si="8"/>
        <v>0</v>
      </c>
      <c r="AB280" s="168">
        <f t="shared" si="9"/>
        <v>0</v>
      </c>
    </row>
    <row r="281" ht="14.25" customHeight="1">
      <c r="A281" s="157">
        <v>880.0</v>
      </c>
      <c r="B281" s="169" t="s">
        <v>24</v>
      </c>
      <c r="C281" s="169" t="s">
        <v>7340</v>
      </c>
      <c r="D281" s="159">
        <v>42962.0</v>
      </c>
      <c r="E281" s="157" t="s">
        <v>2</v>
      </c>
      <c r="F281" s="160">
        <v>14476.28</v>
      </c>
      <c r="G281" s="160">
        <v>2316.21</v>
      </c>
      <c r="H281" s="160">
        <f t="shared" si="21"/>
        <v>16792.49</v>
      </c>
      <c r="I281" s="172"/>
      <c r="J281" s="169"/>
      <c r="K281" s="172"/>
      <c r="L281" s="172">
        <f>+'FACUS$'!$H281-'FACUS$'!$I281-'FACUS$'!$K281</f>
        <v>16792.49</v>
      </c>
      <c r="M281" s="157" t="s">
        <v>91</v>
      </c>
      <c r="N281" s="162" t="s">
        <v>554</v>
      </c>
      <c r="O281" s="332">
        <v>42999.0</v>
      </c>
      <c r="P281" s="164">
        <f t="array" ref="P281">XLOOKUP('FACUS$'!$B281,'perfil de pagos'!$A$4:$A$46,'perfil de pagos'!$C$4:$C$46+'FACUS$'!$D281)</f>
        <v>42972</v>
      </c>
      <c r="Q281" s="165">
        <f t="shared" si="2"/>
        <v>0</v>
      </c>
      <c r="R281" s="171"/>
      <c r="S281" s="171"/>
      <c r="T281" s="171"/>
      <c r="U281" s="333" t="s">
        <v>7271</v>
      </c>
      <c r="V281" s="168">
        <f t="shared" si="3"/>
        <v>16792.49</v>
      </c>
      <c r="W281" s="168">
        <f t="shared" si="4"/>
        <v>0</v>
      </c>
      <c r="X281" s="168">
        <f t="shared" si="5"/>
        <v>0</v>
      </c>
      <c r="Y281" s="168">
        <f t="shared" si="6"/>
        <v>0</v>
      </c>
      <c r="Z281" s="168">
        <f t="shared" si="7"/>
        <v>0</v>
      </c>
      <c r="AA281" s="168">
        <f t="shared" si="8"/>
        <v>0</v>
      </c>
      <c r="AB281" s="168">
        <f t="shared" si="9"/>
        <v>0</v>
      </c>
    </row>
    <row r="282" ht="14.25" customHeight="1">
      <c r="A282" s="157">
        <v>882.0</v>
      </c>
      <c r="B282" s="169" t="s">
        <v>24</v>
      </c>
      <c r="C282" s="169" t="s">
        <v>7341</v>
      </c>
      <c r="D282" s="159">
        <v>42993.0</v>
      </c>
      <c r="E282" s="157" t="s">
        <v>2</v>
      </c>
      <c r="F282" s="160">
        <v>25500.0</v>
      </c>
      <c r="G282" s="160">
        <v>4080.0</v>
      </c>
      <c r="H282" s="160">
        <f t="shared" si="21"/>
        <v>29580</v>
      </c>
      <c r="I282" s="172"/>
      <c r="J282" s="169"/>
      <c r="K282" s="172"/>
      <c r="L282" s="172">
        <f>+'FACUS$'!$H282-'FACUS$'!$I282-'FACUS$'!$K282</f>
        <v>29580</v>
      </c>
      <c r="M282" s="157" t="s">
        <v>91</v>
      </c>
      <c r="N282" s="162" t="s">
        <v>127</v>
      </c>
      <c r="O282" s="332"/>
      <c r="P282" s="164">
        <f t="array" ref="P282">XLOOKUP('FACUS$'!$B282,'perfil de pagos'!$A$4:$A$46,'perfil de pagos'!$C$4:$C$46+'FACUS$'!$D282)</f>
        <v>43003</v>
      </c>
      <c r="Q282" s="165" t="str">
        <f t="shared" si="2"/>
        <v>N/A</v>
      </c>
      <c r="R282" s="171"/>
      <c r="S282" s="171"/>
      <c r="T282" s="171"/>
      <c r="U282" s="333" t="s">
        <v>7271</v>
      </c>
      <c r="V282" s="168">
        <f t="shared" si="3"/>
        <v>0</v>
      </c>
      <c r="W282" s="168">
        <f t="shared" si="4"/>
        <v>0</v>
      </c>
      <c r="X282" s="168">
        <f t="shared" si="5"/>
        <v>0</v>
      </c>
      <c r="Y282" s="168">
        <f t="shared" si="6"/>
        <v>0</v>
      </c>
      <c r="Z282" s="168">
        <f t="shared" si="7"/>
        <v>0</v>
      </c>
      <c r="AA282" s="168">
        <f t="shared" si="8"/>
        <v>0</v>
      </c>
      <c r="AB282" s="168">
        <f t="shared" si="9"/>
        <v>29580</v>
      </c>
    </row>
    <row r="283" ht="14.25" customHeight="1">
      <c r="A283" s="157">
        <v>883.0</v>
      </c>
      <c r="B283" s="169" t="s">
        <v>24</v>
      </c>
      <c r="C283" s="169" t="s">
        <v>7341</v>
      </c>
      <c r="D283" s="159">
        <v>42993.0</v>
      </c>
      <c r="E283" s="157" t="s">
        <v>2</v>
      </c>
      <c r="F283" s="160">
        <v>8499.99</v>
      </c>
      <c r="G283" s="160">
        <v>1360.0</v>
      </c>
      <c r="H283" s="160">
        <f t="shared" si="21"/>
        <v>9859.99</v>
      </c>
      <c r="I283" s="172"/>
      <c r="J283" s="169"/>
      <c r="K283" s="172"/>
      <c r="L283" s="172">
        <f>+'FACUS$'!$H283-'FACUS$'!$I283-'FACUS$'!$K283</f>
        <v>9859.99</v>
      </c>
      <c r="M283" s="157" t="s">
        <v>91</v>
      </c>
      <c r="N283" s="162" t="s">
        <v>554</v>
      </c>
      <c r="O283" s="332">
        <v>43006.0</v>
      </c>
      <c r="P283" s="164">
        <f t="array" ref="P283">XLOOKUP('FACUS$'!$B283,'perfil de pagos'!$A$4:$A$46,'perfil de pagos'!$C$4:$C$46+'FACUS$'!$D283)</f>
        <v>43003</v>
      </c>
      <c r="Q283" s="165">
        <f t="shared" si="2"/>
        <v>0</v>
      </c>
      <c r="R283" s="171"/>
      <c r="S283" s="171"/>
      <c r="T283" s="171"/>
      <c r="U283" s="333" t="s">
        <v>7271</v>
      </c>
      <c r="V283" s="168">
        <f t="shared" si="3"/>
        <v>9859.99</v>
      </c>
      <c r="W283" s="168">
        <f t="shared" si="4"/>
        <v>0</v>
      </c>
      <c r="X283" s="168">
        <f t="shared" si="5"/>
        <v>0</v>
      </c>
      <c r="Y283" s="168">
        <f t="shared" si="6"/>
        <v>0</v>
      </c>
      <c r="Z283" s="168">
        <f t="shared" si="7"/>
        <v>0</v>
      </c>
      <c r="AA283" s="168">
        <f t="shared" si="8"/>
        <v>0</v>
      </c>
      <c r="AB283" s="168">
        <f t="shared" si="9"/>
        <v>0</v>
      </c>
    </row>
    <row r="284" ht="14.25" customHeight="1">
      <c r="A284" s="157">
        <v>884.0</v>
      </c>
      <c r="B284" s="169"/>
      <c r="C284" s="169"/>
      <c r="D284" s="159"/>
      <c r="E284" s="157"/>
      <c r="F284" s="160"/>
      <c r="G284" s="160"/>
      <c r="H284" s="160">
        <f t="shared" si="21"/>
        <v>0</v>
      </c>
      <c r="I284" s="172"/>
      <c r="J284" s="169"/>
      <c r="K284" s="172"/>
      <c r="L284" s="172">
        <f>+'FACUS$'!$H284-'FACUS$'!$I284-'FACUS$'!$K284</f>
        <v>0</v>
      </c>
      <c r="M284" s="157"/>
      <c r="N284" s="162" t="s">
        <v>127</v>
      </c>
      <c r="O284" s="332"/>
      <c r="P284" s="164" t="str">
        <f t="array" ref="P284">XLOOKUP('FACUS$'!$B284,'perfil de pagos'!$A$4:$A$46,'perfil de pagos'!$C$4:$C$46+'FACUS$'!$D284)</f>
        <v>#N/A</v>
      </c>
      <c r="Q284" s="165" t="str">
        <f t="shared" si="2"/>
        <v>N/A</v>
      </c>
      <c r="R284" s="171"/>
      <c r="S284" s="171"/>
      <c r="T284" s="171"/>
      <c r="U284" s="333" t="s">
        <v>7271</v>
      </c>
      <c r="V284" s="168">
        <f t="shared" si="3"/>
        <v>0</v>
      </c>
      <c r="W284" s="168">
        <f t="shared" si="4"/>
        <v>0</v>
      </c>
      <c r="X284" s="168">
        <f t="shared" si="5"/>
        <v>0</v>
      </c>
      <c r="Y284" s="168">
        <f t="shared" si="6"/>
        <v>0</v>
      </c>
      <c r="Z284" s="168">
        <f t="shared" si="7"/>
        <v>0</v>
      </c>
      <c r="AA284" s="168">
        <f t="shared" si="8"/>
        <v>0</v>
      </c>
      <c r="AB284" s="168">
        <f t="shared" si="9"/>
        <v>0</v>
      </c>
    </row>
    <row r="285" ht="14.25" customHeight="1">
      <c r="A285" s="157">
        <v>892.0</v>
      </c>
      <c r="B285" s="169" t="s">
        <v>720</v>
      </c>
      <c r="C285" s="169" t="s">
        <v>794</v>
      </c>
      <c r="D285" s="159">
        <v>42979.0</v>
      </c>
      <c r="E285" s="157" t="s">
        <v>2</v>
      </c>
      <c r="F285" s="160">
        <v>19232.96</v>
      </c>
      <c r="G285" s="160">
        <v>3077.27</v>
      </c>
      <c r="H285" s="160">
        <f t="shared" si="21"/>
        <v>22310.23</v>
      </c>
      <c r="I285" s="172"/>
      <c r="J285" s="169"/>
      <c r="K285" s="172"/>
      <c r="L285" s="172">
        <f>+'FACUS$'!$H285-'FACUS$'!$I285-'FACUS$'!$K285</f>
        <v>22310.23</v>
      </c>
      <c r="M285" s="157" t="s">
        <v>777</v>
      </c>
      <c r="N285" s="162" t="s">
        <v>554</v>
      </c>
      <c r="O285" s="332">
        <v>43007.0</v>
      </c>
      <c r="P285" s="164" t="str">
        <f t="array" ref="P285">XLOOKUP('FACUS$'!$B285,'perfil de pagos'!$A$4:$A$46,'perfil de pagos'!$C$4:$C$46+'FACUS$'!$D285)</f>
        <v>#N/A</v>
      </c>
      <c r="Q285" s="165">
        <f t="shared" si="2"/>
        <v>0</v>
      </c>
      <c r="R285" s="171"/>
      <c r="S285" s="171"/>
      <c r="T285" s="171"/>
      <c r="U285" s="333" t="s">
        <v>7271</v>
      </c>
      <c r="V285" s="168">
        <f t="shared" si="3"/>
        <v>22310.23</v>
      </c>
      <c r="W285" s="168">
        <f t="shared" si="4"/>
        <v>0</v>
      </c>
      <c r="X285" s="168">
        <f t="shared" si="5"/>
        <v>0</v>
      </c>
      <c r="Y285" s="168">
        <f t="shared" si="6"/>
        <v>0</v>
      </c>
      <c r="Z285" s="168">
        <f t="shared" si="7"/>
        <v>0</v>
      </c>
      <c r="AA285" s="168">
        <f t="shared" si="8"/>
        <v>0</v>
      </c>
      <c r="AB285" s="168">
        <f t="shared" si="9"/>
        <v>0</v>
      </c>
    </row>
    <row r="286" ht="14.25" customHeight="1">
      <c r="A286" s="157">
        <v>895.0</v>
      </c>
      <c r="B286" s="169" t="s">
        <v>70</v>
      </c>
      <c r="C286" s="170" t="s">
        <v>759</v>
      </c>
      <c r="D286" s="159">
        <v>42979.0</v>
      </c>
      <c r="E286" s="157" t="s">
        <v>2</v>
      </c>
      <c r="F286" s="160">
        <v>14062.5</v>
      </c>
      <c r="G286" s="160">
        <v>2250.0</v>
      </c>
      <c r="H286" s="160">
        <f t="shared" si="21"/>
        <v>16312.5</v>
      </c>
      <c r="I286" s="172"/>
      <c r="J286" s="169"/>
      <c r="K286" s="172"/>
      <c r="L286" s="172">
        <f>+'FACUS$'!$H286-'FACUS$'!$I286-'FACUS$'!$K286</f>
        <v>16312.5</v>
      </c>
      <c r="M286" s="157" t="s">
        <v>719</v>
      </c>
      <c r="N286" s="162" t="s">
        <v>554</v>
      </c>
      <c r="O286" s="332">
        <v>42998.0</v>
      </c>
      <c r="P286" s="164" t="str">
        <f t="array" ref="P286">XLOOKUP('FACUS$'!$B286,'perfil de pagos'!$A$4:$A$46,'perfil de pagos'!$C$4:$C$46+'FACUS$'!$D286)</f>
        <v>#N/A</v>
      </c>
      <c r="Q286" s="165">
        <f t="shared" si="2"/>
        <v>0</v>
      </c>
      <c r="R286" s="171"/>
      <c r="S286" s="171"/>
      <c r="T286" s="171"/>
      <c r="U286" s="333" t="s">
        <v>7271</v>
      </c>
      <c r="V286" s="168">
        <f t="shared" si="3"/>
        <v>16312.5</v>
      </c>
      <c r="W286" s="168">
        <f t="shared" si="4"/>
        <v>0</v>
      </c>
      <c r="X286" s="168">
        <f t="shared" si="5"/>
        <v>0</v>
      </c>
      <c r="Y286" s="168">
        <f t="shared" si="6"/>
        <v>0</v>
      </c>
      <c r="Z286" s="168">
        <f t="shared" si="7"/>
        <v>0</v>
      </c>
      <c r="AA286" s="168">
        <f t="shared" si="8"/>
        <v>0</v>
      </c>
      <c r="AB286" s="168">
        <f t="shared" si="9"/>
        <v>0</v>
      </c>
    </row>
    <row r="287" ht="14.25" customHeight="1">
      <c r="A287" s="157">
        <v>898.0</v>
      </c>
      <c r="B287" s="169" t="s">
        <v>24</v>
      </c>
      <c r="C287" s="169" t="s">
        <v>794</v>
      </c>
      <c r="D287" s="159">
        <v>42979.0</v>
      </c>
      <c r="E287" s="157" t="s">
        <v>2</v>
      </c>
      <c r="F287" s="160">
        <v>7728.68</v>
      </c>
      <c r="G287" s="160">
        <v>1236.59</v>
      </c>
      <c r="H287" s="160">
        <f t="shared" si="21"/>
        <v>8965.27</v>
      </c>
      <c r="I287" s="172"/>
      <c r="J287" s="169"/>
      <c r="K287" s="172"/>
      <c r="L287" s="172">
        <f>+'FACUS$'!$H287-'FACUS$'!$I287-'FACUS$'!$K287</f>
        <v>8965.27</v>
      </c>
      <c r="M287" s="157" t="s">
        <v>91</v>
      </c>
      <c r="N287" s="162" t="s">
        <v>554</v>
      </c>
      <c r="O287" s="332">
        <v>43035.0</v>
      </c>
      <c r="P287" s="164">
        <f t="array" ref="P287">XLOOKUP('FACUS$'!$B287,'perfil de pagos'!$A$4:$A$46,'perfil de pagos'!$C$4:$C$46+'FACUS$'!$D287)</f>
        <v>42989</v>
      </c>
      <c r="Q287" s="165">
        <f t="shared" si="2"/>
        <v>0</v>
      </c>
      <c r="R287" s="171"/>
      <c r="S287" s="171"/>
      <c r="T287" s="171"/>
      <c r="U287" s="333" t="s">
        <v>7271</v>
      </c>
      <c r="V287" s="168">
        <f t="shared" si="3"/>
        <v>8965.27</v>
      </c>
      <c r="W287" s="168">
        <f t="shared" si="4"/>
        <v>0</v>
      </c>
      <c r="X287" s="168">
        <f t="shared" si="5"/>
        <v>0</v>
      </c>
      <c r="Y287" s="168">
        <f t="shared" si="6"/>
        <v>0</v>
      </c>
      <c r="Z287" s="168">
        <f t="shared" si="7"/>
        <v>0</v>
      </c>
      <c r="AA287" s="168">
        <f t="shared" si="8"/>
        <v>0</v>
      </c>
      <c r="AB287" s="168">
        <f t="shared" si="9"/>
        <v>0</v>
      </c>
    </row>
    <row r="288" ht="14.25" customHeight="1">
      <c r="A288" s="157">
        <v>901.0</v>
      </c>
      <c r="B288" s="169" t="s">
        <v>37</v>
      </c>
      <c r="C288" s="169" t="s">
        <v>759</v>
      </c>
      <c r="D288" s="159">
        <v>42979.0</v>
      </c>
      <c r="E288" s="157" t="s">
        <v>2</v>
      </c>
      <c r="F288" s="160">
        <v>80170.86</v>
      </c>
      <c r="G288" s="160">
        <v>12827.34</v>
      </c>
      <c r="H288" s="160">
        <f t="shared" si="21"/>
        <v>92998.2</v>
      </c>
      <c r="I288" s="172"/>
      <c r="J288" s="169"/>
      <c r="K288" s="172"/>
      <c r="L288" s="172">
        <f>+'FACUS$'!$H288-'FACUS$'!$I288-'FACUS$'!$K288</f>
        <v>92998.2</v>
      </c>
      <c r="M288" s="157" t="s">
        <v>718</v>
      </c>
      <c r="N288" s="162" t="s">
        <v>554</v>
      </c>
      <c r="O288" s="332">
        <v>43025.0</v>
      </c>
      <c r="P288" s="164">
        <f t="array" ref="P288">XLOOKUP('FACUS$'!$B288,'perfil de pagos'!$A$4:$A$46,'perfil de pagos'!$C$4:$C$46+'FACUS$'!$D288)</f>
        <v>42989</v>
      </c>
      <c r="Q288" s="165">
        <f t="shared" si="2"/>
        <v>0</v>
      </c>
      <c r="R288" s="171"/>
      <c r="S288" s="171"/>
      <c r="T288" s="171"/>
      <c r="U288" s="333" t="s">
        <v>7271</v>
      </c>
      <c r="V288" s="168">
        <f t="shared" si="3"/>
        <v>92998.2</v>
      </c>
      <c r="W288" s="168">
        <f t="shared" si="4"/>
        <v>0</v>
      </c>
      <c r="X288" s="168">
        <f t="shared" si="5"/>
        <v>0</v>
      </c>
      <c r="Y288" s="168">
        <f t="shared" si="6"/>
        <v>0</v>
      </c>
      <c r="Z288" s="168">
        <f t="shared" si="7"/>
        <v>0</v>
      </c>
      <c r="AA288" s="168">
        <f t="shared" si="8"/>
        <v>0</v>
      </c>
      <c r="AB288" s="168">
        <f t="shared" si="9"/>
        <v>0</v>
      </c>
    </row>
    <row r="289" ht="14.25" customHeight="1">
      <c r="A289" s="157">
        <v>903.0</v>
      </c>
      <c r="B289" s="169" t="s">
        <v>24</v>
      </c>
      <c r="C289" s="169" t="s">
        <v>794</v>
      </c>
      <c r="D289" s="159">
        <v>42936.0</v>
      </c>
      <c r="E289" s="157" t="s">
        <v>2</v>
      </c>
      <c r="F289" s="160">
        <v>1723.31</v>
      </c>
      <c r="G289" s="160">
        <v>275.73</v>
      </c>
      <c r="H289" s="160">
        <f t="shared" si="21"/>
        <v>1999.04</v>
      </c>
      <c r="I289" s="172"/>
      <c r="J289" s="169"/>
      <c r="K289" s="172"/>
      <c r="L289" s="172">
        <f>+'FACUS$'!$H289-'FACUS$'!$I289-'FACUS$'!$K289</f>
        <v>1999.04</v>
      </c>
      <c r="M289" s="157" t="s">
        <v>91</v>
      </c>
      <c r="N289" s="162" t="s">
        <v>554</v>
      </c>
      <c r="O289" s="332">
        <v>43035.0</v>
      </c>
      <c r="P289" s="164">
        <f t="array" ref="P289">XLOOKUP('FACUS$'!$B289,'perfil de pagos'!$A$4:$A$46,'perfil de pagos'!$C$4:$C$46+'FACUS$'!$D289)</f>
        <v>42946</v>
      </c>
      <c r="Q289" s="165">
        <f t="shared" si="2"/>
        <v>0</v>
      </c>
      <c r="R289" s="171"/>
      <c r="S289" s="171"/>
      <c r="T289" s="171"/>
      <c r="U289" s="333" t="s">
        <v>7271</v>
      </c>
      <c r="V289" s="168">
        <f t="shared" si="3"/>
        <v>1999.04</v>
      </c>
      <c r="W289" s="168">
        <f t="shared" si="4"/>
        <v>0</v>
      </c>
      <c r="X289" s="168">
        <f t="shared" si="5"/>
        <v>0</v>
      </c>
      <c r="Y289" s="168">
        <f t="shared" si="6"/>
        <v>0</v>
      </c>
      <c r="Z289" s="168">
        <f t="shared" si="7"/>
        <v>0</v>
      </c>
      <c r="AA289" s="168">
        <f t="shared" si="8"/>
        <v>0</v>
      </c>
      <c r="AB289" s="168">
        <f t="shared" si="9"/>
        <v>0</v>
      </c>
    </row>
    <row r="290" ht="14.25" customHeight="1">
      <c r="A290" s="157">
        <v>905.0</v>
      </c>
      <c r="B290" s="169"/>
      <c r="C290" s="169"/>
      <c r="D290" s="159"/>
      <c r="E290" s="157"/>
      <c r="F290" s="160"/>
      <c r="G290" s="160"/>
      <c r="H290" s="160"/>
      <c r="I290" s="172"/>
      <c r="J290" s="169"/>
      <c r="K290" s="172"/>
      <c r="L290" s="172">
        <f>+'FACUS$'!$H290-'FACUS$'!$I290-'FACUS$'!$K290</f>
        <v>0</v>
      </c>
      <c r="M290" s="157"/>
      <c r="N290" s="162" t="s">
        <v>127</v>
      </c>
      <c r="O290" s="332"/>
      <c r="P290" s="164" t="str">
        <f t="array" ref="P290">XLOOKUP('FACUS$'!$B290,'perfil de pagos'!$A$4:$A$46,'perfil de pagos'!$C$4:$C$46+'FACUS$'!$D290)</f>
        <v>#N/A</v>
      </c>
      <c r="Q290" s="165" t="str">
        <f t="shared" si="2"/>
        <v>N/A</v>
      </c>
      <c r="R290" s="171"/>
      <c r="S290" s="171"/>
      <c r="T290" s="171"/>
      <c r="U290" s="333" t="s">
        <v>7271</v>
      </c>
      <c r="V290" s="168">
        <f t="shared" si="3"/>
        <v>0</v>
      </c>
      <c r="W290" s="168">
        <f t="shared" si="4"/>
        <v>0</v>
      </c>
      <c r="X290" s="168">
        <f t="shared" si="5"/>
        <v>0</v>
      </c>
      <c r="Y290" s="168">
        <f t="shared" si="6"/>
        <v>0</v>
      </c>
      <c r="Z290" s="168">
        <f t="shared" si="7"/>
        <v>0</v>
      </c>
      <c r="AA290" s="168">
        <f t="shared" si="8"/>
        <v>0</v>
      </c>
      <c r="AB290" s="168">
        <f t="shared" si="9"/>
        <v>0</v>
      </c>
    </row>
    <row r="291" ht="14.25" customHeight="1">
      <c r="A291" s="157">
        <v>906.0</v>
      </c>
      <c r="B291" s="169" t="s">
        <v>720</v>
      </c>
      <c r="C291" s="169" t="s">
        <v>794</v>
      </c>
      <c r="D291" s="159">
        <v>42993.0</v>
      </c>
      <c r="E291" s="157" t="s">
        <v>2</v>
      </c>
      <c r="F291" s="160">
        <v>17178.33</v>
      </c>
      <c r="G291" s="160">
        <v>2748.53</v>
      </c>
      <c r="H291" s="160">
        <f t="shared" ref="H291:H327" si="22">F291+G291</f>
        <v>19926.86</v>
      </c>
      <c r="I291" s="172"/>
      <c r="J291" s="169"/>
      <c r="K291" s="172"/>
      <c r="L291" s="172">
        <f>+'FACUS$'!$H291-'FACUS$'!$I291-'FACUS$'!$K291</f>
        <v>19926.86</v>
      </c>
      <c r="M291" s="157" t="s">
        <v>777</v>
      </c>
      <c r="N291" s="162" t="s">
        <v>554</v>
      </c>
      <c r="O291" s="332">
        <v>43007.0</v>
      </c>
      <c r="P291" s="164" t="str">
        <f t="array" ref="P291">XLOOKUP('FACUS$'!$B291,'perfil de pagos'!$A$4:$A$46,'perfil de pagos'!$C$4:$C$46+'FACUS$'!$D291)</f>
        <v>#N/A</v>
      </c>
      <c r="Q291" s="165">
        <f t="shared" si="2"/>
        <v>0</v>
      </c>
      <c r="R291" s="171"/>
      <c r="S291" s="171"/>
      <c r="T291" s="171"/>
      <c r="U291" s="333" t="s">
        <v>7271</v>
      </c>
      <c r="V291" s="168">
        <f t="shared" si="3"/>
        <v>19926.86</v>
      </c>
      <c r="W291" s="168">
        <f t="shared" si="4"/>
        <v>0</v>
      </c>
      <c r="X291" s="168">
        <f t="shared" si="5"/>
        <v>0</v>
      </c>
      <c r="Y291" s="168">
        <f t="shared" si="6"/>
        <v>0</v>
      </c>
      <c r="Z291" s="168">
        <f t="shared" si="7"/>
        <v>0</v>
      </c>
      <c r="AA291" s="168">
        <f t="shared" si="8"/>
        <v>0</v>
      </c>
      <c r="AB291" s="168">
        <f t="shared" si="9"/>
        <v>0</v>
      </c>
    </row>
    <row r="292" ht="14.25" customHeight="1">
      <c r="A292" s="157">
        <v>909.0</v>
      </c>
      <c r="B292" s="169" t="s">
        <v>70</v>
      </c>
      <c r="C292" s="169" t="s">
        <v>759</v>
      </c>
      <c r="D292" s="159">
        <v>42993.0</v>
      </c>
      <c r="E292" s="157" t="s">
        <v>2</v>
      </c>
      <c r="F292" s="160">
        <v>20985.0</v>
      </c>
      <c r="G292" s="160">
        <v>3357.6</v>
      </c>
      <c r="H292" s="160">
        <f t="shared" si="22"/>
        <v>24342.6</v>
      </c>
      <c r="I292" s="172"/>
      <c r="J292" s="169"/>
      <c r="K292" s="172"/>
      <c r="L292" s="172">
        <f>+'FACUS$'!$H292-'FACUS$'!$I292-'FACUS$'!$K292</f>
        <v>24342.6</v>
      </c>
      <c r="M292" s="157" t="s">
        <v>719</v>
      </c>
      <c r="N292" s="162" t="s">
        <v>127</v>
      </c>
      <c r="O292" s="332"/>
      <c r="P292" s="164" t="str">
        <f t="array" ref="P292">XLOOKUP('FACUS$'!$B292,'perfil de pagos'!$A$4:$A$46,'perfil de pagos'!$C$4:$C$46+'FACUS$'!$D292)</f>
        <v>#N/A</v>
      </c>
      <c r="Q292" s="165" t="str">
        <f t="shared" si="2"/>
        <v>N/A</v>
      </c>
      <c r="R292" s="171"/>
      <c r="S292" s="171"/>
      <c r="T292" s="171"/>
      <c r="U292" s="333" t="s">
        <v>7271</v>
      </c>
      <c r="V292" s="168">
        <f t="shared" si="3"/>
        <v>0</v>
      </c>
      <c r="W292" s="168">
        <f t="shared" si="4"/>
        <v>0</v>
      </c>
      <c r="X292" s="168">
        <f t="shared" si="5"/>
        <v>0</v>
      </c>
      <c r="Y292" s="168">
        <f t="shared" si="6"/>
        <v>0</v>
      </c>
      <c r="Z292" s="168">
        <f t="shared" si="7"/>
        <v>0</v>
      </c>
      <c r="AA292" s="168">
        <f t="shared" si="8"/>
        <v>0</v>
      </c>
      <c r="AB292" s="168">
        <f t="shared" si="9"/>
        <v>24342.6</v>
      </c>
    </row>
    <row r="293" ht="14.25" customHeight="1">
      <c r="A293" s="157">
        <v>911.0</v>
      </c>
      <c r="B293" s="169" t="s">
        <v>70</v>
      </c>
      <c r="C293" s="169" t="s">
        <v>759</v>
      </c>
      <c r="D293" s="159">
        <v>42993.0</v>
      </c>
      <c r="E293" s="157" t="s">
        <v>2</v>
      </c>
      <c r="F293" s="160">
        <v>18712.5</v>
      </c>
      <c r="G293" s="160">
        <v>2994.0</v>
      </c>
      <c r="H293" s="160">
        <f t="shared" si="22"/>
        <v>21706.5</v>
      </c>
      <c r="I293" s="172"/>
      <c r="J293" s="169"/>
      <c r="K293" s="172"/>
      <c r="L293" s="172">
        <f>+'FACUS$'!$H293-'FACUS$'!$I293-'FACUS$'!$K293</f>
        <v>21706.5</v>
      </c>
      <c r="M293" s="157" t="s">
        <v>719</v>
      </c>
      <c r="N293" s="162" t="s">
        <v>554</v>
      </c>
      <c r="O293" s="332">
        <v>43028.0</v>
      </c>
      <c r="P293" s="164" t="str">
        <f t="array" ref="P293">XLOOKUP('FACUS$'!$B293,'perfil de pagos'!$A$4:$A$46,'perfil de pagos'!$C$4:$C$46+'FACUS$'!$D293)</f>
        <v>#N/A</v>
      </c>
      <c r="Q293" s="165">
        <f t="shared" si="2"/>
        <v>0</v>
      </c>
      <c r="R293" s="171" t="s">
        <v>7342</v>
      </c>
      <c r="S293" s="171"/>
      <c r="T293" s="171"/>
      <c r="U293" s="333" t="s">
        <v>7271</v>
      </c>
      <c r="V293" s="168">
        <f t="shared" si="3"/>
        <v>21706.5</v>
      </c>
      <c r="W293" s="168">
        <f t="shared" si="4"/>
        <v>0</v>
      </c>
      <c r="X293" s="168">
        <f t="shared" si="5"/>
        <v>0</v>
      </c>
      <c r="Y293" s="168">
        <f t="shared" si="6"/>
        <v>0</v>
      </c>
      <c r="Z293" s="168">
        <f t="shared" si="7"/>
        <v>0</v>
      </c>
      <c r="AA293" s="168">
        <f t="shared" si="8"/>
        <v>0</v>
      </c>
      <c r="AB293" s="168">
        <f t="shared" si="9"/>
        <v>0</v>
      </c>
    </row>
    <row r="294" ht="14.25" customHeight="1">
      <c r="A294" s="157">
        <v>913.0</v>
      </c>
      <c r="B294" s="169" t="s">
        <v>692</v>
      </c>
      <c r="C294" s="169" t="s">
        <v>7323</v>
      </c>
      <c r="D294" s="159">
        <v>43018.0</v>
      </c>
      <c r="E294" s="157" t="s">
        <v>2</v>
      </c>
      <c r="F294" s="160">
        <v>41500.0</v>
      </c>
      <c r="G294" s="160">
        <v>6640.0</v>
      </c>
      <c r="H294" s="160">
        <f t="shared" si="22"/>
        <v>48140</v>
      </c>
      <c r="I294" s="172"/>
      <c r="J294" s="169"/>
      <c r="K294" s="172"/>
      <c r="L294" s="172">
        <f>+'FACUS$'!$H294-'FACUS$'!$I294-'FACUS$'!$K294</f>
        <v>48140</v>
      </c>
      <c r="M294" s="157" t="s">
        <v>725</v>
      </c>
      <c r="N294" s="162" t="s">
        <v>554</v>
      </c>
      <c r="O294" s="332">
        <v>43026.0</v>
      </c>
      <c r="P294" s="164" t="str">
        <f t="array" ref="P294">XLOOKUP('FACUS$'!$B294,'perfil de pagos'!$A$4:$A$46,'perfil de pagos'!$C$4:$C$46+'FACUS$'!$D294)</f>
        <v>#N/A</v>
      </c>
      <c r="Q294" s="165">
        <f t="shared" si="2"/>
        <v>0</v>
      </c>
      <c r="R294" s="171"/>
      <c r="S294" s="171"/>
      <c r="T294" s="171"/>
      <c r="U294" s="333" t="s">
        <v>7271</v>
      </c>
      <c r="V294" s="168">
        <f t="shared" si="3"/>
        <v>48140</v>
      </c>
      <c r="W294" s="168">
        <f t="shared" si="4"/>
        <v>0</v>
      </c>
      <c r="X294" s="168">
        <f t="shared" si="5"/>
        <v>0</v>
      </c>
      <c r="Y294" s="168">
        <f t="shared" si="6"/>
        <v>0</v>
      </c>
      <c r="Z294" s="168">
        <f t="shared" si="7"/>
        <v>0</v>
      </c>
      <c r="AA294" s="168">
        <f t="shared" si="8"/>
        <v>0</v>
      </c>
      <c r="AB294" s="168">
        <f t="shared" si="9"/>
        <v>0</v>
      </c>
    </row>
    <row r="295" ht="14.25" customHeight="1">
      <c r="A295" s="157">
        <v>915.0</v>
      </c>
      <c r="B295" s="169" t="s">
        <v>24</v>
      </c>
      <c r="C295" s="169" t="s">
        <v>794</v>
      </c>
      <c r="D295" s="159">
        <v>42993.0</v>
      </c>
      <c r="E295" s="157" t="s">
        <v>2</v>
      </c>
      <c r="F295" s="160">
        <v>7744.7</v>
      </c>
      <c r="G295" s="160">
        <v>1239.15</v>
      </c>
      <c r="H295" s="160">
        <f t="shared" si="22"/>
        <v>8983.85</v>
      </c>
      <c r="I295" s="172"/>
      <c r="J295" s="169"/>
      <c r="K295" s="172"/>
      <c r="L295" s="172">
        <f>+'FACUS$'!$H295-'FACUS$'!$I295-'FACUS$'!$K295</f>
        <v>8983.85</v>
      </c>
      <c r="M295" s="157" t="s">
        <v>91</v>
      </c>
      <c r="N295" s="162" t="s">
        <v>554</v>
      </c>
      <c r="O295" s="332">
        <v>43035.0</v>
      </c>
      <c r="P295" s="164">
        <f t="array" ref="P295">XLOOKUP('FACUS$'!$B295,'perfil de pagos'!$A$4:$A$46,'perfil de pagos'!$C$4:$C$46+'FACUS$'!$D295)</f>
        <v>43003</v>
      </c>
      <c r="Q295" s="165">
        <f t="shared" si="2"/>
        <v>0</v>
      </c>
      <c r="R295" s="171"/>
      <c r="S295" s="171"/>
      <c r="T295" s="171"/>
      <c r="U295" s="333" t="s">
        <v>7271</v>
      </c>
      <c r="V295" s="168">
        <f t="shared" si="3"/>
        <v>8983.85</v>
      </c>
      <c r="W295" s="168">
        <f t="shared" si="4"/>
        <v>0</v>
      </c>
      <c r="X295" s="168">
        <f t="shared" si="5"/>
        <v>0</v>
      </c>
      <c r="Y295" s="168">
        <f t="shared" si="6"/>
        <v>0</v>
      </c>
      <c r="Z295" s="168">
        <f t="shared" si="7"/>
        <v>0</v>
      </c>
      <c r="AA295" s="168">
        <f t="shared" si="8"/>
        <v>0</v>
      </c>
      <c r="AB295" s="168">
        <f t="shared" si="9"/>
        <v>0</v>
      </c>
    </row>
    <row r="296" ht="14.25" customHeight="1">
      <c r="A296" s="157">
        <v>917.0</v>
      </c>
      <c r="B296" s="169" t="s">
        <v>37</v>
      </c>
      <c r="C296" s="169" t="s">
        <v>807</v>
      </c>
      <c r="D296" s="159">
        <v>42993.0</v>
      </c>
      <c r="E296" s="157" t="s">
        <v>2</v>
      </c>
      <c r="F296" s="160">
        <v>62739.05</v>
      </c>
      <c r="G296" s="160">
        <v>10038.25</v>
      </c>
      <c r="H296" s="160">
        <f t="shared" si="22"/>
        <v>72777.3</v>
      </c>
      <c r="I296" s="172"/>
      <c r="J296" s="169"/>
      <c r="K296" s="172"/>
      <c r="L296" s="172">
        <f>+'FACUS$'!$H296-'FACUS$'!$I296-'FACUS$'!$K296</f>
        <v>72777.3</v>
      </c>
      <c r="M296" s="157" t="s">
        <v>718</v>
      </c>
      <c r="N296" s="162" t="s">
        <v>554</v>
      </c>
      <c r="O296" s="332">
        <v>43046.0</v>
      </c>
      <c r="P296" s="164">
        <f t="array" ref="P296">XLOOKUP('FACUS$'!$B296,'perfil de pagos'!$A$4:$A$46,'perfil de pagos'!$C$4:$C$46+'FACUS$'!$D296)</f>
        <v>43003</v>
      </c>
      <c r="Q296" s="165">
        <f t="shared" si="2"/>
        <v>0</v>
      </c>
      <c r="R296" s="171"/>
      <c r="S296" s="171"/>
      <c r="T296" s="171"/>
      <c r="U296" s="333" t="s">
        <v>7271</v>
      </c>
      <c r="V296" s="168">
        <f t="shared" si="3"/>
        <v>72777.3</v>
      </c>
      <c r="W296" s="168">
        <f t="shared" si="4"/>
        <v>0</v>
      </c>
      <c r="X296" s="168">
        <f t="shared" si="5"/>
        <v>0</v>
      </c>
      <c r="Y296" s="168">
        <f t="shared" si="6"/>
        <v>0</v>
      </c>
      <c r="Z296" s="168">
        <f t="shared" si="7"/>
        <v>0</v>
      </c>
      <c r="AA296" s="168">
        <f t="shared" si="8"/>
        <v>0</v>
      </c>
      <c r="AB296" s="168">
        <f t="shared" si="9"/>
        <v>0</v>
      </c>
    </row>
    <row r="297" ht="14.25" customHeight="1">
      <c r="A297" s="157">
        <v>920.0</v>
      </c>
      <c r="B297" s="169" t="s">
        <v>720</v>
      </c>
      <c r="C297" s="169" t="s">
        <v>794</v>
      </c>
      <c r="D297" s="159">
        <v>43009.0</v>
      </c>
      <c r="E297" s="157" t="s">
        <v>2</v>
      </c>
      <c r="F297" s="160">
        <v>24533.7</v>
      </c>
      <c r="G297" s="160">
        <v>3925.39</v>
      </c>
      <c r="H297" s="160">
        <f t="shared" si="22"/>
        <v>28459.09</v>
      </c>
      <c r="I297" s="172"/>
      <c r="J297" s="169"/>
      <c r="K297" s="172"/>
      <c r="L297" s="172">
        <f>+'FACUS$'!$H297-'FACUS$'!$I297-'FACUS$'!$K297</f>
        <v>28459.09</v>
      </c>
      <c r="M297" s="157" t="s">
        <v>777</v>
      </c>
      <c r="N297" s="162" t="s">
        <v>554</v>
      </c>
      <c r="O297" s="332">
        <v>43045.0</v>
      </c>
      <c r="P297" s="164" t="str">
        <f t="array" ref="P297">XLOOKUP('FACUS$'!$B297,'perfil de pagos'!$A$4:$A$46,'perfil de pagos'!$C$4:$C$46+'FACUS$'!$D297)</f>
        <v>#N/A</v>
      </c>
      <c r="Q297" s="165">
        <f t="shared" si="2"/>
        <v>0</v>
      </c>
      <c r="R297" s="171"/>
      <c r="S297" s="171"/>
      <c r="T297" s="171"/>
      <c r="U297" s="333" t="s">
        <v>7271</v>
      </c>
      <c r="V297" s="168">
        <f t="shared" si="3"/>
        <v>28459.09</v>
      </c>
      <c r="W297" s="168">
        <f t="shared" si="4"/>
        <v>0</v>
      </c>
      <c r="X297" s="168">
        <f t="shared" si="5"/>
        <v>0</v>
      </c>
      <c r="Y297" s="168">
        <f t="shared" si="6"/>
        <v>0</v>
      </c>
      <c r="Z297" s="168">
        <f t="shared" si="7"/>
        <v>0</v>
      </c>
      <c r="AA297" s="168">
        <f t="shared" si="8"/>
        <v>0</v>
      </c>
      <c r="AB297" s="168">
        <f t="shared" si="9"/>
        <v>0</v>
      </c>
    </row>
    <row r="298" ht="14.25" customHeight="1">
      <c r="A298" s="157">
        <v>921.0</v>
      </c>
      <c r="B298" s="169" t="s">
        <v>79</v>
      </c>
      <c r="C298" s="169"/>
      <c r="D298" s="159"/>
      <c r="E298" s="157"/>
      <c r="F298" s="160"/>
      <c r="G298" s="160"/>
      <c r="H298" s="160">
        <f t="shared" si="22"/>
        <v>0</v>
      </c>
      <c r="I298" s="172"/>
      <c r="J298" s="169"/>
      <c r="K298" s="172"/>
      <c r="L298" s="172">
        <f>+'FACUS$'!$H298-'FACUS$'!$I298-'FACUS$'!$K298</f>
        <v>0</v>
      </c>
      <c r="M298" s="157"/>
      <c r="N298" s="162" t="s">
        <v>554</v>
      </c>
      <c r="O298" s="332">
        <v>43049.0</v>
      </c>
      <c r="P298" s="164" t="str">
        <f t="array" ref="P298">XLOOKUP('FACUS$'!$B298,'perfil de pagos'!$A$4:$A$46,'perfil de pagos'!$C$4:$C$46+'FACUS$'!$D298)</f>
        <v>#N/A</v>
      </c>
      <c r="Q298" s="165">
        <f t="shared" si="2"/>
        <v>0</v>
      </c>
      <c r="R298" s="171"/>
      <c r="S298" s="171"/>
      <c r="T298" s="171"/>
      <c r="U298" s="333" t="s">
        <v>7271</v>
      </c>
      <c r="V298" s="168">
        <f t="shared" si="3"/>
        <v>0</v>
      </c>
      <c r="W298" s="168">
        <f t="shared" si="4"/>
        <v>0</v>
      </c>
      <c r="X298" s="168">
        <f t="shared" si="5"/>
        <v>0</v>
      </c>
      <c r="Y298" s="168">
        <f t="shared" si="6"/>
        <v>0</v>
      </c>
      <c r="Z298" s="168">
        <f t="shared" si="7"/>
        <v>0</v>
      </c>
      <c r="AA298" s="168">
        <f t="shared" si="8"/>
        <v>0</v>
      </c>
      <c r="AB298" s="168">
        <f t="shared" si="9"/>
        <v>0</v>
      </c>
    </row>
    <row r="299" ht="14.25" customHeight="1">
      <c r="A299" s="157">
        <v>922.0</v>
      </c>
      <c r="B299" s="169"/>
      <c r="C299" s="169"/>
      <c r="D299" s="159"/>
      <c r="E299" s="157"/>
      <c r="F299" s="160"/>
      <c r="G299" s="160"/>
      <c r="H299" s="160">
        <f t="shared" si="22"/>
        <v>0</v>
      </c>
      <c r="I299" s="172"/>
      <c r="J299" s="169"/>
      <c r="K299" s="172"/>
      <c r="L299" s="172">
        <f>+'FACUS$'!$H299-'FACUS$'!$I299-'FACUS$'!$K299</f>
        <v>0</v>
      </c>
      <c r="M299" s="157"/>
      <c r="N299" s="162" t="s">
        <v>127</v>
      </c>
      <c r="O299" s="332"/>
      <c r="P299" s="164" t="str">
        <f t="array" ref="P299">XLOOKUP('FACUS$'!$B299,'perfil de pagos'!$A$4:$A$46,'perfil de pagos'!$C$4:$C$46+'FACUS$'!$D299)</f>
        <v>#N/A</v>
      </c>
      <c r="Q299" s="165" t="str">
        <f t="shared" si="2"/>
        <v>N/A</v>
      </c>
      <c r="R299" s="171"/>
      <c r="S299" s="171"/>
      <c r="T299" s="171"/>
      <c r="U299" s="333" t="s">
        <v>7271</v>
      </c>
      <c r="V299" s="168">
        <f t="shared" si="3"/>
        <v>0</v>
      </c>
      <c r="W299" s="168">
        <f t="shared" si="4"/>
        <v>0</v>
      </c>
      <c r="X299" s="168">
        <f t="shared" si="5"/>
        <v>0</v>
      </c>
      <c r="Y299" s="168">
        <f t="shared" si="6"/>
        <v>0</v>
      </c>
      <c r="Z299" s="168">
        <f t="shared" si="7"/>
        <v>0</v>
      </c>
      <c r="AA299" s="168">
        <f t="shared" si="8"/>
        <v>0</v>
      </c>
      <c r="AB299" s="168">
        <f t="shared" si="9"/>
        <v>0</v>
      </c>
    </row>
    <row r="300" ht="14.25" customHeight="1">
      <c r="A300" s="157">
        <v>924.0</v>
      </c>
      <c r="B300" s="169" t="s">
        <v>70</v>
      </c>
      <c r="C300" s="169" t="s">
        <v>807</v>
      </c>
      <c r="D300" s="159">
        <v>43009.0</v>
      </c>
      <c r="E300" s="157" t="s">
        <v>2</v>
      </c>
      <c r="F300" s="160">
        <v>12810.0</v>
      </c>
      <c r="G300" s="160">
        <v>2049.6</v>
      </c>
      <c r="H300" s="160">
        <f t="shared" si="22"/>
        <v>14859.6</v>
      </c>
      <c r="I300" s="172"/>
      <c r="J300" s="169"/>
      <c r="K300" s="172"/>
      <c r="L300" s="172">
        <f>+'FACUS$'!$H300-'FACUS$'!$I300-'FACUS$'!$K300</f>
        <v>14859.6</v>
      </c>
      <c r="M300" s="157" t="s">
        <v>719</v>
      </c>
      <c r="N300" s="162" t="s">
        <v>554</v>
      </c>
      <c r="O300" s="332">
        <v>43076.0</v>
      </c>
      <c r="P300" s="164" t="str">
        <f t="array" ref="P300">XLOOKUP('FACUS$'!$B300,'perfil de pagos'!$A$4:$A$46,'perfil de pagos'!$C$4:$C$46+'FACUS$'!$D300)</f>
        <v>#N/A</v>
      </c>
      <c r="Q300" s="165">
        <f t="shared" si="2"/>
        <v>0</v>
      </c>
      <c r="R300" s="171"/>
      <c r="S300" s="171"/>
      <c r="T300" s="171"/>
      <c r="U300" s="333" t="s">
        <v>7271</v>
      </c>
      <c r="V300" s="168">
        <f t="shared" si="3"/>
        <v>14859.6</v>
      </c>
      <c r="W300" s="168">
        <f t="shared" si="4"/>
        <v>0</v>
      </c>
      <c r="X300" s="168">
        <f t="shared" si="5"/>
        <v>0</v>
      </c>
      <c r="Y300" s="168">
        <f t="shared" si="6"/>
        <v>0</v>
      </c>
      <c r="Z300" s="168">
        <f t="shared" si="7"/>
        <v>0</v>
      </c>
      <c r="AA300" s="168">
        <f t="shared" si="8"/>
        <v>0</v>
      </c>
      <c r="AB300" s="168">
        <f t="shared" si="9"/>
        <v>0</v>
      </c>
    </row>
    <row r="301" ht="14.25" customHeight="1">
      <c r="A301" s="157">
        <v>925.0</v>
      </c>
      <c r="B301" s="169" t="s">
        <v>70</v>
      </c>
      <c r="C301" s="169" t="s">
        <v>807</v>
      </c>
      <c r="D301" s="159">
        <v>42993.0</v>
      </c>
      <c r="E301" s="157" t="s">
        <v>2</v>
      </c>
      <c r="F301" s="160">
        <v>33600.0</v>
      </c>
      <c r="G301" s="160">
        <v>5376.0</v>
      </c>
      <c r="H301" s="160">
        <f t="shared" si="22"/>
        <v>38976</v>
      </c>
      <c r="I301" s="172"/>
      <c r="J301" s="169"/>
      <c r="K301" s="172"/>
      <c r="L301" s="172">
        <f>+'FACUS$'!$H301-'FACUS$'!$I301-'FACUS$'!$K301</f>
        <v>38976</v>
      </c>
      <c r="M301" s="157" t="s">
        <v>719</v>
      </c>
      <c r="N301" s="162" t="s">
        <v>554</v>
      </c>
      <c r="O301" s="332">
        <v>43518.0</v>
      </c>
      <c r="P301" s="164" t="str">
        <f t="array" ref="P301">XLOOKUP('FACUS$'!$B301,'perfil de pagos'!$A$4:$A$46,'perfil de pagos'!$C$4:$C$46+'FACUS$'!$D301)</f>
        <v>#N/A</v>
      </c>
      <c r="Q301" s="165">
        <f t="shared" si="2"/>
        <v>0</v>
      </c>
      <c r="R301" s="171"/>
      <c r="S301" s="171"/>
      <c r="T301" s="171"/>
      <c r="U301" s="333" t="s">
        <v>7271</v>
      </c>
      <c r="V301" s="168">
        <f t="shared" si="3"/>
        <v>38976</v>
      </c>
      <c r="W301" s="168">
        <f t="shared" si="4"/>
        <v>0</v>
      </c>
      <c r="X301" s="168">
        <f t="shared" si="5"/>
        <v>0</v>
      </c>
      <c r="Y301" s="168">
        <f t="shared" si="6"/>
        <v>0</v>
      </c>
      <c r="Z301" s="168">
        <f t="shared" si="7"/>
        <v>0</v>
      </c>
      <c r="AA301" s="168">
        <f t="shared" si="8"/>
        <v>0</v>
      </c>
      <c r="AB301" s="168">
        <f t="shared" si="9"/>
        <v>0</v>
      </c>
    </row>
    <row r="302" ht="14.25" customHeight="1">
      <c r="A302" s="157">
        <v>926.0</v>
      </c>
      <c r="B302" s="169" t="s">
        <v>82</v>
      </c>
      <c r="C302" s="170" t="s">
        <v>7343</v>
      </c>
      <c r="D302" s="159">
        <v>43034.0</v>
      </c>
      <c r="E302" s="157" t="s">
        <v>2</v>
      </c>
      <c r="F302" s="160">
        <v>8557.53</v>
      </c>
      <c r="G302" s="160">
        <v>1369.21</v>
      </c>
      <c r="H302" s="179">
        <f t="shared" si="22"/>
        <v>9926.74</v>
      </c>
      <c r="I302" s="173"/>
      <c r="J302" s="170"/>
      <c r="K302" s="173"/>
      <c r="L302" s="173">
        <f>+'FACUS$'!$H302-'FACUS$'!$I302-'FACUS$'!$K302</f>
        <v>9926.74</v>
      </c>
      <c r="M302" s="157" t="s">
        <v>714</v>
      </c>
      <c r="N302" s="162" t="s">
        <v>554</v>
      </c>
      <c r="O302" s="332">
        <v>43053.0</v>
      </c>
      <c r="P302" s="164" t="str">
        <f t="array" ref="P302">XLOOKUP('FACUS$'!$B302,'perfil de pagos'!$A$4:$A$46,'perfil de pagos'!$C$4:$C$46+'FACUS$'!$D302)</f>
        <v>#N/A</v>
      </c>
      <c r="Q302" s="165">
        <f t="shared" si="2"/>
        <v>0</v>
      </c>
      <c r="R302" s="171"/>
      <c r="S302" s="171"/>
      <c r="T302" s="171"/>
      <c r="U302" s="333" t="s">
        <v>7271</v>
      </c>
      <c r="V302" s="168">
        <f t="shared" si="3"/>
        <v>9926.74</v>
      </c>
      <c r="W302" s="168">
        <f t="shared" si="4"/>
        <v>0</v>
      </c>
      <c r="X302" s="168">
        <f t="shared" si="5"/>
        <v>0</v>
      </c>
      <c r="Y302" s="168">
        <f t="shared" si="6"/>
        <v>0</v>
      </c>
      <c r="Z302" s="168">
        <f t="shared" si="7"/>
        <v>0</v>
      </c>
      <c r="AA302" s="168">
        <f t="shared" si="8"/>
        <v>0</v>
      </c>
      <c r="AB302" s="168">
        <f t="shared" si="9"/>
        <v>0</v>
      </c>
    </row>
    <row r="303" ht="14.25" customHeight="1">
      <c r="A303" s="157">
        <v>927.0</v>
      </c>
      <c r="B303" s="169" t="s">
        <v>82</v>
      </c>
      <c r="C303" s="169" t="s">
        <v>7344</v>
      </c>
      <c r="D303" s="159">
        <v>43034.0</v>
      </c>
      <c r="E303" s="157" t="s">
        <v>2</v>
      </c>
      <c r="F303" s="160">
        <v>8344.29</v>
      </c>
      <c r="G303" s="160">
        <v>1335.09</v>
      </c>
      <c r="H303" s="160">
        <f t="shared" si="22"/>
        <v>9679.38</v>
      </c>
      <c r="I303" s="172"/>
      <c r="J303" s="169"/>
      <c r="K303" s="172"/>
      <c r="L303" s="172">
        <f>+'FACUS$'!$H303-'FACUS$'!$I303-'FACUS$'!$K303</f>
        <v>9679.38</v>
      </c>
      <c r="M303" s="157" t="s">
        <v>714</v>
      </c>
      <c r="N303" s="162" t="s">
        <v>554</v>
      </c>
      <c r="O303" s="332">
        <v>43053.0</v>
      </c>
      <c r="P303" s="164" t="str">
        <f t="array" ref="P303">XLOOKUP('FACUS$'!$B303,'perfil de pagos'!$A$4:$A$46,'perfil de pagos'!$C$4:$C$46+'FACUS$'!$D303)</f>
        <v>#N/A</v>
      </c>
      <c r="Q303" s="165">
        <f t="shared" si="2"/>
        <v>0</v>
      </c>
      <c r="R303" s="171"/>
      <c r="S303" s="171"/>
      <c r="T303" s="171"/>
      <c r="U303" s="333" t="s">
        <v>7271</v>
      </c>
      <c r="V303" s="168">
        <f t="shared" si="3"/>
        <v>9679.38</v>
      </c>
      <c r="W303" s="168">
        <f t="shared" si="4"/>
        <v>0</v>
      </c>
      <c r="X303" s="168">
        <f t="shared" si="5"/>
        <v>0</v>
      </c>
      <c r="Y303" s="168">
        <f t="shared" si="6"/>
        <v>0</v>
      </c>
      <c r="Z303" s="168">
        <f t="shared" si="7"/>
        <v>0</v>
      </c>
      <c r="AA303" s="168">
        <f t="shared" si="8"/>
        <v>0</v>
      </c>
      <c r="AB303" s="168">
        <f t="shared" si="9"/>
        <v>0</v>
      </c>
    </row>
    <row r="304" ht="14.25" customHeight="1">
      <c r="A304" s="157">
        <v>928.0</v>
      </c>
      <c r="B304" s="169" t="s">
        <v>82</v>
      </c>
      <c r="C304" s="169" t="s">
        <v>7345</v>
      </c>
      <c r="D304" s="159">
        <v>43034.0</v>
      </c>
      <c r="E304" s="157" t="s">
        <v>2</v>
      </c>
      <c r="F304" s="160">
        <v>8415.35</v>
      </c>
      <c r="G304" s="160">
        <v>1346.46</v>
      </c>
      <c r="H304" s="160">
        <f t="shared" si="22"/>
        <v>9761.81</v>
      </c>
      <c r="I304" s="172"/>
      <c r="J304" s="169"/>
      <c r="K304" s="172"/>
      <c r="L304" s="172">
        <f>+'FACUS$'!$H304-'FACUS$'!$I304-'FACUS$'!$K304</f>
        <v>9761.81</v>
      </c>
      <c r="M304" s="157" t="s">
        <v>714</v>
      </c>
      <c r="N304" s="162" t="s">
        <v>554</v>
      </c>
      <c r="O304" s="332">
        <v>43053.0</v>
      </c>
      <c r="P304" s="164" t="str">
        <f t="array" ref="P304">XLOOKUP('FACUS$'!$B304,'perfil de pagos'!$A$4:$A$46,'perfil de pagos'!$C$4:$C$46+'FACUS$'!$D304)</f>
        <v>#N/A</v>
      </c>
      <c r="Q304" s="165">
        <f t="shared" si="2"/>
        <v>0</v>
      </c>
      <c r="R304" s="171"/>
      <c r="S304" s="171"/>
      <c r="T304" s="171"/>
      <c r="U304" s="333" t="s">
        <v>7271</v>
      </c>
      <c r="V304" s="168">
        <f t="shared" si="3"/>
        <v>9761.81</v>
      </c>
      <c r="W304" s="168">
        <f t="shared" si="4"/>
        <v>0</v>
      </c>
      <c r="X304" s="168">
        <f t="shared" si="5"/>
        <v>0</v>
      </c>
      <c r="Y304" s="168">
        <f t="shared" si="6"/>
        <v>0</v>
      </c>
      <c r="Z304" s="168">
        <f t="shared" si="7"/>
        <v>0</v>
      </c>
      <c r="AA304" s="168">
        <f t="shared" si="8"/>
        <v>0</v>
      </c>
      <c r="AB304" s="168">
        <f t="shared" si="9"/>
        <v>0</v>
      </c>
    </row>
    <row r="305" ht="14.25" customHeight="1">
      <c r="A305" s="157">
        <v>929.0</v>
      </c>
      <c r="B305" s="169" t="s">
        <v>82</v>
      </c>
      <c r="C305" s="169" t="s">
        <v>7346</v>
      </c>
      <c r="D305" s="159">
        <v>43034.0</v>
      </c>
      <c r="E305" s="157" t="s">
        <v>2</v>
      </c>
      <c r="F305" s="160">
        <v>9326.91</v>
      </c>
      <c r="G305" s="160">
        <v>1492.31</v>
      </c>
      <c r="H305" s="160">
        <f t="shared" si="22"/>
        <v>10819.22</v>
      </c>
      <c r="I305" s="172"/>
      <c r="J305" s="169"/>
      <c r="K305" s="172"/>
      <c r="L305" s="172">
        <f>+'FACUS$'!$H305-'FACUS$'!$I305-'FACUS$'!$K305</f>
        <v>10819.22</v>
      </c>
      <c r="M305" s="157" t="s">
        <v>714</v>
      </c>
      <c r="N305" s="162" t="s">
        <v>554</v>
      </c>
      <c r="O305" s="332">
        <v>43053.0</v>
      </c>
      <c r="P305" s="164" t="str">
        <f t="array" ref="P305">XLOOKUP('FACUS$'!$B305,'perfil de pagos'!$A$4:$A$46,'perfil de pagos'!$C$4:$C$46+'FACUS$'!$D305)</f>
        <v>#N/A</v>
      </c>
      <c r="Q305" s="165">
        <f t="shared" si="2"/>
        <v>0</v>
      </c>
      <c r="R305" s="171"/>
      <c r="S305" s="171"/>
      <c r="T305" s="171"/>
      <c r="U305" s="333" t="s">
        <v>7271</v>
      </c>
      <c r="V305" s="168">
        <f t="shared" si="3"/>
        <v>10819.22</v>
      </c>
      <c r="W305" s="168">
        <f t="shared" si="4"/>
        <v>0</v>
      </c>
      <c r="X305" s="168">
        <f t="shared" si="5"/>
        <v>0</v>
      </c>
      <c r="Y305" s="168">
        <f t="shared" si="6"/>
        <v>0</v>
      </c>
      <c r="Z305" s="168">
        <f t="shared" si="7"/>
        <v>0</v>
      </c>
      <c r="AA305" s="168">
        <f t="shared" si="8"/>
        <v>0</v>
      </c>
      <c r="AB305" s="168">
        <f t="shared" si="9"/>
        <v>0</v>
      </c>
    </row>
    <row r="306" ht="14.25" customHeight="1">
      <c r="A306" s="157">
        <v>930.0</v>
      </c>
      <c r="B306" s="169" t="s">
        <v>82</v>
      </c>
      <c r="C306" s="169" t="s">
        <v>7347</v>
      </c>
      <c r="D306" s="159">
        <v>43034.0</v>
      </c>
      <c r="E306" s="157" t="s">
        <v>2</v>
      </c>
      <c r="F306" s="160">
        <v>9327.68</v>
      </c>
      <c r="G306" s="160">
        <v>1492.43</v>
      </c>
      <c r="H306" s="160">
        <f t="shared" si="22"/>
        <v>10820.11</v>
      </c>
      <c r="I306" s="172"/>
      <c r="J306" s="169"/>
      <c r="K306" s="172"/>
      <c r="L306" s="172">
        <f>+'FACUS$'!$H306-'FACUS$'!$I306-'FACUS$'!$K306</f>
        <v>10820.11</v>
      </c>
      <c r="M306" s="157" t="s">
        <v>714</v>
      </c>
      <c r="N306" s="162" t="s">
        <v>554</v>
      </c>
      <c r="O306" s="332">
        <v>43053.0</v>
      </c>
      <c r="P306" s="164" t="str">
        <f t="array" ref="P306">XLOOKUP('FACUS$'!$B306,'perfil de pagos'!$A$4:$A$46,'perfil de pagos'!$C$4:$C$46+'FACUS$'!$D306)</f>
        <v>#N/A</v>
      </c>
      <c r="Q306" s="165">
        <f t="shared" si="2"/>
        <v>0</v>
      </c>
      <c r="R306" s="171"/>
      <c r="S306" s="171"/>
      <c r="T306" s="171"/>
      <c r="U306" s="333" t="s">
        <v>7271</v>
      </c>
      <c r="V306" s="168">
        <f t="shared" si="3"/>
        <v>10820.11</v>
      </c>
      <c r="W306" s="168">
        <f t="shared" si="4"/>
        <v>0</v>
      </c>
      <c r="X306" s="168">
        <f t="shared" si="5"/>
        <v>0</v>
      </c>
      <c r="Y306" s="168">
        <f t="shared" si="6"/>
        <v>0</v>
      </c>
      <c r="Z306" s="168">
        <f t="shared" si="7"/>
        <v>0</v>
      </c>
      <c r="AA306" s="168">
        <f t="shared" si="8"/>
        <v>0</v>
      </c>
      <c r="AB306" s="168">
        <f t="shared" si="9"/>
        <v>0</v>
      </c>
    </row>
    <row r="307" ht="14.25" customHeight="1">
      <c r="A307" s="157">
        <v>931.0</v>
      </c>
      <c r="B307" s="169" t="s">
        <v>82</v>
      </c>
      <c r="C307" s="169" t="s">
        <v>7348</v>
      </c>
      <c r="D307" s="159">
        <v>43034.0</v>
      </c>
      <c r="E307" s="157" t="s">
        <v>2</v>
      </c>
      <c r="F307" s="160">
        <v>9027.46</v>
      </c>
      <c r="G307" s="160">
        <v>1444.39</v>
      </c>
      <c r="H307" s="160">
        <f t="shared" si="22"/>
        <v>10471.85</v>
      </c>
      <c r="I307" s="172"/>
      <c r="J307" s="169"/>
      <c r="K307" s="172"/>
      <c r="L307" s="172">
        <f>+'FACUS$'!$H307-'FACUS$'!$I307-'FACUS$'!$K307</f>
        <v>10471.85</v>
      </c>
      <c r="M307" s="157" t="s">
        <v>714</v>
      </c>
      <c r="N307" s="162" t="s">
        <v>554</v>
      </c>
      <c r="O307" s="332">
        <v>43053.0</v>
      </c>
      <c r="P307" s="164" t="str">
        <f t="array" ref="P307">XLOOKUP('FACUS$'!$B307,'perfil de pagos'!$A$4:$A$46,'perfil de pagos'!$C$4:$C$46+'FACUS$'!$D307)</f>
        <v>#N/A</v>
      </c>
      <c r="Q307" s="165">
        <f t="shared" si="2"/>
        <v>0</v>
      </c>
      <c r="R307" s="171"/>
      <c r="S307" s="171"/>
      <c r="T307" s="171"/>
      <c r="U307" s="333" t="s">
        <v>7271</v>
      </c>
      <c r="V307" s="168">
        <f t="shared" si="3"/>
        <v>10471.85</v>
      </c>
      <c r="W307" s="168">
        <f t="shared" si="4"/>
        <v>0</v>
      </c>
      <c r="X307" s="168">
        <f t="shared" si="5"/>
        <v>0</v>
      </c>
      <c r="Y307" s="168">
        <f t="shared" si="6"/>
        <v>0</v>
      </c>
      <c r="Z307" s="168">
        <f t="shared" si="7"/>
        <v>0</v>
      </c>
      <c r="AA307" s="168">
        <f t="shared" si="8"/>
        <v>0</v>
      </c>
      <c r="AB307" s="168">
        <f t="shared" si="9"/>
        <v>0</v>
      </c>
    </row>
    <row r="308" ht="14.25" customHeight="1">
      <c r="A308" s="157">
        <v>934.0</v>
      </c>
      <c r="B308" s="169" t="s">
        <v>37</v>
      </c>
      <c r="C308" s="169" t="s">
        <v>807</v>
      </c>
      <c r="D308" s="159">
        <v>43009.0</v>
      </c>
      <c r="E308" s="157" t="s">
        <v>2</v>
      </c>
      <c r="F308" s="160">
        <v>86019.45</v>
      </c>
      <c r="G308" s="160">
        <v>13763.11</v>
      </c>
      <c r="H308" s="160">
        <f t="shared" si="22"/>
        <v>99782.56</v>
      </c>
      <c r="I308" s="172"/>
      <c r="J308" s="169"/>
      <c r="K308" s="172"/>
      <c r="L308" s="172">
        <f>+'FACUS$'!$H308-'FACUS$'!$I308-'FACUS$'!$K308</f>
        <v>99782.56</v>
      </c>
      <c r="M308" s="157" t="s">
        <v>718</v>
      </c>
      <c r="N308" s="162" t="s">
        <v>554</v>
      </c>
      <c r="O308" s="332">
        <v>43061.0</v>
      </c>
      <c r="P308" s="164">
        <f t="array" ref="P308">XLOOKUP('FACUS$'!$B308,'perfil de pagos'!$A$4:$A$46,'perfil de pagos'!$C$4:$C$46+'FACUS$'!$D308)</f>
        <v>43019</v>
      </c>
      <c r="Q308" s="165">
        <f t="shared" si="2"/>
        <v>0</v>
      </c>
      <c r="R308" s="171"/>
      <c r="S308" s="171"/>
      <c r="T308" s="171"/>
      <c r="U308" s="333" t="s">
        <v>7271</v>
      </c>
      <c r="V308" s="168">
        <f t="shared" si="3"/>
        <v>99782.56</v>
      </c>
      <c r="W308" s="168">
        <f t="shared" si="4"/>
        <v>0</v>
      </c>
      <c r="X308" s="168">
        <f t="shared" si="5"/>
        <v>0</v>
      </c>
      <c r="Y308" s="168">
        <f t="shared" si="6"/>
        <v>0</v>
      </c>
      <c r="Z308" s="168">
        <f t="shared" si="7"/>
        <v>0</v>
      </c>
      <c r="AA308" s="168">
        <f t="shared" si="8"/>
        <v>0</v>
      </c>
      <c r="AB308" s="168">
        <f t="shared" si="9"/>
        <v>0</v>
      </c>
    </row>
    <row r="309" ht="14.25" customHeight="1">
      <c r="A309" s="157">
        <v>936.0</v>
      </c>
      <c r="B309" s="169" t="s">
        <v>24</v>
      </c>
      <c r="C309" s="169" t="s">
        <v>794</v>
      </c>
      <c r="D309" s="159">
        <v>43009.0</v>
      </c>
      <c r="E309" s="157" t="s">
        <v>2</v>
      </c>
      <c r="F309" s="160">
        <v>4016.05</v>
      </c>
      <c r="G309" s="160">
        <v>642.57</v>
      </c>
      <c r="H309" s="160">
        <f t="shared" si="22"/>
        <v>4658.62</v>
      </c>
      <c r="I309" s="172"/>
      <c r="J309" s="169"/>
      <c r="K309" s="172"/>
      <c r="L309" s="172">
        <f>+'FACUS$'!$H309-'FACUS$'!$I309-'FACUS$'!$K309</f>
        <v>4658.62</v>
      </c>
      <c r="M309" s="157" t="s">
        <v>91</v>
      </c>
      <c r="N309" s="162" t="s">
        <v>554</v>
      </c>
      <c r="O309" s="332">
        <v>43068.0</v>
      </c>
      <c r="P309" s="164">
        <f t="array" ref="P309">XLOOKUP('FACUS$'!$B309,'perfil de pagos'!$A$4:$A$46,'perfil de pagos'!$C$4:$C$46+'FACUS$'!$D309)</f>
        <v>43019</v>
      </c>
      <c r="Q309" s="165">
        <f t="shared" si="2"/>
        <v>0</v>
      </c>
      <c r="R309" s="171"/>
      <c r="S309" s="171"/>
      <c r="T309" s="171"/>
      <c r="U309" s="333" t="s">
        <v>7271</v>
      </c>
      <c r="V309" s="168">
        <f t="shared" si="3"/>
        <v>4658.62</v>
      </c>
      <c r="W309" s="168">
        <f t="shared" si="4"/>
        <v>0</v>
      </c>
      <c r="X309" s="168">
        <f t="shared" si="5"/>
        <v>0</v>
      </c>
      <c r="Y309" s="168">
        <f t="shared" si="6"/>
        <v>0</v>
      </c>
      <c r="Z309" s="168">
        <f t="shared" si="7"/>
        <v>0</v>
      </c>
      <c r="AA309" s="168">
        <f t="shared" si="8"/>
        <v>0</v>
      </c>
      <c r="AB309" s="168">
        <f t="shared" si="9"/>
        <v>0</v>
      </c>
    </row>
    <row r="310" ht="14.25" customHeight="1">
      <c r="A310" s="157">
        <v>944.0</v>
      </c>
      <c r="B310" s="169" t="s">
        <v>70</v>
      </c>
      <c r="C310" s="170" t="s">
        <v>807</v>
      </c>
      <c r="D310" s="159">
        <v>43023.0</v>
      </c>
      <c r="E310" s="157" t="s">
        <v>2</v>
      </c>
      <c r="F310" s="160">
        <v>31237.5</v>
      </c>
      <c r="G310" s="160">
        <v>4998.0</v>
      </c>
      <c r="H310" s="160">
        <f t="shared" si="22"/>
        <v>36235.5</v>
      </c>
      <c r="I310" s="172"/>
      <c r="J310" s="169"/>
      <c r="K310" s="172"/>
      <c r="L310" s="172">
        <f>+'FACUS$'!$H310-'FACUS$'!$I310-'FACUS$'!$K310</f>
        <v>36235.5</v>
      </c>
      <c r="M310" s="157" t="s">
        <v>719</v>
      </c>
      <c r="N310" s="162" t="s">
        <v>127</v>
      </c>
      <c r="O310" s="332"/>
      <c r="P310" s="164" t="str">
        <f t="array" ref="P310">XLOOKUP('FACUS$'!$B310,'perfil de pagos'!$A$4:$A$46,'perfil de pagos'!$C$4:$C$46+'FACUS$'!$D310)</f>
        <v>#N/A</v>
      </c>
      <c r="Q310" s="165" t="str">
        <f t="shared" si="2"/>
        <v>N/A</v>
      </c>
      <c r="R310" s="171"/>
      <c r="S310" s="171"/>
      <c r="T310" s="171"/>
      <c r="U310" s="333" t="s">
        <v>7271</v>
      </c>
      <c r="V310" s="168">
        <f t="shared" si="3"/>
        <v>0</v>
      </c>
      <c r="W310" s="168">
        <f t="shared" si="4"/>
        <v>0</v>
      </c>
      <c r="X310" s="168">
        <f t="shared" si="5"/>
        <v>0</v>
      </c>
      <c r="Y310" s="168">
        <f t="shared" si="6"/>
        <v>0</v>
      </c>
      <c r="Z310" s="168">
        <f t="shared" si="7"/>
        <v>0</v>
      </c>
      <c r="AA310" s="168">
        <f t="shared" si="8"/>
        <v>0</v>
      </c>
      <c r="AB310" s="168">
        <f t="shared" si="9"/>
        <v>36235.5</v>
      </c>
    </row>
    <row r="311" ht="14.25" customHeight="1">
      <c r="A311" s="157">
        <v>947.0</v>
      </c>
      <c r="B311" s="169" t="s">
        <v>720</v>
      </c>
      <c r="C311" s="169" t="s">
        <v>794</v>
      </c>
      <c r="D311" s="159">
        <v>43023.0</v>
      </c>
      <c r="E311" s="157" t="s">
        <v>2</v>
      </c>
      <c r="F311" s="160">
        <v>36274.25</v>
      </c>
      <c r="G311" s="160">
        <v>5803.88</v>
      </c>
      <c r="H311" s="160">
        <f t="shared" si="22"/>
        <v>42078.13</v>
      </c>
      <c r="I311" s="172"/>
      <c r="J311" s="169"/>
      <c r="K311" s="172"/>
      <c r="L311" s="172">
        <f>+'FACUS$'!$H311-'FACUS$'!$I311-'FACUS$'!$K311</f>
        <v>42078.13</v>
      </c>
      <c r="M311" s="157" t="s">
        <v>777</v>
      </c>
      <c r="N311" s="162" t="s">
        <v>554</v>
      </c>
      <c r="O311" s="332">
        <v>43084.0</v>
      </c>
      <c r="P311" s="164" t="str">
        <f t="array" ref="P311">XLOOKUP('FACUS$'!$B311,'perfil de pagos'!$A$4:$A$46,'perfil de pagos'!$C$4:$C$46+'FACUS$'!$D311)</f>
        <v>#N/A</v>
      </c>
      <c r="Q311" s="165">
        <f t="shared" si="2"/>
        <v>0</v>
      </c>
      <c r="R311" s="171"/>
      <c r="S311" s="171"/>
      <c r="T311" s="171"/>
      <c r="U311" s="333" t="s">
        <v>7271</v>
      </c>
      <c r="V311" s="168">
        <f t="shared" si="3"/>
        <v>42078.13</v>
      </c>
      <c r="W311" s="168">
        <f t="shared" si="4"/>
        <v>0</v>
      </c>
      <c r="X311" s="168">
        <f t="shared" si="5"/>
        <v>0</v>
      </c>
      <c r="Y311" s="168">
        <f t="shared" si="6"/>
        <v>0</v>
      </c>
      <c r="Z311" s="168">
        <f t="shared" si="7"/>
        <v>0</v>
      </c>
      <c r="AA311" s="168">
        <f t="shared" si="8"/>
        <v>0</v>
      </c>
      <c r="AB311" s="168">
        <f t="shared" si="9"/>
        <v>0</v>
      </c>
    </row>
    <row r="312" ht="14.25" customHeight="1">
      <c r="A312" s="157">
        <v>949.0</v>
      </c>
      <c r="B312" s="169" t="s">
        <v>37</v>
      </c>
      <c r="C312" s="169" t="s">
        <v>807</v>
      </c>
      <c r="D312" s="159">
        <v>43023.0</v>
      </c>
      <c r="E312" s="157" t="s">
        <v>2</v>
      </c>
      <c r="F312" s="160">
        <v>102218.05</v>
      </c>
      <c r="G312" s="160">
        <v>16354.89</v>
      </c>
      <c r="H312" s="160">
        <f t="shared" si="22"/>
        <v>118572.94</v>
      </c>
      <c r="I312" s="172"/>
      <c r="J312" s="169"/>
      <c r="K312" s="172"/>
      <c r="L312" s="172">
        <f>+'FACUS$'!$H312-'FACUS$'!$I312-'FACUS$'!$K312</f>
        <v>118572.94</v>
      </c>
      <c r="M312" s="157" t="s">
        <v>718</v>
      </c>
      <c r="N312" s="162" t="s">
        <v>554</v>
      </c>
      <c r="O312" s="332">
        <v>43061.0</v>
      </c>
      <c r="P312" s="164">
        <f t="array" ref="P312">XLOOKUP('FACUS$'!$B312,'perfil de pagos'!$A$4:$A$46,'perfil de pagos'!$C$4:$C$46+'FACUS$'!$D312)</f>
        <v>43033</v>
      </c>
      <c r="Q312" s="165">
        <f t="shared" si="2"/>
        <v>0</v>
      </c>
      <c r="R312" s="171"/>
      <c r="S312" s="171"/>
      <c r="T312" s="171"/>
      <c r="U312" s="333" t="s">
        <v>7271</v>
      </c>
      <c r="V312" s="168">
        <f t="shared" si="3"/>
        <v>118572.94</v>
      </c>
      <c r="W312" s="168">
        <f t="shared" si="4"/>
        <v>0</v>
      </c>
      <c r="X312" s="168">
        <f t="shared" si="5"/>
        <v>0</v>
      </c>
      <c r="Y312" s="168">
        <f t="shared" si="6"/>
        <v>0</v>
      </c>
      <c r="Z312" s="168">
        <f t="shared" si="7"/>
        <v>0</v>
      </c>
      <c r="AA312" s="168">
        <f t="shared" si="8"/>
        <v>0</v>
      </c>
      <c r="AB312" s="168">
        <f t="shared" si="9"/>
        <v>0</v>
      </c>
    </row>
    <row r="313" ht="14.25" customHeight="1">
      <c r="A313" s="157">
        <v>951.0</v>
      </c>
      <c r="B313" s="169" t="s">
        <v>24</v>
      </c>
      <c r="C313" s="169" t="s">
        <v>794</v>
      </c>
      <c r="D313" s="159">
        <v>43023.0</v>
      </c>
      <c r="E313" s="157" t="s">
        <v>2</v>
      </c>
      <c r="F313" s="160">
        <v>1087.22</v>
      </c>
      <c r="G313" s="160">
        <v>173.96</v>
      </c>
      <c r="H313" s="160">
        <f t="shared" si="22"/>
        <v>1261.18</v>
      </c>
      <c r="I313" s="172"/>
      <c r="J313" s="169"/>
      <c r="K313" s="172"/>
      <c r="L313" s="172">
        <f>+'FACUS$'!$H313-'FACUS$'!$I313-'FACUS$'!$K313</f>
        <v>1261.18</v>
      </c>
      <c r="M313" s="157" t="s">
        <v>91</v>
      </c>
      <c r="N313" s="162" t="s">
        <v>554</v>
      </c>
      <c r="O313" s="332"/>
      <c r="P313" s="164">
        <f t="array" ref="P313">XLOOKUP('FACUS$'!$B313,'perfil de pagos'!$A$4:$A$46,'perfil de pagos'!$C$4:$C$46+'FACUS$'!$D313)</f>
        <v>43033</v>
      </c>
      <c r="Q313" s="165">
        <f t="shared" si="2"/>
        <v>0</v>
      </c>
      <c r="R313" s="171"/>
      <c r="S313" s="171"/>
      <c r="T313" s="171"/>
      <c r="U313" s="333" t="s">
        <v>7271</v>
      </c>
      <c r="V313" s="168">
        <f t="shared" si="3"/>
        <v>1261.18</v>
      </c>
      <c r="W313" s="168">
        <f t="shared" si="4"/>
        <v>0</v>
      </c>
      <c r="X313" s="168">
        <f t="shared" si="5"/>
        <v>0</v>
      </c>
      <c r="Y313" s="168">
        <f t="shared" si="6"/>
        <v>0</v>
      </c>
      <c r="Z313" s="168">
        <f t="shared" si="7"/>
        <v>0</v>
      </c>
      <c r="AA313" s="168">
        <f t="shared" si="8"/>
        <v>0</v>
      </c>
      <c r="AB313" s="168">
        <f t="shared" si="9"/>
        <v>0</v>
      </c>
    </row>
    <row r="314" ht="14.25" customHeight="1">
      <c r="A314" s="157">
        <v>953.0</v>
      </c>
      <c r="B314" s="169" t="s">
        <v>70</v>
      </c>
      <c r="C314" s="169" t="s">
        <v>807</v>
      </c>
      <c r="D314" s="159">
        <v>43023.0</v>
      </c>
      <c r="E314" s="157" t="s">
        <v>2</v>
      </c>
      <c r="F314" s="160">
        <v>35955.0</v>
      </c>
      <c r="G314" s="160">
        <v>5752.8</v>
      </c>
      <c r="H314" s="160">
        <f t="shared" si="22"/>
        <v>41707.8</v>
      </c>
      <c r="I314" s="172"/>
      <c r="J314" s="169"/>
      <c r="K314" s="172"/>
      <c r="L314" s="172">
        <f>+'FACUS$'!$H314-'FACUS$'!$I314-'FACUS$'!$K314</f>
        <v>41707.8</v>
      </c>
      <c r="M314" s="157" t="s">
        <v>719</v>
      </c>
      <c r="N314" s="162" t="s">
        <v>554</v>
      </c>
      <c r="O314" s="332">
        <v>43425.0</v>
      </c>
      <c r="P314" s="164" t="str">
        <f t="array" ref="P314">XLOOKUP('FACUS$'!$B314,'perfil de pagos'!$A$4:$A$46,'perfil de pagos'!$C$4:$C$46+'FACUS$'!$D314)</f>
        <v>#N/A</v>
      </c>
      <c r="Q314" s="165">
        <f t="shared" si="2"/>
        <v>0</v>
      </c>
      <c r="R314" s="171"/>
      <c r="S314" s="171"/>
      <c r="T314" s="171"/>
      <c r="U314" s="333" t="s">
        <v>7271</v>
      </c>
      <c r="V314" s="168">
        <f t="shared" si="3"/>
        <v>41707.8</v>
      </c>
      <c r="W314" s="168">
        <f t="shared" si="4"/>
        <v>0</v>
      </c>
      <c r="X314" s="168">
        <f t="shared" si="5"/>
        <v>0</v>
      </c>
      <c r="Y314" s="168">
        <f t="shared" si="6"/>
        <v>0</v>
      </c>
      <c r="Z314" s="168">
        <f t="shared" si="7"/>
        <v>0</v>
      </c>
      <c r="AA314" s="168">
        <f t="shared" si="8"/>
        <v>0</v>
      </c>
      <c r="AB314" s="168">
        <f t="shared" si="9"/>
        <v>0</v>
      </c>
    </row>
    <row r="315" ht="14.25" customHeight="1">
      <c r="A315" s="157">
        <v>954.0</v>
      </c>
      <c r="B315" s="169" t="s">
        <v>70</v>
      </c>
      <c r="C315" s="169" t="s">
        <v>807</v>
      </c>
      <c r="D315" s="159">
        <v>43008.0</v>
      </c>
      <c r="E315" s="157" t="s">
        <v>2</v>
      </c>
      <c r="F315" s="160">
        <v>2272.5</v>
      </c>
      <c r="G315" s="160">
        <v>363.6</v>
      </c>
      <c r="H315" s="160">
        <f t="shared" si="22"/>
        <v>2636.1</v>
      </c>
      <c r="I315" s="172"/>
      <c r="J315" s="169"/>
      <c r="K315" s="172"/>
      <c r="L315" s="172">
        <f>+'FACUS$'!$H315-'FACUS$'!$I315-'FACUS$'!$K315</f>
        <v>2636.1</v>
      </c>
      <c r="M315" s="157" t="s">
        <v>719</v>
      </c>
      <c r="N315" s="162" t="s">
        <v>554</v>
      </c>
      <c r="O315" s="332">
        <v>43088.0</v>
      </c>
      <c r="P315" s="164" t="str">
        <f t="array" ref="P315">XLOOKUP('FACUS$'!$B315,'perfil de pagos'!$A$4:$A$46,'perfil de pagos'!$C$4:$C$46+'FACUS$'!$D315)</f>
        <v>#N/A</v>
      </c>
      <c r="Q315" s="165">
        <f t="shared" si="2"/>
        <v>0</v>
      </c>
      <c r="R315" s="171"/>
      <c r="S315" s="171"/>
      <c r="T315" s="171"/>
      <c r="U315" s="333" t="s">
        <v>7271</v>
      </c>
      <c r="V315" s="168">
        <f t="shared" si="3"/>
        <v>2636.1</v>
      </c>
      <c r="W315" s="168">
        <f t="shared" si="4"/>
        <v>0</v>
      </c>
      <c r="X315" s="168">
        <f t="shared" si="5"/>
        <v>0</v>
      </c>
      <c r="Y315" s="168">
        <f t="shared" si="6"/>
        <v>0</v>
      </c>
      <c r="Z315" s="168">
        <f t="shared" si="7"/>
        <v>0</v>
      </c>
      <c r="AA315" s="168">
        <f t="shared" si="8"/>
        <v>0</v>
      </c>
      <c r="AB315" s="168">
        <f t="shared" si="9"/>
        <v>0</v>
      </c>
    </row>
    <row r="316" ht="14.25" customHeight="1">
      <c r="A316" s="210">
        <v>956.0</v>
      </c>
      <c r="B316" s="169" t="s">
        <v>82</v>
      </c>
      <c r="C316" s="169" t="s">
        <v>7349</v>
      </c>
      <c r="D316" s="159">
        <v>43055.0</v>
      </c>
      <c r="E316" s="157" t="s">
        <v>2</v>
      </c>
      <c r="F316" s="160">
        <v>2500.0</v>
      </c>
      <c r="G316" s="160">
        <v>400.0</v>
      </c>
      <c r="H316" s="179">
        <f t="shared" si="22"/>
        <v>2900</v>
      </c>
      <c r="I316" s="173"/>
      <c r="J316" s="170"/>
      <c r="K316" s="173"/>
      <c r="L316" s="173">
        <f>+'FACUS$'!$H316-'FACUS$'!$I316-'FACUS$'!$K316</f>
        <v>2900</v>
      </c>
      <c r="M316" s="157" t="s">
        <v>714</v>
      </c>
      <c r="N316" s="157" t="s">
        <v>7350</v>
      </c>
      <c r="O316" s="332"/>
      <c r="P316" s="164" t="str">
        <f t="array" ref="P316">XLOOKUP('FACUS$'!$B316,'perfil de pagos'!$A$4:$A$46,'perfil de pagos'!$C$4:$C$46+'FACUS$'!$D316)</f>
        <v>#N/A</v>
      </c>
      <c r="Q316" s="165" t="b">
        <f t="shared" si="2"/>
        <v>0</v>
      </c>
      <c r="R316" s="171"/>
      <c r="S316" s="171"/>
      <c r="T316" s="171"/>
      <c r="U316" s="333" t="s">
        <v>7271</v>
      </c>
      <c r="V316" s="168">
        <f t="shared" si="3"/>
        <v>0</v>
      </c>
      <c r="W316" s="168">
        <f t="shared" si="4"/>
        <v>0</v>
      </c>
      <c r="X316" s="168">
        <f t="shared" si="5"/>
        <v>0</v>
      </c>
      <c r="Y316" s="168">
        <f t="shared" si="6"/>
        <v>0</v>
      </c>
      <c r="Z316" s="168">
        <f t="shared" si="7"/>
        <v>0</v>
      </c>
      <c r="AA316" s="168">
        <f t="shared" si="8"/>
        <v>0</v>
      </c>
      <c r="AB316" s="168">
        <f t="shared" si="9"/>
        <v>2900</v>
      </c>
    </row>
    <row r="317" ht="14.25" customHeight="1">
      <c r="A317" s="210">
        <v>957.0</v>
      </c>
      <c r="B317" s="169" t="s">
        <v>82</v>
      </c>
      <c r="C317" s="169" t="s">
        <v>7351</v>
      </c>
      <c r="D317" s="159">
        <v>43055.0</v>
      </c>
      <c r="E317" s="157" t="s">
        <v>2</v>
      </c>
      <c r="F317" s="160">
        <v>2500.0</v>
      </c>
      <c r="G317" s="160">
        <v>400.0</v>
      </c>
      <c r="H317" s="160">
        <f t="shared" si="22"/>
        <v>2900</v>
      </c>
      <c r="I317" s="172"/>
      <c r="J317" s="169"/>
      <c r="K317" s="172"/>
      <c r="L317" s="172">
        <f>+'FACUS$'!$H317-'FACUS$'!$I317-'FACUS$'!$K317</f>
        <v>2900</v>
      </c>
      <c r="M317" s="157" t="s">
        <v>714</v>
      </c>
      <c r="N317" s="157" t="s">
        <v>7350</v>
      </c>
      <c r="O317" s="332"/>
      <c r="P317" s="164" t="str">
        <f t="array" ref="P317">XLOOKUP('FACUS$'!$B317,'perfil de pagos'!$A$4:$A$46,'perfil de pagos'!$C$4:$C$46+'FACUS$'!$D317)</f>
        <v>#N/A</v>
      </c>
      <c r="Q317" s="165" t="b">
        <f t="shared" si="2"/>
        <v>0</v>
      </c>
      <c r="R317" s="171"/>
      <c r="S317" s="171"/>
      <c r="T317" s="171"/>
      <c r="U317" s="333" t="s">
        <v>7271</v>
      </c>
      <c r="V317" s="168">
        <f t="shared" si="3"/>
        <v>0</v>
      </c>
      <c r="W317" s="168">
        <f t="shared" si="4"/>
        <v>0</v>
      </c>
      <c r="X317" s="168">
        <f t="shared" si="5"/>
        <v>0</v>
      </c>
      <c r="Y317" s="168">
        <f t="shared" si="6"/>
        <v>0</v>
      </c>
      <c r="Z317" s="168">
        <f t="shared" si="7"/>
        <v>0</v>
      </c>
      <c r="AA317" s="168">
        <f t="shared" si="8"/>
        <v>0</v>
      </c>
      <c r="AB317" s="168">
        <f t="shared" si="9"/>
        <v>2900</v>
      </c>
    </row>
    <row r="318" ht="14.25" customHeight="1">
      <c r="A318" s="157">
        <v>963.0</v>
      </c>
      <c r="B318" s="169" t="s">
        <v>70</v>
      </c>
      <c r="C318" s="169" t="s">
        <v>7352</v>
      </c>
      <c r="D318" s="159">
        <v>43040.0</v>
      </c>
      <c r="E318" s="157" t="s">
        <v>2</v>
      </c>
      <c r="F318" s="160">
        <v>24547.5</v>
      </c>
      <c r="G318" s="160">
        <v>3927.6</v>
      </c>
      <c r="H318" s="160">
        <f t="shared" si="22"/>
        <v>28475.1</v>
      </c>
      <c r="I318" s="172"/>
      <c r="J318" s="169"/>
      <c r="K318" s="172"/>
      <c r="L318" s="172">
        <f>+'FACUS$'!$H318-'FACUS$'!$I318-'FACUS$'!$K318</f>
        <v>28475.1</v>
      </c>
      <c r="M318" s="157" t="s">
        <v>719</v>
      </c>
      <c r="N318" s="162" t="s">
        <v>554</v>
      </c>
      <c r="O318" s="332">
        <v>43455.0</v>
      </c>
      <c r="P318" s="164" t="str">
        <f t="array" ref="P318">XLOOKUP('FACUS$'!$B318,'perfil de pagos'!$A$4:$A$46,'perfil de pagos'!$C$4:$C$46+'FACUS$'!$D318)</f>
        <v>#N/A</v>
      </c>
      <c r="Q318" s="165">
        <f t="shared" si="2"/>
        <v>0</v>
      </c>
      <c r="R318" s="171"/>
      <c r="S318" s="171"/>
      <c r="T318" s="171"/>
      <c r="U318" s="333" t="s">
        <v>7271</v>
      </c>
      <c r="V318" s="168">
        <f t="shared" si="3"/>
        <v>28475.1</v>
      </c>
      <c r="W318" s="168">
        <f t="shared" si="4"/>
        <v>0</v>
      </c>
      <c r="X318" s="168">
        <f t="shared" si="5"/>
        <v>0</v>
      </c>
      <c r="Y318" s="168">
        <f t="shared" si="6"/>
        <v>0</v>
      </c>
      <c r="Z318" s="168">
        <f t="shared" si="7"/>
        <v>0</v>
      </c>
      <c r="AA318" s="168">
        <f t="shared" si="8"/>
        <v>0</v>
      </c>
      <c r="AB318" s="168">
        <f t="shared" si="9"/>
        <v>0</v>
      </c>
    </row>
    <row r="319" ht="14.25" customHeight="1">
      <c r="A319" s="157">
        <v>966.0</v>
      </c>
      <c r="B319" s="169" t="s">
        <v>720</v>
      </c>
      <c r="C319" s="169" t="s">
        <v>7353</v>
      </c>
      <c r="D319" s="159">
        <v>43040.0</v>
      </c>
      <c r="E319" s="157" t="s">
        <v>2</v>
      </c>
      <c r="F319" s="160">
        <v>30784.81</v>
      </c>
      <c r="G319" s="160">
        <v>4925.57</v>
      </c>
      <c r="H319" s="160">
        <f t="shared" si="22"/>
        <v>35710.38</v>
      </c>
      <c r="I319" s="172"/>
      <c r="J319" s="169"/>
      <c r="K319" s="172"/>
      <c r="L319" s="172">
        <f>+'FACUS$'!$H319-'FACUS$'!$I319-'FACUS$'!$K319</f>
        <v>35710.38</v>
      </c>
      <c r="M319" s="157" t="s">
        <v>777</v>
      </c>
      <c r="N319" s="162" t="s">
        <v>554</v>
      </c>
      <c r="O319" s="332">
        <v>43073.0</v>
      </c>
      <c r="P319" s="164" t="str">
        <f t="array" ref="P319">XLOOKUP('FACUS$'!$B319,'perfil de pagos'!$A$4:$A$46,'perfil de pagos'!$C$4:$C$46+'FACUS$'!$D319)</f>
        <v>#N/A</v>
      </c>
      <c r="Q319" s="165">
        <f t="shared" si="2"/>
        <v>0</v>
      </c>
      <c r="R319" s="171"/>
      <c r="S319" s="171"/>
      <c r="T319" s="171"/>
      <c r="U319" s="333" t="s">
        <v>7271</v>
      </c>
      <c r="V319" s="168">
        <f t="shared" si="3"/>
        <v>35710.38</v>
      </c>
      <c r="W319" s="168">
        <f t="shared" si="4"/>
        <v>0</v>
      </c>
      <c r="X319" s="168">
        <f t="shared" si="5"/>
        <v>0</v>
      </c>
      <c r="Y319" s="168">
        <f t="shared" si="6"/>
        <v>0</v>
      </c>
      <c r="Z319" s="168">
        <f t="shared" si="7"/>
        <v>0</v>
      </c>
      <c r="AA319" s="168">
        <f t="shared" si="8"/>
        <v>0</v>
      </c>
      <c r="AB319" s="168">
        <f t="shared" si="9"/>
        <v>0</v>
      </c>
    </row>
    <row r="320" ht="14.25" customHeight="1">
      <c r="A320" s="178">
        <v>968.0</v>
      </c>
      <c r="B320" s="169" t="s">
        <v>716</v>
      </c>
      <c r="C320" s="169" t="s">
        <v>7354</v>
      </c>
      <c r="D320" s="159">
        <v>43040.0</v>
      </c>
      <c r="E320" s="157" t="s">
        <v>2</v>
      </c>
      <c r="F320" s="160">
        <v>22487.5</v>
      </c>
      <c r="G320" s="160">
        <v>3598.0</v>
      </c>
      <c r="H320" s="160">
        <f t="shared" si="22"/>
        <v>26085.5</v>
      </c>
      <c r="I320" s="172"/>
      <c r="J320" s="169"/>
      <c r="K320" s="172"/>
      <c r="L320" s="172">
        <f>+'FACUS$'!$H320-'FACUS$'!$I320-'FACUS$'!$K320</f>
        <v>26085.5</v>
      </c>
      <c r="M320" s="157" t="s">
        <v>717</v>
      </c>
      <c r="N320" s="162" t="s">
        <v>554</v>
      </c>
      <c r="O320" s="332">
        <v>43119.0</v>
      </c>
      <c r="P320" s="164" t="str">
        <f t="array" ref="P320">XLOOKUP('FACUS$'!$B320,'perfil de pagos'!$A$4:$A$46,'perfil de pagos'!$C$4:$C$46+'FACUS$'!$D320)</f>
        <v>#N/A</v>
      </c>
      <c r="Q320" s="165">
        <f t="shared" si="2"/>
        <v>0</v>
      </c>
      <c r="R320" s="171"/>
      <c r="S320" s="171"/>
      <c r="T320" s="171"/>
      <c r="U320" s="333" t="s">
        <v>7271</v>
      </c>
      <c r="V320" s="168">
        <f t="shared" si="3"/>
        <v>26085.5</v>
      </c>
      <c r="W320" s="168">
        <f t="shared" si="4"/>
        <v>0</v>
      </c>
      <c r="X320" s="168">
        <f t="shared" si="5"/>
        <v>0</v>
      </c>
      <c r="Y320" s="168">
        <f t="shared" si="6"/>
        <v>0</v>
      </c>
      <c r="Z320" s="168">
        <f t="shared" si="7"/>
        <v>0</v>
      </c>
      <c r="AA320" s="168">
        <f t="shared" si="8"/>
        <v>0</v>
      </c>
      <c r="AB320" s="168">
        <f t="shared" si="9"/>
        <v>0</v>
      </c>
    </row>
    <row r="321" ht="14.25" customHeight="1">
      <c r="A321" s="178">
        <v>970.0</v>
      </c>
      <c r="B321" s="169" t="s">
        <v>716</v>
      </c>
      <c r="C321" s="169" t="s">
        <v>7354</v>
      </c>
      <c r="D321" s="159">
        <v>43030.0</v>
      </c>
      <c r="E321" s="157" t="s">
        <v>2</v>
      </c>
      <c r="F321" s="160">
        <v>21357.0</v>
      </c>
      <c r="G321" s="160">
        <v>3417.12</v>
      </c>
      <c r="H321" s="160">
        <f t="shared" si="22"/>
        <v>24774.12</v>
      </c>
      <c r="I321" s="172"/>
      <c r="J321" s="169"/>
      <c r="K321" s="172"/>
      <c r="L321" s="172">
        <f>+'FACUS$'!$H321-'FACUS$'!$I321-'FACUS$'!$K321</f>
        <v>24774.12</v>
      </c>
      <c r="M321" s="157" t="s">
        <v>717</v>
      </c>
      <c r="N321" s="162" t="s">
        <v>127</v>
      </c>
      <c r="O321" s="332"/>
      <c r="P321" s="164" t="str">
        <f t="array" ref="P321">XLOOKUP('FACUS$'!$B321,'perfil de pagos'!$A$4:$A$46,'perfil de pagos'!$C$4:$C$46+'FACUS$'!$D321)</f>
        <v>#N/A</v>
      </c>
      <c r="Q321" s="165" t="str">
        <f t="shared" si="2"/>
        <v>N/A</v>
      </c>
      <c r="R321" s="171"/>
      <c r="S321" s="171"/>
      <c r="T321" s="171"/>
      <c r="U321" s="333" t="s">
        <v>7271</v>
      </c>
      <c r="V321" s="168">
        <f t="shared" si="3"/>
        <v>0</v>
      </c>
      <c r="W321" s="168">
        <f t="shared" si="4"/>
        <v>0</v>
      </c>
      <c r="X321" s="168">
        <f t="shared" si="5"/>
        <v>0</v>
      </c>
      <c r="Y321" s="168">
        <f t="shared" si="6"/>
        <v>0</v>
      </c>
      <c r="Z321" s="168">
        <f t="shared" si="7"/>
        <v>0</v>
      </c>
      <c r="AA321" s="168">
        <f t="shared" si="8"/>
        <v>0</v>
      </c>
      <c r="AB321" s="168">
        <f t="shared" si="9"/>
        <v>24774.12</v>
      </c>
    </row>
    <row r="322" ht="14.25" customHeight="1">
      <c r="A322" s="157">
        <v>972.0</v>
      </c>
      <c r="B322" s="169" t="s">
        <v>37</v>
      </c>
      <c r="C322" s="169" t="s">
        <v>7355</v>
      </c>
      <c r="D322" s="159">
        <v>43040.0</v>
      </c>
      <c r="E322" s="157" t="s">
        <v>2</v>
      </c>
      <c r="F322" s="160">
        <v>89776.06</v>
      </c>
      <c r="G322" s="160">
        <v>14364.17</v>
      </c>
      <c r="H322" s="160">
        <f t="shared" si="22"/>
        <v>104140.23</v>
      </c>
      <c r="I322" s="172"/>
      <c r="J322" s="169"/>
      <c r="K322" s="172"/>
      <c r="L322" s="172">
        <f>+'FACUS$'!$H322-'FACUS$'!$I322-'FACUS$'!$K322</f>
        <v>104140.23</v>
      </c>
      <c r="M322" s="157" t="s">
        <v>718</v>
      </c>
      <c r="N322" s="162" t="s">
        <v>554</v>
      </c>
      <c r="O322" s="332">
        <v>43074.0</v>
      </c>
      <c r="P322" s="164">
        <f t="array" ref="P322">XLOOKUP('FACUS$'!$B322,'perfil de pagos'!$A$4:$A$46,'perfil de pagos'!$C$4:$C$46+'FACUS$'!$D322)</f>
        <v>43050</v>
      </c>
      <c r="Q322" s="165">
        <f t="shared" si="2"/>
        <v>0</v>
      </c>
      <c r="R322" s="171"/>
      <c r="S322" s="171"/>
      <c r="T322" s="171"/>
      <c r="U322" s="333" t="s">
        <v>7271</v>
      </c>
      <c r="V322" s="168">
        <f t="shared" si="3"/>
        <v>104140.23</v>
      </c>
      <c r="W322" s="168">
        <f t="shared" si="4"/>
        <v>0</v>
      </c>
      <c r="X322" s="168">
        <f t="shared" si="5"/>
        <v>0</v>
      </c>
      <c r="Y322" s="168">
        <f t="shared" si="6"/>
        <v>0</v>
      </c>
      <c r="Z322" s="168">
        <f t="shared" si="7"/>
        <v>0</v>
      </c>
      <c r="AA322" s="168">
        <f t="shared" si="8"/>
        <v>0</v>
      </c>
      <c r="AB322" s="168">
        <f t="shared" si="9"/>
        <v>0</v>
      </c>
    </row>
    <row r="323" ht="14.25" customHeight="1">
      <c r="A323" s="157">
        <v>976.0</v>
      </c>
      <c r="B323" s="169" t="s">
        <v>82</v>
      </c>
      <c r="C323" s="169" t="s">
        <v>7356</v>
      </c>
      <c r="D323" s="159">
        <v>43040.0</v>
      </c>
      <c r="E323" s="157" t="s">
        <v>8</v>
      </c>
      <c r="F323" s="160">
        <v>8735.87</v>
      </c>
      <c r="G323" s="160">
        <v>1397.74</v>
      </c>
      <c r="H323" s="160">
        <f t="shared" si="22"/>
        <v>10133.61</v>
      </c>
      <c r="I323" s="172"/>
      <c r="J323" s="169"/>
      <c r="K323" s="172"/>
      <c r="L323" s="172">
        <f>+'FACUS$'!$H323-'FACUS$'!$I323-'FACUS$'!$K323</f>
        <v>10133.61</v>
      </c>
      <c r="M323" s="157" t="s">
        <v>714</v>
      </c>
      <c r="N323" s="162" t="s">
        <v>127</v>
      </c>
      <c r="O323" s="332"/>
      <c r="P323" s="164" t="str">
        <f t="array" ref="P323">XLOOKUP('FACUS$'!$B323,'perfil de pagos'!$A$4:$A$46,'perfil de pagos'!$C$4:$C$46+'FACUS$'!$D323)</f>
        <v>#N/A</v>
      </c>
      <c r="Q323" s="165" t="str">
        <f t="shared" si="2"/>
        <v>N/A</v>
      </c>
      <c r="R323" s="171"/>
      <c r="S323" s="171"/>
      <c r="T323" s="171"/>
      <c r="U323" s="333" t="s">
        <v>7271</v>
      </c>
      <c r="V323" s="168">
        <f t="shared" si="3"/>
        <v>0</v>
      </c>
      <c r="W323" s="168">
        <f t="shared" si="4"/>
        <v>0</v>
      </c>
      <c r="X323" s="168">
        <f t="shared" si="5"/>
        <v>0</v>
      </c>
      <c r="Y323" s="168">
        <f t="shared" si="6"/>
        <v>0</v>
      </c>
      <c r="Z323" s="168">
        <f t="shared" si="7"/>
        <v>0</v>
      </c>
      <c r="AA323" s="168">
        <f t="shared" si="8"/>
        <v>0</v>
      </c>
      <c r="AB323" s="168">
        <f t="shared" si="9"/>
        <v>10133.61</v>
      </c>
    </row>
    <row r="324" ht="14.25" customHeight="1">
      <c r="A324" s="157">
        <v>979.0</v>
      </c>
      <c r="B324" s="169" t="s">
        <v>70</v>
      </c>
      <c r="C324" s="169" t="s">
        <v>7352</v>
      </c>
      <c r="D324" s="159">
        <v>43054.0</v>
      </c>
      <c r="E324" s="157" t="s">
        <v>2</v>
      </c>
      <c r="F324" s="160">
        <v>25305.0</v>
      </c>
      <c r="G324" s="160">
        <v>4048.8</v>
      </c>
      <c r="H324" s="160">
        <f t="shared" si="22"/>
        <v>29353.8</v>
      </c>
      <c r="I324" s="172"/>
      <c r="J324" s="169"/>
      <c r="K324" s="172"/>
      <c r="L324" s="172">
        <f>+'FACUS$'!$H324-'FACUS$'!$I324-'FACUS$'!$K324</f>
        <v>29353.8</v>
      </c>
      <c r="M324" s="157" t="s">
        <v>719</v>
      </c>
      <c r="N324" s="162" t="s">
        <v>554</v>
      </c>
      <c r="O324" s="332">
        <v>43076.0</v>
      </c>
      <c r="P324" s="164" t="str">
        <f t="array" ref="P324">XLOOKUP('FACUS$'!$B324,'perfil de pagos'!$A$4:$A$46,'perfil de pagos'!$C$4:$C$46+'FACUS$'!$D324)</f>
        <v>#N/A</v>
      </c>
      <c r="Q324" s="165">
        <f t="shared" si="2"/>
        <v>0</v>
      </c>
      <c r="R324" s="171"/>
      <c r="S324" s="171"/>
      <c r="T324" s="171"/>
      <c r="U324" s="333" t="s">
        <v>7271</v>
      </c>
      <c r="V324" s="168">
        <f t="shared" si="3"/>
        <v>29353.8</v>
      </c>
      <c r="W324" s="168">
        <f t="shared" si="4"/>
        <v>0</v>
      </c>
      <c r="X324" s="168">
        <f t="shared" si="5"/>
        <v>0</v>
      </c>
      <c r="Y324" s="168">
        <f t="shared" si="6"/>
        <v>0</v>
      </c>
      <c r="Z324" s="168">
        <f t="shared" si="7"/>
        <v>0</v>
      </c>
      <c r="AA324" s="168">
        <f t="shared" si="8"/>
        <v>0</v>
      </c>
      <c r="AB324" s="168">
        <f t="shared" si="9"/>
        <v>0</v>
      </c>
    </row>
    <row r="325" ht="14.25" customHeight="1">
      <c r="A325" s="178">
        <v>981.0</v>
      </c>
      <c r="B325" s="169" t="s">
        <v>716</v>
      </c>
      <c r="C325" s="169" t="s">
        <v>7354</v>
      </c>
      <c r="D325" s="159">
        <v>43054.0</v>
      </c>
      <c r="E325" s="157" t="s">
        <v>2</v>
      </c>
      <c r="F325" s="160">
        <v>68865.3</v>
      </c>
      <c r="G325" s="160">
        <v>11018.45</v>
      </c>
      <c r="H325" s="160">
        <f t="shared" si="22"/>
        <v>79883.75</v>
      </c>
      <c r="I325" s="172"/>
      <c r="J325" s="169"/>
      <c r="K325" s="172"/>
      <c r="L325" s="172">
        <f>+'FACUS$'!$H325-'FACUS$'!$I325-'FACUS$'!$K325</f>
        <v>79883.75</v>
      </c>
      <c r="M325" s="157" t="s">
        <v>717</v>
      </c>
      <c r="N325" s="162" t="s">
        <v>127</v>
      </c>
      <c r="O325" s="332"/>
      <c r="P325" s="164" t="str">
        <f t="array" ref="P325">XLOOKUP('FACUS$'!$B325,'perfil de pagos'!$A$4:$A$46,'perfil de pagos'!$C$4:$C$46+'FACUS$'!$D325)</f>
        <v>#N/A</v>
      </c>
      <c r="Q325" s="165" t="str">
        <f t="shared" si="2"/>
        <v>N/A</v>
      </c>
      <c r="R325" s="171"/>
      <c r="S325" s="171"/>
      <c r="T325" s="171"/>
      <c r="U325" s="333" t="s">
        <v>7271</v>
      </c>
      <c r="V325" s="168">
        <f t="shared" si="3"/>
        <v>0</v>
      </c>
      <c r="W325" s="168">
        <f t="shared" si="4"/>
        <v>0</v>
      </c>
      <c r="X325" s="168">
        <f t="shared" si="5"/>
        <v>0</v>
      </c>
      <c r="Y325" s="168">
        <f t="shared" si="6"/>
        <v>0</v>
      </c>
      <c r="Z325" s="168">
        <f t="shared" si="7"/>
        <v>0</v>
      </c>
      <c r="AA325" s="168">
        <f t="shared" si="8"/>
        <v>0</v>
      </c>
      <c r="AB325" s="168">
        <f t="shared" si="9"/>
        <v>79883.75</v>
      </c>
    </row>
    <row r="326" ht="14.25" customHeight="1">
      <c r="A326" s="178">
        <v>983.0</v>
      </c>
      <c r="B326" s="169" t="s">
        <v>716</v>
      </c>
      <c r="C326" s="170" t="s">
        <v>7354</v>
      </c>
      <c r="D326" s="159">
        <v>43030.0</v>
      </c>
      <c r="E326" s="157" t="s">
        <v>2</v>
      </c>
      <c r="F326" s="160">
        <v>20842.65</v>
      </c>
      <c r="G326" s="160">
        <v>3334.82</v>
      </c>
      <c r="H326" s="160">
        <f t="shared" si="22"/>
        <v>24177.47</v>
      </c>
      <c r="I326" s="172"/>
      <c r="J326" s="169"/>
      <c r="K326" s="172"/>
      <c r="L326" s="172">
        <f>+'FACUS$'!$H326-'FACUS$'!$I326-'FACUS$'!$K326</f>
        <v>24177.47</v>
      </c>
      <c r="M326" s="157" t="s">
        <v>717</v>
      </c>
      <c r="N326" s="162" t="s">
        <v>127</v>
      </c>
      <c r="O326" s="332"/>
      <c r="P326" s="164" t="str">
        <f t="array" ref="P326">XLOOKUP('FACUS$'!$B326,'perfil de pagos'!$A$4:$A$46,'perfil de pagos'!$C$4:$C$46+'FACUS$'!$D326)</f>
        <v>#N/A</v>
      </c>
      <c r="Q326" s="165" t="str">
        <f t="shared" si="2"/>
        <v>N/A</v>
      </c>
      <c r="R326" s="171"/>
      <c r="S326" s="171"/>
      <c r="T326" s="171"/>
      <c r="U326" s="333" t="s">
        <v>7271</v>
      </c>
      <c r="V326" s="168">
        <f t="shared" si="3"/>
        <v>0</v>
      </c>
      <c r="W326" s="168">
        <f t="shared" si="4"/>
        <v>0</v>
      </c>
      <c r="X326" s="168">
        <f t="shared" si="5"/>
        <v>0</v>
      </c>
      <c r="Y326" s="168">
        <f t="shared" si="6"/>
        <v>0</v>
      </c>
      <c r="Z326" s="168">
        <f t="shared" si="7"/>
        <v>0</v>
      </c>
      <c r="AA326" s="168">
        <f t="shared" si="8"/>
        <v>0</v>
      </c>
      <c r="AB326" s="168">
        <f t="shared" si="9"/>
        <v>24177.47</v>
      </c>
    </row>
    <row r="327" ht="14.25" customHeight="1">
      <c r="A327" s="157">
        <v>985.0</v>
      </c>
      <c r="B327" s="169" t="s">
        <v>720</v>
      </c>
      <c r="C327" s="169" t="s">
        <v>7353</v>
      </c>
      <c r="D327" s="159">
        <v>43054.0</v>
      </c>
      <c r="E327" s="157" t="s">
        <v>2</v>
      </c>
      <c r="F327" s="160">
        <v>69772.8</v>
      </c>
      <c r="G327" s="160">
        <v>11163.65</v>
      </c>
      <c r="H327" s="160">
        <f t="shared" si="22"/>
        <v>80936.45</v>
      </c>
      <c r="I327" s="172"/>
      <c r="J327" s="169"/>
      <c r="K327" s="172"/>
      <c r="L327" s="172">
        <f>+'FACUS$'!$H327-'FACUS$'!$I327-'FACUS$'!$K327</f>
        <v>80936.45</v>
      </c>
      <c r="M327" s="157" t="s">
        <v>777</v>
      </c>
      <c r="N327" s="162" t="s">
        <v>554</v>
      </c>
      <c r="O327" s="332">
        <v>43084.0</v>
      </c>
      <c r="P327" s="164" t="str">
        <f t="array" ref="P327">XLOOKUP('FACUS$'!$B327,'perfil de pagos'!$A$4:$A$46,'perfil de pagos'!$C$4:$C$46+'FACUS$'!$D327)</f>
        <v>#N/A</v>
      </c>
      <c r="Q327" s="165">
        <f t="shared" si="2"/>
        <v>0</v>
      </c>
      <c r="R327" s="171"/>
      <c r="S327" s="171"/>
      <c r="T327" s="171"/>
      <c r="U327" s="333" t="s">
        <v>7271</v>
      </c>
      <c r="V327" s="168">
        <f t="shared" si="3"/>
        <v>80936.45</v>
      </c>
      <c r="W327" s="168">
        <f t="shared" si="4"/>
        <v>0</v>
      </c>
      <c r="X327" s="168">
        <f t="shared" si="5"/>
        <v>0</v>
      </c>
      <c r="Y327" s="168">
        <f t="shared" si="6"/>
        <v>0</v>
      </c>
      <c r="Z327" s="168">
        <f t="shared" si="7"/>
        <v>0</v>
      </c>
      <c r="AA327" s="168">
        <f t="shared" si="8"/>
        <v>0</v>
      </c>
      <c r="AB327" s="168">
        <f t="shared" si="9"/>
        <v>0</v>
      </c>
    </row>
    <row r="328" ht="14.25" customHeight="1">
      <c r="A328" s="157">
        <v>986.0</v>
      </c>
      <c r="B328" s="169" t="s">
        <v>692</v>
      </c>
      <c r="C328" s="169"/>
      <c r="D328" s="159"/>
      <c r="E328" s="157"/>
      <c r="F328" s="160"/>
      <c r="G328" s="160"/>
      <c r="H328" s="160"/>
      <c r="I328" s="172"/>
      <c r="J328" s="169"/>
      <c r="K328" s="172"/>
      <c r="L328" s="172">
        <f>+'FACUS$'!$H328-'FACUS$'!$I328-'FACUS$'!$K328</f>
        <v>0</v>
      </c>
      <c r="M328" s="157"/>
      <c r="N328" s="162" t="s">
        <v>554</v>
      </c>
      <c r="O328" s="332">
        <v>43105.0</v>
      </c>
      <c r="P328" s="164" t="str">
        <f t="array" ref="P328">XLOOKUP('FACUS$'!$B328,'perfil de pagos'!$A$4:$A$46,'perfil de pagos'!$C$4:$C$46+'FACUS$'!$D328)</f>
        <v>#N/A</v>
      </c>
      <c r="Q328" s="165">
        <f t="shared" si="2"/>
        <v>0</v>
      </c>
      <c r="R328" s="171"/>
      <c r="S328" s="171"/>
      <c r="T328" s="171"/>
      <c r="U328" s="333" t="s">
        <v>7271</v>
      </c>
      <c r="V328" s="168">
        <f t="shared" si="3"/>
        <v>0</v>
      </c>
      <c r="W328" s="168">
        <f t="shared" si="4"/>
        <v>0</v>
      </c>
      <c r="X328" s="168">
        <f t="shared" si="5"/>
        <v>0</v>
      </c>
      <c r="Y328" s="168">
        <f t="shared" si="6"/>
        <v>0</v>
      </c>
      <c r="Z328" s="168">
        <f t="shared" si="7"/>
        <v>0</v>
      </c>
      <c r="AA328" s="168">
        <f t="shared" si="8"/>
        <v>0</v>
      </c>
      <c r="AB328" s="168">
        <f t="shared" si="9"/>
        <v>0</v>
      </c>
    </row>
    <row r="329" ht="14.25" customHeight="1">
      <c r="A329" s="157">
        <v>989.0</v>
      </c>
      <c r="B329" s="169" t="s">
        <v>103</v>
      </c>
      <c r="C329" s="169" t="s">
        <v>7355</v>
      </c>
      <c r="D329" s="159">
        <v>43030.0</v>
      </c>
      <c r="E329" s="157" t="s">
        <v>2</v>
      </c>
      <c r="F329" s="160">
        <v>28188.78</v>
      </c>
      <c r="G329" s="160">
        <v>4510.21</v>
      </c>
      <c r="H329" s="160">
        <f t="shared" ref="H329:H384" si="23">F329+G329</f>
        <v>32698.99</v>
      </c>
      <c r="I329" s="172"/>
      <c r="J329" s="169"/>
      <c r="K329" s="172"/>
      <c r="L329" s="172">
        <f>+'FACUS$'!$H329-'FACUS$'!$I329-'FACUS$'!$K329</f>
        <v>32698.99</v>
      </c>
      <c r="M329" s="157" t="s">
        <v>43</v>
      </c>
      <c r="N329" s="162" t="s">
        <v>127</v>
      </c>
      <c r="O329" s="332"/>
      <c r="P329" s="164" t="str">
        <f t="array" ref="P329">XLOOKUP('FACUS$'!$B329,'perfil de pagos'!$A$4:$A$46,'perfil de pagos'!$C$4:$C$46+'FACUS$'!$D329)</f>
        <v>#N/A</v>
      </c>
      <c r="Q329" s="165" t="str">
        <f t="shared" si="2"/>
        <v>N/A</v>
      </c>
      <c r="R329" s="171"/>
      <c r="S329" s="171"/>
      <c r="T329" s="171"/>
      <c r="U329" s="333" t="s">
        <v>7271</v>
      </c>
      <c r="V329" s="168">
        <f t="shared" si="3"/>
        <v>0</v>
      </c>
      <c r="W329" s="168">
        <f t="shared" si="4"/>
        <v>0</v>
      </c>
      <c r="X329" s="168">
        <f t="shared" si="5"/>
        <v>0</v>
      </c>
      <c r="Y329" s="168">
        <f t="shared" si="6"/>
        <v>0</v>
      </c>
      <c r="Z329" s="168">
        <f t="shared" si="7"/>
        <v>0</v>
      </c>
      <c r="AA329" s="168">
        <f t="shared" si="8"/>
        <v>0</v>
      </c>
      <c r="AB329" s="168">
        <f t="shared" si="9"/>
        <v>32698.99</v>
      </c>
    </row>
    <row r="330" ht="14.25" customHeight="1">
      <c r="A330" s="314">
        <v>991.0</v>
      </c>
      <c r="B330" s="169" t="s">
        <v>103</v>
      </c>
      <c r="C330" s="169" t="s">
        <v>7355</v>
      </c>
      <c r="D330" s="159">
        <v>43040.0</v>
      </c>
      <c r="E330" s="157" t="s">
        <v>2</v>
      </c>
      <c r="F330" s="160">
        <v>3602.4</v>
      </c>
      <c r="G330" s="160">
        <v>576.38</v>
      </c>
      <c r="H330" s="179">
        <f t="shared" si="23"/>
        <v>4178.78</v>
      </c>
      <c r="I330" s="173"/>
      <c r="J330" s="170"/>
      <c r="K330" s="173"/>
      <c r="L330" s="173">
        <f>+'FACUS$'!$H330-'FACUS$'!$I330-'FACUS$'!$K330</f>
        <v>4178.78</v>
      </c>
      <c r="M330" s="157" t="s">
        <v>43</v>
      </c>
      <c r="N330" s="162" t="s">
        <v>127</v>
      </c>
      <c r="O330" s="332"/>
      <c r="P330" s="164" t="str">
        <f t="array" ref="P330">XLOOKUP('FACUS$'!$B330,'perfil de pagos'!$A$4:$A$46,'perfil de pagos'!$C$4:$C$46+'FACUS$'!$D330)</f>
        <v>#N/A</v>
      </c>
      <c r="Q330" s="165" t="str">
        <f t="shared" si="2"/>
        <v>N/A</v>
      </c>
      <c r="R330" s="171"/>
      <c r="S330" s="171"/>
      <c r="T330" s="171"/>
      <c r="U330" s="333" t="s">
        <v>7271</v>
      </c>
      <c r="V330" s="168">
        <f t="shared" si="3"/>
        <v>0</v>
      </c>
      <c r="W330" s="168">
        <f t="shared" si="4"/>
        <v>0</v>
      </c>
      <c r="X330" s="168">
        <f t="shared" si="5"/>
        <v>0</v>
      </c>
      <c r="Y330" s="168">
        <f t="shared" si="6"/>
        <v>0</v>
      </c>
      <c r="Z330" s="168">
        <f t="shared" si="7"/>
        <v>0</v>
      </c>
      <c r="AA330" s="168">
        <f t="shared" si="8"/>
        <v>0</v>
      </c>
      <c r="AB330" s="168">
        <f t="shared" si="9"/>
        <v>4178.78</v>
      </c>
    </row>
    <row r="331" ht="14.25" customHeight="1">
      <c r="A331" s="157">
        <v>993.0</v>
      </c>
      <c r="B331" s="169" t="s">
        <v>103</v>
      </c>
      <c r="C331" s="169" t="s">
        <v>7355</v>
      </c>
      <c r="D331" s="159">
        <v>43054.0</v>
      </c>
      <c r="E331" s="157" t="s">
        <v>2</v>
      </c>
      <c r="F331" s="160">
        <v>25520.161</v>
      </c>
      <c r="G331" s="160">
        <v>4083.23</v>
      </c>
      <c r="H331" s="160">
        <f t="shared" si="23"/>
        <v>29603.391</v>
      </c>
      <c r="I331" s="172"/>
      <c r="J331" s="169"/>
      <c r="K331" s="172"/>
      <c r="L331" s="172">
        <f>+'FACUS$'!$H331-'FACUS$'!$I331-'FACUS$'!$K331</f>
        <v>29603.391</v>
      </c>
      <c r="M331" s="157" t="s">
        <v>43</v>
      </c>
      <c r="N331" s="162" t="s">
        <v>127</v>
      </c>
      <c r="O331" s="332"/>
      <c r="P331" s="164" t="str">
        <f t="array" ref="P331">XLOOKUP('FACUS$'!$B331,'perfil de pagos'!$A$4:$A$46,'perfil de pagos'!$C$4:$C$46+'FACUS$'!$D331)</f>
        <v>#N/A</v>
      </c>
      <c r="Q331" s="165" t="str">
        <f t="shared" si="2"/>
        <v>N/A</v>
      </c>
      <c r="R331" s="171"/>
      <c r="S331" s="171"/>
      <c r="T331" s="171"/>
      <c r="U331" s="333" t="s">
        <v>7271</v>
      </c>
      <c r="V331" s="168">
        <f t="shared" si="3"/>
        <v>0</v>
      </c>
      <c r="W331" s="168">
        <f t="shared" si="4"/>
        <v>0</v>
      </c>
      <c r="X331" s="168">
        <f t="shared" si="5"/>
        <v>0</v>
      </c>
      <c r="Y331" s="168">
        <f t="shared" si="6"/>
        <v>0</v>
      </c>
      <c r="Z331" s="168">
        <f t="shared" si="7"/>
        <v>0</v>
      </c>
      <c r="AA331" s="168">
        <f t="shared" si="8"/>
        <v>0</v>
      </c>
      <c r="AB331" s="168">
        <f t="shared" si="9"/>
        <v>29603.391</v>
      </c>
    </row>
    <row r="332" ht="14.25" customHeight="1">
      <c r="A332" s="178">
        <v>994.0</v>
      </c>
      <c r="B332" s="169" t="s">
        <v>716</v>
      </c>
      <c r="C332" s="169" t="s">
        <v>7354</v>
      </c>
      <c r="D332" s="159">
        <v>43054.0</v>
      </c>
      <c r="E332" s="157" t="s">
        <v>2</v>
      </c>
      <c r="F332" s="160">
        <v>66496.5</v>
      </c>
      <c r="G332" s="160">
        <v>10639.44</v>
      </c>
      <c r="H332" s="160">
        <f t="shared" si="23"/>
        <v>77135.94</v>
      </c>
      <c r="I332" s="172"/>
      <c r="J332" s="169"/>
      <c r="K332" s="172"/>
      <c r="L332" s="172">
        <f>+'FACUS$'!$H332-'FACUS$'!$I332-'FACUS$'!$K332</f>
        <v>77135.94</v>
      </c>
      <c r="M332" s="157" t="s">
        <v>717</v>
      </c>
      <c r="N332" s="162" t="s">
        <v>554</v>
      </c>
      <c r="O332" s="332">
        <v>43119.0</v>
      </c>
      <c r="P332" s="164" t="str">
        <f t="array" ref="P332">XLOOKUP('FACUS$'!$B332,'perfil de pagos'!$A$4:$A$46,'perfil de pagos'!$C$4:$C$46+'FACUS$'!$D332)</f>
        <v>#N/A</v>
      </c>
      <c r="Q332" s="165">
        <f t="shared" si="2"/>
        <v>0</v>
      </c>
      <c r="R332" s="171"/>
      <c r="S332" s="171"/>
      <c r="T332" s="171"/>
      <c r="U332" s="333" t="s">
        <v>7271</v>
      </c>
      <c r="V332" s="168">
        <f t="shared" si="3"/>
        <v>77135.94</v>
      </c>
      <c r="W332" s="168">
        <f t="shared" si="4"/>
        <v>0</v>
      </c>
      <c r="X332" s="168">
        <f t="shared" si="5"/>
        <v>0</v>
      </c>
      <c r="Y332" s="168">
        <f t="shared" si="6"/>
        <v>0</v>
      </c>
      <c r="Z332" s="168">
        <f t="shared" si="7"/>
        <v>0</v>
      </c>
      <c r="AA332" s="168">
        <f t="shared" si="8"/>
        <v>0</v>
      </c>
      <c r="AB332" s="168">
        <f t="shared" si="9"/>
        <v>0</v>
      </c>
    </row>
    <row r="333" ht="14.25" customHeight="1">
      <c r="A333" s="157">
        <v>995.0</v>
      </c>
      <c r="B333" s="169" t="s">
        <v>716</v>
      </c>
      <c r="C333" s="169" t="s">
        <v>7354</v>
      </c>
      <c r="D333" s="159">
        <v>43054.0</v>
      </c>
      <c r="E333" s="157" t="s">
        <v>2</v>
      </c>
      <c r="F333" s="160">
        <v>2368.8</v>
      </c>
      <c r="G333" s="160">
        <v>379.01</v>
      </c>
      <c r="H333" s="160">
        <f t="shared" si="23"/>
        <v>2747.81</v>
      </c>
      <c r="I333" s="172"/>
      <c r="J333" s="169"/>
      <c r="K333" s="172"/>
      <c r="L333" s="172">
        <f>+'FACUS$'!$H333-'FACUS$'!$I333-'FACUS$'!$K333</f>
        <v>2747.81</v>
      </c>
      <c r="M333" s="157" t="s">
        <v>717</v>
      </c>
      <c r="N333" s="162" t="s">
        <v>554</v>
      </c>
      <c r="O333" s="332">
        <v>43119.0</v>
      </c>
      <c r="P333" s="164" t="str">
        <f t="array" ref="P333">XLOOKUP('FACUS$'!$B333,'perfil de pagos'!$A$4:$A$46,'perfil de pagos'!$C$4:$C$46+'FACUS$'!$D333)</f>
        <v>#N/A</v>
      </c>
      <c r="Q333" s="165">
        <f t="shared" si="2"/>
        <v>0</v>
      </c>
      <c r="R333" s="171"/>
      <c r="S333" s="171"/>
      <c r="T333" s="171"/>
      <c r="U333" s="333" t="s">
        <v>7271</v>
      </c>
      <c r="V333" s="168">
        <f t="shared" si="3"/>
        <v>2747.81</v>
      </c>
      <c r="W333" s="168">
        <f t="shared" si="4"/>
        <v>0</v>
      </c>
      <c r="X333" s="168">
        <f t="shared" si="5"/>
        <v>0</v>
      </c>
      <c r="Y333" s="168">
        <f t="shared" si="6"/>
        <v>0</v>
      </c>
      <c r="Z333" s="168">
        <f t="shared" si="7"/>
        <v>0</v>
      </c>
      <c r="AA333" s="168">
        <f t="shared" si="8"/>
        <v>0</v>
      </c>
      <c r="AB333" s="168">
        <f t="shared" si="9"/>
        <v>0</v>
      </c>
    </row>
    <row r="334" ht="14.25" customHeight="1">
      <c r="A334" s="157">
        <v>996.0</v>
      </c>
      <c r="B334" s="169" t="s">
        <v>716</v>
      </c>
      <c r="C334" s="169" t="s">
        <v>7354</v>
      </c>
      <c r="D334" s="159">
        <v>43030.0</v>
      </c>
      <c r="E334" s="157" t="s">
        <v>2</v>
      </c>
      <c r="F334" s="160">
        <v>19789.0</v>
      </c>
      <c r="G334" s="160">
        <v>3166.24</v>
      </c>
      <c r="H334" s="160">
        <f t="shared" si="23"/>
        <v>22955.24</v>
      </c>
      <c r="I334" s="172"/>
      <c r="J334" s="169"/>
      <c r="K334" s="172"/>
      <c r="L334" s="172">
        <f>+'FACUS$'!$H334-'FACUS$'!$I334-'FACUS$'!$K334</f>
        <v>22955.24</v>
      </c>
      <c r="M334" s="157" t="s">
        <v>717</v>
      </c>
      <c r="N334" s="162" t="s">
        <v>554</v>
      </c>
      <c r="O334" s="332">
        <v>43129.0</v>
      </c>
      <c r="P334" s="164" t="str">
        <f t="array" ref="P334">XLOOKUP('FACUS$'!$B334,'perfil de pagos'!$A$4:$A$46,'perfil de pagos'!$C$4:$C$46+'FACUS$'!$D334)</f>
        <v>#N/A</v>
      </c>
      <c r="Q334" s="165">
        <f t="shared" si="2"/>
        <v>0</v>
      </c>
      <c r="R334" s="171"/>
      <c r="S334" s="171"/>
      <c r="T334" s="171"/>
      <c r="U334" s="333" t="s">
        <v>7271</v>
      </c>
      <c r="V334" s="168">
        <f t="shared" si="3"/>
        <v>22955.24</v>
      </c>
      <c r="W334" s="168">
        <f t="shared" si="4"/>
        <v>0</v>
      </c>
      <c r="X334" s="168">
        <f t="shared" si="5"/>
        <v>0</v>
      </c>
      <c r="Y334" s="168">
        <f t="shared" si="6"/>
        <v>0</v>
      </c>
      <c r="Z334" s="168">
        <f t="shared" si="7"/>
        <v>0</v>
      </c>
      <c r="AA334" s="168">
        <f t="shared" si="8"/>
        <v>0</v>
      </c>
      <c r="AB334" s="168">
        <f t="shared" si="9"/>
        <v>0</v>
      </c>
    </row>
    <row r="335" ht="14.25" customHeight="1">
      <c r="A335" s="157">
        <v>997.0</v>
      </c>
      <c r="B335" s="169" t="s">
        <v>716</v>
      </c>
      <c r="C335" s="169" t="s">
        <v>7354</v>
      </c>
      <c r="D335" s="159">
        <v>43030.0</v>
      </c>
      <c r="E335" s="157" t="s">
        <v>2</v>
      </c>
      <c r="F335" s="160">
        <v>1053.65</v>
      </c>
      <c r="G335" s="160">
        <v>168.58</v>
      </c>
      <c r="H335" s="160">
        <f t="shared" si="23"/>
        <v>1222.23</v>
      </c>
      <c r="I335" s="172"/>
      <c r="J335" s="169"/>
      <c r="K335" s="172"/>
      <c r="L335" s="172">
        <f>+'FACUS$'!$H335-'FACUS$'!$I335-'FACUS$'!$K335</f>
        <v>1222.23</v>
      </c>
      <c r="M335" s="157" t="s">
        <v>717</v>
      </c>
      <c r="N335" s="162" t="s">
        <v>554</v>
      </c>
      <c r="O335" s="332">
        <v>43129.0</v>
      </c>
      <c r="P335" s="164" t="str">
        <f t="array" ref="P335">XLOOKUP('FACUS$'!$B335,'perfil de pagos'!$A$4:$A$46,'perfil de pagos'!$C$4:$C$46+'FACUS$'!$D335)</f>
        <v>#N/A</v>
      </c>
      <c r="Q335" s="165">
        <f t="shared" si="2"/>
        <v>0</v>
      </c>
      <c r="R335" s="171"/>
      <c r="S335" s="171"/>
      <c r="T335" s="171"/>
      <c r="U335" s="333" t="s">
        <v>7271</v>
      </c>
      <c r="V335" s="168">
        <f t="shared" si="3"/>
        <v>1222.23</v>
      </c>
      <c r="W335" s="168">
        <f t="shared" si="4"/>
        <v>0</v>
      </c>
      <c r="X335" s="168">
        <f t="shared" si="5"/>
        <v>0</v>
      </c>
      <c r="Y335" s="168">
        <f t="shared" si="6"/>
        <v>0</v>
      </c>
      <c r="Z335" s="168">
        <f t="shared" si="7"/>
        <v>0</v>
      </c>
      <c r="AA335" s="168">
        <f t="shared" si="8"/>
        <v>0</v>
      </c>
      <c r="AB335" s="168">
        <f t="shared" si="9"/>
        <v>0</v>
      </c>
    </row>
    <row r="336" ht="14.25" customHeight="1">
      <c r="A336" s="157">
        <v>1000.0</v>
      </c>
      <c r="B336" s="169" t="s">
        <v>37</v>
      </c>
      <c r="C336" s="169" t="s">
        <v>7357</v>
      </c>
      <c r="D336" s="159">
        <v>43054.0</v>
      </c>
      <c r="E336" s="157" t="s">
        <v>2</v>
      </c>
      <c r="F336" s="160">
        <v>102026.76</v>
      </c>
      <c r="G336" s="160">
        <v>16324.28</v>
      </c>
      <c r="H336" s="160">
        <f t="shared" si="23"/>
        <v>118351.04</v>
      </c>
      <c r="I336" s="172"/>
      <c r="J336" s="169"/>
      <c r="K336" s="172"/>
      <c r="L336" s="172">
        <f>+'FACUS$'!$H336-'FACUS$'!$I336-'FACUS$'!$K336</f>
        <v>118351.04</v>
      </c>
      <c r="M336" s="157" t="s">
        <v>718</v>
      </c>
      <c r="N336" s="162" t="s">
        <v>554</v>
      </c>
      <c r="O336" s="332">
        <v>43087.0</v>
      </c>
      <c r="P336" s="164">
        <f t="array" ref="P336">XLOOKUP('FACUS$'!$B336,'perfil de pagos'!$A$4:$A$46,'perfil de pagos'!$C$4:$C$46+'FACUS$'!$D336)</f>
        <v>43064</v>
      </c>
      <c r="Q336" s="165">
        <f t="shared" si="2"/>
        <v>0</v>
      </c>
      <c r="R336" s="171"/>
      <c r="S336" s="171"/>
      <c r="T336" s="171"/>
      <c r="U336" s="333" t="s">
        <v>7271</v>
      </c>
      <c r="V336" s="168">
        <f t="shared" si="3"/>
        <v>118351.04</v>
      </c>
      <c r="W336" s="168">
        <f t="shared" si="4"/>
        <v>0</v>
      </c>
      <c r="X336" s="168">
        <f t="shared" si="5"/>
        <v>0</v>
      </c>
      <c r="Y336" s="168">
        <f t="shared" si="6"/>
        <v>0</v>
      </c>
      <c r="Z336" s="168">
        <f t="shared" si="7"/>
        <v>0</v>
      </c>
      <c r="AA336" s="168">
        <f t="shared" si="8"/>
        <v>0</v>
      </c>
      <c r="AB336" s="168">
        <f t="shared" si="9"/>
        <v>0</v>
      </c>
    </row>
    <row r="337" ht="14.25" customHeight="1">
      <c r="A337" s="157">
        <v>1001.0</v>
      </c>
      <c r="B337" s="169" t="s">
        <v>692</v>
      </c>
      <c r="C337" s="169" t="s">
        <v>7358</v>
      </c>
      <c r="D337" s="159">
        <v>43081.0</v>
      </c>
      <c r="E337" s="157" t="s">
        <v>2</v>
      </c>
      <c r="F337" s="160">
        <v>200000.0</v>
      </c>
      <c r="G337" s="160">
        <v>32000.0</v>
      </c>
      <c r="H337" s="160">
        <f t="shared" si="23"/>
        <v>232000</v>
      </c>
      <c r="I337" s="172"/>
      <c r="J337" s="169"/>
      <c r="K337" s="172"/>
      <c r="L337" s="172">
        <f>+'FACUS$'!$H337-'FACUS$'!$I337-'FACUS$'!$K337</f>
        <v>232000</v>
      </c>
      <c r="M337" s="157" t="s">
        <v>7274</v>
      </c>
      <c r="N337" s="162" t="s">
        <v>127</v>
      </c>
      <c r="O337" s="332"/>
      <c r="P337" s="164" t="str">
        <f t="array" ref="P337">XLOOKUP('FACUS$'!$B337,'perfil de pagos'!$A$4:$A$46,'perfil de pagos'!$C$4:$C$46+'FACUS$'!$D337)</f>
        <v>#N/A</v>
      </c>
      <c r="Q337" s="165" t="str">
        <f t="shared" si="2"/>
        <v>N/A</v>
      </c>
      <c r="R337" s="171"/>
      <c r="S337" s="171"/>
      <c r="T337" s="171"/>
      <c r="U337" s="333" t="s">
        <v>7271</v>
      </c>
      <c r="V337" s="168">
        <f t="shared" si="3"/>
        <v>0</v>
      </c>
      <c r="W337" s="168">
        <f t="shared" si="4"/>
        <v>0</v>
      </c>
      <c r="X337" s="168">
        <f t="shared" si="5"/>
        <v>0</v>
      </c>
      <c r="Y337" s="168">
        <f t="shared" si="6"/>
        <v>0</v>
      </c>
      <c r="Z337" s="168">
        <f t="shared" si="7"/>
        <v>0</v>
      </c>
      <c r="AA337" s="168">
        <f t="shared" si="8"/>
        <v>0</v>
      </c>
      <c r="AB337" s="168">
        <f t="shared" si="9"/>
        <v>232000</v>
      </c>
    </row>
    <row r="338" ht="14.25" customHeight="1">
      <c r="A338" s="157">
        <v>1002.0</v>
      </c>
      <c r="B338" s="169" t="s">
        <v>82</v>
      </c>
      <c r="C338" s="169" t="s">
        <v>7359</v>
      </c>
      <c r="D338" s="159">
        <v>43082.0</v>
      </c>
      <c r="E338" s="157" t="s">
        <v>2</v>
      </c>
      <c r="F338" s="160">
        <v>8735.87</v>
      </c>
      <c r="G338" s="160">
        <v>1397.74</v>
      </c>
      <c r="H338" s="160">
        <f t="shared" si="23"/>
        <v>10133.61</v>
      </c>
      <c r="I338" s="172"/>
      <c r="J338" s="169"/>
      <c r="K338" s="172"/>
      <c r="L338" s="172">
        <f>+'FACUS$'!$H338-'FACUS$'!$I338-'FACUS$'!$K338</f>
        <v>10133.61</v>
      </c>
      <c r="M338" s="157" t="s">
        <v>714</v>
      </c>
      <c r="N338" s="162" t="s">
        <v>554</v>
      </c>
      <c r="O338" s="332">
        <v>43434.0</v>
      </c>
      <c r="P338" s="164" t="str">
        <f t="array" ref="P338">XLOOKUP('FACUS$'!$B338,'perfil de pagos'!$A$4:$A$46,'perfil de pagos'!$C$4:$C$46+'FACUS$'!$D338)</f>
        <v>#N/A</v>
      </c>
      <c r="Q338" s="165">
        <f t="shared" si="2"/>
        <v>0</v>
      </c>
      <c r="R338" s="171"/>
      <c r="S338" s="171"/>
      <c r="T338" s="171"/>
      <c r="U338" s="333" t="s">
        <v>7271</v>
      </c>
      <c r="V338" s="168">
        <f t="shared" si="3"/>
        <v>10133.61</v>
      </c>
      <c r="W338" s="168">
        <f t="shared" si="4"/>
        <v>0</v>
      </c>
      <c r="X338" s="168">
        <f t="shared" si="5"/>
        <v>0</v>
      </c>
      <c r="Y338" s="168">
        <f t="shared" si="6"/>
        <v>0</v>
      </c>
      <c r="Z338" s="168">
        <f t="shared" si="7"/>
        <v>0</v>
      </c>
      <c r="AA338" s="168">
        <f t="shared" si="8"/>
        <v>0</v>
      </c>
      <c r="AB338" s="168">
        <f t="shared" si="9"/>
        <v>0</v>
      </c>
    </row>
    <row r="339" ht="14.25" customHeight="1">
      <c r="A339" s="157">
        <v>1008.0</v>
      </c>
      <c r="B339" s="169" t="s">
        <v>90</v>
      </c>
      <c r="C339" s="169" t="s">
        <v>7352</v>
      </c>
      <c r="D339" s="159">
        <v>43070.0</v>
      </c>
      <c r="E339" s="157" t="s">
        <v>2</v>
      </c>
      <c r="F339" s="160">
        <v>15510.0</v>
      </c>
      <c r="G339" s="160">
        <v>2481.6</v>
      </c>
      <c r="H339" s="160">
        <f t="shared" si="23"/>
        <v>17991.6</v>
      </c>
      <c r="I339" s="172"/>
      <c r="J339" s="169"/>
      <c r="K339" s="172"/>
      <c r="L339" s="172">
        <f>+'FACUS$'!$H339-'FACUS$'!$I339-'FACUS$'!$K339</f>
        <v>17991.6</v>
      </c>
      <c r="M339" s="157" t="s">
        <v>719</v>
      </c>
      <c r="N339" s="162" t="s">
        <v>554</v>
      </c>
      <c r="O339" s="332">
        <v>43461.0</v>
      </c>
      <c r="P339" s="164" t="str">
        <f t="array" ref="P339">XLOOKUP('FACUS$'!$B339,'perfil de pagos'!$A$4:$A$46,'perfil de pagos'!$C$4:$C$46+'FACUS$'!$D339)</f>
        <v>#N/A</v>
      </c>
      <c r="Q339" s="165">
        <f t="shared" si="2"/>
        <v>0</v>
      </c>
      <c r="R339" s="171"/>
      <c r="S339" s="171"/>
      <c r="T339" s="171"/>
      <c r="U339" s="333" t="s">
        <v>7271</v>
      </c>
      <c r="V339" s="168">
        <f t="shared" si="3"/>
        <v>17991.6</v>
      </c>
      <c r="W339" s="168">
        <f t="shared" si="4"/>
        <v>0</v>
      </c>
      <c r="X339" s="168">
        <f t="shared" si="5"/>
        <v>0</v>
      </c>
      <c r="Y339" s="168">
        <f t="shared" si="6"/>
        <v>0</v>
      </c>
      <c r="Z339" s="168">
        <f t="shared" si="7"/>
        <v>0</v>
      </c>
      <c r="AA339" s="168">
        <f t="shared" si="8"/>
        <v>0</v>
      </c>
      <c r="AB339" s="168">
        <f t="shared" si="9"/>
        <v>0</v>
      </c>
    </row>
    <row r="340" ht="14.25" customHeight="1">
      <c r="A340" s="157">
        <v>1010.0</v>
      </c>
      <c r="B340" s="169" t="s">
        <v>716</v>
      </c>
      <c r="C340" s="169" t="s">
        <v>7270</v>
      </c>
      <c r="D340" s="159">
        <v>43070.0</v>
      </c>
      <c r="E340" s="157" t="s">
        <v>2</v>
      </c>
      <c r="F340" s="160">
        <v>78287.45</v>
      </c>
      <c r="G340" s="160">
        <v>12525.99</v>
      </c>
      <c r="H340" s="160">
        <f t="shared" si="23"/>
        <v>90813.44</v>
      </c>
      <c r="I340" s="172"/>
      <c r="J340" s="169"/>
      <c r="K340" s="172"/>
      <c r="L340" s="172">
        <f>+'FACUS$'!$H340-'FACUS$'!$I340-'FACUS$'!$K340</f>
        <v>90813.44</v>
      </c>
      <c r="M340" s="157" t="s">
        <v>717</v>
      </c>
      <c r="N340" s="162" t="s">
        <v>554</v>
      </c>
      <c r="O340" s="332">
        <v>43129.0</v>
      </c>
      <c r="P340" s="164" t="str">
        <f t="array" ref="P340">XLOOKUP('FACUS$'!$B340,'perfil de pagos'!$A$4:$A$46,'perfil de pagos'!$C$4:$C$46+'FACUS$'!$D340)</f>
        <v>#N/A</v>
      </c>
      <c r="Q340" s="165">
        <f t="shared" si="2"/>
        <v>0</v>
      </c>
      <c r="R340" s="171"/>
      <c r="S340" s="171"/>
      <c r="T340" s="171"/>
      <c r="U340" s="333" t="s">
        <v>7271</v>
      </c>
      <c r="V340" s="168">
        <f t="shared" si="3"/>
        <v>90813.44</v>
      </c>
      <c r="W340" s="168">
        <f t="shared" si="4"/>
        <v>0</v>
      </c>
      <c r="X340" s="168">
        <f t="shared" si="5"/>
        <v>0</v>
      </c>
      <c r="Y340" s="168">
        <f t="shared" si="6"/>
        <v>0</v>
      </c>
      <c r="Z340" s="168">
        <f t="shared" si="7"/>
        <v>0</v>
      </c>
      <c r="AA340" s="168">
        <f t="shared" si="8"/>
        <v>0</v>
      </c>
      <c r="AB340" s="168">
        <f t="shared" si="9"/>
        <v>0</v>
      </c>
    </row>
    <row r="341" ht="14.25" customHeight="1">
      <c r="A341" s="157">
        <v>1012.0</v>
      </c>
      <c r="B341" s="169" t="s">
        <v>103</v>
      </c>
      <c r="C341" s="169" t="s">
        <v>7355</v>
      </c>
      <c r="D341" s="159">
        <v>43070.0</v>
      </c>
      <c r="E341" s="157" t="s">
        <v>2</v>
      </c>
      <c r="F341" s="160">
        <v>29051.46</v>
      </c>
      <c r="G341" s="160">
        <v>4648.23</v>
      </c>
      <c r="H341" s="160">
        <f t="shared" si="23"/>
        <v>33699.69</v>
      </c>
      <c r="I341" s="172"/>
      <c r="J341" s="169"/>
      <c r="K341" s="172"/>
      <c r="L341" s="172">
        <f>+'FACUS$'!$H341-'FACUS$'!$I341-'FACUS$'!$K341</f>
        <v>33699.69</v>
      </c>
      <c r="M341" s="157" t="s">
        <v>43</v>
      </c>
      <c r="N341" s="162" t="s">
        <v>127</v>
      </c>
      <c r="O341" s="332"/>
      <c r="P341" s="164" t="str">
        <f t="array" ref="P341">XLOOKUP('FACUS$'!$B341,'perfil de pagos'!$A$4:$A$46,'perfil de pagos'!$C$4:$C$46+'FACUS$'!$D341)</f>
        <v>#N/A</v>
      </c>
      <c r="Q341" s="165" t="str">
        <f t="shared" si="2"/>
        <v>N/A</v>
      </c>
      <c r="R341" s="171"/>
      <c r="S341" s="171"/>
      <c r="T341" s="171"/>
      <c r="U341" s="333" t="s">
        <v>7271</v>
      </c>
      <c r="V341" s="168">
        <f t="shared" si="3"/>
        <v>0</v>
      </c>
      <c r="W341" s="168">
        <f t="shared" si="4"/>
        <v>0</v>
      </c>
      <c r="X341" s="168">
        <f t="shared" si="5"/>
        <v>0</v>
      </c>
      <c r="Y341" s="168">
        <f t="shared" si="6"/>
        <v>0</v>
      </c>
      <c r="Z341" s="168">
        <f t="shared" si="7"/>
        <v>0</v>
      </c>
      <c r="AA341" s="168">
        <f t="shared" si="8"/>
        <v>0</v>
      </c>
      <c r="AB341" s="168">
        <f t="shared" si="9"/>
        <v>33699.69</v>
      </c>
    </row>
    <row r="342" ht="14.25" customHeight="1">
      <c r="A342" s="157">
        <v>1018.0</v>
      </c>
      <c r="B342" s="169" t="s">
        <v>37</v>
      </c>
      <c r="C342" s="169" t="s">
        <v>724</v>
      </c>
      <c r="D342" s="159">
        <v>43435.0</v>
      </c>
      <c r="E342" s="157" t="s">
        <v>2</v>
      </c>
      <c r="F342" s="160">
        <v>95246.14</v>
      </c>
      <c r="G342" s="160">
        <v>15239.38</v>
      </c>
      <c r="H342" s="160">
        <f t="shared" si="23"/>
        <v>110485.52</v>
      </c>
      <c r="I342" s="172"/>
      <c r="J342" s="169"/>
      <c r="K342" s="172"/>
      <c r="L342" s="172">
        <f>+'FACUS$'!$H342-'FACUS$'!$I342-'FACUS$'!$K342</f>
        <v>110485.52</v>
      </c>
      <c r="M342" s="157" t="s">
        <v>116</v>
      </c>
      <c r="N342" s="162" t="s">
        <v>127</v>
      </c>
      <c r="O342" s="332"/>
      <c r="P342" s="164">
        <f t="array" ref="P342">XLOOKUP('FACUS$'!$B342,'perfil de pagos'!$A$4:$A$46,'perfil de pagos'!$C$4:$C$46+'FACUS$'!$D342)</f>
        <v>43445</v>
      </c>
      <c r="Q342" s="165" t="str">
        <f t="shared" si="2"/>
        <v>N/A</v>
      </c>
      <c r="R342" s="171"/>
      <c r="S342" s="171"/>
      <c r="T342" s="171"/>
      <c r="U342" s="333" t="s">
        <v>7271</v>
      </c>
      <c r="V342" s="168">
        <f t="shared" si="3"/>
        <v>0</v>
      </c>
      <c r="W342" s="168">
        <f t="shared" si="4"/>
        <v>0</v>
      </c>
      <c r="X342" s="168">
        <f t="shared" si="5"/>
        <v>0</v>
      </c>
      <c r="Y342" s="168">
        <f t="shared" si="6"/>
        <v>0</v>
      </c>
      <c r="Z342" s="168">
        <f t="shared" si="7"/>
        <v>0</v>
      </c>
      <c r="AA342" s="168">
        <f t="shared" si="8"/>
        <v>0</v>
      </c>
      <c r="AB342" s="168">
        <f t="shared" si="9"/>
        <v>110485.52</v>
      </c>
    </row>
    <row r="343" ht="14.25" customHeight="1">
      <c r="A343" s="157">
        <v>1020.0</v>
      </c>
      <c r="B343" s="169" t="s">
        <v>103</v>
      </c>
      <c r="C343" s="169" t="s">
        <v>724</v>
      </c>
      <c r="D343" s="159">
        <v>43405.0</v>
      </c>
      <c r="E343" s="157" t="s">
        <v>2</v>
      </c>
      <c r="F343" s="160">
        <v>3602.4</v>
      </c>
      <c r="G343" s="160">
        <v>576.38</v>
      </c>
      <c r="H343" s="160">
        <f t="shared" si="23"/>
        <v>4178.78</v>
      </c>
      <c r="I343" s="172"/>
      <c r="J343" s="169"/>
      <c r="K343" s="172"/>
      <c r="L343" s="172">
        <f>+'FACUS$'!$H343-'FACUS$'!$I343-'FACUS$'!$K343</f>
        <v>4178.78</v>
      </c>
      <c r="M343" s="157" t="s">
        <v>43</v>
      </c>
      <c r="N343" s="162" t="s">
        <v>554</v>
      </c>
      <c r="O343" s="332">
        <v>43104.0</v>
      </c>
      <c r="P343" s="164" t="str">
        <f t="array" ref="P343">XLOOKUP('FACUS$'!$B343,'perfil de pagos'!$A$4:$A$46,'perfil de pagos'!$C$4:$C$46+'FACUS$'!$D343)</f>
        <v>#N/A</v>
      </c>
      <c r="Q343" s="165">
        <f t="shared" si="2"/>
        <v>0</v>
      </c>
      <c r="R343" s="171"/>
      <c r="S343" s="171"/>
      <c r="T343" s="171"/>
      <c r="U343" s="333" t="s">
        <v>7271</v>
      </c>
      <c r="V343" s="168">
        <f t="shared" si="3"/>
        <v>4178.78</v>
      </c>
      <c r="W343" s="168">
        <f t="shared" si="4"/>
        <v>0</v>
      </c>
      <c r="X343" s="168">
        <f t="shared" si="5"/>
        <v>0</v>
      </c>
      <c r="Y343" s="168">
        <f t="shared" si="6"/>
        <v>0</v>
      </c>
      <c r="Z343" s="168">
        <f t="shared" si="7"/>
        <v>0</v>
      </c>
      <c r="AA343" s="168">
        <f t="shared" si="8"/>
        <v>0</v>
      </c>
      <c r="AB343" s="168">
        <f t="shared" si="9"/>
        <v>0</v>
      </c>
    </row>
    <row r="344" ht="14.25" customHeight="1">
      <c r="A344" s="157">
        <v>1022.0</v>
      </c>
      <c r="B344" s="169" t="s">
        <v>103</v>
      </c>
      <c r="C344" s="169" t="s">
        <v>724</v>
      </c>
      <c r="D344" s="159">
        <v>43419.0</v>
      </c>
      <c r="E344" s="157" t="s">
        <v>2</v>
      </c>
      <c r="F344" s="160">
        <v>25520.16</v>
      </c>
      <c r="G344" s="160">
        <v>4083.23</v>
      </c>
      <c r="H344" s="179">
        <f t="shared" si="23"/>
        <v>29603.39</v>
      </c>
      <c r="I344" s="173"/>
      <c r="J344" s="170"/>
      <c r="K344" s="173"/>
      <c r="L344" s="173">
        <f>+'FACUS$'!$H344-'FACUS$'!$I344-'FACUS$'!$K344</f>
        <v>29603.39</v>
      </c>
      <c r="M344" s="157" t="s">
        <v>43</v>
      </c>
      <c r="N344" s="162" t="s">
        <v>554</v>
      </c>
      <c r="O344" s="332">
        <v>43111.0</v>
      </c>
      <c r="P344" s="164" t="str">
        <f t="array" ref="P344">XLOOKUP('FACUS$'!$B344,'perfil de pagos'!$A$4:$A$46,'perfil de pagos'!$C$4:$C$46+'FACUS$'!$D344)</f>
        <v>#N/A</v>
      </c>
      <c r="Q344" s="165">
        <f t="shared" si="2"/>
        <v>0</v>
      </c>
      <c r="R344" s="171"/>
      <c r="S344" s="171"/>
      <c r="T344" s="171"/>
      <c r="U344" s="333" t="s">
        <v>7271</v>
      </c>
      <c r="V344" s="168">
        <f t="shared" si="3"/>
        <v>29603.39</v>
      </c>
      <c r="W344" s="168">
        <f t="shared" si="4"/>
        <v>0</v>
      </c>
      <c r="X344" s="168">
        <f t="shared" si="5"/>
        <v>0</v>
      </c>
      <c r="Y344" s="168">
        <f t="shared" si="6"/>
        <v>0</v>
      </c>
      <c r="Z344" s="168">
        <f t="shared" si="7"/>
        <v>0</v>
      </c>
      <c r="AA344" s="168">
        <f t="shared" si="8"/>
        <v>0</v>
      </c>
      <c r="AB344" s="168">
        <f t="shared" si="9"/>
        <v>0</v>
      </c>
    </row>
    <row r="345" ht="14.25" customHeight="1">
      <c r="A345" s="157">
        <v>1024.0</v>
      </c>
      <c r="B345" s="169" t="s">
        <v>720</v>
      </c>
      <c r="C345" s="169" t="s">
        <v>724</v>
      </c>
      <c r="D345" s="159">
        <v>43435.0</v>
      </c>
      <c r="E345" s="157" t="s">
        <v>2</v>
      </c>
      <c r="F345" s="160">
        <v>70070.4</v>
      </c>
      <c r="G345" s="160">
        <v>11211.26</v>
      </c>
      <c r="H345" s="160">
        <f t="shared" si="23"/>
        <v>81281.66</v>
      </c>
      <c r="I345" s="172"/>
      <c r="J345" s="169"/>
      <c r="K345" s="172"/>
      <c r="L345" s="172">
        <f>+'FACUS$'!$H345-'FACUS$'!$I345-'FACUS$'!$K345</f>
        <v>81281.66</v>
      </c>
      <c r="M345" s="157" t="s">
        <v>777</v>
      </c>
      <c r="N345" s="162" t="s">
        <v>554</v>
      </c>
      <c r="O345" s="332">
        <v>43462.0</v>
      </c>
      <c r="P345" s="164" t="str">
        <f t="array" ref="P345">XLOOKUP('FACUS$'!$B345,'perfil de pagos'!$A$4:$A$46,'perfil de pagos'!$C$4:$C$46+'FACUS$'!$D345)</f>
        <v>#N/A</v>
      </c>
      <c r="Q345" s="165">
        <f t="shared" si="2"/>
        <v>0</v>
      </c>
      <c r="R345" s="171"/>
      <c r="S345" s="171"/>
      <c r="T345" s="171"/>
      <c r="U345" s="333" t="s">
        <v>7271</v>
      </c>
      <c r="V345" s="168">
        <f t="shared" si="3"/>
        <v>81281.66</v>
      </c>
      <c r="W345" s="168">
        <f t="shared" si="4"/>
        <v>0</v>
      </c>
      <c r="X345" s="168">
        <f t="shared" si="5"/>
        <v>0</v>
      </c>
      <c r="Y345" s="168">
        <f t="shared" si="6"/>
        <v>0</v>
      </c>
      <c r="Z345" s="168">
        <f t="shared" si="7"/>
        <v>0</v>
      </c>
      <c r="AA345" s="168">
        <f t="shared" si="8"/>
        <v>0</v>
      </c>
      <c r="AB345" s="168">
        <f t="shared" si="9"/>
        <v>0</v>
      </c>
    </row>
    <row r="346" ht="14.25" customHeight="1">
      <c r="A346" s="157">
        <v>1025.0</v>
      </c>
      <c r="B346" s="169" t="s">
        <v>82</v>
      </c>
      <c r="C346" s="169" t="s">
        <v>7360</v>
      </c>
      <c r="D346" s="159">
        <v>43462.0</v>
      </c>
      <c r="E346" s="157" t="s">
        <v>2</v>
      </c>
      <c r="F346" s="160">
        <v>12655.78</v>
      </c>
      <c r="G346" s="160">
        <v>2024.93</v>
      </c>
      <c r="H346" s="160">
        <f t="shared" si="23"/>
        <v>14680.71</v>
      </c>
      <c r="I346" s="172"/>
      <c r="J346" s="169"/>
      <c r="K346" s="172"/>
      <c r="L346" s="172">
        <f>+'FACUS$'!$H346-'FACUS$'!$I346-'FACUS$'!$K346</f>
        <v>14680.71</v>
      </c>
      <c r="M346" s="157" t="s">
        <v>714</v>
      </c>
      <c r="N346" s="162" t="s">
        <v>554</v>
      </c>
      <c r="O346" s="332">
        <v>43462.0</v>
      </c>
      <c r="P346" s="164" t="str">
        <f t="array" ref="P346">XLOOKUP('FACUS$'!$B346,'perfil de pagos'!$A$4:$A$46,'perfil de pagos'!$C$4:$C$46+'FACUS$'!$D346)</f>
        <v>#N/A</v>
      </c>
      <c r="Q346" s="165">
        <f t="shared" si="2"/>
        <v>0</v>
      </c>
      <c r="R346" s="171"/>
      <c r="S346" s="171"/>
      <c r="T346" s="171"/>
      <c r="U346" s="333" t="s">
        <v>7271</v>
      </c>
      <c r="V346" s="168">
        <f t="shared" si="3"/>
        <v>14680.71</v>
      </c>
      <c r="W346" s="168">
        <f t="shared" si="4"/>
        <v>0</v>
      </c>
      <c r="X346" s="168">
        <f t="shared" si="5"/>
        <v>0</v>
      </c>
      <c r="Y346" s="168">
        <f t="shared" si="6"/>
        <v>0</v>
      </c>
      <c r="Z346" s="168">
        <f t="shared" si="7"/>
        <v>0</v>
      </c>
      <c r="AA346" s="168">
        <f t="shared" si="8"/>
        <v>0</v>
      </c>
      <c r="AB346" s="168">
        <f t="shared" si="9"/>
        <v>0</v>
      </c>
    </row>
    <row r="347" ht="14.25" customHeight="1">
      <c r="A347" s="157">
        <v>1026.0</v>
      </c>
      <c r="B347" s="169"/>
      <c r="C347" s="169"/>
      <c r="D347" s="159"/>
      <c r="E347" s="157"/>
      <c r="F347" s="160"/>
      <c r="G347" s="160"/>
      <c r="H347" s="160">
        <f t="shared" si="23"/>
        <v>0</v>
      </c>
      <c r="I347" s="172"/>
      <c r="J347" s="169"/>
      <c r="K347" s="172"/>
      <c r="L347" s="172">
        <f>+'FACUS$'!$H347-'FACUS$'!$I347-'FACUS$'!$K347</f>
        <v>0</v>
      </c>
      <c r="M347" s="157"/>
      <c r="N347" s="162" t="s">
        <v>127</v>
      </c>
      <c r="O347" s="332"/>
      <c r="P347" s="164" t="str">
        <f t="array" ref="P347">XLOOKUP('FACUS$'!$B347,'perfil de pagos'!$A$4:$A$46,'perfil de pagos'!$C$4:$C$46+'FACUS$'!$D347)</f>
        <v>#N/A</v>
      </c>
      <c r="Q347" s="165" t="str">
        <f t="shared" si="2"/>
        <v>N/A</v>
      </c>
      <c r="R347" s="171"/>
      <c r="S347" s="171"/>
      <c r="T347" s="171"/>
      <c r="U347" s="333" t="s">
        <v>7271</v>
      </c>
      <c r="V347" s="168">
        <f t="shared" si="3"/>
        <v>0</v>
      </c>
      <c r="W347" s="168">
        <f t="shared" si="4"/>
        <v>0</v>
      </c>
      <c r="X347" s="168">
        <f t="shared" si="5"/>
        <v>0</v>
      </c>
      <c r="Y347" s="168">
        <f t="shared" si="6"/>
        <v>0</v>
      </c>
      <c r="Z347" s="168">
        <f t="shared" si="7"/>
        <v>0</v>
      </c>
      <c r="AA347" s="168">
        <f t="shared" si="8"/>
        <v>0</v>
      </c>
      <c r="AB347" s="168">
        <f t="shared" si="9"/>
        <v>0</v>
      </c>
    </row>
    <row r="348" ht="14.25" customHeight="1">
      <c r="A348" s="157">
        <v>1028.0</v>
      </c>
      <c r="B348" s="169"/>
      <c r="C348" s="169"/>
      <c r="D348" s="159"/>
      <c r="E348" s="157"/>
      <c r="F348" s="160"/>
      <c r="G348" s="160"/>
      <c r="H348" s="160">
        <f t="shared" si="23"/>
        <v>0</v>
      </c>
      <c r="I348" s="172"/>
      <c r="J348" s="169"/>
      <c r="K348" s="172"/>
      <c r="L348" s="172">
        <f>+'FACUS$'!$H348-'FACUS$'!$I348-'FACUS$'!$K348</f>
        <v>0</v>
      </c>
      <c r="M348" s="157"/>
      <c r="N348" s="162" t="s">
        <v>127</v>
      </c>
      <c r="O348" s="332"/>
      <c r="P348" s="164" t="str">
        <f t="array" ref="P348">XLOOKUP('FACUS$'!$B348,'perfil de pagos'!$A$4:$A$46,'perfil de pagos'!$C$4:$C$46+'FACUS$'!$D348)</f>
        <v>#N/A</v>
      </c>
      <c r="Q348" s="165" t="str">
        <f t="shared" si="2"/>
        <v>N/A</v>
      </c>
      <c r="R348" s="171"/>
      <c r="S348" s="171"/>
      <c r="T348" s="171"/>
      <c r="U348" s="333" t="s">
        <v>7271</v>
      </c>
      <c r="V348" s="168">
        <f t="shared" si="3"/>
        <v>0</v>
      </c>
      <c r="W348" s="168">
        <f t="shared" si="4"/>
        <v>0</v>
      </c>
      <c r="X348" s="168">
        <f t="shared" si="5"/>
        <v>0</v>
      </c>
      <c r="Y348" s="168">
        <f t="shared" si="6"/>
        <v>0</v>
      </c>
      <c r="Z348" s="168">
        <f t="shared" si="7"/>
        <v>0</v>
      </c>
      <c r="AA348" s="168">
        <f t="shared" si="8"/>
        <v>0</v>
      </c>
      <c r="AB348" s="168">
        <f t="shared" si="9"/>
        <v>0</v>
      </c>
    </row>
    <row r="349" ht="14.25" customHeight="1">
      <c r="A349" s="157">
        <v>1030.0</v>
      </c>
      <c r="B349" s="169"/>
      <c r="C349" s="169"/>
      <c r="D349" s="159"/>
      <c r="E349" s="157"/>
      <c r="F349" s="160"/>
      <c r="G349" s="160"/>
      <c r="H349" s="160">
        <f t="shared" si="23"/>
        <v>0</v>
      </c>
      <c r="I349" s="172"/>
      <c r="J349" s="169"/>
      <c r="K349" s="172"/>
      <c r="L349" s="172">
        <f>+'FACUS$'!$H349-'FACUS$'!$I349-'FACUS$'!$K349</f>
        <v>0</v>
      </c>
      <c r="M349" s="157"/>
      <c r="N349" s="162" t="s">
        <v>127</v>
      </c>
      <c r="O349" s="332"/>
      <c r="P349" s="164" t="str">
        <f t="array" ref="P349">XLOOKUP('FACUS$'!$B349,'perfil de pagos'!$A$4:$A$46,'perfil de pagos'!$C$4:$C$46+'FACUS$'!$D349)</f>
        <v>#N/A</v>
      </c>
      <c r="Q349" s="165" t="str">
        <f t="shared" si="2"/>
        <v>N/A</v>
      </c>
      <c r="R349" s="171"/>
      <c r="S349" s="171"/>
      <c r="T349" s="171"/>
      <c r="U349" s="333" t="s">
        <v>7271</v>
      </c>
      <c r="V349" s="168">
        <f t="shared" si="3"/>
        <v>0</v>
      </c>
      <c r="W349" s="168">
        <f t="shared" si="4"/>
        <v>0</v>
      </c>
      <c r="X349" s="168">
        <f t="shared" si="5"/>
        <v>0</v>
      </c>
      <c r="Y349" s="168">
        <f t="shared" si="6"/>
        <v>0</v>
      </c>
      <c r="Z349" s="168">
        <f t="shared" si="7"/>
        <v>0</v>
      </c>
      <c r="AA349" s="168">
        <f t="shared" si="8"/>
        <v>0</v>
      </c>
      <c r="AB349" s="168">
        <f t="shared" si="9"/>
        <v>0</v>
      </c>
    </row>
    <row r="350" ht="14.25" customHeight="1">
      <c r="A350" s="157">
        <v>1031.0</v>
      </c>
      <c r="B350" s="169" t="s">
        <v>720</v>
      </c>
      <c r="C350" s="169" t="s">
        <v>724</v>
      </c>
      <c r="D350" s="159">
        <v>43449.0</v>
      </c>
      <c r="E350" s="157" t="s">
        <v>2</v>
      </c>
      <c r="F350" s="160">
        <v>80630.4</v>
      </c>
      <c r="G350" s="160">
        <v>12900.86</v>
      </c>
      <c r="H350" s="160">
        <f t="shared" si="23"/>
        <v>93531.26</v>
      </c>
      <c r="I350" s="172"/>
      <c r="J350" s="169"/>
      <c r="K350" s="172"/>
      <c r="L350" s="172">
        <f>+'FACUS$'!$H350-'FACUS$'!$I350-'FACUS$'!$K350</f>
        <v>93531.26</v>
      </c>
      <c r="M350" s="157" t="s">
        <v>777</v>
      </c>
      <c r="N350" s="162" t="s">
        <v>127</v>
      </c>
      <c r="O350" s="332"/>
      <c r="P350" s="164" t="str">
        <f t="array" ref="P350">XLOOKUP('FACUS$'!$B350,'perfil de pagos'!$A$4:$A$46,'perfil de pagos'!$C$4:$C$46+'FACUS$'!$D350)</f>
        <v>#N/A</v>
      </c>
      <c r="Q350" s="165" t="str">
        <f t="shared" si="2"/>
        <v>N/A</v>
      </c>
      <c r="R350" s="171"/>
      <c r="S350" s="171"/>
      <c r="T350" s="171"/>
      <c r="U350" s="333" t="s">
        <v>7271</v>
      </c>
      <c r="V350" s="168">
        <f t="shared" si="3"/>
        <v>0</v>
      </c>
      <c r="W350" s="168">
        <f t="shared" si="4"/>
        <v>0</v>
      </c>
      <c r="X350" s="168">
        <f t="shared" si="5"/>
        <v>0</v>
      </c>
      <c r="Y350" s="168">
        <f t="shared" si="6"/>
        <v>0</v>
      </c>
      <c r="Z350" s="168">
        <f t="shared" si="7"/>
        <v>0</v>
      </c>
      <c r="AA350" s="168">
        <f t="shared" si="8"/>
        <v>0</v>
      </c>
      <c r="AB350" s="168">
        <f t="shared" si="9"/>
        <v>93531.26</v>
      </c>
    </row>
    <row r="351" ht="14.25" customHeight="1">
      <c r="A351" s="157">
        <v>1033.0</v>
      </c>
      <c r="B351" s="169" t="s">
        <v>720</v>
      </c>
      <c r="C351" s="169" t="s">
        <v>724</v>
      </c>
      <c r="D351" s="159">
        <v>43101.0</v>
      </c>
      <c r="E351" s="157" t="s">
        <v>2</v>
      </c>
      <c r="F351" s="160">
        <v>71596.8</v>
      </c>
      <c r="G351" s="160">
        <v>11455.49</v>
      </c>
      <c r="H351" s="160">
        <f t="shared" si="23"/>
        <v>83052.29</v>
      </c>
      <c r="I351" s="172"/>
      <c r="J351" s="169"/>
      <c r="K351" s="172"/>
      <c r="L351" s="172">
        <f>+'FACUS$'!$H351-'FACUS$'!$I351-'FACUS$'!$K351</f>
        <v>83052.29</v>
      </c>
      <c r="M351" s="157" t="s">
        <v>777</v>
      </c>
      <c r="N351" s="162" t="s">
        <v>127</v>
      </c>
      <c r="O351" s="332"/>
      <c r="P351" s="164" t="str">
        <f t="array" ref="P351">XLOOKUP('FACUS$'!$B351,'perfil de pagos'!$A$4:$A$46,'perfil de pagos'!$C$4:$C$46+'FACUS$'!$D351)</f>
        <v>#N/A</v>
      </c>
      <c r="Q351" s="165" t="str">
        <f t="shared" si="2"/>
        <v>N/A</v>
      </c>
      <c r="R351" s="171"/>
      <c r="S351" s="171"/>
      <c r="T351" s="171"/>
      <c r="U351" s="333" t="s">
        <v>7271</v>
      </c>
      <c r="V351" s="168">
        <f t="shared" si="3"/>
        <v>0</v>
      </c>
      <c r="W351" s="168">
        <f t="shared" si="4"/>
        <v>0</v>
      </c>
      <c r="X351" s="168">
        <f t="shared" si="5"/>
        <v>0</v>
      </c>
      <c r="Y351" s="168">
        <f t="shared" si="6"/>
        <v>0</v>
      </c>
      <c r="Z351" s="168">
        <f t="shared" si="7"/>
        <v>0</v>
      </c>
      <c r="AA351" s="168">
        <f t="shared" si="8"/>
        <v>0</v>
      </c>
      <c r="AB351" s="168">
        <f t="shared" si="9"/>
        <v>83052.29</v>
      </c>
    </row>
    <row r="352" ht="14.25" customHeight="1">
      <c r="A352" s="157">
        <v>1035.0</v>
      </c>
      <c r="B352" s="169" t="s">
        <v>37</v>
      </c>
      <c r="C352" s="169" t="s">
        <v>724</v>
      </c>
      <c r="D352" s="159">
        <v>43101.0</v>
      </c>
      <c r="E352" s="157" t="s">
        <v>2</v>
      </c>
      <c r="F352" s="160">
        <v>87468.37</v>
      </c>
      <c r="G352" s="160">
        <v>13994.94</v>
      </c>
      <c r="H352" s="160">
        <f t="shared" si="23"/>
        <v>101463.31</v>
      </c>
      <c r="I352" s="172"/>
      <c r="J352" s="169"/>
      <c r="K352" s="172"/>
      <c r="L352" s="172">
        <f>+'FACUS$'!$H352-'FACUS$'!$I352-'FACUS$'!$K352</f>
        <v>101463.31</v>
      </c>
      <c r="M352" s="157" t="s">
        <v>718</v>
      </c>
      <c r="N352" s="157" t="s">
        <v>7361</v>
      </c>
      <c r="O352" s="332"/>
      <c r="P352" s="164">
        <f t="array" ref="P352">XLOOKUP('FACUS$'!$B352,'perfil de pagos'!$A$4:$A$46,'perfil de pagos'!$C$4:$C$46+'FACUS$'!$D352)</f>
        <v>43111</v>
      </c>
      <c r="Q352" s="165" t="b">
        <f t="shared" si="2"/>
        <v>0</v>
      </c>
      <c r="R352" s="171"/>
      <c r="S352" s="171"/>
      <c r="T352" s="171"/>
      <c r="U352" s="333" t="s">
        <v>7271</v>
      </c>
      <c r="V352" s="168">
        <f t="shared" si="3"/>
        <v>0</v>
      </c>
      <c r="W352" s="168">
        <f t="shared" si="4"/>
        <v>0</v>
      </c>
      <c r="X352" s="168">
        <f t="shared" si="5"/>
        <v>0</v>
      </c>
      <c r="Y352" s="168">
        <f t="shared" si="6"/>
        <v>0</v>
      </c>
      <c r="Z352" s="168">
        <f t="shared" si="7"/>
        <v>0</v>
      </c>
      <c r="AA352" s="168">
        <f t="shared" si="8"/>
        <v>0</v>
      </c>
      <c r="AB352" s="168">
        <f t="shared" si="9"/>
        <v>101463.31</v>
      </c>
    </row>
    <row r="353" ht="14.25" customHeight="1">
      <c r="A353" s="157">
        <v>1036.0</v>
      </c>
      <c r="B353" s="169" t="s">
        <v>82</v>
      </c>
      <c r="C353" s="169" t="s">
        <v>7362</v>
      </c>
      <c r="D353" s="159">
        <v>43131.0</v>
      </c>
      <c r="E353" s="157" t="s">
        <v>2</v>
      </c>
      <c r="F353" s="160">
        <v>14813.59</v>
      </c>
      <c r="G353" s="160">
        <v>2370.17</v>
      </c>
      <c r="H353" s="160">
        <f t="shared" si="23"/>
        <v>17183.76</v>
      </c>
      <c r="I353" s="172"/>
      <c r="J353" s="169"/>
      <c r="K353" s="172"/>
      <c r="L353" s="172">
        <f>+'FACUS$'!$H353-'FACUS$'!$I353-'FACUS$'!$K353</f>
        <v>17183.76</v>
      </c>
      <c r="M353" s="157" t="s">
        <v>714</v>
      </c>
      <c r="N353" s="162" t="s">
        <v>554</v>
      </c>
      <c r="O353" s="332">
        <v>43159.0</v>
      </c>
      <c r="P353" s="164" t="str">
        <f t="array" ref="P353">XLOOKUP('FACUS$'!$B353,'perfil de pagos'!$A$4:$A$46,'perfil de pagos'!$C$4:$C$46+'FACUS$'!$D353)</f>
        <v>#N/A</v>
      </c>
      <c r="Q353" s="165">
        <f t="shared" si="2"/>
        <v>0</v>
      </c>
      <c r="R353" s="171"/>
      <c r="S353" s="171"/>
      <c r="T353" s="171"/>
      <c r="U353" s="333" t="s">
        <v>7271</v>
      </c>
      <c r="V353" s="168">
        <f t="shared" si="3"/>
        <v>17183.76</v>
      </c>
      <c r="W353" s="168">
        <f t="shared" si="4"/>
        <v>0</v>
      </c>
      <c r="X353" s="168">
        <f t="shared" si="5"/>
        <v>0</v>
      </c>
      <c r="Y353" s="168">
        <f t="shared" si="6"/>
        <v>0</v>
      </c>
      <c r="Z353" s="168">
        <f t="shared" si="7"/>
        <v>0</v>
      </c>
      <c r="AA353" s="168">
        <f t="shared" si="8"/>
        <v>0</v>
      </c>
      <c r="AB353" s="168">
        <f t="shared" si="9"/>
        <v>0</v>
      </c>
    </row>
    <row r="354" ht="14.25" customHeight="1">
      <c r="A354" s="157">
        <v>1039.0</v>
      </c>
      <c r="B354" s="169" t="s">
        <v>29</v>
      </c>
      <c r="C354" s="169" t="s">
        <v>7357</v>
      </c>
      <c r="D354" s="159">
        <v>43101.0</v>
      </c>
      <c r="E354" s="157" t="s">
        <v>2</v>
      </c>
      <c r="F354" s="160">
        <v>11646.0</v>
      </c>
      <c r="G354" s="160">
        <v>1863.36</v>
      </c>
      <c r="H354" s="179">
        <f t="shared" si="23"/>
        <v>13509.36</v>
      </c>
      <c r="I354" s="173"/>
      <c r="J354" s="170"/>
      <c r="K354" s="173"/>
      <c r="L354" s="173">
        <f>+'FACUS$'!$H354-'FACUS$'!$I354-'FACUS$'!$K354</f>
        <v>13509.36</v>
      </c>
      <c r="M354" s="157" t="s">
        <v>825</v>
      </c>
      <c r="N354" s="162" t="s">
        <v>554</v>
      </c>
      <c r="O354" s="332">
        <v>43150.0</v>
      </c>
      <c r="P354" s="164">
        <f t="array" ref="P354">XLOOKUP('FACUS$'!$B354,'perfil de pagos'!$A$4:$A$46,'perfil de pagos'!$C$4:$C$46+'FACUS$'!$D354)</f>
        <v>43111</v>
      </c>
      <c r="Q354" s="165">
        <f t="shared" si="2"/>
        <v>0</v>
      </c>
      <c r="R354" s="171"/>
      <c r="S354" s="171"/>
      <c r="T354" s="171"/>
      <c r="U354" s="333" t="s">
        <v>7271</v>
      </c>
      <c r="V354" s="168">
        <f t="shared" si="3"/>
        <v>13509.36</v>
      </c>
      <c r="W354" s="168">
        <f t="shared" si="4"/>
        <v>0</v>
      </c>
      <c r="X354" s="168">
        <f t="shared" si="5"/>
        <v>0</v>
      </c>
      <c r="Y354" s="168">
        <f t="shared" si="6"/>
        <v>0</v>
      </c>
      <c r="Z354" s="168">
        <f t="shared" si="7"/>
        <v>0</v>
      </c>
      <c r="AA354" s="168">
        <f t="shared" si="8"/>
        <v>0</v>
      </c>
      <c r="AB354" s="168">
        <f t="shared" si="9"/>
        <v>0</v>
      </c>
    </row>
    <row r="355" ht="14.25" customHeight="1">
      <c r="A355" s="157">
        <v>1041.0</v>
      </c>
      <c r="B355" s="169" t="s">
        <v>720</v>
      </c>
      <c r="C355" s="169" t="s">
        <v>724</v>
      </c>
      <c r="D355" s="159">
        <v>43115.0</v>
      </c>
      <c r="E355" s="157" t="s">
        <v>2</v>
      </c>
      <c r="F355" s="160">
        <v>105681.6</v>
      </c>
      <c r="G355" s="160">
        <v>16909.06</v>
      </c>
      <c r="H355" s="160">
        <f t="shared" si="23"/>
        <v>122590.66</v>
      </c>
      <c r="I355" s="172"/>
      <c r="J355" s="169"/>
      <c r="K355" s="172"/>
      <c r="L355" s="172">
        <f>+'FACUS$'!$H355-'FACUS$'!$I355-'FACUS$'!$K355</f>
        <v>122590.66</v>
      </c>
      <c r="M355" s="157" t="s">
        <v>777</v>
      </c>
      <c r="N355" s="162" t="s">
        <v>127</v>
      </c>
      <c r="O355" s="332"/>
      <c r="P355" s="164" t="str">
        <f t="array" ref="P355">XLOOKUP('FACUS$'!$B355,'perfil de pagos'!$A$4:$A$46,'perfil de pagos'!$C$4:$C$46+'FACUS$'!$D355)</f>
        <v>#N/A</v>
      </c>
      <c r="Q355" s="165" t="str">
        <f t="shared" si="2"/>
        <v>N/A</v>
      </c>
      <c r="R355" s="171"/>
      <c r="S355" s="171"/>
      <c r="T355" s="171"/>
      <c r="U355" s="333" t="s">
        <v>7271</v>
      </c>
      <c r="V355" s="168">
        <f t="shared" si="3"/>
        <v>0</v>
      </c>
      <c r="W355" s="168">
        <f t="shared" si="4"/>
        <v>0</v>
      </c>
      <c r="X355" s="168">
        <f t="shared" si="5"/>
        <v>0</v>
      </c>
      <c r="Y355" s="168">
        <f t="shared" si="6"/>
        <v>0</v>
      </c>
      <c r="Z355" s="168">
        <f t="shared" si="7"/>
        <v>0</v>
      </c>
      <c r="AA355" s="168">
        <f t="shared" si="8"/>
        <v>0</v>
      </c>
      <c r="AB355" s="168">
        <f t="shared" si="9"/>
        <v>122590.66</v>
      </c>
    </row>
    <row r="356" ht="14.25" customHeight="1">
      <c r="A356" s="157">
        <v>1042.0</v>
      </c>
      <c r="B356" s="169" t="s">
        <v>720</v>
      </c>
      <c r="C356" s="169" t="s">
        <v>724</v>
      </c>
      <c r="D356" s="159">
        <v>43449.0</v>
      </c>
      <c r="E356" s="157" t="s">
        <v>2</v>
      </c>
      <c r="F356" s="160">
        <v>80630.4</v>
      </c>
      <c r="G356" s="160">
        <v>12900.86</v>
      </c>
      <c r="H356" s="160">
        <f t="shared" si="23"/>
        <v>93531.26</v>
      </c>
      <c r="I356" s="172"/>
      <c r="J356" s="169"/>
      <c r="K356" s="172"/>
      <c r="L356" s="172">
        <f>+'FACUS$'!$H356-'FACUS$'!$I356-'FACUS$'!$K356</f>
        <v>93531.26</v>
      </c>
      <c r="M356" s="157" t="s">
        <v>777</v>
      </c>
      <c r="N356" s="162" t="s">
        <v>554</v>
      </c>
      <c r="O356" s="332">
        <v>43152.0</v>
      </c>
      <c r="P356" s="164" t="str">
        <f t="array" ref="P356">XLOOKUP('FACUS$'!$B356,'perfil de pagos'!$A$4:$A$46,'perfil de pagos'!$C$4:$C$46+'FACUS$'!$D356)</f>
        <v>#N/A</v>
      </c>
      <c r="Q356" s="165">
        <f t="shared" si="2"/>
        <v>0</v>
      </c>
      <c r="R356" s="171"/>
      <c r="S356" s="171"/>
      <c r="T356" s="171"/>
      <c r="U356" s="333" t="s">
        <v>7271</v>
      </c>
      <c r="V356" s="168">
        <f t="shared" si="3"/>
        <v>93531.26</v>
      </c>
      <c r="W356" s="168">
        <f t="shared" si="4"/>
        <v>0</v>
      </c>
      <c r="X356" s="168">
        <f t="shared" si="5"/>
        <v>0</v>
      </c>
      <c r="Y356" s="168">
        <f t="shared" si="6"/>
        <v>0</v>
      </c>
      <c r="Z356" s="168">
        <f t="shared" si="7"/>
        <v>0</v>
      </c>
      <c r="AA356" s="168">
        <f t="shared" si="8"/>
        <v>0</v>
      </c>
      <c r="AB356" s="168">
        <f t="shared" si="9"/>
        <v>0</v>
      </c>
    </row>
    <row r="357" ht="14.25" customHeight="1">
      <c r="A357" s="157">
        <v>1043.0</v>
      </c>
      <c r="B357" s="169" t="s">
        <v>720</v>
      </c>
      <c r="C357" s="169" t="s">
        <v>724</v>
      </c>
      <c r="D357" s="159">
        <v>43101.0</v>
      </c>
      <c r="E357" s="157" t="s">
        <v>2</v>
      </c>
      <c r="F357" s="160">
        <v>71596.8</v>
      </c>
      <c r="G357" s="160">
        <v>11455.49</v>
      </c>
      <c r="H357" s="160">
        <f t="shared" si="23"/>
        <v>83052.29</v>
      </c>
      <c r="I357" s="172"/>
      <c r="J357" s="169"/>
      <c r="K357" s="172"/>
      <c r="L357" s="172">
        <f>+'FACUS$'!$H357-'FACUS$'!$I357-'FACUS$'!$K357</f>
        <v>83052.29</v>
      </c>
      <c r="M357" s="157" t="s">
        <v>777</v>
      </c>
      <c r="N357" s="162" t="s">
        <v>554</v>
      </c>
      <c r="O357" s="332">
        <v>43152.0</v>
      </c>
      <c r="P357" s="164" t="str">
        <f t="array" ref="P357">XLOOKUP('FACUS$'!$B357,'perfil de pagos'!$A$4:$A$46,'perfil de pagos'!$C$4:$C$46+'FACUS$'!$D357)</f>
        <v>#N/A</v>
      </c>
      <c r="Q357" s="165">
        <f t="shared" si="2"/>
        <v>0</v>
      </c>
      <c r="R357" s="171"/>
      <c r="S357" s="171"/>
      <c r="T357" s="171"/>
      <c r="U357" s="333" t="s">
        <v>7271</v>
      </c>
      <c r="V357" s="168">
        <f t="shared" si="3"/>
        <v>83052.29</v>
      </c>
      <c r="W357" s="168">
        <f t="shared" si="4"/>
        <v>0</v>
      </c>
      <c r="X357" s="168">
        <f t="shared" si="5"/>
        <v>0</v>
      </c>
      <c r="Y357" s="168">
        <f t="shared" si="6"/>
        <v>0</v>
      </c>
      <c r="Z357" s="168">
        <f t="shared" si="7"/>
        <v>0</v>
      </c>
      <c r="AA357" s="168">
        <f t="shared" si="8"/>
        <v>0</v>
      </c>
      <c r="AB357" s="168">
        <f t="shared" si="9"/>
        <v>0</v>
      </c>
    </row>
    <row r="358" ht="14.25" customHeight="1">
      <c r="A358" s="157">
        <v>1044.0</v>
      </c>
      <c r="B358" s="169" t="s">
        <v>720</v>
      </c>
      <c r="C358" s="169" t="s">
        <v>724</v>
      </c>
      <c r="D358" s="159">
        <v>43115.0</v>
      </c>
      <c r="E358" s="157" t="s">
        <v>2</v>
      </c>
      <c r="F358" s="160">
        <v>105681.6</v>
      </c>
      <c r="G358" s="160">
        <v>16909.06</v>
      </c>
      <c r="H358" s="160">
        <f t="shared" si="23"/>
        <v>122590.66</v>
      </c>
      <c r="I358" s="172"/>
      <c r="J358" s="169"/>
      <c r="K358" s="172"/>
      <c r="L358" s="172">
        <f>+'FACUS$'!$H358-'FACUS$'!$I358-'FACUS$'!$K358</f>
        <v>122590.66</v>
      </c>
      <c r="M358" s="157" t="s">
        <v>777</v>
      </c>
      <c r="N358" s="162" t="s">
        <v>554</v>
      </c>
      <c r="O358" s="332">
        <v>43168.0</v>
      </c>
      <c r="P358" s="164" t="str">
        <f t="array" ref="P358">XLOOKUP('FACUS$'!$B358,'perfil de pagos'!$A$4:$A$46,'perfil de pagos'!$C$4:$C$46+'FACUS$'!$D358)</f>
        <v>#N/A</v>
      </c>
      <c r="Q358" s="165">
        <f t="shared" si="2"/>
        <v>0</v>
      </c>
      <c r="R358" s="171"/>
      <c r="S358" s="171"/>
      <c r="T358" s="171"/>
      <c r="U358" s="333" t="s">
        <v>7271</v>
      </c>
      <c r="V358" s="168">
        <f t="shared" si="3"/>
        <v>122590.66</v>
      </c>
      <c r="W358" s="168">
        <f t="shared" si="4"/>
        <v>0</v>
      </c>
      <c r="X358" s="168">
        <f t="shared" si="5"/>
        <v>0</v>
      </c>
      <c r="Y358" s="168">
        <f t="shared" si="6"/>
        <v>0</v>
      </c>
      <c r="Z358" s="168">
        <f t="shared" si="7"/>
        <v>0</v>
      </c>
      <c r="AA358" s="168">
        <f t="shared" si="8"/>
        <v>0</v>
      </c>
      <c r="AB358" s="168">
        <f t="shared" si="9"/>
        <v>0</v>
      </c>
    </row>
    <row r="359" ht="14.25" customHeight="1">
      <c r="A359" s="157">
        <v>1048.0</v>
      </c>
      <c r="B359" s="169" t="s">
        <v>37</v>
      </c>
      <c r="C359" s="169" t="s">
        <v>724</v>
      </c>
      <c r="D359" s="159">
        <v>43115.0</v>
      </c>
      <c r="E359" s="157" t="s">
        <v>2</v>
      </c>
      <c r="F359" s="160">
        <v>102633.19</v>
      </c>
      <c r="G359" s="160">
        <v>16421.31</v>
      </c>
      <c r="H359" s="160">
        <f t="shared" si="23"/>
        <v>119054.5</v>
      </c>
      <c r="I359" s="172"/>
      <c r="J359" s="169"/>
      <c r="K359" s="172"/>
      <c r="L359" s="172">
        <f>+'FACUS$'!$H359-'FACUS$'!$I359-'FACUS$'!$K359</f>
        <v>119054.5</v>
      </c>
      <c r="M359" s="157" t="s">
        <v>718</v>
      </c>
      <c r="N359" s="162" t="s">
        <v>554</v>
      </c>
      <c r="O359" s="332">
        <v>43172.0</v>
      </c>
      <c r="P359" s="164">
        <f t="array" ref="P359">XLOOKUP('FACUS$'!$B359,'perfil de pagos'!$A$4:$A$46,'perfil de pagos'!$C$4:$C$46+'FACUS$'!$D359)</f>
        <v>43125</v>
      </c>
      <c r="Q359" s="165">
        <f t="shared" si="2"/>
        <v>0</v>
      </c>
      <c r="R359" s="171"/>
      <c r="S359" s="171"/>
      <c r="T359" s="171"/>
      <c r="U359" s="333" t="s">
        <v>7271</v>
      </c>
      <c r="V359" s="168">
        <f t="shared" si="3"/>
        <v>119054.5</v>
      </c>
      <c r="W359" s="168">
        <f t="shared" si="4"/>
        <v>0</v>
      </c>
      <c r="X359" s="168">
        <f t="shared" si="5"/>
        <v>0</v>
      </c>
      <c r="Y359" s="168">
        <f t="shared" si="6"/>
        <v>0</v>
      </c>
      <c r="Z359" s="168">
        <f t="shared" si="7"/>
        <v>0</v>
      </c>
      <c r="AA359" s="168">
        <f t="shared" si="8"/>
        <v>0</v>
      </c>
      <c r="AB359" s="168">
        <f t="shared" si="9"/>
        <v>0</v>
      </c>
    </row>
    <row r="360" ht="14.25" customHeight="1">
      <c r="A360" s="157">
        <v>1050.0</v>
      </c>
      <c r="B360" s="169" t="s">
        <v>20</v>
      </c>
      <c r="C360" s="169" t="s">
        <v>724</v>
      </c>
      <c r="D360" s="159">
        <v>43115.0</v>
      </c>
      <c r="E360" s="157" t="s">
        <v>2</v>
      </c>
      <c r="F360" s="160">
        <v>8662.32</v>
      </c>
      <c r="G360" s="160">
        <v>1385.97</v>
      </c>
      <c r="H360" s="160">
        <f t="shared" si="23"/>
        <v>10048.29</v>
      </c>
      <c r="I360" s="172"/>
      <c r="J360" s="169"/>
      <c r="K360" s="172"/>
      <c r="L360" s="172">
        <f>+'FACUS$'!$H360-'FACUS$'!$I360-'FACUS$'!$K360</f>
        <v>10048.29</v>
      </c>
      <c r="M360" s="157" t="s">
        <v>732</v>
      </c>
      <c r="N360" s="162" t="s">
        <v>554</v>
      </c>
      <c r="O360" s="332">
        <v>43152.0</v>
      </c>
      <c r="P360" s="164">
        <f t="array" ref="P360">XLOOKUP('FACUS$'!$B360,'perfil de pagos'!$A$4:$A$46,'perfil de pagos'!$C$4:$C$46+'FACUS$'!$D360)</f>
        <v>43125</v>
      </c>
      <c r="Q360" s="165">
        <f t="shared" si="2"/>
        <v>0</v>
      </c>
      <c r="R360" s="171"/>
      <c r="S360" s="171"/>
      <c r="T360" s="171"/>
      <c r="U360" s="333" t="s">
        <v>7271</v>
      </c>
      <c r="V360" s="168">
        <f t="shared" si="3"/>
        <v>10048.29</v>
      </c>
      <c r="W360" s="168">
        <f t="shared" si="4"/>
        <v>0</v>
      </c>
      <c r="X360" s="168">
        <f t="shared" si="5"/>
        <v>0</v>
      </c>
      <c r="Y360" s="168">
        <f t="shared" si="6"/>
        <v>0</v>
      </c>
      <c r="Z360" s="168">
        <f t="shared" si="7"/>
        <v>0</v>
      </c>
      <c r="AA360" s="168">
        <f t="shared" si="8"/>
        <v>0</v>
      </c>
      <c r="AB360" s="168">
        <f t="shared" si="9"/>
        <v>0</v>
      </c>
    </row>
    <row r="361" ht="14.25" customHeight="1">
      <c r="A361" s="157">
        <v>1052.0</v>
      </c>
      <c r="B361" s="169" t="s">
        <v>18</v>
      </c>
      <c r="C361" s="169" t="s">
        <v>7363</v>
      </c>
      <c r="D361" s="159">
        <v>43115.0</v>
      </c>
      <c r="E361" s="157" t="s">
        <v>2</v>
      </c>
      <c r="F361" s="160">
        <v>6658.92</v>
      </c>
      <c r="G361" s="160">
        <v>1065.43</v>
      </c>
      <c r="H361" s="160">
        <f t="shared" si="23"/>
        <v>7724.35</v>
      </c>
      <c r="I361" s="172"/>
      <c r="J361" s="169"/>
      <c r="K361" s="172"/>
      <c r="L361" s="172">
        <f>+'FACUS$'!$H361-'FACUS$'!$I361-'FACUS$'!$K361</f>
        <v>7724.35</v>
      </c>
      <c r="M361" s="157" t="s">
        <v>586</v>
      </c>
      <c r="N361" s="162" t="s">
        <v>554</v>
      </c>
      <c r="O361" s="332">
        <v>43152.0</v>
      </c>
      <c r="P361" s="164">
        <f t="array" ref="P361">XLOOKUP('FACUS$'!$B361,'perfil de pagos'!$A$4:$A$46,'perfil de pagos'!$C$4:$C$46+'FACUS$'!$D361)</f>
        <v>43125</v>
      </c>
      <c r="Q361" s="165">
        <f t="shared" si="2"/>
        <v>0</v>
      </c>
      <c r="R361" s="171"/>
      <c r="S361" s="171"/>
      <c r="T361" s="171"/>
      <c r="U361" s="333" t="s">
        <v>7271</v>
      </c>
      <c r="V361" s="168">
        <f t="shared" si="3"/>
        <v>7724.35</v>
      </c>
      <c r="W361" s="168">
        <f t="shared" si="4"/>
        <v>0</v>
      </c>
      <c r="X361" s="168">
        <f t="shared" si="5"/>
        <v>0</v>
      </c>
      <c r="Y361" s="168">
        <f t="shared" si="6"/>
        <v>0</v>
      </c>
      <c r="Z361" s="168">
        <f t="shared" si="7"/>
        <v>0</v>
      </c>
      <c r="AA361" s="168">
        <f t="shared" si="8"/>
        <v>0</v>
      </c>
      <c r="AB361" s="168">
        <f t="shared" si="9"/>
        <v>0</v>
      </c>
    </row>
    <row r="362" ht="14.25" customHeight="1">
      <c r="A362" s="157">
        <v>1057.0</v>
      </c>
      <c r="B362" s="169" t="s">
        <v>720</v>
      </c>
      <c r="C362" s="169" t="s">
        <v>87</v>
      </c>
      <c r="D362" s="159">
        <v>43132.0</v>
      </c>
      <c r="E362" s="157" t="s">
        <v>2</v>
      </c>
      <c r="F362" s="160">
        <v>21241.49</v>
      </c>
      <c r="G362" s="160">
        <v>3398.64</v>
      </c>
      <c r="H362" s="160">
        <f t="shared" si="23"/>
        <v>24640.13</v>
      </c>
      <c r="I362" s="172"/>
      <c r="J362" s="169"/>
      <c r="K362" s="172"/>
      <c r="L362" s="172">
        <f>+'FACUS$'!$H362-'FACUS$'!$I362-'FACUS$'!$K362</f>
        <v>24640.13</v>
      </c>
      <c r="M362" s="157" t="s">
        <v>777</v>
      </c>
      <c r="N362" s="162" t="s">
        <v>554</v>
      </c>
      <c r="O362" s="332">
        <v>43168.0</v>
      </c>
      <c r="P362" s="164" t="str">
        <f t="array" ref="P362">XLOOKUP('FACUS$'!$B362,'perfil de pagos'!$A$4:$A$46,'perfil de pagos'!$C$4:$C$46+'FACUS$'!$D362)</f>
        <v>#N/A</v>
      </c>
      <c r="Q362" s="165">
        <f t="shared" si="2"/>
        <v>0</v>
      </c>
      <c r="R362" s="171"/>
      <c r="S362" s="171"/>
      <c r="T362" s="171"/>
      <c r="U362" s="333" t="s">
        <v>7271</v>
      </c>
      <c r="V362" s="168">
        <f t="shared" si="3"/>
        <v>24640.13</v>
      </c>
      <c r="W362" s="168">
        <f t="shared" si="4"/>
        <v>0</v>
      </c>
      <c r="X362" s="168">
        <f t="shared" si="5"/>
        <v>0</v>
      </c>
      <c r="Y362" s="168">
        <f t="shared" si="6"/>
        <v>0</v>
      </c>
      <c r="Z362" s="168">
        <f t="shared" si="7"/>
        <v>0</v>
      </c>
      <c r="AA362" s="168">
        <f t="shared" si="8"/>
        <v>0</v>
      </c>
      <c r="AB362" s="168">
        <f t="shared" si="9"/>
        <v>0</v>
      </c>
    </row>
    <row r="363" ht="14.25" customHeight="1">
      <c r="A363" s="157">
        <v>1062.0</v>
      </c>
      <c r="B363" s="169" t="s">
        <v>20</v>
      </c>
      <c r="C363" s="169" t="s">
        <v>724</v>
      </c>
      <c r="D363" s="159">
        <v>43132.0</v>
      </c>
      <c r="E363" s="157" t="s">
        <v>2</v>
      </c>
      <c r="F363" s="160">
        <v>10055.16</v>
      </c>
      <c r="G363" s="160">
        <v>1608.83</v>
      </c>
      <c r="H363" s="160">
        <f t="shared" si="23"/>
        <v>11663.99</v>
      </c>
      <c r="I363" s="172"/>
      <c r="J363" s="169"/>
      <c r="K363" s="172"/>
      <c r="L363" s="172">
        <f>+'FACUS$'!$H363-'FACUS$'!$I363-'FACUS$'!$K363</f>
        <v>11663.99</v>
      </c>
      <c r="M363" s="157" t="s">
        <v>732</v>
      </c>
      <c r="N363" s="162" t="s">
        <v>554</v>
      </c>
      <c r="O363" s="332">
        <v>43168.0</v>
      </c>
      <c r="P363" s="164">
        <f t="array" ref="P363">XLOOKUP('FACUS$'!$B363,'perfil de pagos'!$A$4:$A$46,'perfil de pagos'!$C$4:$C$46+'FACUS$'!$D363)</f>
        <v>43142</v>
      </c>
      <c r="Q363" s="165">
        <f t="shared" si="2"/>
        <v>0</v>
      </c>
      <c r="R363" s="171"/>
      <c r="S363" s="171"/>
      <c r="T363" s="171"/>
      <c r="U363" s="333" t="s">
        <v>7271</v>
      </c>
      <c r="V363" s="168">
        <f t="shared" si="3"/>
        <v>11663.99</v>
      </c>
      <c r="W363" s="168">
        <f t="shared" si="4"/>
        <v>0</v>
      </c>
      <c r="X363" s="168">
        <f t="shared" si="5"/>
        <v>0</v>
      </c>
      <c r="Y363" s="168">
        <f t="shared" si="6"/>
        <v>0</v>
      </c>
      <c r="Z363" s="168">
        <f t="shared" si="7"/>
        <v>0</v>
      </c>
      <c r="AA363" s="168">
        <f t="shared" si="8"/>
        <v>0</v>
      </c>
      <c r="AB363" s="168">
        <f t="shared" si="9"/>
        <v>0</v>
      </c>
    </row>
    <row r="364" ht="14.25" customHeight="1">
      <c r="A364" s="157">
        <v>1064.0</v>
      </c>
      <c r="B364" s="169" t="s">
        <v>18</v>
      </c>
      <c r="C364" s="169" t="s">
        <v>724</v>
      </c>
      <c r="D364" s="358">
        <v>43132.0</v>
      </c>
      <c r="E364" s="157" t="s">
        <v>2</v>
      </c>
      <c r="F364" s="160">
        <v>8115.36</v>
      </c>
      <c r="G364" s="360">
        <v>1298.46</v>
      </c>
      <c r="H364" s="160">
        <f t="shared" si="23"/>
        <v>9413.82</v>
      </c>
      <c r="I364" s="172"/>
      <c r="J364" s="169"/>
      <c r="K364" s="172"/>
      <c r="L364" s="172">
        <f>+'FACUS$'!$H364-'FACUS$'!$I364-'FACUS$'!$K364</f>
        <v>9413.82</v>
      </c>
      <c r="M364" s="157" t="s">
        <v>586</v>
      </c>
      <c r="N364" s="162" t="s">
        <v>554</v>
      </c>
      <c r="O364" s="332">
        <v>43168.0</v>
      </c>
      <c r="P364" s="164">
        <f t="array" ref="P364">XLOOKUP('FACUS$'!$B364,'perfil de pagos'!$A$4:$A$46,'perfil de pagos'!$C$4:$C$46+'FACUS$'!$D364)</f>
        <v>43142</v>
      </c>
      <c r="Q364" s="165">
        <f t="shared" si="2"/>
        <v>0</v>
      </c>
      <c r="R364" s="171"/>
      <c r="S364" s="171"/>
      <c r="T364" s="171"/>
      <c r="U364" s="333" t="s">
        <v>7271</v>
      </c>
      <c r="V364" s="168">
        <f t="shared" si="3"/>
        <v>9413.82</v>
      </c>
      <c r="W364" s="168">
        <f t="shared" si="4"/>
        <v>0</v>
      </c>
      <c r="X364" s="168">
        <f t="shared" si="5"/>
        <v>0</v>
      </c>
      <c r="Y364" s="168">
        <f t="shared" si="6"/>
        <v>0</v>
      </c>
      <c r="Z364" s="168">
        <f t="shared" si="7"/>
        <v>0</v>
      </c>
      <c r="AA364" s="168">
        <f t="shared" si="8"/>
        <v>0</v>
      </c>
      <c r="AB364" s="168">
        <f t="shared" si="9"/>
        <v>0</v>
      </c>
    </row>
    <row r="365" ht="14.25" customHeight="1">
      <c r="A365" s="157">
        <v>1065.0</v>
      </c>
      <c r="B365" s="169"/>
      <c r="C365" s="169"/>
      <c r="D365" s="159"/>
      <c r="E365" s="157"/>
      <c r="F365" s="160">
        <v>10055.16</v>
      </c>
      <c r="G365" s="160"/>
      <c r="H365" s="160">
        <f t="shared" si="23"/>
        <v>10055.16</v>
      </c>
      <c r="I365" s="172"/>
      <c r="J365" s="169"/>
      <c r="K365" s="172"/>
      <c r="L365" s="172">
        <f>+'FACUS$'!$H365-'FACUS$'!$I365-'FACUS$'!$K365</f>
        <v>10055.16</v>
      </c>
      <c r="M365" s="167"/>
      <c r="N365" s="162" t="s">
        <v>127</v>
      </c>
      <c r="O365" s="332"/>
      <c r="P365" s="164" t="str">
        <f t="array" ref="P365">XLOOKUP('FACUS$'!$B365,'perfil de pagos'!$A$4:$A$46,'perfil de pagos'!$C$4:$C$46+'FACUS$'!$D365)</f>
        <v>#N/A</v>
      </c>
      <c r="Q365" s="165" t="str">
        <f t="shared" si="2"/>
        <v>N/A</v>
      </c>
      <c r="R365" s="171"/>
      <c r="S365" s="171"/>
      <c r="T365" s="171"/>
      <c r="U365" s="333" t="s">
        <v>7271</v>
      </c>
      <c r="V365" s="168">
        <f t="shared" si="3"/>
        <v>0</v>
      </c>
      <c r="W365" s="168">
        <f t="shared" si="4"/>
        <v>0</v>
      </c>
      <c r="X365" s="168">
        <f t="shared" si="5"/>
        <v>0</v>
      </c>
      <c r="Y365" s="168">
        <f t="shared" si="6"/>
        <v>0</v>
      </c>
      <c r="Z365" s="168">
        <f t="shared" si="7"/>
        <v>0</v>
      </c>
      <c r="AA365" s="168">
        <f t="shared" si="8"/>
        <v>0</v>
      </c>
      <c r="AB365" s="168">
        <f t="shared" si="9"/>
        <v>10055.16</v>
      </c>
    </row>
    <row r="366" ht="14.25" customHeight="1">
      <c r="A366" s="157">
        <v>1067.0</v>
      </c>
      <c r="B366" s="169" t="s">
        <v>43</v>
      </c>
      <c r="C366" s="169" t="s">
        <v>724</v>
      </c>
      <c r="D366" s="159">
        <v>43132.0</v>
      </c>
      <c r="E366" s="157" t="s">
        <v>2</v>
      </c>
      <c r="F366" s="160">
        <v>22410.72</v>
      </c>
      <c r="G366" s="160">
        <v>3585.72</v>
      </c>
      <c r="H366" s="160">
        <f t="shared" si="23"/>
        <v>25996.44</v>
      </c>
      <c r="I366" s="172"/>
      <c r="J366" s="169"/>
      <c r="K366" s="172"/>
      <c r="L366" s="172">
        <f>+'FACUS$'!$H366-'FACUS$'!$I366-'FACUS$'!$K366</f>
        <v>25996.44</v>
      </c>
      <c r="M366" s="157" t="s">
        <v>43</v>
      </c>
      <c r="N366" s="162" t="s">
        <v>554</v>
      </c>
      <c r="O366" s="332">
        <v>43167.0</v>
      </c>
      <c r="P366" s="164">
        <f t="array" ref="P366">XLOOKUP('FACUS$'!$B366,'perfil de pagos'!$A$4:$A$46,'perfil de pagos'!$C$4:$C$46+'FACUS$'!$D366)</f>
        <v>43157</v>
      </c>
      <c r="Q366" s="165">
        <f t="shared" si="2"/>
        <v>0</v>
      </c>
      <c r="R366" s="171"/>
      <c r="S366" s="171"/>
      <c r="T366" s="171"/>
      <c r="U366" s="333" t="s">
        <v>7271</v>
      </c>
      <c r="V366" s="168">
        <f t="shared" si="3"/>
        <v>25996.44</v>
      </c>
      <c r="W366" s="168">
        <f t="shared" si="4"/>
        <v>0</v>
      </c>
      <c r="X366" s="168">
        <f t="shared" si="5"/>
        <v>0</v>
      </c>
      <c r="Y366" s="168">
        <f t="shared" si="6"/>
        <v>0</v>
      </c>
      <c r="Z366" s="168">
        <f t="shared" si="7"/>
        <v>0</v>
      </c>
      <c r="AA366" s="168">
        <f t="shared" si="8"/>
        <v>0</v>
      </c>
      <c r="AB366" s="168">
        <f t="shared" si="9"/>
        <v>0</v>
      </c>
    </row>
    <row r="367" ht="14.25" customHeight="1">
      <c r="A367" s="157">
        <v>1068.0</v>
      </c>
      <c r="B367" s="169"/>
      <c r="C367" s="169"/>
      <c r="D367" s="159"/>
      <c r="E367" s="157"/>
      <c r="F367" s="160"/>
      <c r="G367" s="160"/>
      <c r="H367" s="160">
        <f t="shared" si="23"/>
        <v>0</v>
      </c>
      <c r="I367" s="172"/>
      <c r="J367" s="169"/>
      <c r="K367" s="172"/>
      <c r="L367" s="172">
        <f>+'FACUS$'!$H367-'FACUS$'!$I367-'FACUS$'!$K367</f>
        <v>0</v>
      </c>
      <c r="M367" s="157"/>
      <c r="N367" s="162" t="s">
        <v>127</v>
      </c>
      <c r="O367" s="332"/>
      <c r="P367" s="164" t="str">
        <f t="array" ref="P367">XLOOKUP('FACUS$'!$B367,'perfil de pagos'!$A$4:$A$46,'perfil de pagos'!$C$4:$C$46+'FACUS$'!$D367)</f>
        <v>#N/A</v>
      </c>
      <c r="Q367" s="165" t="str">
        <f t="shared" si="2"/>
        <v>N/A</v>
      </c>
      <c r="R367" s="171"/>
      <c r="S367" s="171"/>
      <c r="T367" s="171"/>
      <c r="U367" s="333" t="s">
        <v>7271</v>
      </c>
      <c r="V367" s="168">
        <f t="shared" si="3"/>
        <v>0</v>
      </c>
      <c r="W367" s="168">
        <f t="shared" si="4"/>
        <v>0</v>
      </c>
      <c r="X367" s="168">
        <f t="shared" si="5"/>
        <v>0</v>
      </c>
      <c r="Y367" s="168">
        <f t="shared" si="6"/>
        <v>0</v>
      </c>
      <c r="Z367" s="168">
        <f t="shared" si="7"/>
        <v>0</v>
      </c>
      <c r="AA367" s="168">
        <f t="shared" si="8"/>
        <v>0</v>
      </c>
      <c r="AB367" s="168">
        <f t="shared" si="9"/>
        <v>0</v>
      </c>
    </row>
    <row r="368" ht="14.25" customHeight="1">
      <c r="A368" s="157">
        <v>1070.0</v>
      </c>
      <c r="B368" s="169" t="s">
        <v>82</v>
      </c>
      <c r="C368" s="169" t="s">
        <v>7364</v>
      </c>
      <c r="D368" s="159">
        <v>43159.0</v>
      </c>
      <c r="E368" s="157" t="s">
        <v>2</v>
      </c>
      <c r="F368" s="160">
        <v>14602.25</v>
      </c>
      <c r="G368" s="160">
        <v>2336.36</v>
      </c>
      <c r="H368" s="179">
        <f t="shared" si="23"/>
        <v>16938.61</v>
      </c>
      <c r="I368" s="173"/>
      <c r="J368" s="170"/>
      <c r="K368" s="173"/>
      <c r="L368" s="173">
        <f>+'FACUS$'!$H368-'FACUS$'!$I368-'FACUS$'!$K368</f>
        <v>16938.61</v>
      </c>
      <c r="M368" s="157" t="s">
        <v>714</v>
      </c>
      <c r="N368" s="162" t="s">
        <v>554</v>
      </c>
      <c r="O368" s="332">
        <v>43159.0</v>
      </c>
      <c r="P368" s="164" t="str">
        <f t="array" ref="P368">XLOOKUP('FACUS$'!$B368,'perfil de pagos'!$A$4:$A$46,'perfil de pagos'!$C$4:$C$46+'FACUS$'!$D368)</f>
        <v>#N/A</v>
      </c>
      <c r="Q368" s="165">
        <f t="shared" si="2"/>
        <v>0</v>
      </c>
      <c r="R368" s="171"/>
      <c r="S368" s="171"/>
      <c r="T368" s="171"/>
      <c r="U368" s="333" t="s">
        <v>7271</v>
      </c>
      <c r="V368" s="168">
        <f t="shared" si="3"/>
        <v>16938.61</v>
      </c>
      <c r="W368" s="168">
        <f t="shared" si="4"/>
        <v>0</v>
      </c>
      <c r="X368" s="168">
        <f t="shared" si="5"/>
        <v>0</v>
      </c>
      <c r="Y368" s="168">
        <f t="shared" si="6"/>
        <v>0</v>
      </c>
      <c r="Z368" s="168">
        <f t="shared" si="7"/>
        <v>0</v>
      </c>
      <c r="AA368" s="168">
        <f t="shared" si="8"/>
        <v>0</v>
      </c>
      <c r="AB368" s="168">
        <f t="shared" si="9"/>
        <v>0</v>
      </c>
    </row>
    <row r="369" ht="14.25" customHeight="1">
      <c r="A369" s="157">
        <v>1072.0</v>
      </c>
      <c r="B369" s="169" t="s">
        <v>43</v>
      </c>
      <c r="C369" s="169" t="s">
        <v>724</v>
      </c>
      <c r="D369" s="159">
        <v>43159.0</v>
      </c>
      <c r="E369" s="157" t="s">
        <v>2</v>
      </c>
      <c r="F369" s="160">
        <v>36455.34</v>
      </c>
      <c r="G369" s="160">
        <v>5832.85</v>
      </c>
      <c r="H369" s="160">
        <f t="shared" si="23"/>
        <v>42288.19</v>
      </c>
      <c r="I369" s="172"/>
      <c r="J369" s="169"/>
      <c r="K369" s="172"/>
      <c r="L369" s="172">
        <f>+'FACUS$'!$H369-'FACUS$'!$I369-'FACUS$'!$K369</f>
        <v>42288.19</v>
      </c>
      <c r="M369" s="157" t="s">
        <v>43</v>
      </c>
      <c r="N369" s="162" t="s">
        <v>554</v>
      </c>
      <c r="O369" s="332">
        <v>43167.0</v>
      </c>
      <c r="P369" s="164">
        <f t="array" ref="P369">XLOOKUP('FACUS$'!$B369,'perfil de pagos'!$A$4:$A$46,'perfil de pagos'!$C$4:$C$46+'FACUS$'!$D369)</f>
        <v>43184</v>
      </c>
      <c r="Q369" s="165">
        <f t="shared" si="2"/>
        <v>0</v>
      </c>
      <c r="R369" s="171"/>
      <c r="S369" s="171"/>
      <c r="T369" s="171"/>
      <c r="U369" s="333" t="s">
        <v>7271</v>
      </c>
      <c r="V369" s="168">
        <f t="shared" si="3"/>
        <v>42288.19</v>
      </c>
      <c r="W369" s="168">
        <f t="shared" si="4"/>
        <v>0</v>
      </c>
      <c r="X369" s="168">
        <f t="shared" si="5"/>
        <v>0</v>
      </c>
      <c r="Y369" s="168">
        <f t="shared" si="6"/>
        <v>0</v>
      </c>
      <c r="Z369" s="168">
        <f t="shared" si="7"/>
        <v>0</v>
      </c>
      <c r="AA369" s="168">
        <f t="shared" si="8"/>
        <v>0</v>
      </c>
      <c r="AB369" s="168">
        <f t="shared" si="9"/>
        <v>0</v>
      </c>
    </row>
    <row r="370" ht="14.25" customHeight="1">
      <c r="A370" s="210">
        <v>1075.0</v>
      </c>
      <c r="B370" s="169" t="s">
        <v>82</v>
      </c>
      <c r="C370" s="169" t="s">
        <v>7365</v>
      </c>
      <c r="D370" s="159">
        <v>43159.0</v>
      </c>
      <c r="E370" s="157" t="s">
        <v>2</v>
      </c>
      <c r="F370" s="160">
        <v>2500.0</v>
      </c>
      <c r="G370" s="160">
        <v>400.0</v>
      </c>
      <c r="H370" s="160">
        <f t="shared" si="23"/>
        <v>2900</v>
      </c>
      <c r="I370" s="172"/>
      <c r="J370" s="169"/>
      <c r="K370" s="172"/>
      <c r="L370" s="172">
        <f>+'FACUS$'!$H370-'FACUS$'!$I370-'FACUS$'!$K370</f>
        <v>2900</v>
      </c>
      <c r="M370" s="157" t="s">
        <v>714</v>
      </c>
      <c r="N370" s="157" t="s">
        <v>7350</v>
      </c>
      <c r="O370" s="332"/>
      <c r="P370" s="164" t="str">
        <f t="array" ref="P370">XLOOKUP('FACUS$'!$B370,'perfil de pagos'!$A$4:$A$46,'perfil de pagos'!$C$4:$C$46+'FACUS$'!$D370)</f>
        <v>#N/A</v>
      </c>
      <c r="Q370" s="165" t="b">
        <f t="shared" si="2"/>
        <v>0</v>
      </c>
      <c r="R370" s="171"/>
      <c r="S370" s="171"/>
      <c r="T370" s="171"/>
      <c r="U370" s="333" t="s">
        <v>7271</v>
      </c>
      <c r="V370" s="168">
        <f t="shared" si="3"/>
        <v>0</v>
      </c>
      <c r="W370" s="168">
        <f t="shared" si="4"/>
        <v>0</v>
      </c>
      <c r="X370" s="168">
        <f t="shared" si="5"/>
        <v>0</v>
      </c>
      <c r="Y370" s="168">
        <f t="shared" si="6"/>
        <v>0</v>
      </c>
      <c r="Z370" s="168">
        <f t="shared" si="7"/>
        <v>0</v>
      </c>
      <c r="AA370" s="168">
        <f t="shared" si="8"/>
        <v>0</v>
      </c>
      <c r="AB370" s="168">
        <f t="shared" si="9"/>
        <v>2900</v>
      </c>
    </row>
    <row r="371" ht="14.25" customHeight="1">
      <c r="A371" s="210">
        <v>1076.0</v>
      </c>
      <c r="B371" s="169" t="s">
        <v>82</v>
      </c>
      <c r="C371" s="169" t="s">
        <v>7366</v>
      </c>
      <c r="D371" s="159">
        <v>43159.0</v>
      </c>
      <c r="E371" s="157" t="s">
        <v>2</v>
      </c>
      <c r="F371" s="160">
        <v>2500.0</v>
      </c>
      <c r="G371" s="160">
        <v>400.0</v>
      </c>
      <c r="H371" s="160">
        <f t="shared" si="23"/>
        <v>2900</v>
      </c>
      <c r="I371" s="172"/>
      <c r="J371" s="169"/>
      <c r="K371" s="172"/>
      <c r="L371" s="172">
        <f>+'FACUS$'!$H371-'FACUS$'!$I371-'FACUS$'!$K371</f>
        <v>2900</v>
      </c>
      <c r="M371" s="157" t="s">
        <v>714</v>
      </c>
      <c r="N371" s="162" t="s">
        <v>554</v>
      </c>
      <c r="O371" s="332">
        <v>43433.0</v>
      </c>
      <c r="P371" s="164" t="str">
        <f t="array" ref="P371">XLOOKUP('FACUS$'!$B371,'perfil de pagos'!$A$4:$A$46,'perfil de pagos'!$C$4:$C$46+'FACUS$'!$D371)</f>
        <v>#N/A</v>
      </c>
      <c r="Q371" s="165">
        <f t="shared" si="2"/>
        <v>0</v>
      </c>
      <c r="R371" s="171"/>
      <c r="S371" s="171"/>
      <c r="T371" s="171"/>
      <c r="U371" s="333" t="s">
        <v>7271</v>
      </c>
      <c r="V371" s="168">
        <f t="shared" si="3"/>
        <v>2900</v>
      </c>
      <c r="W371" s="168">
        <f t="shared" si="4"/>
        <v>0</v>
      </c>
      <c r="X371" s="168">
        <f t="shared" si="5"/>
        <v>0</v>
      </c>
      <c r="Y371" s="168">
        <f t="shared" si="6"/>
        <v>0</v>
      </c>
      <c r="Z371" s="168">
        <f t="shared" si="7"/>
        <v>0</v>
      </c>
      <c r="AA371" s="168">
        <f t="shared" si="8"/>
        <v>0</v>
      </c>
      <c r="AB371" s="168">
        <f t="shared" si="9"/>
        <v>0</v>
      </c>
    </row>
    <row r="372" ht="14.25" customHeight="1">
      <c r="A372" s="210">
        <v>1077.0</v>
      </c>
      <c r="B372" s="169" t="s">
        <v>82</v>
      </c>
      <c r="C372" s="169" t="s">
        <v>7367</v>
      </c>
      <c r="D372" s="159">
        <v>43159.0</v>
      </c>
      <c r="E372" s="157" t="s">
        <v>2</v>
      </c>
      <c r="F372" s="160">
        <v>2500.0</v>
      </c>
      <c r="G372" s="160">
        <v>400.0</v>
      </c>
      <c r="H372" s="160">
        <f t="shared" si="23"/>
        <v>2900</v>
      </c>
      <c r="I372" s="172"/>
      <c r="J372" s="169"/>
      <c r="K372" s="172"/>
      <c r="L372" s="172">
        <f>+'FACUS$'!$H372-'FACUS$'!$I372-'FACUS$'!$K372</f>
        <v>2900</v>
      </c>
      <c r="M372" s="157" t="s">
        <v>714</v>
      </c>
      <c r="N372" s="162" t="s">
        <v>554</v>
      </c>
      <c r="O372" s="332">
        <v>43433.0</v>
      </c>
      <c r="P372" s="164" t="str">
        <f t="array" ref="P372">XLOOKUP('FACUS$'!$B372,'perfil de pagos'!$A$4:$A$46,'perfil de pagos'!$C$4:$C$46+'FACUS$'!$D372)</f>
        <v>#N/A</v>
      </c>
      <c r="Q372" s="165">
        <f t="shared" si="2"/>
        <v>0</v>
      </c>
      <c r="R372" s="171"/>
      <c r="S372" s="171"/>
      <c r="T372" s="171"/>
      <c r="U372" s="333" t="s">
        <v>7271</v>
      </c>
      <c r="V372" s="168">
        <f t="shared" si="3"/>
        <v>2900</v>
      </c>
      <c r="W372" s="168">
        <f t="shared" si="4"/>
        <v>0</v>
      </c>
      <c r="X372" s="168">
        <f t="shared" si="5"/>
        <v>0</v>
      </c>
      <c r="Y372" s="168">
        <f t="shared" si="6"/>
        <v>0</v>
      </c>
      <c r="Z372" s="168">
        <f t="shared" si="7"/>
        <v>0</v>
      </c>
      <c r="AA372" s="168">
        <f t="shared" si="8"/>
        <v>0</v>
      </c>
      <c r="AB372" s="168">
        <f t="shared" si="9"/>
        <v>0</v>
      </c>
    </row>
    <row r="373" ht="14.25" customHeight="1">
      <c r="A373" s="210">
        <v>1078.0</v>
      </c>
      <c r="B373" s="169" t="s">
        <v>82</v>
      </c>
      <c r="C373" s="169" t="s">
        <v>7368</v>
      </c>
      <c r="D373" s="159">
        <v>43159.0</v>
      </c>
      <c r="E373" s="157" t="s">
        <v>2</v>
      </c>
      <c r="F373" s="160">
        <v>2500.0</v>
      </c>
      <c r="G373" s="160">
        <v>400.0</v>
      </c>
      <c r="H373" s="160">
        <f t="shared" si="23"/>
        <v>2900</v>
      </c>
      <c r="I373" s="172"/>
      <c r="J373" s="169"/>
      <c r="K373" s="172"/>
      <c r="L373" s="172">
        <f>+'FACUS$'!$H373-'FACUS$'!$I373-'FACUS$'!$K373</f>
        <v>2900</v>
      </c>
      <c r="M373" s="157" t="s">
        <v>714</v>
      </c>
      <c r="N373" s="162" t="s">
        <v>554</v>
      </c>
      <c r="O373" s="332">
        <v>43433.0</v>
      </c>
      <c r="P373" s="164" t="str">
        <f t="array" ref="P373">XLOOKUP('FACUS$'!$B373,'perfil de pagos'!$A$4:$A$46,'perfil de pagos'!$C$4:$C$46+'FACUS$'!$D373)</f>
        <v>#N/A</v>
      </c>
      <c r="Q373" s="165">
        <f t="shared" si="2"/>
        <v>0</v>
      </c>
      <c r="R373" s="171"/>
      <c r="S373" s="171"/>
      <c r="T373" s="171"/>
      <c r="U373" s="333" t="s">
        <v>7271</v>
      </c>
      <c r="V373" s="168">
        <f t="shared" si="3"/>
        <v>2900</v>
      </c>
      <c r="W373" s="168">
        <f t="shared" si="4"/>
        <v>0</v>
      </c>
      <c r="X373" s="168">
        <f t="shared" si="5"/>
        <v>0</v>
      </c>
      <c r="Y373" s="168">
        <f t="shared" si="6"/>
        <v>0</v>
      </c>
      <c r="Z373" s="168">
        <f t="shared" si="7"/>
        <v>0</v>
      </c>
      <c r="AA373" s="168">
        <f t="shared" si="8"/>
        <v>0</v>
      </c>
      <c r="AB373" s="168">
        <f t="shared" si="9"/>
        <v>0</v>
      </c>
    </row>
    <row r="374" ht="14.25" customHeight="1">
      <c r="A374" s="157">
        <v>1080.0</v>
      </c>
      <c r="B374" s="169" t="s">
        <v>43</v>
      </c>
      <c r="C374" s="169" t="s">
        <v>724</v>
      </c>
      <c r="D374" s="159">
        <v>43146.0</v>
      </c>
      <c r="E374" s="157" t="s">
        <v>2</v>
      </c>
      <c r="F374" s="160">
        <v>19945.92</v>
      </c>
      <c r="G374" s="160">
        <v>3191.35</v>
      </c>
      <c r="H374" s="160">
        <f t="shared" si="23"/>
        <v>23137.27</v>
      </c>
      <c r="I374" s="172"/>
      <c r="J374" s="169"/>
      <c r="K374" s="172"/>
      <c r="L374" s="172">
        <f>+'FACUS$'!$H374-'FACUS$'!$I374-'FACUS$'!$K374</f>
        <v>23137.27</v>
      </c>
      <c r="M374" s="157" t="s">
        <v>43</v>
      </c>
      <c r="N374" s="162" t="s">
        <v>554</v>
      </c>
      <c r="O374" s="332">
        <v>43174.0</v>
      </c>
      <c r="P374" s="164">
        <f t="array" ref="P374">XLOOKUP('FACUS$'!$B374,'perfil de pagos'!$A$4:$A$46,'perfil de pagos'!$C$4:$C$46+'FACUS$'!$D374)</f>
        <v>43171</v>
      </c>
      <c r="Q374" s="165">
        <f t="shared" si="2"/>
        <v>0</v>
      </c>
      <c r="R374" s="171"/>
      <c r="S374" s="171"/>
      <c r="T374" s="171"/>
      <c r="U374" s="333" t="s">
        <v>7271</v>
      </c>
      <c r="V374" s="168">
        <f t="shared" si="3"/>
        <v>23137.27</v>
      </c>
      <c r="W374" s="168">
        <f t="shared" si="4"/>
        <v>0</v>
      </c>
      <c r="X374" s="168">
        <f t="shared" si="5"/>
        <v>0</v>
      </c>
      <c r="Y374" s="168">
        <f t="shared" si="6"/>
        <v>0</v>
      </c>
      <c r="Z374" s="168">
        <f t="shared" si="7"/>
        <v>0</v>
      </c>
      <c r="AA374" s="168">
        <f t="shared" si="8"/>
        <v>0</v>
      </c>
      <c r="AB374" s="168">
        <f t="shared" si="9"/>
        <v>0</v>
      </c>
    </row>
    <row r="375" ht="14.25" customHeight="1">
      <c r="A375" s="157">
        <v>1082.0</v>
      </c>
      <c r="B375" s="169" t="s">
        <v>720</v>
      </c>
      <c r="C375" s="169" t="s">
        <v>724</v>
      </c>
      <c r="D375" s="159">
        <v>43146.0</v>
      </c>
      <c r="E375" s="157" t="s">
        <v>2</v>
      </c>
      <c r="F375" s="160">
        <v>58644.07</v>
      </c>
      <c r="G375" s="160">
        <v>9383.05</v>
      </c>
      <c r="H375" s="160">
        <f t="shared" si="23"/>
        <v>68027.12</v>
      </c>
      <c r="I375" s="172"/>
      <c r="J375" s="169"/>
      <c r="K375" s="172"/>
      <c r="L375" s="172">
        <f>+'FACUS$'!$H375-'FACUS$'!$I375-'FACUS$'!$K375</f>
        <v>68027.12</v>
      </c>
      <c r="M375" s="157" t="s">
        <v>777</v>
      </c>
      <c r="N375" s="162" t="s">
        <v>554</v>
      </c>
      <c r="O375" s="332">
        <v>43194.0</v>
      </c>
      <c r="P375" s="164" t="str">
        <f t="array" ref="P375">XLOOKUP('FACUS$'!$B375,'perfil de pagos'!$A$4:$A$46,'perfil de pagos'!$C$4:$C$46+'FACUS$'!$D375)</f>
        <v>#N/A</v>
      </c>
      <c r="Q375" s="165">
        <f t="shared" si="2"/>
        <v>0</v>
      </c>
      <c r="R375" s="171"/>
      <c r="S375" s="171"/>
      <c r="T375" s="171"/>
      <c r="U375" s="333" t="s">
        <v>7271</v>
      </c>
      <c r="V375" s="168">
        <f t="shared" si="3"/>
        <v>68027.12</v>
      </c>
      <c r="W375" s="168">
        <f t="shared" si="4"/>
        <v>0</v>
      </c>
      <c r="X375" s="168">
        <f t="shared" si="5"/>
        <v>0</v>
      </c>
      <c r="Y375" s="168">
        <f t="shared" si="6"/>
        <v>0</v>
      </c>
      <c r="Z375" s="168">
        <f t="shared" si="7"/>
        <v>0</v>
      </c>
      <c r="AA375" s="168">
        <f t="shared" si="8"/>
        <v>0</v>
      </c>
      <c r="AB375" s="168">
        <f t="shared" si="9"/>
        <v>0</v>
      </c>
    </row>
    <row r="376" ht="14.25" customHeight="1">
      <c r="A376" s="157">
        <v>1087.0</v>
      </c>
      <c r="B376" s="169" t="s">
        <v>20</v>
      </c>
      <c r="C376" s="169" t="s">
        <v>724</v>
      </c>
      <c r="D376" s="159">
        <v>43146.0</v>
      </c>
      <c r="E376" s="157" t="s">
        <v>2</v>
      </c>
      <c r="F376" s="160">
        <v>11734.2</v>
      </c>
      <c r="G376" s="160">
        <v>1877.47</v>
      </c>
      <c r="H376" s="160">
        <f t="shared" si="23"/>
        <v>13611.67</v>
      </c>
      <c r="I376" s="172"/>
      <c r="J376" s="169"/>
      <c r="K376" s="172"/>
      <c r="L376" s="172">
        <f>+'FACUS$'!$H376-'FACUS$'!$I376-'FACUS$'!$K376</f>
        <v>13611.67</v>
      </c>
      <c r="M376" s="157" t="s">
        <v>732</v>
      </c>
      <c r="N376" s="162" t="s">
        <v>554</v>
      </c>
      <c r="O376" s="332">
        <v>43173.0</v>
      </c>
      <c r="P376" s="164">
        <f t="array" ref="P376">XLOOKUP('FACUS$'!$B376,'perfil de pagos'!$A$4:$A$46,'perfil de pagos'!$C$4:$C$46+'FACUS$'!$D376)</f>
        <v>43156</v>
      </c>
      <c r="Q376" s="165">
        <f t="shared" si="2"/>
        <v>0</v>
      </c>
      <c r="R376" s="171"/>
      <c r="S376" s="171"/>
      <c r="T376" s="171"/>
      <c r="U376" s="333" t="s">
        <v>7271</v>
      </c>
      <c r="V376" s="168">
        <f t="shared" si="3"/>
        <v>13611.67</v>
      </c>
      <c r="W376" s="168">
        <f t="shared" si="4"/>
        <v>0</v>
      </c>
      <c r="X376" s="168">
        <f t="shared" si="5"/>
        <v>0</v>
      </c>
      <c r="Y376" s="168">
        <f t="shared" si="6"/>
        <v>0</v>
      </c>
      <c r="Z376" s="168">
        <f t="shared" si="7"/>
        <v>0</v>
      </c>
      <c r="AA376" s="168">
        <f t="shared" si="8"/>
        <v>0</v>
      </c>
      <c r="AB376" s="168">
        <f t="shared" si="9"/>
        <v>0</v>
      </c>
    </row>
    <row r="377" ht="14.25" customHeight="1">
      <c r="A377" s="157">
        <v>1088.0</v>
      </c>
      <c r="B377" s="169" t="s">
        <v>18</v>
      </c>
      <c r="C377" s="169" t="s">
        <v>724</v>
      </c>
      <c r="D377" s="159">
        <v>43146.0</v>
      </c>
      <c r="E377" s="157" t="s">
        <v>2</v>
      </c>
      <c r="F377" s="160">
        <v>7918.2</v>
      </c>
      <c r="G377" s="160">
        <v>1266.91</v>
      </c>
      <c r="H377" s="160">
        <f t="shared" si="23"/>
        <v>9185.11</v>
      </c>
      <c r="I377" s="172"/>
      <c r="J377" s="169"/>
      <c r="K377" s="172"/>
      <c r="L377" s="172">
        <f>+'FACUS$'!$H377-'FACUS$'!$I377-'FACUS$'!$K377</f>
        <v>9185.11</v>
      </c>
      <c r="M377" s="157" t="s">
        <v>586</v>
      </c>
      <c r="N377" s="162" t="s">
        <v>554</v>
      </c>
      <c r="O377" s="332">
        <v>43173.0</v>
      </c>
      <c r="P377" s="164">
        <f t="array" ref="P377">XLOOKUP('FACUS$'!$B377,'perfil de pagos'!$A$4:$A$46,'perfil de pagos'!$C$4:$C$46+'FACUS$'!$D377)</f>
        <v>43156</v>
      </c>
      <c r="Q377" s="165">
        <f t="shared" si="2"/>
        <v>0</v>
      </c>
      <c r="R377" s="171"/>
      <c r="S377" s="171"/>
      <c r="T377" s="171"/>
      <c r="U377" s="333" t="s">
        <v>7271</v>
      </c>
      <c r="V377" s="168">
        <f t="shared" si="3"/>
        <v>9185.11</v>
      </c>
      <c r="W377" s="168">
        <f t="shared" si="4"/>
        <v>0</v>
      </c>
      <c r="X377" s="168">
        <f t="shared" si="5"/>
        <v>0</v>
      </c>
      <c r="Y377" s="168">
        <f t="shared" si="6"/>
        <v>0</v>
      </c>
      <c r="Z377" s="168">
        <f t="shared" si="7"/>
        <v>0</v>
      </c>
      <c r="AA377" s="168">
        <f t="shared" si="8"/>
        <v>0</v>
      </c>
      <c r="AB377" s="168">
        <f t="shared" si="9"/>
        <v>0</v>
      </c>
    </row>
    <row r="378" ht="14.25" customHeight="1">
      <c r="A378" s="157">
        <v>1093.0</v>
      </c>
      <c r="B378" s="169" t="s">
        <v>722</v>
      </c>
      <c r="C378" s="169" t="s">
        <v>724</v>
      </c>
      <c r="D378" s="159">
        <v>43145.0</v>
      </c>
      <c r="E378" s="157" t="s">
        <v>2</v>
      </c>
      <c r="F378" s="160">
        <v>82356.45</v>
      </c>
      <c r="G378" s="160">
        <v>13177.03</v>
      </c>
      <c r="H378" s="179">
        <f t="shared" si="23"/>
        <v>95533.48</v>
      </c>
      <c r="I378" s="173"/>
      <c r="J378" s="170"/>
      <c r="K378" s="173"/>
      <c r="L378" s="173">
        <f>+'FACUS$'!$H378-'FACUS$'!$I378-'FACUS$'!$K378</f>
        <v>95533.48</v>
      </c>
      <c r="M378" s="157" t="s">
        <v>93</v>
      </c>
      <c r="N378" s="162" t="s">
        <v>127</v>
      </c>
      <c r="O378" s="332"/>
      <c r="P378" s="164" t="str">
        <f t="array" ref="P378">XLOOKUP('FACUS$'!$B378,'perfil de pagos'!$A$4:$A$46,'perfil de pagos'!$C$4:$C$46+'FACUS$'!$D378)</f>
        <v>#N/A</v>
      </c>
      <c r="Q378" s="165" t="str">
        <f t="shared" si="2"/>
        <v>N/A</v>
      </c>
      <c r="R378" s="171"/>
      <c r="S378" s="171"/>
      <c r="T378" s="171"/>
      <c r="U378" s="333" t="s">
        <v>7271</v>
      </c>
      <c r="V378" s="168">
        <f t="shared" si="3"/>
        <v>0</v>
      </c>
      <c r="W378" s="168">
        <f t="shared" si="4"/>
        <v>0</v>
      </c>
      <c r="X378" s="168">
        <f t="shared" si="5"/>
        <v>0</v>
      </c>
      <c r="Y378" s="168">
        <f t="shared" si="6"/>
        <v>0</v>
      </c>
      <c r="Z378" s="168">
        <f t="shared" si="7"/>
        <v>0</v>
      </c>
      <c r="AA378" s="168">
        <f t="shared" si="8"/>
        <v>0</v>
      </c>
      <c r="AB378" s="168">
        <f t="shared" si="9"/>
        <v>95533.48</v>
      </c>
    </row>
    <row r="379" ht="14.25" customHeight="1">
      <c r="A379" s="157">
        <v>1094.0</v>
      </c>
      <c r="B379" s="169" t="s">
        <v>37</v>
      </c>
      <c r="C379" s="169" t="s">
        <v>724</v>
      </c>
      <c r="D379" s="159">
        <v>43145.0</v>
      </c>
      <c r="E379" s="157" t="s">
        <v>2</v>
      </c>
      <c r="F379" s="160">
        <v>82356.45</v>
      </c>
      <c r="G379" s="160">
        <v>13177.03</v>
      </c>
      <c r="H379" s="160">
        <f t="shared" si="23"/>
        <v>95533.48</v>
      </c>
      <c r="I379" s="172"/>
      <c r="J379" s="169"/>
      <c r="K379" s="172"/>
      <c r="L379" s="172">
        <f>+'FACUS$'!$H379-'FACUS$'!$I379-'FACUS$'!$K379</f>
        <v>95533.48</v>
      </c>
      <c r="M379" s="157" t="s">
        <v>718</v>
      </c>
      <c r="N379" s="162" t="s">
        <v>554</v>
      </c>
      <c r="O379" s="332">
        <v>43200.0</v>
      </c>
      <c r="P379" s="164">
        <f t="array" ref="P379">XLOOKUP('FACUS$'!$B379,'perfil de pagos'!$A$4:$A$46,'perfil de pagos'!$C$4:$C$46+'FACUS$'!$D379)</f>
        <v>43155</v>
      </c>
      <c r="Q379" s="165">
        <f t="shared" si="2"/>
        <v>0</v>
      </c>
      <c r="R379" s="171"/>
      <c r="S379" s="171"/>
      <c r="T379" s="171"/>
      <c r="U379" s="333" t="s">
        <v>7271</v>
      </c>
      <c r="V379" s="168">
        <f t="shared" si="3"/>
        <v>95533.48</v>
      </c>
      <c r="W379" s="168">
        <f t="shared" si="4"/>
        <v>0</v>
      </c>
      <c r="X379" s="168">
        <f t="shared" si="5"/>
        <v>0</v>
      </c>
      <c r="Y379" s="168">
        <f t="shared" si="6"/>
        <v>0</v>
      </c>
      <c r="Z379" s="168">
        <f t="shared" si="7"/>
        <v>0</v>
      </c>
      <c r="AA379" s="168">
        <f t="shared" si="8"/>
        <v>0</v>
      </c>
      <c r="AB379" s="168">
        <f t="shared" si="9"/>
        <v>0</v>
      </c>
    </row>
    <row r="380" ht="14.25" customHeight="1">
      <c r="A380" s="157">
        <v>1095.0</v>
      </c>
      <c r="B380" s="169" t="s">
        <v>29</v>
      </c>
      <c r="C380" s="169" t="s">
        <v>724</v>
      </c>
      <c r="D380" s="159">
        <v>43132.0</v>
      </c>
      <c r="E380" s="157" t="s">
        <v>2</v>
      </c>
      <c r="F380" s="160">
        <v>10521.0</v>
      </c>
      <c r="G380" s="160">
        <v>1683.36</v>
      </c>
      <c r="H380" s="160">
        <f t="shared" si="23"/>
        <v>12204.36</v>
      </c>
      <c r="I380" s="172"/>
      <c r="J380" s="169"/>
      <c r="K380" s="172"/>
      <c r="L380" s="172">
        <f>+'FACUS$'!$H380-'FACUS$'!$I380-'FACUS$'!$K380</f>
        <v>12204.36</v>
      </c>
      <c r="M380" s="157" t="s">
        <v>825</v>
      </c>
      <c r="N380" s="162" t="s">
        <v>554</v>
      </c>
      <c r="O380" s="332">
        <v>43187.0</v>
      </c>
      <c r="P380" s="164">
        <f t="array" ref="P380">XLOOKUP('FACUS$'!$B380,'perfil de pagos'!$A$4:$A$46,'perfil de pagos'!$C$4:$C$46+'FACUS$'!$D380)</f>
        <v>43142</v>
      </c>
      <c r="Q380" s="165">
        <f t="shared" si="2"/>
        <v>0</v>
      </c>
      <c r="R380" s="171"/>
      <c r="S380" s="171"/>
      <c r="T380" s="171"/>
      <c r="U380" s="333" t="s">
        <v>7271</v>
      </c>
      <c r="V380" s="168">
        <f t="shared" si="3"/>
        <v>12204.36</v>
      </c>
      <c r="W380" s="168">
        <f t="shared" si="4"/>
        <v>0</v>
      </c>
      <c r="X380" s="168">
        <f t="shared" si="5"/>
        <v>0</v>
      </c>
      <c r="Y380" s="168">
        <f t="shared" si="6"/>
        <v>0</v>
      </c>
      <c r="Z380" s="168">
        <f t="shared" si="7"/>
        <v>0</v>
      </c>
      <c r="AA380" s="168">
        <f t="shared" si="8"/>
        <v>0</v>
      </c>
      <c r="AB380" s="168">
        <f t="shared" si="9"/>
        <v>0</v>
      </c>
    </row>
    <row r="381" ht="14.25" customHeight="1">
      <c r="A381" s="157">
        <v>1101.0</v>
      </c>
      <c r="B381" s="169" t="s">
        <v>720</v>
      </c>
      <c r="C381" s="169" t="s">
        <v>724</v>
      </c>
      <c r="D381" s="159">
        <v>43160.0</v>
      </c>
      <c r="E381" s="157" t="s">
        <v>2</v>
      </c>
      <c r="F381" s="160">
        <v>53582.4</v>
      </c>
      <c r="G381" s="160">
        <v>8573.18</v>
      </c>
      <c r="H381" s="160">
        <f t="shared" si="23"/>
        <v>62155.58</v>
      </c>
      <c r="I381" s="172"/>
      <c r="J381" s="169"/>
      <c r="K381" s="172"/>
      <c r="L381" s="172">
        <f>+'FACUS$'!$H381-'FACUS$'!$I381-'FACUS$'!$K381</f>
        <v>62155.58</v>
      </c>
      <c r="M381" s="157" t="s">
        <v>777</v>
      </c>
      <c r="N381" s="162" t="s">
        <v>554</v>
      </c>
      <c r="O381" s="332">
        <v>43194.0</v>
      </c>
      <c r="P381" s="164" t="str">
        <f t="array" ref="P381">XLOOKUP('FACUS$'!$B381,'perfil de pagos'!$A$4:$A$46,'perfil de pagos'!$C$4:$C$46+'FACUS$'!$D381)</f>
        <v>#N/A</v>
      </c>
      <c r="Q381" s="165">
        <f t="shared" si="2"/>
        <v>0</v>
      </c>
      <c r="R381" s="171"/>
      <c r="S381" s="171"/>
      <c r="T381" s="171"/>
      <c r="U381" s="333" t="s">
        <v>7271</v>
      </c>
      <c r="V381" s="168">
        <f t="shared" si="3"/>
        <v>62155.58</v>
      </c>
      <c r="W381" s="168">
        <f t="shared" si="4"/>
        <v>0</v>
      </c>
      <c r="X381" s="168">
        <f t="shared" si="5"/>
        <v>0</v>
      </c>
      <c r="Y381" s="168">
        <f t="shared" si="6"/>
        <v>0</v>
      </c>
      <c r="Z381" s="168">
        <f t="shared" si="7"/>
        <v>0</v>
      </c>
      <c r="AA381" s="168">
        <f t="shared" si="8"/>
        <v>0</v>
      </c>
      <c r="AB381" s="168">
        <f t="shared" si="9"/>
        <v>0</v>
      </c>
    </row>
    <row r="382" ht="14.25" customHeight="1">
      <c r="A382" s="157">
        <v>1103.0</v>
      </c>
      <c r="B382" s="169" t="s">
        <v>103</v>
      </c>
      <c r="C382" s="169" t="s">
        <v>724</v>
      </c>
      <c r="D382" s="159">
        <v>43160.0</v>
      </c>
      <c r="E382" s="157" t="s">
        <v>2</v>
      </c>
      <c r="F382" s="160">
        <v>20121.3</v>
      </c>
      <c r="G382" s="160">
        <v>3219.41</v>
      </c>
      <c r="H382" s="160">
        <f t="shared" si="23"/>
        <v>23340.71</v>
      </c>
      <c r="I382" s="172"/>
      <c r="J382" s="169"/>
      <c r="K382" s="172"/>
      <c r="L382" s="172">
        <f>+'FACUS$'!$H382-'FACUS$'!$I382-'FACUS$'!$K382</f>
        <v>23340.71</v>
      </c>
      <c r="M382" s="157" t="s">
        <v>43</v>
      </c>
      <c r="N382" s="162" t="s">
        <v>554</v>
      </c>
      <c r="O382" s="332">
        <v>43202.0</v>
      </c>
      <c r="P382" s="164" t="str">
        <f t="array" ref="P382">XLOOKUP('FACUS$'!$B382,'perfil de pagos'!$A$4:$A$46,'perfil de pagos'!$C$4:$C$46+'FACUS$'!$D382)</f>
        <v>#N/A</v>
      </c>
      <c r="Q382" s="165">
        <f t="shared" si="2"/>
        <v>0</v>
      </c>
      <c r="R382" s="171"/>
      <c r="S382" s="171"/>
      <c r="T382" s="171"/>
      <c r="U382" s="333" t="s">
        <v>7271</v>
      </c>
      <c r="V382" s="168">
        <f t="shared" si="3"/>
        <v>23340.71</v>
      </c>
      <c r="W382" s="168">
        <f t="shared" si="4"/>
        <v>0</v>
      </c>
      <c r="X382" s="168">
        <f t="shared" si="5"/>
        <v>0</v>
      </c>
      <c r="Y382" s="168">
        <f t="shared" si="6"/>
        <v>0</v>
      </c>
      <c r="Z382" s="168">
        <f t="shared" si="7"/>
        <v>0</v>
      </c>
      <c r="AA382" s="168">
        <f t="shared" si="8"/>
        <v>0</v>
      </c>
      <c r="AB382" s="168">
        <f t="shared" si="9"/>
        <v>0</v>
      </c>
    </row>
    <row r="383" ht="14.25" customHeight="1">
      <c r="A383" s="157">
        <v>1105.0</v>
      </c>
      <c r="B383" s="169" t="s">
        <v>37</v>
      </c>
      <c r="C383" s="169" t="s">
        <v>724</v>
      </c>
      <c r="D383" s="159">
        <v>43160.0</v>
      </c>
      <c r="E383" s="157" t="s">
        <v>2</v>
      </c>
      <c r="F383" s="160">
        <v>88282.37</v>
      </c>
      <c r="G383" s="160">
        <v>14125.18</v>
      </c>
      <c r="H383" s="160">
        <f t="shared" si="23"/>
        <v>102407.55</v>
      </c>
      <c r="I383" s="172"/>
      <c r="J383" s="169"/>
      <c r="K383" s="172"/>
      <c r="L383" s="172">
        <f>+'FACUS$'!$H383-'FACUS$'!$I383-'FACUS$'!$K383</f>
        <v>102407.55</v>
      </c>
      <c r="M383" s="157" t="s">
        <v>718</v>
      </c>
      <c r="N383" s="162" t="s">
        <v>554</v>
      </c>
      <c r="O383" s="332">
        <v>43207.0</v>
      </c>
      <c r="P383" s="164">
        <f t="array" ref="P383">XLOOKUP('FACUS$'!$B383,'perfil de pagos'!$A$4:$A$46,'perfil de pagos'!$C$4:$C$46+'FACUS$'!$D383)</f>
        <v>43170</v>
      </c>
      <c r="Q383" s="165">
        <f t="shared" si="2"/>
        <v>0</v>
      </c>
      <c r="R383" s="171"/>
      <c r="S383" s="171"/>
      <c r="T383" s="171"/>
      <c r="U383" s="333" t="s">
        <v>7271</v>
      </c>
      <c r="V383" s="168">
        <f t="shared" si="3"/>
        <v>102407.55</v>
      </c>
      <c r="W383" s="168">
        <f t="shared" si="4"/>
        <v>0</v>
      </c>
      <c r="X383" s="168">
        <f t="shared" si="5"/>
        <v>0</v>
      </c>
      <c r="Y383" s="168">
        <f t="shared" si="6"/>
        <v>0</v>
      </c>
      <c r="Z383" s="168">
        <f t="shared" si="7"/>
        <v>0</v>
      </c>
      <c r="AA383" s="168">
        <f t="shared" si="8"/>
        <v>0</v>
      </c>
      <c r="AB383" s="168">
        <f t="shared" si="9"/>
        <v>0</v>
      </c>
    </row>
    <row r="384" ht="14.25" customHeight="1">
      <c r="A384" s="157">
        <v>1106.0</v>
      </c>
      <c r="B384" s="169"/>
      <c r="C384" s="169"/>
      <c r="D384" s="159"/>
      <c r="E384" s="157"/>
      <c r="F384" s="160"/>
      <c r="G384" s="160"/>
      <c r="H384" s="160">
        <f t="shared" si="23"/>
        <v>0</v>
      </c>
      <c r="I384" s="172"/>
      <c r="J384" s="169"/>
      <c r="K384" s="172"/>
      <c r="L384" s="172">
        <f>+'FACUS$'!$H384-'FACUS$'!$I384-'FACUS$'!$K384</f>
        <v>0</v>
      </c>
      <c r="M384" s="157"/>
      <c r="N384" s="162" t="s">
        <v>127</v>
      </c>
      <c r="O384" s="332"/>
      <c r="P384" s="164" t="str">
        <f t="array" ref="P384">XLOOKUP('FACUS$'!$B384,'perfil de pagos'!$A$4:$A$46,'perfil de pagos'!$C$4:$C$46+'FACUS$'!$D384)</f>
        <v>#N/A</v>
      </c>
      <c r="Q384" s="165" t="str">
        <f t="shared" si="2"/>
        <v>N/A</v>
      </c>
      <c r="R384" s="171"/>
      <c r="S384" s="171"/>
      <c r="T384" s="171"/>
      <c r="U384" s="333" t="s">
        <v>7271</v>
      </c>
      <c r="V384" s="168">
        <f t="shared" si="3"/>
        <v>0</v>
      </c>
      <c r="W384" s="168">
        <f t="shared" si="4"/>
        <v>0</v>
      </c>
      <c r="X384" s="168">
        <f t="shared" si="5"/>
        <v>0</v>
      </c>
      <c r="Y384" s="168">
        <f t="shared" si="6"/>
        <v>0</v>
      </c>
      <c r="Z384" s="168">
        <f t="shared" si="7"/>
        <v>0</v>
      </c>
      <c r="AA384" s="168">
        <f t="shared" si="8"/>
        <v>0</v>
      </c>
      <c r="AB384" s="168">
        <f t="shared" si="9"/>
        <v>0</v>
      </c>
    </row>
    <row r="385" ht="14.25" customHeight="1">
      <c r="A385" s="157">
        <v>1107.0</v>
      </c>
      <c r="B385" s="169"/>
      <c r="C385" s="169"/>
      <c r="D385" s="159"/>
      <c r="E385" s="157"/>
      <c r="F385" s="160"/>
      <c r="G385" s="160"/>
      <c r="H385" s="160">
        <v>23340.71</v>
      </c>
      <c r="I385" s="172"/>
      <c r="J385" s="169"/>
      <c r="K385" s="172"/>
      <c r="L385" s="172">
        <f>+'FACUS$'!$H385-'FACUS$'!$I385-'FACUS$'!$K385</f>
        <v>23340.71</v>
      </c>
      <c r="M385" s="157"/>
      <c r="N385" s="162" t="s">
        <v>127</v>
      </c>
      <c r="O385" s="332"/>
      <c r="P385" s="164" t="str">
        <f t="array" ref="P385">XLOOKUP('FACUS$'!$B385,'perfil de pagos'!$A$4:$A$46,'perfil de pagos'!$C$4:$C$46+'FACUS$'!$D385)</f>
        <v>#N/A</v>
      </c>
      <c r="Q385" s="165" t="str">
        <f t="shared" si="2"/>
        <v>N/A</v>
      </c>
      <c r="R385" s="171"/>
      <c r="S385" s="171"/>
      <c r="T385" s="171"/>
      <c r="U385" s="333" t="s">
        <v>7271</v>
      </c>
      <c r="V385" s="168">
        <f t="shared" si="3"/>
        <v>0</v>
      </c>
      <c r="W385" s="168">
        <f t="shared" si="4"/>
        <v>0</v>
      </c>
      <c r="X385" s="168">
        <f t="shared" si="5"/>
        <v>0</v>
      </c>
      <c r="Y385" s="168">
        <f t="shared" si="6"/>
        <v>0</v>
      </c>
      <c r="Z385" s="168">
        <f t="shared" si="7"/>
        <v>0</v>
      </c>
      <c r="AA385" s="168">
        <f t="shared" si="8"/>
        <v>0</v>
      </c>
      <c r="AB385" s="168">
        <f t="shared" si="9"/>
        <v>23340.71</v>
      </c>
    </row>
    <row r="386" ht="14.25" customHeight="1">
      <c r="A386" s="157">
        <v>1108.0</v>
      </c>
      <c r="B386" s="169"/>
      <c r="C386" s="169"/>
      <c r="D386" s="159"/>
      <c r="E386" s="157"/>
      <c r="F386" s="160"/>
      <c r="G386" s="160"/>
      <c r="H386" s="160">
        <f t="shared" ref="H386:H401" si="24">F386+G386</f>
        <v>0</v>
      </c>
      <c r="I386" s="172"/>
      <c r="J386" s="169"/>
      <c r="K386" s="172"/>
      <c r="L386" s="172">
        <f>+'FACUS$'!$H386-'FACUS$'!$I386-'FACUS$'!$K386</f>
        <v>0</v>
      </c>
      <c r="M386" s="157"/>
      <c r="N386" s="162" t="s">
        <v>554</v>
      </c>
      <c r="O386" s="332">
        <v>43188.0</v>
      </c>
      <c r="P386" s="164" t="str">
        <f t="array" ref="P386">XLOOKUP('FACUS$'!$B386,'perfil de pagos'!$A$4:$A$46,'perfil de pagos'!$C$4:$C$46+'FACUS$'!$D386)</f>
        <v>#N/A</v>
      </c>
      <c r="Q386" s="165">
        <f t="shared" si="2"/>
        <v>0</v>
      </c>
      <c r="R386" s="171"/>
      <c r="S386" s="171"/>
      <c r="T386" s="171"/>
      <c r="U386" s="333" t="s">
        <v>7271</v>
      </c>
      <c r="V386" s="168">
        <f t="shared" si="3"/>
        <v>0</v>
      </c>
      <c r="W386" s="168">
        <f t="shared" si="4"/>
        <v>0</v>
      </c>
      <c r="X386" s="168">
        <f t="shared" si="5"/>
        <v>0</v>
      </c>
      <c r="Y386" s="168">
        <f t="shared" si="6"/>
        <v>0</v>
      </c>
      <c r="Z386" s="168">
        <f t="shared" si="7"/>
        <v>0</v>
      </c>
      <c r="AA386" s="168">
        <f t="shared" si="8"/>
        <v>0</v>
      </c>
      <c r="AB386" s="168">
        <f t="shared" si="9"/>
        <v>0</v>
      </c>
    </row>
    <row r="387" ht="14.25" customHeight="1">
      <c r="A387" s="157">
        <v>1109.0</v>
      </c>
      <c r="B387" s="169" t="s">
        <v>18</v>
      </c>
      <c r="C387" s="169" t="s">
        <v>724</v>
      </c>
      <c r="D387" s="159">
        <v>43160.0</v>
      </c>
      <c r="E387" s="157" t="s">
        <v>2</v>
      </c>
      <c r="F387" s="160">
        <v>9902.52</v>
      </c>
      <c r="G387" s="160">
        <v>1584.4</v>
      </c>
      <c r="H387" s="160">
        <f t="shared" si="24"/>
        <v>11486.92</v>
      </c>
      <c r="I387" s="172"/>
      <c r="J387" s="169"/>
      <c r="K387" s="172"/>
      <c r="L387" s="172">
        <f>+'FACUS$'!$H387-'FACUS$'!$I387-'FACUS$'!$K387</f>
        <v>11486.92</v>
      </c>
      <c r="M387" s="157" t="s">
        <v>586</v>
      </c>
      <c r="N387" s="162" t="s">
        <v>554</v>
      </c>
      <c r="O387" s="332">
        <v>43194.0</v>
      </c>
      <c r="P387" s="164">
        <f t="array" ref="P387">XLOOKUP('FACUS$'!$B387,'perfil de pagos'!$A$4:$A$46,'perfil de pagos'!$C$4:$C$46+'FACUS$'!$D387)</f>
        <v>43170</v>
      </c>
      <c r="Q387" s="165">
        <f t="shared" si="2"/>
        <v>0</v>
      </c>
      <c r="R387" s="171"/>
      <c r="S387" s="171"/>
      <c r="T387" s="171"/>
      <c r="U387" s="333" t="s">
        <v>7271</v>
      </c>
      <c r="V387" s="168">
        <f t="shared" si="3"/>
        <v>11486.92</v>
      </c>
      <c r="W387" s="168">
        <f t="shared" si="4"/>
        <v>0</v>
      </c>
      <c r="X387" s="168">
        <f t="shared" si="5"/>
        <v>0</v>
      </c>
      <c r="Y387" s="168">
        <f t="shared" si="6"/>
        <v>0</v>
      </c>
      <c r="Z387" s="168">
        <f t="shared" si="7"/>
        <v>0</v>
      </c>
      <c r="AA387" s="168">
        <f t="shared" si="8"/>
        <v>0</v>
      </c>
      <c r="AB387" s="168">
        <f t="shared" si="9"/>
        <v>0</v>
      </c>
    </row>
    <row r="388" ht="14.25" customHeight="1">
      <c r="A388" s="157">
        <v>1110.0</v>
      </c>
      <c r="B388" s="169"/>
      <c r="C388" s="169"/>
      <c r="D388" s="159"/>
      <c r="E388" s="157"/>
      <c r="F388" s="160"/>
      <c r="G388" s="160"/>
      <c r="H388" s="160">
        <f t="shared" si="24"/>
        <v>0</v>
      </c>
      <c r="I388" s="172"/>
      <c r="J388" s="169"/>
      <c r="K388" s="172"/>
      <c r="L388" s="172">
        <f>+'FACUS$'!$H388-'FACUS$'!$I388-'FACUS$'!$K388</f>
        <v>0</v>
      </c>
      <c r="M388" s="157"/>
      <c r="N388" s="162" t="s">
        <v>554</v>
      </c>
      <c r="O388" s="332">
        <v>43188.0</v>
      </c>
      <c r="P388" s="164" t="str">
        <f t="array" ref="P388">XLOOKUP('FACUS$'!$B388,'perfil de pagos'!$A$4:$A$46,'perfil de pagos'!$C$4:$C$46+'FACUS$'!$D388)</f>
        <v>#N/A</v>
      </c>
      <c r="Q388" s="165">
        <f t="shared" si="2"/>
        <v>0</v>
      </c>
      <c r="R388" s="171"/>
      <c r="S388" s="171"/>
      <c r="T388" s="171"/>
      <c r="U388" s="333" t="s">
        <v>7271</v>
      </c>
      <c r="V388" s="168">
        <f t="shared" si="3"/>
        <v>0</v>
      </c>
      <c r="W388" s="168">
        <f t="shared" si="4"/>
        <v>0</v>
      </c>
      <c r="X388" s="168">
        <f t="shared" si="5"/>
        <v>0</v>
      </c>
      <c r="Y388" s="168">
        <f t="shared" si="6"/>
        <v>0</v>
      </c>
      <c r="Z388" s="168">
        <f t="shared" si="7"/>
        <v>0</v>
      </c>
      <c r="AA388" s="168">
        <f t="shared" si="8"/>
        <v>0</v>
      </c>
      <c r="AB388" s="168">
        <f t="shared" si="9"/>
        <v>0</v>
      </c>
    </row>
    <row r="389" ht="14.25" customHeight="1">
      <c r="A389" s="157">
        <v>1111.0</v>
      </c>
      <c r="B389" s="169" t="s">
        <v>20</v>
      </c>
      <c r="C389" s="169" t="s">
        <v>724</v>
      </c>
      <c r="D389" s="159">
        <v>43160.0</v>
      </c>
      <c r="E389" s="157" t="s">
        <v>2</v>
      </c>
      <c r="F389" s="160">
        <v>11676.96</v>
      </c>
      <c r="G389" s="160">
        <v>1868.31</v>
      </c>
      <c r="H389" s="160">
        <f t="shared" si="24"/>
        <v>13545.27</v>
      </c>
      <c r="I389" s="172"/>
      <c r="J389" s="169"/>
      <c r="K389" s="172"/>
      <c r="L389" s="172">
        <f>+'FACUS$'!$H389-'FACUS$'!$I389-'FACUS$'!$K389</f>
        <v>13545.27</v>
      </c>
      <c r="M389" s="157" t="s">
        <v>732</v>
      </c>
      <c r="N389" s="162" t="s">
        <v>554</v>
      </c>
      <c r="O389" s="332">
        <v>43194.0</v>
      </c>
      <c r="P389" s="164">
        <f t="array" ref="P389">XLOOKUP('FACUS$'!$B389,'perfil de pagos'!$A$4:$A$46,'perfil de pagos'!$C$4:$C$46+'FACUS$'!$D389)</f>
        <v>43170</v>
      </c>
      <c r="Q389" s="165">
        <f t="shared" si="2"/>
        <v>0</v>
      </c>
      <c r="R389" s="171"/>
      <c r="S389" s="171"/>
      <c r="T389" s="171"/>
      <c r="U389" s="333" t="s">
        <v>7271</v>
      </c>
      <c r="V389" s="168">
        <f t="shared" si="3"/>
        <v>13545.27</v>
      </c>
      <c r="W389" s="168">
        <f t="shared" si="4"/>
        <v>0</v>
      </c>
      <c r="X389" s="168">
        <f t="shared" si="5"/>
        <v>0</v>
      </c>
      <c r="Y389" s="168">
        <f t="shared" si="6"/>
        <v>0</v>
      </c>
      <c r="Z389" s="168">
        <f t="shared" si="7"/>
        <v>0</v>
      </c>
      <c r="AA389" s="168">
        <f t="shared" si="8"/>
        <v>0</v>
      </c>
      <c r="AB389" s="168">
        <f t="shared" si="9"/>
        <v>0</v>
      </c>
    </row>
    <row r="390" ht="14.25" customHeight="1">
      <c r="A390" s="157">
        <v>1114.0</v>
      </c>
      <c r="B390" s="169" t="s">
        <v>37</v>
      </c>
      <c r="C390" s="169" t="s">
        <v>724</v>
      </c>
      <c r="D390" s="159">
        <v>43132.0</v>
      </c>
      <c r="E390" s="157" t="s">
        <v>2</v>
      </c>
      <c r="F390" s="160">
        <v>88282.37</v>
      </c>
      <c r="G390" s="160">
        <v>14125.18</v>
      </c>
      <c r="H390" s="160">
        <f t="shared" si="24"/>
        <v>102407.55</v>
      </c>
      <c r="I390" s="172"/>
      <c r="J390" s="169"/>
      <c r="K390" s="172"/>
      <c r="L390" s="172">
        <f>+'FACUS$'!$H390-'FACUS$'!$I390-'FACUS$'!$K390</f>
        <v>102407.55</v>
      </c>
      <c r="M390" s="157" t="s">
        <v>718</v>
      </c>
      <c r="N390" s="162" t="s">
        <v>554</v>
      </c>
      <c r="O390" s="332">
        <v>43207.0</v>
      </c>
      <c r="P390" s="164">
        <f t="array" ref="P390">XLOOKUP('FACUS$'!$B390,'perfil de pagos'!$A$4:$A$46,'perfil de pagos'!$C$4:$C$46+'FACUS$'!$D390)</f>
        <v>43142</v>
      </c>
      <c r="Q390" s="165">
        <f t="shared" si="2"/>
        <v>0</v>
      </c>
      <c r="R390" s="171"/>
      <c r="S390" s="171"/>
      <c r="T390" s="171"/>
      <c r="U390" s="333" t="s">
        <v>7271</v>
      </c>
      <c r="V390" s="168">
        <f t="shared" si="3"/>
        <v>102407.55</v>
      </c>
      <c r="W390" s="168">
        <f t="shared" si="4"/>
        <v>0</v>
      </c>
      <c r="X390" s="168">
        <f t="shared" si="5"/>
        <v>0</v>
      </c>
      <c r="Y390" s="168">
        <f t="shared" si="6"/>
        <v>0</v>
      </c>
      <c r="Z390" s="168">
        <f t="shared" si="7"/>
        <v>0</v>
      </c>
      <c r="AA390" s="168">
        <f t="shared" si="8"/>
        <v>0</v>
      </c>
      <c r="AB390" s="168">
        <f t="shared" si="9"/>
        <v>0</v>
      </c>
    </row>
    <row r="391" ht="14.25" customHeight="1">
      <c r="A391" s="157">
        <v>1116.0</v>
      </c>
      <c r="B391" s="169" t="s">
        <v>103</v>
      </c>
      <c r="C391" s="169" t="s">
        <v>724</v>
      </c>
      <c r="D391" s="159">
        <v>43174.0</v>
      </c>
      <c r="E391" s="157" t="s">
        <v>2</v>
      </c>
      <c r="F391" s="160">
        <v>21149.88</v>
      </c>
      <c r="G391" s="160">
        <v>3383.98</v>
      </c>
      <c r="H391" s="160">
        <f t="shared" si="24"/>
        <v>24533.86</v>
      </c>
      <c r="I391" s="172"/>
      <c r="J391" s="169"/>
      <c r="K391" s="172"/>
      <c r="L391" s="172">
        <f>+'FACUS$'!$H391-'FACUS$'!$I391-'FACUS$'!$K391</f>
        <v>24533.86</v>
      </c>
      <c r="M391" s="157" t="s">
        <v>43</v>
      </c>
      <c r="N391" s="162" t="s">
        <v>554</v>
      </c>
      <c r="O391" s="332">
        <v>43241.0</v>
      </c>
      <c r="P391" s="164" t="str">
        <f t="array" ref="P391">XLOOKUP('FACUS$'!$B391,'perfil de pagos'!$A$4:$A$46,'perfil de pagos'!$C$4:$C$46+'FACUS$'!$D391)</f>
        <v>#N/A</v>
      </c>
      <c r="Q391" s="165">
        <f t="shared" si="2"/>
        <v>0</v>
      </c>
      <c r="R391" s="171"/>
      <c r="S391" s="171"/>
      <c r="T391" s="171"/>
      <c r="U391" s="333" t="s">
        <v>7271</v>
      </c>
      <c r="V391" s="168">
        <f t="shared" si="3"/>
        <v>24533.86</v>
      </c>
      <c r="W391" s="168">
        <f t="shared" si="4"/>
        <v>0</v>
      </c>
      <c r="X391" s="168">
        <f t="shared" si="5"/>
        <v>0</v>
      </c>
      <c r="Y391" s="168">
        <f t="shared" si="6"/>
        <v>0</v>
      </c>
      <c r="Z391" s="168">
        <f t="shared" si="7"/>
        <v>0</v>
      </c>
      <c r="AA391" s="168">
        <f t="shared" si="8"/>
        <v>0</v>
      </c>
      <c r="AB391" s="168">
        <f t="shared" si="9"/>
        <v>0</v>
      </c>
    </row>
    <row r="392" ht="14.25" customHeight="1">
      <c r="A392" s="157">
        <v>1118.0</v>
      </c>
      <c r="B392" s="169" t="s">
        <v>720</v>
      </c>
      <c r="C392" s="169" t="s">
        <v>724</v>
      </c>
      <c r="D392" s="159">
        <v>43174.0</v>
      </c>
      <c r="E392" s="157" t="s">
        <v>2</v>
      </c>
      <c r="F392" s="160">
        <v>55766.4</v>
      </c>
      <c r="G392" s="160">
        <v>8922.62</v>
      </c>
      <c r="H392" s="179">
        <f t="shared" si="24"/>
        <v>64689.02</v>
      </c>
      <c r="I392" s="173"/>
      <c r="J392" s="170"/>
      <c r="K392" s="173"/>
      <c r="L392" s="173">
        <f>+'FACUS$'!$H392-'FACUS$'!$I392-'FACUS$'!$K392</f>
        <v>64689.02</v>
      </c>
      <c r="M392" s="157" t="s">
        <v>777</v>
      </c>
      <c r="N392" s="162" t="s">
        <v>554</v>
      </c>
      <c r="O392" s="332">
        <v>43217.0</v>
      </c>
      <c r="P392" s="164" t="str">
        <f t="array" ref="P392">XLOOKUP('FACUS$'!$B392,'perfil de pagos'!$A$4:$A$46,'perfil de pagos'!$C$4:$C$46+'FACUS$'!$D392)</f>
        <v>#N/A</v>
      </c>
      <c r="Q392" s="165">
        <f t="shared" si="2"/>
        <v>0</v>
      </c>
      <c r="R392" s="171"/>
      <c r="S392" s="171"/>
      <c r="T392" s="171"/>
      <c r="U392" s="333" t="s">
        <v>7271</v>
      </c>
      <c r="V392" s="168">
        <f t="shared" si="3"/>
        <v>64689.02</v>
      </c>
      <c r="W392" s="168">
        <f t="shared" si="4"/>
        <v>0</v>
      </c>
      <c r="X392" s="168">
        <f t="shared" si="5"/>
        <v>0</v>
      </c>
      <c r="Y392" s="168">
        <f t="shared" si="6"/>
        <v>0</v>
      </c>
      <c r="Z392" s="168">
        <f t="shared" si="7"/>
        <v>0</v>
      </c>
      <c r="AA392" s="168">
        <f t="shared" si="8"/>
        <v>0</v>
      </c>
      <c r="AB392" s="168">
        <f t="shared" si="9"/>
        <v>0</v>
      </c>
    </row>
    <row r="393" ht="14.25" customHeight="1">
      <c r="A393" s="157">
        <v>1119.0</v>
      </c>
      <c r="B393" s="169" t="s">
        <v>29</v>
      </c>
      <c r="C393" s="169" t="s">
        <v>724</v>
      </c>
      <c r="D393" s="159">
        <v>43160.0</v>
      </c>
      <c r="E393" s="157" t="s">
        <v>2</v>
      </c>
      <c r="F393" s="160">
        <v>36220.8</v>
      </c>
      <c r="G393" s="160">
        <v>5795.33</v>
      </c>
      <c r="H393" s="160">
        <f t="shared" si="24"/>
        <v>42016.13</v>
      </c>
      <c r="I393" s="172"/>
      <c r="J393" s="169"/>
      <c r="K393" s="172"/>
      <c r="L393" s="172">
        <f>+'FACUS$'!$H393-'FACUS$'!$I393-'FACUS$'!$K393</f>
        <v>42016.13</v>
      </c>
      <c r="M393" s="157" t="s">
        <v>825</v>
      </c>
      <c r="N393" s="162" t="s">
        <v>554</v>
      </c>
      <c r="O393" s="332">
        <v>43207.0</v>
      </c>
      <c r="P393" s="164">
        <f t="array" ref="P393">XLOOKUP('FACUS$'!$B393,'perfil de pagos'!$A$4:$A$46,'perfil de pagos'!$C$4:$C$46+'FACUS$'!$D393)</f>
        <v>43170</v>
      </c>
      <c r="Q393" s="165">
        <f t="shared" si="2"/>
        <v>0</v>
      </c>
      <c r="R393" s="171"/>
      <c r="S393" s="171"/>
      <c r="T393" s="171"/>
      <c r="U393" s="333" t="s">
        <v>7271</v>
      </c>
      <c r="V393" s="168">
        <f t="shared" si="3"/>
        <v>42016.13</v>
      </c>
      <c r="W393" s="168">
        <f t="shared" si="4"/>
        <v>0</v>
      </c>
      <c r="X393" s="168">
        <f t="shared" si="5"/>
        <v>0</v>
      </c>
      <c r="Y393" s="168">
        <f t="shared" si="6"/>
        <v>0</v>
      </c>
      <c r="Z393" s="168">
        <f t="shared" si="7"/>
        <v>0</v>
      </c>
      <c r="AA393" s="168">
        <f t="shared" si="8"/>
        <v>0</v>
      </c>
      <c r="AB393" s="168">
        <f t="shared" si="9"/>
        <v>0</v>
      </c>
    </row>
    <row r="394" ht="14.25" customHeight="1">
      <c r="A394" s="157">
        <v>1122.0</v>
      </c>
      <c r="B394" s="169" t="s">
        <v>18</v>
      </c>
      <c r="C394" s="169" t="s">
        <v>724</v>
      </c>
      <c r="D394" s="159">
        <v>43174.0</v>
      </c>
      <c r="E394" s="157" t="s">
        <v>2</v>
      </c>
      <c r="F394" s="160">
        <v>9381.0</v>
      </c>
      <c r="G394" s="160">
        <v>1500.96</v>
      </c>
      <c r="H394" s="160">
        <f t="shared" si="24"/>
        <v>10881.96</v>
      </c>
      <c r="I394" s="172"/>
      <c r="J394" s="169"/>
      <c r="K394" s="172"/>
      <c r="L394" s="172">
        <f>+'FACUS$'!$H394-'FACUS$'!$I394-'FACUS$'!$K394</f>
        <v>10881.96</v>
      </c>
      <c r="M394" s="157" t="s">
        <v>586</v>
      </c>
      <c r="N394" s="162" t="s">
        <v>554</v>
      </c>
      <c r="O394" s="332">
        <v>43214.0</v>
      </c>
      <c r="P394" s="164">
        <f t="array" ref="P394">XLOOKUP('FACUS$'!$B394,'perfil de pagos'!$A$4:$A$46,'perfil de pagos'!$C$4:$C$46+'FACUS$'!$D394)</f>
        <v>43184</v>
      </c>
      <c r="Q394" s="165">
        <f t="shared" si="2"/>
        <v>0</v>
      </c>
      <c r="R394" s="171"/>
      <c r="S394" s="171"/>
      <c r="T394" s="171"/>
      <c r="U394" s="333" t="s">
        <v>7271</v>
      </c>
      <c r="V394" s="168">
        <f t="shared" si="3"/>
        <v>10881.96</v>
      </c>
      <c r="W394" s="168">
        <f t="shared" si="4"/>
        <v>0</v>
      </c>
      <c r="X394" s="168">
        <f t="shared" si="5"/>
        <v>0</v>
      </c>
      <c r="Y394" s="168">
        <f t="shared" si="6"/>
        <v>0</v>
      </c>
      <c r="Z394" s="168">
        <f t="shared" si="7"/>
        <v>0</v>
      </c>
      <c r="AA394" s="168">
        <f t="shared" si="8"/>
        <v>0</v>
      </c>
      <c r="AB394" s="168">
        <f t="shared" si="9"/>
        <v>0</v>
      </c>
    </row>
    <row r="395" ht="14.25" customHeight="1">
      <c r="A395" s="157">
        <v>1124.0</v>
      </c>
      <c r="B395" s="169" t="s">
        <v>20</v>
      </c>
      <c r="C395" s="169" t="s">
        <v>724</v>
      </c>
      <c r="D395" s="159">
        <v>43174.0</v>
      </c>
      <c r="E395" s="157" t="s">
        <v>2</v>
      </c>
      <c r="F395" s="160">
        <v>18132.36</v>
      </c>
      <c r="G395" s="160">
        <v>2901.18</v>
      </c>
      <c r="H395" s="160">
        <f t="shared" si="24"/>
        <v>21033.54</v>
      </c>
      <c r="I395" s="172"/>
      <c r="J395" s="169"/>
      <c r="K395" s="172"/>
      <c r="L395" s="172">
        <f>+'FACUS$'!$H395-'FACUS$'!$I395-'FACUS$'!$K395</f>
        <v>21033.54</v>
      </c>
      <c r="M395" s="157" t="s">
        <v>732</v>
      </c>
      <c r="N395" s="162" t="s">
        <v>554</v>
      </c>
      <c r="O395" s="332">
        <v>43214.0</v>
      </c>
      <c r="P395" s="164">
        <f t="array" ref="P395">XLOOKUP('FACUS$'!$B395,'perfil de pagos'!$A$4:$A$46,'perfil de pagos'!$C$4:$C$46+'FACUS$'!$D395)</f>
        <v>43184</v>
      </c>
      <c r="Q395" s="165">
        <f t="shared" si="2"/>
        <v>0</v>
      </c>
      <c r="R395" s="171"/>
      <c r="S395" s="171"/>
      <c r="T395" s="171"/>
      <c r="U395" s="333" t="s">
        <v>7271</v>
      </c>
      <c r="V395" s="168">
        <f t="shared" si="3"/>
        <v>21033.54</v>
      </c>
      <c r="W395" s="168">
        <f t="shared" si="4"/>
        <v>0</v>
      </c>
      <c r="X395" s="168">
        <f t="shared" si="5"/>
        <v>0</v>
      </c>
      <c r="Y395" s="168">
        <f t="shared" si="6"/>
        <v>0</v>
      </c>
      <c r="Z395" s="168">
        <f t="shared" si="7"/>
        <v>0</v>
      </c>
      <c r="AA395" s="168">
        <f t="shared" si="8"/>
        <v>0</v>
      </c>
      <c r="AB395" s="168">
        <f t="shared" si="9"/>
        <v>0</v>
      </c>
    </row>
    <row r="396" ht="14.25" customHeight="1">
      <c r="A396" s="157">
        <v>1129.0</v>
      </c>
      <c r="B396" s="169" t="s">
        <v>720</v>
      </c>
      <c r="C396" s="169" t="s">
        <v>724</v>
      </c>
      <c r="D396" s="159">
        <v>43191.0</v>
      </c>
      <c r="E396" s="157" t="s">
        <v>2</v>
      </c>
      <c r="F396" s="160">
        <v>41620.8</v>
      </c>
      <c r="G396" s="160">
        <v>665.33</v>
      </c>
      <c r="H396" s="160">
        <f t="shared" si="24"/>
        <v>42286.13</v>
      </c>
      <c r="I396" s="172"/>
      <c r="J396" s="169"/>
      <c r="K396" s="172"/>
      <c r="L396" s="172">
        <f>+'FACUS$'!$H396-'FACUS$'!$I396-'FACUS$'!$K396</f>
        <v>42286.13</v>
      </c>
      <c r="M396" s="157" t="s">
        <v>777</v>
      </c>
      <c r="N396" s="162" t="s">
        <v>554</v>
      </c>
      <c r="O396" s="332">
        <v>43236.0</v>
      </c>
      <c r="P396" s="164" t="str">
        <f t="array" ref="P396">XLOOKUP('FACUS$'!$B396,'perfil de pagos'!$A$4:$A$46,'perfil de pagos'!$C$4:$C$46+'FACUS$'!$D396)</f>
        <v>#N/A</v>
      </c>
      <c r="Q396" s="165">
        <f t="shared" si="2"/>
        <v>0</v>
      </c>
      <c r="R396" s="171"/>
      <c r="S396" s="171"/>
      <c r="T396" s="171"/>
      <c r="U396" s="333" t="s">
        <v>7271</v>
      </c>
      <c r="V396" s="168">
        <f t="shared" si="3"/>
        <v>42286.13</v>
      </c>
      <c r="W396" s="168">
        <f t="shared" si="4"/>
        <v>0</v>
      </c>
      <c r="X396" s="168">
        <f t="shared" si="5"/>
        <v>0</v>
      </c>
      <c r="Y396" s="168">
        <f t="shared" si="6"/>
        <v>0</v>
      </c>
      <c r="Z396" s="168">
        <f t="shared" si="7"/>
        <v>0</v>
      </c>
      <c r="AA396" s="168">
        <f t="shared" si="8"/>
        <v>0</v>
      </c>
      <c r="AB396" s="168">
        <f t="shared" si="9"/>
        <v>0</v>
      </c>
    </row>
    <row r="397" ht="14.25" customHeight="1">
      <c r="A397" s="157">
        <v>1131.0</v>
      </c>
      <c r="B397" s="169" t="s">
        <v>103</v>
      </c>
      <c r="C397" s="169" t="s">
        <v>724</v>
      </c>
      <c r="D397" s="159">
        <v>43191.0</v>
      </c>
      <c r="E397" s="157" t="s">
        <v>2</v>
      </c>
      <c r="F397" s="160">
        <v>16106.52</v>
      </c>
      <c r="G397" s="160">
        <v>2577.04</v>
      </c>
      <c r="H397" s="160">
        <f t="shared" si="24"/>
        <v>18683.56</v>
      </c>
      <c r="I397" s="172"/>
      <c r="J397" s="169"/>
      <c r="K397" s="172"/>
      <c r="L397" s="172">
        <f>+'FACUS$'!$H397-'FACUS$'!$I397-'FACUS$'!$K397</f>
        <v>18683.56</v>
      </c>
      <c r="M397" s="157" t="s">
        <v>43</v>
      </c>
      <c r="N397" s="162" t="s">
        <v>554</v>
      </c>
      <c r="O397" s="332">
        <v>43223.0</v>
      </c>
      <c r="P397" s="164" t="str">
        <f t="array" ref="P397">XLOOKUP('FACUS$'!$B397,'perfil de pagos'!$A$4:$A$46,'perfil de pagos'!$C$4:$C$46+'FACUS$'!$D397)</f>
        <v>#N/A</v>
      </c>
      <c r="Q397" s="165">
        <f t="shared" si="2"/>
        <v>0</v>
      </c>
      <c r="R397" s="171"/>
      <c r="S397" s="171"/>
      <c r="T397" s="171"/>
      <c r="U397" s="333" t="s">
        <v>7271</v>
      </c>
      <c r="V397" s="168">
        <f t="shared" si="3"/>
        <v>18683.56</v>
      </c>
      <c r="W397" s="168">
        <f t="shared" si="4"/>
        <v>0</v>
      </c>
      <c r="X397" s="168">
        <f t="shared" si="5"/>
        <v>0</v>
      </c>
      <c r="Y397" s="168">
        <f t="shared" si="6"/>
        <v>0</v>
      </c>
      <c r="Z397" s="168">
        <f t="shared" si="7"/>
        <v>0</v>
      </c>
      <c r="AA397" s="168">
        <f t="shared" si="8"/>
        <v>0</v>
      </c>
      <c r="AB397" s="168">
        <f t="shared" si="9"/>
        <v>0</v>
      </c>
    </row>
    <row r="398" ht="14.25" customHeight="1">
      <c r="A398" s="157">
        <v>1132.0</v>
      </c>
      <c r="B398" s="169" t="s">
        <v>82</v>
      </c>
      <c r="C398" s="169" t="s">
        <v>7369</v>
      </c>
      <c r="D398" s="159">
        <v>43210.0</v>
      </c>
      <c r="E398" s="157" t="s">
        <v>2</v>
      </c>
      <c r="F398" s="160">
        <v>735.0</v>
      </c>
      <c r="G398" s="160">
        <v>117.6</v>
      </c>
      <c r="H398" s="160">
        <f t="shared" si="24"/>
        <v>852.6</v>
      </c>
      <c r="I398" s="172"/>
      <c r="J398" s="169"/>
      <c r="K398" s="172"/>
      <c r="L398" s="172">
        <f>+'FACUS$'!$H398-'FACUS$'!$I398-'FACUS$'!$K398</f>
        <v>852.6</v>
      </c>
      <c r="M398" s="157" t="s">
        <v>714</v>
      </c>
      <c r="N398" s="157" t="s">
        <v>7370</v>
      </c>
      <c r="O398" s="332"/>
      <c r="P398" s="164" t="str">
        <f t="array" ref="P398">XLOOKUP('FACUS$'!$B398,'perfil de pagos'!$A$4:$A$46,'perfil de pagos'!$C$4:$C$46+'FACUS$'!$D398)</f>
        <v>#N/A</v>
      </c>
      <c r="Q398" s="165" t="b">
        <f t="shared" si="2"/>
        <v>0</v>
      </c>
      <c r="R398" s="171"/>
      <c r="S398" s="171"/>
      <c r="T398" s="171"/>
      <c r="U398" s="333" t="s">
        <v>7271</v>
      </c>
      <c r="V398" s="168">
        <f t="shared" si="3"/>
        <v>0</v>
      </c>
      <c r="W398" s="168">
        <f t="shared" si="4"/>
        <v>0</v>
      </c>
      <c r="X398" s="168">
        <f t="shared" si="5"/>
        <v>0</v>
      </c>
      <c r="Y398" s="168">
        <f t="shared" si="6"/>
        <v>0</v>
      </c>
      <c r="Z398" s="168">
        <f t="shared" si="7"/>
        <v>0</v>
      </c>
      <c r="AA398" s="168">
        <f t="shared" si="8"/>
        <v>0</v>
      </c>
      <c r="AB398" s="168">
        <f t="shared" si="9"/>
        <v>852.6</v>
      </c>
    </row>
    <row r="399" ht="14.25" customHeight="1">
      <c r="A399" s="157">
        <v>1134.0</v>
      </c>
      <c r="B399" s="169" t="s">
        <v>29</v>
      </c>
      <c r="C399" s="169" t="s">
        <v>724</v>
      </c>
      <c r="D399" s="159">
        <v>43210.0</v>
      </c>
      <c r="E399" s="157" t="s">
        <v>2</v>
      </c>
      <c r="F399" s="160">
        <v>49.0</v>
      </c>
      <c r="G399" s="160">
        <v>7.84</v>
      </c>
      <c r="H399" s="160">
        <f t="shared" si="24"/>
        <v>56.84</v>
      </c>
      <c r="I399" s="172"/>
      <c r="J399" s="169"/>
      <c r="K399" s="172"/>
      <c r="L399" s="172">
        <f>+'FACUS$'!$H399-'FACUS$'!$I399-'FACUS$'!$K399</f>
        <v>56.84</v>
      </c>
      <c r="M399" s="157" t="s">
        <v>825</v>
      </c>
      <c r="N399" s="162" t="s">
        <v>554</v>
      </c>
      <c r="O399" s="332">
        <v>43228.0</v>
      </c>
      <c r="P399" s="164">
        <f t="array" ref="P399">XLOOKUP('FACUS$'!$B399,'perfil de pagos'!$A$4:$A$46,'perfil de pagos'!$C$4:$C$46+'FACUS$'!$D399)</f>
        <v>43220</v>
      </c>
      <c r="Q399" s="165">
        <f t="shared" si="2"/>
        <v>0</v>
      </c>
      <c r="R399" s="171"/>
      <c r="S399" s="171"/>
      <c r="T399" s="171"/>
      <c r="U399" s="333" t="s">
        <v>7271</v>
      </c>
      <c r="V399" s="168">
        <f t="shared" si="3"/>
        <v>56.84</v>
      </c>
      <c r="W399" s="168">
        <f t="shared" si="4"/>
        <v>0</v>
      </c>
      <c r="X399" s="168">
        <f t="shared" si="5"/>
        <v>0</v>
      </c>
      <c r="Y399" s="168">
        <f t="shared" si="6"/>
        <v>0</v>
      </c>
      <c r="Z399" s="168">
        <f t="shared" si="7"/>
        <v>0</v>
      </c>
      <c r="AA399" s="168">
        <f t="shared" si="8"/>
        <v>0</v>
      </c>
      <c r="AB399" s="168">
        <f t="shared" si="9"/>
        <v>0</v>
      </c>
    </row>
    <row r="400" ht="14.25" customHeight="1">
      <c r="A400" s="157">
        <v>1136.0</v>
      </c>
      <c r="B400" s="169" t="s">
        <v>37</v>
      </c>
      <c r="C400" s="169" t="s">
        <v>724</v>
      </c>
      <c r="D400" s="159">
        <v>43191.0</v>
      </c>
      <c r="E400" s="157" t="s">
        <v>2</v>
      </c>
      <c r="F400" s="160">
        <v>83813.51</v>
      </c>
      <c r="G400" s="160">
        <v>13410.16</v>
      </c>
      <c r="H400" s="160">
        <f t="shared" si="24"/>
        <v>97223.67</v>
      </c>
      <c r="I400" s="172"/>
      <c r="J400" s="169"/>
      <c r="K400" s="172"/>
      <c r="L400" s="172">
        <f>+'FACUS$'!$H400-'FACUS$'!$I400-'FACUS$'!$K400</f>
        <v>97223.67</v>
      </c>
      <c r="M400" s="157" t="s">
        <v>718</v>
      </c>
      <c r="N400" s="162" t="s">
        <v>554</v>
      </c>
      <c r="O400" s="332">
        <v>43228.0</v>
      </c>
      <c r="P400" s="164">
        <f t="array" ref="P400">XLOOKUP('FACUS$'!$B400,'perfil de pagos'!$A$4:$A$46,'perfil de pagos'!$C$4:$C$46+'FACUS$'!$D400)</f>
        <v>43201</v>
      </c>
      <c r="Q400" s="165">
        <f t="shared" si="2"/>
        <v>0</v>
      </c>
      <c r="R400" s="171"/>
      <c r="S400" s="171"/>
      <c r="T400" s="171"/>
      <c r="U400" s="333" t="s">
        <v>7271</v>
      </c>
      <c r="V400" s="168">
        <f t="shared" si="3"/>
        <v>97223.67</v>
      </c>
      <c r="W400" s="168">
        <f t="shared" si="4"/>
        <v>0</v>
      </c>
      <c r="X400" s="168">
        <f t="shared" si="5"/>
        <v>0</v>
      </c>
      <c r="Y400" s="168">
        <f t="shared" si="6"/>
        <v>0</v>
      </c>
      <c r="Z400" s="168">
        <f t="shared" si="7"/>
        <v>0</v>
      </c>
      <c r="AA400" s="168">
        <f t="shared" si="8"/>
        <v>0</v>
      </c>
      <c r="AB400" s="168">
        <f t="shared" si="9"/>
        <v>0</v>
      </c>
    </row>
    <row r="401" ht="14.25" customHeight="1">
      <c r="A401" s="157">
        <v>1138.0</v>
      </c>
      <c r="B401" s="169" t="s">
        <v>18</v>
      </c>
      <c r="C401" s="169" t="s">
        <v>724</v>
      </c>
      <c r="D401" s="159">
        <v>43191.0</v>
      </c>
      <c r="E401" s="157" t="s">
        <v>2</v>
      </c>
      <c r="F401" s="160">
        <v>8013.6</v>
      </c>
      <c r="G401" s="160">
        <v>1282.18</v>
      </c>
      <c r="H401" s="160">
        <f t="shared" si="24"/>
        <v>9295.78</v>
      </c>
      <c r="I401" s="172"/>
      <c r="J401" s="169"/>
      <c r="K401" s="172"/>
      <c r="L401" s="172">
        <f>+'FACUS$'!$H401-'FACUS$'!$I401-'FACUS$'!$K401</f>
        <v>9295.78</v>
      </c>
      <c r="M401" s="157" t="s">
        <v>586</v>
      </c>
      <c r="N401" s="162" t="s">
        <v>554</v>
      </c>
      <c r="O401" s="332">
        <v>43224.0</v>
      </c>
      <c r="P401" s="164">
        <f t="array" ref="P401">XLOOKUP('FACUS$'!$B401,'perfil de pagos'!$A$4:$A$46,'perfil de pagos'!$C$4:$C$46+'FACUS$'!$D401)</f>
        <v>43201</v>
      </c>
      <c r="Q401" s="165">
        <f t="shared" si="2"/>
        <v>0</v>
      </c>
      <c r="R401" s="171"/>
      <c r="S401" s="171"/>
      <c r="T401" s="171"/>
      <c r="U401" s="333" t="s">
        <v>7271</v>
      </c>
      <c r="V401" s="168">
        <f t="shared" si="3"/>
        <v>9295.78</v>
      </c>
      <c r="W401" s="168">
        <f t="shared" si="4"/>
        <v>0</v>
      </c>
      <c r="X401" s="168">
        <f t="shared" si="5"/>
        <v>0</v>
      </c>
      <c r="Y401" s="168">
        <f t="shared" si="6"/>
        <v>0</v>
      </c>
      <c r="Z401" s="168">
        <f t="shared" si="7"/>
        <v>0</v>
      </c>
      <c r="AA401" s="168">
        <f t="shared" si="8"/>
        <v>0</v>
      </c>
      <c r="AB401" s="168">
        <f t="shared" si="9"/>
        <v>0</v>
      </c>
    </row>
    <row r="402" ht="14.25" customHeight="1">
      <c r="A402" s="157">
        <v>1139.0</v>
      </c>
      <c r="B402" s="169"/>
      <c r="C402" s="169"/>
      <c r="D402" s="159"/>
      <c r="E402" s="157"/>
      <c r="F402" s="160"/>
      <c r="G402" s="160"/>
      <c r="H402" s="179"/>
      <c r="I402" s="173"/>
      <c r="J402" s="170"/>
      <c r="K402" s="173"/>
      <c r="L402" s="173">
        <f>+'FACUS$'!$H402-'FACUS$'!$I402-'FACUS$'!$K402</f>
        <v>0</v>
      </c>
      <c r="M402" s="157"/>
      <c r="N402" s="162" t="s">
        <v>127</v>
      </c>
      <c r="O402" s="332"/>
      <c r="P402" s="164" t="str">
        <f t="array" ref="P402">XLOOKUP('FACUS$'!$B402,'perfil de pagos'!$A$4:$A$46,'perfil de pagos'!$C$4:$C$46+'FACUS$'!$D402)</f>
        <v>#N/A</v>
      </c>
      <c r="Q402" s="165" t="str">
        <f t="shared" si="2"/>
        <v>N/A</v>
      </c>
      <c r="R402" s="171"/>
      <c r="S402" s="171"/>
      <c r="T402" s="171"/>
      <c r="U402" s="333" t="s">
        <v>7271</v>
      </c>
      <c r="V402" s="168">
        <f t="shared" si="3"/>
        <v>0</v>
      </c>
      <c r="W402" s="168">
        <f t="shared" si="4"/>
        <v>0</v>
      </c>
      <c r="X402" s="168">
        <f t="shared" si="5"/>
        <v>0</v>
      </c>
      <c r="Y402" s="168">
        <f t="shared" si="6"/>
        <v>0</v>
      </c>
      <c r="Z402" s="168">
        <f t="shared" si="7"/>
        <v>0</v>
      </c>
      <c r="AA402" s="168">
        <f t="shared" si="8"/>
        <v>0</v>
      </c>
      <c r="AB402" s="168">
        <f t="shared" si="9"/>
        <v>0</v>
      </c>
    </row>
    <row r="403" ht="14.25" customHeight="1">
      <c r="A403" s="157">
        <v>1142.0</v>
      </c>
      <c r="B403" s="169" t="s">
        <v>20</v>
      </c>
      <c r="C403" s="169" t="s">
        <v>724</v>
      </c>
      <c r="D403" s="159">
        <v>43191.0</v>
      </c>
      <c r="E403" s="157" t="s">
        <v>2</v>
      </c>
      <c r="F403" s="160">
        <v>15397.56</v>
      </c>
      <c r="G403" s="160">
        <v>2463.61</v>
      </c>
      <c r="H403" s="160">
        <f t="shared" ref="H403:H405" si="25">F403+G403</f>
        <v>17861.17</v>
      </c>
      <c r="I403" s="172"/>
      <c r="J403" s="169"/>
      <c r="K403" s="172"/>
      <c r="L403" s="172">
        <f>+'FACUS$'!$H403-'FACUS$'!$I403-'FACUS$'!$K403</f>
        <v>17861.17</v>
      </c>
      <c r="M403" s="157" t="s">
        <v>732</v>
      </c>
      <c r="N403" s="162" t="s">
        <v>554</v>
      </c>
      <c r="O403" s="332">
        <v>43224.0</v>
      </c>
      <c r="P403" s="164">
        <f t="array" ref="P403">XLOOKUP('FACUS$'!$B403,'perfil de pagos'!$A$4:$A$46,'perfil de pagos'!$C$4:$C$46+'FACUS$'!$D403)</f>
        <v>43201</v>
      </c>
      <c r="Q403" s="165">
        <f t="shared" si="2"/>
        <v>0</v>
      </c>
      <c r="R403" s="171"/>
      <c r="S403" s="171"/>
      <c r="T403" s="171"/>
      <c r="U403" s="333" t="s">
        <v>7271</v>
      </c>
      <c r="V403" s="168">
        <f t="shared" si="3"/>
        <v>17861.17</v>
      </c>
      <c r="W403" s="168">
        <f t="shared" si="4"/>
        <v>0</v>
      </c>
      <c r="X403" s="168">
        <f t="shared" si="5"/>
        <v>0</v>
      </c>
      <c r="Y403" s="168">
        <f t="shared" si="6"/>
        <v>0</v>
      </c>
      <c r="Z403" s="168">
        <f t="shared" si="7"/>
        <v>0</v>
      </c>
      <c r="AA403" s="168">
        <f t="shared" si="8"/>
        <v>0</v>
      </c>
      <c r="AB403" s="168">
        <f t="shared" si="9"/>
        <v>0</v>
      </c>
    </row>
    <row r="404" ht="14.25" customHeight="1">
      <c r="A404" s="157">
        <v>1143.0</v>
      </c>
      <c r="B404" s="169" t="s">
        <v>82</v>
      </c>
      <c r="C404" s="169" t="s">
        <v>836</v>
      </c>
      <c r="D404" s="159">
        <v>43217.0</v>
      </c>
      <c r="E404" s="157" t="s">
        <v>2</v>
      </c>
      <c r="F404" s="160">
        <v>2500.0</v>
      </c>
      <c r="G404" s="160">
        <v>400.0</v>
      </c>
      <c r="H404" s="160">
        <f t="shared" si="25"/>
        <v>2900</v>
      </c>
      <c r="I404" s="172"/>
      <c r="J404" s="169"/>
      <c r="K404" s="172"/>
      <c r="L404" s="172">
        <f>+'FACUS$'!$H404-'FACUS$'!$I404-'FACUS$'!$K404</f>
        <v>2900</v>
      </c>
      <c r="M404" s="157" t="s">
        <v>714</v>
      </c>
      <c r="N404" s="162" t="s">
        <v>554</v>
      </c>
      <c r="O404" s="332">
        <v>43299.0</v>
      </c>
      <c r="P404" s="164" t="str">
        <f t="array" ref="P404">XLOOKUP('FACUS$'!$B404,'perfil de pagos'!$A$4:$A$46,'perfil de pagos'!$C$4:$C$46+'FACUS$'!$D404)</f>
        <v>#N/A</v>
      </c>
      <c r="Q404" s="165">
        <f t="shared" si="2"/>
        <v>0</v>
      </c>
      <c r="R404" s="171"/>
      <c r="S404" s="171"/>
      <c r="T404" s="171"/>
      <c r="U404" s="333" t="s">
        <v>7271</v>
      </c>
      <c r="V404" s="168">
        <f t="shared" si="3"/>
        <v>2900</v>
      </c>
      <c r="W404" s="168">
        <f t="shared" si="4"/>
        <v>0</v>
      </c>
      <c r="X404" s="168">
        <f t="shared" si="5"/>
        <v>0</v>
      </c>
      <c r="Y404" s="168">
        <f t="shared" si="6"/>
        <v>0</v>
      </c>
      <c r="Z404" s="168">
        <f t="shared" si="7"/>
        <v>0</v>
      </c>
      <c r="AA404" s="168">
        <f t="shared" si="8"/>
        <v>0</v>
      </c>
      <c r="AB404" s="168">
        <f t="shared" si="9"/>
        <v>0</v>
      </c>
    </row>
    <row r="405" ht="14.25" customHeight="1">
      <c r="A405" s="157">
        <v>1144.0</v>
      </c>
      <c r="B405" s="169" t="s">
        <v>82</v>
      </c>
      <c r="C405" s="169" t="s">
        <v>840</v>
      </c>
      <c r="D405" s="159">
        <v>43217.0</v>
      </c>
      <c r="E405" s="157" t="s">
        <v>2</v>
      </c>
      <c r="F405" s="160">
        <v>2500.0</v>
      </c>
      <c r="G405" s="160">
        <v>400.0</v>
      </c>
      <c r="H405" s="160">
        <f t="shared" si="25"/>
        <v>2900</v>
      </c>
      <c r="I405" s="172"/>
      <c r="J405" s="169"/>
      <c r="K405" s="172"/>
      <c r="L405" s="172">
        <f>+'FACUS$'!$H405-'FACUS$'!$I405-'FACUS$'!$K405</f>
        <v>2900</v>
      </c>
      <c r="M405" s="157" t="s">
        <v>714</v>
      </c>
      <c r="N405" s="162" t="s">
        <v>554</v>
      </c>
      <c r="O405" s="332">
        <v>43299.0</v>
      </c>
      <c r="P405" s="164" t="str">
        <f t="array" ref="P405">XLOOKUP('FACUS$'!$B405,'perfil de pagos'!$A$4:$A$46,'perfil de pagos'!$C$4:$C$46+'FACUS$'!$D405)</f>
        <v>#N/A</v>
      </c>
      <c r="Q405" s="165">
        <f t="shared" si="2"/>
        <v>0</v>
      </c>
      <c r="R405" s="171"/>
      <c r="S405" s="171"/>
      <c r="T405" s="171"/>
      <c r="U405" s="333" t="s">
        <v>7271</v>
      </c>
      <c r="V405" s="168">
        <f t="shared" si="3"/>
        <v>2900</v>
      </c>
      <c r="W405" s="168">
        <f t="shared" si="4"/>
        <v>0</v>
      </c>
      <c r="X405" s="168">
        <f t="shared" si="5"/>
        <v>0</v>
      </c>
      <c r="Y405" s="168">
        <f t="shared" si="6"/>
        <v>0</v>
      </c>
      <c r="Z405" s="168">
        <f t="shared" si="7"/>
        <v>0</v>
      </c>
      <c r="AA405" s="168">
        <f t="shared" si="8"/>
        <v>0</v>
      </c>
      <c r="AB405" s="168">
        <f t="shared" si="9"/>
        <v>0</v>
      </c>
    </row>
    <row r="406" ht="14.25" customHeight="1">
      <c r="A406" s="157">
        <v>1145.0</v>
      </c>
      <c r="B406" s="169"/>
      <c r="C406" s="169"/>
      <c r="D406" s="159"/>
      <c r="E406" s="157"/>
      <c r="F406" s="160"/>
      <c r="G406" s="160"/>
      <c r="H406" s="160"/>
      <c r="I406" s="172"/>
      <c r="J406" s="169"/>
      <c r="K406" s="172"/>
      <c r="L406" s="172">
        <f>+'FACUS$'!$H406-'FACUS$'!$I406-'FACUS$'!$K406</f>
        <v>0</v>
      </c>
      <c r="M406" s="157"/>
      <c r="N406" s="162" t="s">
        <v>127</v>
      </c>
      <c r="O406" s="332"/>
      <c r="P406" s="164" t="str">
        <f t="array" ref="P406">XLOOKUP('FACUS$'!$B406,'perfil de pagos'!$A$4:$A$46,'perfil de pagos'!$C$4:$C$46+'FACUS$'!$D406)</f>
        <v>#N/A</v>
      </c>
      <c r="Q406" s="165" t="str">
        <f t="shared" si="2"/>
        <v>N/A</v>
      </c>
      <c r="R406" s="171"/>
      <c r="S406" s="171"/>
      <c r="T406" s="171"/>
      <c r="U406" s="333" t="s">
        <v>7271</v>
      </c>
      <c r="V406" s="168">
        <f t="shared" si="3"/>
        <v>0</v>
      </c>
      <c r="W406" s="168">
        <f t="shared" si="4"/>
        <v>0</v>
      </c>
      <c r="X406" s="168">
        <f t="shared" si="5"/>
        <v>0</v>
      </c>
      <c r="Y406" s="168">
        <f t="shared" si="6"/>
        <v>0</v>
      </c>
      <c r="Z406" s="168">
        <f t="shared" si="7"/>
        <v>0</v>
      </c>
      <c r="AA406" s="168">
        <f t="shared" si="8"/>
        <v>0</v>
      </c>
      <c r="AB406" s="168">
        <f t="shared" si="9"/>
        <v>0</v>
      </c>
    </row>
    <row r="407" ht="14.25" customHeight="1">
      <c r="A407" s="157">
        <v>1146.0</v>
      </c>
      <c r="B407" s="169" t="s">
        <v>82</v>
      </c>
      <c r="C407" s="169" t="s">
        <v>7371</v>
      </c>
      <c r="D407" s="159">
        <v>43217.0</v>
      </c>
      <c r="E407" s="157" t="s">
        <v>2</v>
      </c>
      <c r="F407" s="160">
        <v>6500.0</v>
      </c>
      <c r="G407" s="160">
        <v>1040.0</v>
      </c>
      <c r="H407" s="160">
        <f t="shared" ref="H407:H523" si="26">F407+G407</f>
        <v>7540</v>
      </c>
      <c r="I407" s="172"/>
      <c r="J407" s="169"/>
      <c r="K407" s="172"/>
      <c r="L407" s="172">
        <f>+'FACUS$'!$H407-'FACUS$'!$I407-'FACUS$'!$K407</f>
        <v>7540</v>
      </c>
      <c r="M407" s="157" t="s">
        <v>714</v>
      </c>
      <c r="N407" s="162" t="s">
        <v>554</v>
      </c>
      <c r="O407" s="332">
        <v>43217.0</v>
      </c>
      <c r="P407" s="164" t="str">
        <f t="array" ref="P407">XLOOKUP('FACUS$'!$B407,'perfil de pagos'!$A$4:$A$46,'perfil de pagos'!$C$4:$C$46+'FACUS$'!$D407)</f>
        <v>#N/A</v>
      </c>
      <c r="Q407" s="165">
        <f t="shared" si="2"/>
        <v>0</v>
      </c>
      <c r="R407" s="171"/>
      <c r="S407" s="171"/>
      <c r="T407" s="171"/>
      <c r="U407" s="333" t="s">
        <v>7271</v>
      </c>
      <c r="V407" s="168">
        <f t="shared" si="3"/>
        <v>7540</v>
      </c>
      <c r="W407" s="168">
        <f t="shared" si="4"/>
        <v>0</v>
      </c>
      <c r="X407" s="168">
        <f t="shared" si="5"/>
        <v>0</v>
      </c>
      <c r="Y407" s="168">
        <f t="shared" si="6"/>
        <v>0</v>
      </c>
      <c r="Z407" s="168">
        <f t="shared" si="7"/>
        <v>0</v>
      </c>
      <c r="AA407" s="168">
        <f t="shared" si="8"/>
        <v>0</v>
      </c>
      <c r="AB407" s="168">
        <f t="shared" si="9"/>
        <v>0</v>
      </c>
    </row>
    <row r="408" ht="14.25" customHeight="1">
      <c r="A408" s="157">
        <v>1147.0</v>
      </c>
      <c r="B408" s="169" t="s">
        <v>82</v>
      </c>
      <c r="C408" s="169" t="s">
        <v>7321</v>
      </c>
      <c r="D408" s="159">
        <v>43217.0</v>
      </c>
      <c r="E408" s="157" t="s">
        <v>2</v>
      </c>
      <c r="F408" s="160">
        <v>15000.0</v>
      </c>
      <c r="G408" s="160">
        <v>2400.0</v>
      </c>
      <c r="H408" s="160">
        <f t="shared" si="26"/>
        <v>17400</v>
      </c>
      <c r="I408" s="172"/>
      <c r="J408" s="169"/>
      <c r="K408" s="172"/>
      <c r="L408" s="172">
        <f>+'FACUS$'!$H408-'FACUS$'!$I408-'FACUS$'!$K408</f>
        <v>17400</v>
      </c>
      <c r="M408" s="157" t="s">
        <v>714</v>
      </c>
      <c r="N408" s="162" t="s">
        <v>554</v>
      </c>
      <c r="O408" s="332">
        <v>43217.0</v>
      </c>
      <c r="P408" s="164" t="str">
        <f t="array" ref="P408">XLOOKUP('FACUS$'!$B408,'perfil de pagos'!$A$4:$A$46,'perfil de pagos'!$C$4:$C$46+'FACUS$'!$D408)</f>
        <v>#N/A</v>
      </c>
      <c r="Q408" s="165">
        <f t="shared" si="2"/>
        <v>0</v>
      </c>
      <c r="R408" s="171"/>
      <c r="S408" s="171"/>
      <c r="T408" s="171"/>
      <c r="U408" s="333" t="s">
        <v>7271</v>
      </c>
      <c r="V408" s="168">
        <f t="shared" si="3"/>
        <v>17400</v>
      </c>
      <c r="W408" s="168">
        <f t="shared" si="4"/>
        <v>0</v>
      </c>
      <c r="X408" s="168">
        <f t="shared" si="5"/>
        <v>0</v>
      </c>
      <c r="Y408" s="168">
        <f t="shared" si="6"/>
        <v>0</v>
      </c>
      <c r="Z408" s="168">
        <f t="shared" si="7"/>
        <v>0</v>
      </c>
      <c r="AA408" s="168">
        <f t="shared" si="8"/>
        <v>0</v>
      </c>
      <c r="AB408" s="168">
        <f t="shared" si="9"/>
        <v>0</v>
      </c>
    </row>
    <row r="409" ht="14.25" customHeight="1">
      <c r="A409" s="157">
        <v>1151.0</v>
      </c>
      <c r="B409" s="169" t="s">
        <v>103</v>
      </c>
      <c r="C409" s="169" t="s">
        <v>724</v>
      </c>
      <c r="D409" s="159">
        <v>43205.0</v>
      </c>
      <c r="E409" s="157" t="s">
        <v>2</v>
      </c>
      <c r="F409" s="160">
        <v>10769.28</v>
      </c>
      <c r="G409" s="160">
        <v>1723.08</v>
      </c>
      <c r="H409" s="160">
        <f t="shared" si="26"/>
        <v>12492.36</v>
      </c>
      <c r="I409" s="172"/>
      <c r="J409" s="169"/>
      <c r="K409" s="172"/>
      <c r="L409" s="172">
        <f>+'FACUS$'!$H409-'FACUS$'!$I409-'FACUS$'!$K409</f>
        <v>12492.36</v>
      </c>
      <c r="M409" s="157" t="s">
        <v>43</v>
      </c>
      <c r="N409" s="162" t="s">
        <v>554</v>
      </c>
      <c r="O409" s="332">
        <v>43244.0</v>
      </c>
      <c r="P409" s="164" t="str">
        <f t="array" ref="P409">XLOOKUP('FACUS$'!$B409,'perfil de pagos'!$A$4:$A$46,'perfil de pagos'!$C$4:$C$46+'FACUS$'!$D409)</f>
        <v>#N/A</v>
      </c>
      <c r="Q409" s="165">
        <f t="shared" si="2"/>
        <v>0</v>
      </c>
      <c r="R409" s="171"/>
      <c r="S409" s="171"/>
      <c r="T409" s="171"/>
      <c r="U409" s="333" t="s">
        <v>7271</v>
      </c>
      <c r="V409" s="168">
        <f t="shared" si="3"/>
        <v>12492.36</v>
      </c>
      <c r="W409" s="168">
        <f t="shared" si="4"/>
        <v>0</v>
      </c>
      <c r="X409" s="168">
        <f t="shared" si="5"/>
        <v>0</v>
      </c>
      <c r="Y409" s="168">
        <f t="shared" si="6"/>
        <v>0</v>
      </c>
      <c r="Z409" s="168">
        <f t="shared" si="7"/>
        <v>0</v>
      </c>
      <c r="AA409" s="168">
        <f t="shared" si="8"/>
        <v>0</v>
      </c>
      <c r="AB409" s="168">
        <f t="shared" si="9"/>
        <v>0</v>
      </c>
    </row>
    <row r="410" ht="14.25" customHeight="1">
      <c r="A410" s="157">
        <v>1153.0</v>
      </c>
      <c r="B410" s="169" t="s">
        <v>720</v>
      </c>
      <c r="C410" s="169" t="s">
        <v>724</v>
      </c>
      <c r="D410" s="159">
        <v>43205.0</v>
      </c>
      <c r="E410" s="157" t="s">
        <v>2</v>
      </c>
      <c r="F410" s="160">
        <v>43728.0</v>
      </c>
      <c r="G410" s="160">
        <v>6996.48</v>
      </c>
      <c r="H410" s="160">
        <f t="shared" si="26"/>
        <v>50724.48</v>
      </c>
      <c r="I410" s="172"/>
      <c r="J410" s="169"/>
      <c r="K410" s="172"/>
      <c r="L410" s="172">
        <f>+'FACUS$'!$H410-'FACUS$'!$I410-'FACUS$'!$K410</f>
        <v>50724.48</v>
      </c>
      <c r="M410" s="157" t="s">
        <v>777</v>
      </c>
      <c r="N410" s="162" t="s">
        <v>554</v>
      </c>
      <c r="O410" s="332">
        <v>43236.0</v>
      </c>
      <c r="P410" s="164" t="str">
        <f t="array" ref="P410">XLOOKUP('FACUS$'!$B410,'perfil de pagos'!$A$4:$A$46,'perfil de pagos'!$C$4:$C$46+'FACUS$'!$D410)</f>
        <v>#N/A</v>
      </c>
      <c r="Q410" s="165">
        <f t="shared" si="2"/>
        <v>0</v>
      </c>
      <c r="R410" s="171"/>
      <c r="S410" s="171"/>
      <c r="T410" s="171"/>
      <c r="U410" s="333" t="s">
        <v>7271</v>
      </c>
      <c r="V410" s="168">
        <f t="shared" si="3"/>
        <v>50724.48</v>
      </c>
      <c r="W410" s="168">
        <f t="shared" si="4"/>
        <v>0</v>
      </c>
      <c r="X410" s="168">
        <f t="shared" si="5"/>
        <v>0</v>
      </c>
      <c r="Y410" s="168">
        <f t="shared" si="6"/>
        <v>0</v>
      </c>
      <c r="Z410" s="168">
        <f t="shared" si="7"/>
        <v>0</v>
      </c>
      <c r="AA410" s="168">
        <f t="shared" si="8"/>
        <v>0</v>
      </c>
      <c r="AB410" s="168">
        <f t="shared" si="9"/>
        <v>0</v>
      </c>
    </row>
    <row r="411" ht="14.25" customHeight="1">
      <c r="A411" s="157">
        <v>1157.0</v>
      </c>
      <c r="B411" s="169" t="s">
        <v>18</v>
      </c>
      <c r="C411" s="169" t="s">
        <v>724</v>
      </c>
      <c r="D411" s="159">
        <v>43205.0</v>
      </c>
      <c r="E411" s="157" t="s">
        <v>2</v>
      </c>
      <c r="F411" s="160">
        <v>9368.28</v>
      </c>
      <c r="G411" s="160">
        <v>1498.92</v>
      </c>
      <c r="H411" s="160">
        <f t="shared" si="26"/>
        <v>10867.2</v>
      </c>
      <c r="I411" s="172"/>
      <c r="J411" s="169"/>
      <c r="K411" s="172"/>
      <c r="L411" s="172">
        <f>+'FACUS$'!$H411-'FACUS$'!$I411-'FACUS$'!$K411</f>
        <v>10867.2</v>
      </c>
      <c r="M411" s="157" t="s">
        <v>586</v>
      </c>
      <c r="N411" s="162" t="s">
        <v>554</v>
      </c>
      <c r="O411" s="332">
        <v>43245.0</v>
      </c>
      <c r="P411" s="164">
        <f t="array" ref="P411">XLOOKUP('FACUS$'!$B411,'perfil de pagos'!$A$4:$A$46,'perfil de pagos'!$C$4:$C$46+'FACUS$'!$D411)</f>
        <v>43215</v>
      </c>
      <c r="Q411" s="165">
        <f t="shared" si="2"/>
        <v>0</v>
      </c>
      <c r="R411" s="171"/>
      <c r="S411" s="171"/>
      <c r="T411" s="171"/>
      <c r="U411" s="333" t="s">
        <v>7271</v>
      </c>
      <c r="V411" s="168">
        <f t="shared" si="3"/>
        <v>10867.2</v>
      </c>
      <c r="W411" s="168">
        <f t="shared" si="4"/>
        <v>0</v>
      </c>
      <c r="X411" s="168">
        <f t="shared" si="5"/>
        <v>0</v>
      </c>
      <c r="Y411" s="168">
        <f t="shared" si="6"/>
        <v>0</v>
      </c>
      <c r="Z411" s="168">
        <f t="shared" si="7"/>
        <v>0</v>
      </c>
      <c r="AA411" s="168">
        <f t="shared" si="8"/>
        <v>0</v>
      </c>
      <c r="AB411" s="168">
        <f t="shared" si="9"/>
        <v>0</v>
      </c>
    </row>
    <row r="412" ht="14.25" customHeight="1">
      <c r="A412" s="157">
        <v>1159.0</v>
      </c>
      <c r="B412" s="169" t="s">
        <v>20</v>
      </c>
      <c r="C412" s="169" t="s">
        <v>724</v>
      </c>
      <c r="D412" s="159">
        <v>43205.0</v>
      </c>
      <c r="E412" s="157" t="s">
        <v>2</v>
      </c>
      <c r="F412" s="160">
        <v>13133.34</v>
      </c>
      <c r="G412" s="160">
        <v>2101.34</v>
      </c>
      <c r="H412" s="160">
        <f t="shared" si="26"/>
        <v>15234.68</v>
      </c>
      <c r="I412" s="172"/>
      <c r="J412" s="169"/>
      <c r="K412" s="172"/>
      <c r="L412" s="172">
        <f>+'FACUS$'!$H412-'FACUS$'!$I412-'FACUS$'!$K412</f>
        <v>15234.68</v>
      </c>
      <c r="M412" s="157" t="s">
        <v>732</v>
      </c>
      <c r="N412" s="162" t="s">
        <v>554</v>
      </c>
      <c r="O412" s="332">
        <v>43245.0</v>
      </c>
      <c r="P412" s="164">
        <f t="array" ref="P412">XLOOKUP('FACUS$'!$B412,'perfil de pagos'!$A$4:$A$46,'perfil de pagos'!$C$4:$C$46+'FACUS$'!$D412)</f>
        <v>43215</v>
      </c>
      <c r="Q412" s="165">
        <f t="shared" si="2"/>
        <v>0</v>
      </c>
      <c r="R412" s="171"/>
      <c r="S412" s="171"/>
      <c r="T412" s="171"/>
      <c r="U412" s="333" t="s">
        <v>7271</v>
      </c>
      <c r="V412" s="168">
        <f t="shared" si="3"/>
        <v>15234.68</v>
      </c>
      <c r="W412" s="168">
        <f t="shared" si="4"/>
        <v>0</v>
      </c>
      <c r="X412" s="168">
        <f t="shared" si="5"/>
        <v>0</v>
      </c>
      <c r="Y412" s="168">
        <f t="shared" si="6"/>
        <v>0</v>
      </c>
      <c r="Z412" s="168">
        <f t="shared" si="7"/>
        <v>0</v>
      </c>
      <c r="AA412" s="168">
        <f t="shared" si="8"/>
        <v>0</v>
      </c>
      <c r="AB412" s="168">
        <f t="shared" si="9"/>
        <v>0</v>
      </c>
    </row>
    <row r="413" ht="14.25" customHeight="1">
      <c r="A413" s="157">
        <v>1161.0</v>
      </c>
      <c r="B413" s="169" t="s">
        <v>37</v>
      </c>
      <c r="C413" s="169" t="s">
        <v>724</v>
      </c>
      <c r="D413" s="159">
        <v>43205.0</v>
      </c>
      <c r="E413" s="157" t="s">
        <v>2</v>
      </c>
      <c r="F413" s="160">
        <v>103032.05</v>
      </c>
      <c r="G413" s="160">
        <v>16485.13</v>
      </c>
      <c r="H413" s="160">
        <f t="shared" si="26"/>
        <v>119517.18</v>
      </c>
      <c r="I413" s="172"/>
      <c r="J413" s="169"/>
      <c r="K413" s="172"/>
      <c r="L413" s="172">
        <f>+'FACUS$'!$H413-'FACUS$'!$I413-'FACUS$'!$K413</f>
        <v>119517.18</v>
      </c>
      <c r="M413" s="157" t="s">
        <v>718</v>
      </c>
      <c r="N413" s="162" t="s">
        <v>554</v>
      </c>
      <c r="O413" s="332">
        <v>43327.0</v>
      </c>
      <c r="P413" s="164">
        <f t="array" ref="P413">XLOOKUP('FACUS$'!$B413,'perfil de pagos'!$A$4:$A$46,'perfil de pagos'!$C$4:$C$46+'FACUS$'!$D413)</f>
        <v>43215</v>
      </c>
      <c r="Q413" s="165">
        <f t="shared" si="2"/>
        <v>0</v>
      </c>
      <c r="R413" s="171"/>
      <c r="S413" s="171"/>
      <c r="T413" s="171"/>
      <c r="U413" s="333" t="s">
        <v>7271</v>
      </c>
      <c r="V413" s="168">
        <f t="shared" si="3"/>
        <v>119517.18</v>
      </c>
      <c r="W413" s="168">
        <f t="shared" si="4"/>
        <v>0</v>
      </c>
      <c r="X413" s="168">
        <f t="shared" si="5"/>
        <v>0</v>
      </c>
      <c r="Y413" s="168">
        <f t="shared" si="6"/>
        <v>0</v>
      </c>
      <c r="Z413" s="168">
        <f t="shared" si="7"/>
        <v>0</v>
      </c>
      <c r="AA413" s="168">
        <f t="shared" si="8"/>
        <v>0</v>
      </c>
      <c r="AB413" s="168">
        <f t="shared" si="9"/>
        <v>0</v>
      </c>
    </row>
    <row r="414" ht="14.25" customHeight="1">
      <c r="A414" s="157">
        <v>1169.0</v>
      </c>
      <c r="B414" s="169" t="s">
        <v>29</v>
      </c>
      <c r="C414" s="169" t="s">
        <v>724</v>
      </c>
      <c r="D414" s="159">
        <v>43205.0</v>
      </c>
      <c r="E414" s="157" t="s">
        <v>2</v>
      </c>
      <c r="F414" s="160">
        <v>137.2</v>
      </c>
      <c r="G414" s="160">
        <v>21.95</v>
      </c>
      <c r="H414" s="160">
        <f t="shared" si="26"/>
        <v>159.15</v>
      </c>
      <c r="I414" s="172"/>
      <c r="J414" s="169"/>
      <c r="K414" s="172"/>
      <c r="L414" s="172">
        <f>+'FACUS$'!$H414-'FACUS$'!$I414-'FACUS$'!$K414</f>
        <v>159.15</v>
      </c>
      <c r="M414" s="157" t="s">
        <v>825</v>
      </c>
      <c r="N414" s="162" t="s">
        <v>554</v>
      </c>
      <c r="O414" s="332"/>
      <c r="P414" s="164">
        <f t="array" ref="P414">XLOOKUP('FACUS$'!$B414,'perfil de pagos'!$A$4:$A$46,'perfil de pagos'!$C$4:$C$46+'FACUS$'!$D414)</f>
        <v>43215</v>
      </c>
      <c r="Q414" s="165">
        <f t="shared" si="2"/>
        <v>0</v>
      </c>
      <c r="R414" s="171"/>
      <c r="S414" s="171"/>
      <c r="T414" s="171"/>
      <c r="U414" s="333" t="s">
        <v>7271</v>
      </c>
      <c r="V414" s="168">
        <f t="shared" si="3"/>
        <v>159.15</v>
      </c>
      <c r="W414" s="168">
        <f t="shared" si="4"/>
        <v>0</v>
      </c>
      <c r="X414" s="168">
        <f t="shared" si="5"/>
        <v>0</v>
      </c>
      <c r="Y414" s="168">
        <f t="shared" si="6"/>
        <v>0</v>
      </c>
      <c r="Z414" s="168">
        <f t="shared" si="7"/>
        <v>0</v>
      </c>
      <c r="AA414" s="168">
        <f t="shared" si="8"/>
        <v>0</v>
      </c>
      <c r="AB414" s="168">
        <f t="shared" si="9"/>
        <v>0</v>
      </c>
    </row>
    <row r="415" ht="14.25" customHeight="1">
      <c r="A415" s="157">
        <v>1170.0</v>
      </c>
      <c r="B415" s="169" t="s">
        <v>29</v>
      </c>
      <c r="C415" s="169" t="s">
        <v>724</v>
      </c>
      <c r="D415" s="159">
        <v>43205.0</v>
      </c>
      <c r="E415" s="157" t="s">
        <v>2</v>
      </c>
      <c r="F415" s="160">
        <v>34986.0</v>
      </c>
      <c r="G415" s="160">
        <v>5597.76</v>
      </c>
      <c r="H415" s="160">
        <f t="shared" si="26"/>
        <v>40583.76</v>
      </c>
      <c r="I415" s="172"/>
      <c r="J415" s="169"/>
      <c r="K415" s="172"/>
      <c r="L415" s="172">
        <f>+'FACUS$'!$H415-'FACUS$'!$I415-'FACUS$'!$K415</f>
        <v>40583.76</v>
      </c>
      <c r="M415" s="157" t="s">
        <v>825</v>
      </c>
      <c r="N415" s="162" t="s">
        <v>127</v>
      </c>
      <c r="O415" s="332"/>
      <c r="P415" s="164">
        <f t="array" ref="P415">XLOOKUP('FACUS$'!$B415,'perfil de pagos'!$A$4:$A$46,'perfil de pagos'!$C$4:$C$46+'FACUS$'!$D415)</f>
        <v>43215</v>
      </c>
      <c r="Q415" s="165" t="str">
        <f t="shared" si="2"/>
        <v>N/A</v>
      </c>
      <c r="R415" s="171"/>
      <c r="S415" s="171"/>
      <c r="T415" s="171"/>
      <c r="U415" s="333" t="s">
        <v>7271</v>
      </c>
      <c r="V415" s="168">
        <f t="shared" si="3"/>
        <v>0</v>
      </c>
      <c r="W415" s="168">
        <f t="shared" si="4"/>
        <v>0</v>
      </c>
      <c r="X415" s="168">
        <f t="shared" si="5"/>
        <v>0</v>
      </c>
      <c r="Y415" s="168">
        <f t="shared" si="6"/>
        <v>0</v>
      </c>
      <c r="Z415" s="168">
        <f t="shared" si="7"/>
        <v>0</v>
      </c>
      <c r="AA415" s="168">
        <f t="shared" si="8"/>
        <v>0</v>
      </c>
      <c r="AB415" s="168">
        <f t="shared" si="9"/>
        <v>40583.76</v>
      </c>
    </row>
    <row r="416" ht="14.25" customHeight="1">
      <c r="A416" s="157">
        <v>1172.0</v>
      </c>
      <c r="B416" s="169" t="s">
        <v>29</v>
      </c>
      <c r="C416" s="169" t="s">
        <v>724</v>
      </c>
      <c r="D416" s="159">
        <v>43205.0</v>
      </c>
      <c r="E416" s="157" t="s">
        <v>2</v>
      </c>
      <c r="F416" s="160">
        <v>88.2</v>
      </c>
      <c r="G416" s="160">
        <v>14.11</v>
      </c>
      <c r="H416" s="179">
        <f t="shared" si="26"/>
        <v>102.31</v>
      </c>
      <c r="I416" s="173"/>
      <c r="J416" s="170"/>
      <c r="K416" s="173"/>
      <c r="L416" s="173">
        <f>+'FACUS$'!$H416-'FACUS$'!$I416-'FACUS$'!$K416</f>
        <v>102.31</v>
      </c>
      <c r="M416" s="157" t="s">
        <v>825</v>
      </c>
      <c r="N416" s="162" t="s">
        <v>554</v>
      </c>
      <c r="O416" s="332">
        <v>43251.0</v>
      </c>
      <c r="P416" s="164">
        <f t="array" ref="P416">XLOOKUP('FACUS$'!$B416,'perfil de pagos'!$A$4:$A$46,'perfil de pagos'!$C$4:$C$46+'FACUS$'!$D416)</f>
        <v>43215</v>
      </c>
      <c r="Q416" s="165">
        <f t="shared" si="2"/>
        <v>0</v>
      </c>
      <c r="R416" s="171"/>
      <c r="S416" s="171"/>
      <c r="T416" s="171"/>
      <c r="U416" s="333" t="s">
        <v>7271</v>
      </c>
      <c r="V416" s="168">
        <f t="shared" si="3"/>
        <v>102.31</v>
      </c>
      <c r="W416" s="168">
        <f t="shared" si="4"/>
        <v>0</v>
      </c>
      <c r="X416" s="168">
        <f t="shared" si="5"/>
        <v>0</v>
      </c>
      <c r="Y416" s="168">
        <f t="shared" si="6"/>
        <v>0</v>
      </c>
      <c r="Z416" s="168">
        <f t="shared" si="7"/>
        <v>0</v>
      </c>
      <c r="AA416" s="168">
        <f t="shared" si="8"/>
        <v>0</v>
      </c>
      <c r="AB416" s="168">
        <f t="shared" si="9"/>
        <v>0</v>
      </c>
    </row>
    <row r="417" ht="14.25" customHeight="1">
      <c r="A417" s="157">
        <v>1173.0</v>
      </c>
      <c r="B417" s="169" t="s">
        <v>29</v>
      </c>
      <c r="C417" s="169" t="s">
        <v>724</v>
      </c>
      <c r="D417" s="159">
        <v>43205.0</v>
      </c>
      <c r="E417" s="157" t="s">
        <v>2</v>
      </c>
      <c r="F417" s="160">
        <v>34986.0</v>
      </c>
      <c r="G417" s="160">
        <v>5597.76</v>
      </c>
      <c r="H417" s="160">
        <f t="shared" si="26"/>
        <v>40583.76</v>
      </c>
      <c r="I417" s="172"/>
      <c r="J417" s="169"/>
      <c r="K417" s="172"/>
      <c r="L417" s="172">
        <f>+'FACUS$'!$H417-'FACUS$'!$I417-'FACUS$'!$K417</f>
        <v>40583.76</v>
      </c>
      <c r="M417" s="157" t="s">
        <v>825</v>
      </c>
      <c r="N417" s="162" t="s">
        <v>554</v>
      </c>
      <c r="O417" s="332">
        <v>43251.0</v>
      </c>
      <c r="P417" s="164">
        <f t="array" ref="P417">XLOOKUP('FACUS$'!$B417,'perfil de pagos'!$A$4:$A$46,'perfil de pagos'!$C$4:$C$46+'FACUS$'!$D417)</f>
        <v>43215</v>
      </c>
      <c r="Q417" s="165">
        <f t="shared" si="2"/>
        <v>0</v>
      </c>
      <c r="R417" s="171"/>
      <c r="S417" s="171"/>
      <c r="T417" s="171"/>
      <c r="U417" s="333" t="s">
        <v>7271</v>
      </c>
      <c r="V417" s="168">
        <f t="shared" si="3"/>
        <v>40583.76</v>
      </c>
      <c r="W417" s="168">
        <f t="shared" si="4"/>
        <v>0</v>
      </c>
      <c r="X417" s="168">
        <f t="shared" si="5"/>
        <v>0</v>
      </c>
      <c r="Y417" s="168">
        <f t="shared" si="6"/>
        <v>0</v>
      </c>
      <c r="Z417" s="168">
        <f t="shared" si="7"/>
        <v>0</v>
      </c>
      <c r="AA417" s="168">
        <f t="shared" si="8"/>
        <v>0</v>
      </c>
      <c r="AB417" s="168">
        <f t="shared" si="9"/>
        <v>0</v>
      </c>
    </row>
    <row r="418" ht="14.25" customHeight="1">
      <c r="A418" s="157">
        <v>1179.0</v>
      </c>
      <c r="B418" s="169" t="s">
        <v>43</v>
      </c>
      <c r="C418" s="169" t="s">
        <v>724</v>
      </c>
      <c r="D418" s="159">
        <v>43221.0</v>
      </c>
      <c r="E418" s="157" t="s">
        <v>2</v>
      </c>
      <c r="F418" s="160">
        <v>601.98</v>
      </c>
      <c r="G418" s="160">
        <v>96.32</v>
      </c>
      <c r="H418" s="160">
        <f t="shared" si="26"/>
        <v>698.3</v>
      </c>
      <c r="I418" s="172"/>
      <c r="J418" s="169"/>
      <c r="K418" s="172"/>
      <c r="L418" s="172">
        <f>+'FACUS$'!$H418-'FACUS$'!$I418-'FACUS$'!$K418</f>
        <v>698.3</v>
      </c>
      <c r="M418" s="157" t="s">
        <v>43</v>
      </c>
      <c r="N418" s="162" t="s">
        <v>554</v>
      </c>
      <c r="O418" s="332">
        <v>43257.0</v>
      </c>
      <c r="P418" s="164">
        <f t="array" ref="P418">XLOOKUP('FACUS$'!$B418,'perfil de pagos'!$A$4:$A$46,'perfil de pagos'!$C$4:$C$46+'FACUS$'!$D418)</f>
        <v>43246</v>
      </c>
      <c r="Q418" s="165">
        <f t="shared" si="2"/>
        <v>0</v>
      </c>
      <c r="R418" s="171"/>
      <c r="S418" s="171"/>
      <c r="T418" s="171"/>
      <c r="U418" s="333" t="s">
        <v>7271</v>
      </c>
      <c r="V418" s="168">
        <f t="shared" si="3"/>
        <v>698.3</v>
      </c>
      <c r="W418" s="168">
        <f t="shared" si="4"/>
        <v>0</v>
      </c>
      <c r="X418" s="168">
        <f t="shared" si="5"/>
        <v>0</v>
      </c>
      <c r="Y418" s="168">
        <f t="shared" si="6"/>
        <v>0</v>
      </c>
      <c r="Z418" s="168">
        <f t="shared" si="7"/>
        <v>0</v>
      </c>
      <c r="AA418" s="168">
        <f t="shared" si="8"/>
        <v>0</v>
      </c>
      <c r="AB418" s="168">
        <f t="shared" si="9"/>
        <v>0</v>
      </c>
    </row>
    <row r="419" ht="14.25" customHeight="1">
      <c r="A419" s="157">
        <v>1181.0</v>
      </c>
      <c r="B419" s="169" t="s">
        <v>720</v>
      </c>
      <c r="C419" s="169" t="s">
        <v>724</v>
      </c>
      <c r="D419" s="159">
        <v>43221.0</v>
      </c>
      <c r="E419" s="157" t="s">
        <v>2</v>
      </c>
      <c r="F419" s="160">
        <v>37272.0</v>
      </c>
      <c r="G419" s="160">
        <v>5963.52</v>
      </c>
      <c r="H419" s="160">
        <f t="shared" si="26"/>
        <v>43235.52</v>
      </c>
      <c r="I419" s="172"/>
      <c r="J419" s="169"/>
      <c r="K419" s="172"/>
      <c r="L419" s="172">
        <f>+'FACUS$'!$H419-'FACUS$'!$I419-'FACUS$'!$K419</f>
        <v>43235.52</v>
      </c>
      <c r="M419" s="157" t="s">
        <v>721</v>
      </c>
      <c r="N419" s="162" t="s">
        <v>554</v>
      </c>
      <c r="O419" s="332">
        <v>43250.0</v>
      </c>
      <c r="P419" s="164" t="str">
        <f t="array" ref="P419">XLOOKUP('FACUS$'!$B419,'perfil de pagos'!$A$4:$A$46,'perfil de pagos'!$C$4:$C$46+'FACUS$'!$D419)</f>
        <v>#N/A</v>
      </c>
      <c r="Q419" s="165">
        <f t="shared" si="2"/>
        <v>0</v>
      </c>
      <c r="R419" s="171"/>
      <c r="S419" s="171"/>
      <c r="T419" s="171"/>
      <c r="U419" s="333" t="s">
        <v>7271</v>
      </c>
      <c r="V419" s="168">
        <f t="shared" si="3"/>
        <v>43235.52</v>
      </c>
      <c r="W419" s="168">
        <f t="shared" si="4"/>
        <v>0</v>
      </c>
      <c r="X419" s="168">
        <f t="shared" si="5"/>
        <v>0</v>
      </c>
      <c r="Y419" s="168">
        <f t="shared" si="6"/>
        <v>0</v>
      </c>
      <c r="Z419" s="168">
        <f t="shared" si="7"/>
        <v>0</v>
      </c>
      <c r="AA419" s="168">
        <f t="shared" si="8"/>
        <v>0</v>
      </c>
      <c r="AB419" s="168">
        <f t="shared" si="9"/>
        <v>0</v>
      </c>
    </row>
    <row r="420" ht="14.25" customHeight="1">
      <c r="A420" s="157">
        <v>1184.0</v>
      </c>
      <c r="B420" s="169" t="s">
        <v>37</v>
      </c>
      <c r="C420" s="169" t="s">
        <v>724</v>
      </c>
      <c r="D420" s="159">
        <v>43242.0</v>
      </c>
      <c r="E420" s="157" t="s">
        <v>2</v>
      </c>
      <c r="F420" s="160">
        <v>93162.3</v>
      </c>
      <c r="G420" s="160">
        <v>14905.97</v>
      </c>
      <c r="H420" s="160">
        <f t="shared" si="26"/>
        <v>108068.27</v>
      </c>
      <c r="I420" s="172"/>
      <c r="J420" s="169"/>
      <c r="K420" s="172"/>
      <c r="L420" s="172">
        <f>+'FACUS$'!$H420-'FACUS$'!$I420-'FACUS$'!$K420</f>
        <v>108068.27</v>
      </c>
      <c r="M420" s="157" t="s">
        <v>718</v>
      </c>
      <c r="N420" s="162" t="s">
        <v>554</v>
      </c>
      <c r="O420" s="332">
        <v>43242.0</v>
      </c>
      <c r="P420" s="164">
        <f t="array" ref="P420">XLOOKUP('FACUS$'!$B420,'perfil de pagos'!$A$4:$A$46,'perfil de pagos'!$C$4:$C$46+'FACUS$'!$D420)</f>
        <v>43252</v>
      </c>
      <c r="Q420" s="165">
        <f t="shared" si="2"/>
        <v>0</v>
      </c>
      <c r="R420" s="171"/>
      <c r="S420" s="171"/>
      <c r="T420" s="171"/>
      <c r="U420" s="333" t="s">
        <v>7271</v>
      </c>
      <c r="V420" s="168">
        <f t="shared" si="3"/>
        <v>108068.27</v>
      </c>
      <c r="W420" s="168">
        <f t="shared" si="4"/>
        <v>0</v>
      </c>
      <c r="X420" s="168">
        <f t="shared" si="5"/>
        <v>0</v>
      </c>
      <c r="Y420" s="168">
        <f t="shared" si="6"/>
        <v>0</v>
      </c>
      <c r="Z420" s="168">
        <f t="shared" si="7"/>
        <v>0</v>
      </c>
      <c r="AA420" s="168">
        <f t="shared" si="8"/>
        <v>0</v>
      </c>
      <c r="AB420" s="168">
        <f t="shared" si="9"/>
        <v>0</v>
      </c>
    </row>
    <row r="421" ht="14.25" customHeight="1">
      <c r="A421" s="157">
        <v>1188.0</v>
      </c>
      <c r="B421" s="169" t="s">
        <v>18</v>
      </c>
      <c r="C421" s="169" t="s">
        <v>724</v>
      </c>
      <c r="D421" s="159">
        <v>43221.0</v>
      </c>
      <c r="E421" s="157" t="s">
        <v>2</v>
      </c>
      <c r="F421" s="160">
        <v>10004.28</v>
      </c>
      <c r="G421" s="160">
        <v>1600.68</v>
      </c>
      <c r="H421" s="160">
        <f t="shared" si="26"/>
        <v>11604.96</v>
      </c>
      <c r="I421" s="172"/>
      <c r="J421" s="169"/>
      <c r="K421" s="172"/>
      <c r="L421" s="172">
        <f>+'FACUS$'!$H421-'FACUS$'!$I421-'FACUS$'!$K421</f>
        <v>11604.96</v>
      </c>
      <c r="M421" s="157" t="s">
        <v>586</v>
      </c>
      <c r="N421" s="162" t="s">
        <v>554</v>
      </c>
      <c r="O421" s="332">
        <v>43252.0</v>
      </c>
      <c r="P421" s="164">
        <f t="array" ref="P421">XLOOKUP('FACUS$'!$B421,'perfil de pagos'!$A$4:$A$46,'perfil de pagos'!$C$4:$C$46+'FACUS$'!$D421)</f>
        <v>43231</v>
      </c>
      <c r="Q421" s="165">
        <f t="shared" si="2"/>
        <v>0</v>
      </c>
      <c r="R421" s="171"/>
      <c r="S421" s="171"/>
      <c r="T421" s="171"/>
      <c r="U421" s="333" t="s">
        <v>7271</v>
      </c>
      <c r="V421" s="168">
        <f t="shared" si="3"/>
        <v>11604.96</v>
      </c>
      <c r="W421" s="168">
        <f t="shared" si="4"/>
        <v>0</v>
      </c>
      <c r="X421" s="168">
        <f t="shared" si="5"/>
        <v>0</v>
      </c>
      <c r="Y421" s="168">
        <f t="shared" si="6"/>
        <v>0</v>
      </c>
      <c r="Z421" s="168">
        <f t="shared" si="7"/>
        <v>0</v>
      </c>
      <c r="AA421" s="168">
        <f t="shared" si="8"/>
        <v>0</v>
      </c>
      <c r="AB421" s="168">
        <f t="shared" si="9"/>
        <v>0</v>
      </c>
    </row>
    <row r="422" ht="14.25" customHeight="1">
      <c r="A422" s="157">
        <v>1190.0</v>
      </c>
      <c r="B422" s="169" t="s">
        <v>24</v>
      </c>
      <c r="C422" s="169" t="s">
        <v>724</v>
      </c>
      <c r="D422" s="159">
        <v>43221.0</v>
      </c>
      <c r="E422" s="157" t="s">
        <v>2</v>
      </c>
      <c r="F422" s="160">
        <v>1423.8</v>
      </c>
      <c r="G422" s="160">
        <v>227.81</v>
      </c>
      <c r="H422" s="160">
        <f t="shared" si="26"/>
        <v>1651.61</v>
      </c>
      <c r="I422" s="172"/>
      <c r="J422" s="169"/>
      <c r="K422" s="172"/>
      <c r="L422" s="172">
        <f>+'FACUS$'!$H422-'FACUS$'!$I422-'FACUS$'!$K422</f>
        <v>1651.61</v>
      </c>
      <c r="M422" s="157" t="s">
        <v>91</v>
      </c>
      <c r="N422" s="162" t="s">
        <v>554</v>
      </c>
      <c r="O422" s="332">
        <v>43276.0</v>
      </c>
      <c r="P422" s="164">
        <f t="array" ref="P422">XLOOKUP('FACUS$'!$B422,'perfil de pagos'!$A$4:$A$46,'perfil de pagos'!$C$4:$C$46+'FACUS$'!$D422)</f>
        <v>43231</v>
      </c>
      <c r="Q422" s="165">
        <f t="shared" si="2"/>
        <v>0</v>
      </c>
      <c r="R422" s="171"/>
      <c r="S422" s="171"/>
      <c r="T422" s="171"/>
      <c r="U422" s="333" t="s">
        <v>7271</v>
      </c>
      <c r="V422" s="168">
        <f t="shared" si="3"/>
        <v>1651.61</v>
      </c>
      <c r="W422" s="168">
        <f t="shared" si="4"/>
        <v>0</v>
      </c>
      <c r="X422" s="168">
        <f t="shared" si="5"/>
        <v>0</v>
      </c>
      <c r="Y422" s="168">
        <f t="shared" si="6"/>
        <v>0</v>
      </c>
      <c r="Z422" s="168">
        <f t="shared" si="7"/>
        <v>0</v>
      </c>
      <c r="AA422" s="168">
        <f t="shared" si="8"/>
        <v>0</v>
      </c>
      <c r="AB422" s="168">
        <f t="shared" si="9"/>
        <v>0</v>
      </c>
    </row>
    <row r="423" ht="14.25" customHeight="1">
      <c r="A423" s="157">
        <v>1192.0</v>
      </c>
      <c r="B423" s="169"/>
      <c r="C423" s="169"/>
      <c r="D423" s="159"/>
      <c r="E423" s="157"/>
      <c r="F423" s="160"/>
      <c r="G423" s="160"/>
      <c r="H423" s="160">
        <f t="shared" si="26"/>
        <v>0</v>
      </c>
      <c r="I423" s="172"/>
      <c r="J423" s="169"/>
      <c r="K423" s="172"/>
      <c r="L423" s="172">
        <f>+'FACUS$'!$H423-'FACUS$'!$I423-'FACUS$'!$K423</f>
        <v>0</v>
      </c>
      <c r="M423" s="157"/>
      <c r="N423" s="162" t="s">
        <v>127</v>
      </c>
      <c r="O423" s="332"/>
      <c r="P423" s="164" t="str">
        <f t="array" ref="P423">XLOOKUP('FACUS$'!$B423,'perfil de pagos'!$A$4:$A$46,'perfil de pagos'!$C$4:$C$46+'FACUS$'!$D423)</f>
        <v>#N/A</v>
      </c>
      <c r="Q423" s="165" t="str">
        <f t="shared" si="2"/>
        <v>N/A</v>
      </c>
      <c r="R423" s="171"/>
      <c r="S423" s="171"/>
      <c r="T423" s="171"/>
      <c r="U423" s="333" t="s">
        <v>7271</v>
      </c>
      <c r="V423" s="168">
        <f t="shared" si="3"/>
        <v>0</v>
      </c>
      <c r="W423" s="168">
        <f t="shared" si="4"/>
        <v>0</v>
      </c>
      <c r="X423" s="168">
        <f t="shared" si="5"/>
        <v>0</v>
      </c>
      <c r="Y423" s="168">
        <f t="shared" si="6"/>
        <v>0</v>
      </c>
      <c r="Z423" s="168">
        <f t="shared" si="7"/>
        <v>0</v>
      </c>
      <c r="AA423" s="168">
        <f t="shared" si="8"/>
        <v>0</v>
      </c>
      <c r="AB423" s="168">
        <f t="shared" si="9"/>
        <v>0</v>
      </c>
    </row>
    <row r="424" ht="14.25" customHeight="1">
      <c r="A424" s="157">
        <v>1193.0</v>
      </c>
      <c r="B424" s="169" t="s">
        <v>20</v>
      </c>
      <c r="C424" s="169" t="s">
        <v>724</v>
      </c>
      <c r="D424" s="159">
        <v>43221.0</v>
      </c>
      <c r="E424" s="157" t="s">
        <v>2</v>
      </c>
      <c r="F424" s="160">
        <v>11149.08</v>
      </c>
      <c r="G424" s="160">
        <v>1783.85</v>
      </c>
      <c r="H424" s="160">
        <f t="shared" si="26"/>
        <v>12932.93</v>
      </c>
      <c r="I424" s="172"/>
      <c r="J424" s="169"/>
      <c r="K424" s="172"/>
      <c r="L424" s="172">
        <f>+'FACUS$'!$H424-'FACUS$'!$I424-'FACUS$'!$K424</f>
        <v>12932.93</v>
      </c>
      <c r="M424" s="157" t="s">
        <v>732</v>
      </c>
      <c r="N424" s="162" t="s">
        <v>554</v>
      </c>
      <c r="O424" s="332">
        <v>43252.0</v>
      </c>
      <c r="P424" s="164">
        <f t="array" ref="P424">XLOOKUP('FACUS$'!$B424,'perfil de pagos'!$A$4:$A$46,'perfil de pagos'!$C$4:$C$46+'FACUS$'!$D424)</f>
        <v>43231</v>
      </c>
      <c r="Q424" s="165">
        <f t="shared" si="2"/>
        <v>0</v>
      </c>
      <c r="R424" s="171"/>
      <c r="S424" s="171"/>
      <c r="T424" s="171"/>
      <c r="U424" s="333" t="s">
        <v>7271</v>
      </c>
      <c r="V424" s="168">
        <f t="shared" si="3"/>
        <v>12932.93</v>
      </c>
      <c r="W424" s="168">
        <f t="shared" si="4"/>
        <v>0</v>
      </c>
      <c r="X424" s="168">
        <f t="shared" si="5"/>
        <v>0</v>
      </c>
      <c r="Y424" s="168">
        <f t="shared" si="6"/>
        <v>0</v>
      </c>
      <c r="Z424" s="168">
        <f t="shared" si="7"/>
        <v>0</v>
      </c>
      <c r="AA424" s="168">
        <f t="shared" si="8"/>
        <v>0</v>
      </c>
      <c r="AB424" s="168">
        <f t="shared" si="9"/>
        <v>0</v>
      </c>
    </row>
    <row r="425" ht="14.25" customHeight="1">
      <c r="A425" s="157">
        <v>1194.0</v>
      </c>
      <c r="B425" s="169" t="s">
        <v>82</v>
      </c>
      <c r="C425" s="169" t="s">
        <v>7372</v>
      </c>
      <c r="D425" s="159">
        <v>43249.0</v>
      </c>
      <c r="E425" s="157" t="s">
        <v>2</v>
      </c>
      <c r="F425" s="160">
        <v>12343.72</v>
      </c>
      <c r="G425" s="160">
        <v>1975.0</v>
      </c>
      <c r="H425" s="160">
        <f t="shared" si="26"/>
        <v>14318.72</v>
      </c>
      <c r="I425" s="172"/>
      <c r="J425" s="169"/>
      <c r="K425" s="172"/>
      <c r="L425" s="172">
        <f>+'FACUS$'!$H425-'FACUS$'!$I425-'FACUS$'!$K425</f>
        <v>14318.72</v>
      </c>
      <c r="M425" s="157" t="s">
        <v>714</v>
      </c>
      <c r="N425" s="162" t="s">
        <v>554</v>
      </c>
      <c r="O425" s="332">
        <v>43249.0</v>
      </c>
      <c r="P425" s="164" t="str">
        <f t="array" ref="P425">XLOOKUP('FACUS$'!$B425,'perfil de pagos'!$A$4:$A$46,'perfil de pagos'!$C$4:$C$46+'FACUS$'!$D425)</f>
        <v>#N/A</v>
      </c>
      <c r="Q425" s="165">
        <f t="shared" si="2"/>
        <v>0</v>
      </c>
      <c r="R425" s="171"/>
      <c r="S425" s="171"/>
      <c r="T425" s="171"/>
      <c r="U425" s="333" t="s">
        <v>7271</v>
      </c>
      <c r="V425" s="168">
        <f t="shared" si="3"/>
        <v>14318.72</v>
      </c>
      <c r="W425" s="168">
        <f t="shared" si="4"/>
        <v>0</v>
      </c>
      <c r="X425" s="168">
        <f t="shared" si="5"/>
        <v>0</v>
      </c>
      <c r="Y425" s="168">
        <f t="shared" si="6"/>
        <v>0</v>
      </c>
      <c r="Z425" s="168">
        <f t="shared" si="7"/>
        <v>0</v>
      </c>
      <c r="AA425" s="168">
        <f t="shared" si="8"/>
        <v>0</v>
      </c>
      <c r="AB425" s="168">
        <f t="shared" si="9"/>
        <v>0</v>
      </c>
    </row>
    <row r="426" ht="14.25" customHeight="1">
      <c r="A426" s="157">
        <v>1195.0</v>
      </c>
      <c r="B426" s="169" t="s">
        <v>82</v>
      </c>
      <c r="C426" s="169" t="s">
        <v>7373</v>
      </c>
      <c r="D426" s="159">
        <v>43249.0</v>
      </c>
      <c r="E426" s="157" t="s">
        <v>2</v>
      </c>
      <c r="F426" s="160">
        <v>14555.07</v>
      </c>
      <c r="G426" s="160">
        <v>2328.81</v>
      </c>
      <c r="H426" s="179">
        <f t="shared" si="26"/>
        <v>16883.88</v>
      </c>
      <c r="I426" s="173"/>
      <c r="J426" s="170"/>
      <c r="K426" s="173"/>
      <c r="L426" s="173">
        <f>+'FACUS$'!$H426-'FACUS$'!$I426-'FACUS$'!$K426</f>
        <v>16883.88</v>
      </c>
      <c r="M426" s="157" t="s">
        <v>96</v>
      </c>
      <c r="N426" s="162" t="s">
        <v>554</v>
      </c>
      <c r="O426" s="332">
        <v>43229.0</v>
      </c>
      <c r="P426" s="164" t="str">
        <f t="array" ref="P426">XLOOKUP('FACUS$'!$B426,'perfil de pagos'!$A$4:$A$46,'perfil de pagos'!$C$4:$C$46+'FACUS$'!$D426)</f>
        <v>#N/A</v>
      </c>
      <c r="Q426" s="165">
        <f t="shared" si="2"/>
        <v>0</v>
      </c>
      <c r="R426" s="171"/>
      <c r="S426" s="171"/>
      <c r="T426" s="171"/>
      <c r="U426" s="333" t="s">
        <v>7271</v>
      </c>
      <c r="V426" s="168">
        <f t="shared" si="3"/>
        <v>16883.88</v>
      </c>
      <c r="W426" s="168">
        <f t="shared" si="4"/>
        <v>0</v>
      </c>
      <c r="X426" s="168">
        <f t="shared" si="5"/>
        <v>0</v>
      </c>
      <c r="Y426" s="168">
        <f t="shared" si="6"/>
        <v>0</v>
      </c>
      <c r="Z426" s="168">
        <f t="shared" si="7"/>
        <v>0</v>
      </c>
      <c r="AA426" s="168">
        <f t="shared" si="8"/>
        <v>0</v>
      </c>
      <c r="AB426" s="168">
        <f t="shared" si="9"/>
        <v>0</v>
      </c>
    </row>
    <row r="427" ht="14.25" customHeight="1">
      <c r="A427" s="157">
        <v>1196.0</v>
      </c>
      <c r="B427" s="169" t="s">
        <v>82</v>
      </c>
      <c r="C427" s="169" t="s">
        <v>7374</v>
      </c>
      <c r="D427" s="159">
        <v>43249.0</v>
      </c>
      <c r="E427" s="157" t="s">
        <v>2</v>
      </c>
      <c r="F427" s="160">
        <v>14145.5</v>
      </c>
      <c r="G427" s="160">
        <v>2263.28</v>
      </c>
      <c r="H427" s="160">
        <f t="shared" si="26"/>
        <v>16408.78</v>
      </c>
      <c r="I427" s="172"/>
      <c r="J427" s="169"/>
      <c r="K427" s="172"/>
      <c r="L427" s="172">
        <f>+'FACUS$'!$H427-'FACUS$'!$I427-'FACUS$'!$K427</f>
        <v>16408.78</v>
      </c>
      <c r="M427" s="157" t="s">
        <v>714</v>
      </c>
      <c r="N427" s="162" t="s">
        <v>554</v>
      </c>
      <c r="O427" s="332">
        <v>43249.0</v>
      </c>
      <c r="P427" s="164" t="str">
        <f t="array" ref="P427">XLOOKUP('FACUS$'!$B427,'perfil de pagos'!$A$4:$A$46,'perfil de pagos'!$C$4:$C$46+'FACUS$'!$D427)</f>
        <v>#N/A</v>
      </c>
      <c r="Q427" s="165">
        <f t="shared" si="2"/>
        <v>0</v>
      </c>
      <c r="R427" s="171"/>
      <c r="S427" s="171"/>
      <c r="T427" s="171"/>
      <c r="U427" s="333" t="s">
        <v>7271</v>
      </c>
      <c r="V427" s="168">
        <f t="shared" si="3"/>
        <v>16408.78</v>
      </c>
      <c r="W427" s="168">
        <f t="shared" si="4"/>
        <v>0</v>
      </c>
      <c r="X427" s="168">
        <f t="shared" si="5"/>
        <v>0</v>
      </c>
      <c r="Y427" s="168">
        <f t="shared" si="6"/>
        <v>0</v>
      </c>
      <c r="Z427" s="168">
        <f t="shared" si="7"/>
        <v>0</v>
      </c>
      <c r="AA427" s="168">
        <f t="shared" si="8"/>
        <v>0</v>
      </c>
      <c r="AB427" s="168">
        <f t="shared" si="9"/>
        <v>0</v>
      </c>
    </row>
    <row r="428" ht="14.25" customHeight="1">
      <c r="A428" s="157">
        <v>1200.0</v>
      </c>
      <c r="B428" s="169" t="s">
        <v>24</v>
      </c>
      <c r="C428" s="169" t="s">
        <v>724</v>
      </c>
      <c r="D428" s="159">
        <v>43235.0</v>
      </c>
      <c r="E428" s="157" t="s">
        <v>2</v>
      </c>
      <c r="F428" s="160">
        <v>3840.9</v>
      </c>
      <c r="G428" s="160">
        <v>614.54</v>
      </c>
      <c r="H428" s="160">
        <f t="shared" si="26"/>
        <v>4455.44</v>
      </c>
      <c r="I428" s="172"/>
      <c r="J428" s="169"/>
      <c r="K428" s="172"/>
      <c r="L428" s="172">
        <f>+'FACUS$'!$H428-'FACUS$'!$I428-'FACUS$'!$K428</f>
        <v>4455.44</v>
      </c>
      <c r="M428" s="157" t="s">
        <v>91</v>
      </c>
      <c r="N428" s="162" t="s">
        <v>554</v>
      </c>
      <c r="O428" s="332">
        <v>43276.0</v>
      </c>
      <c r="P428" s="164">
        <f t="array" ref="P428">XLOOKUP('FACUS$'!$B428,'perfil de pagos'!$A$4:$A$46,'perfil de pagos'!$C$4:$C$46+'FACUS$'!$D428)</f>
        <v>43245</v>
      </c>
      <c r="Q428" s="165">
        <f t="shared" si="2"/>
        <v>0</v>
      </c>
      <c r="R428" s="171"/>
      <c r="S428" s="171"/>
      <c r="T428" s="171"/>
      <c r="U428" s="333" t="s">
        <v>7271</v>
      </c>
      <c r="V428" s="168">
        <f t="shared" si="3"/>
        <v>4455.44</v>
      </c>
      <c r="W428" s="168">
        <f t="shared" si="4"/>
        <v>0</v>
      </c>
      <c r="X428" s="168">
        <f t="shared" si="5"/>
        <v>0</v>
      </c>
      <c r="Y428" s="168">
        <f t="shared" si="6"/>
        <v>0</v>
      </c>
      <c r="Z428" s="168">
        <f t="shared" si="7"/>
        <v>0</v>
      </c>
      <c r="AA428" s="168">
        <f t="shared" si="8"/>
        <v>0</v>
      </c>
      <c r="AB428" s="168">
        <f t="shared" si="9"/>
        <v>0</v>
      </c>
    </row>
    <row r="429" ht="14.25" customHeight="1">
      <c r="A429" s="157">
        <v>1202.0</v>
      </c>
      <c r="B429" s="169" t="s">
        <v>20</v>
      </c>
      <c r="C429" s="169" t="s">
        <v>724</v>
      </c>
      <c r="D429" s="159">
        <v>43235.0</v>
      </c>
      <c r="E429" s="157" t="s">
        <v>2</v>
      </c>
      <c r="F429" s="160">
        <v>11327.16</v>
      </c>
      <c r="G429" s="160">
        <v>1812.35</v>
      </c>
      <c r="H429" s="160">
        <f t="shared" si="26"/>
        <v>13139.51</v>
      </c>
      <c r="I429" s="172"/>
      <c r="J429" s="169"/>
      <c r="K429" s="172"/>
      <c r="L429" s="172">
        <f>+'FACUS$'!$H429-'FACUS$'!$I429-'FACUS$'!$K429</f>
        <v>13139.51</v>
      </c>
      <c r="M429" s="157" t="s">
        <v>732</v>
      </c>
      <c r="N429" s="162" t="s">
        <v>554</v>
      </c>
      <c r="O429" s="332">
        <v>43285.0</v>
      </c>
      <c r="P429" s="164">
        <f t="array" ref="P429">XLOOKUP('FACUS$'!$B429,'perfil de pagos'!$A$4:$A$46,'perfil de pagos'!$C$4:$C$46+'FACUS$'!$D429)</f>
        <v>43245</v>
      </c>
      <c r="Q429" s="165">
        <f t="shared" si="2"/>
        <v>0</v>
      </c>
      <c r="R429" s="171"/>
      <c r="S429" s="171"/>
      <c r="T429" s="171"/>
      <c r="U429" s="333" t="s">
        <v>7271</v>
      </c>
      <c r="V429" s="168">
        <f t="shared" si="3"/>
        <v>13139.51</v>
      </c>
      <c r="W429" s="168">
        <f t="shared" si="4"/>
        <v>0</v>
      </c>
      <c r="X429" s="168">
        <f t="shared" si="5"/>
        <v>0</v>
      </c>
      <c r="Y429" s="168">
        <f t="shared" si="6"/>
        <v>0</v>
      </c>
      <c r="Z429" s="168">
        <f t="shared" si="7"/>
        <v>0</v>
      </c>
      <c r="AA429" s="168">
        <f t="shared" si="8"/>
        <v>0</v>
      </c>
      <c r="AB429" s="168">
        <f t="shared" si="9"/>
        <v>0</v>
      </c>
    </row>
    <row r="430" ht="14.25" customHeight="1">
      <c r="A430" s="157">
        <v>1204.0</v>
      </c>
      <c r="B430" s="169" t="s">
        <v>37</v>
      </c>
      <c r="C430" s="169" t="s">
        <v>724</v>
      </c>
      <c r="D430" s="159">
        <v>43235.0</v>
      </c>
      <c r="E430" s="157" t="s">
        <v>2</v>
      </c>
      <c r="F430" s="160">
        <v>92682.04</v>
      </c>
      <c r="G430" s="160">
        <v>14829.13</v>
      </c>
      <c r="H430" s="160">
        <f t="shared" si="26"/>
        <v>107511.17</v>
      </c>
      <c r="I430" s="172"/>
      <c r="J430" s="169"/>
      <c r="K430" s="172"/>
      <c r="L430" s="172">
        <f>+'FACUS$'!$H430-'FACUS$'!$I430-'FACUS$'!$K430</f>
        <v>107511.17</v>
      </c>
      <c r="M430" s="157" t="s">
        <v>718</v>
      </c>
      <c r="N430" s="162" t="s">
        <v>554</v>
      </c>
      <c r="O430" s="332">
        <v>43263.0</v>
      </c>
      <c r="P430" s="164">
        <f t="array" ref="P430">XLOOKUP('FACUS$'!$B430,'perfil de pagos'!$A$4:$A$46,'perfil de pagos'!$C$4:$C$46+'FACUS$'!$D430)</f>
        <v>43245</v>
      </c>
      <c r="Q430" s="165">
        <f t="shared" si="2"/>
        <v>0</v>
      </c>
      <c r="R430" s="171"/>
      <c r="S430" s="171"/>
      <c r="T430" s="171"/>
      <c r="U430" s="333" t="s">
        <v>7271</v>
      </c>
      <c r="V430" s="168">
        <f t="shared" si="3"/>
        <v>107511.17</v>
      </c>
      <c r="W430" s="168">
        <f t="shared" si="4"/>
        <v>0</v>
      </c>
      <c r="X430" s="168">
        <f t="shared" si="5"/>
        <v>0</v>
      </c>
      <c r="Y430" s="168">
        <f t="shared" si="6"/>
        <v>0</v>
      </c>
      <c r="Z430" s="168">
        <f t="shared" si="7"/>
        <v>0</v>
      </c>
      <c r="AA430" s="168">
        <f t="shared" si="8"/>
        <v>0</v>
      </c>
      <c r="AB430" s="168">
        <f t="shared" si="9"/>
        <v>0</v>
      </c>
    </row>
    <row r="431" ht="14.25" customHeight="1">
      <c r="A431" s="157">
        <v>1206.0</v>
      </c>
      <c r="B431" s="166" t="s">
        <v>720</v>
      </c>
      <c r="C431" s="166" t="s">
        <v>87</v>
      </c>
      <c r="D431" s="159">
        <v>43235.0</v>
      </c>
      <c r="E431" s="157" t="s">
        <v>2</v>
      </c>
      <c r="F431" s="160">
        <v>31862.4</v>
      </c>
      <c r="G431" s="160">
        <v>5097.98</v>
      </c>
      <c r="H431" s="160">
        <f t="shared" si="26"/>
        <v>36960.38</v>
      </c>
      <c r="I431" s="172"/>
      <c r="J431" s="169"/>
      <c r="K431" s="172"/>
      <c r="L431" s="172">
        <f>+'FACUS$'!$H431-'FACUS$'!$I431-'FACUS$'!$K431</f>
        <v>36960.38</v>
      </c>
      <c r="M431" s="157" t="s">
        <v>777</v>
      </c>
      <c r="N431" s="162" t="s">
        <v>554</v>
      </c>
      <c r="O431" s="332">
        <v>43265.0</v>
      </c>
      <c r="P431" s="164" t="str">
        <f t="array" ref="P431">XLOOKUP('FACUS$'!$B431,'perfil de pagos'!$A$4:$A$46,'perfil de pagos'!$C$4:$C$46+'FACUS$'!$D431)</f>
        <v>#N/A</v>
      </c>
      <c r="Q431" s="165">
        <f t="shared" si="2"/>
        <v>0</v>
      </c>
      <c r="R431" s="171"/>
      <c r="S431" s="171"/>
      <c r="T431" s="171"/>
      <c r="U431" s="333" t="s">
        <v>7271</v>
      </c>
      <c r="V431" s="168">
        <f t="shared" si="3"/>
        <v>36960.38</v>
      </c>
      <c r="W431" s="168">
        <f t="shared" si="4"/>
        <v>0</v>
      </c>
      <c r="X431" s="168">
        <f t="shared" si="5"/>
        <v>0</v>
      </c>
      <c r="Y431" s="168">
        <f t="shared" si="6"/>
        <v>0</v>
      </c>
      <c r="Z431" s="168">
        <f t="shared" si="7"/>
        <v>0</v>
      </c>
      <c r="AA431" s="168">
        <f t="shared" si="8"/>
        <v>0</v>
      </c>
      <c r="AB431" s="168">
        <f t="shared" si="9"/>
        <v>0</v>
      </c>
    </row>
    <row r="432" ht="14.25" customHeight="1">
      <c r="A432" s="157">
        <v>1209.0</v>
      </c>
      <c r="B432" s="169" t="s">
        <v>29</v>
      </c>
      <c r="C432" s="169" t="s">
        <v>724</v>
      </c>
      <c r="D432" s="159">
        <v>43221.0</v>
      </c>
      <c r="E432" s="157" t="s">
        <v>2</v>
      </c>
      <c r="F432" s="160">
        <v>35329.0</v>
      </c>
      <c r="G432" s="160">
        <v>5652.64</v>
      </c>
      <c r="H432" s="160">
        <f t="shared" si="26"/>
        <v>40981.64</v>
      </c>
      <c r="I432" s="172"/>
      <c r="J432" s="169"/>
      <c r="K432" s="172"/>
      <c r="L432" s="172">
        <f>+'FACUS$'!$H432-'FACUS$'!$I432-'FACUS$'!$K432</f>
        <v>40981.64</v>
      </c>
      <c r="M432" s="157" t="s">
        <v>825</v>
      </c>
      <c r="N432" s="162" t="s">
        <v>127</v>
      </c>
      <c r="O432" s="332"/>
      <c r="P432" s="164">
        <f t="array" ref="P432">XLOOKUP('FACUS$'!$B432,'perfil de pagos'!$A$4:$A$46,'perfil de pagos'!$C$4:$C$46+'FACUS$'!$D432)</f>
        <v>43231</v>
      </c>
      <c r="Q432" s="165" t="str">
        <f t="shared" si="2"/>
        <v>N/A</v>
      </c>
      <c r="R432" s="171"/>
      <c r="S432" s="171"/>
      <c r="T432" s="171"/>
      <c r="U432" s="333" t="s">
        <v>7271</v>
      </c>
      <c r="V432" s="168">
        <f t="shared" si="3"/>
        <v>0</v>
      </c>
      <c r="W432" s="168">
        <f t="shared" si="4"/>
        <v>0</v>
      </c>
      <c r="X432" s="168">
        <f t="shared" si="5"/>
        <v>0</v>
      </c>
      <c r="Y432" s="168">
        <f t="shared" si="6"/>
        <v>0</v>
      </c>
      <c r="Z432" s="168">
        <f t="shared" si="7"/>
        <v>0</v>
      </c>
      <c r="AA432" s="168">
        <f t="shared" si="8"/>
        <v>0</v>
      </c>
      <c r="AB432" s="168">
        <f t="shared" si="9"/>
        <v>40981.64</v>
      </c>
    </row>
    <row r="433" ht="14.25" customHeight="1">
      <c r="A433" s="157">
        <v>1210.0</v>
      </c>
      <c r="B433" s="169" t="s">
        <v>29</v>
      </c>
      <c r="C433" s="169" t="s">
        <v>724</v>
      </c>
      <c r="D433" s="159">
        <v>43221.0</v>
      </c>
      <c r="E433" s="157" t="s">
        <v>2</v>
      </c>
      <c r="F433" s="160">
        <v>36509.9</v>
      </c>
      <c r="G433" s="160">
        <v>5841.58</v>
      </c>
      <c r="H433" s="160">
        <f t="shared" si="26"/>
        <v>42351.48</v>
      </c>
      <c r="I433" s="172"/>
      <c r="J433" s="169"/>
      <c r="K433" s="172"/>
      <c r="L433" s="172">
        <f>+'FACUS$'!$H433-'FACUS$'!$I433-'FACUS$'!$K433</f>
        <v>42351.48</v>
      </c>
      <c r="M433" s="157" t="s">
        <v>825</v>
      </c>
      <c r="N433" s="162" t="s">
        <v>554</v>
      </c>
      <c r="O433" s="332">
        <v>43273.0</v>
      </c>
      <c r="P433" s="164">
        <f t="array" ref="P433">XLOOKUP('FACUS$'!$B433,'perfil de pagos'!$A$4:$A$46,'perfil de pagos'!$C$4:$C$46+'FACUS$'!$D433)</f>
        <v>43231</v>
      </c>
      <c r="Q433" s="165">
        <f t="shared" si="2"/>
        <v>0</v>
      </c>
      <c r="R433" s="171"/>
      <c r="S433" s="171"/>
      <c r="T433" s="171"/>
      <c r="U433" s="333" t="s">
        <v>7271</v>
      </c>
      <c r="V433" s="168">
        <f t="shared" si="3"/>
        <v>42351.48</v>
      </c>
      <c r="W433" s="168">
        <f t="shared" si="4"/>
        <v>0</v>
      </c>
      <c r="X433" s="168">
        <f t="shared" si="5"/>
        <v>0</v>
      </c>
      <c r="Y433" s="168">
        <f t="shared" si="6"/>
        <v>0</v>
      </c>
      <c r="Z433" s="168">
        <f t="shared" si="7"/>
        <v>0</v>
      </c>
      <c r="AA433" s="168">
        <f t="shared" si="8"/>
        <v>0</v>
      </c>
      <c r="AB433" s="168">
        <f t="shared" si="9"/>
        <v>0</v>
      </c>
    </row>
    <row r="434" ht="14.25" customHeight="1">
      <c r="A434" s="157">
        <v>1213.0</v>
      </c>
      <c r="B434" s="169" t="s">
        <v>29</v>
      </c>
      <c r="C434" s="169" t="s">
        <v>724</v>
      </c>
      <c r="D434" s="159">
        <v>43252.0</v>
      </c>
      <c r="E434" s="157" t="s">
        <v>2</v>
      </c>
      <c r="F434" s="160">
        <v>269.5</v>
      </c>
      <c r="G434" s="160">
        <v>43.12</v>
      </c>
      <c r="H434" s="160">
        <f t="shared" si="26"/>
        <v>312.62</v>
      </c>
      <c r="I434" s="172"/>
      <c r="J434" s="169"/>
      <c r="K434" s="172"/>
      <c r="L434" s="172">
        <f>+'FACUS$'!$H434-'FACUS$'!$I434-'FACUS$'!$K434</f>
        <v>312.62</v>
      </c>
      <c r="M434" s="157" t="s">
        <v>825</v>
      </c>
      <c r="N434" s="162" t="s">
        <v>554</v>
      </c>
      <c r="O434" s="332">
        <v>43273.0</v>
      </c>
      <c r="P434" s="164">
        <f t="array" ref="P434">XLOOKUP('FACUS$'!$B434,'perfil de pagos'!$A$4:$A$46,'perfil de pagos'!$C$4:$C$46+'FACUS$'!$D434)</f>
        <v>43262</v>
      </c>
      <c r="Q434" s="165">
        <f t="shared" si="2"/>
        <v>0</v>
      </c>
      <c r="R434" s="171"/>
      <c r="S434" s="171"/>
      <c r="T434" s="171"/>
      <c r="U434" s="333" t="s">
        <v>7271</v>
      </c>
      <c r="V434" s="168">
        <f t="shared" si="3"/>
        <v>312.62</v>
      </c>
      <c r="W434" s="168">
        <f t="shared" si="4"/>
        <v>0</v>
      </c>
      <c r="X434" s="168">
        <f t="shared" si="5"/>
        <v>0</v>
      </c>
      <c r="Y434" s="168">
        <f t="shared" si="6"/>
        <v>0</v>
      </c>
      <c r="Z434" s="168">
        <f t="shared" si="7"/>
        <v>0</v>
      </c>
      <c r="AA434" s="168">
        <f t="shared" si="8"/>
        <v>0</v>
      </c>
      <c r="AB434" s="168">
        <f t="shared" si="9"/>
        <v>0</v>
      </c>
    </row>
    <row r="435" ht="14.25" customHeight="1">
      <c r="A435" s="157">
        <v>1215.0</v>
      </c>
      <c r="B435" s="169" t="s">
        <v>712</v>
      </c>
      <c r="C435" s="169" t="s">
        <v>724</v>
      </c>
      <c r="D435" s="159">
        <v>43252.0</v>
      </c>
      <c r="E435" s="157" t="s">
        <v>2</v>
      </c>
      <c r="F435" s="160">
        <v>261419.34</v>
      </c>
      <c r="G435" s="160">
        <v>41827.09</v>
      </c>
      <c r="H435" s="160">
        <f t="shared" si="26"/>
        <v>303246.43</v>
      </c>
      <c r="I435" s="172"/>
      <c r="J435" s="169"/>
      <c r="K435" s="172"/>
      <c r="L435" s="172">
        <f>+'FACUS$'!$H435-'FACUS$'!$I435-'FACUS$'!$K435</f>
        <v>303246.43</v>
      </c>
      <c r="M435" s="157" t="s">
        <v>712</v>
      </c>
      <c r="N435" s="162" t="s">
        <v>127</v>
      </c>
      <c r="O435" s="332"/>
      <c r="P435" s="164" t="str">
        <f t="array" ref="P435">XLOOKUP('FACUS$'!$B435,'perfil de pagos'!$A$4:$A$46,'perfil de pagos'!$C$4:$C$46+'FACUS$'!$D435)</f>
        <v>#N/A</v>
      </c>
      <c r="Q435" s="165" t="str">
        <f t="shared" si="2"/>
        <v>N/A</v>
      </c>
      <c r="R435" s="171"/>
      <c r="S435" s="171"/>
      <c r="T435" s="171"/>
      <c r="U435" s="333" t="s">
        <v>7271</v>
      </c>
      <c r="V435" s="168">
        <f t="shared" si="3"/>
        <v>0</v>
      </c>
      <c r="W435" s="168">
        <f t="shared" si="4"/>
        <v>0</v>
      </c>
      <c r="X435" s="168">
        <f t="shared" si="5"/>
        <v>0</v>
      </c>
      <c r="Y435" s="168">
        <f t="shared" si="6"/>
        <v>0</v>
      </c>
      <c r="Z435" s="168">
        <f t="shared" si="7"/>
        <v>0</v>
      </c>
      <c r="AA435" s="168">
        <f t="shared" si="8"/>
        <v>0</v>
      </c>
      <c r="AB435" s="168">
        <f t="shared" si="9"/>
        <v>303246.43</v>
      </c>
    </row>
    <row r="436" ht="14.25" customHeight="1">
      <c r="A436" s="157">
        <v>1218.0</v>
      </c>
      <c r="B436" s="166" t="s">
        <v>720</v>
      </c>
      <c r="C436" s="166" t="s">
        <v>87</v>
      </c>
      <c r="D436" s="159">
        <v>43252.0</v>
      </c>
      <c r="E436" s="157" t="s">
        <v>2</v>
      </c>
      <c r="F436" s="160">
        <v>25996.8</v>
      </c>
      <c r="G436" s="160">
        <v>4159.49</v>
      </c>
      <c r="H436" s="160">
        <f t="shared" si="26"/>
        <v>30156.29</v>
      </c>
      <c r="I436" s="172"/>
      <c r="J436" s="169"/>
      <c r="K436" s="172"/>
      <c r="L436" s="172">
        <f>+'FACUS$'!$H436-'FACUS$'!$I436-'FACUS$'!$K436</f>
        <v>30156.29</v>
      </c>
      <c r="M436" s="157" t="s">
        <v>777</v>
      </c>
      <c r="N436" s="162" t="s">
        <v>127</v>
      </c>
      <c r="O436" s="332"/>
      <c r="P436" s="164" t="str">
        <f t="array" ref="P436">XLOOKUP('FACUS$'!$B436,'perfil de pagos'!$A$4:$A$46,'perfil de pagos'!$C$4:$C$46+'FACUS$'!$D436)</f>
        <v>#N/A</v>
      </c>
      <c r="Q436" s="165" t="str">
        <f t="shared" si="2"/>
        <v>N/A</v>
      </c>
      <c r="R436" s="171"/>
      <c r="S436" s="171"/>
      <c r="T436" s="171"/>
      <c r="U436" s="333" t="s">
        <v>7271</v>
      </c>
      <c r="V436" s="168">
        <f t="shared" si="3"/>
        <v>0</v>
      </c>
      <c r="W436" s="168">
        <f t="shared" si="4"/>
        <v>0</v>
      </c>
      <c r="X436" s="168">
        <f t="shared" si="5"/>
        <v>0</v>
      </c>
      <c r="Y436" s="168">
        <f t="shared" si="6"/>
        <v>0</v>
      </c>
      <c r="Z436" s="168">
        <f t="shared" si="7"/>
        <v>0</v>
      </c>
      <c r="AA436" s="168">
        <f t="shared" si="8"/>
        <v>0</v>
      </c>
      <c r="AB436" s="168">
        <f t="shared" si="9"/>
        <v>30156.29</v>
      </c>
    </row>
    <row r="437" ht="14.25" customHeight="1">
      <c r="A437" s="157">
        <v>1220.0</v>
      </c>
      <c r="B437" s="169" t="s">
        <v>37</v>
      </c>
      <c r="C437" s="169" t="s">
        <v>724</v>
      </c>
      <c r="D437" s="159">
        <v>43252.0</v>
      </c>
      <c r="E437" s="157" t="s">
        <v>2</v>
      </c>
      <c r="F437" s="160">
        <v>80663.33</v>
      </c>
      <c r="G437" s="160">
        <v>12906.13</v>
      </c>
      <c r="H437" s="160">
        <f t="shared" si="26"/>
        <v>93569.46</v>
      </c>
      <c r="I437" s="172"/>
      <c r="J437" s="169"/>
      <c r="K437" s="172"/>
      <c r="L437" s="172">
        <f>+'FACUS$'!$H437-'FACUS$'!$I437-'FACUS$'!$K437</f>
        <v>93569.46</v>
      </c>
      <c r="M437" s="157" t="s">
        <v>718</v>
      </c>
      <c r="N437" s="162" t="s">
        <v>554</v>
      </c>
      <c r="O437" s="332">
        <v>43285.0</v>
      </c>
      <c r="P437" s="164">
        <f t="array" ref="P437">XLOOKUP('FACUS$'!$B437,'perfil de pagos'!$A$4:$A$46,'perfil de pagos'!$C$4:$C$46+'FACUS$'!$D437)</f>
        <v>43262</v>
      </c>
      <c r="Q437" s="165">
        <f t="shared" si="2"/>
        <v>0</v>
      </c>
      <c r="R437" s="171"/>
      <c r="S437" s="171"/>
      <c r="T437" s="171"/>
      <c r="U437" s="333" t="s">
        <v>7271</v>
      </c>
      <c r="V437" s="168">
        <f t="shared" si="3"/>
        <v>93569.46</v>
      </c>
      <c r="W437" s="168">
        <f t="shared" si="4"/>
        <v>0</v>
      </c>
      <c r="X437" s="168">
        <f t="shared" si="5"/>
        <v>0</v>
      </c>
      <c r="Y437" s="168">
        <f t="shared" si="6"/>
        <v>0</v>
      </c>
      <c r="Z437" s="168">
        <f t="shared" si="7"/>
        <v>0</v>
      </c>
      <c r="AA437" s="168">
        <f t="shared" si="8"/>
        <v>0</v>
      </c>
      <c r="AB437" s="168">
        <f t="shared" si="9"/>
        <v>0</v>
      </c>
    </row>
    <row r="438" ht="14.25" customHeight="1">
      <c r="A438" s="157">
        <v>1222.0</v>
      </c>
      <c r="B438" s="169" t="s">
        <v>18</v>
      </c>
      <c r="C438" s="169" t="s">
        <v>724</v>
      </c>
      <c r="D438" s="159">
        <v>43252.0</v>
      </c>
      <c r="E438" s="157" t="s">
        <v>2</v>
      </c>
      <c r="F438" s="160">
        <v>8198.04</v>
      </c>
      <c r="G438" s="160">
        <v>1311.69</v>
      </c>
      <c r="H438" s="160">
        <f t="shared" si="26"/>
        <v>9509.73</v>
      </c>
      <c r="I438" s="172"/>
      <c r="J438" s="169"/>
      <c r="K438" s="172"/>
      <c r="L438" s="172">
        <f>+'FACUS$'!$H438-'FACUS$'!$I438-'FACUS$'!$K438</f>
        <v>9509.73</v>
      </c>
      <c r="M438" s="157" t="s">
        <v>586</v>
      </c>
      <c r="N438" s="162" t="s">
        <v>554</v>
      </c>
      <c r="O438" s="332">
        <v>43285.0</v>
      </c>
      <c r="P438" s="164">
        <f t="array" ref="P438">XLOOKUP('FACUS$'!$B438,'perfil de pagos'!$A$4:$A$46,'perfil de pagos'!$C$4:$C$46+'FACUS$'!$D438)</f>
        <v>43262</v>
      </c>
      <c r="Q438" s="165">
        <f t="shared" si="2"/>
        <v>0</v>
      </c>
      <c r="R438" s="171"/>
      <c r="S438" s="171"/>
      <c r="T438" s="171"/>
      <c r="U438" s="333" t="s">
        <v>7271</v>
      </c>
      <c r="V438" s="168">
        <f t="shared" si="3"/>
        <v>9509.73</v>
      </c>
      <c r="W438" s="168">
        <f t="shared" si="4"/>
        <v>0</v>
      </c>
      <c r="X438" s="168">
        <f t="shared" si="5"/>
        <v>0</v>
      </c>
      <c r="Y438" s="168">
        <f t="shared" si="6"/>
        <v>0</v>
      </c>
      <c r="Z438" s="168">
        <f t="shared" si="7"/>
        <v>0</v>
      </c>
      <c r="AA438" s="168">
        <f t="shared" si="8"/>
        <v>0</v>
      </c>
      <c r="AB438" s="168">
        <f t="shared" si="9"/>
        <v>0</v>
      </c>
    </row>
    <row r="439" ht="14.25" customHeight="1">
      <c r="A439" s="157">
        <v>1224.0</v>
      </c>
      <c r="B439" s="169" t="s">
        <v>20</v>
      </c>
      <c r="C439" s="169" t="s">
        <v>724</v>
      </c>
      <c r="D439" s="159">
        <v>43252.0</v>
      </c>
      <c r="E439" s="157" t="s">
        <v>2</v>
      </c>
      <c r="F439" s="160">
        <v>7174.08</v>
      </c>
      <c r="G439" s="160">
        <v>1147.85</v>
      </c>
      <c r="H439" s="160">
        <f t="shared" si="26"/>
        <v>8321.93</v>
      </c>
      <c r="I439" s="172"/>
      <c r="J439" s="169"/>
      <c r="K439" s="172"/>
      <c r="L439" s="172">
        <f>+'FACUS$'!$H439-'FACUS$'!$I439-'FACUS$'!$K439</f>
        <v>8321.93</v>
      </c>
      <c r="M439" s="157" t="s">
        <v>732</v>
      </c>
      <c r="N439" s="162" t="s">
        <v>554</v>
      </c>
      <c r="O439" s="332">
        <v>43285.0</v>
      </c>
      <c r="P439" s="164">
        <f t="array" ref="P439">XLOOKUP('FACUS$'!$B439,'perfil de pagos'!$A$4:$A$46,'perfil de pagos'!$C$4:$C$46+'FACUS$'!$D439)</f>
        <v>43262</v>
      </c>
      <c r="Q439" s="165">
        <f t="shared" si="2"/>
        <v>0</v>
      </c>
      <c r="R439" s="171"/>
      <c r="S439" s="171"/>
      <c r="T439" s="171"/>
      <c r="U439" s="333" t="s">
        <v>7271</v>
      </c>
      <c r="V439" s="168">
        <f t="shared" si="3"/>
        <v>8321.93</v>
      </c>
      <c r="W439" s="168">
        <f t="shared" si="4"/>
        <v>0</v>
      </c>
      <c r="X439" s="168">
        <f t="shared" si="5"/>
        <v>0</v>
      </c>
      <c r="Y439" s="168">
        <f t="shared" si="6"/>
        <v>0</v>
      </c>
      <c r="Z439" s="168">
        <f t="shared" si="7"/>
        <v>0</v>
      </c>
      <c r="AA439" s="168">
        <f t="shared" si="8"/>
        <v>0</v>
      </c>
      <c r="AB439" s="168">
        <f t="shared" si="9"/>
        <v>0</v>
      </c>
    </row>
    <row r="440" ht="14.25" customHeight="1">
      <c r="A440" s="157">
        <v>1226.0</v>
      </c>
      <c r="B440" s="169" t="s">
        <v>24</v>
      </c>
      <c r="C440" s="169" t="s">
        <v>724</v>
      </c>
      <c r="D440" s="159">
        <v>43252.0</v>
      </c>
      <c r="E440" s="157" t="s">
        <v>2</v>
      </c>
      <c r="F440" s="160">
        <v>3005.1</v>
      </c>
      <c r="G440" s="160">
        <v>480.82</v>
      </c>
      <c r="H440" s="179">
        <f t="shared" si="26"/>
        <v>3485.92</v>
      </c>
      <c r="I440" s="173"/>
      <c r="J440" s="170"/>
      <c r="K440" s="173"/>
      <c r="L440" s="173">
        <f>+'FACUS$'!$H440-'FACUS$'!$I440-'FACUS$'!$K440</f>
        <v>3485.92</v>
      </c>
      <c r="M440" s="157" t="s">
        <v>91</v>
      </c>
      <c r="N440" s="162" t="s">
        <v>554</v>
      </c>
      <c r="O440" s="332">
        <v>43301.0</v>
      </c>
      <c r="P440" s="164">
        <f t="array" ref="P440">XLOOKUP('FACUS$'!$B440,'perfil de pagos'!$A$4:$A$46,'perfil de pagos'!$C$4:$C$46+'FACUS$'!$D440)</f>
        <v>43262</v>
      </c>
      <c r="Q440" s="165">
        <f t="shared" si="2"/>
        <v>0</v>
      </c>
      <c r="R440" s="171"/>
      <c r="S440" s="171"/>
      <c r="T440" s="171"/>
      <c r="U440" s="333" t="s">
        <v>7271</v>
      </c>
      <c r="V440" s="168">
        <f t="shared" si="3"/>
        <v>3485.92</v>
      </c>
      <c r="W440" s="168">
        <f t="shared" si="4"/>
        <v>0</v>
      </c>
      <c r="X440" s="168">
        <f t="shared" si="5"/>
        <v>0</v>
      </c>
      <c r="Y440" s="168">
        <f t="shared" si="6"/>
        <v>0</v>
      </c>
      <c r="Z440" s="168">
        <f t="shared" si="7"/>
        <v>0</v>
      </c>
      <c r="AA440" s="168">
        <f t="shared" si="8"/>
        <v>0</v>
      </c>
      <c r="AB440" s="168">
        <f t="shared" si="9"/>
        <v>0</v>
      </c>
    </row>
    <row r="441" ht="14.25" customHeight="1">
      <c r="A441" s="157">
        <v>1230.0</v>
      </c>
      <c r="B441" s="169"/>
      <c r="C441" s="169"/>
      <c r="D441" s="159"/>
      <c r="E441" s="157"/>
      <c r="F441" s="160"/>
      <c r="G441" s="160"/>
      <c r="H441" s="160">
        <f t="shared" si="26"/>
        <v>0</v>
      </c>
      <c r="I441" s="172"/>
      <c r="J441" s="169"/>
      <c r="K441" s="172"/>
      <c r="L441" s="172">
        <f>+'FACUS$'!$H441-'FACUS$'!$I441-'FACUS$'!$K441</f>
        <v>0</v>
      </c>
      <c r="M441" s="157"/>
      <c r="N441" s="162" t="s">
        <v>127</v>
      </c>
      <c r="O441" s="332"/>
      <c r="P441" s="164" t="str">
        <f t="array" ref="P441">XLOOKUP('FACUS$'!$B441,'perfil de pagos'!$A$4:$A$46,'perfil de pagos'!$C$4:$C$46+'FACUS$'!$D441)</f>
        <v>#N/A</v>
      </c>
      <c r="Q441" s="165" t="str">
        <f t="shared" si="2"/>
        <v>N/A</v>
      </c>
      <c r="R441" s="171"/>
      <c r="S441" s="171"/>
      <c r="T441" s="171"/>
      <c r="U441" s="333" t="s">
        <v>7271</v>
      </c>
      <c r="V441" s="168">
        <f t="shared" si="3"/>
        <v>0</v>
      </c>
      <c r="W441" s="168">
        <f t="shared" si="4"/>
        <v>0</v>
      </c>
      <c r="X441" s="168">
        <f t="shared" si="5"/>
        <v>0</v>
      </c>
      <c r="Y441" s="168">
        <f t="shared" si="6"/>
        <v>0</v>
      </c>
      <c r="Z441" s="168">
        <f t="shared" si="7"/>
        <v>0</v>
      </c>
      <c r="AA441" s="168">
        <f t="shared" si="8"/>
        <v>0</v>
      </c>
      <c r="AB441" s="168">
        <f t="shared" si="9"/>
        <v>0</v>
      </c>
    </row>
    <row r="442" ht="14.25" customHeight="1">
      <c r="A442" s="157">
        <v>1231.0</v>
      </c>
      <c r="B442" s="169"/>
      <c r="C442" s="169"/>
      <c r="D442" s="159"/>
      <c r="E442" s="157"/>
      <c r="F442" s="160"/>
      <c r="G442" s="160"/>
      <c r="H442" s="160">
        <f t="shared" si="26"/>
        <v>0</v>
      </c>
      <c r="I442" s="172"/>
      <c r="J442" s="169"/>
      <c r="K442" s="172"/>
      <c r="L442" s="172">
        <f>+'FACUS$'!$H442-'FACUS$'!$I442-'FACUS$'!$K442</f>
        <v>0</v>
      </c>
      <c r="M442" s="157"/>
      <c r="N442" s="162" t="s">
        <v>127</v>
      </c>
      <c r="O442" s="332"/>
      <c r="P442" s="164" t="str">
        <f t="array" ref="P442">XLOOKUP('FACUS$'!$B442,'perfil de pagos'!$A$4:$A$46,'perfil de pagos'!$C$4:$C$46+'FACUS$'!$D442)</f>
        <v>#N/A</v>
      </c>
      <c r="Q442" s="165" t="str">
        <f t="shared" si="2"/>
        <v>N/A</v>
      </c>
      <c r="R442" s="171"/>
      <c r="S442" s="171"/>
      <c r="T442" s="171"/>
      <c r="U442" s="333" t="s">
        <v>7271</v>
      </c>
      <c r="V442" s="168">
        <f t="shared" si="3"/>
        <v>0</v>
      </c>
      <c r="W442" s="168">
        <f t="shared" si="4"/>
        <v>0</v>
      </c>
      <c r="X442" s="168">
        <f t="shared" si="5"/>
        <v>0</v>
      </c>
      <c r="Y442" s="168">
        <f t="shared" si="6"/>
        <v>0</v>
      </c>
      <c r="Z442" s="168">
        <f t="shared" si="7"/>
        <v>0</v>
      </c>
      <c r="AA442" s="168">
        <f t="shared" si="8"/>
        <v>0</v>
      </c>
      <c r="AB442" s="168">
        <f t="shared" si="9"/>
        <v>0</v>
      </c>
    </row>
    <row r="443" ht="14.25" customHeight="1">
      <c r="A443" s="157">
        <v>1233.0</v>
      </c>
      <c r="B443" s="169" t="s">
        <v>18</v>
      </c>
      <c r="C443" s="169" t="s">
        <v>724</v>
      </c>
      <c r="D443" s="159">
        <v>43235.0</v>
      </c>
      <c r="E443" s="157" t="s">
        <v>2</v>
      </c>
      <c r="F443" s="160">
        <v>11473.44</v>
      </c>
      <c r="G443" s="160">
        <v>1835.75</v>
      </c>
      <c r="H443" s="160">
        <f t="shared" si="26"/>
        <v>13309.19</v>
      </c>
      <c r="I443" s="172"/>
      <c r="J443" s="169"/>
      <c r="K443" s="172"/>
      <c r="L443" s="172">
        <f>+'FACUS$'!$H443-'FACUS$'!$I443-'FACUS$'!$K443</f>
        <v>13309.19</v>
      </c>
      <c r="M443" s="157" t="s">
        <v>586</v>
      </c>
      <c r="N443" s="162" t="s">
        <v>554</v>
      </c>
      <c r="O443" s="332">
        <v>43285.0</v>
      </c>
      <c r="P443" s="164">
        <f t="array" ref="P443">XLOOKUP('FACUS$'!$B443,'perfil de pagos'!$A$4:$A$46,'perfil de pagos'!$C$4:$C$46+'FACUS$'!$D443)</f>
        <v>43245</v>
      </c>
      <c r="Q443" s="165">
        <f t="shared" si="2"/>
        <v>0</v>
      </c>
      <c r="R443" s="171"/>
      <c r="S443" s="171"/>
      <c r="T443" s="171"/>
      <c r="U443" s="333" t="s">
        <v>7271</v>
      </c>
      <c r="V443" s="168">
        <f t="shared" si="3"/>
        <v>13309.19</v>
      </c>
      <c r="W443" s="168">
        <f t="shared" si="4"/>
        <v>0</v>
      </c>
      <c r="X443" s="168">
        <f t="shared" si="5"/>
        <v>0</v>
      </c>
      <c r="Y443" s="168">
        <f t="shared" si="6"/>
        <v>0</v>
      </c>
      <c r="Z443" s="168">
        <f t="shared" si="7"/>
        <v>0</v>
      </c>
      <c r="AA443" s="168">
        <f t="shared" si="8"/>
        <v>0</v>
      </c>
      <c r="AB443" s="168">
        <f t="shared" si="9"/>
        <v>0</v>
      </c>
    </row>
    <row r="444" ht="14.25" customHeight="1">
      <c r="A444" s="157">
        <v>1234.0</v>
      </c>
      <c r="B444" s="169" t="s">
        <v>82</v>
      </c>
      <c r="C444" s="169" t="s">
        <v>7375</v>
      </c>
      <c r="D444" s="159">
        <v>43280.0</v>
      </c>
      <c r="E444" s="157" t="s">
        <v>2</v>
      </c>
      <c r="F444" s="160">
        <v>12912.81</v>
      </c>
      <c r="G444" s="160">
        <v>2066.05</v>
      </c>
      <c r="H444" s="160">
        <f t="shared" si="26"/>
        <v>14978.86</v>
      </c>
      <c r="I444" s="172"/>
      <c r="J444" s="169"/>
      <c r="K444" s="172"/>
      <c r="L444" s="172">
        <f>+'FACUS$'!$H444-'FACUS$'!$I444-'FACUS$'!$K444</f>
        <v>14978.86</v>
      </c>
      <c r="M444" s="157" t="s">
        <v>96</v>
      </c>
      <c r="N444" s="162" t="s">
        <v>554</v>
      </c>
      <c r="O444" s="332">
        <v>43280.0</v>
      </c>
      <c r="P444" s="164" t="str">
        <f t="array" ref="P444">XLOOKUP('FACUS$'!$B444,'perfil de pagos'!$A$4:$A$46,'perfil de pagos'!$C$4:$C$46+'FACUS$'!$D444)</f>
        <v>#N/A</v>
      </c>
      <c r="Q444" s="165">
        <f t="shared" si="2"/>
        <v>0</v>
      </c>
      <c r="R444" s="171"/>
      <c r="S444" s="171"/>
      <c r="T444" s="171"/>
      <c r="U444" s="333" t="s">
        <v>7271</v>
      </c>
      <c r="V444" s="168">
        <f t="shared" si="3"/>
        <v>14978.86</v>
      </c>
      <c r="W444" s="168">
        <f t="shared" si="4"/>
        <v>0</v>
      </c>
      <c r="X444" s="168">
        <f t="shared" si="5"/>
        <v>0</v>
      </c>
      <c r="Y444" s="168">
        <f t="shared" si="6"/>
        <v>0</v>
      </c>
      <c r="Z444" s="168">
        <f t="shared" si="7"/>
        <v>0</v>
      </c>
      <c r="AA444" s="168">
        <f t="shared" si="8"/>
        <v>0</v>
      </c>
      <c r="AB444" s="168">
        <f t="shared" si="9"/>
        <v>0</v>
      </c>
    </row>
    <row r="445" ht="14.25" customHeight="1">
      <c r="A445" s="157">
        <v>1235.0</v>
      </c>
      <c r="B445" s="166" t="s">
        <v>720</v>
      </c>
      <c r="C445" s="169" t="s">
        <v>724</v>
      </c>
      <c r="D445" s="159">
        <v>43252.0</v>
      </c>
      <c r="E445" s="157" t="s">
        <v>2</v>
      </c>
      <c r="F445" s="160">
        <v>25996.8</v>
      </c>
      <c r="G445" s="160">
        <v>4159.49</v>
      </c>
      <c r="H445" s="160">
        <f t="shared" si="26"/>
        <v>30156.29</v>
      </c>
      <c r="I445" s="172"/>
      <c r="J445" s="169"/>
      <c r="K445" s="172"/>
      <c r="L445" s="172">
        <f>+'FACUS$'!$H445-'FACUS$'!$I445-'FACUS$'!$K445</f>
        <v>30156.29</v>
      </c>
      <c r="M445" s="157" t="s">
        <v>777</v>
      </c>
      <c r="N445" s="162" t="s">
        <v>554</v>
      </c>
      <c r="O445" s="332">
        <v>43313.0</v>
      </c>
      <c r="P445" s="164" t="str">
        <f t="array" ref="P445">XLOOKUP('FACUS$'!$B445,'perfil de pagos'!$A$4:$A$46,'perfil de pagos'!$C$4:$C$46+'FACUS$'!$D445)</f>
        <v>#N/A</v>
      </c>
      <c r="Q445" s="165">
        <f t="shared" si="2"/>
        <v>0</v>
      </c>
      <c r="R445" s="171"/>
      <c r="S445" s="171"/>
      <c r="T445" s="171"/>
      <c r="U445" s="333" t="s">
        <v>7271</v>
      </c>
      <c r="V445" s="168">
        <f t="shared" si="3"/>
        <v>30156.29</v>
      </c>
      <c r="W445" s="168">
        <f t="shared" si="4"/>
        <v>0</v>
      </c>
      <c r="X445" s="168">
        <f t="shared" si="5"/>
        <v>0</v>
      </c>
      <c r="Y445" s="168">
        <f t="shared" si="6"/>
        <v>0</v>
      </c>
      <c r="Z445" s="168">
        <f t="shared" si="7"/>
        <v>0</v>
      </c>
      <c r="AA445" s="168">
        <f t="shared" si="8"/>
        <v>0</v>
      </c>
      <c r="AB445" s="168">
        <f t="shared" si="9"/>
        <v>0</v>
      </c>
    </row>
    <row r="446" ht="14.25" customHeight="1">
      <c r="A446" s="157">
        <v>1238.0</v>
      </c>
      <c r="B446" s="166" t="s">
        <v>720</v>
      </c>
      <c r="C446" s="169" t="s">
        <v>724</v>
      </c>
      <c r="D446" s="159">
        <v>43266.0</v>
      </c>
      <c r="E446" s="157" t="s">
        <v>2</v>
      </c>
      <c r="F446" s="160">
        <v>40267.2</v>
      </c>
      <c r="G446" s="160">
        <v>6442.75</v>
      </c>
      <c r="H446" s="160">
        <f t="shared" si="26"/>
        <v>46709.95</v>
      </c>
      <c r="I446" s="172"/>
      <c r="J446" s="169"/>
      <c r="K446" s="172"/>
      <c r="L446" s="172">
        <f>+'FACUS$'!$H446-'FACUS$'!$I446-'FACUS$'!$K446</f>
        <v>46709.95</v>
      </c>
      <c r="M446" s="157" t="s">
        <v>777</v>
      </c>
      <c r="N446" s="162" t="s">
        <v>127</v>
      </c>
      <c r="O446" s="332"/>
      <c r="P446" s="164" t="str">
        <f t="array" ref="P446">XLOOKUP('FACUS$'!$B446,'perfil de pagos'!$A$4:$A$46,'perfil de pagos'!$C$4:$C$46+'FACUS$'!$D446)</f>
        <v>#N/A</v>
      </c>
      <c r="Q446" s="165" t="str">
        <f t="shared" si="2"/>
        <v>N/A</v>
      </c>
      <c r="R446" s="171"/>
      <c r="S446" s="171"/>
      <c r="T446" s="171"/>
      <c r="U446" s="333" t="s">
        <v>7271</v>
      </c>
      <c r="V446" s="168">
        <f t="shared" si="3"/>
        <v>0</v>
      </c>
      <c r="W446" s="168">
        <f t="shared" si="4"/>
        <v>0</v>
      </c>
      <c r="X446" s="168">
        <f t="shared" si="5"/>
        <v>0</v>
      </c>
      <c r="Y446" s="168">
        <f t="shared" si="6"/>
        <v>0</v>
      </c>
      <c r="Z446" s="168">
        <f t="shared" si="7"/>
        <v>0</v>
      </c>
      <c r="AA446" s="168">
        <f t="shared" si="8"/>
        <v>0</v>
      </c>
      <c r="AB446" s="168">
        <f t="shared" si="9"/>
        <v>46709.95</v>
      </c>
    </row>
    <row r="447" ht="14.25" customHeight="1">
      <c r="A447" s="157">
        <v>1240.0</v>
      </c>
      <c r="B447" s="169" t="s">
        <v>29</v>
      </c>
      <c r="C447" s="169" t="s">
        <v>724</v>
      </c>
      <c r="D447" s="159">
        <v>43266.0</v>
      </c>
      <c r="E447" s="157" t="s">
        <v>2</v>
      </c>
      <c r="F447" s="160">
        <v>4498.2</v>
      </c>
      <c r="G447" s="160">
        <v>719.71</v>
      </c>
      <c r="H447" s="160">
        <f t="shared" si="26"/>
        <v>5217.91</v>
      </c>
      <c r="I447" s="172"/>
      <c r="J447" s="169"/>
      <c r="K447" s="172"/>
      <c r="L447" s="172">
        <f>+'FACUS$'!$H447-'FACUS$'!$I447-'FACUS$'!$K447</f>
        <v>5217.91</v>
      </c>
      <c r="M447" s="157" t="s">
        <v>825</v>
      </c>
      <c r="N447" s="162" t="s">
        <v>554</v>
      </c>
      <c r="O447" s="332">
        <v>43294.0</v>
      </c>
      <c r="P447" s="164">
        <f t="array" ref="P447">XLOOKUP('FACUS$'!$B447,'perfil de pagos'!$A$4:$A$46,'perfil de pagos'!$C$4:$C$46+'FACUS$'!$D447)</f>
        <v>43276</v>
      </c>
      <c r="Q447" s="165">
        <f t="shared" si="2"/>
        <v>0</v>
      </c>
      <c r="R447" s="171"/>
      <c r="S447" s="171"/>
      <c r="T447" s="171"/>
      <c r="U447" s="333" t="s">
        <v>7271</v>
      </c>
      <c r="V447" s="168">
        <f t="shared" si="3"/>
        <v>5217.91</v>
      </c>
      <c r="W447" s="168">
        <f t="shared" si="4"/>
        <v>0</v>
      </c>
      <c r="X447" s="168">
        <f t="shared" si="5"/>
        <v>0</v>
      </c>
      <c r="Y447" s="168">
        <f t="shared" si="6"/>
        <v>0</v>
      </c>
      <c r="Z447" s="168">
        <f t="shared" si="7"/>
        <v>0</v>
      </c>
      <c r="AA447" s="168">
        <f t="shared" si="8"/>
        <v>0</v>
      </c>
      <c r="AB447" s="168">
        <f t="shared" si="9"/>
        <v>0</v>
      </c>
    </row>
    <row r="448" ht="14.25" customHeight="1">
      <c r="A448" s="157">
        <v>1241.0</v>
      </c>
      <c r="B448" s="166" t="s">
        <v>720</v>
      </c>
      <c r="C448" s="169" t="s">
        <v>724</v>
      </c>
      <c r="D448" s="159">
        <v>43266.0</v>
      </c>
      <c r="E448" s="157" t="s">
        <v>2</v>
      </c>
      <c r="F448" s="160">
        <v>40267.2</v>
      </c>
      <c r="G448" s="160">
        <v>6442.75</v>
      </c>
      <c r="H448" s="160">
        <f t="shared" si="26"/>
        <v>46709.95</v>
      </c>
      <c r="I448" s="172"/>
      <c r="J448" s="169"/>
      <c r="K448" s="172"/>
      <c r="L448" s="172">
        <f>+'FACUS$'!$H448-'FACUS$'!$I448-'FACUS$'!$K448</f>
        <v>46709.95</v>
      </c>
      <c r="M448" s="157" t="s">
        <v>777</v>
      </c>
      <c r="N448" s="162" t="s">
        <v>554</v>
      </c>
      <c r="O448" s="332">
        <v>43299.0</v>
      </c>
      <c r="P448" s="164" t="str">
        <f t="array" ref="P448">XLOOKUP('FACUS$'!$B448,'perfil de pagos'!$A$4:$A$46,'perfil de pagos'!$C$4:$C$46+'FACUS$'!$D448)</f>
        <v>#N/A</v>
      </c>
      <c r="Q448" s="165">
        <f t="shared" si="2"/>
        <v>0</v>
      </c>
      <c r="R448" s="171"/>
      <c r="S448" s="171"/>
      <c r="T448" s="171"/>
      <c r="U448" s="333" t="s">
        <v>7271</v>
      </c>
      <c r="V448" s="168">
        <f t="shared" si="3"/>
        <v>46709.95</v>
      </c>
      <c r="W448" s="168">
        <f t="shared" si="4"/>
        <v>0</v>
      </c>
      <c r="X448" s="168">
        <f t="shared" si="5"/>
        <v>0</v>
      </c>
      <c r="Y448" s="168">
        <f t="shared" si="6"/>
        <v>0</v>
      </c>
      <c r="Z448" s="168">
        <f t="shared" si="7"/>
        <v>0</v>
      </c>
      <c r="AA448" s="168">
        <f t="shared" si="8"/>
        <v>0</v>
      </c>
      <c r="AB448" s="168">
        <f t="shared" si="9"/>
        <v>0</v>
      </c>
    </row>
    <row r="449" ht="14.25" customHeight="1">
      <c r="A449" s="157">
        <v>1243.0</v>
      </c>
      <c r="B449" s="169" t="s">
        <v>37</v>
      </c>
      <c r="C449" s="169" t="s">
        <v>724</v>
      </c>
      <c r="D449" s="159">
        <v>43266.0</v>
      </c>
      <c r="E449" s="157" t="s">
        <v>2</v>
      </c>
      <c r="F449" s="160">
        <v>88184.69</v>
      </c>
      <c r="G449" s="160">
        <v>14109.55</v>
      </c>
      <c r="H449" s="160">
        <f t="shared" si="26"/>
        <v>102294.24</v>
      </c>
      <c r="I449" s="172"/>
      <c r="J449" s="169"/>
      <c r="K449" s="172"/>
      <c r="L449" s="172">
        <f>+'FACUS$'!$H449-'FACUS$'!$I449-'FACUS$'!$K449</f>
        <v>102294.24</v>
      </c>
      <c r="M449" s="157" t="s">
        <v>718</v>
      </c>
      <c r="N449" s="162" t="s">
        <v>554</v>
      </c>
      <c r="O449" s="332">
        <v>43298.0</v>
      </c>
      <c r="P449" s="164">
        <f t="array" ref="P449">XLOOKUP('FACUS$'!$B449,'perfil de pagos'!$A$4:$A$46,'perfil de pagos'!$C$4:$C$46+'FACUS$'!$D449)</f>
        <v>43276</v>
      </c>
      <c r="Q449" s="165">
        <f t="shared" si="2"/>
        <v>0</v>
      </c>
      <c r="R449" s="171"/>
      <c r="S449" s="171"/>
      <c r="T449" s="171"/>
      <c r="U449" s="333" t="s">
        <v>7271</v>
      </c>
      <c r="V449" s="168">
        <f t="shared" si="3"/>
        <v>102294.24</v>
      </c>
      <c r="W449" s="168">
        <f t="shared" si="4"/>
        <v>0</v>
      </c>
      <c r="X449" s="168">
        <f t="shared" si="5"/>
        <v>0</v>
      </c>
      <c r="Y449" s="168">
        <f t="shared" si="6"/>
        <v>0</v>
      </c>
      <c r="Z449" s="168">
        <f t="shared" si="7"/>
        <v>0</v>
      </c>
      <c r="AA449" s="168">
        <f t="shared" si="8"/>
        <v>0</v>
      </c>
      <c r="AB449" s="168">
        <f t="shared" si="9"/>
        <v>0</v>
      </c>
    </row>
    <row r="450" ht="14.25" customHeight="1">
      <c r="A450" s="157">
        <v>1244.0</v>
      </c>
      <c r="B450" s="169"/>
      <c r="C450" s="169"/>
      <c r="D450" s="159"/>
      <c r="E450" s="157"/>
      <c r="F450" s="160"/>
      <c r="G450" s="160"/>
      <c r="H450" s="179">
        <f t="shared" si="26"/>
        <v>0</v>
      </c>
      <c r="I450" s="173"/>
      <c r="J450" s="170"/>
      <c r="K450" s="173"/>
      <c r="L450" s="173">
        <f>+'FACUS$'!$H450-'FACUS$'!$I450-'FACUS$'!$K450</f>
        <v>0</v>
      </c>
      <c r="M450" s="157"/>
      <c r="N450" s="162" t="s">
        <v>127</v>
      </c>
      <c r="O450" s="332"/>
      <c r="P450" s="164" t="str">
        <f t="array" ref="P450">XLOOKUP('FACUS$'!$B450,'perfil de pagos'!$A$4:$A$46,'perfil de pagos'!$C$4:$C$46+'FACUS$'!$D450)</f>
        <v>#N/A</v>
      </c>
      <c r="Q450" s="165" t="str">
        <f t="shared" si="2"/>
        <v>N/A</v>
      </c>
      <c r="R450" s="171"/>
      <c r="S450" s="171"/>
      <c r="T450" s="171"/>
      <c r="U450" s="333" t="s">
        <v>7271</v>
      </c>
      <c r="V450" s="168">
        <f t="shared" si="3"/>
        <v>0</v>
      </c>
      <c r="W450" s="168">
        <f t="shared" si="4"/>
        <v>0</v>
      </c>
      <c r="X450" s="168">
        <f t="shared" si="5"/>
        <v>0</v>
      </c>
      <c r="Y450" s="168">
        <f t="shared" si="6"/>
        <v>0</v>
      </c>
      <c r="Z450" s="168">
        <f t="shared" si="7"/>
        <v>0</v>
      </c>
      <c r="AA450" s="168">
        <f t="shared" si="8"/>
        <v>0</v>
      </c>
      <c r="AB450" s="168">
        <f t="shared" si="9"/>
        <v>0</v>
      </c>
    </row>
    <row r="451" ht="14.25" customHeight="1">
      <c r="A451" s="157">
        <v>1246.0</v>
      </c>
      <c r="B451" s="169" t="s">
        <v>24</v>
      </c>
      <c r="C451" s="169" t="s">
        <v>724</v>
      </c>
      <c r="D451" s="159">
        <v>43266.0</v>
      </c>
      <c r="E451" s="157" t="s">
        <v>2</v>
      </c>
      <c r="F451" s="160">
        <v>3187.8</v>
      </c>
      <c r="G451" s="160">
        <v>510.05</v>
      </c>
      <c r="H451" s="160">
        <f t="shared" si="26"/>
        <v>3697.85</v>
      </c>
      <c r="I451" s="172"/>
      <c r="J451" s="169"/>
      <c r="K451" s="172"/>
      <c r="L451" s="172">
        <f>+'FACUS$'!$H451-'FACUS$'!$I451-'FACUS$'!$K451</f>
        <v>3697.85</v>
      </c>
      <c r="M451" s="157" t="s">
        <v>91</v>
      </c>
      <c r="N451" s="162" t="s">
        <v>554</v>
      </c>
      <c r="O451" s="332">
        <v>43301.0</v>
      </c>
      <c r="P451" s="164">
        <f t="array" ref="P451">XLOOKUP('FACUS$'!$B451,'perfil de pagos'!$A$4:$A$46,'perfil de pagos'!$C$4:$C$46+'FACUS$'!$D451)</f>
        <v>43276</v>
      </c>
      <c r="Q451" s="165">
        <f t="shared" si="2"/>
        <v>0</v>
      </c>
      <c r="R451" s="171"/>
      <c r="S451" s="171"/>
      <c r="T451" s="171"/>
      <c r="U451" s="333" t="s">
        <v>7271</v>
      </c>
      <c r="V451" s="168">
        <f t="shared" si="3"/>
        <v>3697.85</v>
      </c>
      <c r="W451" s="168">
        <f t="shared" si="4"/>
        <v>0</v>
      </c>
      <c r="X451" s="168">
        <f t="shared" si="5"/>
        <v>0</v>
      </c>
      <c r="Y451" s="168">
        <f t="shared" si="6"/>
        <v>0</v>
      </c>
      <c r="Z451" s="168">
        <f t="shared" si="7"/>
        <v>0</v>
      </c>
      <c r="AA451" s="168">
        <f t="shared" si="8"/>
        <v>0</v>
      </c>
      <c r="AB451" s="168">
        <f t="shared" si="9"/>
        <v>0</v>
      </c>
    </row>
    <row r="452" ht="14.25" customHeight="1">
      <c r="A452" s="157">
        <v>1248.0</v>
      </c>
      <c r="B452" s="169" t="s">
        <v>18</v>
      </c>
      <c r="C452" s="169" t="s">
        <v>724</v>
      </c>
      <c r="D452" s="159">
        <v>43266.0</v>
      </c>
      <c r="E452" s="157" t="s">
        <v>2</v>
      </c>
      <c r="F452" s="160">
        <v>9101.16</v>
      </c>
      <c r="G452" s="160">
        <v>1456.19</v>
      </c>
      <c r="H452" s="160">
        <f t="shared" si="26"/>
        <v>10557.35</v>
      </c>
      <c r="I452" s="172"/>
      <c r="J452" s="169"/>
      <c r="K452" s="172"/>
      <c r="L452" s="172">
        <f>+'FACUS$'!$H452-'FACUS$'!$I452-'FACUS$'!$K452</f>
        <v>10557.35</v>
      </c>
      <c r="M452" s="157" t="s">
        <v>586</v>
      </c>
      <c r="N452" s="162" t="s">
        <v>554</v>
      </c>
      <c r="O452" s="332">
        <v>43318.0</v>
      </c>
      <c r="P452" s="164">
        <f t="array" ref="P452">XLOOKUP('FACUS$'!$B452,'perfil de pagos'!$A$4:$A$46,'perfil de pagos'!$C$4:$C$46+'FACUS$'!$D452)</f>
        <v>43276</v>
      </c>
      <c r="Q452" s="165">
        <f t="shared" si="2"/>
        <v>0</v>
      </c>
      <c r="R452" s="171"/>
      <c r="S452" s="171"/>
      <c r="T452" s="171"/>
      <c r="U452" s="333" t="s">
        <v>7271</v>
      </c>
      <c r="V452" s="168">
        <f t="shared" si="3"/>
        <v>10557.35</v>
      </c>
      <c r="W452" s="168">
        <f t="shared" si="4"/>
        <v>0</v>
      </c>
      <c r="X452" s="168">
        <f t="shared" si="5"/>
        <v>0</v>
      </c>
      <c r="Y452" s="168">
        <f t="shared" si="6"/>
        <v>0</v>
      </c>
      <c r="Z452" s="168">
        <f t="shared" si="7"/>
        <v>0</v>
      </c>
      <c r="AA452" s="168">
        <f t="shared" si="8"/>
        <v>0</v>
      </c>
      <c r="AB452" s="168">
        <f t="shared" si="9"/>
        <v>0</v>
      </c>
    </row>
    <row r="453" ht="14.25" customHeight="1">
      <c r="A453" s="157">
        <v>1250.0</v>
      </c>
      <c r="B453" s="169" t="s">
        <v>20</v>
      </c>
      <c r="C453" s="169" t="s">
        <v>724</v>
      </c>
      <c r="D453" s="159">
        <v>43266.0</v>
      </c>
      <c r="E453" s="157" t="s">
        <v>2</v>
      </c>
      <c r="F453" s="160">
        <v>11772.36</v>
      </c>
      <c r="G453" s="160">
        <v>1883.58</v>
      </c>
      <c r="H453" s="160">
        <f t="shared" si="26"/>
        <v>13655.94</v>
      </c>
      <c r="I453" s="172"/>
      <c r="J453" s="169"/>
      <c r="K453" s="172"/>
      <c r="L453" s="172">
        <f>+'FACUS$'!$H453-'FACUS$'!$I453-'FACUS$'!$K453</f>
        <v>13655.94</v>
      </c>
      <c r="M453" s="157" t="s">
        <v>732</v>
      </c>
      <c r="N453" s="162" t="s">
        <v>554</v>
      </c>
      <c r="O453" s="332">
        <v>43318.0</v>
      </c>
      <c r="P453" s="164">
        <f t="array" ref="P453">XLOOKUP('FACUS$'!$B453,'perfil de pagos'!$A$4:$A$46,'perfil de pagos'!$C$4:$C$46+'FACUS$'!$D453)</f>
        <v>43276</v>
      </c>
      <c r="Q453" s="165">
        <f t="shared" si="2"/>
        <v>0</v>
      </c>
      <c r="R453" s="171"/>
      <c r="S453" s="171"/>
      <c r="T453" s="171"/>
      <c r="U453" s="333" t="s">
        <v>7271</v>
      </c>
      <c r="V453" s="168">
        <f t="shared" si="3"/>
        <v>13655.94</v>
      </c>
      <c r="W453" s="168">
        <f t="shared" si="4"/>
        <v>0</v>
      </c>
      <c r="X453" s="168">
        <f t="shared" si="5"/>
        <v>0</v>
      </c>
      <c r="Y453" s="168">
        <f t="shared" si="6"/>
        <v>0</v>
      </c>
      <c r="Z453" s="168">
        <f t="shared" si="7"/>
        <v>0</v>
      </c>
      <c r="AA453" s="168">
        <f t="shared" si="8"/>
        <v>0</v>
      </c>
      <c r="AB453" s="168">
        <f t="shared" si="9"/>
        <v>0</v>
      </c>
    </row>
    <row r="454" ht="14.25" customHeight="1">
      <c r="A454" s="157">
        <v>1260.0</v>
      </c>
      <c r="B454" s="166" t="s">
        <v>720</v>
      </c>
      <c r="C454" s="169" t="s">
        <v>724</v>
      </c>
      <c r="D454" s="159">
        <v>43282.0</v>
      </c>
      <c r="E454" s="157" t="s">
        <v>2</v>
      </c>
      <c r="F454" s="160">
        <v>35572.8</v>
      </c>
      <c r="G454" s="160">
        <v>5691.65</v>
      </c>
      <c r="H454" s="160">
        <f t="shared" si="26"/>
        <v>41264.45</v>
      </c>
      <c r="I454" s="172"/>
      <c r="J454" s="169"/>
      <c r="K454" s="172"/>
      <c r="L454" s="172">
        <f>+'FACUS$'!$H454-'FACUS$'!$I454-'FACUS$'!$K454</f>
        <v>41264.45</v>
      </c>
      <c r="M454" s="157" t="s">
        <v>777</v>
      </c>
      <c r="N454" s="162" t="s">
        <v>554</v>
      </c>
      <c r="O454" s="332">
        <v>43313.0</v>
      </c>
      <c r="P454" s="164" t="str">
        <f t="array" ref="P454">XLOOKUP('FACUS$'!$B454,'perfil de pagos'!$A$4:$A$46,'perfil de pagos'!$C$4:$C$46+'FACUS$'!$D454)</f>
        <v>#N/A</v>
      </c>
      <c r="Q454" s="165">
        <f t="shared" si="2"/>
        <v>0</v>
      </c>
      <c r="R454" s="171"/>
      <c r="S454" s="171"/>
      <c r="T454" s="171"/>
      <c r="U454" s="333" t="s">
        <v>7271</v>
      </c>
      <c r="V454" s="168">
        <f t="shared" si="3"/>
        <v>41264.45</v>
      </c>
      <c r="W454" s="168">
        <f t="shared" si="4"/>
        <v>0</v>
      </c>
      <c r="X454" s="168">
        <f t="shared" si="5"/>
        <v>0</v>
      </c>
      <c r="Y454" s="168">
        <f t="shared" si="6"/>
        <v>0</v>
      </c>
      <c r="Z454" s="168">
        <f t="shared" si="7"/>
        <v>0</v>
      </c>
      <c r="AA454" s="168">
        <f t="shared" si="8"/>
        <v>0</v>
      </c>
      <c r="AB454" s="168">
        <f t="shared" si="9"/>
        <v>0</v>
      </c>
    </row>
    <row r="455" ht="14.25" customHeight="1">
      <c r="A455" s="157">
        <v>1266.0</v>
      </c>
      <c r="B455" s="169" t="s">
        <v>37</v>
      </c>
      <c r="C455" s="169" t="s">
        <v>724</v>
      </c>
      <c r="D455" s="159">
        <v>43282.0</v>
      </c>
      <c r="E455" s="157" t="s">
        <v>2</v>
      </c>
      <c r="F455" s="160">
        <v>85974.68</v>
      </c>
      <c r="G455" s="160">
        <v>13755.95</v>
      </c>
      <c r="H455" s="160">
        <f t="shared" si="26"/>
        <v>99730.63</v>
      </c>
      <c r="I455" s="172"/>
      <c r="J455" s="169"/>
      <c r="K455" s="172"/>
      <c r="L455" s="172">
        <f>+'FACUS$'!$H455-'FACUS$'!$I455-'FACUS$'!$K455</f>
        <v>99730.63</v>
      </c>
      <c r="M455" s="157" t="s">
        <v>718</v>
      </c>
      <c r="N455" s="162" t="s">
        <v>554</v>
      </c>
      <c r="O455" s="332">
        <v>43312.0</v>
      </c>
      <c r="P455" s="164">
        <f t="array" ref="P455">XLOOKUP('FACUS$'!$B455,'perfil de pagos'!$A$4:$A$46,'perfil de pagos'!$C$4:$C$46+'FACUS$'!$D455)</f>
        <v>43292</v>
      </c>
      <c r="Q455" s="165">
        <f t="shared" si="2"/>
        <v>0</v>
      </c>
      <c r="R455" s="171"/>
      <c r="S455" s="171"/>
      <c r="T455" s="171"/>
      <c r="U455" s="333" t="s">
        <v>7271</v>
      </c>
      <c r="V455" s="168">
        <f t="shared" si="3"/>
        <v>99730.63</v>
      </c>
      <c r="W455" s="168">
        <f t="shared" si="4"/>
        <v>0</v>
      </c>
      <c r="X455" s="168">
        <f t="shared" si="5"/>
        <v>0</v>
      </c>
      <c r="Y455" s="168">
        <f t="shared" si="6"/>
        <v>0</v>
      </c>
      <c r="Z455" s="168">
        <f t="shared" si="7"/>
        <v>0</v>
      </c>
      <c r="AA455" s="168">
        <f t="shared" si="8"/>
        <v>0</v>
      </c>
      <c r="AB455" s="168">
        <f t="shared" si="9"/>
        <v>0</v>
      </c>
    </row>
    <row r="456" ht="14.25" customHeight="1">
      <c r="A456" s="157">
        <v>1268.0</v>
      </c>
      <c r="B456" s="169" t="s">
        <v>24</v>
      </c>
      <c r="C456" s="169" t="s">
        <v>724</v>
      </c>
      <c r="D456" s="159">
        <v>43282.0</v>
      </c>
      <c r="E456" s="157" t="s">
        <v>2</v>
      </c>
      <c r="F456" s="160">
        <v>3114.3</v>
      </c>
      <c r="G456" s="160">
        <v>498.29</v>
      </c>
      <c r="H456" s="160">
        <f t="shared" si="26"/>
        <v>3612.59</v>
      </c>
      <c r="I456" s="172"/>
      <c r="J456" s="169"/>
      <c r="K456" s="172"/>
      <c r="L456" s="172">
        <f>+'FACUS$'!$H456-'FACUS$'!$I456-'FACUS$'!$K456</f>
        <v>3612.59</v>
      </c>
      <c r="M456" s="157" t="s">
        <v>91</v>
      </c>
      <c r="N456" s="162" t="s">
        <v>554</v>
      </c>
      <c r="O456" s="332">
        <v>43336.0</v>
      </c>
      <c r="P456" s="164">
        <f t="array" ref="P456">XLOOKUP('FACUS$'!$B456,'perfil de pagos'!$A$4:$A$46,'perfil de pagos'!$C$4:$C$46+'FACUS$'!$D456)</f>
        <v>43292</v>
      </c>
      <c r="Q456" s="165">
        <f t="shared" si="2"/>
        <v>0</v>
      </c>
      <c r="R456" s="171"/>
      <c r="S456" s="171"/>
      <c r="T456" s="171"/>
      <c r="U456" s="333" t="s">
        <v>7271</v>
      </c>
      <c r="V456" s="168">
        <f t="shared" si="3"/>
        <v>3612.59</v>
      </c>
      <c r="W456" s="168">
        <f t="shared" si="4"/>
        <v>0</v>
      </c>
      <c r="X456" s="168">
        <f t="shared" si="5"/>
        <v>0</v>
      </c>
      <c r="Y456" s="168">
        <f t="shared" si="6"/>
        <v>0</v>
      </c>
      <c r="Z456" s="168">
        <f t="shared" si="7"/>
        <v>0</v>
      </c>
      <c r="AA456" s="168">
        <f t="shared" si="8"/>
        <v>0</v>
      </c>
      <c r="AB456" s="168">
        <f t="shared" si="9"/>
        <v>0</v>
      </c>
    </row>
    <row r="457" ht="14.25" customHeight="1">
      <c r="A457" s="157">
        <v>1268.0</v>
      </c>
      <c r="B457" s="169" t="s">
        <v>24</v>
      </c>
      <c r="C457" s="169"/>
      <c r="D457" s="159"/>
      <c r="E457" s="157"/>
      <c r="F457" s="160"/>
      <c r="G457" s="160"/>
      <c r="H457" s="160">
        <f t="shared" si="26"/>
        <v>0</v>
      </c>
      <c r="I457" s="172"/>
      <c r="J457" s="169"/>
      <c r="K457" s="172"/>
      <c r="L457" s="172">
        <f>+'FACUS$'!$H457-'FACUS$'!$I457-'FACUS$'!$K457</f>
        <v>0</v>
      </c>
      <c r="M457" s="157"/>
      <c r="N457" s="162" t="s">
        <v>554</v>
      </c>
      <c r="O457" s="332">
        <v>43335.0</v>
      </c>
      <c r="P457" s="164">
        <f t="array" ref="P457">XLOOKUP('FACUS$'!$B457,'perfil de pagos'!$A$4:$A$46,'perfil de pagos'!$C$4:$C$46+'FACUS$'!$D457)</f>
        <v>10</v>
      </c>
      <c r="Q457" s="165">
        <f t="shared" si="2"/>
        <v>0</v>
      </c>
      <c r="R457" s="171"/>
      <c r="S457" s="171"/>
      <c r="T457" s="171"/>
      <c r="U457" s="333" t="s">
        <v>7271</v>
      </c>
      <c r="V457" s="168">
        <f t="shared" si="3"/>
        <v>0</v>
      </c>
      <c r="W457" s="168">
        <f t="shared" si="4"/>
        <v>0</v>
      </c>
      <c r="X457" s="168">
        <f t="shared" si="5"/>
        <v>0</v>
      </c>
      <c r="Y457" s="168">
        <f t="shared" si="6"/>
        <v>0</v>
      </c>
      <c r="Z457" s="168">
        <f t="shared" si="7"/>
        <v>0</v>
      </c>
      <c r="AA457" s="168">
        <f t="shared" si="8"/>
        <v>0</v>
      </c>
      <c r="AB457" s="168">
        <f t="shared" si="9"/>
        <v>0</v>
      </c>
    </row>
    <row r="458" ht="14.25" customHeight="1">
      <c r="A458" s="157">
        <v>1270.0</v>
      </c>
      <c r="B458" s="169" t="s">
        <v>18</v>
      </c>
      <c r="C458" s="169" t="s">
        <v>724</v>
      </c>
      <c r="D458" s="159">
        <v>43282.0</v>
      </c>
      <c r="E458" s="157" t="s">
        <v>2</v>
      </c>
      <c r="F458" s="160">
        <v>7841.88</v>
      </c>
      <c r="G458" s="160">
        <v>1254.7</v>
      </c>
      <c r="H458" s="160">
        <f t="shared" si="26"/>
        <v>9096.58</v>
      </c>
      <c r="I458" s="172"/>
      <c r="J458" s="169"/>
      <c r="K458" s="172"/>
      <c r="L458" s="172">
        <f>+'FACUS$'!$H458-'FACUS$'!$I458-'FACUS$'!$K458</f>
        <v>9096.58</v>
      </c>
      <c r="M458" s="157" t="s">
        <v>101</v>
      </c>
      <c r="N458" s="162" t="s">
        <v>554</v>
      </c>
      <c r="O458" s="332">
        <v>43356.0</v>
      </c>
      <c r="P458" s="164">
        <f t="array" ref="P458">XLOOKUP('FACUS$'!$B458,'perfil de pagos'!$A$4:$A$46,'perfil de pagos'!$C$4:$C$46+'FACUS$'!$D458)</f>
        <v>43292</v>
      </c>
      <c r="Q458" s="165">
        <f t="shared" si="2"/>
        <v>0</v>
      </c>
      <c r="R458" s="171"/>
      <c r="S458" s="171"/>
      <c r="T458" s="171"/>
      <c r="U458" s="333" t="s">
        <v>7271</v>
      </c>
      <c r="V458" s="168">
        <f t="shared" si="3"/>
        <v>9096.58</v>
      </c>
      <c r="W458" s="168">
        <f t="shared" si="4"/>
        <v>0</v>
      </c>
      <c r="X458" s="168">
        <f t="shared" si="5"/>
        <v>0</v>
      </c>
      <c r="Y458" s="168">
        <f t="shared" si="6"/>
        <v>0</v>
      </c>
      <c r="Z458" s="168">
        <f t="shared" si="7"/>
        <v>0</v>
      </c>
      <c r="AA458" s="168">
        <f t="shared" si="8"/>
        <v>0</v>
      </c>
      <c r="AB458" s="168">
        <f t="shared" si="9"/>
        <v>0</v>
      </c>
    </row>
    <row r="459" ht="14.25" customHeight="1">
      <c r="A459" s="157">
        <v>1272.0</v>
      </c>
      <c r="B459" s="169" t="s">
        <v>20</v>
      </c>
      <c r="C459" s="169" t="s">
        <v>724</v>
      </c>
      <c r="D459" s="159">
        <v>43282.0</v>
      </c>
      <c r="E459" s="157" t="s">
        <v>2</v>
      </c>
      <c r="F459" s="160">
        <v>9609.96</v>
      </c>
      <c r="G459" s="160">
        <v>1537.59</v>
      </c>
      <c r="H459" s="160">
        <f t="shared" si="26"/>
        <v>11147.55</v>
      </c>
      <c r="I459" s="172"/>
      <c r="J459" s="169"/>
      <c r="K459" s="172"/>
      <c r="L459" s="172">
        <f>+'FACUS$'!$H459-'FACUS$'!$I459-'FACUS$'!$K459</f>
        <v>11147.55</v>
      </c>
      <c r="M459" s="157" t="s">
        <v>101</v>
      </c>
      <c r="N459" s="162" t="s">
        <v>554</v>
      </c>
      <c r="O459" s="332">
        <v>43356.0</v>
      </c>
      <c r="P459" s="164">
        <f t="array" ref="P459">XLOOKUP('FACUS$'!$B459,'perfil de pagos'!$A$4:$A$46,'perfil de pagos'!$C$4:$C$46+'FACUS$'!$D459)</f>
        <v>43292</v>
      </c>
      <c r="Q459" s="165">
        <f t="shared" si="2"/>
        <v>0</v>
      </c>
      <c r="R459" s="171"/>
      <c r="S459" s="171"/>
      <c r="T459" s="171"/>
      <c r="U459" s="333" t="s">
        <v>7271</v>
      </c>
      <c r="V459" s="168">
        <f t="shared" si="3"/>
        <v>11147.55</v>
      </c>
      <c r="W459" s="168">
        <f t="shared" si="4"/>
        <v>0</v>
      </c>
      <c r="X459" s="168">
        <f t="shared" si="5"/>
        <v>0</v>
      </c>
      <c r="Y459" s="168">
        <f t="shared" si="6"/>
        <v>0</v>
      </c>
      <c r="Z459" s="168">
        <f t="shared" si="7"/>
        <v>0</v>
      </c>
      <c r="AA459" s="168">
        <f t="shared" si="8"/>
        <v>0</v>
      </c>
      <c r="AB459" s="168">
        <f t="shared" si="9"/>
        <v>0</v>
      </c>
    </row>
    <row r="460" ht="14.25" customHeight="1">
      <c r="A460" s="157">
        <v>1278.0</v>
      </c>
      <c r="B460" s="169" t="s">
        <v>37</v>
      </c>
      <c r="C460" s="169" t="s">
        <v>724</v>
      </c>
      <c r="D460" s="186">
        <v>43174.0</v>
      </c>
      <c r="E460" s="157" t="s">
        <v>2</v>
      </c>
      <c r="F460" s="160">
        <v>96886.35</v>
      </c>
      <c r="G460" s="160">
        <v>15501.82</v>
      </c>
      <c r="H460" s="160">
        <f t="shared" si="26"/>
        <v>112388.17</v>
      </c>
      <c r="I460" s="172"/>
      <c r="J460" s="169"/>
      <c r="K460" s="172"/>
      <c r="L460" s="172">
        <f>+'FACUS$'!$H460-'FACUS$'!$I460-'FACUS$'!$K460</f>
        <v>112388.17</v>
      </c>
      <c r="M460" s="157" t="s">
        <v>718</v>
      </c>
      <c r="N460" s="162" t="s">
        <v>554</v>
      </c>
      <c r="O460" s="332">
        <v>43326.0</v>
      </c>
      <c r="P460" s="164">
        <f t="array" ref="P460">XLOOKUP('FACUS$'!$B460,'perfil de pagos'!$A$4:$A$46,'perfil de pagos'!$C$4:$C$46+'FACUS$'!$D460)</f>
        <v>43184</v>
      </c>
      <c r="Q460" s="165">
        <f t="shared" si="2"/>
        <v>0</v>
      </c>
      <c r="R460" s="171"/>
      <c r="S460" s="171"/>
      <c r="T460" s="171"/>
      <c r="U460" s="333" t="s">
        <v>7271</v>
      </c>
      <c r="V460" s="168">
        <f t="shared" si="3"/>
        <v>112388.17</v>
      </c>
      <c r="W460" s="168">
        <f t="shared" si="4"/>
        <v>0</v>
      </c>
      <c r="X460" s="168">
        <f t="shared" si="5"/>
        <v>0</v>
      </c>
      <c r="Y460" s="168">
        <f t="shared" si="6"/>
        <v>0</v>
      </c>
      <c r="Z460" s="168">
        <f t="shared" si="7"/>
        <v>0</v>
      </c>
      <c r="AA460" s="168">
        <f t="shared" si="8"/>
        <v>0</v>
      </c>
      <c r="AB460" s="168">
        <f t="shared" si="9"/>
        <v>0</v>
      </c>
    </row>
    <row r="461" ht="14.25" customHeight="1">
      <c r="A461" s="157">
        <v>1279.0</v>
      </c>
      <c r="B461" s="169" t="s">
        <v>82</v>
      </c>
      <c r="C461" s="169" t="s">
        <v>7376</v>
      </c>
      <c r="D461" s="159">
        <v>43311.0</v>
      </c>
      <c r="E461" s="157" t="s">
        <v>2</v>
      </c>
      <c r="F461" s="160">
        <v>13349.22</v>
      </c>
      <c r="G461" s="160">
        <v>2135.88</v>
      </c>
      <c r="H461" s="160">
        <f t="shared" si="26"/>
        <v>15485.1</v>
      </c>
      <c r="I461" s="172"/>
      <c r="J461" s="169"/>
      <c r="K461" s="172"/>
      <c r="L461" s="172">
        <f>+'FACUS$'!$H461-'FACUS$'!$I461-'FACUS$'!$K461</f>
        <v>15485.1</v>
      </c>
      <c r="M461" s="157" t="s">
        <v>96</v>
      </c>
      <c r="N461" s="157" t="s">
        <v>7377</v>
      </c>
      <c r="O461" s="332"/>
      <c r="P461" s="164" t="str">
        <f t="array" ref="P461">XLOOKUP('FACUS$'!$B461,'perfil de pagos'!$A$4:$A$46,'perfil de pagos'!$C$4:$C$46+'FACUS$'!$D461)</f>
        <v>#N/A</v>
      </c>
      <c r="Q461" s="165" t="b">
        <f t="shared" si="2"/>
        <v>0</v>
      </c>
      <c r="R461" s="171"/>
      <c r="S461" s="171"/>
      <c r="T461" s="171"/>
      <c r="U461" s="333" t="s">
        <v>7271</v>
      </c>
      <c r="V461" s="168">
        <f t="shared" si="3"/>
        <v>0</v>
      </c>
      <c r="W461" s="168">
        <f t="shared" si="4"/>
        <v>0</v>
      </c>
      <c r="X461" s="168">
        <f t="shared" si="5"/>
        <v>0</v>
      </c>
      <c r="Y461" s="168">
        <f t="shared" si="6"/>
        <v>0</v>
      </c>
      <c r="Z461" s="168">
        <f t="shared" si="7"/>
        <v>0</v>
      </c>
      <c r="AA461" s="168">
        <f t="shared" si="8"/>
        <v>0</v>
      </c>
      <c r="AB461" s="168">
        <f t="shared" si="9"/>
        <v>15485.1</v>
      </c>
    </row>
    <row r="462" ht="14.25" customHeight="1">
      <c r="A462" s="157">
        <v>1280.0</v>
      </c>
      <c r="B462" s="169" t="s">
        <v>82</v>
      </c>
      <c r="C462" s="169" t="s">
        <v>7378</v>
      </c>
      <c r="D462" s="159">
        <v>43314.0</v>
      </c>
      <c r="E462" s="157" t="s">
        <v>2</v>
      </c>
      <c r="F462" s="160">
        <v>15000.0</v>
      </c>
      <c r="G462" s="160">
        <v>2400.0</v>
      </c>
      <c r="H462" s="160">
        <f t="shared" si="26"/>
        <v>17400</v>
      </c>
      <c r="I462" s="172"/>
      <c r="J462" s="169"/>
      <c r="K462" s="172"/>
      <c r="L462" s="172">
        <f>+'FACUS$'!$H462-'FACUS$'!$I462-'FACUS$'!$K462</f>
        <v>17400</v>
      </c>
      <c r="M462" s="157" t="s">
        <v>96</v>
      </c>
      <c r="N462" s="162" t="s">
        <v>127</v>
      </c>
      <c r="O462" s="332"/>
      <c r="P462" s="164" t="str">
        <f t="array" ref="P462">XLOOKUP('FACUS$'!$B462,'perfil de pagos'!$A$4:$A$46,'perfil de pagos'!$C$4:$C$46+'FACUS$'!$D462)</f>
        <v>#N/A</v>
      </c>
      <c r="Q462" s="165" t="str">
        <f t="shared" si="2"/>
        <v>N/A</v>
      </c>
      <c r="R462" s="171"/>
      <c r="S462" s="171"/>
      <c r="T462" s="171"/>
      <c r="U462" s="333" t="s">
        <v>7271</v>
      </c>
      <c r="V462" s="168">
        <f t="shared" si="3"/>
        <v>0</v>
      </c>
      <c r="W462" s="168">
        <f t="shared" si="4"/>
        <v>0</v>
      </c>
      <c r="X462" s="168">
        <f t="shared" si="5"/>
        <v>0</v>
      </c>
      <c r="Y462" s="168">
        <f t="shared" si="6"/>
        <v>0</v>
      </c>
      <c r="Z462" s="168">
        <f t="shared" si="7"/>
        <v>0</v>
      </c>
      <c r="AA462" s="168">
        <f t="shared" si="8"/>
        <v>0</v>
      </c>
      <c r="AB462" s="168">
        <f t="shared" si="9"/>
        <v>17400</v>
      </c>
    </row>
    <row r="463" ht="14.25" customHeight="1">
      <c r="A463" s="157">
        <v>1281.0</v>
      </c>
      <c r="B463" s="169" t="s">
        <v>82</v>
      </c>
      <c r="C463" s="169" t="s">
        <v>7378</v>
      </c>
      <c r="D463" s="159">
        <v>43314.0</v>
      </c>
      <c r="E463" s="157" t="s">
        <v>2</v>
      </c>
      <c r="F463" s="160">
        <v>2500.0</v>
      </c>
      <c r="G463" s="160">
        <v>400.0</v>
      </c>
      <c r="H463" s="160">
        <f t="shared" si="26"/>
        <v>2900</v>
      </c>
      <c r="I463" s="172"/>
      <c r="J463" s="169"/>
      <c r="K463" s="172"/>
      <c r="L463" s="172">
        <f>+'FACUS$'!$H463-'FACUS$'!$I463-'FACUS$'!$K463</f>
        <v>2900</v>
      </c>
      <c r="M463" s="157" t="s">
        <v>96</v>
      </c>
      <c r="N463" s="162" t="s">
        <v>127</v>
      </c>
      <c r="O463" s="332"/>
      <c r="P463" s="164" t="str">
        <f t="array" ref="P463">XLOOKUP('FACUS$'!$B463,'perfil de pagos'!$A$4:$A$46,'perfil de pagos'!$C$4:$C$46+'FACUS$'!$D463)</f>
        <v>#N/A</v>
      </c>
      <c r="Q463" s="165" t="str">
        <f t="shared" si="2"/>
        <v>N/A</v>
      </c>
      <c r="R463" s="171"/>
      <c r="S463" s="171"/>
      <c r="T463" s="171"/>
      <c r="U463" s="333" t="s">
        <v>7271</v>
      </c>
      <c r="V463" s="168">
        <f t="shared" si="3"/>
        <v>0</v>
      </c>
      <c r="W463" s="168">
        <f t="shared" si="4"/>
        <v>0</v>
      </c>
      <c r="X463" s="168">
        <f t="shared" si="5"/>
        <v>0</v>
      </c>
      <c r="Y463" s="168">
        <f t="shared" si="6"/>
        <v>0</v>
      </c>
      <c r="Z463" s="168">
        <f t="shared" si="7"/>
        <v>0</v>
      </c>
      <c r="AA463" s="168">
        <f t="shared" si="8"/>
        <v>0</v>
      </c>
      <c r="AB463" s="168">
        <f t="shared" si="9"/>
        <v>2900</v>
      </c>
    </row>
    <row r="464" ht="14.25" customHeight="1">
      <c r="A464" s="157">
        <v>1282.0</v>
      </c>
      <c r="B464" s="169" t="s">
        <v>82</v>
      </c>
      <c r="C464" s="169" t="s">
        <v>7379</v>
      </c>
      <c r="D464" s="159">
        <v>43314.0</v>
      </c>
      <c r="E464" s="157" t="s">
        <v>2</v>
      </c>
      <c r="F464" s="160">
        <v>15000.0</v>
      </c>
      <c r="G464" s="160">
        <v>2400.0</v>
      </c>
      <c r="H464" s="179">
        <f t="shared" si="26"/>
        <v>17400</v>
      </c>
      <c r="I464" s="173"/>
      <c r="J464" s="170"/>
      <c r="K464" s="173"/>
      <c r="L464" s="173">
        <f>+'FACUS$'!$H464-'FACUS$'!$I464-'FACUS$'!$K464</f>
        <v>17400</v>
      </c>
      <c r="M464" s="157" t="s">
        <v>96</v>
      </c>
      <c r="N464" s="162" t="s">
        <v>554</v>
      </c>
      <c r="O464" s="332">
        <v>43336.0</v>
      </c>
      <c r="P464" s="164" t="str">
        <f t="array" ref="P464">XLOOKUP('FACUS$'!$B464,'perfil de pagos'!$A$4:$A$46,'perfil de pagos'!$C$4:$C$46+'FACUS$'!$D464)</f>
        <v>#N/A</v>
      </c>
      <c r="Q464" s="165">
        <f t="shared" si="2"/>
        <v>0</v>
      </c>
      <c r="R464" s="171"/>
      <c r="S464" s="171"/>
      <c r="T464" s="171"/>
      <c r="U464" s="333" t="s">
        <v>7271</v>
      </c>
      <c r="V464" s="168">
        <f t="shared" si="3"/>
        <v>17400</v>
      </c>
      <c r="W464" s="168">
        <f t="shared" si="4"/>
        <v>0</v>
      </c>
      <c r="X464" s="168">
        <f t="shared" si="5"/>
        <v>0</v>
      </c>
      <c r="Y464" s="168">
        <f t="shared" si="6"/>
        <v>0</v>
      </c>
      <c r="Z464" s="168">
        <f t="shared" si="7"/>
        <v>0</v>
      </c>
      <c r="AA464" s="168">
        <f t="shared" si="8"/>
        <v>0</v>
      </c>
      <c r="AB464" s="168">
        <f t="shared" si="9"/>
        <v>0</v>
      </c>
    </row>
    <row r="465" ht="14.25" customHeight="1">
      <c r="A465" s="157">
        <v>1283.0</v>
      </c>
      <c r="B465" s="169" t="s">
        <v>82</v>
      </c>
      <c r="C465" s="169" t="s">
        <v>7379</v>
      </c>
      <c r="D465" s="159">
        <v>43314.0</v>
      </c>
      <c r="E465" s="157" t="s">
        <v>2</v>
      </c>
      <c r="F465" s="160">
        <v>2500.0</v>
      </c>
      <c r="G465" s="160">
        <v>400.0</v>
      </c>
      <c r="H465" s="160">
        <f t="shared" si="26"/>
        <v>2900</v>
      </c>
      <c r="I465" s="172"/>
      <c r="J465" s="169"/>
      <c r="K465" s="172"/>
      <c r="L465" s="172">
        <f>+'FACUS$'!$H465-'FACUS$'!$I465-'FACUS$'!$K465</f>
        <v>2900</v>
      </c>
      <c r="M465" s="157" t="s">
        <v>96</v>
      </c>
      <c r="N465" s="162" t="s">
        <v>554</v>
      </c>
      <c r="O465" s="332">
        <v>43336.0</v>
      </c>
      <c r="P465" s="164" t="str">
        <f t="array" ref="P465">XLOOKUP('FACUS$'!$B465,'perfil de pagos'!$A$4:$A$46,'perfil de pagos'!$C$4:$C$46+'FACUS$'!$D465)</f>
        <v>#N/A</v>
      </c>
      <c r="Q465" s="165">
        <f t="shared" si="2"/>
        <v>0</v>
      </c>
      <c r="R465" s="171"/>
      <c r="S465" s="171"/>
      <c r="T465" s="171"/>
      <c r="U465" s="333" t="s">
        <v>7271</v>
      </c>
      <c r="V465" s="168">
        <f t="shared" si="3"/>
        <v>2900</v>
      </c>
      <c r="W465" s="168">
        <f t="shared" si="4"/>
        <v>0</v>
      </c>
      <c r="X465" s="168">
        <f t="shared" si="5"/>
        <v>0</v>
      </c>
      <c r="Y465" s="168">
        <f t="shared" si="6"/>
        <v>0</v>
      </c>
      <c r="Z465" s="168">
        <f t="shared" si="7"/>
        <v>0</v>
      </c>
      <c r="AA465" s="168">
        <f t="shared" si="8"/>
        <v>0</v>
      </c>
      <c r="AB465" s="168">
        <f t="shared" si="9"/>
        <v>0</v>
      </c>
    </row>
    <row r="466" ht="14.25" customHeight="1">
      <c r="A466" s="157">
        <v>1284.0</v>
      </c>
      <c r="B466" s="169" t="s">
        <v>82</v>
      </c>
      <c r="C466" s="169" t="s">
        <v>7380</v>
      </c>
      <c r="D466" s="159">
        <v>43314.0</v>
      </c>
      <c r="E466" s="157" t="s">
        <v>2</v>
      </c>
      <c r="F466" s="160">
        <v>15000.0</v>
      </c>
      <c r="G466" s="160">
        <v>2400.0</v>
      </c>
      <c r="H466" s="160">
        <f t="shared" si="26"/>
        <v>17400</v>
      </c>
      <c r="I466" s="172"/>
      <c r="J466" s="169"/>
      <c r="K466" s="172"/>
      <c r="L466" s="172">
        <f>+'FACUS$'!$H466-'FACUS$'!$I466-'FACUS$'!$K466</f>
        <v>17400</v>
      </c>
      <c r="M466" s="157" t="s">
        <v>96</v>
      </c>
      <c r="N466" s="162" t="s">
        <v>554</v>
      </c>
      <c r="O466" s="332">
        <v>43336.0</v>
      </c>
      <c r="P466" s="164" t="str">
        <f t="array" ref="P466">XLOOKUP('FACUS$'!$B466,'perfil de pagos'!$A$4:$A$46,'perfil de pagos'!$C$4:$C$46+'FACUS$'!$D466)</f>
        <v>#N/A</v>
      </c>
      <c r="Q466" s="165">
        <f t="shared" si="2"/>
        <v>0</v>
      </c>
      <c r="R466" s="171"/>
      <c r="S466" s="171"/>
      <c r="T466" s="171"/>
      <c r="U466" s="333" t="s">
        <v>7271</v>
      </c>
      <c r="V466" s="168">
        <f t="shared" si="3"/>
        <v>17400</v>
      </c>
      <c r="W466" s="168">
        <f t="shared" si="4"/>
        <v>0</v>
      </c>
      <c r="X466" s="168">
        <f t="shared" si="5"/>
        <v>0</v>
      </c>
      <c r="Y466" s="168">
        <f t="shared" si="6"/>
        <v>0</v>
      </c>
      <c r="Z466" s="168">
        <f t="shared" si="7"/>
        <v>0</v>
      </c>
      <c r="AA466" s="168">
        <f t="shared" si="8"/>
        <v>0</v>
      </c>
      <c r="AB466" s="168">
        <f t="shared" si="9"/>
        <v>0</v>
      </c>
    </row>
    <row r="467" ht="14.25" customHeight="1">
      <c r="A467" s="157">
        <v>1285.0</v>
      </c>
      <c r="B467" s="169" t="s">
        <v>82</v>
      </c>
      <c r="C467" s="169" t="s">
        <v>7381</v>
      </c>
      <c r="D467" s="159">
        <v>43314.0</v>
      </c>
      <c r="E467" s="157" t="s">
        <v>2</v>
      </c>
      <c r="F467" s="160">
        <v>6500.0</v>
      </c>
      <c r="G467" s="160">
        <v>1040.0</v>
      </c>
      <c r="H467" s="160">
        <f t="shared" si="26"/>
        <v>7540</v>
      </c>
      <c r="I467" s="172"/>
      <c r="J467" s="169"/>
      <c r="K467" s="172"/>
      <c r="L467" s="172">
        <f>+'FACUS$'!$H467-'FACUS$'!$I467-'FACUS$'!$K467</f>
        <v>7540</v>
      </c>
      <c r="M467" s="157" t="s">
        <v>96</v>
      </c>
      <c r="N467" s="162" t="s">
        <v>554</v>
      </c>
      <c r="O467" s="332">
        <v>43330.0</v>
      </c>
      <c r="P467" s="164" t="str">
        <f t="array" ref="P467">XLOOKUP('FACUS$'!$B467,'perfil de pagos'!$A$4:$A$46,'perfil de pagos'!$C$4:$C$46+'FACUS$'!$D467)</f>
        <v>#N/A</v>
      </c>
      <c r="Q467" s="165">
        <f t="shared" si="2"/>
        <v>0</v>
      </c>
      <c r="R467" s="171"/>
      <c r="S467" s="171"/>
      <c r="T467" s="171"/>
      <c r="U467" s="333" t="s">
        <v>7271</v>
      </c>
      <c r="V467" s="168">
        <f t="shared" si="3"/>
        <v>7540</v>
      </c>
      <c r="W467" s="168">
        <f t="shared" si="4"/>
        <v>0</v>
      </c>
      <c r="X467" s="168">
        <f t="shared" si="5"/>
        <v>0</v>
      </c>
      <c r="Y467" s="168">
        <f t="shared" si="6"/>
        <v>0</v>
      </c>
      <c r="Z467" s="168">
        <f t="shared" si="7"/>
        <v>0</v>
      </c>
      <c r="AA467" s="168">
        <f t="shared" si="8"/>
        <v>0</v>
      </c>
      <c r="AB467" s="168">
        <f t="shared" si="9"/>
        <v>0</v>
      </c>
    </row>
    <row r="468" ht="14.25" customHeight="1">
      <c r="A468" s="157">
        <v>1286.0</v>
      </c>
      <c r="B468" s="169" t="s">
        <v>82</v>
      </c>
      <c r="C468" s="169" t="s">
        <v>7382</v>
      </c>
      <c r="D468" s="159">
        <v>43314.0</v>
      </c>
      <c r="E468" s="157" t="s">
        <v>2</v>
      </c>
      <c r="F468" s="160">
        <v>5000.0</v>
      </c>
      <c r="G468" s="160">
        <v>800.0</v>
      </c>
      <c r="H468" s="160">
        <f t="shared" si="26"/>
        <v>5800</v>
      </c>
      <c r="I468" s="172"/>
      <c r="J468" s="169"/>
      <c r="K468" s="172"/>
      <c r="L468" s="172">
        <f>+'FACUS$'!$H468-'FACUS$'!$I468-'FACUS$'!$K468</f>
        <v>5800</v>
      </c>
      <c r="M468" s="157" t="s">
        <v>96</v>
      </c>
      <c r="N468" s="162" t="s">
        <v>127</v>
      </c>
      <c r="O468" s="332"/>
      <c r="P468" s="164" t="str">
        <f t="array" ref="P468">XLOOKUP('FACUS$'!$B468,'perfil de pagos'!$A$4:$A$46,'perfil de pagos'!$C$4:$C$46+'FACUS$'!$D468)</f>
        <v>#N/A</v>
      </c>
      <c r="Q468" s="165" t="str">
        <f t="shared" si="2"/>
        <v>N/A</v>
      </c>
      <c r="R468" s="171"/>
      <c r="S468" s="171"/>
      <c r="T468" s="171"/>
      <c r="U468" s="333" t="s">
        <v>7271</v>
      </c>
      <c r="V468" s="168">
        <f t="shared" si="3"/>
        <v>0</v>
      </c>
      <c r="W468" s="168">
        <f t="shared" si="4"/>
        <v>0</v>
      </c>
      <c r="X468" s="168">
        <f t="shared" si="5"/>
        <v>0</v>
      </c>
      <c r="Y468" s="168">
        <f t="shared" si="6"/>
        <v>0</v>
      </c>
      <c r="Z468" s="168">
        <f t="shared" si="7"/>
        <v>0</v>
      </c>
      <c r="AA468" s="168">
        <f t="shared" si="8"/>
        <v>0</v>
      </c>
      <c r="AB468" s="168">
        <f t="shared" si="9"/>
        <v>5800</v>
      </c>
    </row>
    <row r="469" ht="14.25" customHeight="1">
      <c r="A469" s="157">
        <v>1287.0</v>
      </c>
      <c r="B469" s="169" t="s">
        <v>82</v>
      </c>
      <c r="C469" s="169" t="s">
        <v>7383</v>
      </c>
      <c r="D469" s="159">
        <v>43314.0</v>
      </c>
      <c r="E469" s="157" t="s">
        <v>2</v>
      </c>
      <c r="F469" s="160">
        <v>15000.0</v>
      </c>
      <c r="G469" s="160">
        <v>2400.0</v>
      </c>
      <c r="H469" s="160">
        <f t="shared" si="26"/>
        <v>17400</v>
      </c>
      <c r="I469" s="172"/>
      <c r="J469" s="169"/>
      <c r="K469" s="172"/>
      <c r="L469" s="172">
        <f>+'FACUS$'!$H469-'FACUS$'!$I469-'FACUS$'!$K469</f>
        <v>17400</v>
      </c>
      <c r="M469" s="157" t="s">
        <v>96</v>
      </c>
      <c r="N469" s="162" t="s">
        <v>554</v>
      </c>
      <c r="O469" s="332">
        <v>43330.0</v>
      </c>
      <c r="P469" s="164" t="str">
        <f t="array" ref="P469">XLOOKUP('FACUS$'!$B469,'perfil de pagos'!$A$4:$A$46,'perfil de pagos'!$C$4:$C$46+'FACUS$'!$D469)</f>
        <v>#N/A</v>
      </c>
      <c r="Q469" s="165">
        <f t="shared" si="2"/>
        <v>0</v>
      </c>
      <c r="R469" s="171"/>
      <c r="S469" s="171"/>
      <c r="T469" s="171"/>
      <c r="U469" s="333" t="s">
        <v>7271</v>
      </c>
      <c r="V469" s="168">
        <f t="shared" si="3"/>
        <v>17400</v>
      </c>
      <c r="W469" s="168">
        <f t="shared" si="4"/>
        <v>0</v>
      </c>
      <c r="X469" s="168">
        <f t="shared" si="5"/>
        <v>0</v>
      </c>
      <c r="Y469" s="168">
        <f t="shared" si="6"/>
        <v>0</v>
      </c>
      <c r="Z469" s="168">
        <f t="shared" si="7"/>
        <v>0</v>
      </c>
      <c r="AA469" s="168">
        <f t="shared" si="8"/>
        <v>0</v>
      </c>
      <c r="AB469" s="168">
        <f t="shared" si="9"/>
        <v>0</v>
      </c>
    </row>
    <row r="470" ht="14.25" customHeight="1">
      <c r="A470" s="157">
        <v>1288.0</v>
      </c>
      <c r="B470" s="169" t="s">
        <v>82</v>
      </c>
      <c r="C470" s="169" t="s">
        <v>7384</v>
      </c>
      <c r="D470" s="159">
        <v>43314.0</v>
      </c>
      <c r="E470" s="157" t="s">
        <v>2</v>
      </c>
      <c r="F470" s="160">
        <v>6500.0</v>
      </c>
      <c r="G470" s="160">
        <v>1040.0</v>
      </c>
      <c r="H470" s="160">
        <f t="shared" si="26"/>
        <v>7540</v>
      </c>
      <c r="I470" s="172"/>
      <c r="J470" s="169"/>
      <c r="K470" s="172"/>
      <c r="L470" s="172">
        <f>+'FACUS$'!$H470-'FACUS$'!$I470-'FACUS$'!$K470</f>
        <v>7540</v>
      </c>
      <c r="M470" s="157" t="s">
        <v>96</v>
      </c>
      <c r="N470" s="162" t="s">
        <v>554</v>
      </c>
      <c r="O470" s="332">
        <v>43330.0</v>
      </c>
      <c r="P470" s="164" t="str">
        <f t="array" ref="P470">XLOOKUP('FACUS$'!$B470,'perfil de pagos'!$A$4:$A$46,'perfil de pagos'!$C$4:$C$46+'FACUS$'!$D470)</f>
        <v>#N/A</v>
      </c>
      <c r="Q470" s="165">
        <f t="shared" si="2"/>
        <v>0</v>
      </c>
      <c r="R470" s="171"/>
      <c r="S470" s="171"/>
      <c r="T470" s="171"/>
      <c r="U470" s="333" t="s">
        <v>7271</v>
      </c>
      <c r="V470" s="168">
        <f t="shared" si="3"/>
        <v>7540</v>
      </c>
      <c r="W470" s="168">
        <f t="shared" si="4"/>
        <v>0</v>
      </c>
      <c r="X470" s="168">
        <f t="shared" si="5"/>
        <v>0</v>
      </c>
      <c r="Y470" s="168">
        <f t="shared" si="6"/>
        <v>0</v>
      </c>
      <c r="Z470" s="168">
        <f t="shared" si="7"/>
        <v>0</v>
      </c>
      <c r="AA470" s="168">
        <f t="shared" si="8"/>
        <v>0</v>
      </c>
      <c r="AB470" s="168">
        <f t="shared" si="9"/>
        <v>0</v>
      </c>
    </row>
    <row r="471" ht="14.25" customHeight="1">
      <c r="A471" s="194">
        <v>1289.0</v>
      </c>
      <c r="B471" s="169" t="s">
        <v>82</v>
      </c>
      <c r="C471" s="169" t="s">
        <v>7385</v>
      </c>
      <c r="D471" s="159">
        <v>43314.0</v>
      </c>
      <c r="E471" s="157" t="s">
        <v>2</v>
      </c>
      <c r="F471" s="160">
        <v>5000.0</v>
      </c>
      <c r="G471" s="160">
        <v>800.0</v>
      </c>
      <c r="H471" s="160">
        <f t="shared" si="26"/>
        <v>5800</v>
      </c>
      <c r="I471" s="172"/>
      <c r="J471" s="169"/>
      <c r="K471" s="172"/>
      <c r="L471" s="172">
        <f>+'FACUS$'!$H471-'FACUS$'!$I471-'FACUS$'!$K471</f>
        <v>5800</v>
      </c>
      <c r="M471" s="157" t="s">
        <v>96</v>
      </c>
      <c r="N471" s="162" t="s">
        <v>127</v>
      </c>
      <c r="O471" s="332"/>
      <c r="P471" s="164" t="str">
        <f t="array" ref="P471">XLOOKUP('FACUS$'!$B471,'perfil de pagos'!$A$4:$A$46,'perfil de pagos'!$C$4:$C$46+'FACUS$'!$D471)</f>
        <v>#N/A</v>
      </c>
      <c r="Q471" s="165" t="str">
        <f t="shared" si="2"/>
        <v>N/A</v>
      </c>
      <c r="R471" s="171"/>
      <c r="S471" s="171"/>
      <c r="T471" s="171"/>
      <c r="U471" s="333" t="s">
        <v>7271</v>
      </c>
      <c r="V471" s="168">
        <f t="shared" si="3"/>
        <v>0</v>
      </c>
      <c r="W471" s="168">
        <f t="shared" si="4"/>
        <v>0</v>
      </c>
      <c r="X471" s="168">
        <f t="shared" si="5"/>
        <v>0</v>
      </c>
      <c r="Y471" s="168">
        <f t="shared" si="6"/>
        <v>0</v>
      </c>
      <c r="Z471" s="168">
        <f t="shared" si="7"/>
        <v>0</v>
      </c>
      <c r="AA471" s="168">
        <f t="shared" si="8"/>
        <v>0</v>
      </c>
      <c r="AB471" s="168">
        <f t="shared" si="9"/>
        <v>5800</v>
      </c>
    </row>
    <row r="472" ht="14.25" customHeight="1">
      <c r="A472" s="157">
        <v>1292.0</v>
      </c>
      <c r="B472" s="166" t="s">
        <v>720</v>
      </c>
      <c r="C472" s="169" t="s">
        <v>724</v>
      </c>
      <c r="D472" s="159">
        <v>43296.0</v>
      </c>
      <c r="E472" s="157" t="s">
        <v>2</v>
      </c>
      <c r="F472" s="160">
        <v>44438.4</v>
      </c>
      <c r="G472" s="160">
        <v>7110.14</v>
      </c>
      <c r="H472" s="160">
        <f t="shared" si="26"/>
        <v>51548.54</v>
      </c>
      <c r="I472" s="172"/>
      <c r="J472" s="169"/>
      <c r="K472" s="172"/>
      <c r="L472" s="172">
        <f>+'FACUS$'!$H472-'FACUS$'!$I472-'FACUS$'!$K472</f>
        <v>51548.54</v>
      </c>
      <c r="M472" s="157" t="s">
        <v>777</v>
      </c>
      <c r="N472" s="162" t="s">
        <v>554</v>
      </c>
      <c r="O472" s="332">
        <v>43320.0</v>
      </c>
      <c r="P472" s="164" t="str">
        <f t="array" ref="P472">XLOOKUP('FACUS$'!$B472,'perfil de pagos'!$A$4:$A$46,'perfil de pagos'!$C$4:$C$46+'FACUS$'!$D472)</f>
        <v>#N/A</v>
      </c>
      <c r="Q472" s="165">
        <f t="shared" si="2"/>
        <v>0</v>
      </c>
      <c r="R472" s="171"/>
      <c r="S472" s="171"/>
      <c r="T472" s="171"/>
      <c r="U472" s="333" t="s">
        <v>7271</v>
      </c>
      <c r="V472" s="168">
        <f t="shared" si="3"/>
        <v>51548.54</v>
      </c>
      <c r="W472" s="168">
        <f t="shared" si="4"/>
        <v>0</v>
      </c>
      <c r="X472" s="168">
        <f t="shared" si="5"/>
        <v>0</v>
      </c>
      <c r="Y472" s="168">
        <f t="shared" si="6"/>
        <v>0</v>
      </c>
      <c r="Z472" s="168">
        <f t="shared" si="7"/>
        <v>0</v>
      </c>
      <c r="AA472" s="168">
        <f t="shared" si="8"/>
        <v>0</v>
      </c>
      <c r="AB472" s="168">
        <f t="shared" si="9"/>
        <v>0</v>
      </c>
    </row>
    <row r="473" ht="14.25" customHeight="1">
      <c r="A473" s="157">
        <v>1294.0</v>
      </c>
      <c r="B473" s="169" t="s">
        <v>24</v>
      </c>
      <c r="C473" s="169" t="s">
        <v>724</v>
      </c>
      <c r="D473" s="159">
        <v>43296.0</v>
      </c>
      <c r="E473" s="157" t="s">
        <v>2</v>
      </c>
      <c r="F473" s="160">
        <v>2916.9</v>
      </c>
      <c r="G473" s="160">
        <v>466.7</v>
      </c>
      <c r="H473" s="160">
        <f t="shared" si="26"/>
        <v>3383.6</v>
      </c>
      <c r="I473" s="172"/>
      <c r="J473" s="169"/>
      <c r="K473" s="172"/>
      <c r="L473" s="172">
        <f>+'FACUS$'!$H473-'FACUS$'!$I473-'FACUS$'!$K473</f>
        <v>3383.6</v>
      </c>
      <c r="M473" s="157" t="s">
        <v>91</v>
      </c>
      <c r="N473" s="162" t="s">
        <v>554</v>
      </c>
      <c r="O473" s="332">
        <v>43336.0</v>
      </c>
      <c r="P473" s="164">
        <f t="array" ref="P473">XLOOKUP('FACUS$'!$B473,'perfil de pagos'!$A$4:$A$46,'perfil de pagos'!$C$4:$C$46+'FACUS$'!$D473)</f>
        <v>43306</v>
      </c>
      <c r="Q473" s="165">
        <f t="shared" si="2"/>
        <v>0</v>
      </c>
      <c r="R473" s="171"/>
      <c r="S473" s="171"/>
      <c r="T473" s="171"/>
      <c r="U473" s="333" t="s">
        <v>7271</v>
      </c>
      <c r="V473" s="168">
        <f t="shared" si="3"/>
        <v>3383.6</v>
      </c>
      <c r="W473" s="168">
        <f t="shared" si="4"/>
        <v>0</v>
      </c>
      <c r="X473" s="168">
        <f t="shared" si="5"/>
        <v>0</v>
      </c>
      <c r="Y473" s="168">
        <f t="shared" si="6"/>
        <v>0</v>
      </c>
      <c r="Z473" s="168">
        <f t="shared" si="7"/>
        <v>0</v>
      </c>
      <c r="AA473" s="168">
        <f t="shared" si="8"/>
        <v>0</v>
      </c>
      <c r="AB473" s="168">
        <f t="shared" si="9"/>
        <v>0</v>
      </c>
    </row>
    <row r="474" ht="14.25" customHeight="1">
      <c r="A474" s="157">
        <v>1296.0</v>
      </c>
      <c r="B474" s="169" t="s">
        <v>29</v>
      </c>
      <c r="C474" s="169" t="s">
        <v>7386</v>
      </c>
      <c r="D474" s="159">
        <v>43282.0</v>
      </c>
      <c r="E474" s="157" t="s">
        <v>2</v>
      </c>
      <c r="F474" s="160">
        <v>6938.4</v>
      </c>
      <c r="G474" s="160">
        <v>1110.14</v>
      </c>
      <c r="H474" s="179">
        <f t="shared" si="26"/>
        <v>8048.54</v>
      </c>
      <c r="I474" s="173"/>
      <c r="J474" s="170"/>
      <c r="K474" s="173"/>
      <c r="L474" s="173">
        <f>+'FACUS$'!$H474-'FACUS$'!$I474-'FACUS$'!$K474</f>
        <v>8048.54</v>
      </c>
      <c r="M474" s="157" t="s">
        <v>825</v>
      </c>
      <c r="N474" s="162" t="s">
        <v>554</v>
      </c>
      <c r="O474" s="332">
        <v>43328.0</v>
      </c>
      <c r="P474" s="164">
        <f t="array" ref="P474">XLOOKUP('FACUS$'!$B474,'perfil de pagos'!$A$4:$A$46,'perfil de pagos'!$C$4:$C$46+'FACUS$'!$D474)</f>
        <v>43292</v>
      </c>
      <c r="Q474" s="165">
        <f t="shared" si="2"/>
        <v>0</v>
      </c>
      <c r="R474" s="171"/>
      <c r="S474" s="171"/>
      <c r="T474" s="171"/>
      <c r="U474" s="333" t="s">
        <v>7271</v>
      </c>
      <c r="V474" s="168">
        <f t="shared" si="3"/>
        <v>8048.54</v>
      </c>
      <c r="W474" s="168">
        <f t="shared" si="4"/>
        <v>0</v>
      </c>
      <c r="X474" s="168">
        <f t="shared" si="5"/>
        <v>0</v>
      </c>
      <c r="Y474" s="168">
        <f t="shared" si="6"/>
        <v>0</v>
      </c>
      <c r="Z474" s="168">
        <f t="shared" si="7"/>
        <v>0</v>
      </c>
      <c r="AA474" s="168">
        <f t="shared" si="8"/>
        <v>0</v>
      </c>
      <c r="AB474" s="168">
        <f t="shared" si="9"/>
        <v>0</v>
      </c>
    </row>
    <row r="475" ht="14.25" customHeight="1">
      <c r="A475" s="157">
        <v>1297.0</v>
      </c>
      <c r="B475" s="169" t="s">
        <v>82</v>
      </c>
      <c r="C475" s="169" t="s">
        <v>7387</v>
      </c>
      <c r="D475" s="159">
        <v>43318.0</v>
      </c>
      <c r="E475" s="157" t="s">
        <v>2</v>
      </c>
      <c r="F475" s="160">
        <v>2500.0</v>
      </c>
      <c r="G475" s="160">
        <v>400.0</v>
      </c>
      <c r="H475" s="160">
        <f t="shared" si="26"/>
        <v>2900</v>
      </c>
      <c r="I475" s="172"/>
      <c r="J475" s="169"/>
      <c r="K475" s="172"/>
      <c r="L475" s="172">
        <f>+'FACUS$'!$H475-'FACUS$'!$I475-'FACUS$'!$K475</f>
        <v>2900</v>
      </c>
      <c r="M475" s="157" t="s">
        <v>96</v>
      </c>
      <c r="N475" s="162" t="s">
        <v>554</v>
      </c>
      <c r="O475" s="332">
        <v>43342.0</v>
      </c>
      <c r="P475" s="164" t="str">
        <f t="array" ref="P475">XLOOKUP('FACUS$'!$B475,'perfil de pagos'!$A$4:$A$46,'perfil de pagos'!$C$4:$C$46+'FACUS$'!$D475)</f>
        <v>#N/A</v>
      </c>
      <c r="Q475" s="165">
        <f t="shared" si="2"/>
        <v>0</v>
      </c>
      <c r="R475" s="171"/>
      <c r="S475" s="171"/>
      <c r="T475" s="171"/>
      <c r="U475" s="333" t="s">
        <v>7271</v>
      </c>
      <c r="V475" s="168">
        <f t="shared" si="3"/>
        <v>2900</v>
      </c>
      <c r="W475" s="168">
        <f t="shared" si="4"/>
        <v>0</v>
      </c>
      <c r="X475" s="168">
        <f t="shared" si="5"/>
        <v>0</v>
      </c>
      <c r="Y475" s="168">
        <f t="shared" si="6"/>
        <v>0</v>
      </c>
      <c r="Z475" s="168">
        <f t="shared" si="7"/>
        <v>0</v>
      </c>
      <c r="AA475" s="168">
        <f t="shared" si="8"/>
        <v>0</v>
      </c>
      <c r="AB475" s="168">
        <f t="shared" si="9"/>
        <v>0</v>
      </c>
    </row>
    <row r="476" ht="14.25" customHeight="1">
      <c r="A476" s="157">
        <v>1298.0</v>
      </c>
      <c r="B476" s="169" t="s">
        <v>82</v>
      </c>
      <c r="C476" s="169" t="s">
        <v>7388</v>
      </c>
      <c r="D476" s="159">
        <v>43318.0</v>
      </c>
      <c r="E476" s="157" t="s">
        <v>2</v>
      </c>
      <c r="F476" s="160">
        <v>2500.0</v>
      </c>
      <c r="G476" s="160">
        <v>400.0</v>
      </c>
      <c r="H476" s="160">
        <f t="shared" si="26"/>
        <v>2900</v>
      </c>
      <c r="I476" s="172"/>
      <c r="J476" s="169"/>
      <c r="K476" s="172"/>
      <c r="L476" s="172">
        <f>+'FACUS$'!$H476-'FACUS$'!$I476-'FACUS$'!$K476</f>
        <v>2900</v>
      </c>
      <c r="M476" s="157" t="s">
        <v>96</v>
      </c>
      <c r="N476" s="162" t="s">
        <v>554</v>
      </c>
      <c r="O476" s="332">
        <v>43342.0</v>
      </c>
      <c r="P476" s="164" t="str">
        <f t="array" ref="P476">XLOOKUP('FACUS$'!$B476,'perfil de pagos'!$A$4:$A$46,'perfil de pagos'!$C$4:$C$46+'FACUS$'!$D476)</f>
        <v>#N/A</v>
      </c>
      <c r="Q476" s="165">
        <f t="shared" si="2"/>
        <v>0</v>
      </c>
      <c r="R476" s="171"/>
      <c r="S476" s="171"/>
      <c r="T476" s="171"/>
      <c r="U476" s="333" t="s">
        <v>7271</v>
      </c>
      <c r="V476" s="168">
        <f t="shared" si="3"/>
        <v>2900</v>
      </c>
      <c r="W476" s="168">
        <f t="shared" si="4"/>
        <v>0</v>
      </c>
      <c r="X476" s="168">
        <f t="shared" si="5"/>
        <v>0</v>
      </c>
      <c r="Y476" s="168">
        <f t="shared" si="6"/>
        <v>0</v>
      </c>
      <c r="Z476" s="168">
        <f t="shared" si="7"/>
        <v>0</v>
      </c>
      <c r="AA476" s="168">
        <f t="shared" si="8"/>
        <v>0</v>
      </c>
      <c r="AB476" s="168">
        <f t="shared" si="9"/>
        <v>0</v>
      </c>
    </row>
    <row r="477" ht="14.25" customHeight="1">
      <c r="A477" s="194">
        <v>1299.0</v>
      </c>
      <c r="B477" s="169" t="s">
        <v>82</v>
      </c>
      <c r="C477" s="169" t="s">
        <v>7389</v>
      </c>
      <c r="D477" s="159">
        <v>43318.0</v>
      </c>
      <c r="E477" s="157" t="s">
        <v>2</v>
      </c>
      <c r="F477" s="160">
        <v>2500.0</v>
      </c>
      <c r="G477" s="160">
        <v>400.0</v>
      </c>
      <c r="H477" s="160">
        <f t="shared" si="26"/>
        <v>2900</v>
      </c>
      <c r="I477" s="172"/>
      <c r="J477" s="169"/>
      <c r="K477" s="172"/>
      <c r="L477" s="172">
        <f>+'FACUS$'!$H477-'FACUS$'!$I477-'FACUS$'!$K477</f>
        <v>2900</v>
      </c>
      <c r="M477" s="157" t="s">
        <v>96</v>
      </c>
      <c r="N477" s="162" t="s">
        <v>554</v>
      </c>
      <c r="O477" s="332">
        <v>43342.0</v>
      </c>
      <c r="P477" s="164" t="str">
        <f t="array" ref="P477">XLOOKUP('FACUS$'!$B477,'perfil de pagos'!$A$4:$A$46,'perfil de pagos'!$C$4:$C$46+'FACUS$'!$D477)</f>
        <v>#N/A</v>
      </c>
      <c r="Q477" s="165">
        <f t="shared" si="2"/>
        <v>0</v>
      </c>
      <c r="R477" s="171"/>
      <c r="S477" s="171"/>
      <c r="T477" s="171"/>
      <c r="U477" s="333" t="s">
        <v>7271</v>
      </c>
      <c r="V477" s="168">
        <f t="shared" si="3"/>
        <v>2900</v>
      </c>
      <c r="W477" s="168">
        <f t="shared" si="4"/>
        <v>0</v>
      </c>
      <c r="X477" s="168">
        <f t="shared" si="5"/>
        <v>0</v>
      </c>
      <c r="Y477" s="168">
        <f t="shared" si="6"/>
        <v>0</v>
      </c>
      <c r="Z477" s="168">
        <f t="shared" si="7"/>
        <v>0</v>
      </c>
      <c r="AA477" s="168">
        <f t="shared" si="8"/>
        <v>0</v>
      </c>
      <c r="AB477" s="168">
        <f t="shared" si="9"/>
        <v>0</v>
      </c>
    </row>
    <row r="478" ht="14.25" customHeight="1">
      <c r="A478" s="157">
        <v>1300.0</v>
      </c>
      <c r="B478" s="169" t="s">
        <v>82</v>
      </c>
      <c r="C478" s="169" t="s">
        <v>7390</v>
      </c>
      <c r="D478" s="159">
        <v>43318.0</v>
      </c>
      <c r="E478" s="157" t="s">
        <v>2</v>
      </c>
      <c r="F478" s="160">
        <v>2500.0</v>
      </c>
      <c r="G478" s="160">
        <v>400.0</v>
      </c>
      <c r="H478" s="160">
        <f t="shared" si="26"/>
        <v>2900</v>
      </c>
      <c r="I478" s="172"/>
      <c r="J478" s="169"/>
      <c r="K478" s="172"/>
      <c r="L478" s="172">
        <f>+'FACUS$'!$H478-'FACUS$'!$I478-'FACUS$'!$K478</f>
        <v>2900</v>
      </c>
      <c r="M478" s="157" t="s">
        <v>96</v>
      </c>
      <c r="N478" s="162" t="s">
        <v>554</v>
      </c>
      <c r="O478" s="332">
        <v>43342.0</v>
      </c>
      <c r="P478" s="164" t="str">
        <f t="array" ref="P478">XLOOKUP('FACUS$'!$B478,'perfil de pagos'!$A$4:$A$46,'perfil de pagos'!$C$4:$C$46+'FACUS$'!$D478)</f>
        <v>#N/A</v>
      </c>
      <c r="Q478" s="165">
        <f t="shared" si="2"/>
        <v>0</v>
      </c>
      <c r="R478" s="171"/>
      <c r="S478" s="171"/>
      <c r="T478" s="171"/>
      <c r="U478" s="333" t="s">
        <v>7271</v>
      </c>
      <c r="V478" s="168">
        <f t="shared" si="3"/>
        <v>2900</v>
      </c>
      <c r="W478" s="168">
        <f t="shared" si="4"/>
        <v>0</v>
      </c>
      <c r="X478" s="168">
        <f t="shared" si="5"/>
        <v>0</v>
      </c>
      <c r="Y478" s="168">
        <f t="shared" si="6"/>
        <v>0</v>
      </c>
      <c r="Z478" s="168">
        <f t="shared" si="7"/>
        <v>0</v>
      </c>
      <c r="AA478" s="168">
        <f t="shared" si="8"/>
        <v>0</v>
      </c>
      <c r="AB478" s="168">
        <f t="shared" si="9"/>
        <v>0</v>
      </c>
    </row>
    <row r="479" ht="14.25" customHeight="1">
      <c r="A479" s="157">
        <v>1304.0</v>
      </c>
      <c r="B479" s="169" t="s">
        <v>29</v>
      </c>
      <c r="C479" s="169" t="s">
        <v>7391</v>
      </c>
      <c r="D479" s="159">
        <v>43319.0</v>
      </c>
      <c r="E479" s="157" t="s">
        <v>2</v>
      </c>
      <c r="F479" s="160">
        <v>30629.9</v>
      </c>
      <c r="G479" s="160">
        <v>4900.78</v>
      </c>
      <c r="H479" s="160">
        <f t="shared" si="26"/>
        <v>35530.68</v>
      </c>
      <c r="I479" s="172"/>
      <c r="J479" s="169"/>
      <c r="K479" s="172"/>
      <c r="L479" s="172">
        <f>+'FACUS$'!$H479-'FACUS$'!$I479-'FACUS$'!$K479</f>
        <v>35530.68</v>
      </c>
      <c r="M479" s="157" t="s">
        <v>825</v>
      </c>
      <c r="N479" s="162" t="s">
        <v>554</v>
      </c>
      <c r="O479" s="332">
        <v>43328.0</v>
      </c>
      <c r="P479" s="164">
        <f t="array" ref="P479">XLOOKUP('FACUS$'!$B479,'perfil de pagos'!$A$4:$A$46,'perfil de pagos'!$C$4:$C$46+'FACUS$'!$D479)</f>
        <v>43329</v>
      </c>
      <c r="Q479" s="165">
        <f t="shared" si="2"/>
        <v>0</v>
      </c>
      <c r="R479" s="171"/>
      <c r="S479" s="171"/>
      <c r="T479" s="171"/>
      <c r="U479" s="333" t="s">
        <v>7271</v>
      </c>
      <c r="V479" s="168">
        <f t="shared" si="3"/>
        <v>35530.68</v>
      </c>
      <c r="W479" s="168">
        <f t="shared" si="4"/>
        <v>0</v>
      </c>
      <c r="X479" s="168">
        <f t="shared" si="5"/>
        <v>0</v>
      </c>
      <c r="Y479" s="168">
        <f t="shared" si="6"/>
        <v>0</v>
      </c>
      <c r="Z479" s="168">
        <f t="shared" si="7"/>
        <v>0</v>
      </c>
      <c r="AA479" s="168">
        <f t="shared" si="8"/>
        <v>0</v>
      </c>
      <c r="AB479" s="168">
        <f t="shared" si="9"/>
        <v>0</v>
      </c>
    </row>
    <row r="480" ht="14.25" customHeight="1">
      <c r="A480" s="157">
        <v>1305.0</v>
      </c>
      <c r="B480" s="169" t="s">
        <v>29</v>
      </c>
      <c r="C480" s="169" t="s">
        <v>7391</v>
      </c>
      <c r="D480" s="159">
        <v>43319.0</v>
      </c>
      <c r="E480" s="157" t="s">
        <v>2</v>
      </c>
      <c r="F480" s="160">
        <v>25102.7</v>
      </c>
      <c r="G480" s="160">
        <v>4016.43</v>
      </c>
      <c r="H480" s="160">
        <f t="shared" si="26"/>
        <v>29119.13</v>
      </c>
      <c r="I480" s="172"/>
      <c r="J480" s="169"/>
      <c r="K480" s="172"/>
      <c r="L480" s="172">
        <f>+'FACUS$'!$H480-'FACUS$'!$I480-'FACUS$'!$K480</f>
        <v>29119.13</v>
      </c>
      <c r="M480" s="157" t="s">
        <v>825</v>
      </c>
      <c r="N480" s="162" t="s">
        <v>127</v>
      </c>
      <c r="O480" s="332"/>
      <c r="P480" s="164">
        <f t="array" ref="P480">XLOOKUP('FACUS$'!$B480,'perfil de pagos'!$A$4:$A$46,'perfil de pagos'!$C$4:$C$46+'FACUS$'!$D480)</f>
        <v>43329</v>
      </c>
      <c r="Q480" s="165" t="str">
        <f t="shared" si="2"/>
        <v>N/A</v>
      </c>
      <c r="R480" s="171"/>
      <c r="S480" s="171"/>
      <c r="T480" s="171"/>
      <c r="U480" s="333" t="s">
        <v>7271</v>
      </c>
      <c r="V480" s="168">
        <f t="shared" si="3"/>
        <v>0</v>
      </c>
      <c r="W480" s="168">
        <f t="shared" si="4"/>
        <v>0</v>
      </c>
      <c r="X480" s="168">
        <f t="shared" si="5"/>
        <v>0</v>
      </c>
      <c r="Y480" s="168">
        <f t="shared" si="6"/>
        <v>0</v>
      </c>
      <c r="Z480" s="168">
        <f t="shared" si="7"/>
        <v>0</v>
      </c>
      <c r="AA480" s="168">
        <f t="shared" si="8"/>
        <v>0</v>
      </c>
      <c r="AB480" s="168">
        <f t="shared" si="9"/>
        <v>29119.13</v>
      </c>
    </row>
    <row r="481" ht="14.25" customHeight="1">
      <c r="A481" s="157">
        <v>1307.0</v>
      </c>
      <c r="B481" s="169" t="s">
        <v>37</v>
      </c>
      <c r="C481" s="169" t="s">
        <v>724</v>
      </c>
      <c r="D481" s="159">
        <v>43296.0</v>
      </c>
      <c r="E481" s="157" t="s">
        <v>2</v>
      </c>
      <c r="F481" s="160">
        <v>95551.39</v>
      </c>
      <c r="G481" s="160">
        <v>15288.22</v>
      </c>
      <c r="H481" s="160">
        <f t="shared" si="26"/>
        <v>110839.61</v>
      </c>
      <c r="I481" s="172"/>
      <c r="J481" s="169"/>
      <c r="K481" s="172"/>
      <c r="L481" s="172">
        <f>+'FACUS$'!$H481-'FACUS$'!$I481-'FACUS$'!$K481</f>
        <v>110839.61</v>
      </c>
      <c r="M481" s="157" t="s">
        <v>718</v>
      </c>
      <c r="N481" s="162" t="s">
        <v>554</v>
      </c>
      <c r="O481" s="332">
        <v>43326.0</v>
      </c>
      <c r="P481" s="164">
        <f t="array" ref="P481">XLOOKUP('FACUS$'!$B481,'perfil de pagos'!$A$4:$A$46,'perfil de pagos'!$C$4:$C$46+'FACUS$'!$D481)</f>
        <v>43306</v>
      </c>
      <c r="Q481" s="165">
        <f t="shared" si="2"/>
        <v>0</v>
      </c>
      <c r="R481" s="171"/>
      <c r="S481" s="171"/>
      <c r="T481" s="171"/>
      <c r="U481" s="333" t="s">
        <v>7271</v>
      </c>
      <c r="V481" s="168">
        <f t="shared" si="3"/>
        <v>110839.61</v>
      </c>
      <c r="W481" s="168">
        <f t="shared" si="4"/>
        <v>0</v>
      </c>
      <c r="X481" s="168">
        <f t="shared" si="5"/>
        <v>0</v>
      </c>
      <c r="Y481" s="168">
        <f t="shared" si="6"/>
        <v>0</v>
      </c>
      <c r="Z481" s="168">
        <f t="shared" si="7"/>
        <v>0</v>
      </c>
      <c r="AA481" s="168">
        <f t="shared" si="8"/>
        <v>0</v>
      </c>
      <c r="AB481" s="168">
        <f t="shared" si="9"/>
        <v>0</v>
      </c>
    </row>
    <row r="482" ht="14.25" customHeight="1">
      <c r="A482" s="157">
        <v>1309.0</v>
      </c>
      <c r="B482" s="169" t="s">
        <v>18</v>
      </c>
      <c r="C482" s="169" t="s">
        <v>724</v>
      </c>
      <c r="D482" s="159">
        <v>43282.0</v>
      </c>
      <c r="E482" s="157" t="s">
        <v>2</v>
      </c>
      <c r="F482" s="160">
        <v>10277.76</v>
      </c>
      <c r="G482" s="160">
        <v>1644.44</v>
      </c>
      <c r="H482" s="160">
        <f t="shared" si="26"/>
        <v>11922.2</v>
      </c>
      <c r="I482" s="172"/>
      <c r="J482" s="169"/>
      <c r="K482" s="172"/>
      <c r="L482" s="172">
        <f>+'FACUS$'!$H482-'FACUS$'!$I482-'FACUS$'!$K482</f>
        <v>11922.2</v>
      </c>
      <c r="M482" s="157" t="s">
        <v>586</v>
      </c>
      <c r="N482" s="162" t="s">
        <v>554</v>
      </c>
      <c r="O482" s="332">
        <v>43356.0</v>
      </c>
      <c r="P482" s="164">
        <f t="array" ref="P482">XLOOKUP('FACUS$'!$B482,'perfil de pagos'!$A$4:$A$46,'perfil de pagos'!$C$4:$C$46+'FACUS$'!$D482)</f>
        <v>43292</v>
      </c>
      <c r="Q482" s="165">
        <f t="shared" si="2"/>
        <v>0</v>
      </c>
      <c r="R482" s="171"/>
      <c r="S482" s="171"/>
      <c r="T482" s="171"/>
      <c r="U482" s="333" t="s">
        <v>7271</v>
      </c>
      <c r="V482" s="168">
        <f t="shared" si="3"/>
        <v>11922.2</v>
      </c>
      <c r="W482" s="168">
        <f t="shared" si="4"/>
        <v>0</v>
      </c>
      <c r="X482" s="168">
        <f t="shared" si="5"/>
        <v>0</v>
      </c>
      <c r="Y482" s="168">
        <f t="shared" si="6"/>
        <v>0</v>
      </c>
      <c r="Z482" s="168">
        <f t="shared" si="7"/>
        <v>0</v>
      </c>
      <c r="AA482" s="168">
        <f t="shared" si="8"/>
        <v>0</v>
      </c>
      <c r="AB482" s="168">
        <f t="shared" si="9"/>
        <v>0</v>
      </c>
    </row>
    <row r="483" ht="14.25" customHeight="1">
      <c r="A483" s="157">
        <v>1311.0</v>
      </c>
      <c r="B483" s="169" t="s">
        <v>20</v>
      </c>
      <c r="C483" s="169" t="s">
        <v>724</v>
      </c>
      <c r="D483" s="159">
        <v>43296.0</v>
      </c>
      <c r="E483" s="157" t="s">
        <v>2</v>
      </c>
      <c r="F483" s="160">
        <v>8566.92</v>
      </c>
      <c r="G483" s="160">
        <v>1370.71</v>
      </c>
      <c r="H483" s="160">
        <f t="shared" si="26"/>
        <v>9937.63</v>
      </c>
      <c r="I483" s="172"/>
      <c r="J483" s="169"/>
      <c r="K483" s="172"/>
      <c r="L483" s="172">
        <f>+'FACUS$'!$H483-'FACUS$'!$I483-'FACUS$'!$K483</f>
        <v>9937.63</v>
      </c>
      <c r="M483" s="157" t="s">
        <v>732</v>
      </c>
      <c r="N483" s="162" t="s">
        <v>554</v>
      </c>
      <c r="O483" s="332">
        <v>43356.0</v>
      </c>
      <c r="P483" s="164">
        <f t="array" ref="P483">XLOOKUP('FACUS$'!$B483,'perfil de pagos'!$A$4:$A$46,'perfil de pagos'!$C$4:$C$46+'FACUS$'!$D483)</f>
        <v>43306</v>
      </c>
      <c r="Q483" s="165">
        <f t="shared" si="2"/>
        <v>0</v>
      </c>
      <c r="R483" s="171"/>
      <c r="S483" s="171"/>
      <c r="T483" s="171"/>
      <c r="U483" s="333" t="s">
        <v>7271</v>
      </c>
      <c r="V483" s="168">
        <f t="shared" si="3"/>
        <v>9937.63</v>
      </c>
      <c r="W483" s="168">
        <f t="shared" si="4"/>
        <v>0</v>
      </c>
      <c r="X483" s="168">
        <f t="shared" si="5"/>
        <v>0</v>
      </c>
      <c r="Y483" s="168">
        <f t="shared" si="6"/>
        <v>0</v>
      </c>
      <c r="Z483" s="168">
        <f t="shared" si="7"/>
        <v>0</v>
      </c>
      <c r="AA483" s="168">
        <f t="shared" si="8"/>
        <v>0</v>
      </c>
      <c r="AB483" s="168">
        <f t="shared" si="9"/>
        <v>0</v>
      </c>
    </row>
    <row r="484" ht="14.25" customHeight="1">
      <c r="A484" s="157">
        <v>1316.0</v>
      </c>
      <c r="B484" s="169" t="s">
        <v>24</v>
      </c>
      <c r="C484" s="169" t="s">
        <v>724</v>
      </c>
      <c r="D484" s="159">
        <v>43296.0</v>
      </c>
      <c r="E484" s="157" t="s">
        <v>2</v>
      </c>
      <c r="F484" s="160">
        <v>5827.5</v>
      </c>
      <c r="G484" s="160">
        <v>932.4</v>
      </c>
      <c r="H484" s="160">
        <f t="shared" si="26"/>
        <v>6759.9</v>
      </c>
      <c r="I484" s="172"/>
      <c r="J484" s="169"/>
      <c r="K484" s="172"/>
      <c r="L484" s="172">
        <f>+'FACUS$'!$H484-'FACUS$'!$I484-'FACUS$'!$K484</f>
        <v>6759.9</v>
      </c>
      <c r="M484" s="157" t="s">
        <v>91</v>
      </c>
      <c r="N484" s="162" t="s">
        <v>554</v>
      </c>
      <c r="O484" s="332">
        <v>43336.0</v>
      </c>
      <c r="P484" s="164">
        <f t="array" ref="P484">XLOOKUP('FACUS$'!$B484,'perfil de pagos'!$A$4:$A$46,'perfil de pagos'!$C$4:$C$46+'FACUS$'!$D484)</f>
        <v>43306</v>
      </c>
      <c r="Q484" s="165">
        <f t="shared" si="2"/>
        <v>0</v>
      </c>
      <c r="R484" s="171"/>
      <c r="S484" s="171"/>
      <c r="T484" s="171"/>
      <c r="U484" s="333" t="s">
        <v>7271</v>
      </c>
      <c r="V484" s="168">
        <f t="shared" si="3"/>
        <v>6759.9</v>
      </c>
      <c r="W484" s="168">
        <f t="shared" si="4"/>
        <v>0</v>
      </c>
      <c r="X484" s="168">
        <f t="shared" si="5"/>
        <v>0</v>
      </c>
      <c r="Y484" s="168">
        <f t="shared" si="6"/>
        <v>0</v>
      </c>
      <c r="Z484" s="168">
        <f t="shared" si="7"/>
        <v>0</v>
      </c>
      <c r="AA484" s="168">
        <f t="shared" si="8"/>
        <v>0</v>
      </c>
      <c r="AB484" s="168">
        <f t="shared" si="9"/>
        <v>0</v>
      </c>
    </row>
    <row r="485" ht="14.25" customHeight="1">
      <c r="A485" s="157">
        <v>1317.0</v>
      </c>
      <c r="B485" s="169" t="s">
        <v>29</v>
      </c>
      <c r="C485" s="169" t="s">
        <v>7392</v>
      </c>
      <c r="D485" s="159">
        <v>43282.0</v>
      </c>
      <c r="E485" s="157" t="s">
        <v>2</v>
      </c>
      <c r="F485" s="160">
        <v>25102.7</v>
      </c>
      <c r="G485" s="160">
        <v>4016.43</v>
      </c>
      <c r="H485" s="160">
        <f t="shared" si="26"/>
        <v>29119.13</v>
      </c>
      <c r="I485" s="172"/>
      <c r="J485" s="169"/>
      <c r="K485" s="172"/>
      <c r="L485" s="172">
        <f>+'FACUS$'!$H485-'FACUS$'!$I485-'FACUS$'!$K485</f>
        <v>29119.13</v>
      </c>
      <c r="M485" s="157" t="s">
        <v>825</v>
      </c>
      <c r="N485" s="162" t="s">
        <v>554</v>
      </c>
      <c r="O485" s="332">
        <v>43328.0</v>
      </c>
      <c r="P485" s="164">
        <f t="array" ref="P485">XLOOKUP('FACUS$'!$B485,'perfil de pagos'!$A$4:$A$46,'perfil de pagos'!$C$4:$C$46+'FACUS$'!$D485)</f>
        <v>43292</v>
      </c>
      <c r="Q485" s="165">
        <f t="shared" si="2"/>
        <v>0</v>
      </c>
      <c r="R485" s="171"/>
      <c r="S485" s="171"/>
      <c r="T485" s="171"/>
      <c r="U485" s="333" t="s">
        <v>7271</v>
      </c>
      <c r="V485" s="168">
        <f t="shared" si="3"/>
        <v>29119.13</v>
      </c>
      <c r="W485" s="168">
        <f t="shared" si="4"/>
        <v>0</v>
      </c>
      <c r="X485" s="168">
        <f t="shared" si="5"/>
        <v>0</v>
      </c>
      <c r="Y485" s="168">
        <f t="shared" si="6"/>
        <v>0</v>
      </c>
      <c r="Z485" s="168">
        <f t="shared" si="7"/>
        <v>0</v>
      </c>
      <c r="AA485" s="168">
        <f t="shared" si="8"/>
        <v>0</v>
      </c>
      <c r="AB485" s="168">
        <f t="shared" si="9"/>
        <v>0</v>
      </c>
    </row>
    <row r="486" ht="14.25" customHeight="1">
      <c r="A486" s="157">
        <v>1326.0</v>
      </c>
      <c r="B486" s="166" t="s">
        <v>720</v>
      </c>
      <c r="C486" s="169" t="s">
        <v>724</v>
      </c>
      <c r="D486" s="159">
        <v>43313.0</v>
      </c>
      <c r="E486" s="157" t="s">
        <v>2</v>
      </c>
      <c r="F486" s="160">
        <v>37372.8</v>
      </c>
      <c r="G486" s="160">
        <v>5979.65</v>
      </c>
      <c r="H486" s="160">
        <f t="shared" si="26"/>
        <v>43352.45</v>
      </c>
      <c r="I486" s="172"/>
      <c r="J486" s="169"/>
      <c r="K486" s="172"/>
      <c r="L486" s="172">
        <f>+'FACUS$'!$H486-'FACUS$'!$I486-'FACUS$'!$K486</f>
        <v>43352.45</v>
      </c>
      <c r="M486" s="157" t="s">
        <v>777</v>
      </c>
      <c r="N486" s="162" t="s">
        <v>554</v>
      </c>
      <c r="O486" s="332">
        <v>43334.0</v>
      </c>
      <c r="P486" s="164" t="str">
        <f t="array" ref="P486">XLOOKUP('FACUS$'!$B486,'perfil de pagos'!$A$4:$A$46,'perfil de pagos'!$C$4:$C$46+'FACUS$'!$D486)</f>
        <v>#N/A</v>
      </c>
      <c r="Q486" s="165">
        <f t="shared" si="2"/>
        <v>0</v>
      </c>
      <c r="R486" s="171"/>
      <c r="S486" s="171"/>
      <c r="T486" s="171"/>
      <c r="U486" s="333" t="s">
        <v>7271</v>
      </c>
      <c r="V486" s="168">
        <f t="shared" si="3"/>
        <v>43352.45</v>
      </c>
      <c r="W486" s="168">
        <f t="shared" si="4"/>
        <v>0</v>
      </c>
      <c r="X486" s="168">
        <f t="shared" si="5"/>
        <v>0</v>
      </c>
      <c r="Y486" s="168">
        <f t="shared" si="6"/>
        <v>0</v>
      </c>
      <c r="Z486" s="168">
        <f t="shared" si="7"/>
        <v>0</v>
      </c>
      <c r="AA486" s="168">
        <f t="shared" si="8"/>
        <v>0</v>
      </c>
      <c r="AB486" s="168">
        <f t="shared" si="9"/>
        <v>0</v>
      </c>
    </row>
    <row r="487" ht="14.25" customHeight="1">
      <c r="A487" s="157">
        <v>1334.0</v>
      </c>
      <c r="B487" s="169" t="s">
        <v>37</v>
      </c>
      <c r="C487" s="169" t="s">
        <v>724</v>
      </c>
      <c r="D487" s="159">
        <v>43313.0</v>
      </c>
      <c r="E487" s="157" t="s">
        <v>2</v>
      </c>
      <c r="F487" s="160">
        <v>73276.28</v>
      </c>
      <c r="G487" s="160">
        <v>11724.2</v>
      </c>
      <c r="H487" s="160">
        <f t="shared" si="26"/>
        <v>85000.48</v>
      </c>
      <c r="I487" s="172"/>
      <c r="J487" s="169"/>
      <c r="K487" s="172"/>
      <c r="L487" s="172">
        <f>+'FACUS$'!$H487-'FACUS$'!$I487-'FACUS$'!$K487</f>
        <v>85000.48</v>
      </c>
      <c r="M487" s="157" t="s">
        <v>718</v>
      </c>
      <c r="N487" s="162" t="s">
        <v>554</v>
      </c>
      <c r="O487" s="332">
        <v>43348.0</v>
      </c>
      <c r="P487" s="164">
        <f t="array" ref="P487">XLOOKUP('FACUS$'!$B487,'perfil de pagos'!$A$4:$A$46,'perfil de pagos'!$C$4:$C$46+'FACUS$'!$D487)</f>
        <v>43323</v>
      </c>
      <c r="Q487" s="165">
        <f t="shared" si="2"/>
        <v>0</v>
      </c>
      <c r="R487" s="171"/>
      <c r="S487" s="171"/>
      <c r="T487" s="171"/>
      <c r="U487" s="333" t="s">
        <v>7271</v>
      </c>
      <c r="V487" s="168">
        <f t="shared" si="3"/>
        <v>85000.48</v>
      </c>
      <c r="W487" s="168">
        <f t="shared" si="4"/>
        <v>0</v>
      </c>
      <c r="X487" s="168">
        <f t="shared" si="5"/>
        <v>0</v>
      </c>
      <c r="Y487" s="168">
        <f t="shared" si="6"/>
        <v>0</v>
      </c>
      <c r="Z487" s="168">
        <f t="shared" si="7"/>
        <v>0</v>
      </c>
      <c r="AA487" s="168">
        <f t="shared" si="8"/>
        <v>0</v>
      </c>
      <c r="AB487" s="168">
        <f t="shared" si="9"/>
        <v>0</v>
      </c>
    </row>
    <row r="488" ht="14.25" customHeight="1">
      <c r="A488" s="157">
        <v>1336.0</v>
      </c>
      <c r="B488" s="169" t="s">
        <v>18</v>
      </c>
      <c r="C488" s="169" t="s">
        <v>724</v>
      </c>
      <c r="D488" s="159">
        <v>43313.0</v>
      </c>
      <c r="E488" s="157" t="s">
        <v>2</v>
      </c>
      <c r="F488" s="160">
        <v>8834.04</v>
      </c>
      <c r="G488" s="160">
        <v>1413.45</v>
      </c>
      <c r="H488" s="179">
        <f t="shared" si="26"/>
        <v>10247.49</v>
      </c>
      <c r="I488" s="173"/>
      <c r="J488" s="170"/>
      <c r="K488" s="173"/>
      <c r="L488" s="173">
        <f>+'FACUS$'!$H488-'FACUS$'!$I488-'FACUS$'!$K488</f>
        <v>10247.49</v>
      </c>
      <c r="M488" s="157" t="s">
        <v>101</v>
      </c>
      <c r="N488" s="162" t="s">
        <v>554</v>
      </c>
      <c r="O488" s="332">
        <v>43385.0</v>
      </c>
      <c r="P488" s="164">
        <f t="array" ref="P488">XLOOKUP('FACUS$'!$B488,'perfil de pagos'!$A$4:$A$46,'perfil de pagos'!$C$4:$C$46+'FACUS$'!$D488)</f>
        <v>43323</v>
      </c>
      <c r="Q488" s="165">
        <f t="shared" si="2"/>
        <v>0</v>
      </c>
      <c r="R488" s="171"/>
      <c r="S488" s="171"/>
      <c r="T488" s="171"/>
      <c r="U488" s="333" t="s">
        <v>7271</v>
      </c>
      <c r="V488" s="168">
        <f t="shared" si="3"/>
        <v>10247.49</v>
      </c>
      <c r="W488" s="168">
        <f t="shared" si="4"/>
        <v>0</v>
      </c>
      <c r="X488" s="168">
        <f t="shared" si="5"/>
        <v>0</v>
      </c>
      <c r="Y488" s="168">
        <f t="shared" si="6"/>
        <v>0</v>
      </c>
      <c r="Z488" s="168">
        <f t="shared" si="7"/>
        <v>0</v>
      </c>
      <c r="AA488" s="168">
        <f t="shared" si="8"/>
        <v>0</v>
      </c>
      <c r="AB488" s="168">
        <f t="shared" si="9"/>
        <v>0</v>
      </c>
    </row>
    <row r="489" ht="14.25" customHeight="1">
      <c r="A489" s="157">
        <v>1338.0</v>
      </c>
      <c r="B489" s="169" t="s">
        <v>20</v>
      </c>
      <c r="C489" s="169" t="s">
        <v>724</v>
      </c>
      <c r="D489" s="159">
        <v>43313.0</v>
      </c>
      <c r="E489" s="157" t="s">
        <v>2</v>
      </c>
      <c r="F489" s="160">
        <v>356.16</v>
      </c>
      <c r="G489" s="160">
        <v>56.99</v>
      </c>
      <c r="H489" s="160">
        <f t="shared" si="26"/>
        <v>413.15</v>
      </c>
      <c r="I489" s="172"/>
      <c r="J489" s="169"/>
      <c r="K489" s="172"/>
      <c r="L489" s="172">
        <f>+'FACUS$'!$H489-'FACUS$'!$I489-'FACUS$'!$K489</f>
        <v>413.15</v>
      </c>
      <c r="M489" s="157" t="s">
        <v>732</v>
      </c>
      <c r="N489" s="162" t="s">
        <v>554</v>
      </c>
      <c r="O489" s="332">
        <v>43385.0</v>
      </c>
      <c r="P489" s="164">
        <f t="array" ref="P489">XLOOKUP('FACUS$'!$B489,'perfil de pagos'!$A$4:$A$46,'perfil de pagos'!$C$4:$C$46+'FACUS$'!$D489)</f>
        <v>43323</v>
      </c>
      <c r="Q489" s="165">
        <f t="shared" si="2"/>
        <v>0</v>
      </c>
      <c r="R489" s="171"/>
      <c r="S489" s="171"/>
      <c r="T489" s="171"/>
      <c r="U489" s="333" t="s">
        <v>7271</v>
      </c>
      <c r="V489" s="168">
        <f t="shared" si="3"/>
        <v>413.15</v>
      </c>
      <c r="W489" s="168">
        <f t="shared" si="4"/>
        <v>0</v>
      </c>
      <c r="X489" s="168">
        <f t="shared" si="5"/>
        <v>0</v>
      </c>
      <c r="Y489" s="168">
        <f t="shared" si="6"/>
        <v>0</v>
      </c>
      <c r="Z489" s="168">
        <f t="shared" si="7"/>
        <v>0</v>
      </c>
      <c r="AA489" s="168">
        <f t="shared" si="8"/>
        <v>0</v>
      </c>
      <c r="AB489" s="168">
        <f t="shared" si="9"/>
        <v>0</v>
      </c>
    </row>
    <row r="490" ht="14.25" customHeight="1">
      <c r="A490" s="157">
        <v>1343.0</v>
      </c>
      <c r="B490" s="169" t="s">
        <v>24</v>
      </c>
      <c r="C490" s="169" t="s">
        <v>724</v>
      </c>
      <c r="D490" s="159">
        <v>43313.0</v>
      </c>
      <c r="E490" s="157" t="s">
        <v>2</v>
      </c>
      <c r="F490" s="160">
        <v>2236.5</v>
      </c>
      <c r="G490" s="160">
        <v>357.84</v>
      </c>
      <c r="H490" s="160">
        <f t="shared" si="26"/>
        <v>2594.34</v>
      </c>
      <c r="I490" s="172"/>
      <c r="J490" s="169"/>
      <c r="K490" s="172"/>
      <c r="L490" s="172">
        <f>+'FACUS$'!$H490-'FACUS$'!$I490-'FACUS$'!$K490</f>
        <v>2594.34</v>
      </c>
      <c r="M490" s="157" t="s">
        <v>91</v>
      </c>
      <c r="N490" s="162" t="s">
        <v>554</v>
      </c>
      <c r="O490" s="332">
        <v>43434.0</v>
      </c>
      <c r="P490" s="164">
        <f t="array" ref="P490">XLOOKUP('FACUS$'!$B490,'perfil de pagos'!$A$4:$A$46,'perfil de pagos'!$C$4:$C$46+'FACUS$'!$D490)</f>
        <v>43323</v>
      </c>
      <c r="Q490" s="165">
        <f t="shared" si="2"/>
        <v>0</v>
      </c>
      <c r="R490" s="171"/>
      <c r="S490" s="171"/>
      <c r="T490" s="171"/>
      <c r="U490" s="333" t="s">
        <v>7271</v>
      </c>
      <c r="V490" s="168">
        <f t="shared" si="3"/>
        <v>2594.34</v>
      </c>
      <c r="W490" s="168">
        <f t="shared" si="4"/>
        <v>0</v>
      </c>
      <c r="X490" s="168">
        <f t="shared" si="5"/>
        <v>0</v>
      </c>
      <c r="Y490" s="168">
        <f t="shared" si="6"/>
        <v>0</v>
      </c>
      <c r="Z490" s="168">
        <f t="shared" si="7"/>
        <v>0</v>
      </c>
      <c r="AA490" s="168">
        <f t="shared" si="8"/>
        <v>0</v>
      </c>
      <c r="AB490" s="168">
        <f t="shared" si="9"/>
        <v>0</v>
      </c>
    </row>
    <row r="491" ht="14.25" customHeight="1">
      <c r="A491" s="157">
        <v>1350.0</v>
      </c>
      <c r="B491" s="169" t="s">
        <v>24</v>
      </c>
      <c r="C491" s="169" t="s">
        <v>724</v>
      </c>
      <c r="D491" s="159">
        <v>43327.0</v>
      </c>
      <c r="E491" s="157" t="s">
        <v>2</v>
      </c>
      <c r="F491" s="160">
        <v>4680.9</v>
      </c>
      <c r="G491" s="160">
        <v>748.94</v>
      </c>
      <c r="H491" s="160">
        <f t="shared" si="26"/>
        <v>5429.84</v>
      </c>
      <c r="I491" s="172"/>
      <c r="J491" s="169"/>
      <c r="K491" s="172"/>
      <c r="L491" s="172">
        <f>+'FACUS$'!$H491-'FACUS$'!$I491-'FACUS$'!$K491</f>
        <v>5429.84</v>
      </c>
      <c r="M491" s="157" t="s">
        <v>812</v>
      </c>
      <c r="N491" s="162" t="s">
        <v>554</v>
      </c>
      <c r="O491" s="332">
        <v>43434.0</v>
      </c>
      <c r="P491" s="164">
        <f t="array" ref="P491">XLOOKUP('FACUS$'!$B491,'perfil de pagos'!$A$4:$A$46,'perfil de pagos'!$C$4:$C$46+'FACUS$'!$D491)</f>
        <v>43337</v>
      </c>
      <c r="Q491" s="165">
        <f t="shared" si="2"/>
        <v>0</v>
      </c>
      <c r="R491" s="171"/>
      <c r="S491" s="171"/>
      <c r="T491" s="171"/>
      <c r="U491" s="333" t="s">
        <v>7271</v>
      </c>
      <c r="V491" s="168">
        <f t="shared" si="3"/>
        <v>5429.84</v>
      </c>
      <c r="W491" s="168">
        <f t="shared" si="4"/>
        <v>0</v>
      </c>
      <c r="X491" s="168">
        <f t="shared" si="5"/>
        <v>0</v>
      </c>
      <c r="Y491" s="168">
        <f t="shared" si="6"/>
        <v>0</v>
      </c>
      <c r="Z491" s="168">
        <f t="shared" si="7"/>
        <v>0</v>
      </c>
      <c r="AA491" s="168">
        <f t="shared" si="8"/>
        <v>0</v>
      </c>
      <c r="AB491" s="168">
        <f t="shared" si="9"/>
        <v>0</v>
      </c>
    </row>
    <row r="492" ht="14.25" customHeight="1">
      <c r="A492" s="157">
        <v>1353.0</v>
      </c>
      <c r="B492" s="169" t="s">
        <v>29</v>
      </c>
      <c r="C492" s="169" t="s">
        <v>724</v>
      </c>
      <c r="D492" s="159">
        <v>43327.0</v>
      </c>
      <c r="E492" s="157" t="s">
        <v>2</v>
      </c>
      <c r="F492" s="160">
        <v>11534.6</v>
      </c>
      <c r="G492" s="160">
        <v>1845.54</v>
      </c>
      <c r="H492" s="160">
        <f t="shared" si="26"/>
        <v>13380.14</v>
      </c>
      <c r="I492" s="172"/>
      <c r="J492" s="169"/>
      <c r="K492" s="172"/>
      <c r="L492" s="172">
        <f>+'FACUS$'!$H492-'FACUS$'!$I492-'FACUS$'!$K492</f>
        <v>13380.14</v>
      </c>
      <c r="M492" s="157" t="s">
        <v>825</v>
      </c>
      <c r="N492" s="162" t="s">
        <v>554</v>
      </c>
      <c r="O492" s="332">
        <v>43368.0</v>
      </c>
      <c r="P492" s="164">
        <f t="array" ref="P492">XLOOKUP('FACUS$'!$B492,'perfil de pagos'!$A$4:$A$46,'perfil de pagos'!$C$4:$C$46+'FACUS$'!$D492)</f>
        <v>43337</v>
      </c>
      <c r="Q492" s="165">
        <f t="shared" si="2"/>
        <v>0</v>
      </c>
      <c r="R492" s="171"/>
      <c r="S492" s="171"/>
      <c r="T492" s="171"/>
      <c r="U492" s="333" t="s">
        <v>7271</v>
      </c>
      <c r="V492" s="168">
        <f t="shared" si="3"/>
        <v>13380.14</v>
      </c>
      <c r="W492" s="168">
        <f t="shared" si="4"/>
        <v>0</v>
      </c>
      <c r="X492" s="168">
        <f t="shared" si="5"/>
        <v>0</v>
      </c>
      <c r="Y492" s="168">
        <f t="shared" si="6"/>
        <v>0</v>
      </c>
      <c r="Z492" s="168">
        <f t="shared" si="7"/>
        <v>0</v>
      </c>
      <c r="AA492" s="168">
        <f t="shared" si="8"/>
        <v>0</v>
      </c>
      <c r="AB492" s="168">
        <f t="shared" si="9"/>
        <v>0</v>
      </c>
    </row>
    <row r="493" ht="14.25" customHeight="1">
      <c r="A493" s="157">
        <v>1354.0</v>
      </c>
      <c r="B493" s="169" t="s">
        <v>29</v>
      </c>
      <c r="C493" s="169" t="s">
        <v>724</v>
      </c>
      <c r="D493" s="159">
        <v>43327.0</v>
      </c>
      <c r="E493" s="157" t="s">
        <v>2</v>
      </c>
      <c r="F493" s="160">
        <v>16145.5</v>
      </c>
      <c r="G493" s="160">
        <v>2583.28</v>
      </c>
      <c r="H493" s="160">
        <f t="shared" si="26"/>
        <v>18728.78</v>
      </c>
      <c r="I493" s="172"/>
      <c r="J493" s="169"/>
      <c r="K493" s="172"/>
      <c r="L493" s="172">
        <f>+'FACUS$'!$H493-'FACUS$'!$I493-'FACUS$'!$K493</f>
        <v>18728.78</v>
      </c>
      <c r="M493" s="157" t="s">
        <v>825</v>
      </c>
      <c r="N493" s="162" t="s">
        <v>554</v>
      </c>
      <c r="O493" s="332">
        <v>43368.0</v>
      </c>
      <c r="P493" s="164">
        <f t="array" ref="P493">XLOOKUP('FACUS$'!$B493,'perfil de pagos'!$A$4:$A$46,'perfil de pagos'!$C$4:$C$46+'FACUS$'!$D493)</f>
        <v>43337</v>
      </c>
      <c r="Q493" s="165">
        <f t="shared" si="2"/>
        <v>0</v>
      </c>
      <c r="R493" s="171"/>
      <c r="S493" s="171"/>
      <c r="T493" s="171"/>
      <c r="U493" s="333" t="s">
        <v>7271</v>
      </c>
      <c r="V493" s="168">
        <f t="shared" si="3"/>
        <v>18728.78</v>
      </c>
      <c r="W493" s="168">
        <f t="shared" si="4"/>
        <v>0</v>
      </c>
      <c r="X493" s="168">
        <f t="shared" si="5"/>
        <v>0</v>
      </c>
      <c r="Y493" s="168">
        <f t="shared" si="6"/>
        <v>0</v>
      </c>
      <c r="Z493" s="168">
        <f t="shared" si="7"/>
        <v>0</v>
      </c>
      <c r="AA493" s="168">
        <f t="shared" si="8"/>
        <v>0</v>
      </c>
      <c r="AB493" s="168">
        <f t="shared" si="9"/>
        <v>0</v>
      </c>
    </row>
    <row r="494" ht="14.25" customHeight="1">
      <c r="A494" s="157">
        <v>1356.0</v>
      </c>
      <c r="B494" s="166" t="s">
        <v>720</v>
      </c>
      <c r="C494" s="169" t="s">
        <v>724</v>
      </c>
      <c r="D494" s="159">
        <v>43327.0</v>
      </c>
      <c r="E494" s="157" t="s">
        <v>2</v>
      </c>
      <c r="F494" s="160">
        <v>26443.2</v>
      </c>
      <c r="G494" s="160">
        <v>4230.91</v>
      </c>
      <c r="H494" s="160">
        <f t="shared" si="26"/>
        <v>30674.11</v>
      </c>
      <c r="I494" s="172"/>
      <c r="J494" s="169"/>
      <c r="K494" s="172"/>
      <c r="L494" s="172">
        <f>+'FACUS$'!$H494-'FACUS$'!$I494-'FACUS$'!$K494</f>
        <v>30674.11</v>
      </c>
      <c r="M494" s="157" t="s">
        <v>777</v>
      </c>
      <c r="N494" s="162" t="s">
        <v>554</v>
      </c>
      <c r="O494" s="332">
        <v>43355.0</v>
      </c>
      <c r="P494" s="164" t="str">
        <f t="array" ref="P494">XLOOKUP('FACUS$'!$B494,'perfil de pagos'!$A$4:$A$46,'perfil de pagos'!$C$4:$C$46+'FACUS$'!$D494)</f>
        <v>#N/A</v>
      </c>
      <c r="Q494" s="165">
        <f t="shared" si="2"/>
        <v>0</v>
      </c>
      <c r="R494" s="171"/>
      <c r="S494" s="171"/>
      <c r="T494" s="171"/>
      <c r="U494" s="333" t="s">
        <v>7271</v>
      </c>
      <c r="V494" s="168">
        <f t="shared" si="3"/>
        <v>30674.11</v>
      </c>
      <c r="W494" s="168">
        <f t="shared" si="4"/>
        <v>0</v>
      </c>
      <c r="X494" s="168">
        <f t="shared" si="5"/>
        <v>0</v>
      </c>
      <c r="Y494" s="168">
        <f t="shared" si="6"/>
        <v>0</v>
      </c>
      <c r="Z494" s="168">
        <f t="shared" si="7"/>
        <v>0</v>
      </c>
      <c r="AA494" s="168">
        <f t="shared" si="8"/>
        <v>0</v>
      </c>
      <c r="AB494" s="168">
        <f t="shared" si="9"/>
        <v>0</v>
      </c>
    </row>
    <row r="495" ht="14.25" customHeight="1">
      <c r="A495" s="157">
        <v>1363.0</v>
      </c>
      <c r="B495" s="169" t="s">
        <v>37</v>
      </c>
      <c r="C495" s="169" t="s">
        <v>724</v>
      </c>
      <c r="D495" s="159"/>
      <c r="E495" s="157" t="s">
        <v>2</v>
      </c>
      <c r="F495" s="160"/>
      <c r="G495" s="160"/>
      <c r="H495" s="160">
        <f t="shared" si="26"/>
        <v>0</v>
      </c>
      <c r="I495" s="172"/>
      <c r="J495" s="169"/>
      <c r="K495" s="172"/>
      <c r="L495" s="172">
        <f>+'FACUS$'!$H495-'FACUS$'!$I495-'FACUS$'!$K495</f>
        <v>0</v>
      </c>
      <c r="M495" s="157"/>
      <c r="N495" s="162" t="s">
        <v>554</v>
      </c>
      <c r="O495" s="332">
        <v>43364.0</v>
      </c>
      <c r="P495" s="164">
        <f t="array" ref="P495">XLOOKUP('FACUS$'!$B495,'perfil de pagos'!$A$4:$A$46,'perfil de pagos'!$C$4:$C$46+'FACUS$'!$D495)</f>
        <v>10</v>
      </c>
      <c r="Q495" s="165">
        <f t="shared" si="2"/>
        <v>0</v>
      </c>
      <c r="R495" s="171"/>
      <c r="S495" s="171"/>
      <c r="T495" s="171"/>
      <c r="U495" s="333" t="s">
        <v>7271</v>
      </c>
      <c r="V495" s="168">
        <f t="shared" si="3"/>
        <v>0</v>
      </c>
      <c r="W495" s="168">
        <f t="shared" si="4"/>
        <v>0</v>
      </c>
      <c r="X495" s="168">
        <f t="shared" si="5"/>
        <v>0</v>
      </c>
      <c r="Y495" s="168">
        <f t="shared" si="6"/>
        <v>0</v>
      </c>
      <c r="Z495" s="168">
        <f t="shared" si="7"/>
        <v>0</v>
      </c>
      <c r="AA495" s="168">
        <f t="shared" si="8"/>
        <v>0</v>
      </c>
      <c r="AB495" s="168">
        <f t="shared" si="9"/>
        <v>0</v>
      </c>
    </row>
    <row r="496" ht="14.25" customHeight="1">
      <c r="A496" s="157">
        <v>1366.0</v>
      </c>
      <c r="B496" s="169" t="s">
        <v>20</v>
      </c>
      <c r="C496" s="169" t="s">
        <v>724</v>
      </c>
      <c r="D496" s="159">
        <v>43327.0</v>
      </c>
      <c r="E496" s="157" t="s">
        <v>2</v>
      </c>
      <c r="F496" s="160">
        <v>13845.72</v>
      </c>
      <c r="G496" s="160">
        <v>2215.32</v>
      </c>
      <c r="H496" s="160">
        <f t="shared" si="26"/>
        <v>16061.04</v>
      </c>
      <c r="I496" s="172"/>
      <c r="J496" s="169"/>
      <c r="K496" s="172"/>
      <c r="L496" s="172">
        <f>+'FACUS$'!$H496-'FACUS$'!$I496-'FACUS$'!$K496</f>
        <v>16061.04</v>
      </c>
      <c r="M496" s="157" t="s">
        <v>732</v>
      </c>
      <c r="N496" s="162" t="s">
        <v>554</v>
      </c>
      <c r="O496" s="332">
        <v>43405.0</v>
      </c>
      <c r="P496" s="164">
        <f t="array" ref="P496">XLOOKUP('FACUS$'!$B496,'perfil de pagos'!$A$4:$A$46,'perfil de pagos'!$C$4:$C$46+'FACUS$'!$D496)</f>
        <v>43337</v>
      </c>
      <c r="Q496" s="165">
        <f t="shared" si="2"/>
        <v>0</v>
      </c>
      <c r="R496" s="171"/>
      <c r="S496" s="171"/>
      <c r="T496" s="171"/>
      <c r="U496" s="333" t="s">
        <v>7271</v>
      </c>
      <c r="V496" s="168">
        <f t="shared" si="3"/>
        <v>16061.04</v>
      </c>
      <c r="W496" s="168">
        <f t="shared" si="4"/>
        <v>0</v>
      </c>
      <c r="X496" s="168">
        <f t="shared" si="5"/>
        <v>0</v>
      </c>
      <c r="Y496" s="168">
        <f t="shared" si="6"/>
        <v>0</v>
      </c>
      <c r="Z496" s="168">
        <f t="shared" si="7"/>
        <v>0</v>
      </c>
      <c r="AA496" s="168">
        <f t="shared" si="8"/>
        <v>0</v>
      </c>
      <c r="AB496" s="168">
        <f t="shared" si="9"/>
        <v>0</v>
      </c>
    </row>
    <row r="497" ht="14.25" customHeight="1">
      <c r="A497" s="157">
        <v>1368.0</v>
      </c>
      <c r="B497" s="169" t="s">
        <v>18</v>
      </c>
      <c r="C497" s="169" t="s">
        <v>724</v>
      </c>
      <c r="D497" s="159">
        <v>43327.0</v>
      </c>
      <c r="E497" s="157" t="s">
        <v>2</v>
      </c>
      <c r="F497" s="160">
        <v>10646.64</v>
      </c>
      <c r="G497" s="160">
        <v>1703.46</v>
      </c>
      <c r="H497" s="160">
        <f t="shared" si="26"/>
        <v>12350.1</v>
      </c>
      <c r="I497" s="172"/>
      <c r="J497" s="169"/>
      <c r="K497" s="172"/>
      <c r="L497" s="172">
        <f>+'FACUS$'!$H497-'FACUS$'!$I497-'FACUS$'!$K497</f>
        <v>12350.1</v>
      </c>
      <c r="M497" s="157" t="s">
        <v>586</v>
      </c>
      <c r="N497" s="162" t="s">
        <v>554</v>
      </c>
      <c r="O497" s="332">
        <v>43405.0</v>
      </c>
      <c r="P497" s="164">
        <f t="array" ref="P497">XLOOKUP('FACUS$'!$B497,'perfil de pagos'!$A$4:$A$46,'perfil de pagos'!$C$4:$C$46+'FACUS$'!$D497)</f>
        <v>43337</v>
      </c>
      <c r="Q497" s="165">
        <f t="shared" si="2"/>
        <v>0</v>
      </c>
      <c r="R497" s="171"/>
      <c r="S497" s="171"/>
      <c r="T497" s="171"/>
      <c r="U497" s="333" t="s">
        <v>7271</v>
      </c>
      <c r="V497" s="168">
        <f t="shared" si="3"/>
        <v>12350.1</v>
      </c>
      <c r="W497" s="168">
        <f t="shared" si="4"/>
        <v>0</v>
      </c>
      <c r="X497" s="168">
        <f t="shared" si="5"/>
        <v>0</v>
      </c>
      <c r="Y497" s="168">
        <f t="shared" si="6"/>
        <v>0</v>
      </c>
      <c r="Z497" s="168">
        <f t="shared" si="7"/>
        <v>0</v>
      </c>
      <c r="AA497" s="168">
        <f t="shared" si="8"/>
        <v>0</v>
      </c>
      <c r="AB497" s="168">
        <f t="shared" si="9"/>
        <v>0</v>
      </c>
    </row>
    <row r="498" ht="14.25" customHeight="1">
      <c r="A498" s="157">
        <v>1369.0</v>
      </c>
      <c r="B498" s="169" t="s">
        <v>82</v>
      </c>
      <c r="C498" s="169" t="s">
        <v>7393</v>
      </c>
      <c r="D498" s="159">
        <v>43355.0</v>
      </c>
      <c r="E498" s="157" t="s">
        <v>2</v>
      </c>
      <c r="F498" s="160">
        <v>5000.0</v>
      </c>
      <c r="G498" s="160">
        <v>800.0</v>
      </c>
      <c r="H498" s="179">
        <f t="shared" si="26"/>
        <v>5800</v>
      </c>
      <c r="I498" s="173"/>
      <c r="J498" s="170"/>
      <c r="K498" s="173"/>
      <c r="L498" s="173">
        <f>+'FACUS$'!$H498-'FACUS$'!$I498-'FACUS$'!$K498</f>
        <v>5800</v>
      </c>
      <c r="M498" s="157" t="s">
        <v>714</v>
      </c>
      <c r="N498" s="162" t="s">
        <v>554</v>
      </c>
      <c r="O498" s="332">
        <v>43385.0</v>
      </c>
      <c r="P498" s="164" t="str">
        <f t="array" ref="P498">XLOOKUP('FACUS$'!$B498,'perfil de pagos'!$A$4:$A$46,'perfil de pagos'!$C$4:$C$46+'FACUS$'!$D498)</f>
        <v>#N/A</v>
      </c>
      <c r="Q498" s="165">
        <f t="shared" si="2"/>
        <v>0</v>
      </c>
      <c r="R498" s="171"/>
      <c r="S498" s="171"/>
      <c r="T498" s="171"/>
      <c r="U498" s="333" t="s">
        <v>7271</v>
      </c>
      <c r="V498" s="168">
        <f t="shared" si="3"/>
        <v>5800</v>
      </c>
      <c r="W498" s="168">
        <f t="shared" si="4"/>
        <v>0</v>
      </c>
      <c r="X498" s="168">
        <f t="shared" si="5"/>
        <v>0</v>
      </c>
      <c r="Y498" s="168">
        <f t="shared" si="6"/>
        <v>0</v>
      </c>
      <c r="Z498" s="168">
        <f t="shared" si="7"/>
        <v>0</v>
      </c>
      <c r="AA498" s="168">
        <f t="shared" si="8"/>
        <v>0</v>
      </c>
      <c r="AB498" s="168">
        <f t="shared" si="9"/>
        <v>0</v>
      </c>
    </row>
    <row r="499" ht="14.25" customHeight="1">
      <c r="A499" s="157">
        <v>1370.0</v>
      </c>
      <c r="B499" s="169" t="s">
        <v>82</v>
      </c>
      <c r="C499" s="169" t="s">
        <v>7394</v>
      </c>
      <c r="D499" s="159">
        <v>43355.0</v>
      </c>
      <c r="E499" s="157" t="s">
        <v>2</v>
      </c>
      <c r="F499" s="160">
        <v>5000.0</v>
      </c>
      <c r="G499" s="160">
        <v>800.0</v>
      </c>
      <c r="H499" s="160">
        <f t="shared" si="26"/>
        <v>5800</v>
      </c>
      <c r="I499" s="172"/>
      <c r="J499" s="169"/>
      <c r="K499" s="172"/>
      <c r="L499" s="172">
        <f>+'FACUS$'!$H499-'FACUS$'!$I499-'FACUS$'!$K499</f>
        <v>5800</v>
      </c>
      <c r="M499" s="157" t="s">
        <v>96</v>
      </c>
      <c r="N499" s="162" t="s">
        <v>554</v>
      </c>
      <c r="O499" s="332">
        <v>43385.0</v>
      </c>
      <c r="P499" s="164" t="str">
        <f t="array" ref="P499">XLOOKUP('FACUS$'!$B499,'perfil de pagos'!$A$4:$A$46,'perfil de pagos'!$C$4:$C$46+'FACUS$'!$D499)</f>
        <v>#N/A</v>
      </c>
      <c r="Q499" s="165">
        <f t="shared" si="2"/>
        <v>0</v>
      </c>
      <c r="R499" s="171"/>
      <c r="S499" s="171"/>
      <c r="T499" s="171"/>
      <c r="U499" s="333" t="s">
        <v>7271</v>
      </c>
      <c r="V499" s="168">
        <f t="shared" si="3"/>
        <v>5800</v>
      </c>
      <c r="W499" s="168">
        <f t="shared" si="4"/>
        <v>0</v>
      </c>
      <c r="X499" s="168">
        <f t="shared" si="5"/>
        <v>0</v>
      </c>
      <c r="Y499" s="168">
        <f t="shared" si="6"/>
        <v>0</v>
      </c>
      <c r="Z499" s="168">
        <f t="shared" si="7"/>
        <v>0</v>
      </c>
      <c r="AA499" s="168">
        <f t="shared" si="8"/>
        <v>0</v>
      </c>
      <c r="AB499" s="168">
        <f t="shared" si="9"/>
        <v>0</v>
      </c>
    </row>
    <row r="500" ht="14.25" customHeight="1">
      <c r="A500" s="157">
        <v>1371.0</v>
      </c>
      <c r="B500" s="169" t="s">
        <v>82</v>
      </c>
      <c r="C500" s="169" t="s">
        <v>7395</v>
      </c>
      <c r="D500" s="159">
        <v>43355.0</v>
      </c>
      <c r="E500" s="157" t="s">
        <v>2</v>
      </c>
      <c r="F500" s="160">
        <v>6500.0</v>
      </c>
      <c r="G500" s="160">
        <v>1040.0</v>
      </c>
      <c r="H500" s="160">
        <f t="shared" si="26"/>
        <v>7540</v>
      </c>
      <c r="I500" s="172"/>
      <c r="J500" s="169"/>
      <c r="K500" s="172"/>
      <c r="L500" s="172">
        <f>+'FACUS$'!$H500-'FACUS$'!$I500-'FACUS$'!$K500</f>
        <v>7540</v>
      </c>
      <c r="M500" s="157" t="s">
        <v>96</v>
      </c>
      <c r="N500" s="162" t="s">
        <v>554</v>
      </c>
      <c r="O500" s="332">
        <v>43385.0</v>
      </c>
      <c r="P500" s="164" t="str">
        <f t="array" ref="P500">XLOOKUP('FACUS$'!$B500,'perfil de pagos'!$A$4:$A$46,'perfil de pagos'!$C$4:$C$46+'FACUS$'!$D500)</f>
        <v>#N/A</v>
      </c>
      <c r="Q500" s="165">
        <f t="shared" si="2"/>
        <v>0</v>
      </c>
      <c r="R500" s="171"/>
      <c r="S500" s="171"/>
      <c r="T500" s="171"/>
      <c r="U500" s="333" t="s">
        <v>7271</v>
      </c>
      <c r="V500" s="168">
        <f t="shared" si="3"/>
        <v>7540</v>
      </c>
      <c r="W500" s="168">
        <f t="shared" si="4"/>
        <v>0</v>
      </c>
      <c r="X500" s="168">
        <f t="shared" si="5"/>
        <v>0</v>
      </c>
      <c r="Y500" s="168">
        <f t="shared" si="6"/>
        <v>0</v>
      </c>
      <c r="Z500" s="168">
        <f t="shared" si="7"/>
        <v>0</v>
      </c>
      <c r="AA500" s="168">
        <f t="shared" si="8"/>
        <v>0</v>
      </c>
      <c r="AB500" s="168">
        <f t="shared" si="9"/>
        <v>0</v>
      </c>
    </row>
    <row r="501" ht="14.25" customHeight="1">
      <c r="A501" s="157">
        <v>1372.0</v>
      </c>
      <c r="B501" s="169" t="s">
        <v>82</v>
      </c>
      <c r="C501" s="169" t="s">
        <v>7396</v>
      </c>
      <c r="D501" s="159">
        <v>43355.0</v>
      </c>
      <c r="E501" s="157" t="s">
        <v>2</v>
      </c>
      <c r="F501" s="160">
        <v>6500.0</v>
      </c>
      <c r="G501" s="160">
        <v>1040.0</v>
      </c>
      <c r="H501" s="160">
        <f t="shared" si="26"/>
        <v>7540</v>
      </c>
      <c r="I501" s="172"/>
      <c r="J501" s="169"/>
      <c r="K501" s="172"/>
      <c r="L501" s="172">
        <f>+'FACUS$'!$H501-'FACUS$'!$I501-'FACUS$'!$K501</f>
        <v>7540</v>
      </c>
      <c r="M501" s="157" t="s">
        <v>96</v>
      </c>
      <c r="N501" s="162" t="s">
        <v>554</v>
      </c>
      <c r="O501" s="361">
        <v>43385.0</v>
      </c>
      <c r="P501" s="164" t="str">
        <f t="array" ref="P501">XLOOKUP('FACUS$'!$B501,'perfil de pagos'!$A$4:$A$46,'perfil de pagos'!$C$4:$C$46+'FACUS$'!$D501)</f>
        <v>#N/A</v>
      </c>
      <c r="Q501" s="165">
        <f t="shared" si="2"/>
        <v>0</v>
      </c>
      <c r="R501" s="171"/>
      <c r="S501" s="171"/>
      <c r="T501" s="171"/>
      <c r="U501" s="333" t="s">
        <v>7271</v>
      </c>
      <c r="V501" s="168">
        <f t="shared" si="3"/>
        <v>7540</v>
      </c>
      <c r="W501" s="168">
        <f t="shared" si="4"/>
        <v>0</v>
      </c>
      <c r="X501" s="168">
        <f t="shared" si="5"/>
        <v>0</v>
      </c>
      <c r="Y501" s="168">
        <f t="shared" si="6"/>
        <v>0</v>
      </c>
      <c r="Z501" s="168">
        <f t="shared" si="7"/>
        <v>0</v>
      </c>
      <c r="AA501" s="168">
        <f t="shared" si="8"/>
        <v>0</v>
      </c>
      <c r="AB501" s="168">
        <f t="shared" si="9"/>
        <v>0</v>
      </c>
    </row>
    <row r="502" ht="14.25" customHeight="1">
      <c r="A502" s="157">
        <v>1373.0</v>
      </c>
      <c r="B502" s="169" t="s">
        <v>82</v>
      </c>
      <c r="C502" s="169" t="s">
        <v>7397</v>
      </c>
      <c r="D502" s="159">
        <v>43355.0</v>
      </c>
      <c r="E502" s="157" t="s">
        <v>2</v>
      </c>
      <c r="F502" s="160">
        <v>15000.0</v>
      </c>
      <c r="G502" s="160">
        <v>2400.0</v>
      </c>
      <c r="H502" s="160">
        <f t="shared" si="26"/>
        <v>17400</v>
      </c>
      <c r="I502" s="172"/>
      <c r="J502" s="169"/>
      <c r="K502" s="172"/>
      <c r="L502" s="172">
        <f>+'FACUS$'!$H502-'FACUS$'!$I502-'FACUS$'!$K502</f>
        <v>17400</v>
      </c>
      <c r="M502" s="157" t="s">
        <v>96</v>
      </c>
      <c r="N502" s="162" t="s">
        <v>554</v>
      </c>
      <c r="O502" s="332">
        <v>43385.0</v>
      </c>
      <c r="P502" s="164" t="str">
        <f t="array" ref="P502">XLOOKUP('FACUS$'!$B502,'perfil de pagos'!$A$4:$A$46,'perfil de pagos'!$C$4:$C$46+'FACUS$'!$D502)</f>
        <v>#N/A</v>
      </c>
      <c r="Q502" s="165">
        <f t="shared" si="2"/>
        <v>0</v>
      </c>
      <c r="R502" s="171"/>
      <c r="S502" s="171"/>
      <c r="T502" s="171"/>
      <c r="U502" s="333" t="s">
        <v>7271</v>
      </c>
      <c r="V502" s="168">
        <f t="shared" si="3"/>
        <v>17400</v>
      </c>
      <c r="W502" s="168">
        <f t="shared" si="4"/>
        <v>0</v>
      </c>
      <c r="X502" s="168">
        <f t="shared" si="5"/>
        <v>0</v>
      </c>
      <c r="Y502" s="168">
        <f t="shared" si="6"/>
        <v>0</v>
      </c>
      <c r="Z502" s="168">
        <f t="shared" si="7"/>
        <v>0</v>
      </c>
      <c r="AA502" s="168">
        <f t="shared" si="8"/>
        <v>0</v>
      </c>
      <c r="AB502" s="168">
        <f t="shared" si="9"/>
        <v>0</v>
      </c>
    </row>
    <row r="503" ht="14.25" customHeight="1">
      <c r="A503" s="157">
        <v>1374.0</v>
      </c>
      <c r="B503" s="169" t="s">
        <v>82</v>
      </c>
      <c r="C503" s="169" t="s">
        <v>7398</v>
      </c>
      <c r="D503" s="159">
        <v>43355.0</v>
      </c>
      <c r="E503" s="157" t="s">
        <v>2</v>
      </c>
      <c r="F503" s="160">
        <v>15000.0</v>
      </c>
      <c r="G503" s="160">
        <v>2400.0</v>
      </c>
      <c r="H503" s="160">
        <f t="shared" si="26"/>
        <v>17400</v>
      </c>
      <c r="I503" s="172"/>
      <c r="J503" s="169"/>
      <c r="K503" s="172"/>
      <c r="L503" s="172">
        <f>+'FACUS$'!$H503-'FACUS$'!$I503-'FACUS$'!$K503</f>
        <v>17400</v>
      </c>
      <c r="M503" s="157" t="s">
        <v>96</v>
      </c>
      <c r="N503" s="162" t="s">
        <v>554</v>
      </c>
      <c r="O503" s="332">
        <v>43385.0</v>
      </c>
      <c r="P503" s="164" t="str">
        <f t="array" ref="P503">XLOOKUP('FACUS$'!$B503,'perfil de pagos'!$A$4:$A$46,'perfil de pagos'!$C$4:$C$46+'FACUS$'!$D503)</f>
        <v>#N/A</v>
      </c>
      <c r="Q503" s="165">
        <f t="shared" si="2"/>
        <v>0</v>
      </c>
      <c r="R503" s="171"/>
      <c r="S503" s="171"/>
      <c r="T503" s="171"/>
      <c r="U503" s="333" t="s">
        <v>7271</v>
      </c>
      <c r="V503" s="168">
        <f t="shared" si="3"/>
        <v>17400</v>
      </c>
      <c r="W503" s="168">
        <f t="shared" si="4"/>
        <v>0</v>
      </c>
      <c r="X503" s="168">
        <f t="shared" si="5"/>
        <v>0</v>
      </c>
      <c r="Y503" s="168">
        <f t="shared" si="6"/>
        <v>0</v>
      </c>
      <c r="Z503" s="168">
        <f t="shared" si="7"/>
        <v>0</v>
      </c>
      <c r="AA503" s="168">
        <f t="shared" si="8"/>
        <v>0</v>
      </c>
      <c r="AB503" s="168">
        <f t="shared" si="9"/>
        <v>0</v>
      </c>
    </row>
    <row r="504" ht="14.25" customHeight="1">
      <c r="A504" s="157">
        <v>1375.0</v>
      </c>
      <c r="B504" s="169" t="s">
        <v>82</v>
      </c>
      <c r="C504" s="169"/>
      <c r="D504" s="159">
        <v>43356.0</v>
      </c>
      <c r="E504" s="157" t="s">
        <v>2</v>
      </c>
      <c r="F504" s="160">
        <v>223035.0</v>
      </c>
      <c r="G504" s="160">
        <v>35685.6</v>
      </c>
      <c r="H504" s="160">
        <f t="shared" si="26"/>
        <v>258720.6</v>
      </c>
      <c r="I504" s="172"/>
      <c r="J504" s="169"/>
      <c r="K504" s="172"/>
      <c r="L504" s="172">
        <f>+'FACUS$'!$H504-'FACUS$'!$I504-'FACUS$'!$K504</f>
        <v>258720.6</v>
      </c>
      <c r="M504" s="157" t="s">
        <v>96</v>
      </c>
      <c r="N504" s="162" t="s">
        <v>127</v>
      </c>
      <c r="O504" s="332"/>
      <c r="P504" s="164" t="str">
        <f t="array" ref="P504">XLOOKUP('FACUS$'!$B504,'perfil de pagos'!$A$4:$A$46,'perfil de pagos'!$C$4:$C$46+'FACUS$'!$D504)</f>
        <v>#N/A</v>
      </c>
      <c r="Q504" s="165" t="str">
        <f t="shared" si="2"/>
        <v>N/A</v>
      </c>
      <c r="R504" s="171"/>
      <c r="S504" s="171"/>
      <c r="T504" s="171"/>
      <c r="U504" s="333" t="s">
        <v>7271</v>
      </c>
      <c r="V504" s="168">
        <f t="shared" si="3"/>
        <v>0</v>
      </c>
      <c r="W504" s="168">
        <f t="shared" si="4"/>
        <v>0</v>
      </c>
      <c r="X504" s="168">
        <f t="shared" si="5"/>
        <v>0</v>
      </c>
      <c r="Y504" s="168">
        <f t="shared" si="6"/>
        <v>0</v>
      </c>
      <c r="Z504" s="168">
        <f t="shared" si="7"/>
        <v>0</v>
      </c>
      <c r="AA504" s="168">
        <f t="shared" si="8"/>
        <v>0</v>
      </c>
      <c r="AB504" s="168">
        <f t="shared" si="9"/>
        <v>258720.6</v>
      </c>
    </row>
    <row r="505" ht="14.25" customHeight="1">
      <c r="A505" s="157">
        <v>1376.0</v>
      </c>
      <c r="B505" s="169" t="s">
        <v>82</v>
      </c>
      <c r="C505" s="169" t="s">
        <v>7399</v>
      </c>
      <c r="D505" s="159">
        <v>43356.0</v>
      </c>
      <c r="E505" s="157" t="s">
        <v>2</v>
      </c>
      <c r="F505" s="160">
        <v>26180.0</v>
      </c>
      <c r="G505" s="160">
        <v>4188.8</v>
      </c>
      <c r="H505" s="160">
        <f t="shared" si="26"/>
        <v>30368.8</v>
      </c>
      <c r="I505" s="172"/>
      <c r="J505" s="169"/>
      <c r="K505" s="172"/>
      <c r="L505" s="172">
        <f>+'FACUS$'!$H505-'FACUS$'!$I505-'FACUS$'!$K505</f>
        <v>30368.8</v>
      </c>
      <c r="M505" s="157" t="s">
        <v>96</v>
      </c>
      <c r="N505" s="162" t="s">
        <v>554</v>
      </c>
      <c r="O505" s="332">
        <v>43357.0</v>
      </c>
      <c r="P505" s="164" t="str">
        <f t="array" ref="P505">XLOOKUP('FACUS$'!$B505,'perfil de pagos'!$A$4:$A$46,'perfil de pagos'!$C$4:$C$46+'FACUS$'!$D505)</f>
        <v>#N/A</v>
      </c>
      <c r="Q505" s="165">
        <f t="shared" si="2"/>
        <v>0</v>
      </c>
      <c r="R505" s="171"/>
      <c r="S505" s="171"/>
      <c r="T505" s="171"/>
      <c r="U505" s="333" t="s">
        <v>7271</v>
      </c>
      <c r="V505" s="168">
        <f t="shared" si="3"/>
        <v>30368.8</v>
      </c>
      <c r="W505" s="168">
        <f t="shared" si="4"/>
        <v>0</v>
      </c>
      <c r="X505" s="168">
        <f t="shared" si="5"/>
        <v>0</v>
      </c>
      <c r="Y505" s="168">
        <f t="shared" si="6"/>
        <v>0</v>
      </c>
      <c r="Z505" s="168">
        <f t="shared" si="7"/>
        <v>0</v>
      </c>
      <c r="AA505" s="168">
        <f t="shared" si="8"/>
        <v>0</v>
      </c>
      <c r="AB505" s="168">
        <f t="shared" si="9"/>
        <v>0</v>
      </c>
    </row>
    <row r="506" ht="14.25" customHeight="1">
      <c r="A506" s="157">
        <v>1377.0</v>
      </c>
      <c r="B506" s="169" t="s">
        <v>82</v>
      </c>
      <c r="C506" s="169" t="s">
        <v>7400</v>
      </c>
      <c r="D506" s="159">
        <v>43357.0</v>
      </c>
      <c r="E506" s="157" t="s">
        <v>2</v>
      </c>
      <c r="F506" s="160">
        <v>223035.0</v>
      </c>
      <c r="G506" s="160">
        <v>35685.6</v>
      </c>
      <c r="H506" s="160">
        <f t="shared" si="26"/>
        <v>258720.6</v>
      </c>
      <c r="I506" s="172"/>
      <c r="J506" s="169"/>
      <c r="K506" s="172"/>
      <c r="L506" s="172">
        <f>+'FACUS$'!$H506-'FACUS$'!$I506-'FACUS$'!$K506</f>
        <v>258720.6</v>
      </c>
      <c r="M506" s="157" t="s">
        <v>96</v>
      </c>
      <c r="N506" s="162" t="s">
        <v>554</v>
      </c>
      <c r="O506" s="332">
        <v>43357.0</v>
      </c>
      <c r="P506" s="164" t="str">
        <f t="array" ref="P506">XLOOKUP('FACUS$'!$B506,'perfil de pagos'!$A$4:$A$46,'perfil de pagos'!$C$4:$C$46+'FACUS$'!$D506)</f>
        <v>#N/A</v>
      </c>
      <c r="Q506" s="165">
        <f t="shared" si="2"/>
        <v>0</v>
      </c>
      <c r="R506" s="171"/>
      <c r="S506" s="171"/>
      <c r="T506" s="171"/>
      <c r="U506" s="333" t="s">
        <v>7271</v>
      </c>
      <c r="V506" s="168">
        <f t="shared" si="3"/>
        <v>258720.6</v>
      </c>
      <c r="W506" s="168">
        <f t="shared" si="4"/>
        <v>0</v>
      </c>
      <c r="X506" s="168">
        <f t="shared" si="5"/>
        <v>0</v>
      </c>
      <c r="Y506" s="168">
        <f t="shared" si="6"/>
        <v>0</v>
      </c>
      <c r="Z506" s="168">
        <f t="shared" si="7"/>
        <v>0</v>
      </c>
      <c r="AA506" s="168">
        <f t="shared" si="8"/>
        <v>0</v>
      </c>
      <c r="AB506" s="168">
        <f t="shared" si="9"/>
        <v>0</v>
      </c>
    </row>
    <row r="507" ht="14.25" customHeight="1">
      <c r="A507" s="157">
        <v>1380.0</v>
      </c>
      <c r="B507" s="169" t="s">
        <v>24</v>
      </c>
      <c r="C507" s="169" t="s">
        <v>724</v>
      </c>
      <c r="D507" s="159">
        <v>43327.0</v>
      </c>
      <c r="E507" s="157" t="s">
        <v>2</v>
      </c>
      <c r="F507" s="160">
        <v>2536.8</v>
      </c>
      <c r="G507" s="160">
        <v>405.89</v>
      </c>
      <c r="H507" s="160">
        <f t="shared" si="26"/>
        <v>2942.69</v>
      </c>
      <c r="I507" s="172"/>
      <c r="J507" s="169"/>
      <c r="K507" s="172"/>
      <c r="L507" s="172">
        <f>+'FACUS$'!$H507-'FACUS$'!$I507-'FACUS$'!$K507</f>
        <v>2942.69</v>
      </c>
      <c r="M507" s="157" t="s">
        <v>91</v>
      </c>
      <c r="N507" s="162" t="s">
        <v>554</v>
      </c>
      <c r="O507" s="332"/>
      <c r="P507" s="164">
        <f t="array" ref="P507">XLOOKUP('FACUS$'!$B507,'perfil de pagos'!$A$4:$A$46,'perfil de pagos'!$C$4:$C$46+'FACUS$'!$D507)</f>
        <v>43337</v>
      </c>
      <c r="Q507" s="165">
        <f t="shared" si="2"/>
        <v>0</v>
      </c>
      <c r="R507" s="171"/>
      <c r="S507" s="171"/>
      <c r="T507" s="171"/>
      <c r="U507" s="333" t="s">
        <v>7271</v>
      </c>
      <c r="V507" s="168">
        <f t="shared" si="3"/>
        <v>2942.69</v>
      </c>
      <c r="W507" s="168">
        <f t="shared" si="4"/>
        <v>0</v>
      </c>
      <c r="X507" s="168">
        <f t="shared" si="5"/>
        <v>0</v>
      </c>
      <c r="Y507" s="168">
        <f t="shared" si="6"/>
        <v>0</v>
      </c>
      <c r="Z507" s="168">
        <f t="shared" si="7"/>
        <v>0</v>
      </c>
      <c r="AA507" s="168">
        <f t="shared" si="8"/>
        <v>0</v>
      </c>
      <c r="AB507" s="168">
        <f t="shared" si="9"/>
        <v>0</v>
      </c>
    </row>
    <row r="508" ht="14.25" customHeight="1">
      <c r="A508" s="157">
        <v>1381.0</v>
      </c>
      <c r="B508" s="169" t="s">
        <v>82</v>
      </c>
      <c r="C508" s="169" t="s">
        <v>7401</v>
      </c>
      <c r="D508" s="159">
        <v>43370.0</v>
      </c>
      <c r="E508" s="157" t="s">
        <v>2</v>
      </c>
      <c r="F508" s="160">
        <v>16503.88</v>
      </c>
      <c r="G508" s="160">
        <v>2640.62</v>
      </c>
      <c r="H508" s="160">
        <f t="shared" si="26"/>
        <v>19144.5</v>
      </c>
      <c r="I508" s="172"/>
      <c r="J508" s="169"/>
      <c r="K508" s="172"/>
      <c r="L508" s="172">
        <f>+'FACUS$'!$H508-'FACUS$'!$I508-'FACUS$'!$K508</f>
        <v>19144.5</v>
      </c>
      <c r="M508" s="157" t="s">
        <v>714</v>
      </c>
      <c r="N508" s="157" t="s">
        <v>554</v>
      </c>
      <c r="O508" s="332"/>
      <c r="P508" s="164" t="str">
        <f t="array" ref="P508">XLOOKUP('FACUS$'!$B508,'perfil de pagos'!$A$4:$A$46,'perfil de pagos'!$C$4:$C$46+'FACUS$'!$D508)</f>
        <v>#N/A</v>
      </c>
      <c r="Q508" s="165">
        <f t="shared" si="2"/>
        <v>0</v>
      </c>
      <c r="R508" s="171" t="s">
        <v>7402</v>
      </c>
      <c r="S508" s="171"/>
      <c r="T508" s="171"/>
      <c r="U508" s="333" t="s">
        <v>7271</v>
      </c>
      <c r="V508" s="168">
        <f t="shared" si="3"/>
        <v>19144.5</v>
      </c>
      <c r="W508" s="168">
        <f t="shared" si="4"/>
        <v>0</v>
      </c>
      <c r="X508" s="168">
        <f t="shared" si="5"/>
        <v>0</v>
      </c>
      <c r="Y508" s="168">
        <f t="shared" si="6"/>
        <v>0</v>
      </c>
      <c r="Z508" s="168">
        <f t="shared" si="7"/>
        <v>0</v>
      </c>
      <c r="AA508" s="168">
        <f t="shared" si="8"/>
        <v>0</v>
      </c>
      <c r="AB508" s="168">
        <f t="shared" si="9"/>
        <v>0</v>
      </c>
    </row>
    <row r="509" ht="14.25" customHeight="1">
      <c r="A509" s="157">
        <v>1383.0</v>
      </c>
      <c r="B509" s="169" t="s">
        <v>20</v>
      </c>
      <c r="C509" s="169" t="s">
        <v>724</v>
      </c>
      <c r="D509" s="159">
        <v>43344.0</v>
      </c>
      <c r="E509" s="157" t="s">
        <v>2</v>
      </c>
      <c r="F509" s="160">
        <v>8490.6</v>
      </c>
      <c r="G509" s="160">
        <v>1358.5</v>
      </c>
      <c r="H509" s="160">
        <f t="shared" si="26"/>
        <v>9849.1</v>
      </c>
      <c r="I509" s="172"/>
      <c r="J509" s="169"/>
      <c r="K509" s="172"/>
      <c r="L509" s="172">
        <f>+'FACUS$'!$H509-'FACUS$'!$I509-'FACUS$'!$K509</f>
        <v>9849.1</v>
      </c>
      <c r="M509" s="157" t="s">
        <v>732</v>
      </c>
      <c r="N509" s="162" t="s">
        <v>554</v>
      </c>
      <c r="O509" s="332">
        <v>43411.0</v>
      </c>
      <c r="P509" s="164">
        <f t="array" ref="P509">XLOOKUP('FACUS$'!$B509,'perfil de pagos'!$A$4:$A$46,'perfil de pagos'!$C$4:$C$46+'FACUS$'!$D509)</f>
        <v>43354</v>
      </c>
      <c r="Q509" s="165">
        <f t="shared" si="2"/>
        <v>0</v>
      </c>
      <c r="R509" s="171"/>
      <c r="S509" s="171"/>
      <c r="T509" s="171"/>
      <c r="U509" s="333" t="s">
        <v>7271</v>
      </c>
      <c r="V509" s="168">
        <f t="shared" si="3"/>
        <v>9849.1</v>
      </c>
      <c r="W509" s="168">
        <f t="shared" si="4"/>
        <v>0</v>
      </c>
      <c r="X509" s="168">
        <f t="shared" si="5"/>
        <v>0</v>
      </c>
      <c r="Y509" s="168">
        <f t="shared" si="6"/>
        <v>0</v>
      </c>
      <c r="Z509" s="168">
        <f t="shared" si="7"/>
        <v>0</v>
      </c>
      <c r="AA509" s="168">
        <f t="shared" si="8"/>
        <v>0</v>
      </c>
      <c r="AB509" s="168">
        <f t="shared" si="9"/>
        <v>0</v>
      </c>
    </row>
    <row r="510" ht="14.25" customHeight="1">
      <c r="A510" s="157">
        <v>1385.0</v>
      </c>
      <c r="B510" s="169" t="s">
        <v>18</v>
      </c>
      <c r="C510" s="169" t="s">
        <v>724</v>
      </c>
      <c r="D510" s="159">
        <v>43344.0</v>
      </c>
      <c r="E510" s="157" t="s">
        <v>2</v>
      </c>
      <c r="F510" s="160">
        <v>8649.6</v>
      </c>
      <c r="G510" s="160">
        <v>1383.94</v>
      </c>
      <c r="H510" s="160">
        <f t="shared" si="26"/>
        <v>10033.54</v>
      </c>
      <c r="I510" s="172"/>
      <c r="J510" s="169"/>
      <c r="K510" s="172"/>
      <c r="L510" s="172">
        <f>+'FACUS$'!$H510-'FACUS$'!$I510-'FACUS$'!$K510</f>
        <v>10033.54</v>
      </c>
      <c r="M510" s="157" t="s">
        <v>586</v>
      </c>
      <c r="N510" s="162" t="s">
        <v>554</v>
      </c>
      <c r="O510" s="332">
        <v>43405.0</v>
      </c>
      <c r="P510" s="164">
        <f t="array" ref="P510">XLOOKUP('FACUS$'!$B510,'perfil de pagos'!$A$4:$A$46,'perfil de pagos'!$C$4:$C$46+'FACUS$'!$D510)</f>
        <v>43354</v>
      </c>
      <c r="Q510" s="165">
        <f t="shared" si="2"/>
        <v>0</v>
      </c>
      <c r="R510" s="171"/>
      <c r="S510" s="171"/>
      <c r="T510" s="171"/>
      <c r="U510" s="333" t="s">
        <v>7271</v>
      </c>
      <c r="V510" s="168">
        <f t="shared" si="3"/>
        <v>10033.54</v>
      </c>
      <c r="W510" s="168">
        <f t="shared" si="4"/>
        <v>0</v>
      </c>
      <c r="X510" s="168">
        <f t="shared" si="5"/>
        <v>0</v>
      </c>
      <c r="Y510" s="168">
        <f t="shared" si="6"/>
        <v>0</v>
      </c>
      <c r="Z510" s="168">
        <f t="shared" si="7"/>
        <v>0</v>
      </c>
      <c r="AA510" s="168">
        <f t="shared" si="8"/>
        <v>0</v>
      </c>
      <c r="AB510" s="168">
        <f t="shared" si="9"/>
        <v>0</v>
      </c>
    </row>
    <row r="511" ht="14.25" customHeight="1">
      <c r="A511" s="157">
        <v>1387.0</v>
      </c>
      <c r="B511" s="169" t="s">
        <v>37</v>
      </c>
      <c r="C511" s="169" t="s">
        <v>724</v>
      </c>
      <c r="D511" s="159">
        <v>43344.0</v>
      </c>
      <c r="E511" s="157" t="s">
        <v>2</v>
      </c>
      <c r="F511" s="160">
        <v>86715.42</v>
      </c>
      <c r="G511" s="160">
        <v>13874.47</v>
      </c>
      <c r="H511" s="160">
        <f t="shared" si="26"/>
        <v>100589.89</v>
      </c>
      <c r="I511" s="172"/>
      <c r="J511" s="169"/>
      <c r="K511" s="172"/>
      <c r="L511" s="172">
        <f>+'FACUS$'!$H511-'FACUS$'!$I511-'FACUS$'!$K511</f>
        <v>100589.89</v>
      </c>
      <c r="M511" s="157" t="s">
        <v>718</v>
      </c>
      <c r="N511" s="162" t="s">
        <v>554</v>
      </c>
      <c r="O511" s="332">
        <v>43403.0</v>
      </c>
      <c r="P511" s="164">
        <f t="array" ref="P511">XLOOKUP('FACUS$'!$B511,'perfil de pagos'!$A$4:$A$46,'perfil de pagos'!$C$4:$C$46+'FACUS$'!$D511)</f>
        <v>43354</v>
      </c>
      <c r="Q511" s="165">
        <f t="shared" si="2"/>
        <v>0</v>
      </c>
      <c r="R511" s="171"/>
      <c r="S511" s="171"/>
      <c r="T511" s="171"/>
      <c r="U511" s="333" t="s">
        <v>7271</v>
      </c>
      <c r="V511" s="168">
        <f t="shared" si="3"/>
        <v>100589.89</v>
      </c>
      <c r="W511" s="168">
        <f t="shared" si="4"/>
        <v>0</v>
      </c>
      <c r="X511" s="168">
        <f t="shared" si="5"/>
        <v>0</v>
      </c>
      <c r="Y511" s="168">
        <f t="shared" si="6"/>
        <v>0</v>
      </c>
      <c r="Z511" s="168">
        <f t="shared" si="7"/>
        <v>0</v>
      </c>
      <c r="AA511" s="168">
        <f t="shared" si="8"/>
        <v>0</v>
      </c>
      <c r="AB511" s="168">
        <f t="shared" si="9"/>
        <v>0</v>
      </c>
    </row>
    <row r="512" ht="14.25" customHeight="1">
      <c r="A512" s="157">
        <v>1389.0</v>
      </c>
      <c r="B512" s="169" t="s">
        <v>24</v>
      </c>
      <c r="C512" s="169" t="s">
        <v>724</v>
      </c>
      <c r="D512" s="159">
        <v>43709.0</v>
      </c>
      <c r="E512" s="157" t="s">
        <v>2</v>
      </c>
      <c r="F512" s="160">
        <v>2265.9</v>
      </c>
      <c r="G512" s="160">
        <v>362.54</v>
      </c>
      <c r="H512" s="179">
        <f t="shared" si="26"/>
        <v>2628.44</v>
      </c>
      <c r="I512" s="173"/>
      <c r="J512" s="170"/>
      <c r="K512" s="173"/>
      <c r="L512" s="173">
        <f>+'FACUS$'!$H512-'FACUS$'!$I512-'FACUS$'!$K512</f>
        <v>2628.44</v>
      </c>
      <c r="M512" s="157" t="s">
        <v>91</v>
      </c>
      <c r="N512" s="162" t="s">
        <v>554</v>
      </c>
      <c r="O512" s="332">
        <v>43413.0</v>
      </c>
      <c r="P512" s="164">
        <f t="array" ref="P512">XLOOKUP('FACUS$'!$B512,'perfil de pagos'!$A$4:$A$46,'perfil de pagos'!$C$4:$C$46+'FACUS$'!$D512)</f>
        <v>43719</v>
      </c>
      <c r="Q512" s="165">
        <f t="shared" si="2"/>
        <v>0</v>
      </c>
      <c r="R512" s="171"/>
      <c r="S512" s="171"/>
      <c r="T512" s="171"/>
      <c r="U512" s="333" t="s">
        <v>7271</v>
      </c>
      <c r="V512" s="168">
        <f t="shared" si="3"/>
        <v>2628.44</v>
      </c>
      <c r="W512" s="168">
        <f t="shared" si="4"/>
        <v>0</v>
      </c>
      <c r="X512" s="168">
        <f t="shared" si="5"/>
        <v>0</v>
      </c>
      <c r="Y512" s="168">
        <f t="shared" si="6"/>
        <v>0</v>
      </c>
      <c r="Z512" s="168">
        <f t="shared" si="7"/>
        <v>0</v>
      </c>
      <c r="AA512" s="168">
        <f t="shared" si="8"/>
        <v>0</v>
      </c>
      <c r="AB512" s="168">
        <f t="shared" si="9"/>
        <v>0</v>
      </c>
    </row>
    <row r="513" ht="14.25" customHeight="1">
      <c r="A513" s="157">
        <v>1392.0</v>
      </c>
      <c r="B513" s="169" t="s">
        <v>24</v>
      </c>
      <c r="C513" s="169" t="s">
        <v>724</v>
      </c>
      <c r="D513" s="159">
        <v>43344.0</v>
      </c>
      <c r="E513" s="157" t="s">
        <v>2</v>
      </c>
      <c r="F513" s="160">
        <v>4086.6</v>
      </c>
      <c r="G513" s="160">
        <v>653.86</v>
      </c>
      <c r="H513" s="160">
        <f t="shared" si="26"/>
        <v>4740.46</v>
      </c>
      <c r="I513" s="172"/>
      <c r="J513" s="169"/>
      <c r="K513" s="172"/>
      <c r="L513" s="172">
        <f>+'FACUS$'!$H513-'FACUS$'!$I513-'FACUS$'!$K513</f>
        <v>4740.46</v>
      </c>
      <c r="M513" s="157" t="s">
        <v>91</v>
      </c>
      <c r="N513" s="162" t="s">
        <v>554</v>
      </c>
      <c r="O513" s="332">
        <v>43434.0</v>
      </c>
      <c r="P513" s="164">
        <f t="array" ref="P513">XLOOKUP('FACUS$'!$B513,'perfil de pagos'!$A$4:$A$46,'perfil de pagos'!$C$4:$C$46+'FACUS$'!$D513)</f>
        <v>43354</v>
      </c>
      <c r="Q513" s="165">
        <f t="shared" si="2"/>
        <v>0</v>
      </c>
      <c r="R513" s="171"/>
      <c r="S513" s="171"/>
      <c r="T513" s="171"/>
      <c r="U513" s="333" t="s">
        <v>7271</v>
      </c>
      <c r="V513" s="168">
        <f t="shared" si="3"/>
        <v>4740.46</v>
      </c>
      <c r="W513" s="168">
        <f t="shared" si="4"/>
        <v>0</v>
      </c>
      <c r="X513" s="168">
        <f t="shared" si="5"/>
        <v>0</v>
      </c>
      <c r="Y513" s="168">
        <f t="shared" si="6"/>
        <v>0</v>
      </c>
      <c r="Z513" s="168">
        <f t="shared" si="7"/>
        <v>0</v>
      </c>
      <c r="AA513" s="168">
        <f t="shared" si="8"/>
        <v>0</v>
      </c>
      <c r="AB513" s="168">
        <f t="shared" si="9"/>
        <v>0</v>
      </c>
    </row>
    <row r="514" ht="14.25" customHeight="1">
      <c r="A514" s="157">
        <v>1395.0</v>
      </c>
      <c r="B514" s="169" t="s">
        <v>29</v>
      </c>
      <c r="C514" s="169" t="s">
        <v>724</v>
      </c>
      <c r="D514" s="159">
        <v>43358.0</v>
      </c>
      <c r="E514" s="157" t="s">
        <v>2</v>
      </c>
      <c r="F514" s="160">
        <v>14660.8</v>
      </c>
      <c r="G514" s="160">
        <v>2345.73</v>
      </c>
      <c r="H514" s="160">
        <f t="shared" si="26"/>
        <v>17006.53</v>
      </c>
      <c r="I514" s="172"/>
      <c r="J514" s="169"/>
      <c r="K514" s="172"/>
      <c r="L514" s="172">
        <f>+'FACUS$'!$H514-'FACUS$'!$I514-'FACUS$'!$K514</f>
        <v>17006.53</v>
      </c>
      <c r="M514" s="157" t="s">
        <v>825</v>
      </c>
      <c r="N514" s="162" t="s">
        <v>554</v>
      </c>
      <c r="O514" s="332">
        <v>43391.0</v>
      </c>
      <c r="P514" s="164">
        <f t="array" ref="P514">XLOOKUP('FACUS$'!$B514,'perfil de pagos'!$A$4:$A$46,'perfil de pagos'!$C$4:$C$46+'FACUS$'!$D514)</f>
        <v>43368</v>
      </c>
      <c r="Q514" s="165">
        <f t="shared" si="2"/>
        <v>0</v>
      </c>
      <c r="R514" s="171"/>
      <c r="S514" s="171"/>
      <c r="T514" s="171"/>
      <c r="U514" s="333" t="s">
        <v>7271</v>
      </c>
      <c r="V514" s="168">
        <f t="shared" si="3"/>
        <v>17006.53</v>
      </c>
      <c r="W514" s="168">
        <f t="shared" si="4"/>
        <v>0</v>
      </c>
      <c r="X514" s="168">
        <f t="shared" si="5"/>
        <v>0</v>
      </c>
      <c r="Y514" s="168">
        <f t="shared" si="6"/>
        <v>0</v>
      </c>
      <c r="Z514" s="168">
        <f t="shared" si="7"/>
        <v>0</v>
      </c>
      <c r="AA514" s="168">
        <f t="shared" si="8"/>
        <v>0</v>
      </c>
      <c r="AB514" s="168">
        <f t="shared" si="9"/>
        <v>0</v>
      </c>
    </row>
    <row r="515" ht="14.25" customHeight="1">
      <c r="A515" s="157">
        <v>1397.0</v>
      </c>
      <c r="B515" s="169" t="s">
        <v>24</v>
      </c>
      <c r="C515" s="169" t="s">
        <v>724</v>
      </c>
      <c r="D515" s="159">
        <v>43358.0</v>
      </c>
      <c r="E515" s="157" t="s">
        <v>2</v>
      </c>
      <c r="F515" s="160">
        <v>4338.6</v>
      </c>
      <c r="G515" s="160">
        <v>694.18</v>
      </c>
      <c r="H515" s="160">
        <f t="shared" si="26"/>
        <v>5032.78</v>
      </c>
      <c r="I515" s="172"/>
      <c r="J515" s="169"/>
      <c r="K515" s="172"/>
      <c r="L515" s="172">
        <f>+'FACUS$'!$H515-'FACUS$'!$I515-'FACUS$'!$K515</f>
        <v>5032.78</v>
      </c>
      <c r="M515" s="157" t="s">
        <v>91</v>
      </c>
      <c r="N515" s="162" t="s">
        <v>554</v>
      </c>
      <c r="O515" s="332">
        <v>43434.0</v>
      </c>
      <c r="P515" s="164">
        <f t="array" ref="P515">XLOOKUP('FACUS$'!$B515,'perfil de pagos'!$A$4:$A$46,'perfil de pagos'!$C$4:$C$46+'FACUS$'!$D515)</f>
        <v>43368</v>
      </c>
      <c r="Q515" s="165">
        <f t="shared" si="2"/>
        <v>0</v>
      </c>
      <c r="R515" s="171"/>
      <c r="S515" s="171"/>
      <c r="T515" s="171"/>
      <c r="U515" s="333" t="s">
        <v>7271</v>
      </c>
      <c r="V515" s="168">
        <f t="shared" si="3"/>
        <v>5032.78</v>
      </c>
      <c r="W515" s="168">
        <f t="shared" si="4"/>
        <v>0</v>
      </c>
      <c r="X515" s="168">
        <f t="shared" si="5"/>
        <v>0</v>
      </c>
      <c r="Y515" s="168">
        <f t="shared" si="6"/>
        <v>0</v>
      </c>
      <c r="Z515" s="168">
        <f t="shared" si="7"/>
        <v>0</v>
      </c>
      <c r="AA515" s="168">
        <f t="shared" si="8"/>
        <v>0</v>
      </c>
      <c r="AB515" s="168">
        <f t="shared" si="9"/>
        <v>0</v>
      </c>
    </row>
    <row r="516" ht="14.25" customHeight="1">
      <c r="A516" s="157">
        <v>1399.0</v>
      </c>
      <c r="B516" s="169" t="s">
        <v>103</v>
      </c>
      <c r="C516" s="169" t="s">
        <v>724</v>
      </c>
      <c r="D516" s="159">
        <v>43354.0</v>
      </c>
      <c r="E516" s="157" t="s">
        <v>2</v>
      </c>
      <c r="F516" s="160">
        <v>11906.88</v>
      </c>
      <c r="G516" s="160">
        <v>1905.1</v>
      </c>
      <c r="H516" s="160">
        <f t="shared" si="26"/>
        <v>13811.98</v>
      </c>
      <c r="I516" s="172"/>
      <c r="J516" s="169"/>
      <c r="K516" s="172"/>
      <c r="L516" s="172">
        <f>+'FACUS$'!$H516-'FACUS$'!$I516-'FACUS$'!$K516</f>
        <v>13811.98</v>
      </c>
      <c r="M516" s="157" t="s">
        <v>43</v>
      </c>
      <c r="N516" s="162" t="s">
        <v>554</v>
      </c>
      <c r="O516" s="332">
        <v>43405.0</v>
      </c>
      <c r="P516" s="164" t="str">
        <f t="array" ref="P516">XLOOKUP('FACUS$'!$B516,'perfil de pagos'!$A$4:$A$46,'perfil de pagos'!$C$4:$C$46+'FACUS$'!$D516)</f>
        <v>#N/A</v>
      </c>
      <c r="Q516" s="165">
        <f t="shared" si="2"/>
        <v>0</v>
      </c>
      <c r="R516" s="171"/>
      <c r="S516" s="171"/>
      <c r="T516" s="171"/>
      <c r="U516" s="333" t="s">
        <v>7271</v>
      </c>
      <c r="V516" s="168">
        <f t="shared" si="3"/>
        <v>13811.98</v>
      </c>
      <c r="W516" s="168">
        <f t="shared" si="4"/>
        <v>0</v>
      </c>
      <c r="X516" s="168">
        <f t="shared" si="5"/>
        <v>0</v>
      </c>
      <c r="Y516" s="168">
        <f t="shared" si="6"/>
        <v>0</v>
      </c>
      <c r="Z516" s="168">
        <f t="shared" si="7"/>
        <v>0</v>
      </c>
      <c r="AA516" s="168">
        <f t="shared" si="8"/>
        <v>0</v>
      </c>
      <c r="AB516" s="168">
        <f t="shared" si="9"/>
        <v>0</v>
      </c>
    </row>
    <row r="517" ht="14.25" customHeight="1">
      <c r="A517" s="157">
        <v>1401.0</v>
      </c>
      <c r="B517" s="169" t="s">
        <v>29</v>
      </c>
      <c r="C517" s="169" t="s">
        <v>724</v>
      </c>
      <c r="D517" s="159">
        <v>43344.0</v>
      </c>
      <c r="E517" s="157" t="s">
        <v>2</v>
      </c>
      <c r="F517" s="160">
        <v>4341.4</v>
      </c>
      <c r="G517" s="160">
        <v>694.62</v>
      </c>
      <c r="H517" s="160">
        <f t="shared" si="26"/>
        <v>5036.02</v>
      </c>
      <c r="I517" s="172"/>
      <c r="J517" s="169"/>
      <c r="K517" s="172"/>
      <c r="L517" s="172">
        <f>+'FACUS$'!$H517-'FACUS$'!$I517-'FACUS$'!$K517</f>
        <v>5036.02</v>
      </c>
      <c r="M517" s="157" t="s">
        <v>825</v>
      </c>
      <c r="N517" s="162" t="s">
        <v>127</v>
      </c>
      <c r="O517" s="332"/>
      <c r="P517" s="164">
        <f t="array" ref="P517">XLOOKUP('FACUS$'!$B517,'perfil de pagos'!$A$4:$A$46,'perfil de pagos'!$C$4:$C$46+'FACUS$'!$D517)</f>
        <v>43354</v>
      </c>
      <c r="Q517" s="165" t="str">
        <f t="shared" si="2"/>
        <v>N/A</v>
      </c>
      <c r="R517" s="171"/>
      <c r="S517" s="171"/>
      <c r="T517" s="171"/>
      <c r="U517" s="333" t="s">
        <v>7271</v>
      </c>
      <c r="V517" s="168">
        <f t="shared" si="3"/>
        <v>0</v>
      </c>
      <c r="W517" s="168">
        <f t="shared" si="4"/>
        <v>0</v>
      </c>
      <c r="X517" s="168">
        <f t="shared" si="5"/>
        <v>0</v>
      </c>
      <c r="Y517" s="168">
        <f t="shared" si="6"/>
        <v>0</v>
      </c>
      <c r="Z517" s="168">
        <f t="shared" si="7"/>
        <v>0</v>
      </c>
      <c r="AA517" s="168">
        <f t="shared" si="8"/>
        <v>0</v>
      </c>
      <c r="AB517" s="168">
        <f t="shared" si="9"/>
        <v>5036.02</v>
      </c>
    </row>
    <row r="518" ht="14.25" customHeight="1">
      <c r="A518" s="157">
        <v>1403.0</v>
      </c>
      <c r="B518" s="169" t="s">
        <v>29</v>
      </c>
      <c r="C518" s="169" t="s">
        <v>724</v>
      </c>
      <c r="D518" s="159">
        <v>43344.0</v>
      </c>
      <c r="E518" s="157" t="s">
        <v>2</v>
      </c>
      <c r="F518" s="160">
        <v>17860.5</v>
      </c>
      <c r="G518" s="160">
        <v>2857.68</v>
      </c>
      <c r="H518" s="160">
        <f t="shared" si="26"/>
        <v>20718.18</v>
      </c>
      <c r="I518" s="172"/>
      <c r="J518" s="169"/>
      <c r="K518" s="172"/>
      <c r="L518" s="172">
        <f>+'FACUS$'!$H518-'FACUS$'!$I518-'FACUS$'!$K518</f>
        <v>20718.18</v>
      </c>
      <c r="M518" s="157" t="s">
        <v>825</v>
      </c>
      <c r="N518" s="162" t="s">
        <v>554</v>
      </c>
      <c r="O518" s="332">
        <v>43377.0</v>
      </c>
      <c r="P518" s="164">
        <f t="array" ref="P518">XLOOKUP('FACUS$'!$B518,'perfil de pagos'!$A$4:$A$46,'perfil de pagos'!$C$4:$C$46+'FACUS$'!$D518)</f>
        <v>43354</v>
      </c>
      <c r="Q518" s="165">
        <f t="shared" si="2"/>
        <v>0</v>
      </c>
      <c r="R518" s="171"/>
      <c r="S518" s="171"/>
      <c r="T518" s="171"/>
      <c r="U518" s="333" t="s">
        <v>7271</v>
      </c>
      <c r="V518" s="168">
        <f t="shared" si="3"/>
        <v>20718.18</v>
      </c>
      <c r="W518" s="168">
        <f t="shared" si="4"/>
        <v>0</v>
      </c>
      <c r="X518" s="168">
        <f t="shared" si="5"/>
        <v>0</v>
      </c>
      <c r="Y518" s="168">
        <f t="shared" si="6"/>
        <v>0</v>
      </c>
      <c r="Z518" s="168">
        <f t="shared" si="7"/>
        <v>0</v>
      </c>
      <c r="AA518" s="168">
        <f t="shared" si="8"/>
        <v>0</v>
      </c>
      <c r="AB518" s="168">
        <f t="shared" si="9"/>
        <v>0</v>
      </c>
    </row>
    <row r="519" ht="14.25" customHeight="1">
      <c r="A519" s="157">
        <v>1405.0</v>
      </c>
      <c r="B519" s="169" t="s">
        <v>37</v>
      </c>
      <c r="C519" s="169" t="s">
        <v>724</v>
      </c>
      <c r="D519" s="159">
        <v>43358.0</v>
      </c>
      <c r="E519" s="157" t="s">
        <v>2</v>
      </c>
      <c r="F519" s="160">
        <v>63268.15</v>
      </c>
      <c r="G519" s="160">
        <v>10122.9</v>
      </c>
      <c r="H519" s="160">
        <f t="shared" si="26"/>
        <v>73391.05</v>
      </c>
      <c r="I519" s="172"/>
      <c r="J519" s="169"/>
      <c r="K519" s="172"/>
      <c r="L519" s="172">
        <f>+'FACUS$'!$H519-'FACUS$'!$I519-'FACUS$'!$K519</f>
        <v>73391.05</v>
      </c>
      <c r="M519" s="157" t="s">
        <v>718</v>
      </c>
      <c r="N519" s="162" t="s">
        <v>554</v>
      </c>
      <c r="O519" s="332">
        <v>43403.0</v>
      </c>
      <c r="P519" s="164">
        <f t="array" ref="P519">XLOOKUP('FACUS$'!$B519,'perfil de pagos'!$A$4:$A$46,'perfil de pagos'!$C$4:$C$46+'FACUS$'!$D519)</f>
        <v>43368</v>
      </c>
      <c r="Q519" s="165">
        <f t="shared" si="2"/>
        <v>0</v>
      </c>
      <c r="R519" s="171"/>
      <c r="S519" s="171"/>
      <c r="T519" s="171"/>
      <c r="U519" s="333" t="s">
        <v>7271</v>
      </c>
      <c r="V519" s="168">
        <f t="shared" si="3"/>
        <v>73391.05</v>
      </c>
      <c r="W519" s="168">
        <f t="shared" si="4"/>
        <v>0</v>
      </c>
      <c r="X519" s="168">
        <f t="shared" si="5"/>
        <v>0</v>
      </c>
      <c r="Y519" s="168">
        <f t="shared" si="6"/>
        <v>0</v>
      </c>
      <c r="Z519" s="168">
        <f t="shared" si="7"/>
        <v>0</v>
      </c>
      <c r="AA519" s="168">
        <f t="shared" si="8"/>
        <v>0</v>
      </c>
      <c r="AB519" s="168">
        <f t="shared" si="9"/>
        <v>0</v>
      </c>
    </row>
    <row r="520" ht="14.25" customHeight="1">
      <c r="A520" s="157">
        <v>1407.0</v>
      </c>
      <c r="B520" s="169" t="s">
        <v>18</v>
      </c>
      <c r="C520" s="169" t="s">
        <v>724</v>
      </c>
      <c r="D520" s="159">
        <v>43358.0</v>
      </c>
      <c r="E520" s="157" t="s">
        <v>2</v>
      </c>
      <c r="F520" s="160">
        <v>9450.96</v>
      </c>
      <c r="G520" s="160">
        <v>1512.15</v>
      </c>
      <c r="H520" s="160">
        <f t="shared" si="26"/>
        <v>10963.11</v>
      </c>
      <c r="I520" s="172"/>
      <c r="J520" s="169"/>
      <c r="K520" s="172"/>
      <c r="L520" s="172">
        <f>+'FACUS$'!$H520-'FACUS$'!$I520-'FACUS$'!$K520</f>
        <v>10963.11</v>
      </c>
      <c r="M520" s="157" t="s">
        <v>586</v>
      </c>
      <c r="N520" s="162" t="s">
        <v>554</v>
      </c>
      <c r="O520" s="332">
        <v>43426.0</v>
      </c>
      <c r="P520" s="164">
        <f t="array" ref="P520">XLOOKUP('FACUS$'!$B520,'perfil de pagos'!$A$4:$A$46,'perfil de pagos'!$C$4:$C$46+'FACUS$'!$D520)</f>
        <v>43368</v>
      </c>
      <c r="Q520" s="165">
        <f t="shared" si="2"/>
        <v>0</v>
      </c>
      <c r="R520" s="171"/>
      <c r="S520" s="171"/>
      <c r="T520" s="171"/>
      <c r="U520" s="333" t="s">
        <v>7271</v>
      </c>
      <c r="V520" s="168">
        <f t="shared" si="3"/>
        <v>10963.11</v>
      </c>
      <c r="W520" s="168">
        <f t="shared" si="4"/>
        <v>0</v>
      </c>
      <c r="X520" s="168">
        <f t="shared" si="5"/>
        <v>0</v>
      </c>
      <c r="Y520" s="168">
        <f t="shared" si="6"/>
        <v>0</v>
      </c>
      <c r="Z520" s="168">
        <f t="shared" si="7"/>
        <v>0</v>
      </c>
      <c r="AA520" s="168">
        <f t="shared" si="8"/>
        <v>0</v>
      </c>
      <c r="AB520" s="168">
        <f t="shared" si="9"/>
        <v>0</v>
      </c>
    </row>
    <row r="521" ht="14.25" customHeight="1">
      <c r="A521" s="157">
        <v>1409.0</v>
      </c>
      <c r="B521" s="169" t="s">
        <v>20</v>
      </c>
      <c r="C521" s="169" t="s">
        <v>724</v>
      </c>
      <c r="D521" s="159">
        <v>43358.0</v>
      </c>
      <c r="E521" s="157" t="s">
        <v>2</v>
      </c>
      <c r="F521" s="160">
        <v>8268.0</v>
      </c>
      <c r="G521" s="160">
        <v>1322.88</v>
      </c>
      <c r="H521" s="160">
        <f t="shared" si="26"/>
        <v>9590.88</v>
      </c>
      <c r="I521" s="172"/>
      <c r="J521" s="169"/>
      <c r="K521" s="172"/>
      <c r="L521" s="172">
        <f>+'FACUS$'!$H521-'FACUS$'!$I521-'FACUS$'!$K521</f>
        <v>9590.88</v>
      </c>
      <c r="M521" s="157" t="s">
        <v>732</v>
      </c>
      <c r="N521" s="162" t="s">
        <v>554</v>
      </c>
      <c r="O521" s="332">
        <v>43426.0</v>
      </c>
      <c r="P521" s="164">
        <f t="array" ref="P521">XLOOKUP('FACUS$'!$B521,'perfil de pagos'!$A$4:$A$46,'perfil de pagos'!$C$4:$C$46+'FACUS$'!$D521)</f>
        <v>43368</v>
      </c>
      <c r="Q521" s="165">
        <f t="shared" si="2"/>
        <v>0</v>
      </c>
      <c r="R521" s="171"/>
      <c r="S521" s="171"/>
      <c r="T521" s="171"/>
      <c r="U521" s="333" t="s">
        <v>7271</v>
      </c>
      <c r="V521" s="168">
        <f t="shared" si="3"/>
        <v>9590.88</v>
      </c>
      <c r="W521" s="168">
        <f t="shared" si="4"/>
        <v>0</v>
      </c>
      <c r="X521" s="168">
        <f t="shared" si="5"/>
        <v>0</v>
      </c>
      <c r="Y521" s="168">
        <f t="shared" si="6"/>
        <v>0</v>
      </c>
      <c r="Z521" s="168">
        <f t="shared" si="7"/>
        <v>0</v>
      </c>
      <c r="AA521" s="168">
        <f t="shared" si="8"/>
        <v>0</v>
      </c>
      <c r="AB521" s="168">
        <f t="shared" si="9"/>
        <v>0</v>
      </c>
    </row>
    <row r="522" ht="14.25" customHeight="1">
      <c r="A522" s="157">
        <v>1410.0</v>
      </c>
      <c r="B522" s="169" t="s">
        <v>29</v>
      </c>
      <c r="C522" s="169" t="s">
        <v>724</v>
      </c>
      <c r="D522" s="159">
        <v>43344.0</v>
      </c>
      <c r="E522" s="157" t="s">
        <v>2</v>
      </c>
      <c r="F522" s="160">
        <v>2631.3</v>
      </c>
      <c r="G522" s="160">
        <v>421.01</v>
      </c>
      <c r="H522" s="179">
        <f t="shared" si="26"/>
        <v>3052.31</v>
      </c>
      <c r="I522" s="173"/>
      <c r="J522" s="170"/>
      <c r="K522" s="173"/>
      <c r="L522" s="173">
        <f>+'FACUS$'!$H522-'FACUS$'!$I522-'FACUS$'!$K522</f>
        <v>3052.31</v>
      </c>
      <c r="M522" s="157" t="s">
        <v>825</v>
      </c>
      <c r="N522" s="162" t="s">
        <v>554</v>
      </c>
      <c r="O522" s="332">
        <v>43391.0</v>
      </c>
      <c r="P522" s="164">
        <f t="array" ref="P522">XLOOKUP('FACUS$'!$B522,'perfil de pagos'!$A$4:$A$46,'perfil de pagos'!$C$4:$C$46+'FACUS$'!$D522)</f>
        <v>43354</v>
      </c>
      <c r="Q522" s="165">
        <f t="shared" si="2"/>
        <v>0</v>
      </c>
      <c r="R522" s="171"/>
      <c r="S522" s="171"/>
      <c r="T522" s="171"/>
      <c r="U522" s="333" t="s">
        <v>7271</v>
      </c>
      <c r="V522" s="168">
        <f t="shared" si="3"/>
        <v>3052.31</v>
      </c>
      <c r="W522" s="168">
        <f t="shared" si="4"/>
        <v>0</v>
      </c>
      <c r="X522" s="168">
        <f t="shared" si="5"/>
        <v>0</v>
      </c>
      <c r="Y522" s="168">
        <f t="shared" si="6"/>
        <v>0</v>
      </c>
      <c r="Z522" s="168">
        <f t="shared" si="7"/>
        <v>0</v>
      </c>
      <c r="AA522" s="168">
        <f t="shared" si="8"/>
        <v>0</v>
      </c>
      <c r="AB522" s="168">
        <f t="shared" si="9"/>
        <v>0</v>
      </c>
    </row>
    <row r="523" ht="14.25" customHeight="1">
      <c r="A523" s="157">
        <v>1412.0</v>
      </c>
      <c r="B523" s="169" t="s">
        <v>103</v>
      </c>
      <c r="C523" s="169" t="s">
        <v>724</v>
      </c>
      <c r="D523" s="159">
        <v>43374.0</v>
      </c>
      <c r="E523" s="157" t="s">
        <v>2</v>
      </c>
      <c r="F523" s="160">
        <v>12347.7</v>
      </c>
      <c r="G523" s="160">
        <v>1975.63</v>
      </c>
      <c r="H523" s="160">
        <f t="shared" si="26"/>
        <v>14323.33</v>
      </c>
      <c r="I523" s="172"/>
      <c r="J523" s="169"/>
      <c r="K523" s="172"/>
      <c r="L523" s="172">
        <f>+'FACUS$'!$H523-'FACUS$'!$I523-'FACUS$'!$K523</f>
        <v>14323.33</v>
      </c>
      <c r="M523" s="157" t="s">
        <v>43</v>
      </c>
      <c r="N523" s="162" t="s">
        <v>554</v>
      </c>
      <c r="O523" s="332">
        <v>43413.0</v>
      </c>
      <c r="P523" s="164" t="str">
        <f t="array" ref="P523">XLOOKUP('FACUS$'!$B523,'perfil de pagos'!$A$4:$A$46,'perfil de pagos'!$C$4:$C$46+'FACUS$'!$D523)</f>
        <v>#N/A</v>
      </c>
      <c r="Q523" s="165">
        <f t="shared" si="2"/>
        <v>0</v>
      </c>
      <c r="R523" s="171"/>
      <c r="S523" s="171"/>
      <c r="T523" s="171"/>
      <c r="U523" s="333" t="s">
        <v>7271</v>
      </c>
      <c r="V523" s="168">
        <f t="shared" si="3"/>
        <v>14323.33</v>
      </c>
      <c r="W523" s="168">
        <f t="shared" si="4"/>
        <v>0</v>
      </c>
      <c r="X523" s="168">
        <f t="shared" si="5"/>
        <v>0</v>
      </c>
      <c r="Y523" s="168">
        <f t="shared" si="6"/>
        <v>0</v>
      </c>
      <c r="Z523" s="168">
        <f t="shared" si="7"/>
        <v>0</v>
      </c>
      <c r="AA523" s="168">
        <f t="shared" si="8"/>
        <v>0</v>
      </c>
      <c r="AB523" s="168">
        <f t="shared" si="9"/>
        <v>0</v>
      </c>
    </row>
    <row r="524" ht="14.25" customHeight="1">
      <c r="A524" s="157">
        <v>1413.0</v>
      </c>
      <c r="B524" s="169"/>
      <c r="C524" s="169"/>
      <c r="D524" s="159"/>
      <c r="E524" s="157"/>
      <c r="F524" s="160"/>
      <c r="G524" s="160"/>
      <c r="H524" s="160"/>
      <c r="I524" s="172"/>
      <c r="J524" s="169"/>
      <c r="K524" s="172"/>
      <c r="L524" s="172">
        <f>+'FACUS$'!$H524-'FACUS$'!$I524-'FACUS$'!$K524</f>
        <v>0</v>
      </c>
      <c r="M524" s="157"/>
      <c r="N524" s="162" t="s">
        <v>127</v>
      </c>
      <c r="O524" s="332"/>
      <c r="P524" s="164" t="str">
        <f t="array" ref="P524">XLOOKUP('FACUS$'!$B524,'perfil de pagos'!$A$4:$A$46,'perfil de pagos'!$C$4:$C$46+'FACUS$'!$D524)</f>
        <v>#N/A</v>
      </c>
      <c r="Q524" s="165" t="str">
        <f t="shared" si="2"/>
        <v>N/A</v>
      </c>
      <c r="R524" s="171"/>
      <c r="S524" s="171"/>
      <c r="T524" s="171"/>
      <c r="U524" s="333" t="s">
        <v>7271</v>
      </c>
      <c r="V524" s="168">
        <f t="shared" si="3"/>
        <v>0</v>
      </c>
      <c r="W524" s="168">
        <f t="shared" si="4"/>
        <v>0</v>
      </c>
      <c r="X524" s="168">
        <f t="shared" si="5"/>
        <v>0</v>
      </c>
      <c r="Y524" s="168">
        <f t="shared" si="6"/>
        <v>0</v>
      </c>
      <c r="Z524" s="168">
        <f t="shared" si="7"/>
        <v>0</v>
      </c>
      <c r="AA524" s="168">
        <f t="shared" si="8"/>
        <v>0</v>
      </c>
      <c r="AB524" s="168">
        <f t="shared" si="9"/>
        <v>0</v>
      </c>
    </row>
    <row r="525" ht="14.25" customHeight="1">
      <c r="A525" s="157">
        <v>1414.0</v>
      </c>
      <c r="B525" s="169"/>
      <c r="C525" s="169"/>
      <c r="D525" s="159"/>
      <c r="E525" s="157"/>
      <c r="F525" s="160"/>
      <c r="G525" s="160"/>
      <c r="H525" s="160"/>
      <c r="I525" s="172"/>
      <c r="J525" s="169"/>
      <c r="K525" s="172"/>
      <c r="L525" s="172">
        <f>+'FACUS$'!$H525-'FACUS$'!$I525-'FACUS$'!$K525</f>
        <v>0</v>
      </c>
      <c r="M525" s="157"/>
      <c r="N525" s="162" t="s">
        <v>127</v>
      </c>
      <c r="O525" s="332"/>
      <c r="P525" s="164" t="str">
        <f t="array" ref="P525">XLOOKUP('FACUS$'!$B525,'perfil de pagos'!$A$4:$A$46,'perfil de pagos'!$C$4:$C$46+'FACUS$'!$D525)</f>
        <v>#N/A</v>
      </c>
      <c r="Q525" s="165" t="str">
        <f t="shared" si="2"/>
        <v>N/A</v>
      </c>
      <c r="R525" s="171"/>
      <c r="S525" s="171"/>
      <c r="T525" s="171"/>
      <c r="U525" s="333" t="s">
        <v>7271</v>
      </c>
      <c r="V525" s="168">
        <f t="shared" si="3"/>
        <v>0</v>
      </c>
      <c r="W525" s="168">
        <f t="shared" si="4"/>
        <v>0</v>
      </c>
      <c r="X525" s="168">
        <f t="shared" si="5"/>
        <v>0</v>
      </c>
      <c r="Y525" s="168">
        <f t="shared" si="6"/>
        <v>0</v>
      </c>
      <c r="Z525" s="168">
        <f t="shared" si="7"/>
        <v>0</v>
      </c>
      <c r="AA525" s="168">
        <f t="shared" si="8"/>
        <v>0</v>
      </c>
      <c r="AB525" s="168">
        <f t="shared" si="9"/>
        <v>0</v>
      </c>
    </row>
    <row r="526" ht="14.25" customHeight="1">
      <c r="A526" s="157">
        <v>1416.0</v>
      </c>
      <c r="B526" s="169"/>
      <c r="C526" s="169"/>
      <c r="D526" s="159"/>
      <c r="E526" s="157"/>
      <c r="F526" s="160"/>
      <c r="G526" s="160"/>
      <c r="H526" s="160"/>
      <c r="I526" s="172"/>
      <c r="J526" s="169"/>
      <c r="K526" s="172"/>
      <c r="L526" s="172">
        <f>+'FACUS$'!$H526-'FACUS$'!$I526-'FACUS$'!$K526</f>
        <v>0</v>
      </c>
      <c r="M526" s="157"/>
      <c r="N526" s="162" t="s">
        <v>127</v>
      </c>
      <c r="O526" s="332"/>
      <c r="P526" s="164" t="str">
        <f t="array" ref="P526">XLOOKUP('FACUS$'!$B526,'perfil de pagos'!$A$4:$A$46,'perfil de pagos'!$C$4:$C$46+'FACUS$'!$D526)</f>
        <v>#N/A</v>
      </c>
      <c r="Q526" s="165" t="str">
        <f t="shared" si="2"/>
        <v>N/A</v>
      </c>
      <c r="R526" s="171"/>
      <c r="S526" s="171"/>
      <c r="T526" s="171"/>
      <c r="U526" s="333" t="s">
        <v>7271</v>
      </c>
      <c r="V526" s="168">
        <f t="shared" si="3"/>
        <v>0</v>
      </c>
      <c r="W526" s="168">
        <f t="shared" si="4"/>
        <v>0</v>
      </c>
      <c r="X526" s="168">
        <f t="shared" si="5"/>
        <v>0</v>
      </c>
      <c r="Y526" s="168">
        <f t="shared" si="6"/>
        <v>0</v>
      </c>
      <c r="Z526" s="168">
        <f t="shared" si="7"/>
        <v>0</v>
      </c>
      <c r="AA526" s="168">
        <f t="shared" si="8"/>
        <v>0</v>
      </c>
      <c r="AB526" s="168">
        <f t="shared" si="9"/>
        <v>0</v>
      </c>
    </row>
    <row r="527" ht="14.25" customHeight="1">
      <c r="A527" s="157">
        <v>1417.0</v>
      </c>
      <c r="B527" s="169" t="s">
        <v>24</v>
      </c>
      <c r="C527" s="169" t="s">
        <v>724</v>
      </c>
      <c r="D527" s="159">
        <v>43374.0</v>
      </c>
      <c r="E527" s="157" t="s">
        <v>2</v>
      </c>
      <c r="F527" s="160">
        <v>3937.5</v>
      </c>
      <c r="G527" s="160">
        <v>630.0</v>
      </c>
      <c r="H527" s="160">
        <f t="shared" ref="H527:H541" si="27">F527+G527</f>
        <v>4567.5</v>
      </c>
      <c r="I527" s="172"/>
      <c r="J527" s="169"/>
      <c r="K527" s="172"/>
      <c r="L527" s="172">
        <f>+'FACUS$'!$H527-'FACUS$'!$I527-'FACUS$'!$K527</f>
        <v>4567.5</v>
      </c>
      <c r="M527" s="157" t="s">
        <v>91</v>
      </c>
      <c r="N527" s="162" t="s">
        <v>554</v>
      </c>
      <c r="O527" s="332">
        <v>43431.0</v>
      </c>
      <c r="P527" s="164">
        <f t="array" ref="P527">XLOOKUP('FACUS$'!$B527,'perfil de pagos'!$A$4:$A$46,'perfil de pagos'!$C$4:$C$46+'FACUS$'!$D527)</f>
        <v>43384</v>
      </c>
      <c r="Q527" s="165">
        <f t="shared" si="2"/>
        <v>0</v>
      </c>
      <c r="R527" s="171"/>
      <c r="S527" s="171"/>
      <c r="T527" s="171"/>
      <c r="U527" s="333" t="s">
        <v>7271</v>
      </c>
      <c r="V527" s="168">
        <f t="shared" si="3"/>
        <v>4567.5</v>
      </c>
      <c r="W527" s="168">
        <f t="shared" si="4"/>
        <v>0</v>
      </c>
      <c r="X527" s="168">
        <f t="shared" si="5"/>
        <v>0</v>
      </c>
      <c r="Y527" s="168">
        <f t="shared" si="6"/>
        <v>0</v>
      </c>
      <c r="Z527" s="168">
        <f t="shared" si="7"/>
        <v>0</v>
      </c>
      <c r="AA527" s="168">
        <f t="shared" si="8"/>
        <v>0</v>
      </c>
      <c r="AB527" s="168">
        <f t="shared" si="9"/>
        <v>0</v>
      </c>
    </row>
    <row r="528" ht="14.25" customHeight="1">
      <c r="A528" s="157">
        <v>1419.0</v>
      </c>
      <c r="B528" s="169" t="s">
        <v>29</v>
      </c>
      <c r="C528" s="169" t="s">
        <v>724</v>
      </c>
      <c r="D528" s="159">
        <v>43374.0</v>
      </c>
      <c r="E528" s="157" t="s">
        <v>2</v>
      </c>
      <c r="F528" s="160">
        <v>16792.3</v>
      </c>
      <c r="G528" s="160">
        <v>2686.77</v>
      </c>
      <c r="H528" s="160">
        <f t="shared" si="27"/>
        <v>19479.07</v>
      </c>
      <c r="I528" s="172"/>
      <c r="J528" s="169"/>
      <c r="K528" s="172"/>
      <c r="L528" s="172">
        <f>+'FACUS$'!$H528-'FACUS$'!$I528-'FACUS$'!$K528</f>
        <v>19479.07</v>
      </c>
      <c r="M528" s="157" t="s">
        <v>825</v>
      </c>
      <c r="N528" s="162" t="s">
        <v>554</v>
      </c>
      <c r="O528" s="332">
        <v>43409.0</v>
      </c>
      <c r="P528" s="164">
        <f t="array" ref="P528">XLOOKUP('FACUS$'!$B528,'perfil de pagos'!$A$4:$A$46,'perfil de pagos'!$C$4:$C$46+'FACUS$'!$D528)</f>
        <v>43384</v>
      </c>
      <c r="Q528" s="165">
        <f t="shared" si="2"/>
        <v>0</v>
      </c>
      <c r="R528" s="171"/>
      <c r="S528" s="171"/>
      <c r="T528" s="171"/>
      <c r="U528" s="333" t="s">
        <v>7271</v>
      </c>
      <c r="V528" s="168">
        <f t="shared" si="3"/>
        <v>19479.07</v>
      </c>
      <c r="W528" s="168">
        <f t="shared" si="4"/>
        <v>0</v>
      </c>
      <c r="X528" s="168">
        <f t="shared" si="5"/>
        <v>0</v>
      </c>
      <c r="Y528" s="168">
        <f t="shared" si="6"/>
        <v>0</v>
      </c>
      <c r="Z528" s="168">
        <f t="shared" si="7"/>
        <v>0</v>
      </c>
      <c r="AA528" s="168">
        <f t="shared" si="8"/>
        <v>0</v>
      </c>
      <c r="AB528" s="168">
        <f t="shared" si="9"/>
        <v>0</v>
      </c>
    </row>
    <row r="529" ht="14.25" customHeight="1">
      <c r="A529" s="157">
        <v>1421.0</v>
      </c>
      <c r="B529" s="169" t="s">
        <v>82</v>
      </c>
      <c r="C529" s="169" t="s">
        <v>7403</v>
      </c>
      <c r="D529" s="159">
        <v>43397.0</v>
      </c>
      <c r="E529" s="157" t="s">
        <v>2</v>
      </c>
      <c r="F529" s="160">
        <v>15000.0</v>
      </c>
      <c r="G529" s="160">
        <v>2400.0</v>
      </c>
      <c r="H529" s="160">
        <f t="shared" si="27"/>
        <v>17400</v>
      </c>
      <c r="I529" s="172"/>
      <c r="J529" s="169"/>
      <c r="K529" s="172"/>
      <c r="L529" s="172">
        <f>+'FACUS$'!$H529-'FACUS$'!$I529-'FACUS$'!$K529</f>
        <v>17400</v>
      </c>
      <c r="M529" s="157" t="s">
        <v>96</v>
      </c>
      <c r="N529" s="162" t="s">
        <v>554</v>
      </c>
      <c r="O529" s="332">
        <v>43403.0</v>
      </c>
      <c r="P529" s="164" t="str">
        <f t="array" ref="P529">XLOOKUP('FACUS$'!$B529,'perfil de pagos'!$A$4:$A$46,'perfil de pagos'!$C$4:$C$46+'FACUS$'!$D529)</f>
        <v>#N/A</v>
      </c>
      <c r="Q529" s="165">
        <f t="shared" si="2"/>
        <v>0</v>
      </c>
      <c r="R529" s="171"/>
      <c r="S529" s="171"/>
      <c r="T529" s="171"/>
      <c r="U529" s="333" t="s">
        <v>7271</v>
      </c>
      <c r="V529" s="168">
        <f t="shared" si="3"/>
        <v>17400</v>
      </c>
      <c r="W529" s="168">
        <f t="shared" si="4"/>
        <v>0</v>
      </c>
      <c r="X529" s="168">
        <f t="shared" si="5"/>
        <v>0</v>
      </c>
      <c r="Y529" s="168">
        <f t="shared" si="6"/>
        <v>0</v>
      </c>
      <c r="Z529" s="168">
        <f t="shared" si="7"/>
        <v>0</v>
      </c>
      <c r="AA529" s="168">
        <f t="shared" si="8"/>
        <v>0</v>
      </c>
      <c r="AB529" s="168">
        <f t="shared" si="9"/>
        <v>0</v>
      </c>
    </row>
    <row r="530" ht="14.25" customHeight="1">
      <c r="A530" s="157">
        <v>1422.0</v>
      </c>
      <c r="B530" s="169" t="s">
        <v>82</v>
      </c>
      <c r="C530" s="169" t="s">
        <v>7404</v>
      </c>
      <c r="D530" s="159">
        <v>43397.0</v>
      </c>
      <c r="E530" s="157" t="s">
        <v>2</v>
      </c>
      <c r="F530" s="160">
        <v>6500.0</v>
      </c>
      <c r="G530" s="160">
        <v>1040.0</v>
      </c>
      <c r="H530" s="160">
        <f t="shared" si="27"/>
        <v>7540</v>
      </c>
      <c r="I530" s="172"/>
      <c r="J530" s="169"/>
      <c r="K530" s="172"/>
      <c r="L530" s="172">
        <f>+'FACUS$'!$H530-'FACUS$'!$I530-'FACUS$'!$K530</f>
        <v>7540</v>
      </c>
      <c r="M530" s="157" t="s">
        <v>96</v>
      </c>
      <c r="N530" s="162" t="s">
        <v>554</v>
      </c>
      <c r="O530" s="332">
        <v>43403.0</v>
      </c>
      <c r="P530" s="164" t="str">
        <f t="array" ref="P530">XLOOKUP('FACUS$'!$B530,'perfil de pagos'!$A$4:$A$46,'perfil de pagos'!$C$4:$C$46+'FACUS$'!$D530)</f>
        <v>#N/A</v>
      </c>
      <c r="Q530" s="165">
        <f t="shared" si="2"/>
        <v>0</v>
      </c>
      <c r="R530" s="171"/>
      <c r="S530" s="171"/>
      <c r="T530" s="171"/>
      <c r="U530" s="333" t="s">
        <v>7271</v>
      </c>
      <c r="V530" s="168">
        <f t="shared" si="3"/>
        <v>7540</v>
      </c>
      <c r="W530" s="168">
        <f t="shared" si="4"/>
        <v>0</v>
      </c>
      <c r="X530" s="168">
        <f t="shared" si="5"/>
        <v>0</v>
      </c>
      <c r="Y530" s="168">
        <f t="shared" si="6"/>
        <v>0</v>
      </c>
      <c r="Z530" s="168">
        <f t="shared" si="7"/>
        <v>0</v>
      </c>
      <c r="AA530" s="168">
        <f t="shared" si="8"/>
        <v>0</v>
      </c>
      <c r="AB530" s="168">
        <f t="shared" si="9"/>
        <v>0</v>
      </c>
    </row>
    <row r="531" ht="14.25" customHeight="1">
      <c r="A531" s="157">
        <v>1423.0</v>
      </c>
      <c r="B531" s="169" t="s">
        <v>82</v>
      </c>
      <c r="C531" s="169" t="s">
        <v>7405</v>
      </c>
      <c r="D531" s="159">
        <v>43397.0</v>
      </c>
      <c r="E531" s="157" t="s">
        <v>2</v>
      </c>
      <c r="F531" s="160">
        <v>2500.0</v>
      </c>
      <c r="G531" s="160">
        <v>400.0</v>
      </c>
      <c r="H531" s="160">
        <f t="shared" si="27"/>
        <v>2900</v>
      </c>
      <c r="I531" s="172"/>
      <c r="J531" s="169"/>
      <c r="K531" s="172"/>
      <c r="L531" s="172">
        <f>+'FACUS$'!$H531-'FACUS$'!$I531-'FACUS$'!$K531</f>
        <v>2900</v>
      </c>
      <c r="M531" s="157" t="s">
        <v>96</v>
      </c>
      <c r="N531" s="162" t="s">
        <v>554</v>
      </c>
      <c r="O531" s="332">
        <v>43403.0</v>
      </c>
      <c r="P531" s="164" t="str">
        <f t="array" ref="P531">XLOOKUP('FACUS$'!$B531,'perfil de pagos'!$A$4:$A$46,'perfil de pagos'!$C$4:$C$46+'FACUS$'!$D531)</f>
        <v>#N/A</v>
      </c>
      <c r="Q531" s="165">
        <f t="shared" si="2"/>
        <v>0</v>
      </c>
      <c r="R531" s="171"/>
      <c r="S531" s="171"/>
      <c r="T531" s="171"/>
      <c r="U531" s="333" t="s">
        <v>7271</v>
      </c>
      <c r="V531" s="168">
        <f t="shared" si="3"/>
        <v>2900</v>
      </c>
      <c r="W531" s="168">
        <f t="shared" si="4"/>
        <v>0</v>
      </c>
      <c r="X531" s="168">
        <f t="shared" si="5"/>
        <v>0</v>
      </c>
      <c r="Y531" s="168">
        <f t="shared" si="6"/>
        <v>0</v>
      </c>
      <c r="Z531" s="168">
        <f t="shared" si="7"/>
        <v>0</v>
      </c>
      <c r="AA531" s="168">
        <f t="shared" si="8"/>
        <v>0</v>
      </c>
      <c r="AB531" s="168">
        <f t="shared" si="9"/>
        <v>0</v>
      </c>
    </row>
    <row r="532" ht="14.25" customHeight="1">
      <c r="A532" s="157">
        <v>1425.0</v>
      </c>
      <c r="B532" s="169" t="s">
        <v>24</v>
      </c>
      <c r="C532" s="169" t="s">
        <v>724</v>
      </c>
      <c r="D532" s="159">
        <v>43358.0</v>
      </c>
      <c r="E532" s="157" t="s">
        <v>2</v>
      </c>
      <c r="F532" s="160">
        <v>434.7</v>
      </c>
      <c r="G532" s="160">
        <v>69.55</v>
      </c>
      <c r="H532" s="160">
        <f t="shared" si="27"/>
        <v>504.25</v>
      </c>
      <c r="I532" s="172"/>
      <c r="J532" s="169"/>
      <c r="K532" s="172"/>
      <c r="L532" s="172">
        <f>+'FACUS$'!$H532-'FACUS$'!$I532-'FACUS$'!$K532</f>
        <v>504.25</v>
      </c>
      <c r="M532" s="157" t="s">
        <v>91</v>
      </c>
      <c r="N532" s="162" t="s">
        <v>554</v>
      </c>
      <c r="O532" s="332">
        <v>43434.0</v>
      </c>
      <c r="P532" s="164">
        <f t="array" ref="P532">XLOOKUP('FACUS$'!$B532,'perfil de pagos'!$A$4:$A$46,'perfil de pagos'!$C$4:$C$46+'FACUS$'!$D532)</f>
        <v>43368</v>
      </c>
      <c r="Q532" s="165">
        <f t="shared" si="2"/>
        <v>0</v>
      </c>
      <c r="R532" s="171"/>
      <c r="S532" s="171"/>
      <c r="T532" s="171"/>
      <c r="U532" s="333" t="s">
        <v>7271</v>
      </c>
      <c r="V532" s="168">
        <f t="shared" si="3"/>
        <v>504.25</v>
      </c>
      <c r="W532" s="168">
        <f t="shared" si="4"/>
        <v>0</v>
      </c>
      <c r="X532" s="168">
        <f t="shared" si="5"/>
        <v>0</v>
      </c>
      <c r="Y532" s="168">
        <f t="shared" si="6"/>
        <v>0</v>
      </c>
      <c r="Z532" s="168">
        <f t="shared" si="7"/>
        <v>0</v>
      </c>
      <c r="AA532" s="168">
        <f t="shared" si="8"/>
        <v>0</v>
      </c>
      <c r="AB532" s="168">
        <f t="shared" si="9"/>
        <v>0</v>
      </c>
    </row>
    <row r="533" ht="14.25" customHeight="1">
      <c r="A533" s="157">
        <v>1429.0</v>
      </c>
      <c r="B533" s="169" t="s">
        <v>18</v>
      </c>
      <c r="C533" s="169" t="s">
        <v>724</v>
      </c>
      <c r="D533" s="159">
        <v>43374.0</v>
      </c>
      <c r="E533" s="157" t="s">
        <v>2</v>
      </c>
      <c r="F533" s="160">
        <v>8910.36</v>
      </c>
      <c r="G533" s="160">
        <v>1425.66</v>
      </c>
      <c r="H533" s="160">
        <f t="shared" si="27"/>
        <v>10336.02</v>
      </c>
      <c r="I533" s="172"/>
      <c r="J533" s="169"/>
      <c r="K533" s="172"/>
      <c r="L533" s="172">
        <f>+'FACUS$'!$H533-'FACUS$'!$I533-'FACUS$'!$K533</f>
        <v>10336.02</v>
      </c>
      <c r="M533" s="157" t="s">
        <v>586</v>
      </c>
      <c r="N533" s="162" t="s">
        <v>554</v>
      </c>
      <c r="O533" s="332">
        <v>43426.0</v>
      </c>
      <c r="P533" s="164">
        <f t="array" ref="P533">XLOOKUP('FACUS$'!$B533,'perfil de pagos'!$A$4:$A$46,'perfil de pagos'!$C$4:$C$46+'FACUS$'!$D533)</f>
        <v>43384</v>
      </c>
      <c r="Q533" s="165">
        <f t="shared" si="2"/>
        <v>0</v>
      </c>
      <c r="R533" s="171"/>
      <c r="S533" s="171"/>
      <c r="T533" s="171"/>
      <c r="U533" s="333" t="s">
        <v>7271</v>
      </c>
      <c r="V533" s="168">
        <f t="shared" si="3"/>
        <v>10336.02</v>
      </c>
      <c r="W533" s="168">
        <f t="shared" si="4"/>
        <v>0</v>
      </c>
      <c r="X533" s="168">
        <f t="shared" si="5"/>
        <v>0</v>
      </c>
      <c r="Y533" s="168">
        <f t="shared" si="6"/>
        <v>0</v>
      </c>
      <c r="Z533" s="168">
        <f t="shared" si="7"/>
        <v>0</v>
      </c>
      <c r="AA533" s="168">
        <f t="shared" si="8"/>
        <v>0</v>
      </c>
      <c r="AB533" s="168">
        <f t="shared" si="9"/>
        <v>0</v>
      </c>
    </row>
    <row r="534" ht="14.25" customHeight="1">
      <c r="A534" s="157">
        <v>1431.0</v>
      </c>
      <c r="B534" s="169" t="s">
        <v>37</v>
      </c>
      <c r="C534" s="169" t="s">
        <v>724</v>
      </c>
      <c r="D534" s="159">
        <v>43374.0</v>
      </c>
      <c r="E534" s="157" t="s">
        <v>2</v>
      </c>
      <c r="F534" s="160">
        <v>42568.13</v>
      </c>
      <c r="G534" s="160">
        <v>6810.9</v>
      </c>
      <c r="H534" s="160">
        <f t="shared" si="27"/>
        <v>49379.03</v>
      </c>
      <c r="I534" s="172"/>
      <c r="J534" s="169"/>
      <c r="K534" s="172"/>
      <c r="L534" s="172">
        <f>+'FACUS$'!$H534-'FACUS$'!$I534-'FACUS$'!$K534</f>
        <v>49379.03</v>
      </c>
      <c r="M534" s="157" t="s">
        <v>718</v>
      </c>
      <c r="N534" s="162" t="s">
        <v>554</v>
      </c>
      <c r="O534" s="332">
        <v>43410.0</v>
      </c>
      <c r="P534" s="164">
        <f t="array" ref="P534">XLOOKUP('FACUS$'!$B534,'perfil de pagos'!$A$4:$A$46,'perfil de pagos'!$C$4:$C$46+'FACUS$'!$D534)</f>
        <v>43384</v>
      </c>
      <c r="Q534" s="165">
        <f t="shared" si="2"/>
        <v>0</v>
      </c>
      <c r="R534" s="171"/>
      <c r="S534" s="171"/>
      <c r="T534" s="171"/>
      <c r="U534" s="333" t="s">
        <v>7271</v>
      </c>
      <c r="V534" s="168">
        <f t="shared" si="3"/>
        <v>49379.03</v>
      </c>
      <c r="W534" s="168">
        <f t="shared" si="4"/>
        <v>0</v>
      </c>
      <c r="X534" s="168">
        <f t="shared" si="5"/>
        <v>0</v>
      </c>
      <c r="Y534" s="168">
        <f t="shared" si="6"/>
        <v>0</v>
      </c>
      <c r="Z534" s="168">
        <f t="shared" si="7"/>
        <v>0</v>
      </c>
      <c r="AA534" s="168">
        <f t="shared" si="8"/>
        <v>0</v>
      </c>
      <c r="AB534" s="168">
        <f t="shared" si="9"/>
        <v>0</v>
      </c>
    </row>
    <row r="535" ht="14.25" customHeight="1">
      <c r="A535" s="157">
        <v>1440.0</v>
      </c>
      <c r="B535" s="169" t="s">
        <v>37</v>
      </c>
      <c r="C535" s="169" t="s">
        <v>724</v>
      </c>
      <c r="D535" s="159">
        <v>43388.0</v>
      </c>
      <c r="E535" s="157" t="s">
        <v>2</v>
      </c>
      <c r="F535" s="160">
        <v>45620.63</v>
      </c>
      <c r="G535" s="160">
        <v>7299.3</v>
      </c>
      <c r="H535" s="160">
        <f t="shared" si="27"/>
        <v>52919.93</v>
      </c>
      <c r="I535" s="172"/>
      <c r="J535" s="169"/>
      <c r="K535" s="172"/>
      <c r="L535" s="172">
        <f>+'FACUS$'!$H535-'FACUS$'!$I535-'FACUS$'!$K535</f>
        <v>52919.93</v>
      </c>
      <c r="M535" s="157" t="s">
        <v>718</v>
      </c>
      <c r="N535" s="162" t="s">
        <v>554</v>
      </c>
      <c r="O535" s="332">
        <v>43424.0</v>
      </c>
      <c r="P535" s="164">
        <f t="array" ref="P535">XLOOKUP('FACUS$'!$B535,'perfil de pagos'!$A$4:$A$46,'perfil de pagos'!$C$4:$C$46+'FACUS$'!$D535)</f>
        <v>43398</v>
      </c>
      <c r="Q535" s="165">
        <f t="shared" si="2"/>
        <v>0</v>
      </c>
      <c r="R535" s="171"/>
      <c r="S535" s="171"/>
      <c r="T535" s="171"/>
      <c r="U535" s="333" t="s">
        <v>7271</v>
      </c>
      <c r="V535" s="168">
        <f t="shared" si="3"/>
        <v>52919.93</v>
      </c>
      <c r="W535" s="168">
        <f t="shared" si="4"/>
        <v>0</v>
      </c>
      <c r="X535" s="168">
        <f t="shared" si="5"/>
        <v>0</v>
      </c>
      <c r="Y535" s="168">
        <f t="shared" si="6"/>
        <v>0</v>
      </c>
      <c r="Z535" s="168">
        <f t="shared" si="7"/>
        <v>0</v>
      </c>
      <c r="AA535" s="168">
        <f t="shared" si="8"/>
        <v>0</v>
      </c>
      <c r="AB535" s="168">
        <f t="shared" si="9"/>
        <v>0</v>
      </c>
    </row>
    <row r="536" ht="14.25" customHeight="1">
      <c r="A536" s="157">
        <v>1442.0</v>
      </c>
      <c r="B536" s="169" t="s">
        <v>24</v>
      </c>
      <c r="C536" s="169" t="s">
        <v>724</v>
      </c>
      <c r="D536" s="159">
        <v>43388.0</v>
      </c>
      <c r="E536" s="157" t="s">
        <v>2</v>
      </c>
      <c r="F536" s="160">
        <v>3565.8</v>
      </c>
      <c r="G536" s="160">
        <v>570.53</v>
      </c>
      <c r="H536" s="179">
        <f t="shared" si="27"/>
        <v>4136.33</v>
      </c>
      <c r="I536" s="173"/>
      <c r="J536" s="170"/>
      <c r="K536" s="173"/>
      <c r="L536" s="173">
        <f>+'FACUS$'!$H536-'FACUS$'!$I536-'FACUS$'!$K536</f>
        <v>4136.33</v>
      </c>
      <c r="M536" s="157" t="s">
        <v>91</v>
      </c>
      <c r="N536" s="162" t="s">
        <v>554</v>
      </c>
      <c r="O536" s="332">
        <v>43431.0</v>
      </c>
      <c r="P536" s="164">
        <f t="array" ref="P536">XLOOKUP('FACUS$'!$B536,'perfil de pagos'!$A$4:$A$46,'perfil de pagos'!$C$4:$C$46+'FACUS$'!$D536)</f>
        <v>43398</v>
      </c>
      <c r="Q536" s="165">
        <f t="shared" si="2"/>
        <v>0</v>
      </c>
      <c r="R536" s="171"/>
      <c r="S536" s="171"/>
      <c r="T536" s="171"/>
      <c r="U536" s="333" t="s">
        <v>7271</v>
      </c>
      <c r="V536" s="168">
        <f t="shared" si="3"/>
        <v>4136.33</v>
      </c>
      <c r="W536" s="168">
        <f t="shared" si="4"/>
        <v>0</v>
      </c>
      <c r="X536" s="168">
        <f t="shared" si="5"/>
        <v>0</v>
      </c>
      <c r="Y536" s="168">
        <f t="shared" si="6"/>
        <v>0</v>
      </c>
      <c r="Z536" s="168">
        <f t="shared" si="7"/>
        <v>0</v>
      </c>
      <c r="AA536" s="168">
        <f t="shared" si="8"/>
        <v>0</v>
      </c>
      <c r="AB536" s="168">
        <f t="shared" si="9"/>
        <v>0</v>
      </c>
    </row>
    <row r="537" ht="14.25" customHeight="1">
      <c r="A537" s="157">
        <v>1444.0</v>
      </c>
      <c r="B537" s="169" t="s">
        <v>18</v>
      </c>
      <c r="C537" s="169" t="s">
        <v>724</v>
      </c>
      <c r="D537" s="159">
        <v>43388.0</v>
      </c>
      <c r="E537" s="157" t="s">
        <v>2</v>
      </c>
      <c r="F537" s="160">
        <v>11467.08</v>
      </c>
      <c r="G537" s="160">
        <v>1834.73</v>
      </c>
      <c r="H537" s="160">
        <f t="shared" si="27"/>
        <v>13301.81</v>
      </c>
      <c r="I537" s="172"/>
      <c r="J537" s="169"/>
      <c r="K537" s="172"/>
      <c r="L537" s="172">
        <f>+'FACUS$'!$H537-'FACUS$'!$I537-'FACUS$'!$K537</f>
        <v>13301.81</v>
      </c>
      <c r="M537" s="157" t="s">
        <v>586</v>
      </c>
      <c r="N537" s="162" t="s">
        <v>554</v>
      </c>
      <c r="O537" s="332">
        <v>43430.0</v>
      </c>
      <c r="P537" s="164">
        <f t="array" ref="P537">XLOOKUP('FACUS$'!$B537,'perfil de pagos'!$A$4:$A$46,'perfil de pagos'!$C$4:$C$46+'FACUS$'!$D537)</f>
        <v>43398</v>
      </c>
      <c r="Q537" s="165">
        <f t="shared" si="2"/>
        <v>0</v>
      </c>
      <c r="R537" s="171"/>
      <c r="S537" s="171"/>
      <c r="T537" s="171"/>
      <c r="U537" s="333" t="s">
        <v>7271</v>
      </c>
      <c r="V537" s="168">
        <f t="shared" si="3"/>
        <v>13301.81</v>
      </c>
      <c r="W537" s="168">
        <f t="shared" si="4"/>
        <v>0</v>
      </c>
      <c r="X537" s="168">
        <f t="shared" si="5"/>
        <v>0</v>
      </c>
      <c r="Y537" s="168">
        <f t="shared" si="6"/>
        <v>0</v>
      </c>
      <c r="Z537" s="168">
        <f t="shared" si="7"/>
        <v>0</v>
      </c>
      <c r="AA537" s="168">
        <f t="shared" si="8"/>
        <v>0</v>
      </c>
      <c r="AB537" s="168">
        <f t="shared" si="9"/>
        <v>0</v>
      </c>
    </row>
    <row r="538" ht="14.25" customHeight="1">
      <c r="A538" s="157">
        <v>1446.0</v>
      </c>
      <c r="B538" s="169" t="s">
        <v>20</v>
      </c>
      <c r="C538" s="169" t="s">
        <v>724</v>
      </c>
      <c r="D538" s="159">
        <v>43388.0</v>
      </c>
      <c r="E538" s="157" t="s">
        <v>2</v>
      </c>
      <c r="F538" s="160">
        <v>1049.4</v>
      </c>
      <c r="G538" s="160">
        <v>167.9</v>
      </c>
      <c r="H538" s="160">
        <f t="shared" si="27"/>
        <v>1217.3</v>
      </c>
      <c r="I538" s="172"/>
      <c r="J538" s="169"/>
      <c r="K538" s="172"/>
      <c r="L538" s="172">
        <f>+'FACUS$'!$H538-'FACUS$'!$I538-'FACUS$'!$K538</f>
        <v>1217.3</v>
      </c>
      <c r="M538" s="157" t="s">
        <v>732</v>
      </c>
      <c r="N538" s="162" t="s">
        <v>554</v>
      </c>
      <c r="O538" s="332">
        <v>43426.0</v>
      </c>
      <c r="P538" s="164">
        <f t="array" ref="P538">XLOOKUP('FACUS$'!$B538,'perfil de pagos'!$A$4:$A$46,'perfil de pagos'!$C$4:$C$46+'FACUS$'!$D538)</f>
        <v>43398</v>
      </c>
      <c r="Q538" s="165">
        <f t="shared" si="2"/>
        <v>0</v>
      </c>
      <c r="R538" s="171"/>
      <c r="S538" s="171"/>
      <c r="T538" s="171"/>
      <c r="U538" s="333" t="s">
        <v>7271</v>
      </c>
      <c r="V538" s="168">
        <f t="shared" si="3"/>
        <v>1217.3</v>
      </c>
      <c r="W538" s="168">
        <f t="shared" si="4"/>
        <v>0</v>
      </c>
      <c r="X538" s="168">
        <f t="shared" si="5"/>
        <v>0</v>
      </c>
      <c r="Y538" s="168">
        <f t="shared" si="6"/>
        <v>0</v>
      </c>
      <c r="Z538" s="168">
        <f t="shared" si="7"/>
        <v>0</v>
      </c>
      <c r="AA538" s="168">
        <f t="shared" si="8"/>
        <v>0</v>
      </c>
      <c r="AB538" s="168">
        <f t="shared" si="9"/>
        <v>0</v>
      </c>
    </row>
    <row r="539" ht="14.25" customHeight="1">
      <c r="A539" s="157">
        <v>1449.0</v>
      </c>
      <c r="B539" s="169" t="s">
        <v>24</v>
      </c>
      <c r="C539" s="169" t="s">
        <v>724</v>
      </c>
      <c r="D539" s="159">
        <v>43313.0</v>
      </c>
      <c r="E539" s="157" t="s">
        <v>2</v>
      </c>
      <c r="F539" s="160">
        <v>4050.9</v>
      </c>
      <c r="G539" s="160">
        <v>648.14</v>
      </c>
      <c r="H539" s="160">
        <f t="shared" si="27"/>
        <v>4699.04</v>
      </c>
      <c r="I539" s="172"/>
      <c r="J539" s="169"/>
      <c r="K539" s="172"/>
      <c r="L539" s="172">
        <f>+'FACUS$'!$H539-'FACUS$'!$I539-'FACUS$'!$K539</f>
        <v>4699.04</v>
      </c>
      <c r="M539" s="157" t="s">
        <v>91</v>
      </c>
      <c r="N539" s="362" t="s">
        <v>554</v>
      </c>
      <c r="O539" s="332">
        <v>43545.0</v>
      </c>
      <c r="P539" s="164">
        <f t="array" ref="P539">XLOOKUP('FACUS$'!$B539,'perfil de pagos'!$A$4:$A$46,'perfil de pagos'!$C$4:$C$46+'FACUS$'!$D539)</f>
        <v>43323</v>
      </c>
      <c r="Q539" s="165">
        <f t="shared" si="2"/>
        <v>0</v>
      </c>
      <c r="R539" s="171"/>
      <c r="S539" s="171"/>
      <c r="T539" s="171"/>
      <c r="U539" s="333" t="s">
        <v>7271</v>
      </c>
      <c r="V539" s="168">
        <f t="shared" si="3"/>
        <v>4699.04</v>
      </c>
      <c r="W539" s="168">
        <f t="shared" si="4"/>
        <v>0</v>
      </c>
      <c r="X539" s="168">
        <f t="shared" si="5"/>
        <v>0</v>
      </c>
      <c r="Y539" s="168">
        <f t="shared" si="6"/>
        <v>0</v>
      </c>
      <c r="Z539" s="168">
        <f t="shared" si="7"/>
        <v>0</v>
      </c>
      <c r="AA539" s="168">
        <f t="shared" si="8"/>
        <v>0</v>
      </c>
      <c r="AB539" s="168">
        <f t="shared" si="9"/>
        <v>0</v>
      </c>
    </row>
    <row r="540" ht="14.25" customHeight="1">
      <c r="A540" s="157">
        <v>1451.0</v>
      </c>
      <c r="B540" s="169" t="s">
        <v>29</v>
      </c>
      <c r="C540" s="169" t="s">
        <v>724</v>
      </c>
      <c r="D540" s="159">
        <v>43388.0</v>
      </c>
      <c r="E540" s="157" t="s">
        <v>2</v>
      </c>
      <c r="F540" s="160">
        <v>18286.8</v>
      </c>
      <c r="G540" s="160">
        <v>2925.89</v>
      </c>
      <c r="H540" s="160">
        <f t="shared" si="27"/>
        <v>21212.69</v>
      </c>
      <c r="I540" s="172"/>
      <c r="J540" s="169"/>
      <c r="K540" s="172"/>
      <c r="L540" s="172">
        <f>+'FACUS$'!$H540-'FACUS$'!$I540-'FACUS$'!$K540</f>
        <v>21212.69</v>
      </c>
      <c r="M540" s="157" t="s">
        <v>825</v>
      </c>
      <c r="N540" s="162" t="s">
        <v>127</v>
      </c>
      <c r="O540" s="332"/>
      <c r="P540" s="164">
        <f t="array" ref="P540">XLOOKUP('FACUS$'!$B540,'perfil de pagos'!$A$4:$A$46,'perfil de pagos'!$C$4:$C$46+'FACUS$'!$D540)</f>
        <v>43398</v>
      </c>
      <c r="Q540" s="165" t="str">
        <f t="shared" si="2"/>
        <v>N/A</v>
      </c>
      <c r="R540" s="171"/>
      <c r="S540" s="171"/>
      <c r="T540" s="171"/>
      <c r="U540" s="333" t="s">
        <v>7271</v>
      </c>
      <c r="V540" s="168">
        <f t="shared" si="3"/>
        <v>0</v>
      </c>
      <c r="W540" s="168">
        <f t="shared" si="4"/>
        <v>0</v>
      </c>
      <c r="X540" s="168">
        <f t="shared" si="5"/>
        <v>0</v>
      </c>
      <c r="Y540" s="168">
        <f t="shared" si="6"/>
        <v>0</v>
      </c>
      <c r="Z540" s="168">
        <f t="shared" si="7"/>
        <v>0</v>
      </c>
      <c r="AA540" s="168">
        <f t="shared" si="8"/>
        <v>0</v>
      </c>
      <c r="AB540" s="168">
        <f t="shared" si="9"/>
        <v>21212.69</v>
      </c>
    </row>
    <row r="541" ht="14.25" customHeight="1">
      <c r="A541" s="157">
        <v>1452.0</v>
      </c>
      <c r="B541" s="169" t="s">
        <v>29</v>
      </c>
      <c r="C541" s="169" t="s">
        <v>724</v>
      </c>
      <c r="D541" s="159">
        <v>43413.0</v>
      </c>
      <c r="E541" s="157" t="s">
        <v>2</v>
      </c>
      <c r="F541" s="160">
        <v>16787.4</v>
      </c>
      <c r="G541" s="160">
        <v>2685.98</v>
      </c>
      <c r="H541" s="160">
        <f t="shared" si="27"/>
        <v>19473.38</v>
      </c>
      <c r="I541" s="172"/>
      <c r="J541" s="169"/>
      <c r="K541" s="172"/>
      <c r="L541" s="172">
        <f>+'FACUS$'!$H541-'FACUS$'!$I541-'FACUS$'!$K541</f>
        <v>19473.38</v>
      </c>
      <c r="M541" s="157" t="s">
        <v>825</v>
      </c>
      <c r="N541" s="162" t="s">
        <v>127</v>
      </c>
      <c r="O541" s="332"/>
      <c r="P541" s="164">
        <f t="array" ref="P541">XLOOKUP('FACUS$'!$B541,'perfil de pagos'!$A$4:$A$46,'perfil de pagos'!$C$4:$C$46+'FACUS$'!$D541)</f>
        <v>43423</v>
      </c>
      <c r="Q541" s="165" t="str">
        <f t="shared" si="2"/>
        <v>N/A</v>
      </c>
      <c r="R541" s="171"/>
      <c r="S541" s="171"/>
      <c r="T541" s="171"/>
      <c r="U541" s="333" t="s">
        <v>7271</v>
      </c>
      <c r="V541" s="168">
        <f t="shared" si="3"/>
        <v>0</v>
      </c>
      <c r="W541" s="168">
        <f t="shared" si="4"/>
        <v>0</v>
      </c>
      <c r="X541" s="168">
        <f t="shared" si="5"/>
        <v>0</v>
      </c>
      <c r="Y541" s="168">
        <f t="shared" si="6"/>
        <v>0</v>
      </c>
      <c r="Z541" s="168">
        <f t="shared" si="7"/>
        <v>0</v>
      </c>
      <c r="AA541" s="168">
        <f t="shared" si="8"/>
        <v>0</v>
      </c>
      <c r="AB541" s="168">
        <f t="shared" si="9"/>
        <v>19473.38</v>
      </c>
    </row>
    <row r="542" ht="14.25" customHeight="1">
      <c r="A542" s="157">
        <v>1453.0</v>
      </c>
      <c r="B542" s="169"/>
      <c r="C542" s="169"/>
      <c r="D542" s="159"/>
      <c r="E542" s="157"/>
      <c r="F542" s="160"/>
      <c r="G542" s="160"/>
      <c r="H542" s="160"/>
      <c r="I542" s="172"/>
      <c r="J542" s="169"/>
      <c r="K542" s="172"/>
      <c r="L542" s="172">
        <f>+'FACUS$'!$H542-'FACUS$'!$I542-'FACUS$'!$K542</f>
        <v>0</v>
      </c>
      <c r="M542" s="157"/>
      <c r="N542" s="162" t="s">
        <v>127</v>
      </c>
      <c r="O542" s="332"/>
      <c r="P542" s="164" t="str">
        <f t="array" ref="P542">XLOOKUP('FACUS$'!$B542,'perfil de pagos'!$A$4:$A$46,'perfil de pagos'!$C$4:$C$46+'FACUS$'!$D542)</f>
        <v>#N/A</v>
      </c>
      <c r="Q542" s="165" t="str">
        <f t="shared" si="2"/>
        <v>N/A</v>
      </c>
      <c r="R542" s="171"/>
      <c r="S542" s="171"/>
      <c r="T542" s="171"/>
      <c r="U542" s="333" t="s">
        <v>7271</v>
      </c>
      <c r="V542" s="168">
        <f t="shared" si="3"/>
        <v>0</v>
      </c>
      <c r="W542" s="168">
        <f t="shared" si="4"/>
        <v>0</v>
      </c>
      <c r="X542" s="168">
        <f t="shared" si="5"/>
        <v>0</v>
      </c>
      <c r="Y542" s="168">
        <f t="shared" si="6"/>
        <v>0</v>
      </c>
      <c r="Z542" s="168">
        <f t="shared" si="7"/>
        <v>0</v>
      </c>
      <c r="AA542" s="168">
        <f t="shared" si="8"/>
        <v>0</v>
      </c>
      <c r="AB542" s="168">
        <f t="shared" si="9"/>
        <v>0</v>
      </c>
    </row>
    <row r="543" ht="14.25" customHeight="1">
      <c r="A543" s="157">
        <v>1455.0</v>
      </c>
      <c r="B543" s="169" t="s">
        <v>103</v>
      </c>
      <c r="C543" s="169" t="s">
        <v>724</v>
      </c>
      <c r="D543" s="159">
        <v>43388.0</v>
      </c>
      <c r="E543" s="157" t="s">
        <v>2</v>
      </c>
      <c r="F543" s="160">
        <v>19234.92</v>
      </c>
      <c r="G543" s="160">
        <v>3077.59</v>
      </c>
      <c r="H543" s="160">
        <f t="shared" ref="H543:H623" si="28">F543+G543</f>
        <v>22312.51</v>
      </c>
      <c r="I543" s="172"/>
      <c r="J543" s="169"/>
      <c r="K543" s="172"/>
      <c r="L543" s="172">
        <f>+'FACUS$'!$H543-'FACUS$'!$I543-'FACUS$'!$K543</f>
        <v>22312.51</v>
      </c>
      <c r="M543" s="157" t="s">
        <v>43</v>
      </c>
      <c r="N543" s="162" t="s">
        <v>554</v>
      </c>
      <c r="O543" s="332">
        <v>43444.0</v>
      </c>
      <c r="P543" s="164" t="str">
        <f t="array" ref="P543">XLOOKUP('FACUS$'!$B543,'perfil de pagos'!$A$4:$A$46,'perfil de pagos'!$C$4:$C$46+'FACUS$'!$D543)</f>
        <v>#N/A</v>
      </c>
      <c r="Q543" s="165">
        <f t="shared" si="2"/>
        <v>0</v>
      </c>
      <c r="R543" s="171"/>
      <c r="S543" s="171"/>
      <c r="T543" s="171"/>
      <c r="U543" s="333" t="s">
        <v>7271</v>
      </c>
      <c r="V543" s="168">
        <f t="shared" si="3"/>
        <v>22312.51</v>
      </c>
      <c r="W543" s="168">
        <f t="shared" si="4"/>
        <v>0</v>
      </c>
      <c r="X543" s="168">
        <f t="shared" si="5"/>
        <v>0</v>
      </c>
      <c r="Y543" s="168">
        <f t="shared" si="6"/>
        <v>0</v>
      </c>
      <c r="Z543" s="168">
        <f t="shared" si="7"/>
        <v>0</v>
      </c>
      <c r="AA543" s="168">
        <f t="shared" si="8"/>
        <v>0</v>
      </c>
      <c r="AB543" s="168">
        <f t="shared" si="9"/>
        <v>0</v>
      </c>
    </row>
    <row r="544" ht="14.25" customHeight="1">
      <c r="A544" s="157">
        <v>1457.0</v>
      </c>
      <c r="B544" s="169" t="s">
        <v>24</v>
      </c>
      <c r="C544" s="169" t="s">
        <v>724</v>
      </c>
      <c r="D544" s="159">
        <v>43388.0</v>
      </c>
      <c r="E544" s="157" t="s">
        <v>2</v>
      </c>
      <c r="F544" s="160">
        <v>4903.5</v>
      </c>
      <c r="G544" s="160">
        <v>784.56</v>
      </c>
      <c r="H544" s="160">
        <f t="shared" si="28"/>
        <v>5688.06</v>
      </c>
      <c r="I544" s="172"/>
      <c r="J544" s="169"/>
      <c r="K544" s="172"/>
      <c r="L544" s="172">
        <f>+'FACUS$'!$H544-'FACUS$'!$I544-'FACUS$'!$K544</f>
        <v>5688.06</v>
      </c>
      <c r="M544" s="157" t="s">
        <v>91</v>
      </c>
      <c r="N544" s="162" t="s">
        <v>554</v>
      </c>
      <c r="O544" s="332">
        <v>43434.0</v>
      </c>
      <c r="P544" s="164">
        <f t="array" ref="P544">XLOOKUP('FACUS$'!$B544,'perfil de pagos'!$A$4:$A$46,'perfil de pagos'!$C$4:$C$46+'FACUS$'!$D544)</f>
        <v>43398</v>
      </c>
      <c r="Q544" s="165">
        <f t="shared" si="2"/>
        <v>0</v>
      </c>
      <c r="R544" s="171"/>
      <c r="S544" s="171"/>
      <c r="T544" s="171"/>
      <c r="U544" s="333" t="s">
        <v>7271</v>
      </c>
      <c r="V544" s="168">
        <f t="shared" si="3"/>
        <v>5688.06</v>
      </c>
      <c r="W544" s="168">
        <f t="shared" si="4"/>
        <v>0</v>
      </c>
      <c r="X544" s="168">
        <f t="shared" si="5"/>
        <v>0</v>
      </c>
      <c r="Y544" s="168">
        <f t="shared" si="6"/>
        <v>0</v>
      </c>
      <c r="Z544" s="168">
        <f t="shared" si="7"/>
        <v>0</v>
      </c>
      <c r="AA544" s="168">
        <f t="shared" si="8"/>
        <v>0</v>
      </c>
      <c r="AB544" s="168">
        <f t="shared" si="9"/>
        <v>0</v>
      </c>
    </row>
    <row r="545" ht="14.25" customHeight="1">
      <c r="A545" s="157">
        <v>1458.0</v>
      </c>
      <c r="B545" s="169" t="s">
        <v>33</v>
      </c>
      <c r="C545" s="169" t="s">
        <v>7406</v>
      </c>
      <c r="D545" s="159">
        <v>43419.0</v>
      </c>
      <c r="E545" s="157" t="s">
        <v>2</v>
      </c>
      <c r="F545" s="160">
        <v>99613.2</v>
      </c>
      <c r="G545" s="160">
        <v>15938.11</v>
      </c>
      <c r="H545" s="160">
        <f t="shared" si="28"/>
        <v>115551.31</v>
      </c>
      <c r="I545" s="172"/>
      <c r="J545" s="169"/>
      <c r="K545" s="172"/>
      <c r="L545" s="172">
        <f>+'FACUS$'!$H545-'FACUS$'!$I545-'FACUS$'!$K545</f>
        <v>115551.31</v>
      </c>
      <c r="M545" s="157" t="s">
        <v>958</v>
      </c>
      <c r="N545" s="162" t="s">
        <v>554</v>
      </c>
      <c r="O545" s="332">
        <v>43424.0</v>
      </c>
      <c r="P545" s="164">
        <f t="array" ref="P545">XLOOKUP('FACUS$'!$B545,'perfil de pagos'!$A$4:$A$46,'perfil de pagos'!$C$4:$C$46+'FACUS$'!$D545)</f>
        <v>43429</v>
      </c>
      <c r="Q545" s="165">
        <f t="shared" si="2"/>
        <v>0</v>
      </c>
      <c r="R545" s="171"/>
      <c r="S545" s="171"/>
      <c r="T545" s="171"/>
      <c r="U545" s="333" t="s">
        <v>7271</v>
      </c>
      <c r="V545" s="168">
        <f t="shared" si="3"/>
        <v>115551.31</v>
      </c>
      <c r="W545" s="168">
        <f t="shared" si="4"/>
        <v>0</v>
      </c>
      <c r="X545" s="168">
        <f t="shared" si="5"/>
        <v>0</v>
      </c>
      <c r="Y545" s="168">
        <f t="shared" si="6"/>
        <v>0</v>
      </c>
      <c r="Z545" s="168">
        <f t="shared" si="7"/>
        <v>0</v>
      </c>
      <c r="AA545" s="168">
        <f t="shared" si="8"/>
        <v>0</v>
      </c>
      <c r="AB545" s="168">
        <f t="shared" si="9"/>
        <v>0</v>
      </c>
    </row>
    <row r="546" ht="14.25" customHeight="1">
      <c r="A546" s="157">
        <v>1460.0</v>
      </c>
      <c r="B546" s="169" t="s">
        <v>41</v>
      </c>
      <c r="C546" s="169" t="s">
        <v>785</v>
      </c>
      <c r="D546" s="159">
        <v>43388.0</v>
      </c>
      <c r="E546" s="157" t="s">
        <v>2</v>
      </c>
      <c r="F546" s="160">
        <v>22287.6</v>
      </c>
      <c r="G546" s="160">
        <v>3566.02</v>
      </c>
      <c r="H546" s="179">
        <f t="shared" si="28"/>
        <v>25853.62</v>
      </c>
      <c r="I546" s="173"/>
      <c r="J546" s="170"/>
      <c r="K546" s="173"/>
      <c r="L546" s="173">
        <f>+'FACUS$'!$H546-'FACUS$'!$I546-'FACUS$'!$K546</f>
        <v>25853.62</v>
      </c>
      <c r="M546" s="157" t="s">
        <v>875</v>
      </c>
      <c r="N546" s="162" t="s">
        <v>127</v>
      </c>
      <c r="O546" s="335" t="s">
        <v>876</v>
      </c>
      <c r="P546" s="164">
        <f t="array" ref="P546">XLOOKUP('FACUS$'!$B546,'perfil de pagos'!$A$4:$A$46,'perfil de pagos'!$C$4:$C$46+'FACUS$'!$D546)</f>
        <v>43398</v>
      </c>
      <c r="Q546" s="165" t="str">
        <f t="shared" si="2"/>
        <v>N/A</v>
      </c>
      <c r="R546" s="171"/>
      <c r="S546" s="171"/>
      <c r="T546" s="171"/>
      <c r="U546" s="333" t="s">
        <v>7271</v>
      </c>
      <c r="V546" s="168">
        <f t="shared" si="3"/>
        <v>0</v>
      </c>
      <c r="W546" s="168">
        <f t="shared" si="4"/>
        <v>0</v>
      </c>
      <c r="X546" s="168">
        <f t="shared" si="5"/>
        <v>0</v>
      </c>
      <c r="Y546" s="168">
        <f t="shared" si="6"/>
        <v>0</v>
      </c>
      <c r="Z546" s="168">
        <f t="shared" si="7"/>
        <v>0</v>
      </c>
      <c r="AA546" s="168">
        <f t="shared" si="8"/>
        <v>0</v>
      </c>
      <c r="AB546" s="168">
        <f t="shared" si="9"/>
        <v>25853.62</v>
      </c>
    </row>
    <row r="547" ht="14.25" customHeight="1">
      <c r="A547" s="157">
        <v>1462.0</v>
      </c>
      <c r="B547" s="169" t="s">
        <v>29</v>
      </c>
      <c r="C547" s="169" t="s">
        <v>724</v>
      </c>
      <c r="D547" s="159">
        <v>43388.0</v>
      </c>
      <c r="E547" s="157" t="s">
        <v>2</v>
      </c>
      <c r="F547" s="160">
        <v>19443.2</v>
      </c>
      <c r="G547" s="160">
        <v>3110.91</v>
      </c>
      <c r="H547" s="160">
        <f t="shared" si="28"/>
        <v>22554.11</v>
      </c>
      <c r="I547" s="172"/>
      <c r="J547" s="169"/>
      <c r="K547" s="172"/>
      <c r="L547" s="172">
        <f>+'FACUS$'!$H547-'FACUS$'!$I547-'FACUS$'!$K547</f>
        <v>22554.11</v>
      </c>
      <c r="M547" s="157" t="s">
        <v>825</v>
      </c>
      <c r="N547" s="162" t="s">
        <v>127</v>
      </c>
      <c r="O547" s="332" t="s">
        <v>7407</v>
      </c>
      <c r="P547" s="164">
        <f t="array" ref="P547">XLOOKUP('FACUS$'!$B547,'perfil de pagos'!$A$4:$A$46,'perfil de pagos'!$C$4:$C$46+'FACUS$'!$D547)</f>
        <v>43398</v>
      </c>
      <c r="Q547" s="165" t="str">
        <f t="shared" si="2"/>
        <v>N/A</v>
      </c>
      <c r="R547" s="171"/>
      <c r="S547" s="171"/>
      <c r="T547" s="171"/>
      <c r="U547" s="333" t="s">
        <v>7271</v>
      </c>
      <c r="V547" s="168">
        <f t="shared" si="3"/>
        <v>0</v>
      </c>
      <c r="W547" s="168">
        <f t="shared" si="4"/>
        <v>0</v>
      </c>
      <c r="X547" s="168">
        <f t="shared" si="5"/>
        <v>0</v>
      </c>
      <c r="Y547" s="168">
        <f t="shared" si="6"/>
        <v>0</v>
      </c>
      <c r="Z547" s="168">
        <f t="shared" si="7"/>
        <v>0</v>
      </c>
      <c r="AA547" s="168">
        <f t="shared" si="8"/>
        <v>0</v>
      </c>
      <c r="AB547" s="168">
        <f t="shared" si="9"/>
        <v>22554.11</v>
      </c>
    </row>
    <row r="548" ht="14.25" customHeight="1">
      <c r="A548" s="157">
        <v>1464.0</v>
      </c>
      <c r="B548" s="169" t="s">
        <v>29</v>
      </c>
      <c r="C548" s="169" t="s">
        <v>724</v>
      </c>
      <c r="D548" s="159">
        <v>43388.0</v>
      </c>
      <c r="E548" s="157" t="s">
        <v>2</v>
      </c>
      <c r="F548" s="160">
        <v>19443.2</v>
      </c>
      <c r="G548" s="160">
        <v>3110.91</v>
      </c>
      <c r="H548" s="160">
        <f t="shared" si="28"/>
        <v>22554.11</v>
      </c>
      <c r="I548" s="172"/>
      <c r="J548" s="169"/>
      <c r="K548" s="172"/>
      <c r="L548" s="172">
        <f>+'FACUS$'!$H548-'FACUS$'!$I548-'FACUS$'!$K548</f>
        <v>22554.11</v>
      </c>
      <c r="M548" s="157" t="s">
        <v>825</v>
      </c>
      <c r="N548" s="162" t="s">
        <v>554</v>
      </c>
      <c r="O548" s="332">
        <v>43820.0</v>
      </c>
      <c r="P548" s="164">
        <f t="array" ref="P548">XLOOKUP('FACUS$'!$B548,'perfil de pagos'!$A$4:$A$46,'perfil de pagos'!$C$4:$C$46+'FACUS$'!$D548)</f>
        <v>43398</v>
      </c>
      <c r="Q548" s="165">
        <f t="shared" si="2"/>
        <v>0</v>
      </c>
      <c r="R548" s="171"/>
      <c r="S548" s="171"/>
      <c r="T548" s="171"/>
      <c r="U548" s="333" t="s">
        <v>7271</v>
      </c>
      <c r="V548" s="168">
        <f t="shared" si="3"/>
        <v>22554.11</v>
      </c>
      <c r="W548" s="168">
        <f t="shared" si="4"/>
        <v>0</v>
      </c>
      <c r="X548" s="168">
        <f t="shared" si="5"/>
        <v>0</v>
      </c>
      <c r="Y548" s="168">
        <f t="shared" si="6"/>
        <v>0</v>
      </c>
      <c r="Z548" s="168">
        <f t="shared" si="7"/>
        <v>0</v>
      </c>
      <c r="AA548" s="168">
        <f t="shared" si="8"/>
        <v>0</v>
      </c>
      <c r="AB548" s="168">
        <f t="shared" si="9"/>
        <v>0</v>
      </c>
    </row>
    <row r="549" ht="14.25" customHeight="1">
      <c r="A549" s="157">
        <v>1466.0</v>
      </c>
      <c r="B549" s="169" t="s">
        <v>37</v>
      </c>
      <c r="C549" s="169" t="s">
        <v>724</v>
      </c>
      <c r="D549" s="159">
        <v>43405.0</v>
      </c>
      <c r="E549" s="157" t="s">
        <v>2</v>
      </c>
      <c r="F549" s="160">
        <v>63215.24</v>
      </c>
      <c r="G549" s="160">
        <v>10114.44</v>
      </c>
      <c r="H549" s="160">
        <f t="shared" si="28"/>
        <v>73329.68</v>
      </c>
      <c r="I549" s="172"/>
      <c r="J549" s="169"/>
      <c r="K549" s="172"/>
      <c r="L549" s="172">
        <f>+'FACUS$'!$H549-'FACUS$'!$I549-'FACUS$'!$K549</f>
        <v>73329.68</v>
      </c>
      <c r="M549" s="157" t="s">
        <v>718</v>
      </c>
      <c r="N549" s="162" t="s">
        <v>554</v>
      </c>
      <c r="O549" s="332">
        <v>43445.0</v>
      </c>
      <c r="P549" s="164">
        <f t="array" ref="P549">XLOOKUP('FACUS$'!$B549,'perfil de pagos'!$A$4:$A$46,'perfil de pagos'!$C$4:$C$46+'FACUS$'!$D549)</f>
        <v>43415</v>
      </c>
      <c r="Q549" s="165">
        <f t="shared" si="2"/>
        <v>0</v>
      </c>
      <c r="R549" s="171"/>
      <c r="S549" s="171"/>
      <c r="T549" s="171"/>
      <c r="U549" s="333" t="s">
        <v>7271</v>
      </c>
      <c r="V549" s="168">
        <f t="shared" si="3"/>
        <v>73329.68</v>
      </c>
      <c r="W549" s="168">
        <f t="shared" si="4"/>
        <v>0</v>
      </c>
      <c r="X549" s="168">
        <f t="shared" si="5"/>
        <v>0</v>
      </c>
      <c r="Y549" s="168">
        <f t="shared" si="6"/>
        <v>0</v>
      </c>
      <c r="Z549" s="168">
        <f t="shared" si="7"/>
        <v>0</v>
      </c>
      <c r="AA549" s="168">
        <f t="shared" si="8"/>
        <v>0</v>
      </c>
      <c r="AB549" s="168">
        <f t="shared" si="9"/>
        <v>0</v>
      </c>
    </row>
    <row r="550" ht="14.25" customHeight="1">
      <c r="A550" s="157">
        <v>1468.0</v>
      </c>
      <c r="B550" s="169" t="s">
        <v>20</v>
      </c>
      <c r="C550" s="169" t="s">
        <v>724</v>
      </c>
      <c r="D550" s="159">
        <v>43405.0</v>
      </c>
      <c r="E550" s="157" t="s">
        <v>2</v>
      </c>
      <c r="F550" s="160">
        <v>6900.6</v>
      </c>
      <c r="G550" s="160">
        <v>1104.1</v>
      </c>
      <c r="H550" s="160">
        <f t="shared" si="28"/>
        <v>8004.7</v>
      </c>
      <c r="I550" s="172"/>
      <c r="J550" s="169"/>
      <c r="K550" s="172"/>
      <c r="L550" s="172">
        <f>+'FACUS$'!$H550-'FACUS$'!$I550-'FACUS$'!$K550</f>
        <v>8004.7</v>
      </c>
      <c r="M550" s="157" t="s">
        <v>732</v>
      </c>
      <c r="N550" s="162" t="s">
        <v>554</v>
      </c>
      <c r="O550" s="332">
        <v>43437.0</v>
      </c>
      <c r="P550" s="164">
        <f t="array" ref="P550">XLOOKUP('FACUS$'!$B550,'perfil de pagos'!$A$4:$A$46,'perfil de pagos'!$C$4:$C$46+'FACUS$'!$D550)</f>
        <v>43415</v>
      </c>
      <c r="Q550" s="165">
        <f t="shared" si="2"/>
        <v>0</v>
      </c>
      <c r="R550" s="171"/>
      <c r="S550" s="171"/>
      <c r="T550" s="171"/>
      <c r="U550" s="333" t="s">
        <v>7271</v>
      </c>
      <c r="V550" s="168">
        <f t="shared" si="3"/>
        <v>8004.7</v>
      </c>
      <c r="W550" s="168">
        <f t="shared" si="4"/>
        <v>0</v>
      </c>
      <c r="X550" s="168">
        <f t="shared" si="5"/>
        <v>0</v>
      </c>
      <c r="Y550" s="168">
        <f t="shared" si="6"/>
        <v>0</v>
      </c>
      <c r="Z550" s="168">
        <f t="shared" si="7"/>
        <v>0</v>
      </c>
      <c r="AA550" s="168">
        <f t="shared" si="8"/>
        <v>0</v>
      </c>
      <c r="AB550" s="168">
        <f t="shared" si="9"/>
        <v>0</v>
      </c>
    </row>
    <row r="551" ht="14.25" customHeight="1">
      <c r="A551" s="157">
        <v>1470.0</v>
      </c>
      <c r="B551" s="169" t="s">
        <v>18</v>
      </c>
      <c r="C551" s="169" t="s">
        <v>724</v>
      </c>
      <c r="D551" s="159">
        <v>43405.0</v>
      </c>
      <c r="E551" s="157" t="s">
        <v>2</v>
      </c>
      <c r="F551" s="160">
        <v>8872.2</v>
      </c>
      <c r="G551" s="160">
        <v>1419.55</v>
      </c>
      <c r="H551" s="160">
        <f t="shared" si="28"/>
        <v>10291.75</v>
      </c>
      <c r="I551" s="172"/>
      <c r="J551" s="169"/>
      <c r="K551" s="172"/>
      <c r="L551" s="172">
        <f>+'FACUS$'!$H551-'FACUS$'!$I551-'FACUS$'!$K551</f>
        <v>10291.75</v>
      </c>
      <c r="M551" s="157" t="s">
        <v>586</v>
      </c>
      <c r="N551" s="162" t="s">
        <v>554</v>
      </c>
      <c r="O551" s="332">
        <v>43437.0</v>
      </c>
      <c r="P551" s="164">
        <f t="array" ref="P551">XLOOKUP('FACUS$'!$B551,'perfil de pagos'!$A$4:$A$46,'perfil de pagos'!$C$4:$C$46+'FACUS$'!$D551)</f>
        <v>43415</v>
      </c>
      <c r="Q551" s="165">
        <f t="shared" si="2"/>
        <v>0</v>
      </c>
      <c r="R551" s="171"/>
      <c r="S551" s="171"/>
      <c r="T551" s="171"/>
      <c r="U551" s="333" t="s">
        <v>7271</v>
      </c>
      <c r="V551" s="168">
        <f t="shared" si="3"/>
        <v>10291.75</v>
      </c>
      <c r="W551" s="168">
        <f t="shared" si="4"/>
        <v>0</v>
      </c>
      <c r="X551" s="168">
        <f t="shared" si="5"/>
        <v>0</v>
      </c>
      <c r="Y551" s="168">
        <f t="shared" si="6"/>
        <v>0</v>
      </c>
      <c r="Z551" s="168">
        <f t="shared" si="7"/>
        <v>0</v>
      </c>
      <c r="AA551" s="168">
        <f t="shared" si="8"/>
        <v>0</v>
      </c>
      <c r="AB551" s="168">
        <f t="shared" si="9"/>
        <v>0</v>
      </c>
    </row>
    <row r="552" ht="14.25" customHeight="1">
      <c r="A552" s="157">
        <v>1471.0</v>
      </c>
      <c r="B552" s="169"/>
      <c r="C552" s="169"/>
      <c r="D552" s="159"/>
      <c r="E552" s="157"/>
      <c r="F552" s="160"/>
      <c r="G552" s="160"/>
      <c r="H552" s="160">
        <f t="shared" si="28"/>
        <v>0</v>
      </c>
      <c r="I552" s="172"/>
      <c r="J552" s="169"/>
      <c r="K552" s="172"/>
      <c r="L552" s="172">
        <f>+'FACUS$'!$H552-'FACUS$'!$I552-'FACUS$'!$K552</f>
        <v>0</v>
      </c>
      <c r="M552" s="157"/>
      <c r="N552" s="162" t="s">
        <v>127</v>
      </c>
      <c r="O552" s="332" t="s">
        <v>7408</v>
      </c>
      <c r="P552" s="164" t="str">
        <f t="array" ref="P552">XLOOKUP('FACUS$'!$B552,'perfil de pagos'!$A$4:$A$46,'perfil de pagos'!$C$4:$C$46+'FACUS$'!$D552)</f>
        <v>#N/A</v>
      </c>
      <c r="Q552" s="165" t="str">
        <f t="shared" si="2"/>
        <v>N/A</v>
      </c>
      <c r="R552" s="171"/>
      <c r="S552" s="171"/>
      <c r="T552" s="171"/>
      <c r="U552" s="333" t="s">
        <v>7271</v>
      </c>
      <c r="V552" s="168">
        <f t="shared" si="3"/>
        <v>0</v>
      </c>
      <c r="W552" s="168">
        <f t="shared" si="4"/>
        <v>0</v>
      </c>
      <c r="X552" s="168">
        <f t="shared" si="5"/>
        <v>0</v>
      </c>
      <c r="Y552" s="168">
        <f t="shared" si="6"/>
        <v>0</v>
      </c>
      <c r="Z552" s="168">
        <f t="shared" si="7"/>
        <v>0</v>
      </c>
      <c r="AA552" s="168">
        <f t="shared" si="8"/>
        <v>0</v>
      </c>
      <c r="AB552" s="168">
        <f t="shared" si="9"/>
        <v>0</v>
      </c>
    </row>
    <row r="553" ht="14.25" customHeight="1">
      <c r="A553" s="157">
        <v>1472.0</v>
      </c>
      <c r="B553" s="169" t="s">
        <v>24</v>
      </c>
      <c r="C553" s="169" t="s">
        <v>724</v>
      </c>
      <c r="D553" s="159">
        <v>43405.0</v>
      </c>
      <c r="E553" s="157" t="s">
        <v>2</v>
      </c>
      <c r="F553" s="160">
        <v>1495.2</v>
      </c>
      <c r="G553" s="160">
        <v>239.23</v>
      </c>
      <c r="H553" s="160">
        <f t="shared" si="28"/>
        <v>1734.43</v>
      </c>
      <c r="I553" s="172"/>
      <c r="J553" s="169"/>
      <c r="K553" s="172"/>
      <c r="L553" s="172">
        <f>+'FACUS$'!$H553-'FACUS$'!$I553-'FACUS$'!$K553</f>
        <v>1734.43</v>
      </c>
      <c r="M553" s="157" t="s">
        <v>91</v>
      </c>
      <c r="N553" s="162" t="s">
        <v>554</v>
      </c>
      <c r="O553" s="332">
        <v>43454.0</v>
      </c>
      <c r="P553" s="164">
        <f t="array" ref="P553">XLOOKUP('FACUS$'!$B553,'perfil de pagos'!$A$4:$A$46,'perfil de pagos'!$C$4:$C$46+'FACUS$'!$D553)</f>
        <v>43415</v>
      </c>
      <c r="Q553" s="165">
        <f t="shared" si="2"/>
        <v>0</v>
      </c>
      <c r="R553" s="171"/>
      <c r="S553" s="171"/>
      <c r="T553" s="171"/>
      <c r="U553" s="333" t="s">
        <v>7271</v>
      </c>
      <c r="V553" s="168">
        <f t="shared" si="3"/>
        <v>1734.43</v>
      </c>
      <c r="W553" s="168">
        <f t="shared" si="4"/>
        <v>0</v>
      </c>
      <c r="X553" s="168">
        <f t="shared" si="5"/>
        <v>0</v>
      </c>
      <c r="Y553" s="168">
        <f t="shared" si="6"/>
        <v>0</v>
      </c>
      <c r="Z553" s="168">
        <f t="shared" si="7"/>
        <v>0</v>
      </c>
      <c r="AA553" s="168">
        <f t="shared" si="8"/>
        <v>0</v>
      </c>
      <c r="AB553" s="168">
        <f t="shared" si="9"/>
        <v>0</v>
      </c>
    </row>
    <row r="554" ht="14.25" customHeight="1">
      <c r="A554" s="157">
        <v>1476.0</v>
      </c>
      <c r="B554" s="169" t="s">
        <v>103</v>
      </c>
      <c r="C554" s="169" t="s">
        <v>724</v>
      </c>
      <c r="D554" s="159">
        <v>43405.0</v>
      </c>
      <c r="E554" s="157" t="s">
        <v>2</v>
      </c>
      <c r="F554" s="160">
        <v>18798.84</v>
      </c>
      <c r="G554" s="160">
        <v>3007.81</v>
      </c>
      <c r="H554" s="160">
        <f t="shared" si="28"/>
        <v>21806.65</v>
      </c>
      <c r="I554" s="172"/>
      <c r="J554" s="169"/>
      <c r="K554" s="172"/>
      <c r="L554" s="172">
        <f>+'FACUS$'!$H554-'FACUS$'!$I554-'FACUS$'!$K554</f>
        <v>21806.65</v>
      </c>
      <c r="M554" s="157" t="s">
        <v>103</v>
      </c>
      <c r="N554" s="162" t="s">
        <v>554</v>
      </c>
      <c r="O554" s="332">
        <v>43448.0</v>
      </c>
      <c r="P554" s="164" t="str">
        <f t="array" ref="P554">XLOOKUP('FACUS$'!$B554,'perfil de pagos'!$A$4:$A$46,'perfil de pagos'!$C$4:$C$46+'FACUS$'!$D554)</f>
        <v>#N/A</v>
      </c>
      <c r="Q554" s="165">
        <f t="shared" si="2"/>
        <v>0</v>
      </c>
      <c r="R554" s="171"/>
      <c r="S554" s="171"/>
      <c r="T554" s="171"/>
      <c r="U554" s="333" t="s">
        <v>7271</v>
      </c>
      <c r="V554" s="168">
        <f t="shared" si="3"/>
        <v>21806.65</v>
      </c>
      <c r="W554" s="168">
        <f t="shared" si="4"/>
        <v>0</v>
      </c>
      <c r="X554" s="168">
        <f t="shared" si="5"/>
        <v>0</v>
      </c>
      <c r="Y554" s="168">
        <f t="shared" si="6"/>
        <v>0</v>
      </c>
      <c r="Z554" s="168">
        <f t="shared" si="7"/>
        <v>0</v>
      </c>
      <c r="AA554" s="168">
        <f t="shared" si="8"/>
        <v>0</v>
      </c>
      <c r="AB554" s="168">
        <f t="shared" si="9"/>
        <v>0</v>
      </c>
    </row>
    <row r="555" ht="14.25" customHeight="1">
      <c r="A555" s="157">
        <v>1477.0</v>
      </c>
      <c r="B555" s="169"/>
      <c r="C555" s="169"/>
      <c r="D555" s="159"/>
      <c r="E555" s="157"/>
      <c r="F555" s="160"/>
      <c r="G555" s="160"/>
      <c r="H555" s="160">
        <f t="shared" si="28"/>
        <v>0</v>
      </c>
      <c r="I555" s="172"/>
      <c r="J555" s="169"/>
      <c r="K555" s="172"/>
      <c r="L555" s="172">
        <f>+'FACUS$'!$H555-'FACUS$'!$I555-'FACUS$'!$K555</f>
        <v>0</v>
      </c>
      <c r="M555" s="157"/>
      <c r="N555" s="162" t="s">
        <v>127</v>
      </c>
      <c r="O555" s="332"/>
      <c r="P555" s="164" t="str">
        <f t="array" ref="P555">XLOOKUP('FACUS$'!$B555,'perfil de pagos'!$A$4:$A$46,'perfil de pagos'!$C$4:$C$46+'FACUS$'!$D555)</f>
        <v>#N/A</v>
      </c>
      <c r="Q555" s="165" t="str">
        <f t="shared" si="2"/>
        <v>N/A</v>
      </c>
      <c r="R555" s="171"/>
      <c r="S555" s="171"/>
      <c r="T555" s="171"/>
      <c r="U555" s="333" t="s">
        <v>7271</v>
      </c>
      <c r="V555" s="168">
        <f t="shared" si="3"/>
        <v>0</v>
      </c>
      <c r="W555" s="168">
        <f t="shared" si="4"/>
        <v>0</v>
      </c>
      <c r="X555" s="168">
        <f t="shared" si="5"/>
        <v>0</v>
      </c>
      <c r="Y555" s="168">
        <f t="shared" si="6"/>
        <v>0</v>
      </c>
      <c r="Z555" s="168">
        <f t="shared" si="7"/>
        <v>0</v>
      </c>
      <c r="AA555" s="168">
        <f t="shared" si="8"/>
        <v>0</v>
      </c>
      <c r="AB555" s="168">
        <f t="shared" si="9"/>
        <v>0</v>
      </c>
    </row>
    <row r="556" ht="14.25" customHeight="1">
      <c r="A556" s="157">
        <v>1478.0</v>
      </c>
      <c r="B556" s="169" t="s">
        <v>24</v>
      </c>
      <c r="C556" s="169" t="s">
        <v>724</v>
      </c>
      <c r="D556" s="159">
        <v>43405.0</v>
      </c>
      <c r="E556" s="157" t="s">
        <v>2</v>
      </c>
      <c r="F556" s="160">
        <v>4269.3</v>
      </c>
      <c r="G556" s="160">
        <v>683.09</v>
      </c>
      <c r="H556" s="160">
        <f t="shared" si="28"/>
        <v>4952.39</v>
      </c>
      <c r="I556" s="172"/>
      <c r="J556" s="169"/>
      <c r="K556" s="172"/>
      <c r="L556" s="172">
        <f>+'FACUS$'!$H556-'FACUS$'!$I556-'FACUS$'!$K556</f>
        <v>4952.39</v>
      </c>
      <c r="M556" s="157" t="s">
        <v>91</v>
      </c>
      <c r="N556" s="162" t="s">
        <v>554</v>
      </c>
      <c r="O556" s="332">
        <v>43454.0</v>
      </c>
      <c r="P556" s="164">
        <f t="array" ref="P556">XLOOKUP('FACUS$'!$B556,'perfil de pagos'!$A$4:$A$46,'perfil de pagos'!$C$4:$C$46+'FACUS$'!$D556)</f>
        <v>43415</v>
      </c>
      <c r="Q556" s="165">
        <f t="shared" si="2"/>
        <v>0</v>
      </c>
      <c r="R556" s="171"/>
      <c r="S556" s="171"/>
      <c r="T556" s="171"/>
      <c r="U556" s="333" t="s">
        <v>7271</v>
      </c>
      <c r="V556" s="168">
        <f t="shared" si="3"/>
        <v>4952.39</v>
      </c>
      <c r="W556" s="168">
        <f t="shared" si="4"/>
        <v>0</v>
      </c>
      <c r="X556" s="168">
        <f t="shared" si="5"/>
        <v>0</v>
      </c>
      <c r="Y556" s="168">
        <f t="shared" si="6"/>
        <v>0</v>
      </c>
      <c r="Z556" s="168">
        <f t="shared" si="7"/>
        <v>0</v>
      </c>
      <c r="AA556" s="168">
        <f t="shared" si="8"/>
        <v>0</v>
      </c>
      <c r="AB556" s="168">
        <f t="shared" si="9"/>
        <v>0</v>
      </c>
    </row>
    <row r="557" ht="14.25" customHeight="1">
      <c r="A557" s="157">
        <v>1483.0</v>
      </c>
      <c r="B557" s="169" t="s">
        <v>41</v>
      </c>
      <c r="C557" s="169" t="s">
        <v>7409</v>
      </c>
      <c r="D557" s="159">
        <v>43388.0</v>
      </c>
      <c r="E557" s="157" t="s">
        <v>2</v>
      </c>
      <c r="F557" s="160">
        <v>22287.6</v>
      </c>
      <c r="G557" s="160">
        <v>3566.02</v>
      </c>
      <c r="H557" s="160">
        <f t="shared" si="28"/>
        <v>25853.62</v>
      </c>
      <c r="I557" s="172"/>
      <c r="J557" s="169"/>
      <c r="K557" s="172"/>
      <c r="L557" s="172">
        <f>+'FACUS$'!$H557-'FACUS$'!$I557-'FACUS$'!$K557</f>
        <v>25853.62</v>
      </c>
      <c r="M557" s="157" t="s">
        <v>875</v>
      </c>
      <c r="N557" s="162" t="s">
        <v>554</v>
      </c>
      <c r="O557" s="332">
        <v>43448.0</v>
      </c>
      <c r="P557" s="164">
        <f t="array" ref="P557">XLOOKUP('FACUS$'!$B557,'perfil de pagos'!$A$4:$A$46,'perfil de pagos'!$C$4:$C$46+'FACUS$'!$D557)</f>
        <v>43398</v>
      </c>
      <c r="Q557" s="165">
        <f t="shared" si="2"/>
        <v>0</v>
      </c>
      <c r="R557" s="171"/>
      <c r="S557" s="171"/>
      <c r="T557" s="171"/>
      <c r="U557" s="333" t="s">
        <v>7271</v>
      </c>
      <c r="V557" s="168">
        <f t="shared" si="3"/>
        <v>25853.62</v>
      </c>
      <c r="W557" s="168">
        <f t="shared" si="4"/>
        <v>0</v>
      </c>
      <c r="X557" s="168">
        <f t="shared" si="5"/>
        <v>0</v>
      </c>
      <c r="Y557" s="168">
        <f t="shared" si="6"/>
        <v>0</v>
      </c>
      <c r="Z557" s="168">
        <f t="shared" si="7"/>
        <v>0</v>
      </c>
      <c r="AA557" s="168">
        <f t="shared" si="8"/>
        <v>0</v>
      </c>
      <c r="AB557" s="168">
        <f t="shared" si="9"/>
        <v>0</v>
      </c>
    </row>
    <row r="558" ht="14.25" customHeight="1">
      <c r="A558" s="157">
        <v>1485.0</v>
      </c>
      <c r="B558" s="169" t="s">
        <v>41</v>
      </c>
      <c r="C558" s="169" t="s">
        <v>7409</v>
      </c>
      <c r="D558" s="159">
        <v>43405.0</v>
      </c>
      <c r="E558" s="157" t="s">
        <v>2</v>
      </c>
      <c r="F558" s="160">
        <v>44003.25</v>
      </c>
      <c r="G558" s="160">
        <v>7040.52</v>
      </c>
      <c r="H558" s="160">
        <f t="shared" si="28"/>
        <v>51043.77</v>
      </c>
      <c r="I558" s="172"/>
      <c r="J558" s="169"/>
      <c r="K558" s="172"/>
      <c r="L558" s="172">
        <f>+'FACUS$'!$H558-'FACUS$'!$I558-'FACUS$'!$K558</f>
        <v>51043.77</v>
      </c>
      <c r="M558" s="157" t="s">
        <v>875</v>
      </c>
      <c r="N558" s="162" t="s">
        <v>554</v>
      </c>
      <c r="O558" s="332">
        <v>43476.0</v>
      </c>
      <c r="P558" s="164">
        <f t="array" ref="P558">XLOOKUP('FACUS$'!$B558,'perfil de pagos'!$A$4:$A$46,'perfil de pagos'!$C$4:$C$46+'FACUS$'!$D558)</f>
        <v>43415</v>
      </c>
      <c r="Q558" s="165">
        <f t="shared" si="2"/>
        <v>0</v>
      </c>
      <c r="R558" s="171"/>
      <c r="S558" s="171"/>
      <c r="T558" s="171"/>
      <c r="U558" s="333" t="s">
        <v>7271</v>
      </c>
      <c r="V558" s="168">
        <f t="shared" si="3"/>
        <v>51043.77</v>
      </c>
      <c r="W558" s="168">
        <f t="shared" si="4"/>
        <v>0</v>
      </c>
      <c r="X558" s="168">
        <f t="shared" si="5"/>
        <v>0</v>
      </c>
      <c r="Y558" s="168">
        <f t="shared" si="6"/>
        <v>0</v>
      </c>
      <c r="Z558" s="168">
        <f t="shared" si="7"/>
        <v>0</v>
      </c>
      <c r="AA558" s="168">
        <f t="shared" si="8"/>
        <v>0</v>
      </c>
      <c r="AB558" s="168">
        <f t="shared" si="9"/>
        <v>0</v>
      </c>
    </row>
    <row r="559" ht="14.25" customHeight="1">
      <c r="A559" s="157">
        <v>1487.0</v>
      </c>
      <c r="B559" s="169" t="s">
        <v>41</v>
      </c>
      <c r="C559" s="169" t="s">
        <v>7409</v>
      </c>
      <c r="D559" s="159">
        <v>43388.0</v>
      </c>
      <c r="E559" s="157" t="s">
        <v>2</v>
      </c>
      <c r="F559" s="160">
        <v>22287.6</v>
      </c>
      <c r="G559" s="160">
        <v>3566.02</v>
      </c>
      <c r="H559" s="160">
        <f t="shared" si="28"/>
        <v>25853.62</v>
      </c>
      <c r="I559" s="172"/>
      <c r="J559" s="169"/>
      <c r="K559" s="172"/>
      <c r="L559" s="172">
        <f>+'FACUS$'!$H559-'FACUS$'!$I559-'FACUS$'!$K559</f>
        <v>25853.62</v>
      </c>
      <c r="M559" s="157" t="s">
        <v>875</v>
      </c>
      <c r="N559" s="162" t="s">
        <v>127</v>
      </c>
      <c r="O559" s="332" t="s">
        <v>7410</v>
      </c>
      <c r="P559" s="164">
        <f t="array" ref="P559">XLOOKUP('FACUS$'!$B559,'perfil de pagos'!$A$4:$A$46,'perfil de pagos'!$C$4:$C$46+'FACUS$'!$D559)</f>
        <v>43398</v>
      </c>
      <c r="Q559" s="165" t="str">
        <f t="shared" si="2"/>
        <v>N/A</v>
      </c>
      <c r="R559" s="171"/>
      <c r="S559" s="171"/>
      <c r="T559" s="171"/>
      <c r="U559" s="333" t="s">
        <v>7271</v>
      </c>
      <c r="V559" s="168">
        <f t="shared" si="3"/>
        <v>0</v>
      </c>
      <c r="W559" s="168">
        <f t="shared" si="4"/>
        <v>0</v>
      </c>
      <c r="X559" s="168">
        <f t="shared" si="5"/>
        <v>0</v>
      </c>
      <c r="Y559" s="168">
        <f t="shared" si="6"/>
        <v>0</v>
      </c>
      <c r="Z559" s="168">
        <f t="shared" si="7"/>
        <v>0</v>
      </c>
      <c r="AA559" s="168">
        <f t="shared" si="8"/>
        <v>0</v>
      </c>
      <c r="AB559" s="168">
        <f t="shared" si="9"/>
        <v>25853.62</v>
      </c>
    </row>
    <row r="560" ht="14.25" customHeight="1">
      <c r="A560" s="157">
        <v>1492.0</v>
      </c>
      <c r="B560" s="169" t="s">
        <v>29</v>
      </c>
      <c r="C560" s="169" t="s">
        <v>724</v>
      </c>
      <c r="D560" s="159">
        <v>43405.0</v>
      </c>
      <c r="E560" s="157" t="s">
        <v>2</v>
      </c>
      <c r="F560" s="160">
        <v>30071.3</v>
      </c>
      <c r="G560" s="160">
        <v>4811.41</v>
      </c>
      <c r="H560" s="179">
        <f t="shared" si="28"/>
        <v>34882.71</v>
      </c>
      <c r="I560" s="173"/>
      <c r="J560" s="170"/>
      <c r="K560" s="173"/>
      <c r="L560" s="173">
        <f>+'FACUS$'!$H560-'FACUS$'!$I560-'FACUS$'!$K560</f>
        <v>34882.71</v>
      </c>
      <c r="M560" s="157" t="s">
        <v>825</v>
      </c>
      <c r="N560" s="162" t="s">
        <v>554</v>
      </c>
      <c r="O560" s="332">
        <v>43820.0</v>
      </c>
      <c r="P560" s="164">
        <f t="array" ref="P560">XLOOKUP('FACUS$'!$B560,'perfil de pagos'!$A$4:$A$46,'perfil de pagos'!$C$4:$C$46+'FACUS$'!$D560)</f>
        <v>43415</v>
      </c>
      <c r="Q560" s="165">
        <f t="shared" si="2"/>
        <v>0</v>
      </c>
      <c r="R560" s="171"/>
      <c r="S560" s="171"/>
      <c r="T560" s="171"/>
      <c r="U560" s="333" t="s">
        <v>7271</v>
      </c>
      <c r="V560" s="168">
        <f t="shared" si="3"/>
        <v>34882.71</v>
      </c>
      <c r="W560" s="168">
        <f t="shared" si="4"/>
        <v>0</v>
      </c>
      <c r="X560" s="168">
        <f t="shared" si="5"/>
        <v>0</v>
      </c>
      <c r="Y560" s="168">
        <f t="shared" si="6"/>
        <v>0</v>
      </c>
      <c r="Z560" s="168">
        <f t="shared" si="7"/>
        <v>0</v>
      </c>
      <c r="AA560" s="168">
        <f t="shared" si="8"/>
        <v>0</v>
      </c>
      <c r="AB560" s="168">
        <f t="shared" si="9"/>
        <v>0</v>
      </c>
    </row>
    <row r="561" ht="14.25" customHeight="1">
      <c r="A561" s="157">
        <v>1495.0</v>
      </c>
      <c r="B561" s="169" t="s">
        <v>103</v>
      </c>
      <c r="C561" s="169" t="s">
        <v>724</v>
      </c>
      <c r="D561" s="159">
        <v>43419.0</v>
      </c>
      <c r="E561" s="157" t="s">
        <v>2</v>
      </c>
      <c r="F561" s="160">
        <v>43062.9</v>
      </c>
      <c r="G561" s="160">
        <v>6890.06</v>
      </c>
      <c r="H561" s="160">
        <f t="shared" si="28"/>
        <v>49952.96</v>
      </c>
      <c r="I561" s="172"/>
      <c r="J561" s="169"/>
      <c r="K561" s="172"/>
      <c r="L561" s="172">
        <f>+'FACUS$'!$H561-'FACUS$'!$I561-'FACUS$'!$K561</f>
        <v>49952.96</v>
      </c>
      <c r="M561" s="157" t="s">
        <v>43</v>
      </c>
      <c r="N561" s="162" t="s">
        <v>554</v>
      </c>
      <c r="O561" s="332">
        <v>43448.0</v>
      </c>
      <c r="P561" s="164" t="str">
        <f t="array" ref="P561">XLOOKUP('FACUS$'!$B561,'perfil de pagos'!$A$4:$A$46,'perfil de pagos'!$C$4:$C$46+'FACUS$'!$D561)</f>
        <v>#N/A</v>
      </c>
      <c r="Q561" s="165">
        <f t="shared" si="2"/>
        <v>0</v>
      </c>
      <c r="R561" s="171"/>
      <c r="S561" s="171"/>
      <c r="T561" s="171"/>
      <c r="U561" s="333" t="s">
        <v>7271</v>
      </c>
      <c r="V561" s="168">
        <f t="shared" si="3"/>
        <v>49952.96</v>
      </c>
      <c r="W561" s="168">
        <f t="shared" si="4"/>
        <v>0</v>
      </c>
      <c r="X561" s="168">
        <f t="shared" si="5"/>
        <v>0</v>
      </c>
      <c r="Y561" s="168">
        <f t="shared" si="6"/>
        <v>0</v>
      </c>
      <c r="Z561" s="168">
        <f t="shared" si="7"/>
        <v>0</v>
      </c>
      <c r="AA561" s="168">
        <f t="shared" si="8"/>
        <v>0</v>
      </c>
      <c r="AB561" s="168">
        <f t="shared" si="9"/>
        <v>0</v>
      </c>
    </row>
    <row r="562" ht="14.25" customHeight="1">
      <c r="A562" s="157">
        <v>1497.0</v>
      </c>
      <c r="B562" s="169" t="s">
        <v>29</v>
      </c>
      <c r="C562" s="169" t="s">
        <v>724</v>
      </c>
      <c r="D562" s="159">
        <v>43419.0</v>
      </c>
      <c r="E562" s="157" t="s">
        <v>2</v>
      </c>
      <c r="F562" s="160">
        <v>49504.7</v>
      </c>
      <c r="G562" s="160">
        <v>7920.75</v>
      </c>
      <c r="H562" s="160">
        <f t="shared" si="28"/>
        <v>57425.45</v>
      </c>
      <c r="I562" s="172"/>
      <c r="J562" s="169"/>
      <c r="K562" s="172"/>
      <c r="L562" s="172">
        <f>+'FACUS$'!$H562-'FACUS$'!$I562-'FACUS$'!$K562</f>
        <v>57425.45</v>
      </c>
      <c r="M562" s="157" t="s">
        <v>825</v>
      </c>
      <c r="N562" s="162" t="s">
        <v>554</v>
      </c>
      <c r="O562" s="332">
        <v>43820.0</v>
      </c>
      <c r="P562" s="164">
        <f t="array" ref="P562">XLOOKUP('FACUS$'!$B562,'perfil de pagos'!$A$4:$A$46,'perfil de pagos'!$C$4:$C$46+'FACUS$'!$D562)</f>
        <v>43429</v>
      </c>
      <c r="Q562" s="165">
        <f t="shared" si="2"/>
        <v>0</v>
      </c>
      <c r="R562" s="171"/>
      <c r="S562" s="171"/>
      <c r="T562" s="171"/>
      <c r="U562" s="333" t="s">
        <v>7271</v>
      </c>
      <c r="V562" s="168">
        <f t="shared" si="3"/>
        <v>57425.45</v>
      </c>
      <c r="W562" s="168">
        <f t="shared" si="4"/>
        <v>0</v>
      </c>
      <c r="X562" s="168">
        <f t="shared" si="5"/>
        <v>0</v>
      </c>
      <c r="Y562" s="168">
        <f t="shared" si="6"/>
        <v>0</v>
      </c>
      <c r="Z562" s="168">
        <f t="shared" si="7"/>
        <v>0</v>
      </c>
      <c r="AA562" s="168">
        <f t="shared" si="8"/>
        <v>0</v>
      </c>
      <c r="AB562" s="168">
        <f t="shared" si="9"/>
        <v>0</v>
      </c>
    </row>
    <row r="563" ht="14.25" customHeight="1">
      <c r="A563" s="157">
        <v>1499.0</v>
      </c>
      <c r="B563" s="169" t="s">
        <v>82</v>
      </c>
      <c r="C563" s="169" t="s">
        <v>7411</v>
      </c>
      <c r="D563" s="159">
        <v>43440.0</v>
      </c>
      <c r="E563" s="157" t="s">
        <v>2</v>
      </c>
      <c r="F563" s="160">
        <v>6500.0</v>
      </c>
      <c r="G563" s="160">
        <v>1040.0</v>
      </c>
      <c r="H563" s="160">
        <f t="shared" si="28"/>
        <v>7540</v>
      </c>
      <c r="I563" s="172"/>
      <c r="J563" s="169"/>
      <c r="K563" s="172"/>
      <c r="L563" s="172">
        <f>+'FACUS$'!$H563-'FACUS$'!$I563-'FACUS$'!$K563</f>
        <v>7540</v>
      </c>
      <c r="M563" s="157" t="s">
        <v>96</v>
      </c>
      <c r="N563" s="162" t="s">
        <v>554</v>
      </c>
      <c r="O563" s="332">
        <v>43452.0</v>
      </c>
      <c r="P563" s="164" t="str">
        <f t="array" ref="P563">XLOOKUP('FACUS$'!$B563,'perfil de pagos'!$A$4:$A$46,'perfil de pagos'!$C$4:$C$46+'FACUS$'!$D563)</f>
        <v>#N/A</v>
      </c>
      <c r="Q563" s="165">
        <f t="shared" si="2"/>
        <v>0</v>
      </c>
      <c r="R563" s="171"/>
      <c r="S563" s="171"/>
      <c r="T563" s="171"/>
      <c r="U563" s="333" t="s">
        <v>7271</v>
      </c>
      <c r="V563" s="168">
        <f t="shared" si="3"/>
        <v>7540</v>
      </c>
      <c r="W563" s="168">
        <f t="shared" si="4"/>
        <v>0</v>
      </c>
      <c r="X563" s="168">
        <f t="shared" si="5"/>
        <v>0</v>
      </c>
      <c r="Y563" s="168">
        <f t="shared" si="6"/>
        <v>0</v>
      </c>
      <c r="Z563" s="168">
        <f t="shared" si="7"/>
        <v>0</v>
      </c>
      <c r="AA563" s="168">
        <f t="shared" si="8"/>
        <v>0</v>
      </c>
      <c r="AB563" s="168">
        <f t="shared" si="9"/>
        <v>0</v>
      </c>
    </row>
    <row r="564" ht="14.25" customHeight="1">
      <c r="A564" s="157">
        <v>1500.0</v>
      </c>
      <c r="B564" s="169" t="s">
        <v>82</v>
      </c>
      <c r="C564" s="169" t="s">
        <v>7412</v>
      </c>
      <c r="D564" s="159">
        <v>43440.0</v>
      </c>
      <c r="E564" s="157" t="s">
        <v>2</v>
      </c>
      <c r="F564" s="160">
        <v>2500.0</v>
      </c>
      <c r="G564" s="160">
        <v>400.0</v>
      </c>
      <c r="H564" s="160">
        <f t="shared" si="28"/>
        <v>2900</v>
      </c>
      <c r="I564" s="172"/>
      <c r="J564" s="169"/>
      <c r="K564" s="172"/>
      <c r="L564" s="172">
        <f>+'FACUS$'!$H564-'FACUS$'!$I564-'FACUS$'!$K564</f>
        <v>2900</v>
      </c>
      <c r="M564" s="157" t="s">
        <v>96</v>
      </c>
      <c r="N564" s="162" t="s">
        <v>554</v>
      </c>
      <c r="O564" s="332">
        <v>43452.0</v>
      </c>
      <c r="P564" s="164" t="str">
        <f t="array" ref="P564">XLOOKUP('FACUS$'!$B564,'perfil de pagos'!$A$4:$A$46,'perfil de pagos'!$C$4:$C$46+'FACUS$'!$D564)</f>
        <v>#N/A</v>
      </c>
      <c r="Q564" s="165">
        <f t="shared" si="2"/>
        <v>0</v>
      </c>
      <c r="R564" s="171"/>
      <c r="S564" s="171"/>
      <c r="T564" s="171"/>
      <c r="U564" s="333" t="s">
        <v>7271</v>
      </c>
      <c r="V564" s="168">
        <f t="shared" si="3"/>
        <v>2900</v>
      </c>
      <c r="W564" s="168">
        <f t="shared" si="4"/>
        <v>0</v>
      </c>
      <c r="X564" s="168">
        <f t="shared" si="5"/>
        <v>0</v>
      </c>
      <c r="Y564" s="168">
        <f t="shared" si="6"/>
        <v>0</v>
      </c>
      <c r="Z564" s="168">
        <f t="shared" si="7"/>
        <v>0</v>
      </c>
      <c r="AA564" s="168">
        <f t="shared" si="8"/>
        <v>0</v>
      </c>
      <c r="AB564" s="168">
        <f t="shared" si="9"/>
        <v>0</v>
      </c>
    </row>
    <row r="565" ht="14.25" customHeight="1">
      <c r="A565" s="157">
        <v>1501.0</v>
      </c>
      <c r="B565" s="169" t="s">
        <v>82</v>
      </c>
      <c r="C565" s="169" t="s">
        <v>7413</v>
      </c>
      <c r="D565" s="159">
        <v>43440.0</v>
      </c>
      <c r="E565" s="157" t="s">
        <v>2</v>
      </c>
      <c r="F565" s="160">
        <v>15000.0</v>
      </c>
      <c r="G565" s="160">
        <v>2400.0</v>
      </c>
      <c r="H565" s="160">
        <f t="shared" si="28"/>
        <v>17400</v>
      </c>
      <c r="I565" s="172"/>
      <c r="J565" s="169"/>
      <c r="K565" s="172"/>
      <c r="L565" s="172">
        <f>+'FACUS$'!$H565-'FACUS$'!$I565-'FACUS$'!$K565</f>
        <v>17400</v>
      </c>
      <c r="M565" s="157" t="s">
        <v>96</v>
      </c>
      <c r="N565" s="162" t="s">
        <v>554</v>
      </c>
      <c r="O565" s="332">
        <v>43452.0</v>
      </c>
      <c r="P565" s="164" t="str">
        <f t="array" ref="P565">XLOOKUP('FACUS$'!$B565,'perfil de pagos'!$A$4:$A$46,'perfil de pagos'!$C$4:$C$46+'FACUS$'!$D565)</f>
        <v>#N/A</v>
      </c>
      <c r="Q565" s="165">
        <f t="shared" si="2"/>
        <v>0</v>
      </c>
      <c r="R565" s="171"/>
      <c r="S565" s="171"/>
      <c r="T565" s="171"/>
      <c r="U565" s="333" t="s">
        <v>7271</v>
      </c>
      <c r="V565" s="168">
        <f t="shared" si="3"/>
        <v>17400</v>
      </c>
      <c r="W565" s="168">
        <f t="shared" si="4"/>
        <v>0</v>
      </c>
      <c r="X565" s="168">
        <f t="shared" si="5"/>
        <v>0</v>
      </c>
      <c r="Y565" s="168">
        <f t="shared" si="6"/>
        <v>0</v>
      </c>
      <c r="Z565" s="168">
        <f t="shared" si="7"/>
        <v>0</v>
      </c>
      <c r="AA565" s="168">
        <f t="shared" si="8"/>
        <v>0</v>
      </c>
      <c r="AB565" s="168">
        <f t="shared" si="9"/>
        <v>0</v>
      </c>
    </row>
    <row r="566" ht="14.25" customHeight="1">
      <c r="A566" s="157">
        <v>1503.0</v>
      </c>
      <c r="B566" s="169" t="s">
        <v>24</v>
      </c>
      <c r="C566" s="169" t="s">
        <v>724</v>
      </c>
      <c r="D566" s="159">
        <v>43419.0</v>
      </c>
      <c r="E566" s="157" t="s">
        <v>2</v>
      </c>
      <c r="F566" s="160">
        <v>2616.6</v>
      </c>
      <c r="G566" s="160">
        <v>418.66</v>
      </c>
      <c r="H566" s="160">
        <f t="shared" si="28"/>
        <v>3035.26</v>
      </c>
      <c r="I566" s="172"/>
      <c r="J566" s="169"/>
      <c r="K566" s="172"/>
      <c r="L566" s="172">
        <f>+'FACUS$'!$H566-'FACUS$'!$I566-'FACUS$'!$K566</f>
        <v>3035.26</v>
      </c>
      <c r="M566" s="157" t="s">
        <v>7414</v>
      </c>
      <c r="N566" s="162" t="s">
        <v>554</v>
      </c>
      <c r="O566" s="332">
        <v>43454.0</v>
      </c>
      <c r="P566" s="164">
        <f t="array" ref="P566">XLOOKUP('FACUS$'!$B566,'perfil de pagos'!$A$4:$A$46,'perfil de pagos'!$C$4:$C$46+'FACUS$'!$D566)</f>
        <v>43429</v>
      </c>
      <c r="Q566" s="165">
        <f t="shared" si="2"/>
        <v>0</v>
      </c>
      <c r="R566" s="171"/>
      <c r="S566" s="171"/>
      <c r="T566" s="171"/>
      <c r="U566" s="333" t="s">
        <v>7271</v>
      </c>
      <c r="V566" s="168">
        <f t="shared" si="3"/>
        <v>3035.26</v>
      </c>
      <c r="W566" s="168">
        <f t="shared" si="4"/>
        <v>0</v>
      </c>
      <c r="X566" s="168">
        <f t="shared" si="5"/>
        <v>0</v>
      </c>
      <c r="Y566" s="168">
        <f t="shared" si="6"/>
        <v>0</v>
      </c>
      <c r="Z566" s="168">
        <f t="shared" si="7"/>
        <v>0</v>
      </c>
      <c r="AA566" s="168">
        <f t="shared" si="8"/>
        <v>0</v>
      </c>
      <c r="AB566" s="168">
        <f t="shared" si="9"/>
        <v>0</v>
      </c>
    </row>
    <row r="567" ht="14.25" customHeight="1">
      <c r="A567" s="157">
        <v>1505.0</v>
      </c>
      <c r="B567" s="169" t="s">
        <v>37</v>
      </c>
      <c r="C567" s="169" t="s">
        <v>724</v>
      </c>
      <c r="D567" s="159">
        <v>43419.0</v>
      </c>
      <c r="E567" s="157" t="s">
        <v>2</v>
      </c>
      <c r="F567" s="160">
        <v>53776.91</v>
      </c>
      <c r="G567" s="160">
        <v>8604.31</v>
      </c>
      <c r="H567" s="160">
        <f t="shared" si="28"/>
        <v>62381.22</v>
      </c>
      <c r="I567" s="172"/>
      <c r="J567" s="169"/>
      <c r="K567" s="172"/>
      <c r="L567" s="172">
        <f>+'FACUS$'!$H567-'FACUS$'!$I567-'FACUS$'!$K567</f>
        <v>62381.22</v>
      </c>
      <c r="M567" s="157" t="s">
        <v>718</v>
      </c>
      <c r="N567" s="162" t="s">
        <v>554</v>
      </c>
      <c r="O567" s="332">
        <v>43451.0</v>
      </c>
      <c r="P567" s="164">
        <f t="array" ref="P567">XLOOKUP('FACUS$'!$B567,'perfil de pagos'!$A$4:$A$46,'perfil de pagos'!$C$4:$C$46+'FACUS$'!$D567)</f>
        <v>43429</v>
      </c>
      <c r="Q567" s="165">
        <f t="shared" si="2"/>
        <v>0</v>
      </c>
      <c r="R567" s="171"/>
      <c r="S567" s="171"/>
      <c r="T567" s="171"/>
      <c r="U567" s="333" t="s">
        <v>7271</v>
      </c>
      <c r="V567" s="168">
        <f t="shared" si="3"/>
        <v>62381.22</v>
      </c>
      <c r="W567" s="168">
        <f t="shared" si="4"/>
        <v>0</v>
      </c>
      <c r="X567" s="168">
        <f t="shared" si="5"/>
        <v>0</v>
      </c>
      <c r="Y567" s="168">
        <f t="shared" si="6"/>
        <v>0</v>
      </c>
      <c r="Z567" s="168">
        <f t="shared" si="7"/>
        <v>0</v>
      </c>
      <c r="AA567" s="168">
        <f t="shared" si="8"/>
        <v>0</v>
      </c>
      <c r="AB567" s="168">
        <f t="shared" si="9"/>
        <v>0</v>
      </c>
    </row>
    <row r="568" ht="14.25" customHeight="1">
      <c r="A568" s="157">
        <v>1507.0</v>
      </c>
      <c r="B568" s="169" t="s">
        <v>18</v>
      </c>
      <c r="C568" s="169" t="s">
        <v>724</v>
      </c>
      <c r="D568" s="159">
        <v>43419.0</v>
      </c>
      <c r="E568" s="157" t="s">
        <v>2</v>
      </c>
      <c r="F568" s="160">
        <v>12516.48</v>
      </c>
      <c r="G568" s="160">
        <v>2002.64</v>
      </c>
      <c r="H568" s="160">
        <f t="shared" si="28"/>
        <v>14519.12</v>
      </c>
      <c r="I568" s="172"/>
      <c r="J568" s="169"/>
      <c r="K568" s="172"/>
      <c r="L568" s="172">
        <f>+'FACUS$'!$H568-'FACUS$'!$I568-'FACUS$'!$K568</f>
        <v>14519.12</v>
      </c>
      <c r="M568" s="157" t="s">
        <v>586</v>
      </c>
      <c r="N568" s="162" t="s">
        <v>554</v>
      </c>
      <c r="O568" s="332">
        <v>43515.0</v>
      </c>
      <c r="P568" s="164">
        <f t="array" ref="P568">XLOOKUP('FACUS$'!$B568,'perfil de pagos'!$A$4:$A$46,'perfil de pagos'!$C$4:$C$46+'FACUS$'!$D568)</f>
        <v>43429</v>
      </c>
      <c r="Q568" s="165">
        <f t="shared" si="2"/>
        <v>0</v>
      </c>
      <c r="R568" s="171"/>
      <c r="S568" s="171"/>
      <c r="T568" s="171"/>
      <c r="U568" s="333" t="s">
        <v>7271</v>
      </c>
      <c r="V568" s="168">
        <f t="shared" si="3"/>
        <v>14519.12</v>
      </c>
      <c r="W568" s="168">
        <f t="shared" si="4"/>
        <v>0</v>
      </c>
      <c r="X568" s="168">
        <f t="shared" si="5"/>
        <v>0</v>
      </c>
      <c r="Y568" s="168">
        <f t="shared" si="6"/>
        <v>0</v>
      </c>
      <c r="Z568" s="168">
        <f t="shared" si="7"/>
        <v>0</v>
      </c>
      <c r="AA568" s="168">
        <f t="shared" si="8"/>
        <v>0</v>
      </c>
      <c r="AB568" s="168">
        <f t="shared" si="9"/>
        <v>0</v>
      </c>
    </row>
    <row r="569" ht="14.25" customHeight="1">
      <c r="A569" s="157">
        <v>1509.0</v>
      </c>
      <c r="B569" s="169" t="s">
        <v>20</v>
      </c>
      <c r="C569" s="169" t="s">
        <v>724</v>
      </c>
      <c r="D569" s="159">
        <v>43419.0</v>
      </c>
      <c r="E569" s="157" t="s">
        <v>2</v>
      </c>
      <c r="F569" s="160">
        <v>6175.56</v>
      </c>
      <c r="G569" s="160">
        <v>988.09</v>
      </c>
      <c r="H569" s="160">
        <f t="shared" si="28"/>
        <v>7163.65</v>
      </c>
      <c r="I569" s="172"/>
      <c r="J569" s="169"/>
      <c r="K569" s="172"/>
      <c r="L569" s="172">
        <f>+'FACUS$'!$H569-'FACUS$'!$I569-'FACUS$'!$K569</f>
        <v>7163.65</v>
      </c>
      <c r="M569" s="157" t="s">
        <v>732</v>
      </c>
      <c r="N569" s="162" t="s">
        <v>554</v>
      </c>
      <c r="O569" s="332">
        <v>43515.0</v>
      </c>
      <c r="P569" s="164">
        <f t="array" ref="P569">XLOOKUP('FACUS$'!$B569,'perfil de pagos'!$A$4:$A$46,'perfil de pagos'!$C$4:$C$46+'FACUS$'!$D569)</f>
        <v>43429</v>
      </c>
      <c r="Q569" s="165">
        <f t="shared" si="2"/>
        <v>0</v>
      </c>
      <c r="R569" s="171"/>
      <c r="S569" s="171"/>
      <c r="T569" s="171"/>
      <c r="U569" s="333" t="s">
        <v>7271</v>
      </c>
      <c r="V569" s="168">
        <f t="shared" si="3"/>
        <v>7163.65</v>
      </c>
      <c r="W569" s="168">
        <f t="shared" si="4"/>
        <v>0</v>
      </c>
      <c r="X569" s="168">
        <f t="shared" si="5"/>
        <v>0</v>
      </c>
      <c r="Y569" s="168">
        <f t="shared" si="6"/>
        <v>0</v>
      </c>
      <c r="Z569" s="168">
        <f t="shared" si="7"/>
        <v>0</v>
      </c>
      <c r="AA569" s="168">
        <f t="shared" si="8"/>
        <v>0</v>
      </c>
      <c r="AB569" s="168">
        <f t="shared" si="9"/>
        <v>0</v>
      </c>
    </row>
    <row r="570" ht="14.25" customHeight="1">
      <c r="A570" s="157">
        <v>1511.0</v>
      </c>
      <c r="B570" s="169" t="s">
        <v>29</v>
      </c>
      <c r="C570" s="169" t="s">
        <v>724</v>
      </c>
      <c r="D570" s="159">
        <v>43447.0</v>
      </c>
      <c r="E570" s="157" t="s">
        <v>2</v>
      </c>
      <c r="F570" s="160">
        <v>36755.15</v>
      </c>
      <c r="G570" s="160">
        <v>5880.82</v>
      </c>
      <c r="H570" s="179">
        <f t="shared" si="28"/>
        <v>42635.97</v>
      </c>
      <c r="I570" s="173"/>
      <c r="J570" s="170"/>
      <c r="K570" s="173"/>
      <c r="L570" s="173">
        <f>+'FACUS$'!$H570-'FACUS$'!$I570-'FACUS$'!$K570</f>
        <v>42635.97</v>
      </c>
      <c r="M570" s="157" t="s">
        <v>825</v>
      </c>
      <c r="N570" s="162" t="s">
        <v>127</v>
      </c>
      <c r="O570" s="332"/>
      <c r="P570" s="164">
        <f t="array" ref="P570">XLOOKUP('FACUS$'!$B570,'perfil de pagos'!$A$4:$A$46,'perfil de pagos'!$C$4:$C$46+'FACUS$'!$D570)</f>
        <v>43457</v>
      </c>
      <c r="Q570" s="165" t="str">
        <f t="shared" si="2"/>
        <v>N/A</v>
      </c>
      <c r="R570" s="171"/>
      <c r="S570" s="171"/>
      <c r="T570" s="171"/>
      <c r="U570" s="333" t="s">
        <v>7271</v>
      </c>
      <c r="V570" s="168">
        <f t="shared" si="3"/>
        <v>0</v>
      </c>
      <c r="W570" s="168">
        <f t="shared" si="4"/>
        <v>0</v>
      </c>
      <c r="X570" s="168">
        <f t="shared" si="5"/>
        <v>0</v>
      </c>
      <c r="Y570" s="168">
        <f t="shared" si="6"/>
        <v>0</v>
      </c>
      <c r="Z570" s="168">
        <f t="shared" si="7"/>
        <v>0</v>
      </c>
      <c r="AA570" s="168">
        <f t="shared" si="8"/>
        <v>0</v>
      </c>
      <c r="AB570" s="168">
        <f t="shared" si="9"/>
        <v>42635.97</v>
      </c>
    </row>
    <row r="571" ht="14.25" customHeight="1">
      <c r="A571" s="157">
        <v>1513.0</v>
      </c>
      <c r="B571" s="169" t="s">
        <v>41</v>
      </c>
      <c r="C571" s="169" t="s">
        <v>7409</v>
      </c>
      <c r="D571" s="159">
        <v>43419.0</v>
      </c>
      <c r="E571" s="157" t="s">
        <v>2</v>
      </c>
      <c r="F571" s="160">
        <v>53535.75</v>
      </c>
      <c r="G571" s="160">
        <v>8565.72</v>
      </c>
      <c r="H571" s="160">
        <f t="shared" si="28"/>
        <v>62101.47</v>
      </c>
      <c r="I571" s="172"/>
      <c r="J571" s="169"/>
      <c r="K571" s="172"/>
      <c r="L571" s="172">
        <f>+'FACUS$'!$H571-'FACUS$'!$I571-'FACUS$'!$K571</f>
        <v>62101.47</v>
      </c>
      <c r="M571" s="157" t="s">
        <v>875</v>
      </c>
      <c r="N571" s="162" t="s">
        <v>554</v>
      </c>
      <c r="O571" s="332">
        <v>43481.0</v>
      </c>
      <c r="P571" s="164">
        <f t="array" ref="P571">XLOOKUP('FACUS$'!$B571,'perfil de pagos'!$A$4:$A$46,'perfil de pagos'!$C$4:$C$46+'FACUS$'!$D571)</f>
        <v>43429</v>
      </c>
      <c r="Q571" s="165">
        <f t="shared" si="2"/>
        <v>0</v>
      </c>
      <c r="R571" s="171"/>
      <c r="S571" s="171"/>
      <c r="T571" s="171"/>
      <c r="U571" s="333" t="s">
        <v>7271</v>
      </c>
      <c r="V571" s="168">
        <f t="shared" si="3"/>
        <v>62101.47</v>
      </c>
      <c r="W571" s="168">
        <f t="shared" si="4"/>
        <v>0</v>
      </c>
      <c r="X571" s="168">
        <f t="shared" si="5"/>
        <v>0</v>
      </c>
      <c r="Y571" s="168">
        <f t="shared" si="6"/>
        <v>0</v>
      </c>
      <c r="Z571" s="168">
        <f t="shared" si="7"/>
        <v>0</v>
      </c>
      <c r="AA571" s="168">
        <f t="shared" si="8"/>
        <v>0</v>
      </c>
      <c r="AB571" s="168">
        <f t="shared" si="9"/>
        <v>0</v>
      </c>
    </row>
    <row r="572" ht="14.25" customHeight="1">
      <c r="A572" s="157">
        <v>1515.0</v>
      </c>
      <c r="B572" s="169" t="s">
        <v>33</v>
      </c>
      <c r="C572" s="169" t="s">
        <v>7409</v>
      </c>
      <c r="D572" s="159">
        <v>43419.0</v>
      </c>
      <c r="E572" s="157" t="s">
        <v>2</v>
      </c>
      <c r="F572" s="160">
        <v>35176.4</v>
      </c>
      <c r="G572" s="160">
        <v>5628.22</v>
      </c>
      <c r="H572" s="160">
        <f t="shared" si="28"/>
        <v>40804.62</v>
      </c>
      <c r="I572" s="172"/>
      <c r="J572" s="169"/>
      <c r="K572" s="172"/>
      <c r="L572" s="172">
        <f>+'FACUS$'!$H572-'FACUS$'!$I572-'FACUS$'!$K572</f>
        <v>40804.62</v>
      </c>
      <c r="M572" s="157" t="s">
        <v>958</v>
      </c>
      <c r="N572" s="162" t="s">
        <v>554</v>
      </c>
      <c r="O572" s="332">
        <v>43823.0</v>
      </c>
      <c r="P572" s="164">
        <f t="array" ref="P572">XLOOKUP('FACUS$'!$B572,'perfil de pagos'!$A$4:$A$46,'perfil de pagos'!$C$4:$C$46+'FACUS$'!$D572)</f>
        <v>43429</v>
      </c>
      <c r="Q572" s="165">
        <f t="shared" si="2"/>
        <v>0</v>
      </c>
      <c r="R572" s="171"/>
      <c r="S572" s="171"/>
      <c r="T572" s="171"/>
      <c r="U572" s="333" t="s">
        <v>7271</v>
      </c>
      <c r="V572" s="168">
        <f t="shared" si="3"/>
        <v>40804.62</v>
      </c>
      <c r="W572" s="168">
        <f t="shared" si="4"/>
        <v>0</v>
      </c>
      <c r="X572" s="168">
        <f t="shared" si="5"/>
        <v>0</v>
      </c>
      <c r="Y572" s="168">
        <f t="shared" si="6"/>
        <v>0</v>
      </c>
      <c r="Z572" s="168">
        <f t="shared" si="7"/>
        <v>0</v>
      </c>
      <c r="AA572" s="168">
        <f t="shared" si="8"/>
        <v>0</v>
      </c>
      <c r="AB572" s="168">
        <f t="shared" si="9"/>
        <v>0</v>
      </c>
    </row>
    <row r="573" ht="14.25" customHeight="1">
      <c r="A573" s="157">
        <v>1517.0</v>
      </c>
      <c r="B573" s="169" t="s">
        <v>30</v>
      </c>
      <c r="C573" s="169" t="s">
        <v>7409</v>
      </c>
      <c r="D573" s="159">
        <v>43405.0</v>
      </c>
      <c r="E573" s="157" t="s">
        <v>2</v>
      </c>
      <c r="F573" s="160">
        <v>1807.3</v>
      </c>
      <c r="G573" s="160">
        <v>289.17</v>
      </c>
      <c r="H573" s="160">
        <f t="shared" si="28"/>
        <v>2096.47</v>
      </c>
      <c r="I573" s="172"/>
      <c r="J573" s="169"/>
      <c r="K573" s="172"/>
      <c r="L573" s="172">
        <f>+'FACUS$'!$H573-'FACUS$'!$I573-'FACUS$'!$K573</f>
        <v>2096.47</v>
      </c>
      <c r="M573" s="157" t="s">
        <v>7415</v>
      </c>
      <c r="N573" s="162" t="s">
        <v>554</v>
      </c>
      <c r="O573" s="332">
        <v>43455.0</v>
      </c>
      <c r="P573" s="164">
        <f t="array" ref="P573">XLOOKUP('FACUS$'!$B573,'perfil de pagos'!$A$4:$A$46,'perfil de pagos'!$C$4:$C$46+'FACUS$'!$D573)</f>
        <v>43415</v>
      </c>
      <c r="Q573" s="165">
        <f t="shared" si="2"/>
        <v>0</v>
      </c>
      <c r="R573" s="171"/>
      <c r="S573" s="171"/>
      <c r="T573" s="171"/>
      <c r="U573" s="333" t="s">
        <v>7271</v>
      </c>
      <c r="V573" s="168">
        <f t="shared" si="3"/>
        <v>2096.47</v>
      </c>
      <c r="W573" s="168">
        <f t="shared" si="4"/>
        <v>0</v>
      </c>
      <c r="X573" s="168">
        <f t="shared" si="5"/>
        <v>0</v>
      </c>
      <c r="Y573" s="168">
        <f t="shared" si="6"/>
        <v>0</v>
      </c>
      <c r="Z573" s="168">
        <f t="shared" si="7"/>
        <v>0</v>
      </c>
      <c r="AA573" s="168">
        <f t="shared" si="8"/>
        <v>0</v>
      </c>
      <c r="AB573" s="168">
        <f t="shared" si="9"/>
        <v>0</v>
      </c>
    </row>
    <row r="574" ht="14.25" customHeight="1">
      <c r="A574" s="157">
        <v>1523.0</v>
      </c>
      <c r="B574" s="169" t="s">
        <v>103</v>
      </c>
      <c r="C574" s="169" t="s">
        <v>724</v>
      </c>
      <c r="D574" s="159">
        <v>43354.0</v>
      </c>
      <c r="E574" s="157" t="s">
        <v>2</v>
      </c>
      <c r="F574" s="160">
        <v>51367.38</v>
      </c>
      <c r="G574" s="160">
        <v>8218.78</v>
      </c>
      <c r="H574" s="160">
        <f t="shared" si="28"/>
        <v>59586.16</v>
      </c>
      <c r="I574" s="172"/>
      <c r="J574" s="169"/>
      <c r="K574" s="172"/>
      <c r="L574" s="172">
        <f>+'FACUS$'!$H574-'FACUS$'!$I574-'FACUS$'!$K574</f>
        <v>59586.16</v>
      </c>
      <c r="M574" s="157" t="s">
        <v>103</v>
      </c>
      <c r="N574" s="162" t="s">
        <v>127</v>
      </c>
      <c r="O574" s="335" t="s">
        <v>876</v>
      </c>
      <c r="P574" s="164" t="str">
        <f t="array" ref="P574">XLOOKUP('FACUS$'!$B574,'perfil de pagos'!$A$4:$A$46,'perfil de pagos'!$C$4:$C$46+'FACUS$'!$D574)</f>
        <v>#N/A</v>
      </c>
      <c r="Q574" s="165" t="str">
        <f t="shared" si="2"/>
        <v>N/A</v>
      </c>
      <c r="R574" s="171"/>
      <c r="S574" s="171"/>
      <c r="T574" s="171"/>
      <c r="U574" s="333" t="s">
        <v>7271</v>
      </c>
      <c r="V574" s="168">
        <f t="shared" si="3"/>
        <v>0</v>
      </c>
      <c r="W574" s="168">
        <f t="shared" si="4"/>
        <v>0</v>
      </c>
      <c r="X574" s="168">
        <f t="shared" si="5"/>
        <v>0</v>
      </c>
      <c r="Y574" s="168">
        <f t="shared" si="6"/>
        <v>0</v>
      </c>
      <c r="Z574" s="168">
        <f t="shared" si="7"/>
        <v>0</v>
      </c>
      <c r="AA574" s="168">
        <f t="shared" si="8"/>
        <v>0</v>
      </c>
      <c r="AB574" s="168">
        <f t="shared" si="9"/>
        <v>59586.16</v>
      </c>
    </row>
    <row r="575" ht="14.25" customHeight="1">
      <c r="A575" s="157">
        <v>1525.0</v>
      </c>
      <c r="B575" s="169" t="s">
        <v>24</v>
      </c>
      <c r="C575" s="169" t="s">
        <v>724</v>
      </c>
      <c r="D575" s="159">
        <v>43435.0</v>
      </c>
      <c r="E575" s="157" t="s">
        <v>2</v>
      </c>
      <c r="F575" s="160">
        <v>6378.0</v>
      </c>
      <c r="G575" s="160">
        <v>1020.48</v>
      </c>
      <c r="H575" s="160">
        <f t="shared" si="28"/>
        <v>7398.48</v>
      </c>
      <c r="I575" s="172"/>
      <c r="J575" s="169"/>
      <c r="K575" s="172"/>
      <c r="L575" s="172">
        <f>+'FACUS$'!$H575-'FACUS$'!$I575-'FACUS$'!$K575</f>
        <v>7398.48</v>
      </c>
      <c r="M575" s="157" t="s">
        <v>91</v>
      </c>
      <c r="N575" s="162" t="s">
        <v>554</v>
      </c>
      <c r="O575" s="332">
        <v>43503.0</v>
      </c>
      <c r="P575" s="164">
        <f t="array" ref="P575">XLOOKUP('FACUS$'!$B575,'perfil de pagos'!$A$4:$A$46,'perfil de pagos'!$C$4:$C$46+'FACUS$'!$D575)</f>
        <v>43445</v>
      </c>
      <c r="Q575" s="165">
        <f t="shared" si="2"/>
        <v>0</v>
      </c>
      <c r="R575" s="171"/>
      <c r="S575" s="171"/>
      <c r="T575" s="171"/>
      <c r="U575" s="333" t="s">
        <v>7271</v>
      </c>
      <c r="V575" s="168">
        <f t="shared" si="3"/>
        <v>7398.48</v>
      </c>
      <c r="W575" s="168">
        <f t="shared" si="4"/>
        <v>0</v>
      </c>
      <c r="X575" s="168">
        <f t="shared" si="5"/>
        <v>0</v>
      </c>
      <c r="Y575" s="168">
        <f t="shared" si="6"/>
        <v>0</v>
      </c>
      <c r="Z575" s="168">
        <f t="shared" si="7"/>
        <v>0</v>
      </c>
      <c r="AA575" s="168">
        <f t="shared" si="8"/>
        <v>0</v>
      </c>
      <c r="AB575" s="168">
        <f t="shared" si="9"/>
        <v>0</v>
      </c>
    </row>
    <row r="576" ht="14.25" customHeight="1">
      <c r="A576" s="157">
        <v>1527.0</v>
      </c>
      <c r="B576" s="169" t="s">
        <v>29</v>
      </c>
      <c r="C576" s="169" t="s">
        <v>724</v>
      </c>
      <c r="D576" s="159">
        <v>43435.0</v>
      </c>
      <c r="E576" s="157" t="s">
        <v>2</v>
      </c>
      <c r="F576" s="160">
        <v>42049.9</v>
      </c>
      <c r="G576" s="160">
        <v>6727.5</v>
      </c>
      <c r="H576" s="160">
        <f t="shared" si="28"/>
        <v>48777.4</v>
      </c>
      <c r="I576" s="172"/>
      <c r="J576" s="169"/>
      <c r="K576" s="172"/>
      <c r="L576" s="172">
        <f>+'FACUS$'!$H576-'FACUS$'!$I576-'FACUS$'!$K576</f>
        <v>48777.4</v>
      </c>
      <c r="M576" s="157" t="s">
        <v>825</v>
      </c>
      <c r="N576" s="162" t="s">
        <v>554</v>
      </c>
      <c r="O576" s="332">
        <v>43479.0</v>
      </c>
      <c r="P576" s="164">
        <f t="array" ref="P576">XLOOKUP('FACUS$'!$B576,'perfil de pagos'!$A$4:$A$46,'perfil de pagos'!$C$4:$C$46+'FACUS$'!$D576)</f>
        <v>43445</v>
      </c>
      <c r="Q576" s="165">
        <f t="shared" si="2"/>
        <v>0</v>
      </c>
      <c r="R576" s="171"/>
      <c r="S576" s="171"/>
      <c r="T576" s="171"/>
      <c r="U576" s="333" t="s">
        <v>7271</v>
      </c>
      <c r="V576" s="168">
        <f t="shared" si="3"/>
        <v>48777.4</v>
      </c>
      <c r="W576" s="168">
        <f t="shared" si="4"/>
        <v>0</v>
      </c>
      <c r="X576" s="168">
        <f t="shared" si="5"/>
        <v>0</v>
      </c>
      <c r="Y576" s="168">
        <f t="shared" si="6"/>
        <v>0</v>
      </c>
      <c r="Z576" s="168">
        <f t="shared" si="7"/>
        <v>0</v>
      </c>
      <c r="AA576" s="168">
        <f t="shared" si="8"/>
        <v>0</v>
      </c>
      <c r="AB576" s="168">
        <f t="shared" si="9"/>
        <v>0</v>
      </c>
    </row>
    <row r="577" ht="14.25" customHeight="1">
      <c r="A577" s="157">
        <v>1529.0</v>
      </c>
      <c r="B577" s="169" t="s">
        <v>33</v>
      </c>
      <c r="C577" s="169" t="s">
        <v>7409</v>
      </c>
      <c r="D577" s="159">
        <v>43435.0</v>
      </c>
      <c r="E577" s="157" t="s">
        <v>2</v>
      </c>
      <c r="F577" s="160">
        <v>48912.4</v>
      </c>
      <c r="G577" s="160">
        <v>7825.98</v>
      </c>
      <c r="H577" s="160">
        <f t="shared" si="28"/>
        <v>56738.38</v>
      </c>
      <c r="I577" s="172"/>
      <c r="J577" s="169"/>
      <c r="K577" s="172"/>
      <c r="L577" s="172">
        <f>+'FACUS$'!$H577-'FACUS$'!$I577-'FACUS$'!$K577</f>
        <v>56738.38</v>
      </c>
      <c r="M577" s="157" t="s">
        <v>958</v>
      </c>
      <c r="N577" s="162" t="s">
        <v>554</v>
      </c>
      <c r="O577" s="332">
        <v>43475.0</v>
      </c>
      <c r="P577" s="164">
        <f t="array" ref="P577">XLOOKUP('FACUS$'!$B577,'perfil de pagos'!$A$4:$A$46,'perfil de pagos'!$C$4:$C$46+'FACUS$'!$D577)</f>
        <v>43445</v>
      </c>
      <c r="Q577" s="165">
        <f t="shared" si="2"/>
        <v>0</v>
      </c>
      <c r="R577" s="171"/>
      <c r="S577" s="171"/>
      <c r="T577" s="171"/>
      <c r="U577" s="333" t="s">
        <v>7271</v>
      </c>
      <c r="V577" s="168">
        <f t="shared" si="3"/>
        <v>56738.38</v>
      </c>
      <c r="W577" s="168">
        <f t="shared" si="4"/>
        <v>0</v>
      </c>
      <c r="X577" s="168">
        <f t="shared" si="5"/>
        <v>0</v>
      </c>
      <c r="Y577" s="168">
        <f t="shared" si="6"/>
        <v>0</v>
      </c>
      <c r="Z577" s="168">
        <f t="shared" si="7"/>
        <v>0</v>
      </c>
      <c r="AA577" s="168">
        <f t="shared" si="8"/>
        <v>0</v>
      </c>
      <c r="AB577" s="168">
        <f t="shared" si="9"/>
        <v>0</v>
      </c>
    </row>
    <row r="578" ht="14.25" customHeight="1">
      <c r="A578" s="157">
        <v>1531.0</v>
      </c>
      <c r="B578" s="169" t="s">
        <v>30</v>
      </c>
      <c r="C578" s="169" t="s">
        <v>7409</v>
      </c>
      <c r="D578" s="159">
        <v>43435.0</v>
      </c>
      <c r="E578" s="157" t="s">
        <v>2</v>
      </c>
      <c r="F578" s="160">
        <v>726.1</v>
      </c>
      <c r="G578" s="160">
        <v>116.18</v>
      </c>
      <c r="H578" s="160">
        <f t="shared" si="28"/>
        <v>842.28</v>
      </c>
      <c r="I578" s="172"/>
      <c r="J578" s="169"/>
      <c r="K578" s="172"/>
      <c r="L578" s="172">
        <f>+'FACUS$'!$H578-'FACUS$'!$I578-'FACUS$'!$K578</f>
        <v>842.28</v>
      </c>
      <c r="M578" s="157" t="s">
        <v>7415</v>
      </c>
      <c r="N578" s="162" t="s">
        <v>554</v>
      </c>
      <c r="O578" s="332">
        <v>43455.0</v>
      </c>
      <c r="P578" s="164">
        <f t="array" ref="P578">XLOOKUP('FACUS$'!$B578,'perfil de pagos'!$A$4:$A$46,'perfil de pagos'!$C$4:$C$46+'FACUS$'!$D578)</f>
        <v>43445</v>
      </c>
      <c r="Q578" s="165">
        <f t="shared" si="2"/>
        <v>0</v>
      </c>
      <c r="R578" s="171"/>
      <c r="S578" s="171"/>
      <c r="T578" s="171"/>
      <c r="U578" s="333" t="s">
        <v>7271</v>
      </c>
      <c r="V578" s="168">
        <f t="shared" si="3"/>
        <v>842.28</v>
      </c>
      <c r="W578" s="168">
        <f t="shared" si="4"/>
        <v>0</v>
      </c>
      <c r="X578" s="168">
        <f t="shared" si="5"/>
        <v>0</v>
      </c>
      <c r="Y578" s="168">
        <f t="shared" si="6"/>
        <v>0</v>
      </c>
      <c r="Z578" s="168">
        <f t="shared" si="7"/>
        <v>0</v>
      </c>
      <c r="AA578" s="168">
        <f t="shared" si="8"/>
        <v>0</v>
      </c>
      <c r="AB578" s="168">
        <f t="shared" si="9"/>
        <v>0</v>
      </c>
    </row>
    <row r="579" ht="14.25" customHeight="1">
      <c r="A579" s="157">
        <v>1534.0</v>
      </c>
      <c r="B579" s="169" t="s">
        <v>103</v>
      </c>
      <c r="C579" s="169" t="s">
        <v>724</v>
      </c>
      <c r="D579" s="159">
        <v>43435.0</v>
      </c>
      <c r="E579" s="157" t="s">
        <v>2</v>
      </c>
      <c r="F579" s="160">
        <v>51367.8</v>
      </c>
      <c r="G579" s="160">
        <v>8218.78</v>
      </c>
      <c r="H579" s="160">
        <f t="shared" si="28"/>
        <v>59586.58</v>
      </c>
      <c r="I579" s="172"/>
      <c r="J579" s="169"/>
      <c r="K579" s="172"/>
      <c r="L579" s="172">
        <f>+'FACUS$'!$H579-'FACUS$'!$I579-'FACUS$'!$K579</f>
        <v>59586.58</v>
      </c>
      <c r="M579" s="157" t="s">
        <v>103</v>
      </c>
      <c r="N579" s="162" t="s">
        <v>554</v>
      </c>
      <c r="O579" s="332">
        <v>43462.0</v>
      </c>
      <c r="P579" s="164" t="str">
        <f t="array" ref="P579">XLOOKUP('FACUS$'!$B579,'perfil de pagos'!$A$4:$A$46,'perfil de pagos'!$C$4:$C$46+'FACUS$'!$D579)</f>
        <v>#N/A</v>
      </c>
      <c r="Q579" s="165">
        <f t="shared" si="2"/>
        <v>0</v>
      </c>
      <c r="R579" s="171"/>
      <c r="S579" s="171"/>
      <c r="T579" s="171"/>
      <c r="U579" s="333" t="s">
        <v>7271</v>
      </c>
      <c r="V579" s="168">
        <f t="shared" si="3"/>
        <v>59586.58</v>
      </c>
      <c r="W579" s="168">
        <f t="shared" si="4"/>
        <v>0</v>
      </c>
      <c r="X579" s="168">
        <f t="shared" si="5"/>
        <v>0</v>
      </c>
      <c r="Y579" s="168">
        <f t="shared" si="6"/>
        <v>0</v>
      </c>
      <c r="Z579" s="168">
        <f t="shared" si="7"/>
        <v>0</v>
      </c>
      <c r="AA579" s="168">
        <f t="shared" si="8"/>
        <v>0</v>
      </c>
      <c r="AB579" s="168">
        <f t="shared" si="9"/>
        <v>0</v>
      </c>
    </row>
    <row r="580" ht="14.25" customHeight="1">
      <c r="A580" s="157">
        <v>1536.0</v>
      </c>
      <c r="B580" s="169" t="s">
        <v>41</v>
      </c>
      <c r="C580" s="169" t="s">
        <v>7409</v>
      </c>
      <c r="D580" s="159">
        <v>43435.0</v>
      </c>
      <c r="E580" s="157" t="s">
        <v>2</v>
      </c>
      <c r="F580" s="160">
        <v>63658.65</v>
      </c>
      <c r="G580" s="160">
        <v>10185.38</v>
      </c>
      <c r="H580" s="160">
        <f t="shared" si="28"/>
        <v>73844.03</v>
      </c>
      <c r="I580" s="172"/>
      <c r="J580" s="169"/>
      <c r="K580" s="172"/>
      <c r="L580" s="172">
        <f>+'FACUS$'!$H580-'FACUS$'!$I580-'FACUS$'!$K580</f>
        <v>73844.03</v>
      </c>
      <c r="M580" s="157" t="s">
        <v>875</v>
      </c>
      <c r="N580" s="162" t="s">
        <v>554</v>
      </c>
      <c r="O580" s="332">
        <v>43496.0</v>
      </c>
      <c r="P580" s="164">
        <f t="array" ref="P580">XLOOKUP('FACUS$'!$B580,'perfil de pagos'!$A$4:$A$46,'perfil de pagos'!$C$4:$C$46+'FACUS$'!$D580)</f>
        <v>43445</v>
      </c>
      <c r="Q580" s="165">
        <f t="shared" si="2"/>
        <v>0</v>
      </c>
      <c r="R580" s="171"/>
      <c r="S580" s="171"/>
      <c r="T580" s="171"/>
      <c r="U580" s="333" t="s">
        <v>7271</v>
      </c>
      <c r="V580" s="168">
        <f t="shared" si="3"/>
        <v>73844.03</v>
      </c>
      <c r="W580" s="168">
        <f t="shared" si="4"/>
        <v>0</v>
      </c>
      <c r="X580" s="168">
        <f t="shared" si="5"/>
        <v>0</v>
      </c>
      <c r="Y580" s="168">
        <f t="shared" si="6"/>
        <v>0</v>
      </c>
      <c r="Z580" s="168">
        <f t="shared" si="7"/>
        <v>0</v>
      </c>
      <c r="AA580" s="168">
        <f t="shared" si="8"/>
        <v>0</v>
      </c>
      <c r="AB580" s="168">
        <f t="shared" si="9"/>
        <v>0</v>
      </c>
    </row>
    <row r="581" ht="14.25" customHeight="1">
      <c r="A581" s="157">
        <v>1540.0</v>
      </c>
      <c r="B581" s="169" t="s">
        <v>37</v>
      </c>
      <c r="C581" s="169" t="s">
        <v>724</v>
      </c>
      <c r="D581" s="159">
        <v>43435.0</v>
      </c>
      <c r="E581" s="157" t="s">
        <v>2</v>
      </c>
      <c r="F581" s="160">
        <v>80850.55</v>
      </c>
      <c r="G581" s="160">
        <v>12936.09</v>
      </c>
      <c r="H581" s="160">
        <f t="shared" si="28"/>
        <v>93786.64</v>
      </c>
      <c r="I581" s="172"/>
      <c r="J581" s="169"/>
      <c r="K581" s="172"/>
      <c r="L581" s="172">
        <f>+'FACUS$'!$H581-'FACUS$'!$I581-'FACUS$'!$K581</f>
        <v>93786.64</v>
      </c>
      <c r="M581" s="157" t="s">
        <v>718</v>
      </c>
      <c r="N581" s="162" t="s">
        <v>554</v>
      </c>
      <c r="O581" s="332">
        <v>43469.0</v>
      </c>
      <c r="P581" s="164">
        <f t="array" ref="P581">XLOOKUP('FACUS$'!$B581,'perfil de pagos'!$A$4:$A$46,'perfil de pagos'!$C$4:$C$46+'FACUS$'!$D581)</f>
        <v>43445</v>
      </c>
      <c r="Q581" s="165">
        <f t="shared" si="2"/>
        <v>0</v>
      </c>
      <c r="R581" s="171"/>
      <c r="S581" s="171"/>
      <c r="T581" s="171"/>
      <c r="U581" s="333" t="s">
        <v>7271</v>
      </c>
      <c r="V581" s="168">
        <f t="shared" si="3"/>
        <v>93786.64</v>
      </c>
      <c r="W581" s="168">
        <f t="shared" si="4"/>
        <v>0</v>
      </c>
      <c r="X581" s="168">
        <f t="shared" si="5"/>
        <v>0</v>
      </c>
      <c r="Y581" s="168">
        <f t="shared" si="6"/>
        <v>0</v>
      </c>
      <c r="Z581" s="168">
        <f t="shared" si="7"/>
        <v>0</v>
      </c>
      <c r="AA581" s="168">
        <f t="shared" si="8"/>
        <v>0</v>
      </c>
      <c r="AB581" s="168">
        <f t="shared" si="9"/>
        <v>0</v>
      </c>
    </row>
    <row r="582" ht="14.25" customHeight="1">
      <c r="A582" s="157">
        <v>1542.0</v>
      </c>
      <c r="B582" s="169" t="s">
        <v>20</v>
      </c>
      <c r="C582" s="169" t="s">
        <v>724</v>
      </c>
      <c r="D582" s="358">
        <v>43435.0</v>
      </c>
      <c r="E582" s="157" t="s">
        <v>2</v>
      </c>
      <c r="F582" s="160">
        <v>3879.6</v>
      </c>
      <c r="G582" s="160">
        <v>620.74</v>
      </c>
      <c r="H582" s="160">
        <f t="shared" si="28"/>
        <v>4500.34</v>
      </c>
      <c r="I582" s="172"/>
      <c r="J582" s="169"/>
      <c r="K582" s="172"/>
      <c r="L582" s="172">
        <f>+'FACUS$'!$H582-'FACUS$'!$I582-'FACUS$'!$K582</f>
        <v>4500.34</v>
      </c>
      <c r="M582" s="157" t="s">
        <v>732</v>
      </c>
      <c r="N582" s="162" t="s">
        <v>554</v>
      </c>
      <c r="O582" s="332">
        <v>43515.0</v>
      </c>
      <c r="P582" s="164">
        <f t="array" ref="P582">XLOOKUP('FACUS$'!$B582,'perfil de pagos'!$A$4:$A$46,'perfil de pagos'!$C$4:$C$46+'FACUS$'!$D582)</f>
        <v>43445</v>
      </c>
      <c r="Q582" s="165">
        <f t="shared" si="2"/>
        <v>0</v>
      </c>
      <c r="R582" s="171"/>
      <c r="S582" s="171"/>
      <c r="T582" s="171"/>
      <c r="U582" s="333" t="s">
        <v>7271</v>
      </c>
      <c r="V582" s="168">
        <f t="shared" si="3"/>
        <v>4500.34</v>
      </c>
      <c r="W582" s="168">
        <f t="shared" si="4"/>
        <v>0</v>
      </c>
      <c r="X582" s="168">
        <f t="shared" si="5"/>
        <v>0</v>
      </c>
      <c r="Y582" s="168">
        <f t="shared" si="6"/>
        <v>0</v>
      </c>
      <c r="Z582" s="168">
        <f t="shared" si="7"/>
        <v>0</v>
      </c>
      <c r="AA582" s="168">
        <f t="shared" si="8"/>
        <v>0</v>
      </c>
      <c r="AB582" s="168">
        <f t="shared" si="9"/>
        <v>0</v>
      </c>
    </row>
    <row r="583" ht="14.25" customHeight="1">
      <c r="A583" s="157">
        <v>1544.0</v>
      </c>
      <c r="B583" s="169" t="s">
        <v>18</v>
      </c>
      <c r="C583" s="169" t="s">
        <v>724</v>
      </c>
      <c r="D583" s="159">
        <v>43435.0</v>
      </c>
      <c r="E583" s="157" t="s">
        <v>2</v>
      </c>
      <c r="F583" s="160">
        <v>10996.44</v>
      </c>
      <c r="G583" s="160">
        <v>1759.43</v>
      </c>
      <c r="H583" s="160">
        <f t="shared" si="28"/>
        <v>12755.87</v>
      </c>
      <c r="I583" s="172"/>
      <c r="J583" s="169"/>
      <c r="K583" s="172"/>
      <c r="L583" s="172">
        <f>+'FACUS$'!$H583-'FACUS$'!$I583-'FACUS$'!$K583</f>
        <v>12755.87</v>
      </c>
      <c r="M583" s="157" t="s">
        <v>586</v>
      </c>
      <c r="N583" s="162" t="s">
        <v>554</v>
      </c>
      <c r="O583" s="332">
        <v>43515.0</v>
      </c>
      <c r="P583" s="164">
        <f t="array" ref="P583">XLOOKUP('FACUS$'!$B583,'perfil de pagos'!$A$4:$A$46,'perfil de pagos'!$C$4:$C$46+'FACUS$'!$D583)</f>
        <v>43445</v>
      </c>
      <c r="Q583" s="165">
        <f t="shared" si="2"/>
        <v>0</v>
      </c>
      <c r="R583" s="171"/>
      <c r="S583" s="171"/>
      <c r="T583" s="171"/>
      <c r="U583" s="333" t="s">
        <v>7271</v>
      </c>
      <c r="V583" s="168">
        <f t="shared" si="3"/>
        <v>12755.87</v>
      </c>
      <c r="W583" s="168">
        <f t="shared" si="4"/>
        <v>0</v>
      </c>
      <c r="X583" s="168">
        <f t="shared" si="5"/>
        <v>0</v>
      </c>
      <c r="Y583" s="168">
        <f t="shared" si="6"/>
        <v>0</v>
      </c>
      <c r="Z583" s="168">
        <f t="shared" si="7"/>
        <v>0</v>
      </c>
      <c r="AA583" s="168">
        <f t="shared" si="8"/>
        <v>0</v>
      </c>
      <c r="AB583" s="168">
        <f t="shared" si="9"/>
        <v>0</v>
      </c>
    </row>
    <row r="584" ht="14.25" customHeight="1">
      <c r="A584" s="157">
        <v>1546.0</v>
      </c>
      <c r="B584" s="169" t="s">
        <v>24</v>
      </c>
      <c r="C584" s="169" t="s">
        <v>724</v>
      </c>
      <c r="D584" s="159">
        <v>43435.0</v>
      </c>
      <c r="E584" s="157" t="s">
        <v>2</v>
      </c>
      <c r="F584" s="160">
        <v>2125.2</v>
      </c>
      <c r="G584" s="160">
        <v>340.03</v>
      </c>
      <c r="H584" s="179">
        <f t="shared" si="28"/>
        <v>2465.23</v>
      </c>
      <c r="I584" s="173"/>
      <c r="J584" s="170"/>
      <c r="K584" s="173"/>
      <c r="L584" s="173">
        <f>+'FACUS$'!$H584-'FACUS$'!$I584-'FACUS$'!$K584</f>
        <v>2465.23</v>
      </c>
      <c r="M584" s="157" t="s">
        <v>91</v>
      </c>
      <c r="N584" s="162" t="s">
        <v>554</v>
      </c>
      <c r="O584" s="332">
        <v>43503.0</v>
      </c>
      <c r="P584" s="164">
        <f t="array" ref="P584">XLOOKUP('FACUS$'!$B584,'perfil de pagos'!$A$4:$A$46,'perfil de pagos'!$C$4:$C$46+'FACUS$'!$D584)</f>
        <v>43445</v>
      </c>
      <c r="Q584" s="165">
        <f t="shared" si="2"/>
        <v>0</v>
      </c>
      <c r="R584" s="171"/>
      <c r="S584" s="171"/>
      <c r="T584" s="171"/>
      <c r="U584" s="333" t="s">
        <v>7271</v>
      </c>
      <c r="V584" s="168">
        <f t="shared" si="3"/>
        <v>2465.23</v>
      </c>
      <c r="W584" s="168">
        <f t="shared" si="4"/>
        <v>0</v>
      </c>
      <c r="X584" s="168">
        <f t="shared" si="5"/>
        <v>0</v>
      </c>
      <c r="Y584" s="168">
        <f t="shared" si="6"/>
        <v>0</v>
      </c>
      <c r="Z584" s="168">
        <f t="shared" si="7"/>
        <v>0</v>
      </c>
      <c r="AA584" s="168">
        <f t="shared" si="8"/>
        <v>0</v>
      </c>
      <c r="AB584" s="168">
        <f t="shared" si="9"/>
        <v>0</v>
      </c>
    </row>
    <row r="585" ht="14.25" customHeight="1">
      <c r="A585" s="157">
        <v>1549.0</v>
      </c>
      <c r="B585" s="169" t="s">
        <v>82</v>
      </c>
      <c r="C585" s="169" t="s">
        <v>7416</v>
      </c>
      <c r="D585" s="159">
        <v>43468.0</v>
      </c>
      <c r="E585" s="157" t="s">
        <v>2</v>
      </c>
      <c r="F585" s="160">
        <v>6500.0</v>
      </c>
      <c r="G585" s="160">
        <v>1040.0</v>
      </c>
      <c r="H585" s="160">
        <f t="shared" si="28"/>
        <v>7540</v>
      </c>
      <c r="I585" s="172"/>
      <c r="J585" s="169"/>
      <c r="K585" s="172"/>
      <c r="L585" s="172">
        <f>+'FACUS$'!$H585-'FACUS$'!$I585-'FACUS$'!$K585</f>
        <v>7540</v>
      </c>
      <c r="M585" s="157" t="s">
        <v>96</v>
      </c>
      <c r="N585" s="162" t="s">
        <v>554</v>
      </c>
      <c r="O585" s="332">
        <v>43494.0</v>
      </c>
      <c r="P585" s="164" t="str">
        <f t="array" ref="P585">XLOOKUP('FACUS$'!$B585,'perfil de pagos'!$A$4:$A$46,'perfil de pagos'!$C$4:$C$46+'FACUS$'!$D585)</f>
        <v>#N/A</v>
      </c>
      <c r="Q585" s="165">
        <f t="shared" si="2"/>
        <v>0</v>
      </c>
      <c r="R585" s="171"/>
      <c r="S585" s="171"/>
      <c r="T585" s="171"/>
      <c r="U585" s="333" t="s">
        <v>7271</v>
      </c>
      <c r="V585" s="168">
        <f t="shared" si="3"/>
        <v>7540</v>
      </c>
      <c r="W585" s="168">
        <f t="shared" si="4"/>
        <v>0</v>
      </c>
      <c r="X585" s="168">
        <f t="shared" si="5"/>
        <v>0</v>
      </c>
      <c r="Y585" s="168">
        <f t="shared" si="6"/>
        <v>0</v>
      </c>
      <c r="Z585" s="168">
        <f t="shared" si="7"/>
        <v>0</v>
      </c>
      <c r="AA585" s="168">
        <f t="shared" si="8"/>
        <v>0</v>
      </c>
      <c r="AB585" s="168">
        <f t="shared" si="9"/>
        <v>0</v>
      </c>
    </row>
    <row r="586" ht="14.25" customHeight="1">
      <c r="A586" s="157">
        <v>1550.0</v>
      </c>
      <c r="B586" s="169" t="s">
        <v>82</v>
      </c>
      <c r="C586" s="169" t="s">
        <v>7417</v>
      </c>
      <c r="D586" s="159">
        <v>43468.0</v>
      </c>
      <c r="E586" s="157" t="s">
        <v>2</v>
      </c>
      <c r="F586" s="160">
        <v>2500.0</v>
      </c>
      <c r="G586" s="160">
        <v>400.0</v>
      </c>
      <c r="H586" s="160">
        <f t="shared" si="28"/>
        <v>2900</v>
      </c>
      <c r="I586" s="172"/>
      <c r="J586" s="169"/>
      <c r="K586" s="172"/>
      <c r="L586" s="172">
        <f>+'FACUS$'!$H586-'FACUS$'!$I586-'FACUS$'!$K586</f>
        <v>2900</v>
      </c>
      <c r="M586" s="157" t="s">
        <v>96</v>
      </c>
      <c r="N586" s="162" t="s">
        <v>554</v>
      </c>
      <c r="O586" s="332">
        <v>43494.0</v>
      </c>
      <c r="P586" s="164" t="str">
        <f t="array" ref="P586">XLOOKUP('FACUS$'!$B586,'perfil de pagos'!$A$4:$A$46,'perfil de pagos'!$C$4:$C$46+'FACUS$'!$D586)</f>
        <v>#N/A</v>
      </c>
      <c r="Q586" s="165">
        <f t="shared" si="2"/>
        <v>0</v>
      </c>
      <c r="R586" s="171"/>
      <c r="S586" s="171"/>
      <c r="T586" s="171"/>
      <c r="U586" s="333" t="s">
        <v>7271</v>
      </c>
      <c r="V586" s="168">
        <f t="shared" si="3"/>
        <v>2900</v>
      </c>
      <c r="W586" s="168">
        <f t="shared" si="4"/>
        <v>0</v>
      </c>
      <c r="X586" s="168">
        <f t="shared" si="5"/>
        <v>0</v>
      </c>
      <c r="Y586" s="168">
        <f t="shared" si="6"/>
        <v>0</v>
      </c>
      <c r="Z586" s="168">
        <f t="shared" si="7"/>
        <v>0</v>
      </c>
      <c r="AA586" s="168">
        <f t="shared" si="8"/>
        <v>0</v>
      </c>
      <c r="AB586" s="168">
        <f t="shared" si="9"/>
        <v>0</v>
      </c>
    </row>
    <row r="587" ht="14.25" customHeight="1">
      <c r="A587" s="157">
        <v>1551.0</v>
      </c>
      <c r="B587" s="169" t="s">
        <v>82</v>
      </c>
      <c r="C587" s="169" t="s">
        <v>7418</v>
      </c>
      <c r="D587" s="159">
        <v>43468.0</v>
      </c>
      <c r="E587" s="157" t="s">
        <v>2</v>
      </c>
      <c r="F587" s="160">
        <v>15000.0</v>
      </c>
      <c r="G587" s="160">
        <v>2400.0</v>
      </c>
      <c r="H587" s="160">
        <f t="shared" si="28"/>
        <v>17400</v>
      </c>
      <c r="I587" s="172"/>
      <c r="J587" s="169"/>
      <c r="K587" s="172"/>
      <c r="L587" s="172">
        <f>+'FACUS$'!$H587-'FACUS$'!$I587-'FACUS$'!$K587</f>
        <v>17400</v>
      </c>
      <c r="M587" s="157" t="s">
        <v>96</v>
      </c>
      <c r="N587" s="162" t="s">
        <v>554</v>
      </c>
      <c r="O587" s="332">
        <v>43494.0</v>
      </c>
      <c r="P587" s="164" t="str">
        <f t="array" ref="P587">XLOOKUP('FACUS$'!$B587,'perfil de pagos'!$A$4:$A$46,'perfil de pagos'!$C$4:$C$46+'FACUS$'!$D587)</f>
        <v>#N/A</v>
      </c>
      <c r="Q587" s="165">
        <f t="shared" si="2"/>
        <v>0</v>
      </c>
      <c r="R587" s="171"/>
      <c r="S587" s="171"/>
      <c r="T587" s="171"/>
      <c r="U587" s="333" t="s">
        <v>7271</v>
      </c>
      <c r="V587" s="168">
        <f t="shared" si="3"/>
        <v>17400</v>
      </c>
      <c r="W587" s="168">
        <f t="shared" si="4"/>
        <v>0</v>
      </c>
      <c r="X587" s="168">
        <f t="shared" si="5"/>
        <v>0</v>
      </c>
      <c r="Y587" s="168">
        <f t="shared" si="6"/>
        <v>0</v>
      </c>
      <c r="Z587" s="168">
        <f t="shared" si="7"/>
        <v>0</v>
      </c>
      <c r="AA587" s="168">
        <f t="shared" si="8"/>
        <v>0</v>
      </c>
      <c r="AB587" s="168">
        <f t="shared" si="9"/>
        <v>0</v>
      </c>
    </row>
    <row r="588" ht="14.25" customHeight="1">
      <c r="A588" s="157">
        <v>1553.0</v>
      </c>
      <c r="B588" s="169" t="s">
        <v>29</v>
      </c>
      <c r="C588" s="169" t="s">
        <v>724</v>
      </c>
      <c r="D588" s="159">
        <v>43449.0</v>
      </c>
      <c r="E588" s="157" t="s">
        <v>2</v>
      </c>
      <c r="F588" s="160">
        <v>40812.1</v>
      </c>
      <c r="G588" s="160">
        <v>6529.94</v>
      </c>
      <c r="H588" s="160">
        <f t="shared" si="28"/>
        <v>47342.04</v>
      </c>
      <c r="I588" s="172"/>
      <c r="J588" s="169"/>
      <c r="K588" s="172"/>
      <c r="L588" s="172">
        <f>+'FACUS$'!$H588-'FACUS$'!$I588-'FACUS$'!$K588</f>
        <v>47342.04</v>
      </c>
      <c r="M588" s="157" t="s">
        <v>825</v>
      </c>
      <c r="N588" s="162" t="s">
        <v>554</v>
      </c>
      <c r="O588" s="332">
        <v>43479.0</v>
      </c>
      <c r="P588" s="164">
        <f t="array" ref="P588">XLOOKUP('FACUS$'!$B588,'perfil de pagos'!$A$4:$A$46,'perfil de pagos'!$C$4:$C$46+'FACUS$'!$D588)</f>
        <v>43459</v>
      </c>
      <c r="Q588" s="165">
        <f t="shared" si="2"/>
        <v>0</v>
      </c>
      <c r="R588" s="171"/>
      <c r="S588" s="171"/>
      <c r="T588" s="171"/>
      <c r="U588" s="333" t="s">
        <v>7271</v>
      </c>
      <c r="V588" s="168">
        <f t="shared" si="3"/>
        <v>47342.04</v>
      </c>
      <c r="W588" s="168">
        <f t="shared" si="4"/>
        <v>0</v>
      </c>
      <c r="X588" s="168">
        <f t="shared" si="5"/>
        <v>0</v>
      </c>
      <c r="Y588" s="168">
        <f t="shared" si="6"/>
        <v>0</v>
      </c>
      <c r="Z588" s="168">
        <f t="shared" si="7"/>
        <v>0</v>
      </c>
      <c r="AA588" s="168">
        <f t="shared" si="8"/>
        <v>0</v>
      </c>
      <c r="AB588" s="168">
        <f t="shared" si="9"/>
        <v>0</v>
      </c>
    </row>
    <row r="589" ht="14.25" customHeight="1">
      <c r="A589" s="157">
        <v>1555.0</v>
      </c>
      <c r="B589" s="169" t="s">
        <v>33</v>
      </c>
      <c r="C589" s="169" t="s">
        <v>7409</v>
      </c>
      <c r="D589" s="159">
        <v>43449.0</v>
      </c>
      <c r="E589" s="157" t="s">
        <v>2</v>
      </c>
      <c r="F589" s="160">
        <v>65592.8</v>
      </c>
      <c r="G589" s="160">
        <v>10494.85</v>
      </c>
      <c r="H589" s="160">
        <f t="shared" si="28"/>
        <v>76087.65</v>
      </c>
      <c r="I589" s="172"/>
      <c r="J589" s="169"/>
      <c r="K589" s="172"/>
      <c r="L589" s="172">
        <f>+'FACUS$'!$H589-'FACUS$'!$I589-'FACUS$'!$K589</f>
        <v>76087.65</v>
      </c>
      <c r="M589" s="157" t="s">
        <v>958</v>
      </c>
      <c r="N589" s="162" t="s">
        <v>554</v>
      </c>
      <c r="O589" s="332">
        <v>43486.0</v>
      </c>
      <c r="P589" s="164">
        <f t="array" ref="P589">XLOOKUP('FACUS$'!$B589,'perfil de pagos'!$A$4:$A$46,'perfil de pagos'!$C$4:$C$46+'FACUS$'!$D589)</f>
        <v>43459</v>
      </c>
      <c r="Q589" s="165">
        <f t="shared" si="2"/>
        <v>0</v>
      </c>
      <c r="R589" s="171"/>
      <c r="S589" s="171"/>
      <c r="T589" s="171"/>
      <c r="U589" s="333" t="s">
        <v>7271</v>
      </c>
      <c r="V589" s="168">
        <f t="shared" si="3"/>
        <v>76087.65</v>
      </c>
      <c r="W589" s="168">
        <f t="shared" si="4"/>
        <v>0</v>
      </c>
      <c r="X589" s="168">
        <f t="shared" si="5"/>
        <v>0</v>
      </c>
      <c r="Y589" s="168">
        <f t="shared" si="6"/>
        <v>0</v>
      </c>
      <c r="Z589" s="168">
        <f t="shared" si="7"/>
        <v>0</v>
      </c>
      <c r="AA589" s="168">
        <f t="shared" si="8"/>
        <v>0</v>
      </c>
      <c r="AB589" s="168">
        <f t="shared" si="9"/>
        <v>0</v>
      </c>
    </row>
    <row r="590" ht="14.25" customHeight="1">
      <c r="A590" s="157">
        <v>1557.0</v>
      </c>
      <c r="B590" s="169" t="s">
        <v>103</v>
      </c>
      <c r="C590" s="169" t="s">
        <v>724</v>
      </c>
      <c r="D590" s="159">
        <v>43449.0</v>
      </c>
      <c r="E590" s="157" t="s">
        <v>2</v>
      </c>
      <c r="F590" s="160">
        <v>94515.6</v>
      </c>
      <c r="G590" s="160">
        <v>15122.5</v>
      </c>
      <c r="H590" s="160">
        <f t="shared" si="28"/>
        <v>109638.1</v>
      </c>
      <c r="I590" s="172"/>
      <c r="J590" s="169"/>
      <c r="K590" s="172"/>
      <c r="L590" s="172">
        <f>+'FACUS$'!$H590-'FACUS$'!$I590-'FACUS$'!$K590</f>
        <v>109638.1</v>
      </c>
      <c r="M590" s="157" t="s">
        <v>43</v>
      </c>
      <c r="N590" s="162" t="s">
        <v>127</v>
      </c>
      <c r="O590" s="332"/>
      <c r="P590" s="164" t="str">
        <f t="array" ref="P590">XLOOKUP('FACUS$'!$B590,'perfil de pagos'!$A$4:$A$46,'perfil de pagos'!$C$4:$C$46+'FACUS$'!$D590)</f>
        <v>#N/A</v>
      </c>
      <c r="Q590" s="165" t="str">
        <f t="shared" si="2"/>
        <v>N/A</v>
      </c>
      <c r="R590" s="171" t="s">
        <v>7419</v>
      </c>
      <c r="S590" s="171"/>
      <c r="T590" s="171"/>
      <c r="U590" s="333" t="s">
        <v>7271</v>
      </c>
      <c r="V590" s="168">
        <f t="shared" si="3"/>
        <v>0</v>
      </c>
      <c r="W590" s="168">
        <f t="shared" si="4"/>
        <v>0</v>
      </c>
      <c r="X590" s="168">
        <f t="shared" si="5"/>
        <v>0</v>
      </c>
      <c r="Y590" s="168">
        <f t="shared" si="6"/>
        <v>0</v>
      </c>
      <c r="Z590" s="168">
        <f t="shared" si="7"/>
        <v>0</v>
      </c>
      <c r="AA590" s="168">
        <f t="shared" si="8"/>
        <v>0</v>
      </c>
      <c r="AB590" s="168">
        <f t="shared" si="9"/>
        <v>109638.1</v>
      </c>
    </row>
    <row r="591" ht="14.25" customHeight="1">
      <c r="A591" s="157">
        <v>1559.0</v>
      </c>
      <c r="B591" s="169" t="s">
        <v>24</v>
      </c>
      <c r="C591" s="169" t="s">
        <v>724</v>
      </c>
      <c r="D591" s="159">
        <v>43449.0</v>
      </c>
      <c r="E591" s="157" t="s">
        <v>2</v>
      </c>
      <c r="F591" s="160">
        <v>8103.0</v>
      </c>
      <c r="G591" s="160">
        <v>1296.48</v>
      </c>
      <c r="H591" s="160">
        <f t="shared" si="28"/>
        <v>9399.48</v>
      </c>
      <c r="I591" s="172"/>
      <c r="J591" s="169"/>
      <c r="K591" s="172"/>
      <c r="L591" s="172">
        <f>+'FACUS$'!$H591-'FACUS$'!$I591-'FACUS$'!$K591</f>
        <v>9399.48</v>
      </c>
      <c r="M591" s="157" t="s">
        <v>91</v>
      </c>
      <c r="N591" s="162" t="s">
        <v>554</v>
      </c>
      <c r="O591" s="332">
        <v>43503.0</v>
      </c>
      <c r="P591" s="164">
        <f t="array" ref="P591">XLOOKUP('FACUS$'!$B591,'perfil de pagos'!$A$4:$A$46,'perfil de pagos'!$C$4:$C$46+'FACUS$'!$D591)</f>
        <v>43459</v>
      </c>
      <c r="Q591" s="165">
        <f t="shared" si="2"/>
        <v>0</v>
      </c>
      <c r="R591" s="171"/>
      <c r="S591" s="171"/>
      <c r="T591" s="171"/>
      <c r="U591" s="333" t="s">
        <v>7271</v>
      </c>
      <c r="V591" s="168">
        <f t="shared" si="3"/>
        <v>9399.48</v>
      </c>
      <c r="W591" s="168">
        <f t="shared" si="4"/>
        <v>0</v>
      </c>
      <c r="X591" s="168">
        <f t="shared" si="5"/>
        <v>0</v>
      </c>
      <c r="Y591" s="168">
        <f t="shared" si="6"/>
        <v>0</v>
      </c>
      <c r="Z591" s="168">
        <f t="shared" si="7"/>
        <v>0</v>
      </c>
      <c r="AA591" s="168">
        <f t="shared" si="8"/>
        <v>0</v>
      </c>
      <c r="AB591" s="168">
        <f t="shared" si="9"/>
        <v>0</v>
      </c>
    </row>
    <row r="592" ht="14.25" customHeight="1">
      <c r="A592" s="157">
        <v>1561.0</v>
      </c>
      <c r="B592" s="169" t="s">
        <v>41</v>
      </c>
      <c r="C592" s="169" t="s">
        <v>7409</v>
      </c>
      <c r="D592" s="159">
        <v>43449.0</v>
      </c>
      <c r="E592" s="157" t="s">
        <v>2</v>
      </c>
      <c r="F592" s="160">
        <v>79285.8</v>
      </c>
      <c r="G592" s="160">
        <v>12685.73</v>
      </c>
      <c r="H592" s="160">
        <f t="shared" si="28"/>
        <v>91971.53</v>
      </c>
      <c r="I592" s="172"/>
      <c r="J592" s="169"/>
      <c r="K592" s="172"/>
      <c r="L592" s="172">
        <f>+'FACUS$'!$H592-'FACUS$'!$I592-'FACUS$'!$K592</f>
        <v>91971.53</v>
      </c>
      <c r="M592" s="157" t="s">
        <v>875</v>
      </c>
      <c r="N592" s="162" t="s">
        <v>554</v>
      </c>
      <c r="O592" s="332">
        <v>43511.0</v>
      </c>
      <c r="P592" s="164">
        <f t="array" ref="P592">XLOOKUP('FACUS$'!$B592,'perfil de pagos'!$A$4:$A$46,'perfil de pagos'!$C$4:$C$46+'FACUS$'!$D592)</f>
        <v>43459</v>
      </c>
      <c r="Q592" s="165">
        <f t="shared" si="2"/>
        <v>0</v>
      </c>
      <c r="R592" s="171"/>
      <c r="S592" s="171"/>
      <c r="T592" s="171"/>
      <c r="U592" s="333" t="s">
        <v>7271</v>
      </c>
      <c r="V592" s="168">
        <f t="shared" si="3"/>
        <v>91971.53</v>
      </c>
      <c r="W592" s="168">
        <f t="shared" si="4"/>
        <v>0</v>
      </c>
      <c r="X592" s="168">
        <f t="shared" si="5"/>
        <v>0</v>
      </c>
      <c r="Y592" s="168">
        <f t="shared" si="6"/>
        <v>0</v>
      </c>
      <c r="Z592" s="168">
        <f t="shared" si="7"/>
        <v>0</v>
      </c>
      <c r="AA592" s="168">
        <f t="shared" si="8"/>
        <v>0</v>
      </c>
      <c r="AB592" s="168">
        <f t="shared" si="9"/>
        <v>0</v>
      </c>
    </row>
    <row r="593" ht="14.25" customHeight="1">
      <c r="A593" s="157">
        <v>1563.0</v>
      </c>
      <c r="B593" s="169" t="s">
        <v>716</v>
      </c>
      <c r="C593" s="169" t="s">
        <v>7409</v>
      </c>
      <c r="D593" s="159">
        <v>43449.0</v>
      </c>
      <c r="E593" s="157" t="s">
        <v>2</v>
      </c>
      <c r="F593" s="160">
        <v>4636.55</v>
      </c>
      <c r="G593" s="160">
        <v>741.85</v>
      </c>
      <c r="H593" s="160">
        <f t="shared" si="28"/>
        <v>5378.4</v>
      </c>
      <c r="I593" s="172"/>
      <c r="J593" s="169"/>
      <c r="K593" s="172"/>
      <c r="L593" s="172">
        <f>+'FACUS$'!$H593-'FACUS$'!$I593-'FACUS$'!$K593</f>
        <v>5378.4</v>
      </c>
      <c r="M593" s="157" t="s">
        <v>897</v>
      </c>
      <c r="N593" s="162" t="s">
        <v>127</v>
      </c>
      <c r="O593" s="335" t="s">
        <v>876</v>
      </c>
      <c r="P593" s="164" t="str">
        <f t="array" ref="P593">XLOOKUP('FACUS$'!$B593,'perfil de pagos'!$A$4:$A$46,'perfil de pagos'!$C$4:$C$46+'FACUS$'!$D593)</f>
        <v>#N/A</v>
      </c>
      <c r="Q593" s="165" t="str">
        <f t="shared" si="2"/>
        <v>N/A</v>
      </c>
      <c r="R593" s="171"/>
      <c r="S593" s="171"/>
      <c r="T593" s="171"/>
      <c r="U593" s="333" t="s">
        <v>7271</v>
      </c>
      <c r="V593" s="168">
        <f t="shared" si="3"/>
        <v>0</v>
      </c>
      <c r="W593" s="168">
        <f t="shared" si="4"/>
        <v>0</v>
      </c>
      <c r="X593" s="168">
        <f t="shared" si="5"/>
        <v>0</v>
      </c>
      <c r="Y593" s="168">
        <f t="shared" si="6"/>
        <v>0</v>
      </c>
      <c r="Z593" s="168">
        <f t="shared" si="7"/>
        <v>0</v>
      </c>
      <c r="AA593" s="168">
        <f t="shared" si="8"/>
        <v>0</v>
      </c>
      <c r="AB593" s="168">
        <f t="shared" si="9"/>
        <v>5378.4</v>
      </c>
    </row>
    <row r="594" ht="14.25" customHeight="1">
      <c r="A594" s="157">
        <v>1565.0</v>
      </c>
      <c r="B594" s="169" t="s">
        <v>37</v>
      </c>
      <c r="C594" s="169" t="s">
        <v>724</v>
      </c>
      <c r="D594" s="159">
        <v>43449.0</v>
      </c>
      <c r="E594" s="157" t="s">
        <v>2</v>
      </c>
      <c r="F594" s="160">
        <v>96910.77</v>
      </c>
      <c r="G594" s="160">
        <v>15505.72</v>
      </c>
      <c r="H594" s="179">
        <f t="shared" si="28"/>
        <v>112416.49</v>
      </c>
      <c r="I594" s="173"/>
      <c r="J594" s="170"/>
      <c r="K594" s="173"/>
      <c r="L594" s="173">
        <f>+'FACUS$'!$H594-'FACUS$'!$I594-'FACUS$'!$K594</f>
        <v>112416.49</v>
      </c>
      <c r="M594" s="157" t="s">
        <v>718</v>
      </c>
      <c r="N594" s="162" t="s">
        <v>554</v>
      </c>
      <c r="O594" s="332">
        <v>43494.0</v>
      </c>
      <c r="P594" s="164">
        <f t="array" ref="P594">XLOOKUP('FACUS$'!$B594,'perfil de pagos'!$A$4:$A$46,'perfil de pagos'!$C$4:$C$46+'FACUS$'!$D594)</f>
        <v>43459</v>
      </c>
      <c r="Q594" s="165">
        <f t="shared" si="2"/>
        <v>0</v>
      </c>
      <c r="R594" s="171"/>
      <c r="S594" s="171"/>
      <c r="T594" s="171"/>
      <c r="U594" s="333" t="s">
        <v>7271</v>
      </c>
      <c r="V594" s="168">
        <f t="shared" si="3"/>
        <v>112416.49</v>
      </c>
      <c r="W594" s="168">
        <f t="shared" si="4"/>
        <v>0</v>
      </c>
      <c r="X594" s="168">
        <f t="shared" si="5"/>
        <v>0</v>
      </c>
      <c r="Y594" s="168">
        <f t="shared" si="6"/>
        <v>0</v>
      </c>
      <c r="Z594" s="168">
        <f t="shared" si="7"/>
        <v>0</v>
      </c>
      <c r="AA594" s="168">
        <f t="shared" si="8"/>
        <v>0</v>
      </c>
      <c r="AB594" s="168">
        <f t="shared" si="9"/>
        <v>0</v>
      </c>
    </row>
    <row r="595" ht="14.25" customHeight="1">
      <c r="A595" s="157">
        <v>1567.0</v>
      </c>
      <c r="B595" s="169" t="s">
        <v>24</v>
      </c>
      <c r="C595" s="169" t="s">
        <v>724</v>
      </c>
      <c r="D595" s="159">
        <v>43449.0</v>
      </c>
      <c r="E595" s="157" t="s">
        <v>2</v>
      </c>
      <c r="F595" s="160">
        <v>2580.9</v>
      </c>
      <c r="G595" s="160">
        <v>412.94</v>
      </c>
      <c r="H595" s="160">
        <f t="shared" si="28"/>
        <v>2993.84</v>
      </c>
      <c r="I595" s="172"/>
      <c r="J595" s="169"/>
      <c r="K595" s="172"/>
      <c r="L595" s="172">
        <f>+'FACUS$'!$H595-'FACUS$'!$I595-'FACUS$'!$K595</f>
        <v>2993.84</v>
      </c>
      <c r="M595" s="157" t="s">
        <v>91</v>
      </c>
      <c r="N595" s="162" t="s">
        <v>554</v>
      </c>
      <c r="O595" s="332">
        <v>43503.0</v>
      </c>
      <c r="P595" s="164">
        <f t="array" ref="P595">XLOOKUP('FACUS$'!$B595,'perfil de pagos'!$A$4:$A$46,'perfil de pagos'!$C$4:$C$46+'FACUS$'!$D595)</f>
        <v>43459</v>
      </c>
      <c r="Q595" s="165">
        <f t="shared" si="2"/>
        <v>0</v>
      </c>
      <c r="R595" s="171"/>
      <c r="S595" s="171"/>
      <c r="T595" s="171"/>
      <c r="U595" s="333" t="s">
        <v>7271</v>
      </c>
      <c r="V595" s="168">
        <f t="shared" si="3"/>
        <v>2993.84</v>
      </c>
      <c r="W595" s="168">
        <f t="shared" si="4"/>
        <v>0</v>
      </c>
      <c r="X595" s="168">
        <f t="shared" si="5"/>
        <v>0</v>
      </c>
      <c r="Y595" s="168">
        <f t="shared" si="6"/>
        <v>0</v>
      </c>
      <c r="Z595" s="168">
        <f t="shared" si="7"/>
        <v>0</v>
      </c>
      <c r="AA595" s="168">
        <f t="shared" si="8"/>
        <v>0</v>
      </c>
      <c r="AB595" s="168">
        <f t="shared" si="9"/>
        <v>0</v>
      </c>
    </row>
    <row r="596" ht="14.25" customHeight="1">
      <c r="A596" s="157">
        <v>1570.0</v>
      </c>
      <c r="B596" s="169" t="s">
        <v>18</v>
      </c>
      <c r="C596" s="169" t="s">
        <v>724</v>
      </c>
      <c r="D596" s="159">
        <v>43449.0</v>
      </c>
      <c r="E596" s="157" t="s">
        <v>2</v>
      </c>
      <c r="F596" s="160">
        <v>11155.44</v>
      </c>
      <c r="G596" s="160">
        <v>1784.87</v>
      </c>
      <c r="H596" s="160">
        <f t="shared" si="28"/>
        <v>12940.31</v>
      </c>
      <c r="I596" s="172"/>
      <c r="J596" s="169"/>
      <c r="K596" s="172"/>
      <c r="L596" s="172">
        <f>+'FACUS$'!$H596-'FACUS$'!$I596-'FACUS$'!$K596</f>
        <v>12940.31</v>
      </c>
      <c r="M596" s="157" t="s">
        <v>586</v>
      </c>
      <c r="N596" s="162" t="s">
        <v>554</v>
      </c>
      <c r="O596" s="332">
        <v>43496.0</v>
      </c>
      <c r="P596" s="164">
        <f t="array" ref="P596">XLOOKUP('FACUS$'!$B596,'perfil de pagos'!$A$4:$A$46,'perfil de pagos'!$C$4:$C$46+'FACUS$'!$D596)</f>
        <v>43459</v>
      </c>
      <c r="Q596" s="165">
        <f t="shared" si="2"/>
        <v>0</v>
      </c>
      <c r="R596" s="171"/>
      <c r="S596" s="171"/>
      <c r="T596" s="171"/>
      <c r="U596" s="333" t="s">
        <v>7271</v>
      </c>
      <c r="V596" s="168">
        <f t="shared" si="3"/>
        <v>12940.31</v>
      </c>
      <c r="W596" s="168">
        <f t="shared" si="4"/>
        <v>0</v>
      </c>
      <c r="X596" s="168">
        <f t="shared" si="5"/>
        <v>0</v>
      </c>
      <c r="Y596" s="168">
        <f t="shared" si="6"/>
        <v>0</v>
      </c>
      <c r="Z596" s="168">
        <f t="shared" si="7"/>
        <v>0</v>
      </c>
      <c r="AA596" s="168">
        <f t="shared" si="8"/>
        <v>0</v>
      </c>
      <c r="AB596" s="168">
        <f t="shared" si="9"/>
        <v>0</v>
      </c>
    </row>
    <row r="597" ht="14.25" customHeight="1">
      <c r="A597" s="157">
        <v>1571.0</v>
      </c>
      <c r="B597" s="169" t="s">
        <v>29</v>
      </c>
      <c r="C597" s="169" t="s">
        <v>724</v>
      </c>
      <c r="D597" s="159">
        <v>43479.0</v>
      </c>
      <c r="E597" s="157" t="s">
        <v>2</v>
      </c>
      <c r="F597" s="160">
        <v>36755.15</v>
      </c>
      <c r="G597" s="160">
        <v>5880.82</v>
      </c>
      <c r="H597" s="160">
        <f t="shared" si="28"/>
        <v>42635.97</v>
      </c>
      <c r="I597" s="172"/>
      <c r="J597" s="169"/>
      <c r="K597" s="172"/>
      <c r="L597" s="172">
        <f>+'FACUS$'!$H597-'FACUS$'!$I597-'FACUS$'!$K597</f>
        <v>42635.97</v>
      </c>
      <c r="M597" s="157" t="s">
        <v>825</v>
      </c>
      <c r="N597" s="157" t="s">
        <v>554</v>
      </c>
      <c r="O597" s="332">
        <v>43559.0</v>
      </c>
      <c r="P597" s="164">
        <f t="array" ref="P597">XLOOKUP('FACUS$'!$B597,'perfil de pagos'!$A$4:$A$46,'perfil de pagos'!$C$4:$C$46+'FACUS$'!$D597)</f>
        <v>43489</v>
      </c>
      <c r="Q597" s="165">
        <f t="shared" si="2"/>
        <v>0</v>
      </c>
      <c r="R597" s="171"/>
      <c r="S597" s="171"/>
      <c r="T597" s="171"/>
      <c r="U597" s="333" t="s">
        <v>7271</v>
      </c>
      <c r="V597" s="168">
        <f t="shared" si="3"/>
        <v>42635.97</v>
      </c>
      <c r="W597" s="168">
        <f t="shared" si="4"/>
        <v>0</v>
      </c>
      <c r="X597" s="168">
        <f t="shared" si="5"/>
        <v>0</v>
      </c>
      <c r="Y597" s="168">
        <f t="shared" si="6"/>
        <v>0</v>
      </c>
      <c r="Z597" s="168">
        <f t="shared" si="7"/>
        <v>0</v>
      </c>
      <c r="AA597" s="168">
        <f t="shared" si="8"/>
        <v>0</v>
      </c>
      <c r="AB597" s="168">
        <f t="shared" si="9"/>
        <v>0</v>
      </c>
    </row>
    <row r="598" ht="14.25" customHeight="1">
      <c r="A598" s="157">
        <v>1573.0</v>
      </c>
      <c r="B598" s="169" t="s">
        <v>24</v>
      </c>
      <c r="C598" s="169" t="s">
        <v>724</v>
      </c>
      <c r="D598" s="159">
        <v>43419.0</v>
      </c>
      <c r="E598" s="157" t="s">
        <v>2</v>
      </c>
      <c r="F598" s="160">
        <v>4048.8</v>
      </c>
      <c r="G598" s="160">
        <v>647.81</v>
      </c>
      <c r="H598" s="160">
        <f t="shared" si="28"/>
        <v>4696.61</v>
      </c>
      <c r="I598" s="172"/>
      <c r="J598" s="169"/>
      <c r="K598" s="172"/>
      <c r="L598" s="172">
        <f>+'FACUS$'!$H598-'FACUS$'!$I598-'FACUS$'!$K598</f>
        <v>4696.61</v>
      </c>
      <c r="M598" s="157" t="s">
        <v>91</v>
      </c>
      <c r="N598" s="157" t="s">
        <v>554</v>
      </c>
      <c r="O598" s="332">
        <v>43413.0</v>
      </c>
      <c r="P598" s="164">
        <f t="array" ref="P598">XLOOKUP('FACUS$'!$B598,'perfil de pagos'!$A$4:$A$46,'perfil de pagos'!$C$4:$C$46+'FACUS$'!$D598)</f>
        <v>43429</v>
      </c>
      <c r="Q598" s="165">
        <f t="shared" si="2"/>
        <v>0</v>
      </c>
      <c r="R598" s="171"/>
      <c r="S598" s="171"/>
      <c r="T598" s="171"/>
      <c r="U598" s="333" t="s">
        <v>7271</v>
      </c>
      <c r="V598" s="168">
        <f t="shared" si="3"/>
        <v>4696.61</v>
      </c>
      <c r="W598" s="168">
        <f t="shared" si="4"/>
        <v>0</v>
      </c>
      <c r="X598" s="168">
        <f t="shared" si="5"/>
        <v>0</v>
      </c>
      <c r="Y598" s="168">
        <f t="shared" si="6"/>
        <v>0</v>
      </c>
      <c r="Z598" s="168">
        <f t="shared" si="7"/>
        <v>0</v>
      </c>
      <c r="AA598" s="168">
        <f t="shared" si="8"/>
        <v>0</v>
      </c>
      <c r="AB598" s="168">
        <f t="shared" si="9"/>
        <v>0</v>
      </c>
    </row>
    <row r="599" ht="14.25" customHeight="1">
      <c r="A599" s="157">
        <v>1575.0</v>
      </c>
      <c r="B599" s="169" t="s">
        <v>21</v>
      </c>
      <c r="C599" s="169" t="s">
        <v>724</v>
      </c>
      <c r="D599" s="159">
        <v>43449.0</v>
      </c>
      <c r="E599" s="157" t="s">
        <v>2</v>
      </c>
      <c r="F599" s="160">
        <v>4636.55</v>
      </c>
      <c r="G599" s="160">
        <v>741.85</v>
      </c>
      <c r="H599" s="160">
        <f t="shared" si="28"/>
        <v>5378.4</v>
      </c>
      <c r="I599" s="172"/>
      <c r="J599" s="169"/>
      <c r="K599" s="172"/>
      <c r="L599" s="172">
        <f>+'FACUS$'!$H599-'FACUS$'!$I599-'FACUS$'!$K599</f>
        <v>5378.4</v>
      </c>
      <c r="M599" s="157" t="s">
        <v>2263</v>
      </c>
      <c r="N599" s="162" t="s">
        <v>127</v>
      </c>
      <c r="O599" s="335" t="s">
        <v>876</v>
      </c>
      <c r="P599" s="164">
        <f t="array" ref="P599">XLOOKUP('FACUS$'!$B599,'perfil de pagos'!$A$4:$A$46,'perfil de pagos'!$C$4:$C$46+'FACUS$'!$D599)</f>
        <v>43459</v>
      </c>
      <c r="Q599" s="165" t="str">
        <f t="shared" si="2"/>
        <v>N/A</v>
      </c>
      <c r="R599" s="171"/>
      <c r="S599" s="171"/>
      <c r="T599" s="171"/>
      <c r="U599" s="333" t="s">
        <v>7271</v>
      </c>
      <c r="V599" s="168">
        <f t="shared" si="3"/>
        <v>0</v>
      </c>
      <c r="W599" s="168">
        <f t="shared" si="4"/>
        <v>0</v>
      </c>
      <c r="X599" s="168">
        <f t="shared" si="5"/>
        <v>0</v>
      </c>
      <c r="Y599" s="168">
        <f t="shared" si="6"/>
        <v>0</v>
      </c>
      <c r="Z599" s="168">
        <f t="shared" si="7"/>
        <v>0</v>
      </c>
      <c r="AA599" s="168">
        <f t="shared" si="8"/>
        <v>0</v>
      </c>
      <c r="AB599" s="168">
        <f t="shared" si="9"/>
        <v>5378.4</v>
      </c>
    </row>
    <row r="600" ht="14.25" customHeight="1">
      <c r="A600" s="157">
        <v>1577.0</v>
      </c>
      <c r="B600" s="169" t="s">
        <v>29</v>
      </c>
      <c r="C600" s="169" t="s">
        <v>724</v>
      </c>
      <c r="D600" s="159">
        <v>43466.0</v>
      </c>
      <c r="E600" s="157" t="s">
        <v>2</v>
      </c>
      <c r="F600" s="160">
        <v>32442.9</v>
      </c>
      <c r="G600" s="160">
        <v>5190.86</v>
      </c>
      <c r="H600" s="160">
        <f t="shared" si="28"/>
        <v>37633.76</v>
      </c>
      <c r="I600" s="172"/>
      <c r="J600" s="169"/>
      <c r="K600" s="172"/>
      <c r="L600" s="172">
        <f>+'FACUS$'!$H600-'FACUS$'!$I600-'FACUS$'!$K600</f>
        <v>37633.76</v>
      </c>
      <c r="M600" s="157" t="s">
        <v>825</v>
      </c>
      <c r="N600" s="162" t="s">
        <v>554</v>
      </c>
      <c r="O600" s="332">
        <v>43501.0</v>
      </c>
      <c r="P600" s="164">
        <f t="array" ref="P600">XLOOKUP('FACUS$'!$B600,'perfil de pagos'!$A$4:$A$46,'perfil de pagos'!$C$4:$C$46+'FACUS$'!$D600)</f>
        <v>43476</v>
      </c>
      <c r="Q600" s="165">
        <f t="shared" si="2"/>
        <v>0</v>
      </c>
      <c r="R600" s="171"/>
      <c r="S600" s="171"/>
      <c r="T600" s="171"/>
      <c r="U600" s="333" t="s">
        <v>7271</v>
      </c>
      <c r="V600" s="168">
        <f t="shared" si="3"/>
        <v>37633.76</v>
      </c>
      <c r="W600" s="168">
        <f t="shared" si="4"/>
        <v>0</v>
      </c>
      <c r="X600" s="168">
        <f t="shared" si="5"/>
        <v>0</v>
      </c>
      <c r="Y600" s="168">
        <f t="shared" si="6"/>
        <v>0</v>
      </c>
      <c r="Z600" s="168">
        <f t="shared" si="7"/>
        <v>0</v>
      </c>
      <c r="AA600" s="168">
        <f t="shared" si="8"/>
        <v>0</v>
      </c>
      <c r="AB600" s="168">
        <f t="shared" si="9"/>
        <v>0</v>
      </c>
    </row>
    <row r="601" ht="14.25" customHeight="1">
      <c r="A601" s="157">
        <v>1579.0</v>
      </c>
      <c r="B601" s="169" t="s">
        <v>41</v>
      </c>
      <c r="C601" s="169" t="s">
        <v>7409</v>
      </c>
      <c r="D601" s="159">
        <v>43466.0</v>
      </c>
      <c r="E601" s="157" t="s">
        <v>2</v>
      </c>
      <c r="F601" s="160">
        <v>55362.3</v>
      </c>
      <c r="G601" s="160">
        <v>8857.97</v>
      </c>
      <c r="H601" s="160">
        <f t="shared" si="28"/>
        <v>64220.27</v>
      </c>
      <c r="I601" s="172"/>
      <c r="J601" s="169"/>
      <c r="K601" s="172"/>
      <c r="L601" s="172">
        <f>+'FACUS$'!$H601-'FACUS$'!$I601-'FACUS$'!$K601</f>
        <v>64220.27</v>
      </c>
      <c r="M601" s="157" t="s">
        <v>875</v>
      </c>
      <c r="N601" s="162" t="s">
        <v>554</v>
      </c>
      <c r="O601" s="332">
        <v>43529.0</v>
      </c>
      <c r="P601" s="164">
        <f t="array" ref="P601">XLOOKUP('FACUS$'!$B601,'perfil de pagos'!$A$4:$A$46,'perfil de pagos'!$C$4:$C$46+'FACUS$'!$D601)</f>
        <v>43476</v>
      </c>
      <c r="Q601" s="165">
        <f t="shared" si="2"/>
        <v>0</v>
      </c>
      <c r="R601" s="171"/>
      <c r="S601" s="171"/>
      <c r="T601" s="171"/>
      <c r="U601" s="333" t="s">
        <v>7271</v>
      </c>
      <c r="V601" s="168">
        <f t="shared" si="3"/>
        <v>64220.27</v>
      </c>
      <c r="W601" s="168">
        <f t="shared" si="4"/>
        <v>0</v>
      </c>
      <c r="X601" s="168">
        <f t="shared" si="5"/>
        <v>0</v>
      </c>
      <c r="Y601" s="168">
        <f t="shared" si="6"/>
        <v>0</v>
      </c>
      <c r="Z601" s="168">
        <f t="shared" si="7"/>
        <v>0</v>
      </c>
      <c r="AA601" s="168">
        <f t="shared" si="8"/>
        <v>0</v>
      </c>
      <c r="AB601" s="168">
        <f t="shared" si="9"/>
        <v>0</v>
      </c>
    </row>
    <row r="602" ht="14.25" customHeight="1">
      <c r="A602" s="157">
        <v>1581.0</v>
      </c>
      <c r="B602" s="169" t="s">
        <v>103</v>
      </c>
      <c r="C602" s="169" t="s">
        <v>724</v>
      </c>
      <c r="D602" s="159">
        <v>43466.0</v>
      </c>
      <c r="E602" s="157" t="s">
        <v>2</v>
      </c>
      <c r="F602" s="160">
        <v>62624.88</v>
      </c>
      <c r="G602" s="160">
        <v>10019.98</v>
      </c>
      <c r="H602" s="160">
        <f t="shared" si="28"/>
        <v>72644.86</v>
      </c>
      <c r="I602" s="172"/>
      <c r="J602" s="169"/>
      <c r="K602" s="172"/>
      <c r="L602" s="172">
        <f>+'FACUS$'!$H602-'FACUS$'!$I602-'FACUS$'!$K602</f>
        <v>72644.86</v>
      </c>
      <c r="M602" s="157" t="s">
        <v>43</v>
      </c>
      <c r="N602" s="162" t="s">
        <v>127</v>
      </c>
      <c r="O602" s="332">
        <v>43490.0</v>
      </c>
      <c r="P602" s="164" t="str">
        <f t="array" ref="P602">XLOOKUP('FACUS$'!$B602,'perfil de pagos'!$A$4:$A$46,'perfil de pagos'!$C$4:$C$46+'FACUS$'!$D602)</f>
        <v>#N/A</v>
      </c>
      <c r="Q602" s="165" t="str">
        <f t="shared" si="2"/>
        <v>N/A</v>
      </c>
      <c r="R602" s="171" t="s">
        <v>7420</v>
      </c>
      <c r="S602" s="171"/>
      <c r="T602" s="171"/>
      <c r="U602" s="333" t="s">
        <v>7271</v>
      </c>
      <c r="V602" s="168">
        <f t="shared" si="3"/>
        <v>0</v>
      </c>
      <c r="W602" s="168">
        <f t="shared" si="4"/>
        <v>0</v>
      </c>
      <c r="X602" s="168">
        <f t="shared" si="5"/>
        <v>0</v>
      </c>
      <c r="Y602" s="168">
        <f t="shared" si="6"/>
        <v>0</v>
      </c>
      <c r="Z602" s="168">
        <f t="shared" si="7"/>
        <v>0</v>
      </c>
      <c r="AA602" s="168">
        <f t="shared" si="8"/>
        <v>0</v>
      </c>
      <c r="AB602" s="168">
        <f t="shared" si="9"/>
        <v>72644.86</v>
      </c>
    </row>
    <row r="603" ht="14.25" customHeight="1">
      <c r="A603" s="157">
        <v>1583.0</v>
      </c>
      <c r="B603" s="169" t="s">
        <v>21</v>
      </c>
      <c r="C603" s="169" t="s">
        <v>724</v>
      </c>
      <c r="D603" s="159">
        <v>43481.0</v>
      </c>
      <c r="E603" s="157" t="s">
        <v>2</v>
      </c>
      <c r="F603" s="160">
        <v>361.9</v>
      </c>
      <c r="G603" s="160">
        <v>57.9</v>
      </c>
      <c r="H603" s="160">
        <f t="shared" si="28"/>
        <v>419.8</v>
      </c>
      <c r="I603" s="172"/>
      <c r="J603" s="169"/>
      <c r="K603" s="172"/>
      <c r="L603" s="172">
        <f>+'FACUS$'!$H603-'FACUS$'!$I603-'FACUS$'!$K603</f>
        <v>419.8</v>
      </c>
      <c r="M603" s="157" t="s">
        <v>2263</v>
      </c>
      <c r="N603" s="162" t="s">
        <v>127</v>
      </c>
      <c r="O603" s="335" t="s">
        <v>876</v>
      </c>
      <c r="P603" s="164">
        <f t="array" ref="P603">XLOOKUP('FACUS$'!$B603,'perfil de pagos'!$A$4:$A$46,'perfil de pagos'!$C$4:$C$46+'FACUS$'!$D603)</f>
        <v>43491</v>
      </c>
      <c r="Q603" s="165" t="str">
        <f t="shared" si="2"/>
        <v>N/A</v>
      </c>
      <c r="R603" s="171"/>
      <c r="S603" s="171"/>
      <c r="T603" s="171"/>
      <c r="U603" s="333" t="s">
        <v>7271</v>
      </c>
      <c r="V603" s="168">
        <f t="shared" si="3"/>
        <v>0</v>
      </c>
      <c r="W603" s="168">
        <f t="shared" si="4"/>
        <v>0</v>
      </c>
      <c r="X603" s="168">
        <f t="shared" si="5"/>
        <v>0</v>
      </c>
      <c r="Y603" s="168">
        <f t="shared" si="6"/>
        <v>0</v>
      </c>
      <c r="Z603" s="168">
        <f t="shared" si="7"/>
        <v>0</v>
      </c>
      <c r="AA603" s="168">
        <f t="shared" si="8"/>
        <v>0</v>
      </c>
      <c r="AB603" s="168">
        <f t="shared" si="9"/>
        <v>419.8</v>
      </c>
    </row>
    <row r="604" ht="14.25" customHeight="1">
      <c r="A604" s="157">
        <v>1586.0</v>
      </c>
      <c r="B604" s="169" t="s">
        <v>33</v>
      </c>
      <c r="C604" s="169" t="s">
        <v>724</v>
      </c>
      <c r="D604" s="159">
        <v>43466.0</v>
      </c>
      <c r="E604" s="157" t="s">
        <v>2</v>
      </c>
      <c r="F604" s="160">
        <v>47878.8</v>
      </c>
      <c r="G604" s="160">
        <v>7660.61</v>
      </c>
      <c r="H604" s="160">
        <f t="shared" si="28"/>
        <v>55539.41</v>
      </c>
      <c r="I604" s="172"/>
      <c r="J604" s="169"/>
      <c r="K604" s="172"/>
      <c r="L604" s="172">
        <f>+'FACUS$'!$H604-'FACUS$'!$I604-'FACUS$'!$K604</f>
        <v>55539.41</v>
      </c>
      <c r="M604" s="157" t="s">
        <v>958</v>
      </c>
      <c r="N604" s="162" t="s">
        <v>554</v>
      </c>
      <c r="O604" s="332">
        <v>43503.0</v>
      </c>
      <c r="P604" s="164">
        <f t="array" ref="P604">XLOOKUP('FACUS$'!$B604,'perfil de pagos'!$A$4:$A$46,'perfil de pagos'!$C$4:$C$46+'FACUS$'!$D604)</f>
        <v>43476</v>
      </c>
      <c r="Q604" s="165">
        <f t="shared" si="2"/>
        <v>0</v>
      </c>
      <c r="R604" s="171"/>
      <c r="S604" s="171"/>
      <c r="T604" s="171"/>
      <c r="U604" s="333" t="s">
        <v>7271</v>
      </c>
      <c r="V604" s="168">
        <f t="shared" si="3"/>
        <v>55539.41</v>
      </c>
      <c r="W604" s="168">
        <f t="shared" si="4"/>
        <v>0</v>
      </c>
      <c r="X604" s="168">
        <f t="shared" si="5"/>
        <v>0</v>
      </c>
      <c r="Y604" s="168">
        <f t="shared" si="6"/>
        <v>0</v>
      </c>
      <c r="Z604" s="168">
        <f t="shared" si="7"/>
        <v>0</v>
      </c>
      <c r="AA604" s="168">
        <f t="shared" si="8"/>
        <v>0</v>
      </c>
      <c r="AB604" s="168">
        <f t="shared" si="9"/>
        <v>0</v>
      </c>
    </row>
    <row r="605" ht="14.25" customHeight="1">
      <c r="A605" s="157">
        <v>1589.0</v>
      </c>
      <c r="B605" s="169" t="s">
        <v>18</v>
      </c>
      <c r="C605" s="169" t="s">
        <v>724</v>
      </c>
      <c r="D605" s="159">
        <v>43466.0</v>
      </c>
      <c r="E605" s="157" t="s">
        <v>2</v>
      </c>
      <c r="F605" s="160">
        <v>9991.56</v>
      </c>
      <c r="G605" s="160">
        <v>1598.65</v>
      </c>
      <c r="H605" s="160">
        <f t="shared" si="28"/>
        <v>11590.21</v>
      </c>
      <c r="I605" s="172"/>
      <c r="J605" s="169"/>
      <c r="K605" s="172"/>
      <c r="L605" s="172">
        <f>+'FACUS$'!$H605-'FACUS$'!$I605-'FACUS$'!$K605</f>
        <v>11590.21</v>
      </c>
      <c r="M605" s="157" t="s">
        <v>586</v>
      </c>
      <c r="N605" s="162" t="s">
        <v>554</v>
      </c>
      <c r="O605" s="332">
        <v>43515.0</v>
      </c>
      <c r="P605" s="164">
        <f t="array" ref="P605">XLOOKUP('FACUS$'!$B605,'perfil de pagos'!$A$4:$A$46,'perfil de pagos'!$C$4:$C$46+'FACUS$'!$D605)</f>
        <v>43476</v>
      </c>
      <c r="Q605" s="165">
        <f t="shared" si="2"/>
        <v>0</v>
      </c>
      <c r="R605" s="171"/>
      <c r="S605" s="171"/>
      <c r="T605" s="171"/>
      <c r="U605" s="333" t="s">
        <v>7271</v>
      </c>
      <c r="V605" s="168">
        <f t="shared" si="3"/>
        <v>11590.21</v>
      </c>
      <c r="W605" s="168">
        <f t="shared" si="4"/>
        <v>0</v>
      </c>
      <c r="X605" s="168">
        <f t="shared" si="5"/>
        <v>0</v>
      </c>
      <c r="Y605" s="168">
        <f t="shared" si="6"/>
        <v>0</v>
      </c>
      <c r="Z605" s="168">
        <f t="shared" si="7"/>
        <v>0</v>
      </c>
      <c r="AA605" s="168">
        <f t="shared" si="8"/>
        <v>0</v>
      </c>
      <c r="AB605" s="168">
        <f t="shared" si="9"/>
        <v>0</v>
      </c>
    </row>
    <row r="606" ht="14.25" customHeight="1">
      <c r="A606" s="157">
        <v>1591.0</v>
      </c>
      <c r="B606" s="169" t="s">
        <v>37</v>
      </c>
      <c r="C606" s="169" t="s">
        <v>724</v>
      </c>
      <c r="D606" s="159">
        <v>43466.0</v>
      </c>
      <c r="E606" s="157" t="s">
        <v>2</v>
      </c>
      <c r="F606" s="160">
        <v>83255.92</v>
      </c>
      <c r="G606" s="160">
        <v>13320.95</v>
      </c>
      <c r="H606" s="160">
        <f t="shared" si="28"/>
        <v>96576.87</v>
      </c>
      <c r="I606" s="172"/>
      <c r="J606" s="169"/>
      <c r="K606" s="172"/>
      <c r="L606" s="172">
        <f>+'FACUS$'!$H606-'FACUS$'!$I606-'FACUS$'!$K606</f>
        <v>96576.87</v>
      </c>
      <c r="M606" s="157" t="s">
        <v>718</v>
      </c>
      <c r="N606" s="162" t="s">
        <v>554</v>
      </c>
      <c r="O606" s="332">
        <v>43502.0</v>
      </c>
      <c r="P606" s="164">
        <f t="array" ref="P606">XLOOKUP('FACUS$'!$B606,'perfil de pagos'!$A$4:$A$46,'perfil de pagos'!$C$4:$C$46+'FACUS$'!$D606)</f>
        <v>43476</v>
      </c>
      <c r="Q606" s="165">
        <f t="shared" si="2"/>
        <v>0</v>
      </c>
      <c r="R606" s="171"/>
      <c r="S606" s="171"/>
      <c r="T606" s="171"/>
      <c r="U606" s="333" t="s">
        <v>7271</v>
      </c>
      <c r="V606" s="168">
        <f t="shared" si="3"/>
        <v>96576.87</v>
      </c>
      <c r="W606" s="168">
        <f t="shared" si="4"/>
        <v>0</v>
      </c>
      <c r="X606" s="168">
        <f t="shared" si="5"/>
        <v>0</v>
      </c>
      <c r="Y606" s="168">
        <f t="shared" si="6"/>
        <v>0</v>
      </c>
      <c r="Z606" s="168">
        <f t="shared" si="7"/>
        <v>0</v>
      </c>
      <c r="AA606" s="168">
        <f t="shared" si="8"/>
        <v>0</v>
      </c>
      <c r="AB606" s="168">
        <f t="shared" si="9"/>
        <v>0</v>
      </c>
    </row>
    <row r="607" ht="14.25" customHeight="1">
      <c r="A607" s="157">
        <v>1593.0</v>
      </c>
      <c r="B607" s="169" t="s">
        <v>24</v>
      </c>
      <c r="C607" s="169" t="s">
        <v>724</v>
      </c>
      <c r="D607" s="159">
        <v>43466.0</v>
      </c>
      <c r="E607" s="157" t="s">
        <v>2</v>
      </c>
      <c r="F607" s="160">
        <v>504.0</v>
      </c>
      <c r="G607" s="160">
        <v>80.64</v>
      </c>
      <c r="H607" s="160">
        <f t="shared" si="28"/>
        <v>584.64</v>
      </c>
      <c r="I607" s="172"/>
      <c r="J607" s="169"/>
      <c r="K607" s="172"/>
      <c r="L607" s="172">
        <f>+'FACUS$'!$H607-'FACUS$'!$I607-'FACUS$'!$K607</f>
        <v>584.64</v>
      </c>
      <c r="M607" s="157" t="s">
        <v>91</v>
      </c>
      <c r="N607" s="162" t="s">
        <v>554</v>
      </c>
      <c r="O607" s="332"/>
      <c r="P607" s="164">
        <f t="array" ref="P607">XLOOKUP('FACUS$'!$B607,'perfil de pagos'!$A$4:$A$46,'perfil de pagos'!$C$4:$C$46+'FACUS$'!$D607)</f>
        <v>43476</v>
      </c>
      <c r="Q607" s="165">
        <f t="shared" si="2"/>
        <v>0</v>
      </c>
      <c r="R607" s="171"/>
      <c r="S607" s="171"/>
      <c r="T607" s="171"/>
      <c r="U607" s="333" t="s">
        <v>7271</v>
      </c>
      <c r="V607" s="168">
        <f t="shared" si="3"/>
        <v>584.64</v>
      </c>
      <c r="W607" s="168">
        <f t="shared" si="4"/>
        <v>0</v>
      </c>
      <c r="X607" s="168">
        <f t="shared" si="5"/>
        <v>0</v>
      </c>
      <c r="Y607" s="168">
        <f t="shared" si="6"/>
        <v>0</v>
      </c>
      <c r="Z607" s="168">
        <f t="shared" si="7"/>
        <v>0</v>
      </c>
      <c r="AA607" s="168">
        <f t="shared" si="8"/>
        <v>0</v>
      </c>
      <c r="AB607" s="168">
        <f t="shared" si="9"/>
        <v>0</v>
      </c>
    </row>
    <row r="608" ht="14.25" customHeight="1">
      <c r="A608" s="157">
        <v>1595.0</v>
      </c>
      <c r="B608" s="169" t="s">
        <v>21</v>
      </c>
      <c r="C608" s="169" t="s">
        <v>724</v>
      </c>
      <c r="D608" s="159">
        <v>43449.0</v>
      </c>
      <c r="E608" s="157" t="s">
        <v>2</v>
      </c>
      <c r="F608" s="160">
        <v>4636.55</v>
      </c>
      <c r="G608" s="160">
        <v>741.85</v>
      </c>
      <c r="H608" s="179">
        <f t="shared" si="28"/>
        <v>5378.4</v>
      </c>
      <c r="I608" s="173"/>
      <c r="J608" s="170"/>
      <c r="K608" s="173"/>
      <c r="L608" s="173">
        <f>+'FACUS$'!$H608-'FACUS$'!$I608-'FACUS$'!$K608</f>
        <v>5378.4</v>
      </c>
      <c r="M608" s="157" t="s">
        <v>2263</v>
      </c>
      <c r="N608" s="162" t="s">
        <v>554</v>
      </c>
      <c r="O608" s="332">
        <v>43495.0</v>
      </c>
      <c r="P608" s="164">
        <f t="array" ref="P608">XLOOKUP('FACUS$'!$B608,'perfil de pagos'!$A$4:$A$46,'perfil de pagos'!$C$4:$C$46+'FACUS$'!$D608)</f>
        <v>43459</v>
      </c>
      <c r="Q608" s="165">
        <f t="shared" si="2"/>
        <v>0</v>
      </c>
      <c r="R608" s="171"/>
      <c r="S608" s="171"/>
      <c r="T608" s="171"/>
      <c r="U608" s="333" t="s">
        <v>7271</v>
      </c>
      <c r="V608" s="168">
        <f t="shared" si="3"/>
        <v>5378.4</v>
      </c>
      <c r="W608" s="168">
        <f t="shared" si="4"/>
        <v>0</v>
      </c>
      <c r="X608" s="168">
        <f t="shared" si="5"/>
        <v>0</v>
      </c>
      <c r="Y608" s="168">
        <f t="shared" si="6"/>
        <v>0</v>
      </c>
      <c r="Z608" s="168">
        <f t="shared" si="7"/>
        <v>0</v>
      </c>
      <c r="AA608" s="168">
        <f t="shared" si="8"/>
        <v>0</v>
      </c>
      <c r="AB608" s="168">
        <f t="shared" si="9"/>
        <v>0</v>
      </c>
    </row>
    <row r="609" ht="14.25" customHeight="1">
      <c r="A609" s="157">
        <v>1597.0</v>
      </c>
      <c r="B609" s="169" t="s">
        <v>21</v>
      </c>
      <c r="C609" s="169" t="s">
        <v>724</v>
      </c>
      <c r="D609" s="159">
        <v>43486.0</v>
      </c>
      <c r="E609" s="157" t="s">
        <v>2</v>
      </c>
      <c r="F609" s="160">
        <v>361.9</v>
      </c>
      <c r="G609" s="160">
        <v>57.9</v>
      </c>
      <c r="H609" s="160">
        <f t="shared" si="28"/>
        <v>419.8</v>
      </c>
      <c r="I609" s="172"/>
      <c r="J609" s="169"/>
      <c r="K609" s="172"/>
      <c r="L609" s="172">
        <f>+'FACUS$'!$H609-'FACUS$'!$I609-'FACUS$'!$K609</f>
        <v>419.8</v>
      </c>
      <c r="M609" s="157" t="s">
        <v>2263</v>
      </c>
      <c r="N609" s="162" t="s">
        <v>554</v>
      </c>
      <c r="O609" s="332">
        <v>43495.0</v>
      </c>
      <c r="P609" s="164">
        <f t="array" ref="P609">XLOOKUP('FACUS$'!$B609,'perfil de pagos'!$A$4:$A$46,'perfil de pagos'!$C$4:$C$46+'FACUS$'!$D609)</f>
        <v>43496</v>
      </c>
      <c r="Q609" s="165">
        <f t="shared" si="2"/>
        <v>0</v>
      </c>
      <c r="R609" s="171"/>
      <c r="S609" s="171"/>
      <c r="T609" s="171"/>
      <c r="U609" s="333" t="s">
        <v>7271</v>
      </c>
      <c r="V609" s="168">
        <f t="shared" si="3"/>
        <v>419.8</v>
      </c>
      <c r="W609" s="168">
        <f t="shared" si="4"/>
        <v>0</v>
      </c>
      <c r="X609" s="168">
        <f t="shared" si="5"/>
        <v>0</v>
      </c>
      <c r="Y609" s="168">
        <f t="shared" si="6"/>
        <v>0</v>
      </c>
      <c r="Z609" s="168">
        <f t="shared" si="7"/>
        <v>0</v>
      </c>
      <c r="AA609" s="168">
        <f t="shared" si="8"/>
        <v>0</v>
      </c>
      <c r="AB609" s="168">
        <f t="shared" si="9"/>
        <v>0</v>
      </c>
    </row>
    <row r="610" ht="14.25" customHeight="1">
      <c r="A610" s="157">
        <v>1599.0</v>
      </c>
      <c r="B610" s="169" t="s">
        <v>82</v>
      </c>
      <c r="C610" s="169" t="s">
        <v>7421</v>
      </c>
      <c r="D610" s="159">
        <v>43489.0</v>
      </c>
      <c r="E610" s="157" t="s">
        <v>2</v>
      </c>
      <c r="F610" s="160">
        <v>2500.0</v>
      </c>
      <c r="G610" s="160">
        <v>400.0</v>
      </c>
      <c r="H610" s="160">
        <f t="shared" si="28"/>
        <v>2900</v>
      </c>
      <c r="I610" s="172"/>
      <c r="J610" s="169"/>
      <c r="K610" s="172"/>
      <c r="L610" s="172">
        <f>+'FACUS$'!$H610-'FACUS$'!$I610-'FACUS$'!$K610</f>
        <v>2900</v>
      </c>
      <c r="M610" s="157" t="s">
        <v>96</v>
      </c>
      <c r="N610" s="162" t="s">
        <v>554</v>
      </c>
      <c r="O610" s="332">
        <v>43494.0</v>
      </c>
      <c r="P610" s="164" t="str">
        <f t="array" ref="P610">XLOOKUP('FACUS$'!$B610,'perfil de pagos'!$A$4:$A$46,'perfil de pagos'!$C$4:$C$46+'FACUS$'!$D610)</f>
        <v>#N/A</v>
      </c>
      <c r="Q610" s="165">
        <f t="shared" si="2"/>
        <v>0</v>
      </c>
      <c r="R610" s="171"/>
      <c r="S610" s="171"/>
      <c r="T610" s="171"/>
      <c r="U610" s="333" t="s">
        <v>7271</v>
      </c>
      <c r="V610" s="168">
        <f t="shared" si="3"/>
        <v>2900</v>
      </c>
      <c r="W610" s="168">
        <f t="shared" si="4"/>
        <v>0</v>
      </c>
      <c r="X610" s="168">
        <f t="shared" si="5"/>
        <v>0</v>
      </c>
      <c r="Y610" s="168">
        <f t="shared" si="6"/>
        <v>0</v>
      </c>
      <c r="Z610" s="168">
        <f t="shared" si="7"/>
        <v>0</v>
      </c>
      <c r="AA610" s="168">
        <f t="shared" si="8"/>
        <v>0</v>
      </c>
      <c r="AB610" s="168">
        <f t="shared" si="9"/>
        <v>0</v>
      </c>
    </row>
    <row r="611" ht="14.25" customHeight="1">
      <c r="A611" s="157">
        <v>1601.0</v>
      </c>
      <c r="B611" s="169" t="s">
        <v>82</v>
      </c>
      <c r="C611" s="169" t="s">
        <v>7422</v>
      </c>
      <c r="D611" s="159">
        <v>43501.0</v>
      </c>
      <c r="E611" s="157" t="s">
        <v>2</v>
      </c>
      <c r="F611" s="160">
        <v>6500.0</v>
      </c>
      <c r="G611" s="160">
        <v>1040.0</v>
      </c>
      <c r="H611" s="160">
        <f t="shared" si="28"/>
        <v>7540</v>
      </c>
      <c r="I611" s="172"/>
      <c r="J611" s="169"/>
      <c r="K611" s="172"/>
      <c r="L611" s="172">
        <f>+'FACUS$'!$H611-'FACUS$'!$I611-'FACUS$'!$K611</f>
        <v>7540</v>
      </c>
      <c r="M611" s="157" t="s">
        <v>96</v>
      </c>
      <c r="N611" s="162" t="s">
        <v>127</v>
      </c>
      <c r="O611" s="332"/>
      <c r="P611" s="164" t="str">
        <f t="array" ref="P611">XLOOKUP('FACUS$'!$B611,'perfil de pagos'!$A$4:$A$46,'perfil de pagos'!$C$4:$C$46+'FACUS$'!$D611)</f>
        <v>#N/A</v>
      </c>
      <c r="Q611" s="165" t="str">
        <f t="shared" si="2"/>
        <v>N/A</v>
      </c>
      <c r="R611" s="171"/>
      <c r="S611" s="171"/>
      <c r="T611" s="171"/>
      <c r="U611" s="333" t="s">
        <v>7271</v>
      </c>
      <c r="V611" s="168">
        <f t="shared" si="3"/>
        <v>0</v>
      </c>
      <c r="W611" s="168">
        <f t="shared" si="4"/>
        <v>0</v>
      </c>
      <c r="X611" s="168">
        <f t="shared" si="5"/>
        <v>0</v>
      </c>
      <c r="Y611" s="168">
        <f t="shared" si="6"/>
        <v>0</v>
      </c>
      <c r="Z611" s="168">
        <f t="shared" si="7"/>
        <v>0</v>
      </c>
      <c r="AA611" s="168">
        <f t="shared" si="8"/>
        <v>0</v>
      </c>
      <c r="AB611" s="168">
        <f t="shared" si="9"/>
        <v>7540</v>
      </c>
    </row>
    <row r="612" ht="14.25" customHeight="1">
      <c r="A612" s="157">
        <v>1602.0</v>
      </c>
      <c r="B612" s="169" t="s">
        <v>82</v>
      </c>
      <c r="C612" s="169" t="s">
        <v>7423</v>
      </c>
      <c r="D612" s="159">
        <v>43501.0</v>
      </c>
      <c r="E612" s="157" t="s">
        <v>2</v>
      </c>
      <c r="F612" s="160">
        <v>2500.0</v>
      </c>
      <c r="G612" s="160">
        <v>400.0</v>
      </c>
      <c r="H612" s="160">
        <f t="shared" si="28"/>
        <v>2900</v>
      </c>
      <c r="I612" s="172"/>
      <c r="J612" s="169"/>
      <c r="K612" s="172"/>
      <c r="L612" s="172">
        <f>+'FACUS$'!$H612-'FACUS$'!$I612-'FACUS$'!$K612</f>
        <v>2900</v>
      </c>
      <c r="M612" s="157" t="s">
        <v>96</v>
      </c>
      <c r="N612" s="162" t="s">
        <v>127</v>
      </c>
      <c r="O612" s="332"/>
      <c r="P612" s="164" t="str">
        <f t="array" ref="P612">XLOOKUP('FACUS$'!$B612,'perfil de pagos'!$A$4:$A$46,'perfil de pagos'!$C$4:$C$46+'FACUS$'!$D612)</f>
        <v>#N/A</v>
      </c>
      <c r="Q612" s="165" t="str">
        <f t="shared" si="2"/>
        <v>N/A</v>
      </c>
      <c r="R612" s="171"/>
      <c r="S612" s="171"/>
      <c r="T612" s="171"/>
      <c r="U612" s="333" t="s">
        <v>7271</v>
      </c>
      <c r="V612" s="168">
        <f t="shared" si="3"/>
        <v>0</v>
      </c>
      <c r="W612" s="168">
        <f t="shared" si="4"/>
        <v>0</v>
      </c>
      <c r="X612" s="168">
        <f t="shared" si="5"/>
        <v>0</v>
      </c>
      <c r="Y612" s="168">
        <f t="shared" si="6"/>
        <v>0</v>
      </c>
      <c r="Z612" s="168">
        <f t="shared" si="7"/>
        <v>0</v>
      </c>
      <c r="AA612" s="168">
        <f t="shared" si="8"/>
        <v>0</v>
      </c>
      <c r="AB612" s="168">
        <f t="shared" si="9"/>
        <v>2900</v>
      </c>
    </row>
    <row r="613" ht="14.25" customHeight="1">
      <c r="A613" s="157">
        <v>1603.0</v>
      </c>
      <c r="B613" s="169" t="s">
        <v>82</v>
      </c>
      <c r="C613" s="169" t="s">
        <v>7424</v>
      </c>
      <c r="D613" s="159">
        <v>43501.0</v>
      </c>
      <c r="E613" s="157" t="s">
        <v>2</v>
      </c>
      <c r="F613" s="160">
        <v>15000.0</v>
      </c>
      <c r="G613" s="160">
        <v>2400.0</v>
      </c>
      <c r="H613" s="160">
        <f t="shared" si="28"/>
        <v>17400</v>
      </c>
      <c r="I613" s="172"/>
      <c r="J613" s="169"/>
      <c r="K613" s="172"/>
      <c r="L613" s="172">
        <f>+'FACUS$'!$H613-'FACUS$'!$I613-'FACUS$'!$K613</f>
        <v>17400</v>
      </c>
      <c r="M613" s="157" t="s">
        <v>96</v>
      </c>
      <c r="N613" s="162" t="s">
        <v>127</v>
      </c>
      <c r="O613" s="332"/>
      <c r="P613" s="164" t="str">
        <f t="array" ref="P613">XLOOKUP('FACUS$'!$B613,'perfil de pagos'!$A$4:$A$46,'perfil de pagos'!$C$4:$C$46+'FACUS$'!$D613)</f>
        <v>#N/A</v>
      </c>
      <c r="Q613" s="165" t="str">
        <f t="shared" si="2"/>
        <v>N/A</v>
      </c>
      <c r="R613" s="171"/>
      <c r="S613" s="171"/>
      <c r="T613" s="171"/>
      <c r="U613" s="333" t="s">
        <v>7271</v>
      </c>
      <c r="V613" s="168">
        <f t="shared" si="3"/>
        <v>0</v>
      </c>
      <c r="W613" s="168">
        <f t="shared" si="4"/>
        <v>0</v>
      </c>
      <c r="X613" s="168">
        <f t="shared" si="5"/>
        <v>0</v>
      </c>
      <c r="Y613" s="168">
        <f t="shared" si="6"/>
        <v>0</v>
      </c>
      <c r="Z613" s="168">
        <f t="shared" si="7"/>
        <v>0</v>
      </c>
      <c r="AA613" s="168">
        <f t="shared" si="8"/>
        <v>0</v>
      </c>
      <c r="AB613" s="168">
        <f t="shared" si="9"/>
        <v>17400</v>
      </c>
    </row>
    <row r="614" ht="14.25" customHeight="1">
      <c r="A614" s="157">
        <v>1604.0</v>
      </c>
      <c r="B614" s="169" t="s">
        <v>82</v>
      </c>
      <c r="C614" s="169" t="s">
        <v>7425</v>
      </c>
      <c r="D614" s="159">
        <v>43501.0</v>
      </c>
      <c r="E614" s="157" t="s">
        <v>2</v>
      </c>
      <c r="F614" s="160">
        <v>2500.0</v>
      </c>
      <c r="G614" s="160">
        <v>400.0</v>
      </c>
      <c r="H614" s="160">
        <f t="shared" si="28"/>
        <v>2900</v>
      </c>
      <c r="I614" s="172"/>
      <c r="J614" s="169"/>
      <c r="K614" s="172"/>
      <c r="L614" s="172">
        <f>+'FACUS$'!$H614-'FACUS$'!$I614-'FACUS$'!$K614</f>
        <v>2900</v>
      </c>
      <c r="M614" s="157" t="s">
        <v>96</v>
      </c>
      <c r="N614" s="162" t="s">
        <v>127</v>
      </c>
      <c r="O614" s="332"/>
      <c r="P614" s="164" t="str">
        <f t="array" ref="P614">XLOOKUP('FACUS$'!$B614,'perfil de pagos'!$A$4:$A$46,'perfil de pagos'!$C$4:$C$46+'FACUS$'!$D614)</f>
        <v>#N/A</v>
      </c>
      <c r="Q614" s="165" t="str">
        <f t="shared" si="2"/>
        <v>N/A</v>
      </c>
      <c r="R614" s="171"/>
      <c r="S614" s="171"/>
      <c r="T614" s="171"/>
      <c r="U614" s="333" t="s">
        <v>7271</v>
      </c>
      <c r="V614" s="168">
        <f t="shared" si="3"/>
        <v>0</v>
      </c>
      <c r="W614" s="168">
        <f t="shared" si="4"/>
        <v>0</v>
      </c>
      <c r="X614" s="168">
        <f t="shared" si="5"/>
        <v>0</v>
      </c>
      <c r="Y614" s="168">
        <f t="shared" si="6"/>
        <v>0</v>
      </c>
      <c r="Z614" s="168">
        <f t="shared" si="7"/>
        <v>0</v>
      </c>
      <c r="AA614" s="168">
        <f t="shared" si="8"/>
        <v>0</v>
      </c>
      <c r="AB614" s="168">
        <f t="shared" si="9"/>
        <v>2900</v>
      </c>
    </row>
    <row r="615" ht="14.25" customHeight="1">
      <c r="A615" s="157">
        <v>1607.0</v>
      </c>
      <c r="B615" s="169" t="s">
        <v>29</v>
      </c>
      <c r="C615" s="169" t="s">
        <v>724</v>
      </c>
      <c r="D615" s="159">
        <v>43480.0</v>
      </c>
      <c r="E615" s="157" t="s">
        <v>2</v>
      </c>
      <c r="F615" s="160">
        <v>61945.8</v>
      </c>
      <c r="G615" s="160">
        <v>9911.33</v>
      </c>
      <c r="H615" s="160">
        <f t="shared" si="28"/>
        <v>71857.13</v>
      </c>
      <c r="I615" s="172"/>
      <c r="J615" s="169"/>
      <c r="K615" s="172"/>
      <c r="L615" s="172">
        <f>+'FACUS$'!$H615-'FACUS$'!$I615-'FACUS$'!$K615</f>
        <v>71857.13</v>
      </c>
      <c r="M615" s="157" t="s">
        <v>825</v>
      </c>
      <c r="N615" s="162" t="s">
        <v>554</v>
      </c>
      <c r="O615" s="332">
        <v>43521.0</v>
      </c>
      <c r="P615" s="164">
        <f t="array" ref="P615">XLOOKUP('FACUS$'!$B615,'perfil de pagos'!$A$4:$A$46,'perfil de pagos'!$C$4:$C$46+'FACUS$'!$D615)</f>
        <v>43490</v>
      </c>
      <c r="Q615" s="165">
        <f t="shared" si="2"/>
        <v>0</v>
      </c>
      <c r="R615" s="171"/>
      <c r="S615" s="171"/>
      <c r="T615" s="171"/>
      <c r="U615" s="333" t="s">
        <v>7271</v>
      </c>
      <c r="V615" s="168">
        <f t="shared" si="3"/>
        <v>71857.13</v>
      </c>
      <c r="W615" s="168">
        <f t="shared" si="4"/>
        <v>0</v>
      </c>
      <c r="X615" s="168">
        <f t="shared" si="5"/>
        <v>0</v>
      </c>
      <c r="Y615" s="168">
        <f t="shared" si="6"/>
        <v>0</v>
      </c>
      <c r="Z615" s="168">
        <f t="shared" si="7"/>
        <v>0</v>
      </c>
      <c r="AA615" s="168">
        <f t="shared" si="8"/>
        <v>0</v>
      </c>
      <c r="AB615" s="168">
        <f t="shared" si="9"/>
        <v>0</v>
      </c>
    </row>
    <row r="616" ht="14.25" customHeight="1">
      <c r="A616" s="157">
        <v>1609.0</v>
      </c>
      <c r="B616" s="169" t="s">
        <v>41</v>
      </c>
      <c r="C616" s="169" t="s">
        <v>7409</v>
      </c>
      <c r="D616" s="159">
        <v>43480.0</v>
      </c>
      <c r="E616" s="157" t="s">
        <v>2</v>
      </c>
      <c r="F616" s="160">
        <v>76641.3</v>
      </c>
      <c r="G616" s="160">
        <v>12262.61</v>
      </c>
      <c r="H616" s="160">
        <f t="shared" si="28"/>
        <v>88903.91</v>
      </c>
      <c r="I616" s="172"/>
      <c r="J616" s="169"/>
      <c r="K616" s="172"/>
      <c r="L616" s="172">
        <f>+'FACUS$'!$H616-'FACUS$'!$I616-'FACUS$'!$K616</f>
        <v>88903.91</v>
      </c>
      <c r="M616" s="157" t="s">
        <v>875</v>
      </c>
      <c r="N616" s="157" t="s">
        <v>554</v>
      </c>
      <c r="O616" s="332">
        <v>43550.0</v>
      </c>
      <c r="P616" s="164">
        <f t="array" ref="P616">XLOOKUP('FACUS$'!$B616,'perfil de pagos'!$A$4:$A$46,'perfil de pagos'!$C$4:$C$46+'FACUS$'!$D616)</f>
        <v>43490</v>
      </c>
      <c r="Q616" s="165">
        <f t="shared" si="2"/>
        <v>0</v>
      </c>
      <c r="R616" s="171"/>
      <c r="S616" s="171"/>
      <c r="T616" s="171"/>
      <c r="U616" s="333" t="s">
        <v>7271</v>
      </c>
      <c r="V616" s="168">
        <f t="shared" si="3"/>
        <v>88903.91</v>
      </c>
      <c r="W616" s="168">
        <f t="shared" si="4"/>
        <v>0</v>
      </c>
      <c r="X616" s="168">
        <f t="shared" si="5"/>
        <v>0</v>
      </c>
      <c r="Y616" s="168">
        <f t="shared" si="6"/>
        <v>0</v>
      </c>
      <c r="Z616" s="168">
        <f t="shared" si="7"/>
        <v>0</v>
      </c>
      <c r="AA616" s="168">
        <f t="shared" si="8"/>
        <v>0</v>
      </c>
      <c r="AB616" s="168">
        <f t="shared" si="9"/>
        <v>0</v>
      </c>
    </row>
    <row r="617" ht="14.25" customHeight="1">
      <c r="A617" s="157">
        <v>1611.0</v>
      </c>
      <c r="B617" s="169" t="s">
        <v>33</v>
      </c>
      <c r="C617" s="169" t="s">
        <v>7426</v>
      </c>
      <c r="D617" s="159">
        <v>43503.0</v>
      </c>
      <c r="E617" s="157" t="s">
        <v>2</v>
      </c>
      <c r="F617" s="160">
        <v>53284.8</v>
      </c>
      <c r="G617" s="160">
        <v>8525.57</v>
      </c>
      <c r="H617" s="160">
        <f t="shared" si="28"/>
        <v>61810.37</v>
      </c>
      <c r="I617" s="172"/>
      <c r="J617" s="169"/>
      <c r="K617" s="172"/>
      <c r="L617" s="172">
        <f>+'FACUS$'!$H617-'FACUS$'!$I617-'FACUS$'!$K617</f>
        <v>61810.37</v>
      </c>
      <c r="M617" s="157" t="s">
        <v>958</v>
      </c>
      <c r="N617" s="162" t="s">
        <v>554</v>
      </c>
      <c r="O617" s="332">
        <v>43157.0</v>
      </c>
      <c r="P617" s="164">
        <f t="array" ref="P617">XLOOKUP('FACUS$'!$B617,'perfil de pagos'!$A$4:$A$46,'perfil de pagos'!$C$4:$C$46+'FACUS$'!$D617)</f>
        <v>43513</v>
      </c>
      <c r="Q617" s="165">
        <f t="shared" si="2"/>
        <v>0</v>
      </c>
      <c r="R617" s="171"/>
      <c r="S617" s="171"/>
      <c r="T617" s="171"/>
      <c r="U617" s="333" t="s">
        <v>7271</v>
      </c>
      <c r="V617" s="168">
        <f t="shared" si="3"/>
        <v>61810.37</v>
      </c>
      <c r="W617" s="168">
        <f t="shared" si="4"/>
        <v>0</v>
      </c>
      <c r="X617" s="168">
        <f t="shared" si="5"/>
        <v>0</v>
      </c>
      <c r="Y617" s="168">
        <f t="shared" si="6"/>
        <v>0</v>
      </c>
      <c r="Z617" s="168">
        <f t="shared" si="7"/>
        <v>0</v>
      </c>
      <c r="AA617" s="168">
        <f t="shared" si="8"/>
        <v>0</v>
      </c>
      <c r="AB617" s="168">
        <f t="shared" si="9"/>
        <v>0</v>
      </c>
    </row>
    <row r="618" ht="14.25" customHeight="1">
      <c r="A618" s="157">
        <v>1614.0</v>
      </c>
      <c r="B618" s="169" t="s">
        <v>103</v>
      </c>
      <c r="C618" s="169" t="s">
        <v>7426</v>
      </c>
      <c r="D618" s="159">
        <v>43503.0</v>
      </c>
      <c r="E618" s="157" t="s">
        <v>2</v>
      </c>
      <c r="F618" s="160">
        <v>72157.02</v>
      </c>
      <c r="G618" s="160">
        <v>11545.12</v>
      </c>
      <c r="H618" s="179">
        <f t="shared" si="28"/>
        <v>83702.14</v>
      </c>
      <c r="I618" s="173"/>
      <c r="J618" s="170"/>
      <c r="K618" s="173"/>
      <c r="L618" s="173">
        <f>+'FACUS$'!$H618-'FACUS$'!$I618-'FACUS$'!$K618</f>
        <v>83702.14</v>
      </c>
      <c r="M618" s="157" t="s">
        <v>103</v>
      </c>
      <c r="N618" s="162" t="s">
        <v>127</v>
      </c>
      <c r="O618" s="332"/>
      <c r="P618" s="164" t="str">
        <f t="array" ref="P618">XLOOKUP('FACUS$'!$B618,'perfil de pagos'!$A$4:$A$46,'perfil de pagos'!$C$4:$C$46+'FACUS$'!$D618)</f>
        <v>#N/A</v>
      </c>
      <c r="Q618" s="165" t="str">
        <f t="shared" si="2"/>
        <v>N/A</v>
      </c>
      <c r="R618" s="171" t="s">
        <v>7427</v>
      </c>
      <c r="S618" s="171"/>
      <c r="T618" s="171"/>
      <c r="U618" s="333" t="s">
        <v>7271</v>
      </c>
      <c r="V618" s="168">
        <f t="shared" si="3"/>
        <v>0</v>
      </c>
      <c r="W618" s="168">
        <f t="shared" si="4"/>
        <v>0</v>
      </c>
      <c r="X618" s="168">
        <f t="shared" si="5"/>
        <v>0</v>
      </c>
      <c r="Y618" s="168">
        <f t="shared" si="6"/>
        <v>0</v>
      </c>
      <c r="Z618" s="168">
        <f t="shared" si="7"/>
        <v>0</v>
      </c>
      <c r="AA618" s="168">
        <f t="shared" si="8"/>
        <v>0</v>
      </c>
      <c r="AB618" s="168">
        <f t="shared" si="9"/>
        <v>83702.14</v>
      </c>
    </row>
    <row r="619" ht="14.25" customHeight="1">
      <c r="A619" s="157">
        <v>1616.0</v>
      </c>
      <c r="B619" s="169" t="s">
        <v>37</v>
      </c>
      <c r="C619" s="169" t="s">
        <v>7426</v>
      </c>
      <c r="D619" s="159">
        <v>43509.0</v>
      </c>
      <c r="E619" s="157" t="s">
        <v>2</v>
      </c>
      <c r="F619" s="160">
        <v>101497.66</v>
      </c>
      <c r="G619" s="160">
        <v>16239.63</v>
      </c>
      <c r="H619" s="160">
        <f t="shared" si="28"/>
        <v>117737.29</v>
      </c>
      <c r="I619" s="172"/>
      <c r="J619" s="169"/>
      <c r="K619" s="172"/>
      <c r="L619" s="172">
        <f>+'FACUS$'!$H619-'FACUS$'!$I619-'FACUS$'!$K619</f>
        <v>117737.29</v>
      </c>
      <c r="M619" s="157" t="s">
        <v>718</v>
      </c>
      <c r="N619" s="162" t="s">
        <v>554</v>
      </c>
      <c r="O619" s="332">
        <v>43544.0</v>
      </c>
      <c r="P619" s="164">
        <f t="array" ref="P619">XLOOKUP('FACUS$'!$B619,'perfil de pagos'!$A$4:$A$46,'perfil de pagos'!$C$4:$C$46+'FACUS$'!$D619)</f>
        <v>43519</v>
      </c>
      <c r="Q619" s="165">
        <f t="shared" si="2"/>
        <v>0</v>
      </c>
      <c r="R619" s="171"/>
      <c r="S619" s="171" t="s">
        <v>910</v>
      </c>
      <c r="T619" s="171"/>
      <c r="U619" s="333" t="s">
        <v>7271</v>
      </c>
      <c r="V619" s="168">
        <f t="shared" si="3"/>
        <v>117737.29</v>
      </c>
      <c r="W619" s="168">
        <f t="shared" si="4"/>
        <v>0</v>
      </c>
      <c r="X619" s="168">
        <f t="shared" si="5"/>
        <v>0</v>
      </c>
      <c r="Y619" s="168">
        <f t="shared" si="6"/>
        <v>0</v>
      </c>
      <c r="Z619" s="168">
        <f t="shared" si="7"/>
        <v>0</v>
      </c>
      <c r="AA619" s="168">
        <f t="shared" si="8"/>
        <v>0</v>
      </c>
      <c r="AB619" s="168">
        <f t="shared" si="9"/>
        <v>0</v>
      </c>
    </row>
    <row r="620" ht="14.25" customHeight="1">
      <c r="A620" s="157">
        <v>1618.0</v>
      </c>
      <c r="B620" s="169" t="s">
        <v>18</v>
      </c>
      <c r="C620" s="169" t="s">
        <v>7428</v>
      </c>
      <c r="D620" s="159">
        <v>43509.0</v>
      </c>
      <c r="E620" s="157" t="s">
        <v>2</v>
      </c>
      <c r="F620" s="160">
        <v>15187.68</v>
      </c>
      <c r="G620" s="160">
        <v>2430.03</v>
      </c>
      <c r="H620" s="160">
        <f t="shared" si="28"/>
        <v>17617.71</v>
      </c>
      <c r="I620" s="172"/>
      <c r="J620" s="169"/>
      <c r="K620" s="172"/>
      <c r="L620" s="172">
        <f>+'FACUS$'!$H620-'FACUS$'!$I620-'FACUS$'!$K620</f>
        <v>17617.71</v>
      </c>
      <c r="M620" s="157" t="s">
        <v>586</v>
      </c>
      <c r="N620" s="157" t="s">
        <v>554</v>
      </c>
      <c r="O620" s="332">
        <v>43585.0</v>
      </c>
      <c r="P620" s="164">
        <f t="array" ref="P620">XLOOKUP('FACUS$'!$B620,'perfil de pagos'!$A$4:$A$46,'perfil de pagos'!$C$4:$C$46+'FACUS$'!$D620)</f>
        <v>43519</v>
      </c>
      <c r="Q620" s="165">
        <f t="shared" si="2"/>
        <v>0</v>
      </c>
      <c r="R620" s="171"/>
      <c r="S620" s="171"/>
      <c r="T620" s="363"/>
      <c r="U620" s="333" t="s">
        <v>7271</v>
      </c>
      <c r="V620" s="168">
        <f t="shared" si="3"/>
        <v>17617.71</v>
      </c>
      <c r="W620" s="168">
        <f t="shared" si="4"/>
        <v>0</v>
      </c>
      <c r="X620" s="168">
        <f t="shared" si="5"/>
        <v>0</v>
      </c>
      <c r="Y620" s="168">
        <f t="shared" si="6"/>
        <v>0</v>
      </c>
      <c r="Z620" s="168">
        <f t="shared" si="7"/>
        <v>0</v>
      </c>
      <c r="AA620" s="168">
        <f t="shared" si="8"/>
        <v>0</v>
      </c>
      <c r="AB620" s="168">
        <f t="shared" si="9"/>
        <v>0</v>
      </c>
    </row>
    <row r="621" ht="14.25" customHeight="1">
      <c r="A621" s="157">
        <v>1621.0</v>
      </c>
      <c r="B621" s="169" t="s">
        <v>29</v>
      </c>
      <c r="C621" s="169" t="s">
        <v>7429</v>
      </c>
      <c r="D621" s="159">
        <v>43514.0</v>
      </c>
      <c r="E621" s="157" t="s">
        <v>2</v>
      </c>
      <c r="F621" s="160">
        <v>38558.1</v>
      </c>
      <c r="G621" s="160">
        <v>6169.3</v>
      </c>
      <c r="H621" s="160">
        <f t="shared" si="28"/>
        <v>44727.4</v>
      </c>
      <c r="I621" s="172"/>
      <c r="J621" s="169"/>
      <c r="K621" s="172"/>
      <c r="L621" s="172">
        <f>+'FACUS$'!$H621-'FACUS$'!$I621-'FACUS$'!$K621</f>
        <v>44727.4</v>
      </c>
      <c r="M621" s="157" t="s">
        <v>825</v>
      </c>
      <c r="N621" s="162" t="s">
        <v>554</v>
      </c>
      <c r="O621" s="332">
        <v>43521.0</v>
      </c>
      <c r="P621" s="164">
        <f t="array" ref="P621">XLOOKUP('FACUS$'!$B621,'perfil de pagos'!$A$4:$A$46,'perfil de pagos'!$C$4:$C$46+'FACUS$'!$D621)</f>
        <v>43524</v>
      </c>
      <c r="Q621" s="165">
        <f t="shared" si="2"/>
        <v>0</v>
      </c>
      <c r="R621" s="171"/>
      <c r="S621" s="171"/>
      <c r="T621" s="171"/>
      <c r="U621" s="333" t="s">
        <v>7271</v>
      </c>
      <c r="V621" s="168">
        <f t="shared" si="3"/>
        <v>44727.4</v>
      </c>
      <c r="W621" s="168">
        <f t="shared" si="4"/>
        <v>0</v>
      </c>
      <c r="X621" s="168">
        <f t="shared" si="5"/>
        <v>0</v>
      </c>
      <c r="Y621" s="168">
        <f t="shared" si="6"/>
        <v>0</v>
      </c>
      <c r="Z621" s="168">
        <f t="shared" si="7"/>
        <v>0</v>
      </c>
      <c r="AA621" s="168">
        <f t="shared" si="8"/>
        <v>0</v>
      </c>
      <c r="AB621" s="168">
        <f t="shared" si="9"/>
        <v>0</v>
      </c>
    </row>
    <row r="622" ht="14.25" customHeight="1">
      <c r="A622" s="157">
        <v>1624.0</v>
      </c>
      <c r="B622" s="169" t="s">
        <v>43</v>
      </c>
      <c r="C622" s="169" t="s">
        <v>7429</v>
      </c>
      <c r="D622" s="159">
        <v>43514.0</v>
      </c>
      <c r="E622" s="157" t="s">
        <v>2</v>
      </c>
      <c r="F622" s="160">
        <v>54486.3</v>
      </c>
      <c r="G622" s="160">
        <v>8717.81</v>
      </c>
      <c r="H622" s="160">
        <f t="shared" si="28"/>
        <v>63204.11</v>
      </c>
      <c r="I622" s="172"/>
      <c r="J622" s="169"/>
      <c r="K622" s="172"/>
      <c r="L622" s="172">
        <f>+'FACUS$'!$H622-'FACUS$'!$I622-'FACUS$'!$K622</f>
        <v>63204.11</v>
      </c>
      <c r="M622" s="157" t="s">
        <v>43</v>
      </c>
      <c r="N622" s="162" t="s">
        <v>554</v>
      </c>
      <c r="O622" s="332">
        <v>43523.0</v>
      </c>
      <c r="P622" s="164">
        <f t="array" ref="P622">XLOOKUP('FACUS$'!$B622,'perfil de pagos'!$A$4:$A$46,'perfil de pagos'!$C$4:$C$46+'FACUS$'!$D622)</f>
        <v>43539</v>
      </c>
      <c r="Q622" s="165">
        <f t="shared" si="2"/>
        <v>0</v>
      </c>
      <c r="R622" s="171" t="s">
        <v>7430</v>
      </c>
      <c r="S622" s="171"/>
      <c r="T622" s="171"/>
      <c r="U622" s="333" t="s">
        <v>7271</v>
      </c>
      <c r="V622" s="168">
        <f t="shared" si="3"/>
        <v>63204.11</v>
      </c>
      <c r="W622" s="168">
        <f t="shared" si="4"/>
        <v>0</v>
      </c>
      <c r="X622" s="168">
        <f t="shared" si="5"/>
        <v>0</v>
      </c>
      <c r="Y622" s="168">
        <f t="shared" si="6"/>
        <v>0</v>
      </c>
      <c r="Z622" s="168">
        <f t="shared" si="7"/>
        <v>0</v>
      </c>
      <c r="AA622" s="168">
        <f t="shared" si="8"/>
        <v>0</v>
      </c>
      <c r="AB622" s="168">
        <f t="shared" si="9"/>
        <v>0</v>
      </c>
    </row>
    <row r="623" ht="14.25" customHeight="1">
      <c r="A623" s="157">
        <v>1626.0</v>
      </c>
      <c r="B623" s="169" t="s">
        <v>33</v>
      </c>
      <c r="C623" s="169" t="s">
        <v>7429</v>
      </c>
      <c r="D623" s="159">
        <v>43514.0</v>
      </c>
      <c r="E623" s="157" t="s">
        <v>2</v>
      </c>
      <c r="F623" s="160">
        <v>49517.6</v>
      </c>
      <c r="G623" s="160">
        <v>7922.82</v>
      </c>
      <c r="H623" s="160">
        <f t="shared" si="28"/>
        <v>57440.42</v>
      </c>
      <c r="I623" s="172"/>
      <c r="J623" s="169"/>
      <c r="K623" s="172"/>
      <c r="L623" s="172">
        <f>+'FACUS$'!$H623-'FACUS$'!$I623-'FACUS$'!$K623</f>
        <v>57440.42</v>
      </c>
      <c r="M623" s="157" t="s">
        <v>958</v>
      </c>
      <c r="N623" s="157" t="s">
        <v>554</v>
      </c>
      <c r="O623" s="332">
        <v>43546.0</v>
      </c>
      <c r="P623" s="164">
        <f t="array" ref="P623">XLOOKUP('FACUS$'!$B623,'perfil de pagos'!$A$4:$A$46,'perfil de pagos'!$C$4:$C$46+'FACUS$'!$D623)</f>
        <v>43524</v>
      </c>
      <c r="Q623" s="165">
        <f t="shared" si="2"/>
        <v>0</v>
      </c>
      <c r="R623" s="171"/>
      <c r="S623" s="171"/>
      <c r="T623" s="171"/>
      <c r="U623" s="333" t="s">
        <v>7271</v>
      </c>
      <c r="V623" s="168">
        <f t="shared" si="3"/>
        <v>57440.42</v>
      </c>
      <c r="W623" s="168">
        <f t="shared" si="4"/>
        <v>0</v>
      </c>
      <c r="X623" s="168">
        <f t="shared" si="5"/>
        <v>0</v>
      </c>
      <c r="Y623" s="168">
        <f t="shared" si="6"/>
        <v>0</v>
      </c>
      <c r="Z623" s="168">
        <f t="shared" si="7"/>
        <v>0</v>
      </c>
      <c r="AA623" s="168">
        <f t="shared" si="8"/>
        <v>0</v>
      </c>
      <c r="AB623" s="168">
        <f t="shared" si="9"/>
        <v>0</v>
      </c>
    </row>
    <row r="624" ht="14.25" customHeight="1">
      <c r="A624" s="157">
        <v>1627.0</v>
      </c>
      <c r="B624" s="169"/>
      <c r="C624" s="169"/>
      <c r="D624" s="159"/>
      <c r="E624" s="157"/>
      <c r="F624" s="160"/>
      <c r="G624" s="160"/>
      <c r="H624" s="160"/>
      <c r="I624" s="172"/>
      <c r="J624" s="169"/>
      <c r="K624" s="172"/>
      <c r="L624" s="172">
        <f>+'FACUS$'!$H624-'FACUS$'!$I624-'FACUS$'!$K624</f>
        <v>0</v>
      </c>
      <c r="M624" s="157"/>
      <c r="N624" s="162" t="s">
        <v>127</v>
      </c>
      <c r="O624" s="332"/>
      <c r="P624" s="164" t="str">
        <f t="array" ref="P624">XLOOKUP('FACUS$'!$B624,'perfil de pagos'!$A$4:$A$46,'perfil de pagos'!$C$4:$C$46+'FACUS$'!$D624)</f>
        <v>#N/A</v>
      </c>
      <c r="Q624" s="165" t="str">
        <f t="shared" si="2"/>
        <v>N/A</v>
      </c>
      <c r="R624" s="171"/>
      <c r="S624" s="171"/>
      <c r="T624" s="171"/>
      <c r="U624" s="333" t="s">
        <v>7271</v>
      </c>
      <c r="V624" s="168">
        <f t="shared" si="3"/>
        <v>0</v>
      </c>
      <c r="W624" s="168">
        <f t="shared" si="4"/>
        <v>0</v>
      </c>
      <c r="X624" s="168">
        <f t="shared" si="5"/>
        <v>0</v>
      </c>
      <c r="Y624" s="168">
        <f t="shared" si="6"/>
        <v>0</v>
      </c>
      <c r="Z624" s="168">
        <f t="shared" si="7"/>
        <v>0</v>
      </c>
      <c r="AA624" s="168">
        <f t="shared" si="8"/>
        <v>0</v>
      </c>
      <c r="AB624" s="168">
        <f t="shared" si="9"/>
        <v>0</v>
      </c>
    </row>
    <row r="625" ht="14.25" customHeight="1">
      <c r="A625" s="157">
        <v>1628.0</v>
      </c>
      <c r="B625" s="169" t="s">
        <v>24</v>
      </c>
      <c r="C625" s="169" t="s">
        <v>7431</v>
      </c>
      <c r="D625" s="159">
        <v>43514.0</v>
      </c>
      <c r="E625" s="157" t="s">
        <v>2</v>
      </c>
      <c r="F625" s="160">
        <v>735.0</v>
      </c>
      <c r="G625" s="160">
        <v>117.6</v>
      </c>
      <c r="H625" s="160">
        <f t="shared" ref="H625:H915" si="29">F625+G625</f>
        <v>852.6</v>
      </c>
      <c r="I625" s="172"/>
      <c r="J625" s="169"/>
      <c r="K625" s="172"/>
      <c r="L625" s="172">
        <f>+'FACUS$'!$H625-'FACUS$'!$I625-'FACUS$'!$K625</f>
        <v>852.6</v>
      </c>
      <c r="M625" s="157" t="s">
        <v>91</v>
      </c>
      <c r="N625" s="362" t="s">
        <v>554</v>
      </c>
      <c r="O625" s="332">
        <v>43545.0</v>
      </c>
      <c r="P625" s="164">
        <f t="array" ref="P625">XLOOKUP('FACUS$'!$B625,'perfil de pagos'!$A$4:$A$46,'perfil de pagos'!$C$4:$C$46+'FACUS$'!$D625)</f>
        <v>43524</v>
      </c>
      <c r="Q625" s="165">
        <f t="shared" si="2"/>
        <v>0</v>
      </c>
      <c r="R625" s="171"/>
      <c r="S625" s="171"/>
      <c r="T625" s="171"/>
      <c r="U625" s="333" t="s">
        <v>7271</v>
      </c>
      <c r="V625" s="168">
        <f t="shared" si="3"/>
        <v>852.6</v>
      </c>
      <c r="W625" s="168">
        <f t="shared" si="4"/>
        <v>0</v>
      </c>
      <c r="X625" s="168">
        <f t="shared" si="5"/>
        <v>0</v>
      </c>
      <c r="Y625" s="168">
        <f t="shared" si="6"/>
        <v>0</v>
      </c>
      <c r="Z625" s="168">
        <f t="shared" si="7"/>
        <v>0</v>
      </c>
      <c r="AA625" s="168">
        <f t="shared" si="8"/>
        <v>0</v>
      </c>
      <c r="AB625" s="168">
        <f t="shared" si="9"/>
        <v>0</v>
      </c>
    </row>
    <row r="626" ht="14.25" customHeight="1">
      <c r="A626" s="157">
        <v>1631.0</v>
      </c>
      <c r="B626" s="169" t="s">
        <v>37</v>
      </c>
      <c r="C626" s="166" t="s">
        <v>909</v>
      </c>
      <c r="D626" s="159">
        <v>43514.0</v>
      </c>
      <c r="E626" s="157" t="s">
        <v>2</v>
      </c>
      <c r="F626" s="160">
        <v>86866.01</v>
      </c>
      <c r="G626" s="160">
        <v>13898.56</v>
      </c>
      <c r="H626" s="160">
        <f t="shared" si="29"/>
        <v>100764.57</v>
      </c>
      <c r="I626" s="172"/>
      <c r="J626" s="169"/>
      <c r="K626" s="172"/>
      <c r="L626" s="172">
        <f>+'FACUS$'!$H626-'FACUS$'!$I626-'FACUS$'!$K626</f>
        <v>100764.57</v>
      </c>
      <c r="M626" s="157" t="s">
        <v>718</v>
      </c>
      <c r="N626" s="162" t="s">
        <v>554</v>
      </c>
      <c r="O626" s="332">
        <v>43544.0</v>
      </c>
      <c r="P626" s="164">
        <f t="array" ref="P626">XLOOKUP('FACUS$'!$B626,'perfil de pagos'!$A$4:$A$46,'perfil de pagos'!$C$4:$C$46+'FACUS$'!$D626)</f>
        <v>43524</v>
      </c>
      <c r="Q626" s="165">
        <f t="shared" si="2"/>
        <v>0</v>
      </c>
      <c r="R626" s="171"/>
      <c r="S626" s="171" t="s">
        <v>910</v>
      </c>
      <c r="T626" s="171"/>
      <c r="U626" s="333" t="s">
        <v>7271</v>
      </c>
      <c r="V626" s="168">
        <f t="shared" si="3"/>
        <v>100764.57</v>
      </c>
      <c r="W626" s="168">
        <f t="shared" si="4"/>
        <v>0</v>
      </c>
      <c r="X626" s="168">
        <f t="shared" si="5"/>
        <v>0</v>
      </c>
      <c r="Y626" s="168">
        <f t="shared" si="6"/>
        <v>0</v>
      </c>
      <c r="Z626" s="168">
        <f t="shared" si="7"/>
        <v>0</v>
      </c>
      <c r="AA626" s="168">
        <f t="shared" si="8"/>
        <v>0</v>
      </c>
      <c r="AB626" s="168">
        <f t="shared" si="9"/>
        <v>0</v>
      </c>
    </row>
    <row r="627" ht="14.25" customHeight="1">
      <c r="A627" s="157">
        <v>1633.0</v>
      </c>
      <c r="B627" s="169" t="s">
        <v>18</v>
      </c>
      <c r="C627" s="169" t="s">
        <v>7429</v>
      </c>
      <c r="D627" s="159">
        <v>43514.0</v>
      </c>
      <c r="E627" s="157" t="s">
        <v>2</v>
      </c>
      <c r="F627" s="160">
        <v>11664.24</v>
      </c>
      <c r="G627" s="160">
        <v>1866.28</v>
      </c>
      <c r="H627" s="160">
        <f t="shared" si="29"/>
        <v>13530.52</v>
      </c>
      <c r="I627" s="172"/>
      <c r="J627" s="169"/>
      <c r="K627" s="172"/>
      <c r="L627" s="172">
        <f>+'FACUS$'!$H627-'FACUS$'!$I627-'FACUS$'!$K627</f>
        <v>13530.52</v>
      </c>
      <c r="M627" s="157" t="s">
        <v>586</v>
      </c>
      <c r="N627" s="157" t="s">
        <v>554</v>
      </c>
      <c r="O627" s="332">
        <v>43585.0</v>
      </c>
      <c r="P627" s="164">
        <f t="array" ref="P627">XLOOKUP('FACUS$'!$B627,'perfil de pagos'!$A$4:$A$46,'perfil de pagos'!$C$4:$C$46+'FACUS$'!$D627)</f>
        <v>43524</v>
      </c>
      <c r="Q627" s="165">
        <f t="shared" si="2"/>
        <v>0</v>
      </c>
      <c r="R627" s="171"/>
      <c r="S627" s="171"/>
      <c r="T627" s="171"/>
      <c r="U627" s="333" t="s">
        <v>7271</v>
      </c>
      <c r="V627" s="168">
        <f t="shared" si="3"/>
        <v>13530.52</v>
      </c>
      <c r="W627" s="168">
        <f t="shared" si="4"/>
        <v>0</v>
      </c>
      <c r="X627" s="168">
        <f t="shared" si="5"/>
        <v>0</v>
      </c>
      <c r="Y627" s="168">
        <f t="shared" si="6"/>
        <v>0</v>
      </c>
      <c r="Z627" s="168">
        <f t="shared" si="7"/>
        <v>0</v>
      </c>
      <c r="AA627" s="168">
        <f t="shared" si="8"/>
        <v>0</v>
      </c>
      <c r="AB627" s="168">
        <f t="shared" si="9"/>
        <v>0</v>
      </c>
    </row>
    <row r="628" ht="14.25" customHeight="1">
      <c r="A628" s="157">
        <v>1635.0</v>
      </c>
      <c r="B628" s="169" t="s">
        <v>20</v>
      </c>
      <c r="C628" s="169" t="s">
        <v>7429</v>
      </c>
      <c r="D628" s="159">
        <v>43514.0</v>
      </c>
      <c r="E628" s="157" t="s">
        <v>2</v>
      </c>
      <c r="F628" s="160">
        <v>5952.96</v>
      </c>
      <c r="G628" s="160">
        <v>952.47</v>
      </c>
      <c r="H628" s="160">
        <f t="shared" si="29"/>
        <v>6905.43</v>
      </c>
      <c r="I628" s="172"/>
      <c r="J628" s="169"/>
      <c r="K628" s="172"/>
      <c r="L628" s="172">
        <f>+'FACUS$'!$H628-'FACUS$'!$I628-'FACUS$'!$K628</f>
        <v>6905.43</v>
      </c>
      <c r="M628" s="157" t="s">
        <v>732</v>
      </c>
      <c r="N628" s="157" t="s">
        <v>554</v>
      </c>
      <c r="O628" s="332">
        <v>43585.0</v>
      </c>
      <c r="P628" s="164">
        <f t="array" ref="P628">XLOOKUP('FACUS$'!$B628,'perfil de pagos'!$A$4:$A$46,'perfil de pagos'!$C$4:$C$46+'FACUS$'!$D628)</f>
        <v>43524</v>
      </c>
      <c r="Q628" s="165">
        <f t="shared" si="2"/>
        <v>0</v>
      </c>
      <c r="R628" s="171"/>
      <c r="S628" s="171"/>
      <c r="T628" s="171"/>
      <c r="U628" s="333" t="s">
        <v>7271</v>
      </c>
      <c r="V628" s="168">
        <f t="shared" si="3"/>
        <v>6905.43</v>
      </c>
      <c r="W628" s="168">
        <f t="shared" si="4"/>
        <v>0</v>
      </c>
      <c r="X628" s="168">
        <f t="shared" si="5"/>
        <v>0</v>
      </c>
      <c r="Y628" s="168">
        <f t="shared" si="6"/>
        <v>0</v>
      </c>
      <c r="Z628" s="168">
        <f t="shared" si="7"/>
        <v>0</v>
      </c>
      <c r="AA628" s="168">
        <f t="shared" si="8"/>
        <v>0</v>
      </c>
      <c r="AB628" s="168">
        <f t="shared" si="9"/>
        <v>0</v>
      </c>
    </row>
    <row r="629" ht="14.25" customHeight="1">
      <c r="A629" s="157">
        <v>1636.0</v>
      </c>
      <c r="B629" s="169" t="s">
        <v>70</v>
      </c>
      <c r="C629" s="169" t="s">
        <v>7432</v>
      </c>
      <c r="D629" s="159">
        <v>43515.0</v>
      </c>
      <c r="E629" s="157" t="s">
        <v>600</v>
      </c>
      <c r="F629" s="160">
        <v>33600.0</v>
      </c>
      <c r="G629" s="160">
        <v>5376.0</v>
      </c>
      <c r="H629" s="160">
        <f t="shared" si="29"/>
        <v>38976</v>
      </c>
      <c r="I629" s="172"/>
      <c r="J629" s="169"/>
      <c r="K629" s="172"/>
      <c r="L629" s="172">
        <f>+'FACUS$'!$H629-'FACUS$'!$I629-'FACUS$'!$K629</f>
        <v>38976</v>
      </c>
      <c r="M629" s="157" t="s">
        <v>719</v>
      </c>
      <c r="N629" s="162" t="s">
        <v>127</v>
      </c>
      <c r="O629" s="332"/>
      <c r="P629" s="164" t="str">
        <f t="array" ref="P629">XLOOKUP('FACUS$'!$B629,'perfil de pagos'!$A$4:$A$46,'perfil de pagos'!$C$4:$C$46+'FACUS$'!$D629)</f>
        <v>#N/A</v>
      </c>
      <c r="Q629" s="165" t="str">
        <f t="shared" si="2"/>
        <v>N/A</v>
      </c>
      <c r="R629" s="171"/>
      <c r="S629" s="171"/>
      <c r="T629" s="171"/>
      <c r="U629" s="333" t="s">
        <v>7271</v>
      </c>
      <c r="V629" s="168">
        <f t="shared" si="3"/>
        <v>0</v>
      </c>
      <c r="W629" s="168">
        <f t="shared" si="4"/>
        <v>0</v>
      </c>
      <c r="X629" s="168">
        <f t="shared" si="5"/>
        <v>0</v>
      </c>
      <c r="Y629" s="168">
        <f t="shared" si="6"/>
        <v>0</v>
      </c>
      <c r="Z629" s="168">
        <f t="shared" si="7"/>
        <v>0</v>
      </c>
      <c r="AA629" s="168">
        <f t="shared" si="8"/>
        <v>0</v>
      </c>
      <c r="AB629" s="168">
        <f t="shared" si="9"/>
        <v>38976</v>
      </c>
    </row>
    <row r="630" ht="14.25" customHeight="1">
      <c r="A630" s="157">
        <v>1639.0</v>
      </c>
      <c r="B630" s="169" t="s">
        <v>41</v>
      </c>
      <c r="C630" s="169" t="s">
        <v>7429</v>
      </c>
      <c r="D630" s="159">
        <v>43516.0</v>
      </c>
      <c r="E630" s="157" t="s">
        <v>600</v>
      </c>
      <c r="F630" s="160">
        <v>52730.1</v>
      </c>
      <c r="G630" s="160">
        <v>8436.82</v>
      </c>
      <c r="H630" s="160">
        <f t="shared" si="29"/>
        <v>61166.92</v>
      </c>
      <c r="I630" s="172"/>
      <c r="J630" s="169"/>
      <c r="K630" s="172"/>
      <c r="L630" s="172">
        <f>+'FACUS$'!$H630-'FACUS$'!$I630-'FACUS$'!$K630</f>
        <v>61166.92</v>
      </c>
      <c r="M630" s="157" t="s">
        <v>875</v>
      </c>
      <c r="N630" s="157" t="s">
        <v>554</v>
      </c>
      <c r="O630" s="332">
        <v>43584.0</v>
      </c>
      <c r="P630" s="164">
        <f t="array" ref="P630">XLOOKUP('FACUS$'!$B630,'perfil de pagos'!$A$4:$A$46,'perfil de pagos'!$C$4:$C$46+'FACUS$'!$D630)</f>
        <v>43526</v>
      </c>
      <c r="Q630" s="165">
        <f t="shared" si="2"/>
        <v>0</v>
      </c>
      <c r="R630" s="171"/>
      <c r="S630" s="171"/>
      <c r="T630" s="171"/>
      <c r="U630" s="333" t="s">
        <v>7271</v>
      </c>
      <c r="V630" s="168">
        <f t="shared" si="3"/>
        <v>61166.92</v>
      </c>
      <c r="W630" s="168">
        <f t="shared" si="4"/>
        <v>0</v>
      </c>
      <c r="X630" s="168">
        <f t="shared" si="5"/>
        <v>0</v>
      </c>
      <c r="Y630" s="168">
        <f t="shared" si="6"/>
        <v>0</v>
      </c>
      <c r="Z630" s="168">
        <f t="shared" si="7"/>
        <v>0</v>
      </c>
      <c r="AA630" s="168">
        <f t="shared" si="8"/>
        <v>0</v>
      </c>
      <c r="AB630" s="168">
        <f t="shared" si="9"/>
        <v>0</v>
      </c>
    </row>
    <row r="631" ht="14.25" customHeight="1">
      <c r="A631" s="157">
        <v>1640.0</v>
      </c>
      <c r="B631" s="169" t="s">
        <v>90</v>
      </c>
      <c r="C631" s="169" t="s">
        <v>7433</v>
      </c>
      <c r="D631" s="159">
        <v>43517.0</v>
      </c>
      <c r="E631" s="157" t="s">
        <v>600</v>
      </c>
      <c r="F631" s="160">
        <v>33600.0</v>
      </c>
      <c r="G631" s="160">
        <v>5376.0</v>
      </c>
      <c r="H631" s="160">
        <f t="shared" si="29"/>
        <v>38976</v>
      </c>
      <c r="I631" s="172"/>
      <c r="J631" s="169"/>
      <c r="K631" s="172"/>
      <c r="L631" s="172">
        <f>+'FACUS$'!$H631-'FACUS$'!$I631-'FACUS$'!$K631</f>
        <v>38976</v>
      </c>
      <c r="M631" s="157" t="s">
        <v>719</v>
      </c>
      <c r="N631" s="162" t="s">
        <v>554</v>
      </c>
      <c r="O631" s="332">
        <v>43518.0</v>
      </c>
      <c r="P631" s="164" t="str">
        <f t="array" ref="P631">XLOOKUP('FACUS$'!$B631,'perfil de pagos'!$A$4:$A$46,'perfil de pagos'!$C$4:$C$46+'FACUS$'!$D631)</f>
        <v>#N/A</v>
      </c>
      <c r="Q631" s="165">
        <f t="shared" si="2"/>
        <v>0</v>
      </c>
      <c r="R631" s="171"/>
      <c r="S631" s="171"/>
      <c r="T631" s="171"/>
      <c r="U631" s="333" t="s">
        <v>7271</v>
      </c>
      <c r="V631" s="168">
        <f t="shared" si="3"/>
        <v>38976</v>
      </c>
      <c r="W631" s="168">
        <f t="shared" si="4"/>
        <v>0</v>
      </c>
      <c r="X631" s="168">
        <f t="shared" si="5"/>
        <v>0</v>
      </c>
      <c r="Y631" s="168">
        <f t="shared" si="6"/>
        <v>0</v>
      </c>
      <c r="Z631" s="168">
        <f t="shared" si="7"/>
        <v>0</v>
      </c>
      <c r="AA631" s="168">
        <f t="shared" si="8"/>
        <v>0</v>
      </c>
      <c r="AB631" s="168">
        <f t="shared" si="9"/>
        <v>0</v>
      </c>
    </row>
    <row r="632" ht="14.25" customHeight="1">
      <c r="A632" s="157">
        <v>1641.0</v>
      </c>
      <c r="B632" s="169" t="s">
        <v>29</v>
      </c>
      <c r="C632" s="169" t="s">
        <v>7434</v>
      </c>
      <c r="D632" s="159">
        <v>43522.0</v>
      </c>
      <c r="E632" s="157" t="s">
        <v>600</v>
      </c>
      <c r="F632" s="160">
        <v>6500.0</v>
      </c>
      <c r="G632" s="160">
        <v>1040.0</v>
      </c>
      <c r="H632" s="179">
        <f t="shared" si="29"/>
        <v>7540</v>
      </c>
      <c r="I632" s="173"/>
      <c r="J632" s="170"/>
      <c r="K632" s="173"/>
      <c r="L632" s="173">
        <f>+'FACUS$'!$H632-'FACUS$'!$I632-'FACUS$'!$K632</f>
        <v>7540</v>
      </c>
      <c r="M632" s="157" t="s">
        <v>922</v>
      </c>
      <c r="N632" s="157" t="s">
        <v>554</v>
      </c>
      <c r="O632" s="332">
        <v>43739.0</v>
      </c>
      <c r="P632" s="164">
        <f t="array" ref="P632">XLOOKUP('FACUS$'!$B632,'perfil de pagos'!$A$4:$A$46,'perfil de pagos'!$C$4:$C$46+'FACUS$'!$D632)</f>
        <v>43532</v>
      </c>
      <c r="Q632" s="165">
        <f t="shared" si="2"/>
        <v>0</v>
      </c>
      <c r="R632" s="171"/>
      <c r="S632" s="171"/>
      <c r="T632" s="171"/>
      <c r="U632" s="333" t="s">
        <v>7271</v>
      </c>
      <c r="V632" s="168">
        <f t="shared" si="3"/>
        <v>7540</v>
      </c>
      <c r="W632" s="168">
        <f t="shared" si="4"/>
        <v>0</v>
      </c>
      <c r="X632" s="168">
        <f t="shared" si="5"/>
        <v>0</v>
      </c>
      <c r="Y632" s="168">
        <f t="shared" si="6"/>
        <v>0</v>
      </c>
      <c r="Z632" s="168">
        <f t="shared" si="7"/>
        <v>0</v>
      </c>
      <c r="AA632" s="168">
        <f t="shared" si="8"/>
        <v>0</v>
      </c>
      <c r="AB632" s="168">
        <f t="shared" si="9"/>
        <v>0</v>
      </c>
    </row>
    <row r="633" ht="14.25" customHeight="1">
      <c r="A633" s="157">
        <v>1642.0</v>
      </c>
      <c r="B633" s="169" t="s">
        <v>29</v>
      </c>
      <c r="C633" s="169" t="s">
        <v>7435</v>
      </c>
      <c r="D633" s="159">
        <v>43522.0</v>
      </c>
      <c r="E633" s="157" t="s">
        <v>600</v>
      </c>
      <c r="F633" s="160">
        <v>2500.0</v>
      </c>
      <c r="G633" s="160">
        <v>400.0</v>
      </c>
      <c r="H633" s="160">
        <f t="shared" si="29"/>
        <v>2900</v>
      </c>
      <c r="I633" s="172"/>
      <c r="J633" s="169"/>
      <c r="K633" s="172"/>
      <c r="L633" s="172">
        <f>+'FACUS$'!$H633-'FACUS$'!$I633-'FACUS$'!$K633</f>
        <v>2900</v>
      </c>
      <c r="M633" s="157" t="s">
        <v>922</v>
      </c>
      <c r="N633" s="157" t="s">
        <v>554</v>
      </c>
      <c r="O633" s="332">
        <v>43739.0</v>
      </c>
      <c r="P633" s="164">
        <f t="array" ref="P633">XLOOKUP('FACUS$'!$B633,'perfil de pagos'!$A$4:$A$46,'perfil de pagos'!$C$4:$C$46+'FACUS$'!$D633)</f>
        <v>43532</v>
      </c>
      <c r="Q633" s="165">
        <f t="shared" si="2"/>
        <v>0</v>
      </c>
      <c r="R633" s="171"/>
      <c r="S633" s="171"/>
      <c r="T633" s="171"/>
      <c r="U633" s="333" t="s">
        <v>7271</v>
      </c>
      <c r="V633" s="168">
        <f t="shared" si="3"/>
        <v>2900</v>
      </c>
      <c r="W633" s="168">
        <f t="shared" si="4"/>
        <v>0</v>
      </c>
      <c r="X633" s="168">
        <f t="shared" si="5"/>
        <v>0</v>
      </c>
      <c r="Y633" s="168">
        <f t="shared" si="6"/>
        <v>0</v>
      </c>
      <c r="Z633" s="168">
        <f t="shared" si="7"/>
        <v>0</v>
      </c>
      <c r="AA633" s="168">
        <f t="shared" si="8"/>
        <v>0</v>
      </c>
      <c r="AB633" s="168">
        <f t="shared" si="9"/>
        <v>0</v>
      </c>
    </row>
    <row r="634" ht="14.25" customHeight="1">
      <c r="A634" s="157">
        <v>1643.0</v>
      </c>
      <c r="B634" s="169" t="s">
        <v>29</v>
      </c>
      <c r="C634" s="169" t="s">
        <v>7436</v>
      </c>
      <c r="D634" s="159">
        <v>43522.0</v>
      </c>
      <c r="E634" s="157" t="s">
        <v>600</v>
      </c>
      <c r="F634" s="160">
        <v>15000.0</v>
      </c>
      <c r="G634" s="160">
        <v>2400.0</v>
      </c>
      <c r="H634" s="160">
        <f t="shared" si="29"/>
        <v>17400</v>
      </c>
      <c r="I634" s="172"/>
      <c r="J634" s="169"/>
      <c r="K634" s="172"/>
      <c r="L634" s="172">
        <f>+'FACUS$'!$H634-'FACUS$'!$I634-'FACUS$'!$K634</f>
        <v>17400</v>
      </c>
      <c r="M634" s="157" t="s">
        <v>921</v>
      </c>
      <c r="N634" s="157" t="s">
        <v>554</v>
      </c>
      <c r="O634" s="332">
        <v>43579.0</v>
      </c>
      <c r="P634" s="164">
        <f t="array" ref="P634">XLOOKUP('FACUS$'!$B634,'perfil de pagos'!$A$4:$A$46,'perfil de pagos'!$C$4:$C$46+'FACUS$'!$D634)</f>
        <v>43532</v>
      </c>
      <c r="Q634" s="165">
        <f t="shared" si="2"/>
        <v>0</v>
      </c>
      <c r="R634" s="171"/>
      <c r="S634" s="171"/>
      <c r="T634" s="171"/>
      <c r="U634" s="333" t="s">
        <v>7271</v>
      </c>
      <c r="V634" s="168">
        <f t="shared" si="3"/>
        <v>17400</v>
      </c>
      <c r="W634" s="168">
        <f t="shared" si="4"/>
        <v>0</v>
      </c>
      <c r="X634" s="168">
        <f t="shared" si="5"/>
        <v>0</v>
      </c>
      <c r="Y634" s="168">
        <f t="shared" si="6"/>
        <v>0</v>
      </c>
      <c r="Z634" s="168">
        <f t="shared" si="7"/>
        <v>0</v>
      </c>
      <c r="AA634" s="168">
        <f t="shared" si="8"/>
        <v>0</v>
      </c>
      <c r="AB634" s="168">
        <f t="shared" si="9"/>
        <v>0</v>
      </c>
    </row>
    <row r="635" ht="14.25" customHeight="1">
      <c r="A635" s="157">
        <v>1644.0</v>
      </c>
      <c r="B635" s="169" t="s">
        <v>29</v>
      </c>
      <c r="C635" s="169" t="s">
        <v>7437</v>
      </c>
      <c r="D635" s="159">
        <v>43522.0</v>
      </c>
      <c r="E635" s="157" t="s">
        <v>600</v>
      </c>
      <c r="F635" s="160">
        <v>2500.0</v>
      </c>
      <c r="G635" s="160">
        <v>400.0</v>
      </c>
      <c r="H635" s="160">
        <f t="shared" si="29"/>
        <v>2900</v>
      </c>
      <c r="I635" s="172"/>
      <c r="J635" s="169"/>
      <c r="K635" s="172"/>
      <c r="L635" s="172">
        <f>+'FACUS$'!$H635-'FACUS$'!$I635-'FACUS$'!$K635</f>
        <v>2900</v>
      </c>
      <c r="M635" s="157" t="s">
        <v>921</v>
      </c>
      <c r="N635" s="157" t="s">
        <v>554</v>
      </c>
      <c r="O635" s="332">
        <v>43739.0</v>
      </c>
      <c r="P635" s="164">
        <f t="array" ref="P635">XLOOKUP('FACUS$'!$B635,'perfil de pagos'!$A$4:$A$46,'perfil de pagos'!$C$4:$C$46+'FACUS$'!$D635)</f>
        <v>43532</v>
      </c>
      <c r="Q635" s="165">
        <f t="shared" si="2"/>
        <v>0</v>
      </c>
      <c r="R635" s="171"/>
      <c r="S635" s="171"/>
      <c r="T635" s="171"/>
      <c r="U635" s="333" t="s">
        <v>7271</v>
      </c>
      <c r="V635" s="168">
        <f t="shared" si="3"/>
        <v>2900</v>
      </c>
      <c r="W635" s="168">
        <f t="shared" si="4"/>
        <v>0</v>
      </c>
      <c r="X635" s="168">
        <f t="shared" si="5"/>
        <v>0</v>
      </c>
      <c r="Y635" s="168">
        <f t="shared" si="6"/>
        <v>0</v>
      </c>
      <c r="Z635" s="168">
        <f t="shared" si="7"/>
        <v>0</v>
      </c>
      <c r="AA635" s="168">
        <f t="shared" si="8"/>
        <v>0</v>
      </c>
      <c r="AB635" s="168">
        <f t="shared" si="9"/>
        <v>0</v>
      </c>
    </row>
    <row r="636" ht="14.25" customHeight="1">
      <c r="A636" s="157">
        <v>1646.0</v>
      </c>
      <c r="B636" s="169" t="s">
        <v>29</v>
      </c>
      <c r="C636" s="169" t="s">
        <v>7438</v>
      </c>
      <c r="D636" s="159">
        <v>43528.0</v>
      </c>
      <c r="E636" s="157" t="s">
        <v>600</v>
      </c>
      <c r="F636" s="160">
        <v>31036.6</v>
      </c>
      <c r="G636" s="160">
        <v>4965.86</v>
      </c>
      <c r="H636" s="160">
        <f t="shared" si="29"/>
        <v>36002.46</v>
      </c>
      <c r="I636" s="172"/>
      <c r="J636" s="169"/>
      <c r="K636" s="172"/>
      <c r="L636" s="172">
        <f>+'FACUS$'!$H636-'FACUS$'!$I636-'FACUS$'!$K636</f>
        <v>36002.46</v>
      </c>
      <c r="M636" s="157" t="s">
        <v>825</v>
      </c>
      <c r="N636" s="157" t="s">
        <v>554</v>
      </c>
      <c r="O636" s="332">
        <v>43579.0</v>
      </c>
      <c r="P636" s="164">
        <f t="array" ref="P636">XLOOKUP('FACUS$'!$B636,'perfil de pagos'!$A$4:$A$46,'perfil de pagos'!$C$4:$C$46+'FACUS$'!$D636)</f>
        <v>43538</v>
      </c>
      <c r="Q636" s="165">
        <f t="shared" si="2"/>
        <v>0</v>
      </c>
      <c r="R636" s="171"/>
      <c r="S636" s="171"/>
      <c r="T636" s="171"/>
      <c r="U636" s="333" t="s">
        <v>7271</v>
      </c>
      <c r="V636" s="168">
        <f t="shared" si="3"/>
        <v>36002.46</v>
      </c>
      <c r="W636" s="168">
        <f t="shared" si="4"/>
        <v>0</v>
      </c>
      <c r="X636" s="168">
        <f t="shared" si="5"/>
        <v>0</v>
      </c>
      <c r="Y636" s="168">
        <f t="shared" si="6"/>
        <v>0</v>
      </c>
      <c r="Z636" s="168">
        <f t="shared" si="7"/>
        <v>0</v>
      </c>
      <c r="AA636" s="168">
        <f t="shared" si="8"/>
        <v>0</v>
      </c>
      <c r="AB636" s="168">
        <f t="shared" si="9"/>
        <v>0</v>
      </c>
    </row>
    <row r="637" ht="14.25" customHeight="1">
      <c r="A637" s="157">
        <v>1649.0</v>
      </c>
      <c r="B637" s="169" t="s">
        <v>33</v>
      </c>
      <c r="C637" s="169" t="s">
        <v>7438</v>
      </c>
      <c r="D637" s="159">
        <v>43528.0</v>
      </c>
      <c r="E637" s="157" t="s">
        <v>600</v>
      </c>
      <c r="F637" s="160">
        <v>45335.6</v>
      </c>
      <c r="G637" s="160">
        <v>7253.7</v>
      </c>
      <c r="H637" s="160">
        <f t="shared" si="29"/>
        <v>52589.3</v>
      </c>
      <c r="I637" s="172"/>
      <c r="J637" s="169"/>
      <c r="K637" s="172"/>
      <c r="L637" s="172">
        <f>+'FACUS$'!$H637-'FACUS$'!$I637-'FACUS$'!$K637</f>
        <v>52589.3</v>
      </c>
      <c r="M637" s="157" t="s">
        <v>958</v>
      </c>
      <c r="N637" s="157" t="s">
        <v>554</v>
      </c>
      <c r="O637" s="332">
        <v>43549.0</v>
      </c>
      <c r="P637" s="164">
        <f t="array" ref="P637">XLOOKUP('FACUS$'!$B637,'perfil de pagos'!$A$4:$A$46,'perfil de pagos'!$C$4:$C$46+'FACUS$'!$D637)</f>
        <v>43538</v>
      </c>
      <c r="Q637" s="165">
        <f t="shared" si="2"/>
        <v>0</v>
      </c>
      <c r="R637" s="171"/>
      <c r="S637" s="171"/>
      <c r="T637" s="171"/>
      <c r="U637" s="333" t="s">
        <v>7271</v>
      </c>
      <c r="V637" s="168">
        <f t="shared" si="3"/>
        <v>52589.3</v>
      </c>
      <c r="W637" s="168">
        <f t="shared" si="4"/>
        <v>0</v>
      </c>
      <c r="X637" s="168">
        <f t="shared" si="5"/>
        <v>0</v>
      </c>
      <c r="Y637" s="168">
        <f t="shared" si="6"/>
        <v>0</v>
      </c>
      <c r="Z637" s="168">
        <f t="shared" si="7"/>
        <v>0</v>
      </c>
      <c r="AA637" s="168">
        <f t="shared" si="8"/>
        <v>0</v>
      </c>
      <c r="AB637" s="168">
        <f t="shared" si="9"/>
        <v>0</v>
      </c>
    </row>
    <row r="638" ht="14.25" customHeight="1">
      <c r="A638" s="157">
        <v>1651.0</v>
      </c>
      <c r="B638" s="169" t="s">
        <v>43</v>
      </c>
      <c r="C638" s="169" t="s">
        <v>7438</v>
      </c>
      <c r="D638" s="159">
        <v>43528.0</v>
      </c>
      <c r="E638" s="157" t="s">
        <v>600</v>
      </c>
      <c r="F638" s="160">
        <v>40882.5</v>
      </c>
      <c r="G638" s="160">
        <v>6541.2</v>
      </c>
      <c r="H638" s="160">
        <f t="shared" si="29"/>
        <v>47423.7</v>
      </c>
      <c r="I638" s="172"/>
      <c r="J638" s="169"/>
      <c r="K638" s="172"/>
      <c r="L638" s="172">
        <f>+'FACUS$'!$H638-'FACUS$'!$I638-'FACUS$'!$K638</f>
        <v>47423.7</v>
      </c>
      <c r="M638" s="157" t="s">
        <v>43</v>
      </c>
      <c r="N638" s="162" t="s">
        <v>127</v>
      </c>
      <c r="O638" s="332"/>
      <c r="P638" s="164">
        <f t="array" ref="P638">XLOOKUP('FACUS$'!$B638,'perfil de pagos'!$A$4:$A$46,'perfil de pagos'!$C$4:$C$46+'FACUS$'!$D638)</f>
        <v>43553</v>
      </c>
      <c r="Q638" s="165" t="str">
        <f t="shared" si="2"/>
        <v>N/A</v>
      </c>
      <c r="R638" s="171" t="s">
        <v>7439</v>
      </c>
      <c r="S638" s="171"/>
      <c r="T638" s="171"/>
      <c r="U638" s="333" t="s">
        <v>7271</v>
      </c>
      <c r="V638" s="168">
        <f t="shared" si="3"/>
        <v>0</v>
      </c>
      <c r="W638" s="168">
        <f t="shared" si="4"/>
        <v>0</v>
      </c>
      <c r="X638" s="168">
        <f t="shared" si="5"/>
        <v>0</v>
      </c>
      <c r="Y638" s="168">
        <f t="shared" si="6"/>
        <v>0</v>
      </c>
      <c r="Z638" s="168">
        <f t="shared" si="7"/>
        <v>0</v>
      </c>
      <c r="AA638" s="168">
        <f t="shared" si="8"/>
        <v>0</v>
      </c>
      <c r="AB638" s="168">
        <f t="shared" si="9"/>
        <v>47423.7</v>
      </c>
    </row>
    <row r="639" ht="14.25" customHeight="1">
      <c r="A639" s="157">
        <v>1653.0</v>
      </c>
      <c r="B639" s="169" t="s">
        <v>18</v>
      </c>
      <c r="C639" s="169" t="s">
        <v>7440</v>
      </c>
      <c r="D639" s="159">
        <v>43530.0</v>
      </c>
      <c r="E639" s="157" t="s">
        <v>600</v>
      </c>
      <c r="F639" s="160">
        <v>9699.0</v>
      </c>
      <c r="G639" s="160">
        <v>1551.84</v>
      </c>
      <c r="H639" s="160">
        <f t="shared" si="29"/>
        <v>11250.84</v>
      </c>
      <c r="I639" s="172"/>
      <c r="J639" s="169"/>
      <c r="K639" s="172"/>
      <c r="L639" s="172">
        <f>+'FACUS$'!$H639-'FACUS$'!$I639-'FACUS$'!$K639</f>
        <v>11250.84</v>
      </c>
      <c r="M639" s="157" t="s">
        <v>586</v>
      </c>
      <c r="N639" s="157" t="s">
        <v>554</v>
      </c>
      <c r="O639" s="332">
        <v>43570.0</v>
      </c>
      <c r="P639" s="164">
        <f t="array" ref="P639">XLOOKUP('FACUS$'!$B639,'perfil de pagos'!$A$4:$A$46,'perfil de pagos'!$C$4:$C$46+'FACUS$'!$D639)</f>
        <v>43540</v>
      </c>
      <c r="Q639" s="165">
        <f t="shared" si="2"/>
        <v>0</v>
      </c>
      <c r="R639" s="171"/>
      <c r="S639" s="171"/>
      <c r="T639" s="171"/>
      <c r="U639" s="333" t="s">
        <v>7271</v>
      </c>
      <c r="V639" s="168">
        <f t="shared" si="3"/>
        <v>11250.84</v>
      </c>
      <c r="W639" s="168">
        <f t="shared" si="4"/>
        <v>0</v>
      </c>
      <c r="X639" s="168">
        <f t="shared" si="5"/>
        <v>0</v>
      </c>
      <c r="Y639" s="168">
        <f t="shared" si="6"/>
        <v>0</v>
      </c>
      <c r="Z639" s="168">
        <f t="shared" si="7"/>
        <v>0</v>
      </c>
      <c r="AA639" s="168">
        <f t="shared" si="8"/>
        <v>0</v>
      </c>
      <c r="AB639" s="168">
        <f t="shared" si="9"/>
        <v>0</v>
      </c>
    </row>
    <row r="640" ht="14.25" customHeight="1">
      <c r="A640" s="157">
        <v>1655.0</v>
      </c>
      <c r="B640" s="169" t="s">
        <v>20</v>
      </c>
      <c r="C640" s="169" t="s">
        <v>7440</v>
      </c>
      <c r="D640" s="159">
        <v>43530.0</v>
      </c>
      <c r="E640" s="157" t="s">
        <v>600</v>
      </c>
      <c r="F640" s="160">
        <v>13158.84</v>
      </c>
      <c r="G640" s="160">
        <v>2105.41</v>
      </c>
      <c r="H640" s="160">
        <f t="shared" si="29"/>
        <v>15264.25</v>
      </c>
      <c r="I640" s="172"/>
      <c r="J640" s="169"/>
      <c r="K640" s="172"/>
      <c r="L640" s="172">
        <f>+'FACUS$'!$H640-'FACUS$'!$I640-'FACUS$'!$K640</f>
        <v>15264.25</v>
      </c>
      <c r="M640" s="157" t="s">
        <v>732</v>
      </c>
      <c r="N640" s="157" t="s">
        <v>554</v>
      </c>
      <c r="O640" s="332">
        <v>43585.0</v>
      </c>
      <c r="P640" s="164">
        <f t="array" ref="P640">XLOOKUP('FACUS$'!$B640,'perfil de pagos'!$A$4:$A$46,'perfil de pagos'!$C$4:$C$46+'FACUS$'!$D640)</f>
        <v>43540</v>
      </c>
      <c r="Q640" s="165">
        <f t="shared" si="2"/>
        <v>0</v>
      </c>
      <c r="R640" s="171"/>
      <c r="S640" s="171"/>
      <c r="T640" s="171"/>
      <c r="U640" s="333" t="s">
        <v>7271</v>
      </c>
      <c r="V640" s="168">
        <f t="shared" si="3"/>
        <v>15264.25</v>
      </c>
      <c r="W640" s="168">
        <f t="shared" si="4"/>
        <v>0</v>
      </c>
      <c r="X640" s="168">
        <f t="shared" si="5"/>
        <v>0</v>
      </c>
      <c r="Y640" s="168">
        <f t="shared" si="6"/>
        <v>0</v>
      </c>
      <c r="Z640" s="168">
        <f t="shared" si="7"/>
        <v>0</v>
      </c>
      <c r="AA640" s="168">
        <f t="shared" si="8"/>
        <v>0</v>
      </c>
      <c r="AB640" s="168">
        <f t="shared" si="9"/>
        <v>0</v>
      </c>
    </row>
    <row r="641" ht="14.25" customHeight="1">
      <c r="A641" s="157">
        <v>1657.0</v>
      </c>
      <c r="B641" s="169" t="s">
        <v>37</v>
      </c>
      <c r="C641" s="169" t="s">
        <v>7440</v>
      </c>
      <c r="D641" s="159">
        <v>43530.0</v>
      </c>
      <c r="E641" s="157" t="s">
        <v>600</v>
      </c>
      <c r="F641" s="160">
        <v>87264.87</v>
      </c>
      <c r="G641" s="160">
        <v>13962.38</v>
      </c>
      <c r="H641" s="160">
        <f t="shared" si="29"/>
        <v>101227.25</v>
      </c>
      <c r="I641" s="172"/>
      <c r="J641" s="169"/>
      <c r="K641" s="172"/>
      <c r="L641" s="172">
        <f>+'FACUS$'!$H641-'FACUS$'!$I641-'FACUS$'!$K641</f>
        <v>101227.25</v>
      </c>
      <c r="M641" s="157" t="s">
        <v>116</v>
      </c>
      <c r="N641" s="157" t="s">
        <v>554</v>
      </c>
      <c r="O641" s="332">
        <v>43564.0</v>
      </c>
      <c r="P641" s="164">
        <f t="array" ref="P641">XLOOKUP('FACUS$'!$B641,'perfil de pagos'!$A$4:$A$46,'perfil de pagos'!$C$4:$C$46+'FACUS$'!$D641)</f>
        <v>43540</v>
      </c>
      <c r="Q641" s="165">
        <f t="shared" si="2"/>
        <v>0</v>
      </c>
      <c r="R641" s="171"/>
      <c r="S641" s="171" t="s">
        <v>910</v>
      </c>
      <c r="T641" s="171"/>
      <c r="U641" s="333" t="s">
        <v>7271</v>
      </c>
      <c r="V641" s="168">
        <f t="shared" si="3"/>
        <v>101227.25</v>
      </c>
      <c r="W641" s="168">
        <f t="shared" si="4"/>
        <v>0</v>
      </c>
      <c r="X641" s="168">
        <f t="shared" si="5"/>
        <v>0</v>
      </c>
      <c r="Y641" s="168">
        <f t="shared" si="6"/>
        <v>0</v>
      </c>
      <c r="Z641" s="168">
        <f t="shared" si="7"/>
        <v>0</v>
      </c>
      <c r="AA641" s="168">
        <f t="shared" si="8"/>
        <v>0</v>
      </c>
      <c r="AB641" s="168">
        <f t="shared" si="9"/>
        <v>0</v>
      </c>
    </row>
    <row r="642" ht="14.25" customHeight="1">
      <c r="A642" s="157">
        <v>1659.0</v>
      </c>
      <c r="B642" s="169" t="s">
        <v>41</v>
      </c>
      <c r="C642" s="169" t="s">
        <v>7441</v>
      </c>
      <c r="D642" s="159">
        <v>43530.0</v>
      </c>
      <c r="E642" s="157" t="s">
        <v>600</v>
      </c>
      <c r="F642" s="160">
        <v>42588.75</v>
      </c>
      <c r="G642" s="160">
        <v>6814.2</v>
      </c>
      <c r="H642" s="160">
        <f t="shared" si="29"/>
        <v>49402.95</v>
      </c>
      <c r="I642" s="172"/>
      <c r="J642" s="169"/>
      <c r="K642" s="172"/>
      <c r="L642" s="172">
        <f>+'FACUS$'!$H642-'FACUS$'!$I642-'FACUS$'!$K642</f>
        <v>49402.95</v>
      </c>
      <c r="M642" s="157" t="s">
        <v>875</v>
      </c>
      <c r="N642" s="157" t="s">
        <v>554</v>
      </c>
      <c r="O642" s="332">
        <v>43605.0</v>
      </c>
      <c r="P642" s="164">
        <f t="array" ref="P642">XLOOKUP('FACUS$'!$B642,'perfil de pagos'!$A$4:$A$46,'perfil de pagos'!$C$4:$C$46+'FACUS$'!$D642)</f>
        <v>43540</v>
      </c>
      <c r="Q642" s="165">
        <f t="shared" si="2"/>
        <v>0</v>
      </c>
      <c r="R642" s="171"/>
      <c r="S642" s="171"/>
      <c r="T642" s="171"/>
      <c r="U642" s="333" t="s">
        <v>7271</v>
      </c>
      <c r="V642" s="168">
        <f t="shared" si="3"/>
        <v>49402.95</v>
      </c>
      <c r="W642" s="168">
        <f t="shared" si="4"/>
        <v>0</v>
      </c>
      <c r="X642" s="168">
        <f t="shared" si="5"/>
        <v>0</v>
      </c>
      <c r="Y642" s="168">
        <f t="shared" si="6"/>
        <v>0</v>
      </c>
      <c r="Z642" s="168">
        <f t="shared" si="7"/>
        <v>0</v>
      </c>
      <c r="AA642" s="168">
        <f t="shared" si="8"/>
        <v>0</v>
      </c>
      <c r="AB642" s="168">
        <f t="shared" si="9"/>
        <v>0</v>
      </c>
    </row>
    <row r="643" ht="14.25" customHeight="1">
      <c r="A643" s="157">
        <v>1660.0</v>
      </c>
      <c r="B643" s="169" t="s">
        <v>29</v>
      </c>
      <c r="C643" s="169" t="s">
        <v>7442</v>
      </c>
      <c r="D643" s="159">
        <v>43532.0</v>
      </c>
      <c r="E643" s="157" t="s">
        <v>600</v>
      </c>
      <c r="F643" s="160">
        <v>6500.0</v>
      </c>
      <c r="G643" s="160">
        <v>1040.0</v>
      </c>
      <c r="H643" s="160">
        <f t="shared" si="29"/>
        <v>7540</v>
      </c>
      <c r="I643" s="172"/>
      <c r="J643" s="169"/>
      <c r="K643" s="172"/>
      <c r="L643" s="172">
        <f>+'FACUS$'!$H643-'FACUS$'!$I643-'FACUS$'!$K643</f>
        <v>7540</v>
      </c>
      <c r="M643" s="157" t="s">
        <v>922</v>
      </c>
      <c r="N643" s="157" t="s">
        <v>554</v>
      </c>
      <c r="O643" s="332">
        <v>43552.0</v>
      </c>
      <c r="P643" s="164">
        <f t="array" ref="P643">XLOOKUP('FACUS$'!$B643,'perfil de pagos'!$A$4:$A$46,'perfil de pagos'!$C$4:$C$46+'FACUS$'!$D643)</f>
        <v>43542</v>
      </c>
      <c r="Q643" s="165">
        <f t="shared" si="2"/>
        <v>0</v>
      </c>
      <c r="R643" s="171" t="s">
        <v>7443</v>
      </c>
      <c r="S643" s="171"/>
      <c r="T643" s="171"/>
      <c r="U643" s="333" t="s">
        <v>7271</v>
      </c>
      <c r="V643" s="168">
        <f t="shared" si="3"/>
        <v>7540</v>
      </c>
      <c r="W643" s="168">
        <f t="shared" si="4"/>
        <v>0</v>
      </c>
      <c r="X643" s="168">
        <f t="shared" si="5"/>
        <v>0</v>
      </c>
      <c r="Y643" s="168">
        <f t="shared" si="6"/>
        <v>0</v>
      </c>
      <c r="Z643" s="168">
        <f t="shared" si="7"/>
        <v>0</v>
      </c>
      <c r="AA643" s="168">
        <f t="shared" si="8"/>
        <v>0</v>
      </c>
      <c r="AB643" s="168">
        <f t="shared" si="9"/>
        <v>0</v>
      </c>
    </row>
    <row r="644" ht="14.25" customHeight="1">
      <c r="A644" s="157">
        <v>1661.0</v>
      </c>
      <c r="B644" s="169" t="s">
        <v>29</v>
      </c>
      <c r="C644" s="169" t="s">
        <v>7444</v>
      </c>
      <c r="D644" s="159">
        <v>43532.0</v>
      </c>
      <c r="E644" s="157" t="s">
        <v>600</v>
      </c>
      <c r="F644" s="160">
        <v>15000.0</v>
      </c>
      <c r="G644" s="160">
        <v>2400.0</v>
      </c>
      <c r="H644" s="160">
        <f t="shared" si="29"/>
        <v>17400</v>
      </c>
      <c r="I644" s="172"/>
      <c r="J644" s="169"/>
      <c r="K644" s="172"/>
      <c r="L644" s="172">
        <f>+'FACUS$'!$H644-'FACUS$'!$I644-'FACUS$'!$K644</f>
        <v>17400</v>
      </c>
      <c r="M644" s="157" t="s">
        <v>921</v>
      </c>
      <c r="N644" s="157" t="s">
        <v>554</v>
      </c>
      <c r="O644" s="332">
        <v>43599.0</v>
      </c>
      <c r="P644" s="164">
        <f t="array" ref="P644">XLOOKUP('FACUS$'!$B644,'perfil de pagos'!$A$4:$A$46,'perfil de pagos'!$C$4:$C$46+'FACUS$'!$D644)</f>
        <v>43542</v>
      </c>
      <c r="Q644" s="165">
        <f t="shared" si="2"/>
        <v>0</v>
      </c>
      <c r="R644" s="171"/>
      <c r="S644" s="171"/>
      <c r="T644" s="171"/>
      <c r="U644" s="333" t="s">
        <v>7271</v>
      </c>
      <c r="V644" s="168">
        <f t="shared" si="3"/>
        <v>17400</v>
      </c>
      <c r="W644" s="168">
        <f t="shared" si="4"/>
        <v>0</v>
      </c>
      <c r="X644" s="168">
        <f t="shared" si="5"/>
        <v>0</v>
      </c>
      <c r="Y644" s="168">
        <f t="shared" si="6"/>
        <v>0</v>
      </c>
      <c r="Z644" s="168">
        <f t="shared" si="7"/>
        <v>0</v>
      </c>
      <c r="AA644" s="168">
        <f t="shared" si="8"/>
        <v>0</v>
      </c>
      <c r="AB644" s="168">
        <f t="shared" si="9"/>
        <v>0</v>
      </c>
    </row>
    <row r="645" ht="14.25" customHeight="1">
      <c r="A645" s="157">
        <v>1662.0</v>
      </c>
      <c r="B645" s="169" t="s">
        <v>29</v>
      </c>
      <c r="C645" s="169" t="s">
        <v>7445</v>
      </c>
      <c r="D645" s="159">
        <v>43532.0</v>
      </c>
      <c r="E645" s="157" t="s">
        <v>600</v>
      </c>
      <c r="F645" s="160">
        <v>2500.0</v>
      </c>
      <c r="G645" s="160">
        <v>400.0</v>
      </c>
      <c r="H645" s="160">
        <f t="shared" si="29"/>
        <v>2900</v>
      </c>
      <c r="I645" s="172"/>
      <c r="J645" s="169"/>
      <c r="K645" s="172"/>
      <c r="L645" s="172">
        <f>+'FACUS$'!$H645-'FACUS$'!$I645-'FACUS$'!$K645</f>
        <v>2900</v>
      </c>
      <c r="M645" s="157" t="s">
        <v>921</v>
      </c>
      <c r="N645" s="157" t="s">
        <v>554</v>
      </c>
      <c r="O645" s="332">
        <v>43552.0</v>
      </c>
      <c r="P645" s="164">
        <f t="array" ref="P645">XLOOKUP('FACUS$'!$B645,'perfil de pagos'!$A$4:$A$46,'perfil de pagos'!$C$4:$C$46+'FACUS$'!$D645)</f>
        <v>43542</v>
      </c>
      <c r="Q645" s="165">
        <f t="shared" si="2"/>
        <v>0</v>
      </c>
      <c r="R645" s="171" t="s">
        <v>7443</v>
      </c>
      <c r="S645" s="171"/>
      <c r="T645" s="171"/>
      <c r="U645" s="333" t="s">
        <v>7271</v>
      </c>
      <c r="V645" s="168">
        <f t="shared" si="3"/>
        <v>2900</v>
      </c>
      <c r="W645" s="168">
        <f t="shared" si="4"/>
        <v>0</v>
      </c>
      <c r="X645" s="168">
        <f t="shared" si="5"/>
        <v>0</v>
      </c>
      <c r="Y645" s="168">
        <f t="shared" si="6"/>
        <v>0</v>
      </c>
      <c r="Z645" s="168">
        <f t="shared" si="7"/>
        <v>0</v>
      </c>
      <c r="AA645" s="168">
        <f t="shared" si="8"/>
        <v>0</v>
      </c>
      <c r="AB645" s="168">
        <f t="shared" si="9"/>
        <v>0</v>
      </c>
    </row>
    <row r="646" ht="14.25" customHeight="1">
      <c r="A646" s="157">
        <v>1663.0</v>
      </c>
      <c r="B646" s="169" t="s">
        <v>29</v>
      </c>
      <c r="C646" s="169" t="s">
        <v>7446</v>
      </c>
      <c r="D646" s="159">
        <v>43532.0</v>
      </c>
      <c r="E646" s="157" t="s">
        <v>600</v>
      </c>
      <c r="F646" s="160">
        <v>2500.0</v>
      </c>
      <c r="G646" s="160">
        <v>400.0</v>
      </c>
      <c r="H646" s="160">
        <f t="shared" si="29"/>
        <v>2900</v>
      </c>
      <c r="I646" s="172"/>
      <c r="J646" s="169"/>
      <c r="K646" s="172"/>
      <c r="L646" s="172">
        <f>+'FACUS$'!$H646-'FACUS$'!$I646-'FACUS$'!$K646</f>
        <v>2900</v>
      </c>
      <c r="M646" s="157" t="s">
        <v>922</v>
      </c>
      <c r="N646" s="157" t="s">
        <v>554</v>
      </c>
      <c r="O646" s="332">
        <v>43552.0</v>
      </c>
      <c r="P646" s="164">
        <f t="array" ref="P646">XLOOKUP('FACUS$'!$B646,'perfil de pagos'!$A$4:$A$46,'perfil de pagos'!$C$4:$C$46+'FACUS$'!$D646)</f>
        <v>43542</v>
      </c>
      <c r="Q646" s="165">
        <f t="shared" si="2"/>
        <v>0</v>
      </c>
      <c r="R646" s="171" t="s">
        <v>7443</v>
      </c>
      <c r="S646" s="171"/>
      <c r="T646" s="171"/>
      <c r="U646" s="333" t="s">
        <v>7271</v>
      </c>
      <c r="V646" s="168">
        <f t="shared" si="3"/>
        <v>2900</v>
      </c>
      <c r="W646" s="168">
        <f t="shared" si="4"/>
        <v>0</v>
      </c>
      <c r="X646" s="168">
        <f t="shared" si="5"/>
        <v>0</v>
      </c>
      <c r="Y646" s="168">
        <f t="shared" si="6"/>
        <v>0</v>
      </c>
      <c r="Z646" s="168">
        <f t="shared" si="7"/>
        <v>0</v>
      </c>
      <c r="AA646" s="168">
        <f t="shared" si="8"/>
        <v>0</v>
      </c>
      <c r="AB646" s="168">
        <f t="shared" si="9"/>
        <v>0</v>
      </c>
    </row>
    <row r="647" ht="14.25" customHeight="1">
      <c r="A647" s="157">
        <v>1671.0</v>
      </c>
      <c r="B647" s="169" t="s">
        <v>29</v>
      </c>
      <c r="C647" s="169" t="s">
        <v>7447</v>
      </c>
      <c r="D647" s="317">
        <v>43544.0</v>
      </c>
      <c r="E647" s="157" t="s">
        <v>600</v>
      </c>
      <c r="F647" s="160">
        <v>21981.4</v>
      </c>
      <c r="G647" s="160">
        <v>3517.02</v>
      </c>
      <c r="H647" s="160">
        <f t="shared" si="29"/>
        <v>25498.42</v>
      </c>
      <c r="I647" s="172"/>
      <c r="J647" s="169"/>
      <c r="K647" s="172"/>
      <c r="L647" s="172">
        <f>+'FACUS$'!$H647-'FACUS$'!$I647-'FACUS$'!$K647</f>
        <v>25498.42</v>
      </c>
      <c r="M647" s="162" t="s">
        <v>825</v>
      </c>
      <c r="N647" s="162" t="s">
        <v>554</v>
      </c>
      <c r="O647" s="338">
        <v>43579.0</v>
      </c>
      <c r="P647" s="164">
        <f t="array" ref="P647">XLOOKUP('FACUS$'!$B647,'perfil de pagos'!$A$4:$A$46,'perfil de pagos'!$C$4:$C$46+'FACUS$'!$D647)</f>
        <v>43554</v>
      </c>
      <c r="Q647" s="165">
        <f t="shared" si="2"/>
        <v>0</v>
      </c>
      <c r="R647" s="167"/>
      <c r="S647" s="167"/>
      <c r="T647" s="167"/>
      <c r="U647" s="334" t="s">
        <v>7271</v>
      </c>
      <c r="V647" s="168">
        <f t="shared" si="3"/>
        <v>25498.42</v>
      </c>
      <c r="W647" s="168">
        <f t="shared" si="4"/>
        <v>0</v>
      </c>
      <c r="X647" s="168">
        <f t="shared" si="5"/>
        <v>0</v>
      </c>
      <c r="Y647" s="168">
        <f t="shared" si="6"/>
        <v>0</v>
      </c>
      <c r="Z647" s="168">
        <f t="shared" si="7"/>
        <v>0</v>
      </c>
      <c r="AA647" s="168">
        <f t="shared" si="8"/>
        <v>0</v>
      </c>
      <c r="AB647" s="168">
        <f t="shared" si="9"/>
        <v>0</v>
      </c>
    </row>
    <row r="648" ht="14.25" customHeight="1">
      <c r="A648" s="157">
        <v>1673.0</v>
      </c>
      <c r="B648" s="169" t="s">
        <v>33</v>
      </c>
      <c r="C648" s="169" t="s">
        <v>7447</v>
      </c>
      <c r="D648" s="317">
        <v>43544.0</v>
      </c>
      <c r="E648" s="157" t="s">
        <v>600</v>
      </c>
      <c r="F648" s="160">
        <v>47062.8</v>
      </c>
      <c r="G648" s="160">
        <v>7530.05</v>
      </c>
      <c r="H648" s="160">
        <f t="shared" si="29"/>
        <v>54592.85</v>
      </c>
      <c r="I648" s="172"/>
      <c r="J648" s="169"/>
      <c r="K648" s="172"/>
      <c r="L648" s="172">
        <f>+'FACUS$'!$H648-'FACUS$'!$I648-'FACUS$'!$K648</f>
        <v>54592.85</v>
      </c>
      <c r="M648" s="157" t="s">
        <v>958</v>
      </c>
      <c r="N648" s="157" t="s">
        <v>554</v>
      </c>
      <c r="O648" s="338">
        <v>43577.0</v>
      </c>
      <c r="P648" s="164">
        <f t="array" ref="P648">XLOOKUP('FACUS$'!$B648,'perfil de pagos'!$A$4:$A$46,'perfil de pagos'!$C$4:$C$46+'FACUS$'!$D648)</f>
        <v>43554</v>
      </c>
      <c r="Q648" s="165">
        <f t="shared" si="2"/>
        <v>0</v>
      </c>
      <c r="R648" s="167"/>
      <c r="S648" s="167"/>
      <c r="T648" s="167"/>
      <c r="U648" s="334" t="s">
        <v>7271</v>
      </c>
      <c r="V648" s="168">
        <f t="shared" si="3"/>
        <v>54592.85</v>
      </c>
      <c r="W648" s="168">
        <f t="shared" si="4"/>
        <v>0</v>
      </c>
      <c r="X648" s="168">
        <f t="shared" si="5"/>
        <v>0</v>
      </c>
      <c r="Y648" s="168">
        <f t="shared" si="6"/>
        <v>0</v>
      </c>
      <c r="Z648" s="168">
        <f t="shared" si="7"/>
        <v>0</v>
      </c>
      <c r="AA648" s="168">
        <f t="shared" si="8"/>
        <v>0</v>
      </c>
      <c r="AB648" s="168">
        <f t="shared" si="9"/>
        <v>0</v>
      </c>
    </row>
    <row r="649" ht="14.25" customHeight="1">
      <c r="A649" s="157">
        <v>1677.0</v>
      </c>
      <c r="B649" s="169" t="s">
        <v>41</v>
      </c>
      <c r="C649" s="169" t="s">
        <v>7447</v>
      </c>
      <c r="D649" s="317">
        <v>43544.0</v>
      </c>
      <c r="E649" s="157" t="s">
        <v>600</v>
      </c>
      <c r="F649" s="160">
        <v>37508.85</v>
      </c>
      <c r="G649" s="160">
        <v>6001.42</v>
      </c>
      <c r="H649" s="160">
        <f t="shared" si="29"/>
        <v>43510.27</v>
      </c>
      <c r="I649" s="172"/>
      <c r="J649" s="169"/>
      <c r="K649" s="172"/>
      <c r="L649" s="172">
        <f>+'FACUS$'!$H649-'FACUS$'!$I649-'FACUS$'!$K649</f>
        <v>43510.27</v>
      </c>
      <c r="M649" s="162" t="s">
        <v>875</v>
      </c>
      <c r="N649" s="162" t="s">
        <v>554</v>
      </c>
      <c r="O649" s="338">
        <v>43649.0</v>
      </c>
      <c r="P649" s="164">
        <f t="array" ref="P649">XLOOKUP('FACUS$'!$B649,'perfil de pagos'!$A$4:$A$46,'perfil de pagos'!$C$4:$C$46+'FACUS$'!$D649)</f>
        <v>43554</v>
      </c>
      <c r="Q649" s="165">
        <f t="shared" si="2"/>
        <v>0</v>
      </c>
      <c r="R649" s="167"/>
      <c r="S649" s="167"/>
      <c r="T649" s="167"/>
      <c r="U649" s="334" t="s">
        <v>7271</v>
      </c>
      <c r="V649" s="168">
        <f t="shared" si="3"/>
        <v>43510.27</v>
      </c>
      <c r="W649" s="168">
        <f t="shared" si="4"/>
        <v>0</v>
      </c>
      <c r="X649" s="168">
        <f t="shared" si="5"/>
        <v>0</v>
      </c>
      <c r="Y649" s="168">
        <f t="shared" si="6"/>
        <v>0</v>
      </c>
      <c r="Z649" s="168">
        <f t="shared" si="7"/>
        <v>0</v>
      </c>
      <c r="AA649" s="168">
        <f t="shared" si="8"/>
        <v>0</v>
      </c>
      <c r="AB649" s="168">
        <f t="shared" si="9"/>
        <v>0</v>
      </c>
    </row>
    <row r="650" ht="14.25" customHeight="1">
      <c r="A650" s="157">
        <v>1679.0</v>
      </c>
      <c r="B650" s="169" t="s">
        <v>24</v>
      </c>
      <c r="C650" s="169" t="s">
        <v>7447</v>
      </c>
      <c r="D650" s="317">
        <v>43544.0</v>
      </c>
      <c r="E650" s="157" t="s">
        <v>600</v>
      </c>
      <c r="F650" s="160">
        <v>927.0</v>
      </c>
      <c r="G650" s="160">
        <v>148.32</v>
      </c>
      <c r="H650" s="160">
        <f t="shared" si="29"/>
        <v>1075.32</v>
      </c>
      <c r="I650" s="172"/>
      <c r="J650" s="169"/>
      <c r="K650" s="172"/>
      <c r="L650" s="172">
        <f>+'FACUS$'!$H650-'FACUS$'!$I650-'FACUS$'!$K650</f>
        <v>1075.32</v>
      </c>
      <c r="M650" s="162" t="s">
        <v>925</v>
      </c>
      <c r="N650" s="162" t="s">
        <v>554</v>
      </c>
      <c r="O650" s="338">
        <v>43641.0</v>
      </c>
      <c r="P650" s="164">
        <f t="array" ref="P650">XLOOKUP('FACUS$'!$B650,'perfil de pagos'!$A$4:$A$46,'perfil de pagos'!$C$4:$C$46+'FACUS$'!$D650)</f>
        <v>43554</v>
      </c>
      <c r="Q650" s="165">
        <f t="shared" si="2"/>
        <v>0</v>
      </c>
      <c r="R650" s="167" t="s">
        <v>7448</v>
      </c>
      <c r="S650" s="167"/>
      <c r="T650" s="167"/>
      <c r="U650" s="334" t="s">
        <v>7271</v>
      </c>
      <c r="V650" s="168">
        <f t="shared" si="3"/>
        <v>1075.32</v>
      </c>
      <c r="W650" s="168">
        <f t="shared" si="4"/>
        <v>0</v>
      </c>
      <c r="X650" s="168">
        <f t="shared" si="5"/>
        <v>0</v>
      </c>
      <c r="Y650" s="168">
        <f t="shared" si="6"/>
        <v>0</v>
      </c>
      <c r="Z650" s="168">
        <f t="shared" si="7"/>
        <v>0</v>
      </c>
      <c r="AA650" s="168">
        <f t="shared" si="8"/>
        <v>0</v>
      </c>
      <c r="AB650" s="168">
        <f t="shared" si="9"/>
        <v>0</v>
      </c>
    </row>
    <row r="651" ht="14.25" customHeight="1">
      <c r="A651" s="157">
        <v>1681.0</v>
      </c>
      <c r="B651" s="169" t="s">
        <v>43</v>
      </c>
      <c r="C651" s="169" t="s">
        <v>7447</v>
      </c>
      <c r="D651" s="317">
        <v>43544.0</v>
      </c>
      <c r="E651" s="157" t="s">
        <v>600</v>
      </c>
      <c r="F651" s="160">
        <v>31208.16</v>
      </c>
      <c r="G651" s="160">
        <v>4993.31</v>
      </c>
      <c r="H651" s="160">
        <f t="shared" si="29"/>
        <v>36201.47</v>
      </c>
      <c r="I651" s="172"/>
      <c r="J651" s="169"/>
      <c r="K651" s="172"/>
      <c r="L651" s="172">
        <f>+'FACUS$'!$H651-'FACUS$'!$I651-'FACUS$'!$K651</f>
        <v>36201.47</v>
      </c>
      <c r="M651" s="157" t="s">
        <v>43</v>
      </c>
      <c r="N651" s="162" t="s">
        <v>127</v>
      </c>
      <c r="O651" s="338"/>
      <c r="P651" s="164">
        <f t="array" ref="P651">XLOOKUP('FACUS$'!$B651,'perfil de pagos'!$A$4:$A$46,'perfil de pagos'!$C$4:$C$46+'FACUS$'!$D651)</f>
        <v>43569</v>
      </c>
      <c r="Q651" s="165" t="str">
        <f t="shared" si="2"/>
        <v>N/A</v>
      </c>
      <c r="R651" s="220" t="s">
        <v>7449</v>
      </c>
      <c r="S651" s="167"/>
      <c r="T651" s="167"/>
      <c r="U651" s="334" t="s">
        <v>7271</v>
      </c>
      <c r="V651" s="168">
        <f t="shared" si="3"/>
        <v>0</v>
      </c>
      <c r="W651" s="168">
        <f t="shared" si="4"/>
        <v>0</v>
      </c>
      <c r="X651" s="168">
        <f t="shared" si="5"/>
        <v>0</v>
      </c>
      <c r="Y651" s="168">
        <f t="shared" si="6"/>
        <v>0</v>
      </c>
      <c r="Z651" s="168">
        <f t="shared" si="7"/>
        <v>0</v>
      </c>
      <c r="AA651" s="168">
        <f t="shared" si="8"/>
        <v>0</v>
      </c>
      <c r="AB651" s="168">
        <f t="shared" si="9"/>
        <v>36201.47</v>
      </c>
    </row>
    <row r="652" ht="14.25" customHeight="1">
      <c r="A652" s="157">
        <v>1683.0</v>
      </c>
      <c r="B652" s="169" t="s">
        <v>37</v>
      </c>
      <c r="C652" s="169" t="s">
        <v>7447</v>
      </c>
      <c r="D652" s="317">
        <v>43544.0</v>
      </c>
      <c r="E652" s="157" t="s">
        <v>600</v>
      </c>
      <c r="F652" s="160">
        <v>87419.53</v>
      </c>
      <c r="G652" s="160">
        <v>13987.12</v>
      </c>
      <c r="H652" s="160">
        <f t="shared" si="29"/>
        <v>101406.65</v>
      </c>
      <c r="I652" s="172"/>
      <c r="J652" s="169"/>
      <c r="K652" s="172"/>
      <c r="L652" s="172">
        <f>+'FACUS$'!$H652-'FACUS$'!$I652-'FACUS$'!$K652</f>
        <v>101406.65</v>
      </c>
      <c r="M652" s="162" t="s">
        <v>116</v>
      </c>
      <c r="N652" s="157" t="s">
        <v>554</v>
      </c>
      <c r="O652" s="338">
        <v>43564.0</v>
      </c>
      <c r="P652" s="164">
        <f t="array" ref="P652">XLOOKUP('FACUS$'!$B652,'perfil de pagos'!$A$4:$A$46,'perfil de pagos'!$C$4:$C$46+'FACUS$'!$D652)</f>
        <v>43554</v>
      </c>
      <c r="Q652" s="165">
        <f t="shared" si="2"/>
        <v>0</v>
      </c>
      <c r="R652" s="167"/>
      <c r="S652" s="171" t="s">
        <v>910</v>
      </c>
      <c r="T652" s="167"/>
      <c r="U652" s="334" t="s">
        <v>7271</v>
      </c>
      <c r="V652" s="168">
        <f t="shared" si="3"/>
        <v>101406.65</v>
      </c>
      <c r="W652" s="168">
        <f t="shared" si="4"/>
        <v>0</v>
      </c>
      <c r="X652" s="168">
        <f t="shared" si="5"/>
        <v>0</v>
      </c>
      <c r="Y652" s="168">
        <f t="shared" si="6"/>
        <v>0</v>
      </c>
      <c r="Z652" s="168">
        <f t="shared" si="7"/>
        <v>0</v>
      </c>
      <c r="AA652" s="168">
        <f t="shared" si="8"/>
        <v>0</v>
      </c>
      <c r="AB652" s="168">
        <f t="shared" si="9"/>
        <v>0</v>
      </c>
    </row>
    <row r="653" ht="14.25" customHeight="1">
      <c r="A653" s="157">
        <v>1685.0</v>
      </c>
      <c r="B653" s="169" t="s">
        <v>18</v>
      </c>
      <c r="C653" s="169" t="s">
        <v>7447</v>
      </c>
      <c r="D653" s="317">
        <v>43544.0</v>
      </c>
      <c r="E653" s="157" t="s">
        <v>600</v>
      </c>
      <c r="F653" s="364">
        <v>7670.16</v>
      </c>
      <c r="G653" s="364">
        <v>1227.23</v>
      </c>
      <c r="H653" s="160">
        <f t="shared" si="29"/>
        <v>8897.39</v>
      </c>
      <c r="I653" s="172"/>
      <c r="J653" s="169"/>
      <c r="K653" s="172"/>
      <c r="L653" s="172">
        <f>+'FACUS$'!$H653-'FACUS$'!$I653-'FACUS$'!$K653</f>
        <v>8897.39</v>
      </c>
      <c r="M653" s="157" t="s">
        <v>586</v>
      </c>
      <c r="N653" s="162" t="s">
        <v>554</v>
      </c>
      <c r="O653" s="332">
        <v>43585.0</v>
      </c>
      <c r="P653" s="164">
        <f t="array" ref="P653">XLOOKUP('FACUS$'!$B653,'perfil de pagos'!$A$4:$A$46,'perfil de pagos'!$C$4:$C$46+'FACUS$'!$D653)</f>
        <v>43554</v>
      </c>
      <c r="Q653" s="165">
        <f t="shared" si="2"/>
        <v>0</v>
      </c>
      <c r="R653" s="167"/>
      <c r="S653" s="167"/>
      <c r="T653" s="167"/>
      <c r="U653" s="334" t="s">
        <v>7271</v>
      </c>
      <c r="V653" s="168">
        <f t="shared" si="3"/>
        <v>8897.39</v>
      </c>
      <c r="W653" s="168">
        <f t="shared" si="4"/>
        <v>0</v>
      </c>
      <c r="X653" s="168">
        <f t="shared" si="5"/>
        <v>0</v>
      </c>
      <c r="Y653" s="168">
        <f t="shared" si="6"/>
        <v>0</v>
      </c>
      <c r="Z653" s="168">
        <f t="shared" si="7"/>
        <v>0</v>
      </c>
      <c r="AA653" s="168">
        <f t="shared" si="8"/>
        <v>0</v>
      </c>
      <c r="AB653" s="168">
        <f t="shared" si="9"/>
        <v>0</v>
      </c>
    </row>
    <row r="654" ht="14.25" customHeight="1">
      <c r="A654" s="157">
        <v>1687.0</v>
      </c>
      <c r="B654" s="169" t="s">
        <v>20</v>
      </c>
      <c r="C654" s="169" t="s">
        <v>7447</v>
      </c>
      <c r="D654" s="317">
        <v>43544.0</v>
      </c>
      <c r="E654" s="157" t="s">
        <v>600</v>
      </c>
      <c r="F654" s="160">
        <v>16065.36</v>
      </c>
      <c r="G654" s="160">
        <v>2570.46</v>
      </c>
      <c r="H654" s="160">
        <f t="shared" si="29"/>
        <v>18635.82</v>
      </c>
      <c r="I654" s="172"/>
      <c r="J654" s="169"/>
      <c r="K654" s="172"/>
      <c r="L654" s="172">
        <f>+'FACUS$'!$H654-'FACUS$'!$I654-'FACUS$'!$K654</f>
        <v>18635.82</v>
      </c>
      <c r="M654" s="157" t="s">
        <v>732</v>
      </c>
      <c r="N654" s="157" t="s">
        <v>554</v>
      </c>
      <c r="O654" s="332">
        <v>43593.0</v>
      </c>
      <c r="P654" s="164">
        <f t="array" ref="P654">XLOOKUP('FACUS$'!$B654,'perfil de pagos'!$A$4:$A$46,'perfil de pagos'!$C$4:$C$46+'FACUS$'!$D654)</f>
        <v>43554</v>
      </c>
      <c r="Q654" s="165">
        <f t="shared" si="2"/>
        <v>0</v>
      </c>
      <c r="R654" s="167"/>
      <c r="S654" s="220" t="s">
        <v>910</v>
      </c>
      <c r="T654" s="167"/>
      <c r="U654" s="334" t="s">
        <v>7271</v>
      </c>
      <c r="V654" s="168">
        <f t="shared" si="3"/>
        <v>18635.82</v>
      </c>
      <c r="W654" s="168">
        <f t="shared" si="4"/>
        <v>0</v>
      </c>
      <c r="X654" s="168">
        <f t="shared" si="5"/>
        <v>0</v>
      </c>
      <c r="Y654" s="168">
        <f t="shared" si="6"/>
        <v>0</v>
      </c>
      <c r="Z654" s="168">
        <f t="shared" si="7"/>
        <v>0</v>
      </c>
      <c r="AA654" s="168">
        <f t="shared" si="8"/>
        <v>0</v>
      </c>
      <c r="AB654" s="168">
        <f t="shared" si="9"/>
        <v>0</v>
      </c>
    </row>
    <row r="655" ht="14.25" customHeight="1">
      <c r="A655" s="157">
        <v>1689.0</v>
      </c>
      <c r="B655" s="169" t="s">
        <v>30</v>
      </c>
      <c r="C655" s="169" t="s">
        <v>7450</v>
      </c>
      <c r="D655" s="336">
        <v>43556.0</v>
      </c>
      <c r="E655" s="157" t="s">
        <v>600</v>
      </c>
      <c r="F655" s="160">
        <v>5000.0</v>
      </c>
      <c r="G655" s="160">
        <v>800.0</v>
      </c>
      <c r="H655" s="160">
        <f t="shared" si="29"/>
        <v>5800</v>
      </c>
      <c r="I655" s="172"/>
      <c r="J655" s="169"/>
      <c r="K655" s="172"/>
      <c r="L655" s="172">
        <f>+'FACUS$'!$H655-'FACUS$'!$I655-'FACUS$'!$K655</f>
        <v>5800</v>
      </c>
      <c r="M655" s="162" t="s">
        <v>7415</v>
      </c>
      <c r="N655" s="162" t="s">
        <v>127</v>
      </c>
      <c r="O655" s="338">
        <v>43591.0</v>
      </c>
      <c r="P655" s="164">
        <f t="array" ref="P655">XLOOKUP('FACUS$'!$B655,'perfil de pagos'!$A$4:$A$46,'perfil de pagos'!$C$4:$C$46+'FACUS$'!$D655)</f>
        <v>43566</v>
      </c>
      <c r="Q655" s="165" t="str">
        <f t="shared" si="2"/>
        <v>N/A</v>
      </c>
      <c r="R655" s="167"/>
      <c r="S655" s="167"/>
      <c r="T655" s="167"/>
      <c r="U655" s="334" t="s">
        <v>7271</v>
      </c>
      <c r="V655" s="168">
        <f t="shared" si="3"/>
        <v>0</v>
      </c>
      <c r="W655" s="168">
        <f t="shared" si="4"/>
        <v>0</v>
      </c>
      <c r="X655" s="168">
        <f t="shared" si="5"/>
        <v>0</v>
      </c>
      <c r="Y655" s="168">
        <f t="shared" si="6"/>
        <v>0</v>
      </c>
      <c r="Z655" s="168">
        <f t="shared" si="7"/>
        <v>0</v>
      </c>
      <c r="AA655" s="168">
        <f t="shared" si="8"/>
        <v>0</v>
      </c>
      <c r="AB655" s="168">
        <f t="shared" si="9"/>
        <v>5800</v>
      </c>
    </row>
    <row r="656" ht="14.25" customHeight="1">
      <c r="A656" s="157">
        <v>1690.0</v>
      </c>
      <c r="B656" s="169" t="s">
        <v>30</v>
      </c>
      <c r="C656" s="169" t="s">
        <v>7451</v>
      </c>
      <c r="D656" s="336">
        <v>43556.0</v>
      </c>
      <c r="E656" s="157" t="s">
        <v>600</v>
      </c>
      <c r="F656" s="160">
        <v>3000.0</v>
      </c>
      <c r="G656" s="160">
        <v>480.0</v>
      </c>
      <c r="H656" s="160">
        <f t="shared" si="29"/>
        <v>3480</v>
      </c>
      <c r="I656" s="172"/>
      <c r="J656" s="169"/>
      <c r="K656" s="172"/>
      <c r="L656" s="172">
        <f>+'FACUS$'!$H656-'FACUS$'!$I656-'FACUS$'!$K656</f>
        <v>3480</v>
      </c>
      <c r="M656" s="162" t="s">
        <v>7415</v>
      </c>
      <c r="N656" s="157" t="s">
        <v>127</v>
      </c>
      <c r="O656" s="338">
        <v>43557.0</v>
      </c>
      <c r="P656" s="164">
        <f t="array" ref="P656">XLOOKUP('FACUS$'!$B656,'perfil de pagos'!$A$4:$A$46,'perfil de pagos'!$C$4:$C$46+'FACUS$'!$D656)</f>
        <v>43566</v>
      </c>
      <c r="Q656" s="165" t="str">
        <f t="shared" si="2"/>
        <v>N/A</v>
      </c>
      <c r="R656" s="167"/>
      <c r="S656" s="167"/>
      <c r="T656" s="167"/>
      <c r="U656" s="334" t="s">
        <v>7271</v>
      </c>
      <c r="V656" s="168">
        <f t="shared" si="3"/>
        <v>0</v>
      </c>
      <c r="W656" s="168">
        <f t="shared" si="4"/>
        <v>0</v>
      </c>
      <c r="X656" s="168">
        <f t="shared" si="5"/>
        <v>0</v>
      </c>
      <c r="Y656" s="168">
        <f t="shared" si="6"/>
        <v>0</v>
      </c>
      <c r="Z656" s="168">
        <f t="shared" si="7"/>
        <v>0</v>
      </c>
      <c r="AA656" s="168">
        <f t="shared" si="8"/>
        <v>0</v>
      </c>
      <c r="AB656" s="168">
        <f t="shared" si="9"/>
        <v>3480</v>
      </c>
    </row>
    <row r="657" ht="14.25" customHeight="1">
      <c r="A657" s="157">
        <v>1692.0</v>
      </c>
      <c r="B657" s="169" t="s">
        <v>43</v>
      </c>
      <c r="C657" s="169" t="s">
        <v>560</v>
      </c>
      <c r="D657" s="336">
        <v>43556.0</v>
      </c>
      <c r="E657" s="157" t="s">
        <v>600</v>
      </c>
      <c r="F657" s="160">
        <v>31208.76</v>
      </c>
      <c r="G657" s="160">
        <v>4993.4</v>
      </c>
      <c r="H657" s="160">
        <f t="shared" si="29"/>
        <v>36202.16</v>
      </c>
      <c r="I657" s="172"/>
      <c r="J657" s="169"/>
      <c r="K657" s="172"/>
      <c r="L657" s="172">
        <f>+'FACUS$'!$H657-'FACUS$'!$I657-'FACUS$'!$K657</f>
        <v>36202.16</v>
      </c>
      <c r="M657" s="157" t="s">
        <v>43</v>
      </c>
      <c r="N657" s="162" t="s">
        <v>127</v>
      </c>
      <c r="O657" s="338">
        <v>43557.0</v>
      </c>
      <c r="P657" s="164">
        <f t="array" ref="P657">XLOOKUP('FACUS$'!$B657,'perfil de pagos'!$A$4:$A$46,'perfil de pagos'!$C$4:$C$46+'FACUS$'!$D657)</f>
        <v>43581</v>
      </c>
      <c r="Q657" s="165" t="str">
        <f t="shared" si="2"/>
        <v>N/A</v>
      </c>
      <c r="R657" s="167" t="s">
        <v>7452</v>
      </c>
      <c r="S657" s="167"/>
      <c r="T657" s="167"/>
      <c r="U657" s="334" t="s">
        <v>7271</v>
      </c>
      <c r="V657" s="168">
        <f t="shared" si="3"/>
        <v>0</v>
      </c>
      <c r="W657" s="168">
        <f t="shared" si="4"/>
        <v>0</v>
      </c>
      <c r="X657" s="168">
        <f t="shared" si="5"/>
        <v>0</v>
      </c>
      <c r="Y657" s="168">
        <f t="shared" si="6"/>
        <v>0</v>
      </c>
      <c r="Z657" s="168">
        <f t="shared" si="7"/>
        <v>0</v>
      </c>
      <c r="AA657" s="168">
        <f t="shared" si="8"/>
        <v>0</v>
      </c>
      <c r="AB657" s="168">
        <f t="shared" si="9"/>
        <v>36202.16</v>
      </c>
    </row>
    <row r="658" ht="14.25" customHeight="1">
      <c r="A658" s="157">
        <v>1694.0</v>
      </c>
      <c r="B658" s="169" t="s">
        <v>43</v>
      </c>
      <c r="C658" s="169" t="s">
        <v>7453</v>
      </c>
      <c r="D658" s="336">
        <v>43556.0</v>
      </c>
      <c r="E658" s="157" t="s">
        <v>600</v>
      </c>
      <c r="F658" s="160">
        <v>35129.18</v>
      </c>
      <c r="G658" s="160">
        <v>5620.67</v>
      </c>
      <c r="H658" s="160">
        <f t="shared" si="29"/>
        <v>40749.85</v>
      </c>
      <c r="I658" s="172"/>
      <c r="J658" s="169"/>
      <c r="K658" s="172"/>
      <c r="L658" s="172">
        <f>+'FACUS$'!$H658-'FACUS$'!$I658-'FACUS$'!$K658</f>
        <v>40749.85</v>
      </c>
      <c r="M658" s="157" t="s">
        <v>43</v>
      </c>
      <c r="N658" s="157" t="s">
        <v>127</v>
      </c>
      <c r="O658" s="338">
        <v>43557.0</v>
      </c>
      <c r="P658" s="164">
        <f t="array" ref="P658">XLOOKUP('FACUS$'!$B658,'perfil de pagos'!$A$4:$A$46,'perfil de pagos'!$C$4:$C$46+'FACUS$'!$D658)</f>
        <v>43581</v>
      </c>
      <c r="Q658" s="165" t="str">
        <f t="shared" si="2"/>
        <v>N/A</v>
      </c>
      <c r="R658" s="167"/>
      <c r="S658" s="167"/>
      <c r="T658" s="167"/>
      <c r="U658" s="334" t="s">
        <v>7271</v>
      </c>
      <c r="V658" s="168">
        <f t="shared" si="3"/>
        <v>0</v>
      </c>
      <c r="W658" s="168">
        <f t="shared" si="4"/>
        <v>0</v>
      </c>
      <c r="X658" s="168">
        <f t="shared" si="5"/>
        <v>0</v>
      </c>
      <c r="Y658" s="168">
        <f t="shared" si="6"/>
        <v>0</v>
      </c>
      <c r="Z658" s="168">
        <f t="shared" si="7"/>
        <v>0</v>
      </c>
      <c r="AA658" s="168">
        <f t="shared" si="8"/>
        <v>0</v>
      </c>
      <c r="AB658" s="168">
        <f t="shared" si="9"/>
        <v>40749.85</v>
      </c>
    </row>
    <row r="659" ht="14.25" customHeight="1">
      <c r="A659" s="157">
        <v>1695.0</v>
      </c>
      <c r="B659" s="169" t="s">
        <v>43</v>
      </c>
      <c r="C659" s="169"/>
      <c r="D659" s="336">
        <v>43557.0</v>
      </c>
      <c r="E659" s="157" t="s">
        <v>600</v>
      </c>
      <c r="F659" s="160"/>
      <c r="G659" s="160"/>
      <c r="H659" s="160">
        <f t="shared" si="29"/>
        <v>0</v>
      </c>
      <c r="I659" s="172"/>
      <c r="J659" s="169"/>
      <c r="K659" s="172"/>
      <c r="L659" s="172">
        <f>+'FACUS$'!$H659-'FACUS$'!$I659-'FACUS$'!$K659</f>
        <v>0</v>
      </c>
      <c r="M659" s="157" t="s">
        <v>43</v>
      </c>
      <c r="N659" s="162" t="s">
        <v>127</v>
      </c>
      <c r="O659" s="338">
        <v>43557.0</v>
      </c>
      <c r="P659" s="164">
        <f t="array" ref="P659">XLOOKUP('FACUS$'!$B659,'perfil de pagos'!$A$4:$A$46,'perfil de pagos'!$C$4:$C$46+'FACUS$'!$D659)</f>
        <v>43582</v>
      </c>
      <c r="Q659" s="165" t="str">
        <f t="shared" si="2"/>
        <v>N/A</v>
      </c>
      <c r="R659" s="167"/>
      <c r="S659" s="167"/>
      <c r="T659" s="167"/>
      <c r="U659" s="334" t="s">
        <v>7271</v>
      </c>
      <c r="V659" s="168">
        <f t="shared" si="3"/>
        <v>0</v>
      </c>
      <c r="W659" s="168">
        <f t="shared" si="4"/>
        <v>0</v>
      </c>
      <c r="X659" s="168">
        <f t="shared" si="5"/>
        <v>0</v>
      </c>
      <c r="Y659" s="168">
        <f t="shared" si="6"/>
        <v>0</v>
      </c>
      <c r="Z659" s="168">
        <f t="shared" si="7"/>
        <v>0</v>
      </c>
      <c r="AA659" s="168">
        <f t="shared" si="8"/>
        <v>0</v>
      </c>
      <c r="AB659" s="168">
        <f t="shared" si="9"/>
        <v>0</v>
      </c>
    </row>
    <row r="660" ht="14.25" customHeight="1">
      <c r="A660" s="157">
        <v>1696.0</v>
      </c>
      <c r="B660" s="169" t="s">
        <v>43</v>
      </c>
      <c r="C660" s="169" t="s">
        <v>7453</v>
      </c>
      <c r="D660" s="336">
        <v>43557.0</v>
      </c>
      <c r="E660" s="157" t="s">
        <v>600</v>
      </c>
      <c r="F660" s="160">
        <v>31208.76</v>
      </c>
      <c r="G660" s="160">
        <v>4993.4</v>
      </c>
      <c r="H660" s="160">
        <f t="shared" si="29"/>
        <v>36202.16</v>
      </c>
      <c r="I660" s="172"/>
      <c r="J660" s="169"/>
      <c r="K660" s="172"/>
      <c r="L660" s="172">
        <f>+'FACUS$'!$H660-'FACUS$'!$I660-'FACUS$'!$K660</f>
        <v>36202.16</v>
      </c>
      <c r="M660" s="157" t="s">
        <v>43</v>
      </c>
      <c r="N660" s="157" t="s">
        <v>127</v>
      </c>
      <c r="O660" s="338">
        <v>43557.0</v>
      </c>
      <c r="P660" s="164">
        <f t="array" ref="P660">XLOOKUP('FACUS$'!$B660,'perfil de pagos'!$A$4:$A$46,'perfil de pagos'!$C$4:$C$46+'FACUS$'!$D660)</f>
        <v>43582</v>
      </c>
      <c r="Q660" s="165" t="str">
        <f t="shared" si="2"/>
        <v>N/A</v>
      </c>
      <c r="R660" s="167"/>
      <c r="S660" s="167"/>
      <c r="T660" s="167"/>
      <c r="U660" s="334" t="s">
        <v>7271</v>
      </c>
      <c r="V660" s="168">
        <f t="shared" si="3"/>
        <v>0</v>
      </c>
      <c r="W660" s="168">
        <f t="shared" si="4"/>
        <v>0</v>
      </c>
      <c r="X660" s="168">
        <f t="shared" si="5"/>
        <v>0</v>
      </c>
      <c r="Y660" s="168">
        <f t="shared" si="6"/>
        <v>0</v>
      </c>
      <c r="Z660" s="168">
        <f t="shared" si="7"/>
        <v>0</v>
      </c>
      <c r="AA660" s="168">
        <f t="shared" si="8"/>
        <v>0</v>
      </c>
      <c r="AB660" s="168">
        <f t="shared" si="9"/>
        <v>36202.16</v>
      </c>
    </row>
    <row r="661" ht="14.25" customHeight="1">
      <c r="A661" s="157">
        <v>1697.0</v>
      </c>
      <c r="B661" s="169" t="s">
        <v>43</v>
      </c>
      <c r="C661" s="169" t="s">
        <v>7453</v>
      </c>
      <c r="D661" s="336">
        <v>43557.0</v>
      </c>
      <c r="E661" s="157" t="s">
        <v>600</v>
      </c>
      <c r="F661" s="160">
        <v>35129.18</v>
      </c>
      <c r="G661" s="160">
        <v>5620.67</v>
      </c>
      <c r="H661" s="160">
        <f t="shared" si="29"/>
        <v>40749.85</v>
      </c>
      <c r="I661" s="172"/>
      <c r="J661" s="169"/>
      <c r="K661" s="172"/>
      <c r="L661" s="172">
        <f>+'FACUS$'!$H661-'FACUS$'!$I661-'FACUS$'!$K661</f>
        <v>40749.85</v>
      </c>
      <c r="M661" s="157" t="s">
        <v>43</v>
      </c>
      <c r="N661" s="162" t="s">
        <v>554</v>
      </c>
      <c r="O661" s="338">
        <v>43584.0</v>
      </c>
      <c r="P661" s="164">
        <f t="array" ref="P661">XLOOKUP('FACUS$'!$B661,'perfil de pagos'!$A$4:$A$46,'perfil de pagos'!$C$4:$C$46+'FACUS$'!$D661)</f>
        <v>43582</v>
      </c>
      <c r="Q661" s="165">
        <f t="shared" si="2"/>
        <v>0</v>
      </c>
      <c r="R661" s="167"/>
      <c r="S661" s="167"/>
      <c r="T661" s="167"/>
      <c r="U661" s="334" t="s">
        <v>7271</v>
      </c>
      <c r="V661" s="168">
        <f t="shared" si="3"/>
        <v>40749.85</v>
      </c>
      <c r="W661" s="168">
        <f t="shared" si="4"/>
        <v>0</v>
      </c>
      <c r="X661" s="168">
        <f t="shared" si="5"/>
        <v>0</v>
      </c>
      <c r="Y661" s="168">
        <f t="shared" si="6"/>
        <v>0</v>
      </c>
      <c r="Z661" s="168">
        <f t="shared" si="7"/>
        <v>0</v>
      </c>
      <c r="AA661" s="168">
        <f t="shared" si="8"/>
        <v>0</v>
      </c>
      <c r="AB661" s="168">
        <f t="shared" si="9"/>
        <v>0</v>
      </c>
    </row>
    <row r="662" ht="14.25" customHeight="1">
      <c r="A662" s="157">
        <v>1698.0</v>
      </c>
      <c r="B662" s="169" t="s">
        <v>43</v>
      </c>
      <c r="C662" s="169" t="s">
        <v>560</v>
      </c>
      <c r="D662" s="336">
        <v>43557.0</v>
      </c>
      <c r="E662" s="157" t="s">
        <v>600</v>
      </c>
      <c r="F662" s="160">
        <v>30861.08</v>
      </c>
      <c r="G662" s="160">
        <v>4937.77</v>
      </c>
      <c r="H662" s="160">
        <f t="shared" si="29"/>
        <v>35798.85</v>
      </c>
      <c r="I662" s="172"/>
      <c r="J662" s="169"/>
      <c r="K662" s="172"/>
      <c r="L662" s="172">
        <f>+'FACUS$'!$H662-'FACUS$'!$I662-'FACUS$'!$K662</f>
        <v>35798.85</v>
      </c>
      <c r="M662" s="157" t="s">
        <v>43</v>
      </c>
      <c r="N662" s="157" t="s">
        <v>554</v>
      </c>
      <c r="O662" s="338">
        <v>43791.0</v>
      </c>
      <c r="P662" s="164">
        <f t="array" ref="P662">XLOOKUP('FACUS$'!$B662,'perfil de pagos'!$A$4:$A$46,'perfil de pagos'!$C$4:$C$46+'FACUS$'!$D662)</f>
        <v>43582</v>
      </c>
      <c r="Q662" s="165">
        <f t="shared" si="2"/>
        <v>0</v>
      </c>
      <c r="R662" s="167" t="s">
        <v>7454</v>
      </c>
      <c r="S662" s="220" t="s">
        <v>910</v>
      </c>
      <c r="T662" s="167"/>
      <c r="U662" s="334" t="s">
        <v>7271</v>
      </c>
      <c r="V662" s="168">
        <f t="shared" si="3"/>
        <v>35798.85</v>
      </c>
      <c r="W662" s="168">
        <f t="shared" si="4"/>
        <v>0</v>
      </c>
      <c r="X662" s="168">
        <f t="shared" si="5"/>
        <v>0</v>
      </c>
      <c r="Y662" s="168">
        <f t="shared" si="6"/>
        <v>0</v>
      </c>
      <c r="Z662" s="168">
        <f t="shared" si="7"/>
        <v>0</v>
      </c>
      <c r="AA662" s="168">
        <f t="shared" si="8"/>
        <v>0</v>
      </c>
      <c r="AB662" s="168">
        <f t="shared" si="9"/>
        <v>0</v>
      </c>
    </row>
    <row r="663" ht="14.25" customHeight="1">
      <c r="A663" s="157">
        <v>1699.0</v>
      </c>
      <c r="B663" s="169" t="s">
        <v>30</v>
      </c>
      <c r="C663" s="169" t="s">
        <v>7455</v>
      </c>
      <c r="D663" s="336">
        <v>43557.0</v>
      </c>
      <c r="E663" s="157" t="s">
        <v>600</v>
      </c>
      <c r="F663" s="160">
        <v>3000.0</v>
      </c>
      <c r="G663" s="160">
        <v>480.0</v>
      </c>
      <c r="H663" s="160">
        <f t="shared" si="29"/>
        <v>3480</v>
      </c>
      <c r="I663" s="172"/>
      <c r="J663" s="169"/>
      <c r="K663" s="172"/>
      <c r="L663" s="172">
        <f>+'FACUS$'!$H663-'FACUS$'!$I663-'FACUS$'!$K663</f>
        <v>3480</v>
      </c>
      <c r="M663" s="162" t="s">
        <v>7415</v>
      </c>
      <c r="N663" s="162" t="s">
        <v>554</v>
      </c>
      <c r="O663" s="338">
        <v>43571.0</v>
      </c>
      <c r="P663" s="164">
        <f t="array" ref="P663">XLOOKUP('FACUS$'!$B663,'perfil de pagos'!$A$4:$A$46,'perfil de pagos'!$C$4:$C$46+'FACUS$'!$D663)</f>
        <v>43567</v>
      </c>
      <c r="Q663" s="165">
        <f t="shared" si="2"/>
        <v>0</v>
      </c>
      <c r="R663" s="167" t="s">
        <v>7456</v>
      </c>
      <c r="S663" s="167"/>
      <c r="T663" s="167"/>
      <c r="U663" s="334" t="s">
        <v>7271</v>
      </c>
      <c r="V663" s="168">
        <f t="shared" si="3"/>
        <v>3480</v>
      </c>
      <c r="W663" s="168">
        <f t="shared" si="4"/>
        <v>0</v>
      </c>
      <c r="X663" s="168">
        <f t="shared" si="5"/>
        <v>0</v>
      </c>
      <c r="Y663" s="168">
        <f t="shared" si="6"/>
        <v>0</v>
      </c>
      <c r="Z663" s="168">
        <f t="shared" si="7"/>
        <v>0</v>
      </c>
      <c r="AA663" s="168">
        <f t="shared" si="8"/>
        <v>0</v>
      </c>
      <c r="AB663" s="168">
        <f t="shared" si="9"/>
        <v>0</v>
      </c>
    </row>
    <row r="664" ht="14.25" customHeight="1">
      <c r="A664" s="157">
        <v>1701.0</v>
      </c>
      <c r="B664" s="169" t="s">
        <v>29</v>
      </c>
      <c r="C664" s="169" t="s">
        <v>7453</v>
      </c>
      <c r="D664" s="336">
        <v>43557.0</v>
      </c>
      <c r="E664" s="157" t="s">
        <v>600</v>
      </c>
      <c r="F664" s="160">
        <v>40798.93</v>
      </c>
      <c r="G664" s="160">
        <v>6527.83</v>
      </c>
      <c r="H664" s="160">
        <f t="shared" si="29"/>
        <v>47326.76</v>
      </c>
      <c r="I664" s="172"/>
      <c r="J664" s="169"/>
      <c r="K664" s="172"/>
      <c r="L664" s="172">
        <f>+'FACUS$'!$H664-'FACUS$'!$I664-'FACUS$'!$K664</f>
        <v>47326.76</v>
      </c>
      <c r="M664" s="162" t="s">
        <v>825</v>
      </c>
      <c r="N664" s="157" t="s">
        <v>554</v>
      </c>
      <c r="O664" s="338">
        <v>43579.0</v>
      </c>
      <c r="P664" s="164">
        <f t="array" ref="P664">XLOOKUP('FACUS$'!$B664,'perfil de pagos'!$A$4:$A$46,'perfil de pagos'!$C$4:$C$46+'FACUS$'!$D664)</f>
        <v>43567</v>
      </c>
      <c r="Q664" s="165">
        <f t="shared" si="2"/>
        <v>0</v>
      </c>
      <c r="R664" s="167"/>
      <c r="S664" s="167"/>
      <c r="T664" s="167"/>
      <c r="U664" s="334" t="s">
        <v>7271</v>
      </c>
      <c r="V664" s="168">
        <f t="shared" si="3"/>
        <v>47326.76</v>
      </c>
      <c r="W664" s="168">
        <f t="shared" si="4"/>
        <v>0</v>
      </c>
      <c r="X664" s="168">
        <f t="shared" si="5"/>
        <v>0</v>
      </c>
      <c r="Y664" s="168">
        <f t="shared" si="6"/>
        <v>0</v>
      </c>
      <c r="Z664" s="168">
        <f t="shared" si="7"/>
        <v>0</v>
      </c>
      <c r="AA664" s="168">
        <f t="shared" si="8"/>
        <v>0</v>
      </c>
      <c r="AB664" s="168">
        <f t="shared" si="9"/>
        <v>0</v>
      </c>
    </row>
    <row r="665" ht="14.25" customHeight="1">
      <c r="A665" s="157">
        <v>1703.0</v>
      </c>
      <c r="B665" s="169" t="s">
        <v>33</v>
      </c>
      <c r="C665" s="169" t="s">
        <v>7453</v>
      </c>
      <c r="D665" s="336">
        <v>43558.0</v>
      </c>
      <c r="E665" s="157" t="s">
        <v>600</v>
      </c>
      <c r="F665" s="160">
        <v>62098.14</v>
      </c>
      <c r="G665" s="160">
        <v>9935.7</v>
      </c>
      <c r="H665" s="160">
        <f t="shared" si="29"/>
        <v>72033.84</v>
      </c>
      <c r="I665" s="172"/>
      <c r="J665" s="169"/>
      <c r="K665" s="172"/>
      <c r="L665" s="172">
        <f>+'FACUS$'!$H665-'FACUS$'!$I665-'FACUS$'!$K665</f>
        <v>72033.84</v>
      </c>
      <c r="M665" s="162" t="s">
        <v>958</v>
      </c>
      <c r="N665" s="162" t="s">
        <v>554</v>
      </c>
      <c r="O665" s="338">
        <v>43633.0</v>
      </c>
      <c r="P665" s="164">
        <f t="array" ref="P665">XLOOKUP('FACUS$'!$B665,'perfil de pagos'!$A$4:$A$46,'perfil de pagos'!$C$4:$C$46+'FACUS$'!$D665)</f>
        <v>43568</v>
      </c>
      <c r="Q665" s="165">
        <f t="shared" si="2"/>
        <v>0</v>
      </c>
      <c r="R665" s="167"/>
      <c r="S665" s="220" t="s">
        <v>910</v>
      </c>
      <c r="T665" s="167"/>
      <c r="U665" s="334" t="s">
        <v>7271</v>
      </c>
      <c r="V665" s="168">
        <f t="shared" si="3"/>
        <v>72033.84</v>
      </c>
      <c r="W665" s="168">
        <f t="shared" si="4"/>
        <v>0</v>
      </c>
      <c r="X665" s="168">
        <f t="shared" si="5"/>
        <v>0</v>
      </c>
      <c r="Y665" s="168">
        <f t="shared" si="6"/>
        <v>0</v>
      </c>
      <c r="Z665" s="168">
        <f t="shared" si="7"/>
        <v>0</v>
      </c>
      <c r="AA665" s="168">
        <f t="shared" si="8"/>
        <v>0</v>
      </c>
      <c r="AB665" s="168">
        <f t="shared" si="9"/>
        <v>0</v>
      </c>
    </row>
    <row r="666" ht="14.25" customHeight="1">
      <c r="A666" s="157">
        <v>1705.0</v>
      </c>
      <c r="B666" s="169" t="s">
        <v>24</v>
      </c>
      <c r="C666" s="169" t="s">
        <v>7453</v>
      </c>
      <c r="D666" s="336">
        <v>43558.0</v>
      </c>
      <c r="E666" s="157" t="s">
        <v>600</v>
      </c>
      <c r="F666" s="160">
        <v>3651.86</v>
      </c>
      <c r="G666" s="160">
        <v>584.3</v>
      </c>
      <c r="H666" s="160">
        <f t="shared" si="29"/>
        <v>4236.16</v>
      </c>
      <c r="I666" s="172"/>
      <c r="J666" s="169"/>
      <c r="K666" s="172"/>
      <c r="L666" s="172">
        <f>+'FACUS$'!$H666-'FACUS$'!$I666-'FACUS$'!$K666</f>
        <v>4236.16</v>
      </c>
      <c r="M666" s="162" t="s">
        <v>91</v>
      </c>
      <c r="N666" s="162" t="s">
        <v>554</v>
      </c>
      <c r="O666" s="338">
        <v>43641.0</v>
      </c>
      <c r="P666" s="164">
        <f t="array" ref="P666">XLOOKUP('FACUS$'!$B666,'perfil de pagos'!$A$4:$A$46,'perfil de pagos'!$C$4:$C$46+'FACUS$'!$D666)</f>
        <v>43568</v>
      </c>
      <c r="Q666" s="165">
        <f t="shared" si="2"/>
        <v>0</v>
      </c>
      <c r="R666" s="167"/>
      <c r="S666" s="167"/>
      <c r="T666" s="167"/>
      <c r="U666" s="334" t="s">
        <v>7271</v>
      </c>
      <c r="V666" s="168">
        <f t="shared" si="3"/>
        <v>4236.16</v>
      </c>
      <c r="W666" s="168">
        <f t="shared" si="4"/>
        <v>0</v>
      </c>
      <c r="X666" s="168">
        <f t="shared" si="5"/>
        <v>0</v>
      </c>
      <c r="Y666" s="168">
        <f t="shared" si="6"/>
        <v>0</v>
      </c>
      <c r="Z666" s="168">
        <f t="shared" si="7"/>
        <v>0</v>
      </c>
      <c r="AA666" s="168">
        <f t="shared" si="8"/>
        <v>0</v>
      </c>
      <c r="AB666" s="168">
        <f t="shared" si="9"/>
        <v>0</v>
      </c>
    </row>
    <row r="667" ht="14.25" customHeight="1">
      <c r="A667" s="157">
        <v>1709.0</v>
      </c>
      <c r="B667" s="169" t="s">
        <v>41</v>
      </c>
      <c r="C667" s="169" t="s">
        <v>7453</v>
      </c>
      <c r="D667" s="336">
        <v>43558.0</v>
      </c>
      <c r="E667" s="157" t="s">
        <v>600</v>
      </c>
      <c r="F667" s="160">
        <v>54959.03</v>
      </c>
      <c r="G667" s="160">
        <v>8793.44</v>
      </c>
      <c r="H667" s="160">
        <f t="shared" si="29"/>
        <v>63752.47</v>
      </c>
      <c r="I667" s="172"/>
      <c r="J667" s="169"/>
      <c r="K667" s="172"/>
      <c r="L667" s="172">
        <f>+'FACUS$'!$H667-'FACUS$'!$I667-'FACUS$'!$K667</f>
        <v>63752.47</v>
      </c>
      <c r="M667" s="162" t="s">
        <v>875</v>
      </c>
      <c r="N667" s="162" t="s">
        <v>554</v>
      </c>
      <c r="O667" s="338">
        <v>43592.0</v>
      </c>
      <c r="P667" s="164">
        <f t="array" ref="P667">XLOOKUP('FACUS$'!$B667,'perfil de pagos'!$A$4:$A$46,'perfil de pagos'!$C$4:$C$46+'FACUS$'!$D667)</f>
        <v>43568</v>
      </c>
      <c r="Q667" s="165">
        <f t="shared" si="2"/>
        <v>0</v>
      </c>
      <c r="R667" s="167"/>
      <c r="S667" s="167"/>
      <c r="T667" s="167"/>
      <c r="U667" s="334" t="s">
        <v>7271</v>
      </c>
      <c r="V667" s="168">
        <f t="shared" si="3"/>
        <v>63752.47</v>
      </c>
      <c r="W667" s="168">
        <f t="shared" si="4"/>
        <v>0</v>
      </c>
      <c r="X667" s="168">
        <f t="shared" si="5"/>
        <v>0</v>
      </c>
      <c r="Y667" s="168">
        <f t="shared" si="6"/>
        <v>0</v>
      </c>
      <c r="Z667" s="168">
        <f t="shared" si="7"/>
        <v>0</v>
      </c>
      <c r="AA667" s="168">
        <f t="shared" si="8"/>
        <v>0</v>
      </c>
      <c r="AB667" s="168">
        <f t="shared" si="9"/>
        <v>0</v>
      </c>
    </row>
    <row r="668" ht="14.25" customHeight="1">
      <c r="A668" s="157">
        <v>1711.0</v>
      </c>
      <c r="B668" s="169" t="s">
        <v>18</v>
      </c>
      <c r="C668" s="169" t="s">
        <v>7453</v>
      </c>
      <c r="D668" s="336">
        <v>43559.0</v>
      </c>
      <c r="E668" s="157" t="s">
        <v>600</v>
      </c>
      <c r="F668" s="160">
        <v>12261.08</v>
      </c>
      <c r="G668" s="160">
        <v>1961.77</v>
      </c>
      <c r="H668" s="160">
        <f t="shared" si="29"/>
        <v>14222.85</v>
      </c>
      <c r="I668" s="172"/>
      <c r="J668" s="169"/>
      <c r="K668" s="172"/>
      <c r="L668" s="172">
        <f>+'FACUS$'!$H668-'FACUS$'!$I668-'FACUS$'!$K668</f>
        <v>14222.85</v>
      </c>
      <c r="M668" s="157" t="s">
        <v>586</v>
      </c>
      <c r="N668" s="157" t="s">
        <v>554</v>
      </c>
      <c r="O668" s="338">
        <v>43593.0</v>
      </c>
      <c r="P668" s="164">
        <f t="array" ref="P668">XLOOKUP('FACUS$'!$B668,'perfil de pagos'!$A$4:$A$46,'perfil de pagos'!$C$4:$C$46+'FACUS$'!$D668)</f>
        <v>43569</v>
      </c>
      <c r="Q668" s="165">
        <f t="shared" si="2"/>
        <v>0</v>
      </c>
      <c r="R668" s="167"/>
      <c r="S668" s="220" t="s">
        <v>910</v>
      </c>
      <c r="T668" s="167"/>
      <c r="U668" s="334" t="s">
        <v>7271</v>
      </c>
      <c r="V668" s="168">
        <f t="shared" si="3"/>
        <v>14222.85</v>
      </c>
      <c r="W668" s="168">
        <f t="shared" si="4"/>
        <v>0</v>
      </c>
      <c r="X668" s="168">
        <f t="shared" si="5"/>
        <v>0</v>
      </c>
      <c r="Y668" s="168">
        <f t="shared" si="6"/>
        <v>0</v>
      </c>
      <c r="Z668" s="168">
        <f t="shared" si="7"/>
        <v>0</v>
      </c>
      <c r="AA668" s="168">
        <f t="shared" si="8"/>
        <v>0</v>
      </c>
      <c r="AB668" s="168">
        <f t="shared" si="9"/>
        <v>0</v>
      </c>
    </row>
    <row r="669" ht="14.25" customHeight="1">
      <c r="A669" s="157">
        <v>1713.0</v>
      </c>
      <c r="B669" s="169" t="s">
        <v>20</v>
      </c>
      <c r="C669" s="169" t="s">
        <v>7453</v>
      </c>
      <c r="D669" s="336">
        <v>43559.0</v>
      </c>
      <c r="E669" s="157" t="s">
        <v>600</v>
      </c>
      <c r="F669" s="160">
        <v>11006.49</v>
      </c>
      <c r="G669" s="160">
        <v>1761.04</v>
      </c>
      <c r="H669" s="160">
        <f t="shared" si="29"/>
        <v>12767.53</v>
      </c>
      <c r="I669" s="172"/>
      <c r="J669" s="169"/>
      <c r="K669" s="172"/>
      <c r="L669" s="172">
        <f>+'FACUS$'!$H669-'FACUS$'!$I669-'FACUS$'!$K669</f>
        <v>12767.53</v>
      </c>
      <c r="M669" s="157" t="s">
        <v>732</v>
      </c>
      <c r="N669" s="162" t="s">
        <v>554</v>
      </c>
      <c r="O669" s="338">
        <v>43599.0</v>
      </c>
      <c r="P669" s="164">
        <f t="array" ref="P669">XLOOKUP('FACUS$'!$B669,'perfil de pagos'!$A$4:$A$46,'perfil de pagos'!$C$4:$C$46+'FACUS$'!$D669)</f>
        <v>43569</v>
      </c>
      <c r="Q669" s="165">
        <f t="shared" si="2"/>
        <v>0</v>
      </c>
      <c r="R669" s="167"/>
      <c r="S669" s="220" t="s">
        <v>910</v>
      </c>
      <c r="T669" s="167"/>
      <c r="U669" s="334" t="s">
        <v>7271</v>
      </c>
      <c r="V669" s="168">
        <f t="shared" si="3"/>
        <v>12767.53</v>
      </c>
      <c r="W669" s="168">
        <f t="shared" si="4"/>
        <v>0</v>
      </c>
      <c r="X669" s="168">
        <f t="shared" si="5"/>
        <v>0</v>
      </c>
      <c r="Y669" s="168">
        <f t="shared" si="6"/>
        <v>0</v>
      </c>
      <c r="Z669" s="168">
        <f t="shared" si="7"/>
        <v>0</v>
      </c>
      <c r="AA669" s="168">
        <f t="shared" si="8"/>
        <v>0</v>
      </c>
      <c r="AB669" s="168">
        <f t="shared" si="9"/>
        <v>0</v>
      </c>
    </row>
    <row r="670" ht="14.25" customHeight="1">
      <c r="A670" s="157">
        <v>1715.0</v>
      </c>
      <c r="B670" s="169" t="s">
        <v>37</v>
      </c>
      <c r="C670" s="169" t="s">
        <v>7453</v>
      </c>
      <c r="D670" s="336">
        <v>43559.0</v>
      </c>
      <c r="E670" s="157" t="s">
        <v>600</v>
      </c>
      <c r="F670" s="160">
        <v>67597.88</v>
      </c>
      <c r="G670" s="160">
        <v>10815.66</v>
      </c>
      <c r="H670" s="160">
        <f t="shared" si="29"/>
        <v>78413.54</v>
      </c>
      <c r="I670" s="172"/>
      <c r="J670" s="169"/>
      <c r="K670" s="172"/>
      <c r="L670" s="172">
        <f>+'FACUS$'!$H670-'FACUS$'!$I670-'FACUS$'!$K670</f>
        <v>78413.54</v>
      </c>
      <c r="M670" s="162" t="s">
        <v>116</v>
      </c>
      <c r="N670" s="157" t="s">
        <v>554</v>
      </c>
      <c r="O670" s="338">
        <v>43581.0</v>
      </c>
      <c r="P670" s="164">
        <f t="array" ref="P670">XLOOKUP('FACUS$'!$B670,'perfil de pagos'!$A$4:$A$46,'perfil de pagos'!$C$4:$C$46+'FACUS$'!$D670)</f>
        <v>43569</v>
      </c>
      <c r="Q670" s="165">
        <f t="shared" si="2"/>
        <v>0</v>
      </c>
      <c r="R670" s="167"/>
      <c r="S670" s="171" t="s">
        <v>910</v>
      </c>
      <c r="T670" s="167"/>
      <c r="U670" s="334" t="s">
        <v>7271</v>
      </c>
      <c r="V670" s="168">
        <f t="shared" si="3"/>
        <v>78413.54</v>
      </c>
      <c r="W670" s="168">
        <f t="shared" si="4"/>
        <v>0</v>
      </c>
      <c r="X670" s="168">
        <f t="shared" si="5"/>
        <v>0</v>
      </c>
      <c r="Y670" s="168">
        <f t="shared" si="6"/>
        <v>0</v>
      </c>
      <c r="Z670" s="168">
        <f t="shared" si="7"/>
        <v>0</v>
      </c>
      <c r="AA670" s="168">
        <f t="shared" si="8"/>
        <v>0</v>
      </c>
      <c r="AB670" s="168">
        <f t="shared" si="9"/>
        <v>0</v>
      </c>
    </row>
    <row r="671" ht="14.25" customHeight="1">
      <c r="A671" s="157">
        <v>1717.0</v>
      </c>
      <c r="B671" s="169" t="s">
        <v>29</v>
      </c>
      <c r="C671" s="169" t="s">
        <v>7457</v>
      </c>
      <c r="D671" s="336">
        <v>43560.0</v>
      </c>
      <c r="E671" s="157" t="s">
        <v>600</v>
      </c>
      <c r="F671" s="160">
        <v>6500.0</v>
      </c>
      <c r="G671" s="160">
        <v>1040.0</v>
      </c>
      <c r="H671" s="160">
        <f t="shared" si="29"/>
        <v>7540</v>
      </c>
      <c r="I671" s="172"/>
      <c r="J671" s="169"/>
      <c r="K671" s="172"/>
      <c r="L671" s="172">
        <f>+'FACUS$'!$H671-'FACUS$'!$I671-'FACUS$'!$K671</f>
        <v>7540</v>
      </c>
      <c r="M671" s="162" t="s">
        <v>922</v>
      </c>
      <c r="N671" s="162" t="s">
        <v>554</v>
      </c>
      <c r="O671" s="338">
        <v>43593.0</v>
      </c>
      <c r="P671" s="164">
        <f t="array" ref="P671">XLOOKUP('FACUS$'!$B671,'perfil de pagos'!$A$4:$A$46,'perfil de pagos'!$C$4:$C$46+'FACUS$'!$D671)</f>
        <v>43570</v>
      </c>
      <c r="Q671" s="165">
        <f t="shared" si="2"/>
        <v>0</v>
      </c>
      <c r="R671" s="167"/>
      <c r="S671" s="167"/>
      <c r="T671" s="167"/>
      <c r="U671" s="334" t="s">
        <v>7271</v>
      </c>
      <c r="V671" s="168">
        <f t="shared" si="3"/>
        <v>7540</v>
      </c>
      <c r="W671" s="168">
        <f t="shared" si="4"/>
        <v>0</v>
      </c>
      <c r="X671" s="168">
        <f t="shared" si="5"/>
        <v>0</v>
      </c>
      <c r="Y671" s="168">
        <f t="shared" si="6"/>
        <v>0</v>
      </c>
      <c r="Z671" s="168">
        <f t="shared" si="7"/>
        <v>0</v>
      </c>
      <c r="AA671" s="168">
        <f t="shared" si="8"/>
        <v>0</v>
      </c>
      <c r="AB671" s="168">
        <f t="shared" si="9"/>
        <v>0</v>
      </c>
    </row>
    <row r="672" ht="14.25" customHeight="1">
      <c r="A672" s="157">
        <v>1718.0</v>
      </c>
      <c r="B672" s="169" t="s">
        <v>29</v>
      </c>
      <c r="C672" s="169" t="s">
        <v>7458</v>
      </c>
      <c r="D672" s="336">
        <v>43560.0</v>
      </c>
      <c r="E672" s="157" t="s">
        <v>600</v>
      </c>
      <c r="F672" s="160">
        <v>15000.0</v>
      </c>
      <c r="G672" s="160">
        <v>2400.0</v>
      </c>
      <c r="H672" s="160">
        <f t="shared" si="29"/>
        <v>17400</v>
      </c>
      <c r="I672" s="172"/>
      <c r="J672" s="169"/>
      <c r="K672" s="172"/>
      <c r="L672" s="172">
        <f>+'FACUS$'!$H672-'FACUS$'!$I672-'FACUS$'!$K672</f>
        <v>17400</v>
      </c>
      <c r="M672" s="162" t="s">
        <v>921</v>
      </c>
      <c r="N672" s="157" t="s">
        <v>554</v>
      </c>
      <c r="O672" s="338">
        <v>43593.0</v>
      </c>
      <c r="P672" s="164">
        <f t="array" ref="P672">XLOOKUP('FACUS$'!$B672,'perfil de pagos'!$A$4:$A$46,'perfil de pagos'!$C$4:$C$46+'FACUS$'!$D672)</f>
        <v>43570</v>
      </c>
      <c r="Q672" s="165">
        <f t="shared" si="2"/>
        <v>0</v>
      </c>
      <c r="R672" s="167"/>
      <c r="S672" s="167"/>
      <c r="T672" s="167"/>
      <c r="U672" s="334" t="s">
        <v>7271</v>
      </c>
      <c r="V672" s="168">
        <f t="shared" si="3"/>
        <v>17400</v>
      </c>
      <c r="W672" s="168">
        <f t="shared" si="4"/>
        <v>0</v>
      </c>
      <c r="X672" s="168">
        <f t="shared" si="5"/>
        <v>0</v>
      </c>
      <c r="Y672" s="168">
        <f t="shared" si="6"/>
        <v>0</v>
      </c>
      <c r="Z672" s="168">
        <f t="shared" si="7"/>
        <v>0</v>
      </c>
      <c r="AA672" s="168">
        <f t="shared" si="8"/>
        <v>0</v>
      </c>
      <c r="AB672" s="168">
        <f t="shared" si="9"/>
        <v>0</v>
      </c>
    </row>
    <row r="673" ht="14.25" customHeight="1">
      <c r="A673" s="157">
        <v>1719.0</v>
      </c>
      <c r="B673" s="169" t="s">
        <v>29</v>
      </c>
      <c r="C673" s="169" t="s">
        <v>7459</v>
      </c>
      <c r="D673" s="336">
        <v>43560.0</v>
      </c>
      <c r="E673" s="157" t="s">
        <v>600</v>
      </c>
      <c r="F673" s="160">
        <v>2500.0</v>
      </c>
      <c r="G673" s="160">
        <v>400.0</v>
      </c>
      <c r="H673" s="160">
        <f t="shared" si="29"/>
        <v>2900</v>
      </c>
      <c r="I673" s="172"/>
      <c r="J673" s="169"/>
      <c r="K673" s="172"/>
      <c r="L673" s="172">
        <f>+'FACUS$'!$H673-'FACUS$'!$I673-'FACUS$'!$K673</f>
        <v>2900</v>
      </c>
      <c r="M673" s="162" t="s">
        <v>921</v>
      </c>
      <c r="N673" s="162" t="s">
        <v>554</v>
      </c>
      <c r="O673" s="338">
        <v>43593.0</v>
      </c>
      <c r="P673" s="164">
        <f t="array" ref="P673">XLOOKUP('FACUS$'!$B673,'perfil de pagos'!$A$4:$A$46,'perfil de pagos'!$C$4:$C$46+'FACUS$'!$D673)</f>
        <v>43570</v>
      </c>
      <c r="Q673" s="165">
        <f t="shared" si="2"/>
        <v>0</v>
      </c>
      <c r="R673" s="167"/>
      <c r="S673" s="167"/>
      <c r="T673" s="167"/>
      <c r="U673" s="334" t="s">
        <v>7271</v>
      </c>
      <c r="V673" s="168">
        <f t="shared" si="3"/>
        <v>2900</v>
      </c>
      <c r="W673" s="168">
        <f t="shared" si="4"/>
        <v>0</v>
      </c>
      <c r="X673" s="168">
        <f t="shared" si="5"/>
        <v>0</v>
      </c>
      <c r="Y673" s="168">
        <f t="shared" si="6"/>
        <v>0</v>
      </c>
      <c r="Z673" s="168">
        <f t="shared" si="7"/>
        <v>0</v>
      </c>
      <c r="AA673" s="168">
        <f t="shared" si="8"/>
        <v>0</v>
      </c>
      <c r="AB673" s="168">
        <f t="shared" si="9"/>
        <v>0</v>
      </c>
    </row>
    <row r="674" ht="14.25" customHeight="1">
      <c r="A674" s="157">
        <v>1720.0</v>
      </c>
      <c r="B674" s="169" t="s">
        <v>29</v>
      </c>
      <c r="C674" s="169" t="s">
        <v>7460</v>
      </c>
      <c r="D674" s="336">
        <v>43560.0</v>
      </c>
      <c r="E674" s="157" t="s">
        <v>600</v>
      </c>
      <c r="F674" s="160">
        <v>2500.0</v>
      </c>
      <c r="G674" s="160">
        <v>400.0</v>
      </c>
      <c r="H674" s="160">
        <f t="shared" si="29"/>
        <v>2900</v>
      </c>
      <c r="I674" s="172"/>
      <c r="J674" s="169"/>
      <c r="K674" s="172"/>
      <c r="L674" s="172">
        <f>+'FACUS$'!$H674-'FACUS$'!$I674-'FACUS$'!$K674</f>
        <v>2900</v>
      </c>
      <c r="M674" s="162" t="s">
        <v>921</v>
      </c>
      <c r="N674" s="157" t="s">
        <v>554</v>
      </c>
      <c r="O674" s="338">
        <v>43593.0</v>
      </c>
      <c r="P674" s="164">
        <f t="array" ref="P674">XLOOKUP('FACUS$'!$B674,'perfil de pagos'!$A$4:$A$46,'perfil de pagos'!$C$4:$C$46+'FACUS$'!$D674)</f>
        <v>43570</v>
      </c>
      <c r="Q674" s="165">
        <f t="shared" si="2"/>
        <v>0</v>
      </c>
      <c r="R674" s="167"/>
      <c r="S674" s="167"/>
      <c r="T674" s="167"/>
      <c r="U674" s="334" t="s">
        <v>7271</v>
      </c>
      <c r="V674" s="168">
        <f t="shared" si="3"/>
        <v>2900</v>
      </c>
      <c r="W674" s="168">
        <f t="shared" si="4"/>
        <v>0</v>
      </c>
      <c r="X674" s="168">
        <f t="shared" si="5"/>
        <v>0</v>
      </c>
      <c r="Y674" s="168">
        <f t="shared" si="6"/>
        <v>0</v>
      </c>
      <c r="Z674" s="168">
        <f t="shared" si="7"/>
        <v>0</v>
      </c>
      <c r="AA674" s="168">
        <f t="shared" si="8"/>
        <v>0</v>
      </c>
      <c r="AB674" s="168">
        <f t="shared" si="9"/>
        <v>0</v>
      </c>
    </row>
    <row r="675" ht="14.25" customHeight="1">
      <c r="A675" s="157">
        <v>1725.0</v>
      </c>
      <c r="B675" s="169" t="s">
        <v>43</v>
      </c>
      <c r="C675" s="169" t="s">
        <v>7461</v>
      </c>
      <c r="D675" s="336">
        <v>43565.0</v>
      </c>
      <c r="E675" s="157" t="s">
        <v>600</v>
      </c>
      <c r="F675" s="160">
        <v>94515.6</v>
      </c>
      <c r="G675" s="160">
        <v>15122.5</v>
      </c>
      <c r="H675" s="160">
        <f t="shared" si="29"/>
        <v>109638.1</v>
      </c>
      <c r="I675" s="172"/>
      <c r="J675" s="169"/>
      <c r="K675" s="172"/>
      <c r="L675" s="172">
        <f>+'FACUS$'!$H675-'FACUS$'!$I675-'FACUS$'!$K675</f>
        <v>109638.1</v>
      </c>
      <c r="M675" s="157" t="s">
        <v>43</v>
      </c>
      <c r="N675" s="162" t="s">
        <v>554</v>
      </c>
      <c r="O675" s="338">
        <v>43482.0</v>
      </c>
      <c r="P675" s="164">
        <f t="array" ref="P675">XLOOKUP('FACUS$'!$B675,'perfil de pagos'!$A$4:$A$46,'perfil de pagos'!$C$4:$C$46+'FACUS$'!$D675)</f>
        <v>43590</v>
      </c>
      <c r="Q675" s="165">
        <f t="shared" si="2"/>
        <v>0</v>
      </c>
      <c r="R675" s="167"/>
      <c r="S675" s="167"/>
      <c r="T675" s="167"/>
      <c r="U675" s="334" t="s">
        <v>7271</v>
      </c>
      <c r="V675" s="168">
        <f t="shared" si="3"/>
        <v>109638.1</v>
      </c>
      <c r="W675" s="168">
        <f t="shared" si="4"/>
        <v>0</v>
      </c>
      <c r="X675" s="168">
        <f t="shared" si="5"/>
        <v>0</v>
      </c>
      <c r="Y675" s="168">
        <f t="shared" si="6"/>
        <v>0</v>
      </c>
      <c r="Z675" s="168">
        <f t="shared" si="7"/>
        <v>0</v>
      </c>
      <c r="AA675" s="168">
        <f t="shared" si="8"/>
        <v>0</v>
      </c>
      <c r="AB675" s="168">
        <f t="shared" si="9"/>
        <v>0</v>
      </c>
    </row>
    <row r="676" ht="14.25" customHeight="1">
      <c r="A676" s="157">
        <v>1727.0</v>
      </c>
      <c r="B676" s="169" t="s">
        <v>43</v>
      </c>
      <c r="C676" s="169" t="s">
        <v>7462</v>
      </c>
      <c r="D676" s="336">
        <v>43565.0</v>
      </c>
      <c r="E676" s="157" t="s">
        <v>600</v>
      </c>
      <c r="F676" s="160">
        <v>62624.88</v>
      </c>
      <c r="G676" s="160">
        <v>10019.98</v>
      </c>
      <c r="H676" s="160">
        <f t="shared" si="29"/>
        <v>72644.86</v>
      </c>
      <c r="I676" s="172"/>
      <c r="J676" s="169"/>
      <c r="K676" s="172"/>
      <c r="L676" s="172">
        <f>+'FACUS$'!$H676-'FACUS$'!$I676-'FACUS$'!$K676</f>
        <v>72644.86</v>
      </c>
      <c r="M676" s="157" t="s">
        <v>43</v>
      </c>
      <c r="N676" s="157" t="s">
        <v>554</v>
      </c>
      <c r="O676" s="338">
        <v>43490.0</v>
      </c>
      <c r="P676" s="164">
        <f t="array" ref="P676">XLOOKUP('FACUS$'!$B676,'perfil de pagos'!$A$4:$A$46,'perfil de pagos'!$C$4:$C$46+'FACUS$'!$D676)</f>
        <v>43590</v>
      </c>
      <c r="Q676" s="165">
        <f t="shared" si="2"/>
        <v>0</v>
      </c>
      <c r="R676" s="167"/>
      <c r="S676" s="167"/>
      <c r="T676" s="167"/>
      <c r="U676" s="334" t="s">
        <v>7271</v>
      </c>
      <c r="V676" s="168">
        <f t="shared" si="3"/>
        <v>72644.86</v>
      </c>
      <c r="W676" s="168">
        <f t="shared" si="4"/>
        <v>0</v>
      </c>
      <c r="X676" s="168">
        <f t="shared" si="5"/>
        <v>0</v>
      </c>
      <c r="Y676" s="168">
        <f t="shared" si="6"/>
        <v>0</v>
      </c>
      <c r="Z676" s="168">
        <f t="shared" si="7"/>
        <v>0</v>
      </c>
      <c r="AA676" s="168">
        <f t="shared" si="8"/>
        <v>0</v>
      </c>
      <c r="AB676" s="168">
        <f t="shared" si="9"/>
        <v>0</v>
      </c>
    </row>
    <row r="677" ht="14.25" customHeight="1">
      <c r="A677" s="157">
        <v>1729.0</v>
      </c>
      <c r="B677" s="169" t="s">
        <v>43</v>
      </c>
      <c r="C677" s="169" t="s">
        <v>7463</v>
      </c>
      <c r="D677" s="336">
        <v>43565.0</v>
      </c>
      <c r="E677" s="157" t="s">
        <v>600</v>
      </c>
      <c r="F677" s="160">
        <v>72157.02</v>
      </c>
      <c r="G677" s="160">
        <v>11545.12</v>
      </c>
      <c r="H677" s="160">
        <f t="shared" si="29"/>
        <v>83702.14</v>
      </c>
      <c r="I677" s="172"/>
      <c r="J677" s="169"/>
      <c r="K677" s="172"/>
      <c r="L677" s="172">
        <f>+'FACUS$'!$H677-'FACUS$'!$I677-'FACUS$'!$K677</f>
        <v>83702.14</v>
      </c>
      <c r="M677" s="157" t="s">
        <v>43</v>
      </c>
      <c r="N677" s="162" t="s">
        <v>554</v>
      </c>
      <c r="O677" s="338">
        <v>43511.0</v>
      </c>
      <c r="P677" s="164">
        <f t="array" ref="P677">XLOOKUP('FACUS$'!$B677,'perfil de pagos'!$A$4:$A$46,'perfil de pagos'!$C$4:$C$46+'FACUS$'!$D677)</f>
        <v>43590</v>
      </c>
      <c r="Q677" s="165">
        <f t="shared" si="2"/>
        <v>0</v>
      </c>
      <c r="R677" s="167"/>
      <c r="S677" s="167"/>
      <c r="T677" s="167"/>
      <c r="U677" s="334" t="s">
        <v>7271</v>
      </c>
      <c r="V677" s="168">
        <f t="shared" si="3"/>
        <v>83702.14</v>
      </c>
      <c r="W677" s="168">
        <f t="shared" si="4"/>
        <v>0</v>
      </c>
      <c r="X677" s="168">
        <f t="shared" si="5"/>
        <v>0</v>
      </c>
      <c r="Y677" s="168">
        <f t="shared" si="6"/>
        <v>0</v>
      </c>
      <c r="Z677" s="168">
        <f t="shared" si="7"/>
        <v>0</v>
      </c>
      <c r="AA677" s="168">
        <f t="shared" si="8"/>
        <v>0</v>
      </c>
      <c r="AB677" s="168">
        <f t="shared" si="9"/>
        <v>0</v>
      </c>
    </row>
    <row r="678" ht="14.25" customHeight="1">
      <c r="A678" s="157">
        <v>1731.0</v>
      </c>
      <c r="B678" s="169" t="s">
        <v>43</v>
      </c>
      <c r="C678" s="169" t="s">
        <v>7464</v>
      </c>
      <c r="D678" s="336">
        <v>43565.0</v>
      </c>
      <c r="E678" s="157" t="s">
        <v>600</v>
      </c>
      <c r="F678" s="160">
        <v>54486.3</v>
      </c>
      <c r="G678" s="160">
        <v>8717.81</v>
      </c>
      <c r="H678" s="160">
        <f t="shared" si="29"/>
        <v>63204.11</v>
      </c>
      <c r="I678" s="172"/>
      <c r="J678" s="169"/>
      <c r="K678" s="172"/>
      <c r="L678" s="172">
        <f>+'FACUS$'!$H678-'FACUS$'!$I678-'FACUS$'!$K678</f>
        <v>63204.11</v>
      </c>
      <c r="M678" s="157" t="s">
        <v>43</v>
      </c>
      <c r="N678" s="157" t="s">
        <v>554</v>
      </c>
      <c r="O678" s="338">
        <v>43523.0</v>
      </c>
      <c r="P678" s="164">
        <f t="array" ref="P678">XLOOKUP('FACUS$'!$B678,'perfil de pagos'!$A$4:$A$46,'perfil de pagos'!$C$4:$C$46+'FACUS$'!$D678)</f>
        <v>43590</v>
      </c>
      <c r="Q678" s="165">
        <f t="shared" si="2"/>
        <v>0</v>
      </c>
      <c r="R678" s="167"/>
      <c r="S678" s="167"/>
      <c r="T678" s="167"/>
      <c r="U678" s="334" t="s">
        <v>7271</v>
      </c>
      <c r="V678" s="168">
        <f t="shared" si="3"/>
        <v>63204.11</v>
      </c>
      <c r="W678" s="168">
        <f t="shared" si="4"/>
        <v>0</v>
      </c>
      <c r="X678" s="168">
        <f t="shared" si="5"/>
        <v>0</v>
      </c>
      <c r="Y678" s="168">
        <f t="shared" si="6"/>
        <v>0</v>
      </c>
      <c r="Z678" s="168">
        <f t="shared" si="7"/>
        <v>0</v>
      </c>
      <c r="AA678" s="168">
        <f t="shared" si="8"/>
        <v>0</v>
      </c>
      <c r="AB678" s="168">
        <f t="shared" si="9"/>
        <v>0</v>
      </c>
    </row>
    <row r="679" ht="14.25" customHeight="1">
      <c r="A679" s="157">
        <v>1733.0</v>
      </c>
      <c r="B679" s="169" t="s">
        <v>43</v>
      </c>
      <c r="C679" s="169" t="s">
        <v>7465</v>
      </c>
      <c r="D679" s="336">
        <v>43565.0</v>
      </c>
      <c r="E679" s="157" t="s">
        <v>600</v>
      </c>
      <c r="F679" s="160">
        <v>40882.5</v>
      </c>
      <c r="G679" s="160">
        <v>6541.2</v>
      </c>
      <c r="H679" s="160">
        <f t="shared" si="29"/>
        <v>47423.7</v>
      </c>
      <c r="I679" s="172"/>
      <c r="J679" s="169"/>
      <c r="K679" s="172"/>
      <c r="L679" s="172">
        <f>+'FACUS$'!$H679-'FACUS$'!$I679-'FACUS$'!$K679</f>
        <v>47423.7</v>
      </c>
      <c r="M679" s="157" t="s">
        <v>43</v>
      </c>
      <c r="N679" s="162" t="s">
        <v>554</v>
      </c>
      <c r="O679" s="338">
        <v>43539.0</v>
      </c>
      <c r="P679" s="164">
        <f t="array" ref="P679">XLOOKUP('FACUS$'!$B679,'perfil de pagos'!$A$4:$A$46,'perfil de pagos'!$C$4:$C$46+'FACUS$'!$D679)</f>
        <v>43590</v>
      </c>
      <c r="Q679" s="165">
        <f t="shared" si="2"/>
        <v>0</v>
      </c>
      <c r="R679" s="167"/>
      <c r="S679" s="167"/>
      <c r="T679" s="167"/>
      <c r="U679" s="334" t="s">
        <v>7271</v>
      </c>
      <c r="V679" s="168">
        <f t="shared" si="3"/>
        <v>47423.7</v>
      </c>
      <c r="W679" s="168">
        <f t="shared" si="4"/>
        <v>0</v>
      </c>
      <c r="X679" s="168">
        <f t="shared" si="5"/>
        <v>0</v>
      </c>
      <c r="Y679" s="168">
        <f t="shared" si="6"/>
        <v>0</v>
      </c>
      <c r="Z679" s="168">
        <f t="shared" si="7"/>
        <v>0</v>
      </c>
      <c r="AA679" s="168">
        <f t="shared" si="8"/>
        <v>0</v>
      </c>
      <c r="AB679" s="168">
        <f t="shared" si="9"/>
        <v>0</v>
      </c>
    </row>
    <row r="680" ht="14.25" customHeight="1">
      <c r="A680" s="157">
        <v>1736.0</v>
      </c>
      <c r="B680" s="169" t="s">
        <v>43</v>
      </c>
      <c r="C680" s="169" t="s">
        <v>7466</v>
      </c>
      <c r="D680" s="336">
        <v>43565.0</v>
      </c>
      <c r="E680" s="157" t="s">
        <v>600</v>
      </c>
      <c r="F680" s="160">
        <v>31208.16</v>
      </c>
      <c r="G680" s="160">
        <v>4993.31</v>
      </c>
      <c r="H680" s="160">
        <f t="shared" si="29"/>
        <v>36201.47</v>
      </c>
      <c r="I680" s="172"/>
      <c r="J680" s="169"/>
      <c r="K680" s="172"/>
      <c r="L680" s="172">
        <f>+'FACUS$'!$H680-'FACUS$'!$I680-'FACUS$'!$K680</f>
        <v>36201.47</v>
      </c>
      <c r="M680" s="157" t="s">
        <v>43</v>
      </c>
      <c r="N680" s="157" t="s">
        <v>554</v>
      </c>
      <c r="O680" s="338">
        <v>43560.0</v>
      </c>
      <c r="P680" s="164">
        <f t="array" ref="P680">XLOOKUP('FACUS$'!$B680,'perfil de pagos'!$A$4:$A$46,'perfil de pagos'!$C$4:$C$46+'FACUS$'!$D680)</f>
        <v>43590</v>
      </c>
      <c r="Q680" s="165">
        <f t="shared" si="2"/>
        <v>0</v>
      </c>
      <c r="R680" s="167"/>
      <c r="S680" s="167"/>
      <c r="T680" s="167"/>
      <c r="U680" s="334" t="s">
        <v>7271</v>
      </c>
      <c r="V680" s="168">
        <f t="shared" si="3"/>
        <v>36201.47</v>
      </c>
      <c r="W680" s="168">
        <f t="shared" si="4"/>
        <v>0</v>
      </c>
      <c r="X680" s="168">
        <f t="shared" si="5"/>
        <v>0</v>
      </c>
      <c r="Y680" s="168">
        <f t="shared" si="6"/>
        <v>0</v>
      </c>
      <c r="Z680" s="168">
        <f t="shared" si="7"/>
        <v>0</v>
      </c>
      <c r="AA680" s="168">
        <f t="shared" si="8"/>
        <v>0</v>
      </c>
      <c r="AB680" s="168">
        <f t="shared" si="9"/>
        <v>0</v>
      </c>
    </row>
    <row r="681" ht="14.25" customHeight="1">
      <c r="A681" s="157">
        <v>1744.0</v>
      </c>
      <c r="B681" s="169" t="s">
        <v>29</v>
      </c>
      <c r="C681" s="169" t="s">
        <v>7467</v>
      </c>
      <c r="D681" s="336">
        <v>43571.0</v>
      </c>
      <c r="E681" s="157" t="s">
        <v>600</v>
      </c>
      <c r="F681" s="160">
        <v>30591.96</v>
      </c>
      <c r="G681" s="160">
        <v>4894.71</v>
      </c>
      <c r="H681" s="160">
        <f t="shared" si="29"/>
        <v>35486.67</v>
      </c>
      <c r="I681" s="172"/>
      <c r="J681" s="169"/>
      <c r="K681" s="172"/>
      <c r="L681" s="172">
        <f>+'FACUS$'!$H681-'FACUS$'!$I681-'FACUS$'!$K681</f>
        <v>35486.67</v>
      </c>
      <c r="M681" s="162" t="s">
        <v>825</v>
      </c>
      <c r="N681" s="162" t="s">
        <v>554</v>
      </c>
      <c r="O681" s="338">
        <v>43593.0</v>
      </c>
      <c r="P681" s="164">
        <f t="array" ref="P681">XLOOKUP('FACUS$'!$B681,'perfil de pagos'!$A$4:$A$46,'perfil de pagos'!$C$4:$C$46+'FACUS$'!$D681)</f>
        <v>43581</v>
      </c>
      <c r="Q681" s="165">
        <f t="shared" si="2"/>
        <v>0</v>
      </c>
      <c r="R681" s="167"/>
      <c r="S681" s="167"/>
      <c r="T681" s="167"/>
      <c r="U681" s="334" t="s">
        <v>7271</v>
      </c>
      <c r="V681" s="168">
        <f t="shared" si="3"/>
        <v>35486.67</v>
      </c>
      <c r="W681" s="168">
        <f t="shared" si="4"/>
        <v>0</v>
      </c>
      <c r="X681" s="168">
        <f t="shared" si="5"/>
        <v>0</v>
      </c>
      <c r="Y681" s="168">
        <f t="shared" si="6"/>
        <v>0</v>
      </c>
      <c r="Z681" s="168">
        <f t="shared" si="7"/>
        <v>0</v>
      </c>
      <c r="AA681" s="168">
        <f t="shared" si="8"/>
        <v>0</v>
      </c>
      <c r="AB681" s="168">
        <f t="shared" si="9"/>
        <v>0</v>
      </c>
    </row>
    <row r="682" ht="14.25" customHeight="1">
      <c r="A682" s="157">
        <v>1747.0</v>
      </c>
      <c r="B682" s="169" t="s">
        <v>33</v>
      </c>
      <c r="C682" s="169" t="s">
        <v>7467</v>
      </c>
      <c r="D682" s="336">
        <v>43571.0</v>
      </c>
      <c r="E682" s="157" t="s">
        <v>600</v>
      </c>
      <c r="F682" s="160">
        <v>48161.22</v>
      </c>
      <c r="G682" s="160">
        <v>7705.8</v>
      </c>
      <c r="H682" s="160">
        <f t="shared" si="29"/>
        <v>55867.02</v>
      </c>
      <c r="I682" s="172"/>
      <c r="J682" s="169"/>
      <c r="K682" s="172"/>
      <c r="L682" s="172">
        <f>+'FACUS$'!$H682-'FACUS$'!$I682-'FACUS$'!$K682</f>
        <v>55867.02</v>
      </c>
      <c r="M682" s="162" t="s">
        <v>958</v>
      </c>
      <c r="N682" s="157" t="s">
        <v>554</v>
      </c>
      <c r="O682" s="338">
        <v>43601.0</v>
      </c>
      <c r="P682" s="164">
        <f t="array" ref="P682">XLOOKUP('FACUS$'!$B682,'perfil de pagos'!$A$4:$A$46,'perfil de pagos'!$C$4:$C$46+'FACUS$'!$D682)</f>
        <v>43581</v>
      </c>
      <c r="Q682" s="165">
        <f t="shared" si="2"/>
        <v>0</v>
      </c>
      <c r="R682" s="167"/>
      <c r="S682" s="167"/>
      <c r="T682" s="167"/>
      <c r="U682" s="334" t="s">
        <v>7271</v>
      </c>
      <c r="V682" s="168">
        <f t="shared" si="3"/>
        <v>55867.02</v>
      </c>
      <c r="W682" s="168">
        <f t="shared" si="4"/>
        <v>0</v>
      </c>
      <c r="X682" s="168">
        <f t="shared" si="5"/>
        <v>0</v>
      </c>
      <c r="Y682" s="168">
        <f t="shared" si="6"/>
        <v>0</v>
      </c>
      <c r="Z682" s="168">
        <f t="shared" si="7"/>
        <v>0</v>
      </c>
      <c r="AA682" s="168">
        <f t="shared" si="8"/>
        <v>0</v>
      </c>
      <c r="AB682" s="168">
        <f t="shared" si="9"/>
        <v>0</v>
      </c>
    </row>
    <row r="683" ht="14.25" customHeight="1">
      <c r="A683" s="157">
        <v>1749.0</v>
      </c>
      <c r="B683" s="169" t="s">
        <v>18</v>
      </c>
      <c r="C683" s="169" t="s">
        <v>7467</v>
      </c>
      <c r="D683" s="336">
        <v>43572.0</v>
      </c>
      <c r="E683" s="157" t="s">
        <v>600</v>
      </c>
      <c r="F683" s="160">
        <v>10183.76</v>
      </c>
      <c r="G683" s="160">
        <v>1629.4</v>
      </c>
      <c r="H683" s="160">
        <f t="shared" si="29"/>
        <v>11813.16</v>
      </c>
      <c r="I683" s="172"/>
      <c r="J683" s="169"/>
      <c r="K683" s="172"/>
      <c r="L683" s="172">
        <f>+'FACUS$'!$H683-'FACUS$'!$I683-'FACUS$'!$K683</f>
        <v>11813.16</v>
      </c>
      <c r="M683" s="157" t="s">
        <v>586</v>
      </c>
      <c r="N683" s="337" t="s">
        <v>554</v>
      </c>
      <c r="O683" s="338">
        <v>43599.0</v>
      </c>
      <c r="P683" s="164">
        <f t="array" ref="P683">XLOOKUP('FACUS$'!$B683,'perfil de pagos'!$A$4:$A$46,'perfil de pagos'!$C$4:$C$46+'FACUS$'!$D683)</f>
        <v>43582</v>
      </c>
      <c r="Q683" s="165">
        <f t="shared" si="2"/>
        <v>0</v>
      </c>
      <c r="R683" s="167"/>
      <c r="S683" s="220" t="s">
        <v>910</v>
      </c>
      <c r="T683" s="167"/>
      <c r="U683" s="334" t="s">
        <v>7271</v>
      </c>
      <c r="V683" s="168">
        <f t="shared" si="3"/>
        <v>11813.16</v>
      </c>
      <c r="W683" s="168">
        <f t="shared" si="4"/>
        <v>0</v>
      </c>
      <c r="X683" s="168">
        <f t="shared" si="5"/>
        <v>0</v>
      </c>
      <c r="Y683" s="168">
        <f t="shared" si="6"/>
        <v>0</v>
      </c>
      <c r="Z683" s="168">
        <f t="shared" si="7"/>
        <v>0</v>
      </c>
      <c r="AA683" s="168">
        <f t="shared" si="8"/>
        <v>0</v>
      </c>
      <c r="AB683" s="168">
        <f t="shared" si="9"/>
        <v>0</v>
      </c>
    </row>
    <row r="684" ht="14.25" customHeight="1">
      <c r="A684" s="157">
        <v>1752.0</v>
      </c>
      <c r="B684" s="169" t="s">
        <v>20</v>
      </c>
      <c r="C684" s="169" t="s">
        <v>7467</v>
      </c>
      <c r="D684" s="336">
        <v>43572.0</v>
      </c>
      <c r="E684" s="157" t="s">
        <v>600</v>
      </c>
      <c r="F684" s="160">
        <v>6252.06</v>
      </c>
      <c r="G684" s="160">
        <v>1000.33</v>
      </c>
      <c r="H684" s="160">
        <f t="shared" si="29"/>
        <v>7252.39</v>
      </c>
      <c r="I684" s="172"/>
      <c r="J684" s="169"/>
      <c r="K684" s="172"/>
      <c r="L684" s="172">
        <f>+'FACUS$'!$H684-'FACUS$'!$I684-'FACUS$'!$K684</f>
        <v>7252.39</v>
      </c>
      <c r="M684" s="157" t="s">
        <v>732</v>
      </c>
      <c r="N684" s="337" t="s">
        <v>554</v>
      </c>
      <c r="O684" s="338">
        <v>43599.0</v>
      </c>
      <c r="P684" s="164">
        <f t="array" ref="P684">XLOOKUP('FACUS$'!$B684,'perfil de pagos'!$A$4:$A$46,'perfil de pagos'!$C$4:$C$46+'FACUS$'!$D684)</f>
        <v>43582</v>
      </c>
      <c r="Q684" s="165">
        <f t="shared" si="2"/>
        <v>0</v>
      </c>
      <c r="R684" s="167"/>
      <c r="S684" s="220" t="s">
        <v>910</v>
      </c>
      <c r="T684" s="167"/>
      <c r="U684" s="334" t="s">
        <v>7271</v>
      </c>
      <c r="V684" s="168">
        <f t="shared" si="3"/>
        <v>7252.39</v>
      </c>
      <c r="W684" s="168">
        <f t="shared" si="4"/>
        <v>0</v>
      </c>
      <c r="X684" s="168">
        <f t="shared" si="5"/>
        <v>0</v>
      </c>
      <c r="Y684" s="168">
        <f t="shared" si="6"/>
        <v>0</v>
      </c>
      <c r="Z684" s="168">
        <f t="shared" si="7"/>
        <v>0</v>
      </c>
      <c r="AA684" s="168">
        <f t="shared" si="8"/>
        <v>0</v>
      </c>
      <c r="AB684" s="168">
        <f t="shared" si="9"/>
        <v>0</v>
      </c>
    </row>
    <row r="685" ht="14.25" customHeight="1">
      <c r="A685" s="157">
        <v>1754.0</v>
      </c>
      <c r="B685" s="169" t="s">
        <v>37</v>
      </c>
      <c r="C685" s="169" t="s">
        <v>7467</v>
      </c>
      <c r="D685" s="336">
        <v>43572.0</v>
      </c>
      <c r="E685" s="157" t="s">
        <v>600</v>
      </c>
      <c r="F685" s="160">
        <v>61913.41</v>
      </c>
      <c r="G685" s="160">
        <v>9906.15</v>
      </c>
      <c r="H685" s="160">
        <f t="shared" si="29"/>
        <v>71819.56</v>
      </c>
      <c r="I685" s="172"/>
      <c r="J685" s="169"/>
      <c r="K685" s="172"/>
      <c r="L685" s="172">
        <f>+'FACUS$'!$H685-'FACUS$'!$I685-'FACUS$'!$K685</f>
        <v>71819.56</v>
      </c>
      <c r="M685" s="162" t="s">
        <v>116</v>
      </c>
      <c r="N685" s="337" t="s">
        <v>554</v>
      </c>
      <c r="O685" s="338">
        <v>43599.0</v>
      </c>
      <c r="P685" s="164">
        <f t="array" ref="P685">XLOOKUP('FACUS$'!$B685,'perfil de pagos'!$A$4:$A$46,'perfil de pagos'!$C$4:$C$46+'FACUS$'!$D685)</f>
        <v>43582</v>
      </c>
      <c r="Q685" s="165">
        <f t="shared" si="2"/>
        <v>0</v>
      </c>
      <c r="R685" s="167" t="s">
        <v>7468</v>
      </c>
      <c r="S685" s="171" t="s">
        <v>910</v>
      </c>
      <c r="T685" s="167"/>
      <c r="U685" s="334" t="s">
        <v>7271</v>
      </c>
      <c r="V685" s="168">
        <f t="shared" si="3"/>
        <v>71819.56</v>
      </c>
      <c r="W685" s="168">
        <f t="shared" si="4"/>
        <v>0</v>
      </c>
      <c r="X685" s="168">
        <f t="shared" si="5"/>
        <v>0</v>
      </c>
      <c r="Y685" s="168">
        <f t="shared" si="6"/>
        <v>0</v>
      </c>
      <c r="Z685" s="168">
        <f t="shared" si="7"/>
        <v>0</v>
      </c>
      <c r="AA685" s="168">
        <f t="shared" si="8"/>
        <v>0</v>
      </c>
      <c r="AB685" s="168">
        <f t="shared" si="9"/>
        <v>0</v>
      </c>
    </row>
    <row r="686" ht="14.25" customHeight="1">
      <c r="A686" s="157">
        <v>1757.0</v>
      </c>
      <c r="B686" s="169" t="s">
        <v>41</v>
      </c>
      <c r="C686" s="169" t="s">
        <v>7467</v>
      </c>
      <c r="D686" s="336">
        <v>43572.0</v>
      </c>
      <c r="E686" s="157" t="s">
        <v>600</v>
      </c>
      <c r="F686" s="160">
        <v>41058.8</v>
      </c>
      <c r="G686" s="160">
        <v>6569.41</v>
      </c>
      <c r="H686" s="160">
        <f t="shared" si="29"/>
        <v>47628.21</v>
      </c>
      <c r="I686" s="172"/>
      <c r="J686" s="169"/>
      <c r="K686" s="172"/>
      <c r="L686" s="172">
        <f>+'FACUS$'!$H686-'FACUS$'!$I686-'FACUS$'!$K686</f>
        <v>47628.21</v>
      </c>
      <c r="M686" s="162" t="s">
        <v>875</v>
      </c>
      <c r="N686" s="337" t="s">
        <v>554</v>
      </c>
      <c r="O686" s="338">
        <v>43676.0</v>
      </c>
      <c r="P686" s="164">
        <f t="array" ref="P686">XLOOKUP('FACUS$'!$B686,'perfil de pagos'!$A$4:$A$46,'perfil de pagos'!$C$4:$C$46+'FACUS$'!$D686)</f>
        <v>43582</v>
      </c>
      <c r="Q686" s="165">
        <f t="shared" si="2"/>
        <v>0</v>
      </c>
      <c r="R686" s="167" t="s">
        <v>7469</v>
      </c>
      <c r="S686" s="167"/>
      <c r="T686" s="167"/>
      <c r="U686" s="334" t="s">
        <v>7271</v>
      </c>
      <c r="V686" s="168">
        <f t="shared" si="3"/>
        <v>47628.21</v>
      </c>
      <c r="W686" s="168">
        <f t="shared" si="4"/>
        <v>0</v>
      </c>
      <c r="X686" s="168">
        <f t="shared" si="5"/>
        <v>0</v>
      </c>
      <c r="Y686" s="168">
        <f t="shared" si="6"/>
        <v>0</v>
      </c>
      <c r="Z686" s="168">
        <f t="shared" si="7"/>
        <v>0</v>
      </c>
      <c r="AA686" s="168">
        <f t="shared" si="8"/>
        <v>0</v>
      </c>
      <c r="AB686" s="168">
        <f t="shared" si="9"/>
        <v>0</v>
      </c>
    </row>
    <row r="687" ht="14.25" customHeight="1">
      <c r="A687" s="157">
        <v>1759.0</v>
      </c>
      <c r="B687" s="169" t="s">
        <v>43</v>
      </c>
      <c r="C687" s="169" t="s">
        <v>7467</v>
      </c>
      <c r="D687" s="336">
        <v>43572.0</v>
      </c>
      <c r="E687" s="157" t="s">
        <v>600</v>
      </c>
      <c r="F687" s="160">
        <v>22128.69</v>
      </c>
      <c r="G687" s="160">
        <v>3540.59</v>
      </c>
      <c r="H687" s="160">
        <f t="shared" si="29"/>
        <v>25669.28</v>
      </c>
      <c r="I687" s="172"/>
      <c r="J687" s="169"/>
      <c r="K687" s="172"/>
      <c r="L687" s="172">
        <f>+'FACUS$'!$H687-'FACUS$'!$I687-'FACUS$'!$K687</f>
        <v>25669.28</v>
      </c>
      <c r="M687" s="157" t="s">
        <v>43</v>
      </c>
      <c r="N687" s="337" t="s">
        <v>554</v>
      </c>
      <c r="O687" s="338">
        <v>43584.0</v>
      </c>
      <c r="P687" s="164">
        <f t="array" ref="P687">XLOOKUP('FACUS$'!$B687,'perfil de pagos'!$A$4:$A$46,'perfil de pagos'!$C$4:$C$46+'FACUS$'!$D687)</f>
        <v>43597</v>
      </c>
      <c r="Q687" s="165">
        <f t="shared" si="2"/>
        <v>0</v>
      </c>
      <c r="R687" s="167"/>
      <c r="S687" s="167"/>
      <c r="T687" s="167"/>
      <c r="U687" s="334" t="s">
        <v>7271</v>
      </c>
      <c r="V687" s="168">
        <f t="shared" si="3"/>
        <v>25669.28</v>
      </c>
      <c r="W687" s="168">
        <f t="shared" si="4"/>
        <v>0</v>
      </c>
      <c r="X687" s="168">
        <f t="shared" si="5"/>
        <v>0</v>
      </c>
      <c r="Y687" s="168">
        <f t="shared" si="6"/>
        <v>0</v>
      </c>
      <c r="Z687" s="168">
        <f t="shared" si="7"/>
        <v>0</v>
      </c>
      <c r="AA687" s="168">
        <f t="shared" si="8"/>
        <v>0</v>
      </c>
      <c r="AB687" s="168">
        <f t="shared" si="9"/>
        <v>0</v>
      </c>
    </row>
    <row r="688" ht="14.25" customHeight="1">
      <c r="A688" s="157">
        <v>1763.0</v>
      </c>
      <c r="B688" s="169" t="s">
        <v>30</v>
      </c>
      <c r="C688" s="169" t="s">
        <v>7470</v>
      </c>
      <c r="D688" s="336">
        <v>43588.0</v>
      </c>
      <c r="E688" s="157" t="s">
        <v>600</v>
      </c>
      <c r="F688" s="160">
        <v>5000.0</v>
      </c>
      <c r="G688" s="160">
        <v>800.0</v>
      </c>
      <c r="H688" s="160">
        <f t="shared" si="29"/>
        <v>5800</v>
      </c>
      <c r="I688" s="172"/>
      <c r="J688" s="169"/>
      <c r="K688" s="172"/>
      <c r="L688" s="172">
        <f>+'FACUS$'!$H688-'FACUS$'!$I688-'FACUS$'!$K688</f>
        <v>5800</v>
      </c>
      <c r="M688" s="162" t="s">
        <v>7415</v>
      </c>
      <c r="N688" s="337" t="s">
        <v>127</v>
      </c>
      <c r="O688" s="338">
        <v>43591.0</v>
      </c>
      <c r="P688" s="164">
        <f t="array" ref="P688">XLOOKUP('FACUS$'!$B688,'perfil de pagos'!$A$4:$A$46,'perfil de pagos'!$C$4:$C$46+'FACUS$'!$D688)</f>
        <v>43598</v>
      </c>
      <c r="Q688" s="165" t="str">
        <f t="shared" si="2"/>
        <v>N/A</v>
      </c>
      <c r="R688" s="167"/>
      <c r="S688" s="167"/>
      <c r="T688" s="167"/>
      <c r="U688" s="334" t="s">
        <v>7271</v>
      </c>
      <c r="V688" s="168">
        <f t="shared" si="3"/>
        <v>0</v>
      </c>
      <c r="W688" s="168">
        <f t="shared" si="4"/>
        <v>0</v>
      </c>
      <c r="X688" s="168">
        <f t="shared" si="5"/>
        <v>0</v>
      </c>
      <c r="Y688" s="168">
        <f t="shared" si="6"/>
        <v>0</v>
      </c>
      <c r="Z688" s="168">
        <f t="shared" si="7"/>
        <v>0</v>
      </c>
      <c r="AA688" s="168">
        <f t="shared" si="8"/>
        <v>0</v>
      </c>
      <c r="AB688" s="168">
        <f t="shared" si="9"/>
        <v>5800</v>
      </c>
    </row>
    <row r="689" ht="14.25" customHeight="1">
      <c r="A689" s="157">
        <v>1765.0</v>
      </c>
      <c r="B689" s="169" t="s">
        <v>29</v>
      </c>
      <c r="C689" s="169" t="s">
        <v>7471</v>
      </c>
      <c r="D689" s="336">
        <v>43588.0</v>
      </c>
      <c r="E689" s="157" t="s">
        <v>600</v>
      </c>
      <c r="F689" s="160">
        <v>26627.69</v>
      </c>
      <c r="G689" s="160">
        <v>4260.43</v>
      </c>
      <c r="H689" s="160">
        <f t="shared" si="29"/>
        <v>30888.12</v>
      </c>
      <c r="I689" s="172"/>
      <c r="J689" s="169"/>
      <c r="K689" s="172"/>
      <c r="L689" s="172">
        <f>+'FACUS$'!$H689-'FACUS$'!$I689-'FACUS$'!$K689</f>
        <v>30888.12</v>
      </c>
      <c r="M689" s="162" t="s">
        <v>825</v>
      </c>
      <c r="N689" s="337" t="s">
        <v>554</v>
      </c>
      <c r="O689" s="338">
        <v>43593.0</v>
      </c>
      <c r="P689" s="164">
        <f t="array" ref="P689">XLOOKUP('FACUS$'!$B689,'perfil de pagos'!$A$4:$A$46,'perfil de pagos'!$C$4:$C$46+'FACUS$'!$D689)</f>
        <v>43598</v>
      </c>
      <c r="Q689" s="165">
        <f t="shared" si="2"/>
        <v>0</v>
      </c>
      <c r="R689" s="167"/>
      <c r="S689" s="167"/>
      <c r="T689" s="167"/>
      <c r="U689" s="334" t="s">
        <v>7271</v>
      </c>
      <c r="V689" s="168">
        <f t="shared" si="3"/>
        <v>30888.12</v>
      </c>
      <c r="W689" s="168">
        <f t="shared" si="4"/>
        <v>0</v>
      </c>
      <c r="X689" s="168">
        <f t="shared" si="5"/>
        <v>0</v>
      </c>
      <c r="Y689" s="168">
        <f t="shared" si="6"/>
        <v>0</v>
      </c>
      <c r="Z689" s="168">
        <f t="shared" si="7"/>
        <v>0</v>
      </c>
      <c r="AA689" s="168">
        <f t="shared" si="8"/>
        <v>0</v>
      </c>
      <c r="AB689" s="168">
        <f t="shared" si="9"/>
        <v>0</v>
      </c>
    </row>
    <row r="690" ht="14.25" customHeight="1">
      <c r="A690" s="157">
        <v>1767.0</v>
      </c>
      <c r="B690" s="169" t="s">
        <v>33</v>
      </c>
      <c r="C690" s="169" t="s">
        <v>7471</v>
      </c>
      <c r="D690" s="336">
        <v>43588.0</v>
      </c>
      <c r="E690" s="157" t="s">
        <v>600</v>
      </c>
      <c r="F690" s="160">
        <v>29218.5</v>
      </c>
      <c r="G690" s="160">
        <v>4674.96</v>
      </c>
      <c r="H690" s="160">
        <f t="shared" si="29"/>
        <v>33893.46</v>
      </c>
      <c r="I690" s="172"/>
      <c r="J690" s="169"/>
      <c r="K690" s="172"/>
      <c r="L690" s="172">
        <f>+'FACUS$'!$H690-'FACUS$'!$I690-'FACUS$'!$K690</f>
        <v>33893.46</v>
      </c>
      <c r="M690" s="162" t="s">
        <v>958</v>
      </c>
      <c r="N690" s="337" t="s">
        <v>554</v>
      </c>
      <c r="O690" s="338">
        <v>43643.0</v>
      </c>
      <c r="P690" s="164">
        <f t="array" ref="P690">XLOOKUP('FACUS$'!$B690,'perfil de pagos'!$A$4:$A$46,'perfil de pagos'!$C$4:$C$46+'FACUS$'!$D690)</f>
        <v>43598</v>
      </c>
      <c r="Q690" s="165">
        <f t="shared" si="2"/>
        <v>0</v>
      </c>
      <c r="R690" s="167"/>
      <c r="S690" s="220" t="s">
        <v>910</v>
      </c>
      <c r="T690" s="167"/>
      <c r="U690" s="334" t="s">
        <v>7271</v>
      </c>
      <c r="V690" s="168">
        <f t="shared" si="3"/>
        <v>33893.46</v>
      </c>
      <c r="W690" s="168">
        <f t="shared" si="4"/>
        <v>0</v>
      </c>
      <c r="X690" s="168">
        <f t="shared" si="5"/>
        <v>0</v>
      </c>
      <c r="Y690" s="168">
        <f t="shared" si="6"/>
        <v>0</v>
      </c>
      <c r="Z690" s="168">
        <f t="shared" si="7"/>
        <v>0</v>
      </c>
      <c r="AA690" s="168">
        <f t="shared" si="8"/>
        <v>0</v>
      </c>
      <c r="AB690" s="168">
        <f t="shared" si="9"/>
        <v>0</v>
      </c>
    </row>
    <row r="691" ht="14.25" customHeight="1">
      <c r="A691" s="157">
        <v>1769.0</v>
      </c>
      <c r="B691" s="169" t="s">
        <v>43</v>
      </c>
      <c r="C691" s="169" t="s">
        <v>7471</v>
      </c>
      <c r="D691" s="336">
        <v>43588.0</v>
      </c>
      <c r="E691" s="157" t="s">
        <v>600</v>
      </c>
      <c r="F691" s="160">
        <v>21062.45</v>
      </c>
      <c r="G691" s="160">
        <v>3369.99</v>
      </c>
      <c r="H691" s="160">
        <f t="shared" si="29"/>
        <v>24432.44</v>
      </c>
      <c r="I691" s="172"/>
      <c r="J691" s="169"/>
      <c r="K691" s="172"/>
      <c r="L691" s="172">
        <f>+'FACUS$'!$H691-'FACUS$'!$I691-'FACUS$'!$K691</f>
        <v>24432.44</v>
      </c>
      <c r="M691" s="162" t="s">
        <v>43</v>
      </c>
      <c r="N691" s="337" t="s">
        <v>554</v>
      </c>
      <c r="O691" s="338">
        <v>43609.0</v>
      </c>
      <c r="P691" s="164">
        <f t="array" ref="P691">XLOOKUP('FACUS$'!$B691,'perfil de pagos'!$A$4:$A$46,'perfil de pagos'!$C$4:$C$46+'FACUS$'!$D691)</f>
        <v>43613</v>
      </c>
      <c r="Q691" s="165">
        <f t="shared" si="2"/>
        <v>0</v>
      </c>
      <c r="R691" s="167"/>
      <c r="S691" s="220" t="s">
        <v>910</v>
      </c>
      <c r="T691" s="167"/>
      <c r="U691" s="334" t="s">
        <v>7271</v>
      </c>
      <c r="V691" s="168">
        <f t="shared" si="3"/>
        <v>24432.44</v>
      </c>
      <c r="W691" s="168">
        <f t="shared" si="4"/>
        <v>0</v>
      </c>
      <c r="X691" s="168">
        <f t="shared" si="5"/>
        <v>0</v>
      </c>
      <c r="Y691" s="168">
        <f t="shared" si="6"/>
        <v>0</v>
      </c>
      <c r="Z691" s="168">
        <f t="shared" si="7"/>
        <v>0</v>
      </c>
      <c r="AA691" s="168">
        <f t="shared" si="8"/>
        <v>0</v>
      </c>
      <c r="AB691" s="168">
        <f t="shared" si="9"/>
        <v>0</v>
      </c>
    </row>
    <row r="692" ht="14.25" customHeight="1">
      <c r="A692" s="157">
        <v>1771.0</v>
      </c>
      <c r="B692" s="169" t="s">
        <v>30</v>
      </c>
      <c r="C692" s="169" t="s">
        <v>7471</v>
      </c>
      <c r="D692" s="336">
        <v>43588.0</v>
      </c>
      <c r="E692" s="157" t="s">
        <v>600</v>
      </c>
      <c r="F692" s="160">
        <v>66.0</v>
      </c>
      <c r="G692" s="160">
        <v>10.56</v>
      </c>
      <c r="H692" s="160">
        <f t="shared" si="29"/>
        <v>76.56</v>
      </c>
      <c r="I692" s="172"/>
      <c r="J692" s="169"/>
      <c r="K692" s="172"/>
      <c r="L692" s="172">
        <f>+'FACUS$'!$H692-'FACUS$'!$I692-'FACUS$'!$K692</f>
        <v>76.56</v>
      </c>
      <c r="M692" s="162" t="s">
        <v>7415</v>
      </c>
      <c r="N692" s="337" t="s">
        <v>554</v>
      </c>
      <c r="O692" s="338">
        <v>43595.0</v>
      </c>
      <c r="P692" s="164">
        <f t="array" ref="P692">XLOOKUP('FACUS$'!$B692,'perfil de pagos'!$A$4:$A$46,'perfil de pagos'!$C$4:$C$46+'FACUS$'!$D692)</f>
        <v>43598</v>
      </c>
      <c r="Q692" s="165">
        <f t="shared" si="2"/>
        <v>0</v>
      </c>
      <c r="R692" s="220" t="s">
        <v>7472</v>
      </c>
      <c r="S692" s="223" t="s">
        <v>910</v>
      </c>
      <c r="T692" s="167"/>
      <c r="U692" s="334" t="s">
        <v>7271</v>
      </c>
      <c r="V692" s="168">
        <f t="shared" si="3"/>
        <v>76.56</v>
      </c>
      <c r="W692" s="168">
        <f t="shared" si="4"/>
        <v>0</v>
      </c>
      <c r="X692" s="168">
        <f t="shared" si="5"/>
        <v>0</v>
      </c>
      <c r="Y692" s="168">
        <f t="shared" si="6"/>
        <v>0</v>
      </c>
      <c r="Z692" s="168">
        <f t="shared" si="7"/>
        <v>0</v>
      </c>
      <c r="AA692" s="168">
        <f t="shared" si="8"/>
        <v>0</v>
      </c>
      <c r="AB692" s="168">
        <f t="shared" si="9"/>
        <v>0</v>
      </c>
    </row>
    <row r="693" ht="14.25" customHeight="1">
      <c r="A693" s="157">
        <v>1773.0</v>
      </c>
      <c r="B693" s="169" t="s">
        <v>29</v>
      </c>
      <c r="C693" s="169" t="s">
        <v>7473</v>
      </c>
      <c r="D693" s="336">
        <v>43588.0</v>
      </c>
      <c r="E693" s="157" t="s">
        <v>600</v>
      </c>
      <c r="F693" s="160">
        <v>6500.0</v>
      </c>
      <c r="G693" s="160">
        <v>1040.0</v>
      </c>
      <c r="H693" s="160">
        <f t="shared" si="29"/>
        <v>7540</v>
      </c>
      <c r="I693" s="172"/>
      <c r="J693" s="169"/>
      <c r="K693" s="172"/>
      <c r="L693" s="172">
        <f>+'FACUS$'!$H693-'FACUS$'!$I693-'FACUS$'!$K693</f>
        <v>7540</v>
      </c>
      <c r="M693" s="162" t="s">
        <v>922</v>
      </c>
      <c r="N693" s="337" t="s">
        <v>554</v>
      </c>
      <c r="O693" s="338">
        <v>43593.0</v>
      </c>
      <c r="P693" s="164">
        <f t="array" ref="P693">XLOOKUP('FACUS$'!$B693,'perfil de pagos'!$A$4:$A$46,'perfil de pagos'!$C$4:$C$46+'FACUS$'!$D693)</f>
        <v>43598</v>
      </c>
      <c r="Q693" s="165">
        <f t="shared" si="2"/>
        <v>0</v>
      </c>
      <c r="R693" s="167"/>
      <c r="S693" s="167"/>
      <c r="T693" s="167"/>
      <c r="U693" s="334" t="s">
        <v>7271</v>
      </c>
      <c r="V693" s="168">
        <f t="shared" si="3"/>
        <v>7540</v>
      </c>
      <c r="W693" s="168">
        <f t="shared" si="4"/>
        <v>0</v>
      </c>
      <c r="X693" s="168">
        <f t="shared" si="5"/>
        <v>0</v>
      </c>
      <c r="Y693" s="168">
        <f t="shared" si="6"/>
        <v>0</v>
      </c>
      <c r="Z693" s="168">
        <f t="shared" si="7"/>
        <v>0</v>
      </c>
      <c r="AA693" s="168">
        <f t="shared" si="8"/>
        <v>0</v>
      </c>
      <c r="AB693" s="168">
        <f t="shared" si="9"/>
        <v>0</v>
      </c>
    </row>
    <row r="694" ht="14.25" customHeight="1">
      <c r="A694" s="157">
        <v>1774.0</v>
      </c>
      <c r="B694" s="169" t="s">
        <v>29</v>
      </c>
      <c r="C694" s="169" t="s">
        <v>7474</v>
      </c>
      <c r="D694" s="336">
        <v>43588.0</v>
      </c>
      <c r="E694" s="157" t="s">
        <v>600</v>
      </c>
      <c r="F694" s="160">
        <v>15000.0</v>
      </c>
      <c r="G694" s="160">
        <v>2400.0</v>
      </c>
      <c r="H694" s="160">
        <f t="shared" si="29"/>
        <v>17400</v>
      </c>
      <c r="I694" s="172"/>
      <c r="J694" s="169"/>
      <c r="K694" s="172"/>
      <c r="L694" s="172">
        <f>+'FACUS$'!$H694-'FACUS$'!$I694-'FACUS$'!$K694</f>
        <v>17400</v>
      </c>
      <c r="M694" s="162" t="s">
        <v>921</v>
      </c>
      <c r="N694" s="337" t="s">
        <v>554</v>
      </c>
      <c r="O694" s="338">
        <v>43593.0</v>
      </c>
      <c r="P694" s="164">
        <f t="array" ref="P694">XLOOKUP('FACUS$'!$B694,'perfil de pagos'!$A$4:$A$46,'perfil de pagos'!$C$4:$C$46+'FACUS$'!$D694)</f>
        <v>43598</v>
      </c>
      <c r="Q694" s="165">
        <f t="shared" si="2"/>
        <v>0</v>
      </c>
      <c r="R694" s="167"/>
      <c r="S694" s="167"/>
      <c r="T694" s="167"/>
      <c r="U694" s="334" t="s">
        <v>7271</v>
      </c>
      <c r="V694" s="168">
        <f t="shared" si="3"/>
        <v>17400</v>
      </c>
      <c r="W694" s="168">
        <f t="shared" si="4"/>
        <v>0</v>
      </c>
      <c r="X694" s="168">
        <f t="shared" si="5"/>
        <v>0</v>
      </c>
      <c r="Y694" s="168">
        <f t="shared" si="6"/>
        <v>0</v>
      </c>
      <c r="Z694" s="168">
        <f t="shared" si="7"/>
        <v>0</v>
      </c>
      <c r="AA694" s="168">
        <f t="shared" si="8"/>
        <v>0</v>
      </c>
      <c r="AB694" s="168">
        <f t="shared" si="9"/>
        <v>0</v>
      </c>
    </row>
    <row r="695" ht="14.25" customHeight="1">
      <c r="A695" s="157">
        <v>1775.0</v>
      </c>
      <c r="B695" s="169" t="s">
        <v>29</v>
      </c>
      <c r="C695" s="169" t="s">
        <v>7475</v>
      </c>
      <c r="D695" s="336">
        <v>43588.0</v>
      </c>
      <c r="E695" s="157" t="s">
        <v>600</v>
      </c>
      <c r="F695" s="160">
        <v>2500.0</v>
      </c>
      <c r="G695" s="160">
        <v>400.0</v>
      </c>
      <c r="H695" s="160">
        <f t="shared" si="29"/>
        <v>2900</v>
      </c>
      <c r="I695" s="172"/>
      <c r="J695" s="169"/>
      <c r="K695" s="172"/>
      <c r="L695" s="172">
        <f>+'FACUS$'!$H695-'FACUS$'!$I695-'FACUS$'!$K695</f>
        <v>2900</v>
      </c>
      <c r="M695" s="162" t="s">
        <v>922</v>
      </c>
      <c r="N695" s="337" t="s">
        <v>554</v>
      </c>
      <c r="O695" s="338">
        <v>43593.0</v>
      </c>
      <c r="P695" s="164">
        <f t="array" ref="P695">XLOOKUP('FACUS$'!$B695,'perfil de pagos'!$A$4:$A$46,'perfil de pagos'!$C$4:$C$46+'FACUS$'!$D695)</f>
        <v>43598</v>
      </c>
      <c r="Q695" s="165">
        <f t="shared" si="2"/>
        <v>0</v>
      </c>
      <c r="R695" s="167"/>
      <c r="S695" s="167"/>
      <c r="T695" s="167"/>
      <c r="U695" s="334" t="s">
        <v>7271</v>
      </c>
      <c r="V695" s="168">
        <f t="shared" si="3"/>
        <v>2900</v>
      </c>
      <c r="W695" s="168">
        <f t="shared" si="4"/>
        <v>0</v>
      </c>
      <c r="X695" s="168">
        <f t="shared" si="5"/>
        <v>0</v>
      </c>
      <c r="Y695" s="168">
        <f t="shared" si="6"/>
        <v>0</v>
      </c>
      <c r="Z695" s="168">
        <f t="shared" si="7"/>
        <v>0</v>
      </c>
      <c r="AA695" s="168">
        <f t="shared" si="8"/>
        <v>0</v>
      </c>
      <c r="AB695" s="168">
        <f t="shared" si="9"/>
        <v>0</v>
      </c>
    </row>
    <row r="696" ht="14.25" customHeight="1">
      <c r="A696" s="157">
        <v>1776.0</v>
      </c>
      <c r="B696" s="169" t="s">
        <v>29</v>
      </c>
      <c r="C696" s="169" t="s">
        <v>7476</v>
      </c>
      <c r="D696" s="336">
        <v>43588.0</v>
      </c>
      <c r="E696" s="157" t="s">
        <v>600</v>
      </c>
      <c r="F696" s="160">
        <v>2500.0</v>
      </c>
      <c r="G696" s="160">
        <v>400.0</v>
      </c>
      <c r="H696" s="160">
        <f t="shared" si="29"/>
        <v>2900</v>
      </c>
      <c r="I696" s="172"/>
      <c r="J696" s="169"/>
      <c r="K696" s="172"/>
      <c r="L696" s="172">
        <f>+'FACUS$'!$H696-'FACUS$'!$I696-'FACUS$'!$K696</f>
        <v>2900</v>
      </c>
      <c r="M696" s="162" t="s">
        <v>921</v>
      </c>
      <c r="N696" s="337" t="s">
        <v>554</v>
      </c>
      <c r="O696" s="338">
        <v>43593.0</v>
      </c>
      <c r="P696" s="164">
        <f t="array" ref="P696">XLOOKUP('FACUS$'!$B696,'perfil de pagos'!$A$4:$A$46,'perfil de pagos'!$C$4:$C$46+'FACUS$'!$D696)</f>
        <v>43598</v>
      </c>
      <c r="Q696" s="165">
        <f t="shared" si="2"/>
        <v>0</v>
      </c>
      <c r="R696" s="167"/>
      <c r="S696" s="167"/>
      <c r="T696" s="167"/>
      <c r="U696" s="334" t="s">
        <v>7271</v>
      </c>
      <c r="V696" s="168">
        <f t="shared" si="3"/>
        <v>2900</v>
      </c>
      <c r="W696" s="168">
        <f t="shared" si="4"/>
        <v>0</v>
      </c>
      <c r="X696" s="168">
        <f t="shared" si="5"/>
        <v>0</v>
      </c>
      <c r="Y696" s="168">
        <f t="shared" si="6"/>
        <v>0</v>
      </c>
      <c r="Z696" s="168">
        <f t="shared" si="7"/>
        <v>0</v>
      </c>
      <c r="AA696" s="168">
        <f t="shared" si="8"/>
        <v>0</v>
      </c>
      <c r="AB696" s="168">
        <f t="shared" si="9"/>
        <v>0</v>
      </c>
    </row>
    <row r="697" ht="14.25" customHeight="1">
      <c r="A697" s="157">
        <v>1779.0</v>
      </c>
      <c r="B697" s="169" t="s">
        <v>18</v>
      </c>
      <c r="C697" s="169" t="s">
        <v>7471</v>
      </c>
      <c r="D697" s="336">
        <v>43591.0</v>
      </c>
      <c r="E697" s="157" t="s">
        <v>600</v>
      </c>
      <c r="F697" s="160">
        <v>12613.91</v>
      </c>
      <c r="G697" s="160">
        <v>2018.23</v>
      </c>
      <c r="H697" s="160">
        <f t="shared" si="29"/>
        <v>14632.14</v>
      </c>
      <c r="I697" s="172"/>
      <c r="J697" s="169"/>
      <c r="K697" s="172"/>
      <c r="L697" s="172">
        <f>+'FACUS$'!$H697-'FACUS$'!$I697-'FACUS$'!$K697</f>
        <v>14632.14</v>
      </c>
      <c r="M697" s="162" t="s">
        <v>586</v>
      </c>
      <c r="N697" s="337" t="s">
        <v>554</v>
      </c>
      <c r="O697" s="338">
        <v>43633.0</v>
      </c>
      <c r="P697" s="164">
        <f t="array" ref="P697">XLOOKUP('FACUS$'!$B697,'perfil de pagos'!$A$4:$A$46,'perfil de pagos'!$C$4:$C$46+'FACUS$'!$D697)</f>
        <v>43601</v>
      </c>
      <c r="Q697" s="165">
        <f t="shared" si="2"/>
        <v>0</v>
      </c>
      <c r="R697" s="167"/>
      <c r="S697" s="167" t="s">
        <v>910</v>
      </c>
      <c r="T697" s="167"/>
      <c r="U697" s="334" t="s">
        <v>7271</v>
      </c>
      <c r="V697" s="168">
        <f t="shared" si="3"/>
        <v>14632.14</v>
      </c>
      <c r="W697" s="168">
        <f t="shared" si="4"/>
        <v>0</v>
      </c>
      <c r="X697" s="168">
        <f t="shared" si="5"/>
        <v>0</v>
      </c>
      <c r="Y697" s="168">
        <f t="shared" si="6"/>
        <v>0</v>
      </c>
      <c r="Z697" s="168">
        <f t="shared" si="7"/>
        <v>0</v>
      </c>
      <c r="AA697" s="168">
        <f t="shared" si="8"/>
        <v>0</v>
      </c>
      <c r="AB697" s="168">
        <f t="shared" si="9"/>
        <v>0</v>
      </c>
    </row>
    <row r="698" ht="14.25" customHeight="1">
      <c r="A698" s="157">
        <v>1781.0</v>
      </c>
      <c r="B698" s="169" t="s">
        <v>20</v>
      </c>
      <c r="C698" s="169" t="s">
        <v>7471</v>
      </c>
      <c r="D698" s="336">
        <v>43591.0</v>
      </c>
      <c r="E698" s="157" t="s">
        <v>600</v>
      </c>
      <c r="F698" s="160">
        <v>16557.07</v>
      </c>
      <c r="G698" s="160">
        <v>2649.13</v>
      </c>
      <c r="H698" s="160">
        <f t="shared" si="29"/>
        <v>19206.2</v>
      </c>
      <c r="I698" s="172"/>
      <c r="J698" s="169"/>
      <c r="K698" s="172"/>
      <c r="L698" s="172">
        <f>+'FACUS$'!$H698-'FACUS$'!$I698-'FACUS$'!$K698</f>
        <v>19206.2</v>
      </c>
      <c r="M698" s="162" t="s">
        <v>732</v>
      </c>
      <c r="N698" s="337" t="s">
        <v>554</v>
      </c>
      <c r="O698" s="338">
        <v>43633.0</v>
      </c>
      <c r="P698" s="164">
        <f t="array" ref="P698">XLOOKUP('FACUS$'!$B698,'perfil de pagos'!$A$4:$A$46,'perfil de pagos'!$C$4:$C$46+'FACUS$'!$D698)</f>
        <v>43601</v>
      </c>
      <c r="Q698" s="165">
        <f t="shared" si="2"/>
        <v>0</v>
      </c>
      <c r="R698" s="167"/>
      <c r="S698" s="167" t="s">
        <v>910</v>
      </c>
      <c r="T698" s="167"/>
      <c r="U698" s="334" t="s">
        <v>7271</v>
      </c>
      <c r="V698" s="168">
        <f t="shared" si="3"/>
        <v>19206.2</v>
      </c>
      <c r="W698" s="168">
        <f t="shared" si="4"/>
        <v>0</v>
      </c>
      <c r="X698" s="168">
        <f t="shared" si="5"/>
        <v>0</v>
      </c>
      <c r="Y698" s="168">
        <f t="shared" si="6"/>
        <v>0</v>
      </c>
      <c r="Z698" s="168">
        <f t="shared" si="7"/>
        <v>0</v>
      </c>
      <c r="AA698" s="168">
        <f t="shared" si="8"/>
        <v>0</v>
      </c>
      <c r="AB698" s="168">
        <f t="shared" si="9"/>
        <v>0</v>
      </c>
    </row>
    <row r="699" ht="14.25" customHeight="1">
      <c r="A699" s="157">
        <v>1783.0</v>
      </c>
      <c r="B699" s="169" t="s">
        <v>37</v>
      </c>
      <c r="C699" s="169" t="s">
        <v>7471</v>
      </c>
      <c r="D699" s="336">
        <v>43591.0</v>
      </c>
      <c r="E699" s="157" t="s">
        <v>600</v>
      </c>
      <c r="F699" s="160">
        <v>69329.74</v>
      </c>
      <c r="G699" s="160">
        <v>11092.76</v>
      </c>
      <c r="H699" s="160">
        <f t="shared" si="29"/>
        <v>80422.5</v>
      </c>
      <c r="I699" s="172"/>
      <c r="J699" s="169"/>
      <c r="K699" s="172"/>
      <c r="L699" s="172">
        <f>+'FACUS$'!$H699-'FACUS$'!$I699-'FACUS$'!$K699</f>
        <v>80422.5</v>
      </c>
      <c r="M699" s="162" t="s">
        <v>116</v>
      </c>
      <c r="N699" s="337" t="s">
        <v>554</v>
      </c>
      <c r="O699" s="338">
        <v>43621.0</v>
      </c>
      <c r="P699" s="164">
        <f t="array" ref="P699">XLOOKUP('FACUS$'!$B699,'perfil de pagos'!$A$4:$A$46,'perfil de pagos'!$C$4:$C$46+'FACUS$'!$D699)</f>
        <v>43601</v>
      </c>
      <c r="Q699" s="165">
        <f t="shared" si="2"/>
        <v>0</v>
      </c>
      <c r="R699" s="167" t="s">
        <v>7477</v>
      </c>
      <c r="S699" s="171" t="s">
        <v>910</v>
      </c>
      <c r="T699" s="167"/>
      <c r="U699" s="334" t="s">
        <v>7271</v>
      </c>
      <c r="V699" s="168">
        <f t="shared" si="3"/>
        <v>80422.5</v>
      </c>
      <c r="W699" s="168">
        <f t="shared" si="4"/>
        <v>0</v>
      </c>
      <c r="X699" s="168">
        <f t="shared" si="5"/>
        <v>0</v>
      </c>
      <c r="Y699" s="168">
        <f t="shared" si="6"/>
        <v>0</v>
      </c>
      <c r="Z699" s="168">
        <f t="shared" si="7"/>
        <v>0</v>
      </c>
      <c r="AA699" s="168">
        <f t="shared" si="8"/>
        <v>0</v>
      </c>
      <c r="AB699" s="168">
        <f t="shared" si="9"/>
        <v>0</v>
      </c>
    </row>
    <row r="700" ht="14.25" customHeight="1">
      <c r="A700" s="157">
        <v>1784.0</v>
      </c>
      <c r="B700" s="169" t="s">
        <v>30</v>
      </c>
      <c r="C700" s="169" t="s">
        <v>7478</v>
      </c>
      <c r="D700" s="336">
        <v>43592.0</v>
      </c>
      <c r="E700" s="157" t="s">
        <v>600</v>
      </c>
      <c r="F700" s="160">
        <v>3000.0</v>
      </c>
      <c r="G700" s="160">
        <v>480.0</v>
      </c>
      <c r="H700" s="160">
        <f t="shared" si="29"/>
        <v>3480</v>
      </c>
      <c r="I700" s="172"/>
      <c r="J700" s="169"/>
      <c r="K700" s="172"/>
      <c r="L700" s="172">
        <f>+'FACUS$'!$H700-'FACUS$'!$I700-'FACUS$'!$K700</f>
        <v>3480</v>
      </c>
      <c r="M700" s="162" t="s">
        <v>7415</v>
      </c>
      <c r="N700" s="337" t="s">
        <v>554</v>
      </c>
      <c r="O700" s="338">
        <v>43591.0</v>
      </c>
      <c r="P700" s="164">
        <f t="array" ref="P700">XLOOKUP('FACUS$'!$B700,'perfil de pagos'!$A$4:$A$46,'perfil de pagos'!$C$4:$C$46+'FACUS$'!$D700)</f>
        <v>43602</v>
      </c>
      <c r="Q700" s="165">
        <f t="shared" si="2"/>
        <v>0</v>
      </c>
      <c r="R700" s="220" t="s">
        <v>7479</v>
      </c>
      <c r="S700" s="223" t="s">
        <v>910</v>
      </c>
      <c r="T700" s="167"/>
      <c r="U700" s="334" t="s">
        <v>7271</v>
      </c>
      <c r="V700" s="168">
        <f t="shared" si="3"/>
        <v>3480</v>
      </c>
      <c r="W700" s="168">
        <f t="shared" si="4"/>
        <v>0</v>
      </c>
      <c r="X700" s="168">
        <f t="shared" si="5"/>
        <v>0</v>
      </c>
      <c r="Y700" s="168">
        <f t="shared" si="6"/>
        <v>0</v>
      </c>
      <c r="Z700" s="168">
        <f t="shared" si="7"/>
        <v>0</v>
      </c>
      <c r="AA700" s="168">
        <f t="shared" si="8"/>
        <v>0</v>
      </c>
      <c r="AB700" s="168">
        <f t="shared" si="9"/>
        <v>0</v>
      </c>
    </row>
    <row r="701" ht="14.25" customHeight="1">
      <c r="A701" s="157">
        <v>1786.0</v>
      </c>
      <c r="B701" s="169" t="s">
        <v>41</v>
      </c>
      <c r="C701" s="169" t="s">
        <v>7471</v>
      </c>
      <c r="D701" s="336">
        <v>43592.0</v>
      </c>
      <c r="E701" s="157" t="s">
        <v>600</v>
      </c>
      <c r="F701" s="160">
        <v>25430.87</v>
      </c>
      <c r="G701" s="160">
        <v>4068.94</v>
      </c>
      <c r="H701" s="160">
        <f t="shared" si="29"/>
        <v>29499.81</v>
      </c>
      <c r="I701" s="172"/>
      <c r="J701" s="169"/>
      <c r="K701" s="172"/>
      <c r="L701" s="172">
        <f>+'FACUS$'!$H701-'FACUS$'!$I701-'FACUS$'!$K701</f>
        <v>29499.81</v>
      </c>
      <c r="M701" s="162" t="s">
        <v>875</v>
      </c>
      <c r="N701" s="337" t="s">
        <v>554</v>
      </c>
      <c r="O701" s="338">
        <v>43676.0</v>
      </c>
      <c r="P701" s="164">
        <f t="array" ref="P701">XLOOKUP('FACUS$'!$B701,'perfil de pagos'!$A$4:$A$46,'perfil de pagos'!$C$4:$C$46+'FACUS$'!$D701)</f>
        <v>43602</v>
      </c>
      <c r="Q701" s="165">
        <f t="shared" si="2"/>
        <v>0</v>
      </c>
      <c r="R701" s="167"/>
      <c r="S701" s="167"/>
      <c r="T701" s="167"/>
      <c r="U701" s="334" t="s">
        <v>7271</v>
      </c>
      <c r="V701" s="168">
        <f t="shared" si="3"/>
        <v>29499.81</v>
      </c>
      <c r="W701" s="168">
        <f t="shared" si="4"/>
        <v>0</v>
      </c>
      <c r="X701" s="168">
        <f t="shared" si="5"/>
        <v>0</v>
      </c>
      <c r="Y701" s="168">
        <f t="shared" si="6"/>
        <v>0</v>
      </c>
      <c r="Z701" s="168">
        <f t="shared" si="7"/>
        <v>0</v>
      </c>
      <c r="AA701" s="168">
        <f t="shared" si="8"/>
        <v>0</v>
      </c>
      <c r="AB701" s="168">
        <f t="shared" si="9"/>
        <v>0</v>
      </c>
    </row>
    <row r="702" ht="14.25" customHeight="1">
      <c r="A702" s="157">
        <v>1788.0</v>
      </c>
      <c r="B702" s="169" t="s">
        <v>29</v>
      </c>
      <c r="C702" s="169" t="s">
        <v>7480</v>
      </c>
      <c r="D702" s="336">
        <v>43601.0</v>
      </c>
      <c r="E702" s="157" t="s">
        <v>600</v>
      </c>
      <c r="F702" s="160">
        <v>24998.47</v>
      </c>
      <c r="G702" s="160">
        <v>3999.76</v>
      </c>
      <c r="H702" s="160">
        <f t="shared" si="29"/>
        <v>28998.23</v>
      </c>
      <c r="I702" s="172"/>
      <c r="J702" s="169"/>
      <c r="K702" s="172"/>
      <c r="L702" s="172">
        <f>+'FACUS$'!$H702-'FACUS$'!$I702-'FACUS$'!$K702</f>
        <v>28998.23</v>
      </c>
      <c r="M702" s="162" t="s">
        <v>825</v>
      </c>
      <c r="N702" s="337" t="s">
        <v>554</v>
      </c>
      <c r="O702" s="338">
        <v>43607.0</v>
      </c>
      <c r="P702" s="164">
        <f t="array" ref="P702">XLOOKUP('FACUS$'!$B702,'perfil de pagos'!$A$4:$A$46,'perfil de pagos'!$C$4:$C$46+'FACUS$'!$D702)</f>
        <v>43611</v>
      </c>
      <c r="Q702" s="165">
        <f t="shared" si="2"/>
        <v>0</v>
      </c>
      <c r="R702" s="167"/>
      <c r="S702" s="167"/>
      <c r="T702" s="167"/>
      <c r="U702" s="334" t="s">
        <v>7271</v>
      </c>
      <c r="V702" s="168">
        <f t="shared" si="3"/>
        <v>28998.23</v>
      </c>
      <c r="W702" s="168">
        <f t="shared" si="4"/>
        <v>0</v>
      </c>
      <c r="X702" s="168">
        <f t="shared" si="5"/>
        <v>0</v>
      </c>
      <c r="Y702" s="168">
        <f t="shared" si="6"/>
        <v>0</v>
      </c>
      <c r="Z702" s="168">
        <f t="shared" si="7"/>
        <v>0</v>
      </c>
      <c r="AA702" s="168">
        <f t="shared" si="8"/>
        <v>0</v>
      </c>
      <c r="AB702" s="168">
        <f t="shared" si="9"/>
        <v>0</v>
      </c>
    </row>
    <row r="703" ht="14.25" customHeight="1">
      <c r="A703" s="157">
        <v>1790.0</v>
      </c>
      <c r="B703" s="169" t="s">
        <v>33</v>
      </c>
      <c r="C703" s="169" t="s">
        <v>7480</v>
      </c>
      <c r="D703" s="336">
        <v>43601.0</v>
      </c>
      <c r="E703" s="157" t="s">
        <v>600</v>
      </c>
      <c r="F703" s="160">
        <v>29149.1</v>
      </c>
      <c r="G703" s="160">
        <v>4663.86</v>
      </c>
      <c r="H703" s="160">
        <f t="shared" si="29"/>
        <v>33812.96</v>
      </c>
      <c r="I703" s="172"/>
      <c r="J703" s="169"/>
      <c r="K703" s="172"/>
      <c r="L703" s="172">
        <f>+'FACUS$'!$H703-'FACUS$'!$I703-'FACUS$'!$K703</f>
        <v>33812.96</v>
      </c>
      <c r="M703" s="162" t="s">
        <v>958</v>
      </c>
      <c r="N703" s="337" t="s">
        <v>554</v>
      </c>
      <c r="O703" s="338">
        <v>43675.0</v>
      </c>
      <c r="P703" s="164">
        <f t="array" ref="P703">XLOOKUP('FACUS$'!$B703,'perfil de pagos'!$A$4:$A$46,'perfil de pagos'!$C$4:$C$46+'FACUS$'!$D703)</f>
        <v>43611</v>
      </c>
      <c r="Q703" s="165">
        <f t="shared" si="2"/>
        <v>0</v>
      </c>
      <c r="R703" s="167"/>
      <c r="S703" s="167" t="s">
        <v>910</v>
      </c>
      <c r="T703" s="167"/>
      <c r="U703" s="334" t="s">
        <v>7271</v>
      </c>
      <c r="V703" s="168">
        <f t="shared" si="3"/>
        <v>33812.96</v>
      </c>
      <c r="W703" s="168">
        <f t="shared" si="4"/>
        <v>0</v>
      </c>
      <c r="X703" s="168">
        <f t="shared" si="5"/>
        <v>0</v>
      </c>
      <c r="Y703" s="168">
        <f t="shared" si="6"/>
        <v>0</v>
      </c>
      <c r="Z703" s="168">
        <f t="shared" si="7"/>
        <v>0</v>
      </c>
      <c r="AA703" s="168">
        <f t="shared" si="8"/>
        <v>0</v>
      </c>
      <c r="AB703" s="168">
        <f t="shared" si="9"/>
        <v>0</v>
      </c>
    </row>
    <row r="704" ht="14.25" customHeight="1">
      <c r="A704" s="157">
        <v>1792.0</v>
      </c>
      <c r="B704" s="169" t="s">
        <v>30</v>
      </c>
      <c r="C704" s="169" t="s">
        <v>7480</v>
      </c>
      <c r="D704" s="336">
        <v>43601.0</v>
      </c>
      <c r="E704" s="157" t="s">
        <v>600</v>
      </c>
      <c r="F704" s="160">
        <v>2379.88</v>
      </c>
      <c r="G704" s="160">
        <v>380.78</v>
      </c>
      <c r="H704" s="160">
        <f t="shared" si="29"/>
        <v>2760.66</v>
      </c>
      <c r="I704" s="172"/>
      <c r="J704" s="169"/>
      <c r="K704" s="172"/>
      <c r="L704" s="172">
        <f>+'FACUS$'!$H704-'FACUS$'!$I704-'FACUS$'!$K704</f>
        <v>2760.66</v>
      </c>
      <c r="M704" s="162" t="s">
        <v>7415</v>
      </c>
      <c r="N704" s="337" t="s">
        <v>554</v>
      </c>
      <c r="O704" s="338">
        <v>43626.0</v>
      </c>
      <c r="P704" s="164">
        <f t="array" ref="P704">XLOOKUP('FACUS$'!$B704,'perfil de pagos'!$A$4:$A$46,'perfil de pagos'!$C$4:$C$46+'FACUS$'!$D704)</f>
        <v>43611</v>
      </c>
      <c r="Q704" s="165">
        <f t="shared" si="2"/>
        <v>0</v>
      </c>
      <c r="R704" s="167" t="s">
        <v>7481</v>
      </c>
      <c r="S704" s="223" t="s">
        <v>910</v>
      </c>
      <c r="T704" s="167"/>
      <c r="U704" s="334" t="s">
        <v>7271</v>
      </c>
      <c r="V704" s="168">
        <f t="shared" si="3"/>
        <v>2760.66</v>
      </c>
      <c r="W704" s="168">
        <f t="shared" si="4"/>
        <v>0</v>
      </c>
      <c r="X704" s="168">
        <f t="shared" si="5"/>
        <v>0</v>
      </c>
      <c r="Y704" s="168">
        <f t="shared" si="6"/>
        <v>0</v>
      </c>
      <c r="Z704" s="168">
        <f t="shared" si="7"/>
        <v>0</v>
      </c>
      <c r="AA704" s="168">
        <f t="shared" si="8"/>
        <v>0</v>
      </c>
      <c r="AB704" s="168">
        <f t="shared" si="9"/>
        <v>0</v>
      </c>
    </row>
    <row r="705" ht="14.25" customHeight="1">
      <c r="A705" s="157">
        <v>1794.0</v>
      </c>
      <c r="B705" s="169" t="s">
        <v>43</v>
      </c>
      <c r="C705" s="169" t="s">
        <v>7480</v>
      </c>
      <c r="D705" s="336">
        <v>43601.0</v>
      </c>
      <c r="E705" s="157" t="s">
        <v>600</v>
      </c>
      <c r="F705" s="160">
        <v>19960.42</v>
      </c>
      <c r="G705" s="160">
        <v>3193.67</v>
      </c>
      <c r="H705" s="160">
        <f t="shared" si="29"/>
        <v>23154.09</v>
      </c>
      <c r="I705" s="172"/>
      <c r="J705" s="169"/>
      <c r="K705" s="172"/>
      <c r="L705" s="172">
        <f>+'FACUS$'!$H705-'FACUS$'!$I705-'FACUS$'!$K705</f>
        <v>23154.09</v>
      </c>
      <c r="M705" s="162" t="s">
        <v>43</v>
      </c>
      <c r="N705" s="337" t="s">
        <v>554</v>
      </c>
      <c r="O705" s="338">
        <v>43686.0</v>
      </c>
      <c r="P705" s="164">
        <f t="array" ref="P705">XLOOKUP('FACUS$'!$B705,'perfil de pagos'!$A$4:$A$46,'perfil de pagos'!$C$4:$C$46+'FACUS$'!$D705)</f>
        <v>43626</v>
      </c>
      <c r="Q705" s="165">
        <f t="shared" si="2"/>
        <v>0</v>
      </c>
      <c r="R705" s="167"/>
      <c r="S705" s="167" t="s">
        <v>910</v>
      </c>
      <c r="T705" s="167"/>
      <c r="U705" s="334" t="s">
        <v>7271</v>
      </c>
      <c r="V705" s="168">
        <f t="shared" si="3"/>
        <v>23154.09</v>
      </c>
      <c r="W705" s="168">
        <f t="shared" si="4"/>
        <v>0</v>
      </c>
      <c r="X705" s="168">
        <f t="shared" si="5"/>
        <v>0</v>
      </c>
      <c r="Y705" s="168">
        <f t="shared" si="6"/>
        <v>0</v>
      </c>
      <c r="Z705" s="168">
        <f t="shared" si="7"/>
        <v>0</v>
      </c>
      <c r="AA705" s="168">
        <f t="shared" si="8"/>
        <v>0</v>
      </c>
      <c r="AB705" s="168">
        <f t="shared" si="9"/>
        <v>0</v>
      </c>
    </row>
    <row r="706" ht="14.25" customHeight="1">
      <c r="A706" s="157">
        <v>1797.0</v>
      </c>
      <c r="B706" s="169" t="s">
        <v>18</v>
      </c>
      <c r="C706" s="169" t="s">
        <v>7480</v>
      </c>
      <c r="D706" s="336">
        <v>43607.0</v>
      </c>
      <c r="E706" s="157" t="s">
        <v>600</v>
      </c>
      <c r="F706" s="160">
        <v>5937.61</v>
      </c>
      <c r="G706" s="160">
        <v>950.02</v>
      </c>
      <c r="H706" s="160">
        <f t="shared" si="29"/>
        <v>6887.63</v>
      </c>
      <c r="I706" s="172"/>
      <c r="J706" s="169"/>
      <c r="K706" s="172"/>
      <c r="L706" s="172">
        <f>+'FACUS$'!$H706-'FACUS$'!$I706-'FACUS$'!$K706</f>
        <v>6887.63</v>
      </c>
      <c r="M706" s="162" t="s">
        <v>586</v>
      </c>
      <c r="N706" s="337" t="s">
        <v>554</v>
      </c>
      <c r="O706" s="338">
        <v>43633.0</v>
      </c>
      <c r="P706" s="164">
        <f t="array" ref="P706">XLOOKUP('FACUS$'!$B706,'perfil de pagos'!$A$4:$A$46,'perfil de pagos'!$C$4:$C$46+'FACUS$'!$D706)</f>
        <v>43617</v>
      </c>
      <c r="Q706" s="165">
        <f t="shared" si="2"/>
        <v>0</v>
      </c>
      <c r="R706" s="167"/>
      <c r="S706" s="167" t="s">
        <v>910</v>
      </c>
      <c r="T706" s="167"/>
      <c r="U706" s="334" t="s">
        <v>7271</v>
      </c>
      <c r="V706" s="168">
        <f t="shared" si="3"/>
        <v>6887.63</v>
      </c>
      <c r="W706" s="168">
        <f t="shared" si="4"/>
        <v>0</v>
      </c>
      <c r="X706" s="168">
        <f t="shared" si="5"/>
        <v>0</v>
      </c>
      <c r="Y706" s="168">
        <f t="shared" si="6"/>
        <v>0</v>
      </c>
      <c r="Z706" s="168">
        <f t="shared" si="7"/>
        <v>0</v>
      </c>
      <c r="AA706" s="168">
        <f t="shared" si="8"/>
        <v>0</v>
      </c>
      <c r="AB706" s="168">
        <f t="shared" si="9"/>
        <v>0</v>
      </c>
    </row>
    <row r="707" ht="14.25" customHeight="1">
      <c r="A707" s="157">
        <v>1799.0</v>
      </c>
      <c r="B707" s="169" t="s">
        <v>20</v>
      </c>
      <c r="C707" s="169" t="s">
        <v>7480</v>
      </c>
      <c r="D707" s="336">
        <v>43607.0</v>
      </c>
      <c r="E707" s="157" t="s">
        <v>600</v>
      </c>
      <c r="F707" s="160">
        <v>383.08</v>
      </c>
      <c r="G707" s="160">
        <v>61.29</v>
      </c>
      <c r="H707" s="160">
        <f t="shared" si="29"/>
        <v>444.37</v>
      </c>
      <c r="I707" s="172"/>
      <c r="J707" s="169"/>
      <c r="K707" s="172"/>
      <c r="L707" s="172">
        <f>+'FACUS$'!$H707-'FACUS$'!$I707-'FACUS$'!$K707</f>
        <v>444.37</v>
      </c>
      <c r="M707" s="162" t="s">
        <v>732</v>
      </c>
      <c r="N707" s="337" t="s">
        <v>554</v>
      </c>
      <c r="O707" s="338">
        <v>43633.0</v>
      </c>
      <c r="P707" s="164">
        <f t="array" ref="P707">XLOOKUP('FACUS$'!$B707,'perfil de pagos'!$A$4:$A$46,'perfil de pagos'!$C$4:$C$46+'FACUS$'!$D707)</f>
        <v>43617</v>
      </c>
      <c r="Q707" s="165">
        <f t="shared" si="2"/>
        <v>0</v>
      </c>
      <c r="R707" s="167"/>
      <c r="S707" s="167" t="s">
        <v>910</v>
      </c>
      <c r="T707" s="167"/>
      <c r="U707" s="334" t="s">
        <v>7271</v>
      </c>
      <c r="V707" s="168">
        <f t="shared" si="3"/>
        <v>444.37</v>
      </c>
      <c r="W707" s="168">
        <f t="shared" si="4"/>
        <v>0</v>
      </c>
      <c r="X707" s="168">
        <f t="shared" si="5"/>
        <v>0</v>
      </c>
      <c r="Y707" s="168">
        <f t="shared" si="6"/>
        <v>0</v>
      </c>
      <c r="Z707" s="168">
        <f t="shared" si="7"/>
        <v>0</v>
      </c>
      <c r="AA707" s="168">
        <f t="shared" si="8"/>
        <v>0</v>
      </c>
      <c r="AB707" s="168">
        <f t="shared" si="9"/>
        <v>0</v>
      </c>
    </row>
    <row r="708" ht="15.0" customHeight="1">
      <c r="A708" s="157">
        <v>1801.0</v>
      </c>
      <c r="B708" s="169" t="s">
        <v>37</v>
      </c>
      <c r="C708" s="169" t="s">
        <v>7480</v>
      </c>
      <c r="D708" s="336">
        <v>43607.0</v>
      </c>
      <c r="E708" s="157" t="s">
        <v>600</v>
      </c>
      <c r="F708" s="160">
        <v>50200.39</v>
      </c>
      <c r="G708" s="160">
        <v>8032.06</v>
      </c>
      <c r="H708" s="160">
        <f t="shared" si="29"/>
        <v>58232.45</v>
      </c>
      <c r="I708" s="172"/>
      <c r="J708" s="169"/>
      <c r="K708" s="172"/>
      <c r="L708" s="172">
        <f>+'FACUS$'!$H708-'FACUS$'!$I708-'FACUS$'!$K708</f>
        <v>58232.45</v>
      </c>
      <c r="M708" s="162" t="s">
        <v>116</v>
      </c>
      <c r="N708" s="337" t="s">
        <v>554</v>
      </c>
      <c r="O708" s="338">
        <v>43641.0</v>
      </c>
      <c r="P708" s="164">
        <f t="array" ref="P708">XLOOKUP('FACUS$'!$B708,'perfil de pagos'!$A$4:$A$46,'perfil de pagos'!$C$4:$C$46+'FACUS$'!$D708)</f>
        <v>43617</v>
      </c>
      <c r="Q708" s="165">
        <f t="shared" si="2"/>
        <v>0</v>
      </c>
      <c r="R708" s="167" t="s">
        <v>7482</v>
      </c>
      <c r="S708" s="220" t="s">
        <v>910</v>
      </c>
      <c r="T708" s="167"/>
      <c r="U708" s="334" t="s">
        <v>7271</v>
      </c>
      <c r="V708" s="168">
        <f t="shared" si="3"/>
        <v>58232.45</v>
      </c>
      <c r="W708" s="168">
        <f t="shared" si="4"/>
        <v>0</v>
      </c>
      <c r="X708" s="168">
        <f t="shared" si="5"/>
        <v>0</v>
      </c>
      <c r="Y708" s="168">
        <f t="shared" si="6"/>
        <v>0</v>
      </c>
      <c r="Z708" s="168">
        <f t="shared" si="7"/>
        <v>0</v>
      </c>
      <c r="AA708" s="168">
        <f t="shared" si="8"/>
        <v>0</v>
      </c>
      <c r="AB708" s="168">
        <f t="shared" si="9"/>
        <v>0</v>
      </c>
    </row>
    <row r="709" ht="15.75" customHeight="1">
      <c r="A709" s="157">
        <v>1803.0</v>
      </c>
      <c r="B709" s="169" t="s">
        <v>41</v>
      </c>
      <c r="C709" s="169" t="s">
        <v>7480</v>
      </c>
      <c r="D709" s="336">
        <v>43612.0</v>
      </c>
      <c r="E709" s="157" t="s">
        <v>600</v>
      </c>
      <c r="F709" s="160">
        <v>17454.84</v>
      </c>
      <c r="G709" s="160">
        <v>2792.77</v>
      </c>
      <c r="H709" s="160">
        <f t="shared" si="29"/>
        <v>20247.61</v>
      </c>
      <c r="I709" s="172"/>
      <c r="J709" s="169"/>
      <c r="K709" s="172"/>
      <c r="L709" s="172">
        <f>+'FACUS$'!$H709-'FACUS$'!$I709-'FACUS$'!$K709</f>
        <v>20247.61</v>
      </c>
      <c r="M709" s="162" t="s">
        <v>875</v>
      </c>
      <c r="N709" s="337" t="s">
        <v>554</v>
      </c>
      <c r="O709" s="338">
        <v>43696.0</v>
      </c>
      <c r="P709" s="164">
        <f t="array" ref="P709">XLOOKUP('FACUS$'!$B709,'perfil de pagos'!$A$4:$A$46,'perfil de pagos'!$C$4:$C$46+'FACUS$'!$D709)</f>
        <v>43622</v>
      </c>
      <c r="Q709" s="165">
        <f t="shared" si="2"/>
        <v>0</v>
      </c>
      <c r="R709" s="220" t="s">
        <v>7483</v>
      </c>
      <c r="S709" s="167"/>
      <c r="T709" s="167"/>
      <c r="U709" s="334" t="s">
        <v>7271</v>
      </c>
      <c r="V709" s="168">
        <f t="shared" si="3"/>
        <v>20247.61</v>
      </c>
      <c r="W709" s="168">
        <f t="shared" si="4"/>
        <v>0</v>
      </c>
      <c r="X709" s="168">
        <f t="shared" si="5"/>
        <v>0</v>
      </c>
      <c r="Y709" s="168">
        <f t="shared" si="6"/>
        <v>0</v>
      </c>
      <c r="Z709" s="168">
        <f t="shared" si="7"/>
        <v>0</v>
      </c>
      <c r="AA709" s="168">
        <f t="shared" si="8"/>
        <v>0</v>
      </c>
      <c r="AB709" s="168">
        <f t="shared" si="9"/>
        <v>0</v>
      </c>
    </row>
    <row r="710" ht="14.25" customHeight="1">
      <c r="A710" s="157">
        <v>1806.0</v>
      </c>
      <c r="B710" s="169" t="s">
        <v>18</v>
      </c>
      <c r="C710" s="169" t="s">
        <v>7484</v>
      </c>
      <c r="D710" s="336">
        <v>43621.0</v>
      </c>
      <c r="E710" s="157" t="s">
        <v>600</v>
      </c>
      <c r="F710" s="160">
        <v>14180.96</v>
      </c>
      <c r="G710" s="160">
        <v>2268.95</v>
      </c>
      <c r="H710" s="160">
        <f t="shared" si="29"/>
        <v>16449.91</v>
      </c>
      <c r="I710" s="172"/>
      <c r="J710" s="169"/>
      <c r="K710" s="172"/>
      <c r="L710" s="172">
        <f>+'FACUS$'!$H710-'FACUS$'!$I710-'FACUS$'!$K710</f>
        <v>16449.91</v>
      </c>
      <c r="M710" s="162" t="s">
        <v>586</v>
      </c>
      <c r="N710" s="337" t="s">
        <v>554</v>
      </c>
      <c r="O710" s="338">
        <v>43640.0</v>
      </c>
      <c r="P710" s="164">
        <f t="array" ref="P710">XLOOKUP('FACUS$'!$B710,'perfil de pagos'!$A$4:$A$46,'perfil de pagos'!$C$4:$C$46+'FACUS$'!$D710)</f>
        <v>43631</v>
      </c>
      <c r="Q710" s="165">
        <f t="shared" si="2"/>
        <v>0</v>
      </c>
      <c r="R710" s="167"/>
      <c r="S710" s="220" t="s">
        <v>910</v>
      </c>
      <c r="T710" s="167"/>
      <c r="U710" s="334" t="s">
        <v>7271</v>
      </c>
      <c r="V710" s="168">
        <f t="shared" si="3"/>
        <v>16449.91</v>
      </c>
      <c r="W710" s="168">
        <f t="shared" si="4"/>
        <v>0</v>
      </c>
      <c r="X710" s="168">
        <f t="shared" si="5"/>
        <v>0</v>
      </c>
      <c r="Y710" s="168">
        <f t="shared" si="6"/>
        <v>0</v>
      </c>
      <c r="Z710" s="168">
        <f t="shared" si="7"/>
        <v>0</v>
      </c>
      <c r="AA710" s="168">
        <f t="shared" si="8"/>
        <v>0</v>
      </c>
      <c r="AB710" s="168">
        <f t="shared" si="9"/>
        <v>0</v>
      </c>
    </row>
    <row r="711" ht="14.25" customHeight="1">
      <c r="A711" s="157">
        <v>1808.0</v>
      </c>
      <c r="B711" s="169" t="s">
        <v>29</v>
      </c>
      <c r="C711" s="169" t="s">
        <v>7484</v>
      </c>
      <c r="D711" s="336">
        <v>43621.0</v>
      </c>
      <c r="E711" s="157" t="s">
        <v>600</v>
      </c>
      <c r="F711" s="160">
        <v>26916.04</v>
      </c>
      <c r="G711" s="160">
        <v>4306.57</v>
      </c>
      <c r="H711" s="160">
        <f t="shared" si="29"/>
        <v>31222.61</v>
      </c>
      <c r="I711" s="172"/>
      <c r="J711" s="169"/>
      <c r="K711" s="172"/>
      <c r="L711" s="172">
        <f>+'FACUS$'!$H711-'FACUS$'!$I711-'FACUS$'!$K711</f>
        <v>31222.61</v>
      </c>
      <c r="M711" s="162" t="s">
        <v>825</v>
      </c>
      <c r="N711" s="337" t="s">
        <v>554</v>
      </c>
      <c r="O711" s="338">
        <v>43627.0</v>
      </c>
      <c r="P711" s="164">
        <f t="array" ref="P711">XLOOKUP('FACUS$'!$B711,'perfil de pagos'!$A$4:$A$46,'perfil de pagos'!$C$4:$C$46+'FACUS$'!$D711)</f>
        <v>43631</v>
      </c>
      <c r="Q711" s="165">
        <f t="shared" si="2"/>
        <v>0</v>
      </c>
      <c r="R711" s="167"/>
      <c r="S711" s="167"/>
      <c r="T711" s="167"/>
      <c r="U711" s="334" t="s">
        <v>7271</v>
      </c>
      <c r="V711" s="168">
        <f t="shared" si="3"/>
        <v>31222.61</v>
      </c>
      <c r="W711" s="168">
        <f t="shared" si="4"/>
        <v>0</v>
      </c>
      <c r="X711" s="168">
        <f t="shared" si="5"/>
        <v>0</v>
      </c>
      <c r="Y711" s="168">
        <f t="shared" si="6"/>
        <v>0</v>
      </c>
      <c r="Z711" s="168">
        <f t="shared" si="7"/>
        <v>0</v>
      </c>
      <c r="AA711" s="168">
        <f t="shared" si="8"/>
        <v>0</v>
      </c>
      <c r="AB711" s="168">
        <f t="shared" si="9"/>
        <v>0</v>
      </c>
    </row>
    <row r="712" ht="14.25" customHeight="1">
      <c r="A712" s="157">
        <v>1810.0</v>
      </c>
      <c r="B712" s="169" t="s">
        <v>30</v>
      </c>
      <c r="C712" s="169" t="s">
        <v>7484</v>
      </c>
      <c r="D712" s="336">
        <v>43621.0</v>
      </c>
      <c r="E712" s="157" t="s">
        <v>600</v>
      </c>
      <c r="F712" s="160">
        <v>6081.84</v>
      </c>
      <c r="G712" s="160">
        <v>973.09</v>
      </c>
      <c r="H712" s="160">
        <f t="shared" si="29"/>
        <v>7054.93</v>
      </c>
      <c r="I712" s="172"/>
      <c r="J712" s="169"/>
      <c r="K712" s="172"/>
      <c r="L712" s="172">
        <f>+'FACUS$'!$H712-'FACUS$'!$I712-'FACUS$'!$K712</f>
        <v>7054.93</v>
      </c>
      <c r="M712" s="162" t="s">
        <v>7415</v>
      </c>
      <c r="N712" s="337" t="s">
        <v>554</v>
      </c>
      <c r="O712" s="338">
        <v>43647.0</v>
      </c>
      <c r="P712" s="164">
        <f t="array" ref="P712">XLOOKUP('FACUS$'!$B712,'perfil de pagos'!$A$4:$A$46,'perfil de pagos'!$C$4:$C$46+'FACUS$'!$D712)</f>
        <v>43631</v>
      </c>
      <c r="Q712" s="165">
        <f t="shared" si="2"/>
        <v>0</v>
      </c>
      <c r="R712" s="167" t="s">
        <v>7485</v>
      </c>
      <c r="S712" s="223" t="s">
        <v>910</v>
      </c>
      <c r="T712" s="167"/>
      <c r="U712" s="334" t="s">
        <v>7271</v>
      </c>
      <c r="V712" s="168">
        <f t="shared" si="3"/>
        <v>7054.93</v>
      </c>
      <c r="W712" s="168">
        <f t="shared" si="4"/>
        <v>0</v>
      </c>
      <c r="X712" s="168">
        <f t="shared" si="5"/>
        <v>0</v>
      </c>
      <c r="Y712" s="168">
        <f t="shared" si="6"/>
        <v>0</v>
      </c>
      <c r="Z712" s="168">
        <f t="shared" si="7"/>
        <v>0</v>
      </c>
      <c r="AA712" s="168">
        <f t="shared" si="8"/>
        <v>0</v>
      </c>
      <c r="AB712" s="168">
        <f t="shared" si="9"/>
        <v>0</v>
      </c>
    </row>
    <row r="713" ht="14.25" customHeight="1">
      <c r="A713" s="157">
        <v>1812.0</v>
      </c>
      <c r="B713" s="169" t="s">
        <v>37</v>
      </c>
      <c r="C713" s="169" t="s">
        <v>7484</v>
      </c>
      <c r="D713" s="336">
        <v>43621.0</v>
      </c>
      <c r="E713" s="157" t="s">
        <v>600</v>
      </c>
      <c r="F713" s="160">
        <v>99448.63</v>
      </c>
      <c r="G713" s="160">
        <v>15911.78</v>
      </c>
      <c r="H713" s="160">
        <f t="shared" si="29"/>
        <v>115360.41</v>
      </c>
      <c r="I713" s="172"/>
      <c r="J713" s="169"/>
      <c r="K713" s="172"/>
      <c r="L713" s="172">
        <f>+'FACUS$'!$H713-'FACUS$'!$I713-'FACUS$'!$K713</f>
        <v>115360.41</v>
      </c>
      <c r="M713" s="162" t="s">
        <v>116</v>
      </c>
      <c r="N713" s="337" t="s">
        <v>554</v>
      </c>
      <c r="O713" s="338">
        <v>43641.0</v>
      </c>
      <c r="P713" s="164">
        <f t="array" ref="P713">XLOOKUP('FACUS$'!$B713,'perfil de pagos'!$A$4:$A$46,'perfil de pagos'!$C$4:$C$46+'FACUS$'!$D713)</f>
        <v>43631</v>
      </c>
      <c r="Q713" s="165">
        <f t="shared" si="2"/>
        <v>0</v>
      </c>
      <c r="R713" s="167"/>
      <c r="S713" s="171" t="s">
        <v>910</v>
      </c>
      <c r="T713" s="167"/>
      <c r="U713" s="334" t="s">
        <v>7271</v>
      </c>
      <c r="V713" s="168">
        <f t="shared" si="3"/>
        <v>115360.41</v>
      </c>
      <c r="W713" s="168">
        <f t="shared" si="4"/>
        <v>0</v>
      </c>
      <c r="X713" s="168">
        <f t="shared" si="5"/>
        <v>0</v>
      </c>
      <c r="Y713" s="168">
        <f t="shared" si="6"/>
        <v>0</v>
      </c>
      <c r="Z713" s="168">
        <f t="shared" si="7"/>
        <v>0</v>
      </c>
      <c r="AA713" s="168">
        <f t="shared" si="8"/>
        <v>0</v>
      </c>
      <c r="AB713" s="168">
        <f t="shared" si="9"/>
        <v>0</v>
      </c>
    </row>
    <row r="714" ht="14.25" customHeight="1">
      <c r="A714" s="157">
        <v>1814.0</v>
      </c>
      <c r="B714" s="169" t="s">
        <v>33</v>
      </c>
      <c r="C714" s="169" t="s">
        <v>7484</v>
      </c>
      <c r="D714" s="336">
        <v>43621.0</v>
      </c>
      <c r="E714" s="157" t="s">
        <v>600</v>
      </c>
      <c r="F714" s="160">
        <v>28528.8</v>
      </c>
      <c r="G714" s="160">
        <v>4564.61</v>
      </c>
      <c r="H714" s="160">
        <f t="shared" si="29"/>
        <v>33093.41</v>
      </c>
      <c r="I714" s="172"/>
      <c r="J714" s="169"/>
      <c r="K714" s="172"/>
      <c r="L714" s="172">
        <f>+'FACUS$'!$H714-'FACUS$'!$I714-'FACUS$'!$K714</f>
        <v>33093.41</v>
      </c>
      <c r="M714" s="162" t="s">
        <v>958</v>
      </c>
      <c r="N714" s="337" t="s">
        <v>554</v>
      </c>
      <c r="O714" s="338">
        <v>43675.0</v>
      </c>
      <c r="P714" s="164">
        <f t="array" ref="P714">XLOOKUP('FACUS$'!$B714,'perfil de pagos'!$A$4:$A$46,'perfil de pagos'!$C$4:$C$46+'FACUS$'!$D714)</f>
        <v>43631</v>
      </c>
      <c r="Q714" s="165">
        <f t="shared" si="2"/>
        <v>0</v>
      </c>
      <c r="R714" s="167"/>
      <c r="S714" s="167"/>
      <c r="T714" s="167"/>
      <c r="U714" s="334" t="s">
        <v>7271</v>
      </c>
      <c r="V714" s="168">
        <f t="shared" si="3"/>
        <v>33093.41</v>
      </c>
      <c r="W714" s="168">
        <f t="shared" si="4"/>
        <v>0</v>
      </c>
      <c r="X714" s="168">
        <f t="shared" si="5"/>
        <v>0</v>
      </c>
      <c r="Y714" s="168">
        <f t="shared" si="6"/>
        <v>0</v>
      </c>
      <c r="Z714" s="168">
        <f t="shared" si="7"/>
        <v>0</v>
      </c>
      <c r="AA714" s="168">
        <f t="shared" si="8"/>
        <v>0</v>
      </c>
      <c r="AB714" s="168">
        <f t="shared" si="9"/>
        <v>0</v>
      </c>
    </row>
    <row r="715" ht="14.25" customHeight="1">
      <c r="A715" s="157">
        <v>1817.0</v>
      </c>
      <c r="B715" s="169" t="s">
        <v>43</v>
      </c>
      <c r="C715" s="169" t="s">
        <v>7484</v>
      </c>
      <c r="D715" s="336">
        <v>43621.0</v>
      </c>
      <c r="E715" s="157" t="s">
        <v>600</v>
      </c>
      <c r="F715" s="160">
        <v>24457.29</v>
      </c>
      <c r="G715" s="160">
        <v>3913.17</v>
      </c>
      <c r="H715" s="160">
        <f t="shared" si="29"/>
        <v>28370.46</v>
      </c>
      <c r="I715" s="172"/>
      <c r="J715" s="169"/>
      <c r="K715" s="172"/>
      <c r="L715" s="172">
        <f>+'FACUS$'!$H715-'FACUS$'!$I715-'FACUS$'!$K715</f>
        <v>28370.46</v>
      </c>
      <c r="M715" s="162" t="s">
        <v>43</v>
      </c>
      <c r="N715" s="337" t="s">
        <v>554</v>
      </c>
      <c r="O715" s="338">
        <v>43686.0</v>
      </c>
      <c r="P715" s="164">
        <f t="array" ref="P715">XLOOKUP('FACUS$'!$B715,'perfil de pagos'!$A$4:$A$46,'perfil de pagos'!$C$4:$C$46+'FACUS$'!$D715)</f>
        <v>43646</v>
      </c>
      <c r="Q715" s="165">
        <f t="shared" si="2"/>
        <v>0</v>
      </c>
      <c r="R715" s="167"/>
      <c r="S715" s="167" t="s">
        <v>910</v>
      </c>
      <c r="T715" s="167"/>
      <c r="U715" s="334" t="s">
        <v>7271</v>
      </c>
      <c r="V715" s="168">
        <f t="shared" si="3"/>
        <v>28370.46</v>
      </c>
      <c r="W715" s="168">
        <f t="shared" si="4"/>
        <v>0</v>
      </c>
      <c r="X715" s="168">
        <f t="shared" si="5"/>
        <v>0</v>
      </c>
      <c r="Y715" s="168">
        <f t="shared" si="6"/>
        <v>0</v>
      </c>
      <c r="Z715" s="168">
        <f t="shared" si="7"/>
        <v>0</v>
      </c>
      <c r="AA715" s="168">
        <f t="shared" si="8"/>
        <v>0</v>
      </c>
      <c r="AB715" s="168">
        <f t="shared" si="9"/>
        <v>0</v>
      </c>
    </row>
    <row r="716" ht="14.25" customHeight="1">
      <c r="A716" s="157">
        <v>1818.0</v>
      </c>
      <c r="B716" s="169" t="s">
        <v>29</v>
      </c>
      <c r="C716" s="169" t="s">
        <v>7486</v>
      </c>
      <c r="D716" s="336">
        <v>43622.0</v>
      </c>
      <c r="E716" s="157" t="s">
        <v>600</v>
      </c>
      <c r="F716" s="160">
        <v>6500.0</v>
      </c>
      <c r="G716" s="160">
        <v>1040.0</v>
      </c>
      <c r="H716" s="160">
        <f t="shared" si="29"/>
        <v>7540</v>
      </c>
      <c r="I716" s="172"/>
      <c r="J716" s="169"/>
      <c r="K716" s="172"/>
      <c r="L716" s="172">
        <f>+'FACUS$'!$H716-'FACUS$'!$I716-'FACUS$'!$K716</f>
        <v>7540</v>
      </c>
      <c r="M716" s="162" t="s">
        <v>922</v>
      </c>
      <c r="N716" s="337" t="s">
        <v>554</v>
      </c>
      <c r="O716" s="338">
        <v>43634.0</v>
      </c>
      <c r="P716" s="164">
        <f t="array" ref="P716">XLOOKUP('FACUS$'!$B716,'perfil de pagos'!$A$4:$A$46,'perfil de pagos'!$C$4:$C$46+'FACUS$'!$D716)</f>
        <v>43632</v>
      </c>
      <c r="Q716" s="165">
        <f t="shared" si="2"/>
        <v>0</v>
      </c>
      <c r="R716" s="167"/>
      <c r="S716" s="167"/>
      <c r="T716" s="167"/>
      <c r="U716" s="334" t="s">
        <v>7271</v>
      </c>
      <c r="V716" s="168">
        <f t="shared" si="3"/>
        <v>7540</v>
      </c>
      <c r="W716" s="168">
        <f t="shared" si="4"/>
        <v>0</v>
      </c>
      <c r="X716" s="168">
        <f t="shared" si="5"/>
        <v>0</v>
      </c>
      <c r="Y716" s="168">
        <f t="shared" si="6"/>
        <v>0</v>
      </c>
      <c r="Z716" s="168">
        <f t="shared" si="7"/>
        <v>0</v>
      </c>
      <c r="AA716" s="168">
        <f t="shared" si="8"/>
        <v>0</v>
      </c>
      <c r="AB716" s="168">
        <f t="shared" si="9"/>
        <v>0</v>
      </c>
    </row>
    <row r="717" ht="14.25" customHeight="1">
      <c r="A717" s="157">
        <v>1819.0</v>
      </c>
      <c r="B717" s="169" t="s">
        <v>29</v>
      </c>
      <c r="C717" s="169" t="s">
        <v>7487</v>
      </c>
      <c r="D717" s="336">
        <v>43622.0</v>
      </c>
      <c r="E717" s="157" t="s">
        <v>600</v>
      </c>
      <c r="F717" s="160">
        <v>15000.0</v>
      </c>
      <c r="G717" s="160">
        <v>2400.0</v>
      </c>
      <c r="H717" s="160">
        <f t="shared" si="29"/>
        <v>17400</v>
      </c>
      <c r="I717" s="172"/>
      <c r="J717" s="169"/>
      <c r="K717" s="172"/>
      <c r="L717" s="172">
        <f>+'FACUS$'!$H717-'FACUS$'!$I717-'FACUS$'!$K717</f>
        <v>17400</v>
      </c>
      <c r="M717" s="162" t="s">
        <v>921</v>
      </c>
      <c r="N717" s="337" t="s">
        <v>554</v>
      </c>
      <c r="O717" s="338">
        <v>43634.0</v>
      </c>
      <c r="P717" s="164">
        <f t="array" ref="P717">XLOOKUP('FACUS$'!$B717,'perfil de pagos'!$A$4:$A$46,'perfil de pagos'!$C$4:$C$46+'FACUS$'!$D717)</f>
        <v>43632</v>
      </c>
      <c r="Q717" s="165">
        <f t="shared" si="2"/>
        <v>0</v>
      </c>
      <c r="R717" s="167"/>
      <c r="S717" s="167"/>
      <c r="T717" s="167"/>
      <c r="U717" s="334" t="s">
        <v>7271</v>
      </c>
      <c r="V717" s="168">
        <f t="shared" si="3"/>
        <v>17400</v>
      </c>
      <c r="W717" s="168">
        <f t="shared" si="4"/>
        <v>0</v>
      </c>
      <c r="X717" s="168">
        <f t="shared" si="5"/>
        <v>0</v>
      </c>
      <c r="Y717" s="168">
        <f t="shared" si="6"/>
        <v>0</v>
      </c>
      <c r="Z717" s="168">
        <f t="shared" si="7"/>
        <v>0</v>
      </c>
      <c r="AA717" s="168">
        <f t="shared" si="8"/>
        <v>0</v>
      </c>
      <c r="AB717" s="168">
        <f t="shared" si="9"/>
        <v>0</v>
      </c>
    </row>
    <row r="718" ht="14.25" customHeight="1">
      <c r="A718" s="157">
        <v>1820.0</v>
      </c>
      <c r="B718" s="169" t="s">
        <v>29</v>
      </c>
      <c r="C718" s="169" t="s">
        <v>7475</v>
      </c>
      <c r="D718" s="336">
        <v>43622.0</v>
      </c>
      <c r="E718" s="157" t="s">
        <v>600</v>
      </c>
      <c r="F718" s="160">
        <v>2500.0</v>
      </c>
      <c r="G718" s="160">
        <v>400.0</v>
      </c>
      <c r="H718" s="160">
        <f t="shared" si="29"/>
        <v>2900</v>
      </c>
      <c r="I718" s="172"/>
      <c r="J718" s="169"/>
      <c r="K718" s="172"/>
      <c r="L718" s="172">
        <f>+'FACUS$'!$H718-'FACUS$'!$I718-'FACUS$'!$K718</f>
        <v>2900</v>
      </c>
      <c r="M718" s="162" t="s">
        <v>922</v>
      </c>
      <c r="N718" s="337" t="s">
        <v>554</v>
      </c>
      <c r="O718" s="338">
        <v>43634.0</v>
      </c>
      <c r="P718" s="164">
        <f t="array" ref="P718">XLOOKUP('FACUS$'!$B718,'perfil de pagos'!$A$4:$A$46,'perfil de pagos'!$C$4:$C$46+'FACUS$'!$D718)</f>
        <v>43632</v>
      </c>
      <c r="Q718" s="165">
        <f t="shared" si="2"/>
        <v>0</v>
      </c>
      <c r="R718" s="167"/>
      <c r="S718" s="167"/>
      <c r="T718" s="167"/>
      <c r="U718" s="334" t="s">
        <v>7271</v>
      </c>
      <c r="V718" s="168">
        <f t="shared" si="3"/>
        <v>2900</v>
      </c>
      <c r="W718" s="168">
        <f t="shared" si="4"/>
        <v>0</v>
      </c>
      <c r="X718" s="168">
        <f t="shared" si="5"/>
        <v>0</v>
      </c>
      <c r="Y718" s="168">
        <f t="shared" si="6"/>
        <v>0</v>
      </c>
      <c r="Z718" s="168">
        <f t="shared" si="7"/>
        <v>0</v>
      </c>
      <c r="AA718" s="168">
        <f t="shared" si="8"/>
        <v>0</v>
      </c>
      <c r="AB718" s="168">
        <f t="shared" si="9"/>
        <v>0</v>
      </c>
    </row>
    <row r="719" ht="14.25" customHeight="1">
      <c r="A719" s="157">
        <v>1821.0</v>
      </c>
      <c r="B719" s="169" t="s">
        <v>29</v>
      </c>
      <c r="C719" s="169" t="s">
        <v>7488</v>
      </c>
      <c r="D719" s="336">
        <v>43622.0</v>
      </c>
      <c r="E719" s="157" t="s">
        <v>600</v>
      </c>
      <c r="F719" s="160">
        <v>2500.0</v>
      </c>
      <c r="G719" s="160">
        <v>400.0</v>
      </c>
      <c r="H719" s="160">
        <f t="shared" si="29"/>
        <v>2900</v>
      </c>
      <c r="I719" s="172"/>
      <c r="J719" s="169"/>
      <c r="K719" s="172"/>
      <c r="L719" s="172">
        <f>+'FACUS$'!$H719-'FACUS$'!$I719-'FACUS$'!$K719</f>
        <v>2900</v>
      </c>
      <c r="M719" s="162" t="s">
        <v>921</v>
      </c>
      <c r="N719" s="337" t="s">
        <v>554</v>
      </c>
      <c r="O719" s="338">
        <v>43634.0</v>
      </c>
      <c r="P719" s="164">
        <f t="array" ref="P719">XLOOKUP('FACUS$'!$B719,'perfil de pagos'!$A$4:$A$46,'perfil de pagos'!$C$4:$C$46+'FACUS$'!$D719)</f>
        <v>43632</v>
      </c>
      <c r="Q719" s="165">
        <f t="shared" si="2"/>
        <v>0</v>
      </c>
      <c r="R719" s="167"/>
      <c r="S719" s="167"/>
      <c r="T719" s="167"/>
      <c r="U719" s="334" t="s">
        <v>7271</v>
      </c>
      <c r="V719" s="168">
        <f t="shared" si="3"/>
        <v>2900</v>
      </c>
      <c r="W719" s="168">
        <f t="shared" si="4"/>
        <v>0</v>
      </c>
      <c r="X719" s="168">
        <f t="shared" si="5"/>
        <v>0</v>
      </c>
      <c r="Y719" s="168">
        <f t="shared" si="6"/>
        <v>0</v>
      </c>
      <c r="Z719" s="168">
        <f t="shared" si="7"/>
        <v>0</v>
      </c>
      <c r="AA719" s="168">
        <f t="shared" si="8"/>
        <v>0</v>
      </c>
      <c r="AB719" s="168">
        <f t="shared" si="9"/>
        <v>0</v>
      </c>
    </row>
    <row r="720" ht="14.25" customHeight="1">
      <c r="A720" s="157">
        <v>1824.0</v>
      </c>
      <c r="B720" s="169" t="s">
        <v>960</v>
      </c>
      <c r="C720" s="169" t="s">
        <v>7484</v>
      </c>
      <c r="D720" s="336">
        <v>43627.0</v>
      </c>
      <c r="E720" s="157" t="s">
        <v>600</v>
      </c>
      <c r="F720" s="160">
        <v>17480.24</v>
      </c>
      <c r="G720" s="160">
        <v>2796.84</v>
      </c>
      <c r="H720" s="160">
        <f t="shared" si="29"/>
        <v>20277.08</v>
      </c>
      <c r="I720" s="172"/>
      <c r="J720" s="169"/>
      <c r="K720" s="172"/>
      <c r="L720" s="172">
        <f>+'FACUS$'!$H720-'FACUS$'!$I720-'FACUS$'!$K720</f>
        <v>20277.08</v>
      </c>
      <c r="M720" s="162" t="s">
        <v>875</v>
      </c>
      <c r="N720" s="337" t="s">
        <v>127</v>
      </c>
      <c r="O720" s="338"/>
      <c r="P720" s="164" t="str">
        <f t="array" ref="P720">XLOOKUP('FACUS$'!$B720,'perfil de pagos'!$A$4:$A$46,'perfil de pagos'!$C$4:$C$46+'FACUS$'!$D720)</f>
        <v>#N/A</v>
      </c>
      <c r="Q720" s="165" t="str">
        <f t="shared" si="2"/>
        <v>N/A</v>
      </c>
      <c r="R720" s="167" t="s">
        <v>7489</v>
      </c>
      <c r="S720" s="167"/>
      <c r="T720" s="167"/>
      <c r="U720" s="334" t="s">
        <v>7271</v>
      </c>
      <c r="V720" s="168">
        <f t="shared" si="3"/>
        <v>0</v>
      </c>
      <c r="W720" s="168">
        <f t="shared" si="4"/>
        <v>0</v>
      </c>
      <c r="X720" s="168">
        <f t="shared" si="5"/>
        <v>0</v>
      </c>
      <c r="Y720" s="168">
        <f t="shared" si="6"/>
        <v>0</v>
      </c>
      <c r="Z720" s="168">
        <f t="shared" si="7"/>
        <v>0</v>
      </c>
      <c r="AA720" s="168">
        <f t="shared" si="8"/>
        <v>0</v>
      </c>
      <c r="AB720" s="168">
        <f t="shared" si="9"/>
        <v>20277.08</v>
      </c>
    </row>
    <row r="721" ht="14.25" customHeight="1">
      <c r="A721" s="157">
        <v>1828.0</v>
      </c>
      <c r="B721" s="169" t="s">
        <v>29</v>
      </c>
      <c r="C721" s="169" t="s">
        <v>7490</v>
      </c>
      <c r="D721" s="336">
        <v>43634.0</v>
      </c>
      <c r="E721" s="157" t="s">
        <v>600</v>
      </c>
      <c r="F721" s="160">
        <v>21684.14</v>
      </c>
      <c r="G721" s="160">
        <v>3469.46</v>
      </c>
      <c r="H721" s="160">
        <f t="shared" si="29"/>
        <v>25153.6</v>
      </c>
      <c r="I721" s="172"/>
      <c r="J721" s="169"/>
      <c r="K721" s="172"/>
      <c r="L721" s="172">
        <f>+'FACUS$'!$H721-'FACUS$'!$I721-'FACUS$'!$K721</f>
        <v>25153.6</v>
      </c>
      <c r="M721" s="162" t="s">
        <v>825</v>
      </c>
      <c r="N721" s="337" t="s">
        <v>554</v>
      </c>
      <c r="O721" s="338">
        <v>43655.0</v>
      </c>
      <c r="P721" s="164">
        <f t="array" ref="P721">XLOOKUP('FACUS$'!$B721,'perfil de pagos'!$A$4:$A$46,'perfil de pagos'!$C$4:$C$46+'FACUS$'!$D721)</f>
        <v>43644</v>
      </c>
      <c r="Q721" s="165">
        <f t="shared" si="2"/>
        <v>0</v>
      </c>
      <c r="R721" s="167"/>
      <c r="S721" s="167"/>
      <c r="T721" s="167"/>
      <c r="U721" s="334" t="s">
        <v>7271</v>
      </c>
      <c r="V721" s="168">
        <f t="shared" si="3"/>
        <v>25153.6</v>
      </c>
      <c r="W721" s="168">
        <f t="shared" si="4"/>
        <v>0</v>
      </c>
      <c r="X721" s="168">
        <f t="shared" si="5"/>
        <v>0</v>
      </c>
      <c r="Y721" s="168">
        <f t="shared" si="6"/>
        <v>0</v>
      </c>
      <c r="Z721" s="168">
        <f t="shared" si="7"/>
        <v>0</v>
      </c>
      <c r="AA721" s="168">
        <f t="shared" si="8"/>
        <v>0</v>
      </c>
      <c r="AB721" s="168">
        <f t="shared" si="9"/>
        <v>0</v>
      </c>
    </row>
    <row r="722" ht="14.25" customHeight="1">
      <c r="A722" s="157">
        <v>1831.0</v>
      </c>
      <c r="B722" s="169" t="s">
        <v>43</v>
      </c>
      <c r="C722" s="169" t="s">
        <v>7490</v>
      </c>
      <c r="D722" s="336">
        <v>43634.0</v>
      </c>
      <c r="E722" s="157" t="s">
        <v>600</v>
      </c>
      <c r="F722" s="160">
        <v>4932.75</v>
      </c>
      <c r="G722" s="160">
        <v>789.24</v>
      </c>
      <c r="H722" s="160">
        <f t="shared" si="29"/>
        <v>5721.99</v>
      </c>
      <c r="I722" s="172"/>
      <c r="J722" s="169"/>
      <c r="K722" s="172"/>
      <c r="L722" s="172">
        <f>+'FACUS$'!$H722-'FACUS$'!$I722-'FACUS$'!$K722</f>
        <v>5721.99</v>
      </c>
      <c r="M722" s="162" t="s">
        <v>43</v>
      </c>
      <c r="N722" s="337" t="s">
        <v>554</v>
      </c>
      <c r="O722" s="338">
        <v>43707.0</v>
      </c>
      <c r="P722" s="164">
        <f t="array" ref="P722">XLOOKUP('FACUS$'!$B722,'perfil de pagos'!$A$4:$A$46,'perfil de pagos'!$C$4:$C$46+'FACUS$'!$D722)</f>
        <v>43659</v>
      </c>
      <c r="Q722" s="165">
        <f t="shared" si="2"/>
        <v>0</v>
      </c>
      <c r="R722" s="167"/>
      <c r="S722" s="167" t="s">
        <v>910</v>
      </c>
      <c r="T722" s="167"/>
      <c r="U722" s="334" t="s">
        <v>7271</v>
      </c>
      <c r="V722" s="168">
        <f t="shared" si="3"/>
        <v>5721.99</v>
      </c>
      <c r="W722" s="168">
        <f t="shared" si="4"/>
        <v>0</v>
      </c>
      <c r="X722" s="168">
        <f t="shared" si="5"/>
        <v>0</v>
      </c>
      <c r="Y722" s="168">
        <f t="shared" si="6"/>
        <v>0</v>
      </c>
      <c r="Z722" s="168">
        <f t="shared" si="7"/>
        <v>0</v>
      </c>
      <c r="AA722" s="168">
        <f t="shared" si="8"/>
        <v>0</v>
      </c>
      <c r="AB722" s="168">
        <f t="shared" si="9"/>
        <v>0</v>
      </c>
    </row>
    <row r="723" ht="14.25" customHeight="1">
      <c r="A723" s="157">
        <v>1833.0</v>
      </c>
      <c r="B723" s="169" t="s">
        <v>18</v>
      </c>
      <c r="C723" s="169" t="s">
        <v>7490</v>
      </c>
      <c r="D723" s="336">
        <v>43635.0</v>
      </c>
      <c r="E723" s="157" t="s">
        <v>600</v>
      </c>
      <c r="F723" s="160">
        <v>9850.0</v>
      </c>
      <c r="G723" s="160">
        <v>1576.0</v>
      </c>
      <c r="H723" s="160">
        <f t="shared" si="29"/>
        <v>11426</v>
      </c>
      <c r="I723" s="172"/>
      <c r="J723" s="169"/>
      <c r="K723" s="172"/>
      <c r="L723" s="172">
        <f>+'FACUS$'!$H723-'FACUS$'!$I723-'FACUS$'!$K723</f>
        <v>11426</v>
      </c>
      <c r="M723" s="162" t="s">
        <v>586</v>
      </c>
      <c r="N723" s="337" t="s">
        <v>554</v>
      </c>
      <c r="O723" s="338">
        <v>43644.0</v>
      </c>
      <c r="P723" s="164">
        <f t="array" ref="P723">XLOOKUP('FACUS$'!$B723,'perfil de pagos'!$A$4:$A$46,'perfil de pagos'!$C$4:$C$46+'FACUS$'!$D723)</f>
        <v>43645</v>
      </c>
      <c r="Q723" s="165">
        <f t="shared" si="2"/>
        <v>0</v>
      </c>
      <c r="R723" s="167"/>
      <c r="S723" s="220" t="s">
        <v>910</v>
      </c>
      <c r="T723" s="167"/>
      <c r="U723" s="334" t="s">
        <v>7271</v>
      </c>
      <c r="V723" s="168">
        <f t="shared" si="3"/>
        <v>11426</v>
      </c>
      <c r="W723" s="168">
        <f t="shared" si="4"/>
        <v>0</v>
      </c>
      <c r="X723" s="168">
        <f t="shared" si="5"/>
        <v>0</v>
      </c>
      <c r="Y723" s="168">
        <f t="shared" si="6"/>
        <v>0</v>
      </c>
      <c r="Z723" s="168">
        <f t="shared" si="7"/>
        <v>0</v>
      </c>
      <c r="AA723" s="168">
        <f t="shared" si="8"/>
        <v>0</v>
      </c>
      <c r="AB723" s="168">
        <f t="shared" si="9"/>
        <v>0</v>
      </c>
    </row>
    <row r="724" ht="14.25" customHeight="1">
      <c r="A724" s="157">
        <v>1835.0</v>
      </c>
      <c r="B724" s="169" t="s">
        <v>20</v>
      </c>
      <c r="C724" s="169" t="s">
        <v>7490</v>
      </c>
      <c r="D724" s="336">
        <v>43635.0</v>
      </c>
      <c r="E724" s="157" t="s">
        <v>600</v>
      </c>
      <c r="F724" s="160">
        <v>17402.4</v>
      </c>
      <c r="G724" s="160">
        <v>2784.38</v>
      </c>
      <c r="H724" s="160">
        <f t="shared" si="29"/>
        <v>20186.78</v>
      </c>
      <c r="I724" s="172"/>
      <c r="J724" s="169"/>
      <c r="K724" s="172"/>
      <c r="L724" s="172">
        <f>+'FACUS$'!$H724-'FACUS$'!$I724-'FACUS$'!$K724</f>
        <v>20186.78</v>
      </c>
      <c r="M724" s="162" t="s">
        <v>732</v>
      </c>
      <c r="N724" s="337" t="s">
        <v>554</v>
      </c>
      <c r="O724" s="338">
        <v>43644.0</v>
      </c>
      <c r="P724" s="164">
        <f t="array" ref="P724">XLOOKUP('FACUS$'!$B724,'perfil de pagos'!$A$4:$A$46,'perfil de pagos'!$C$4:$C$46+'FACUS$'!$D724)</f>
        <v>43645</v>
      </c>
      <c r="Q724" s="165">
        <f t="shared" si="2"/>
        <v>0</v>
      </c>
      <c r="R724" s="167"/>
      <c r="S724" s="220" t="s">
        <v>910</v>
      </c>
      <c r="T724" s="167"/>
      <c r="U724" s="334" t="s">
        <v>7271</v>
      </c>
      <c r="V724" s="168">
        <f t="shared" si="3"/>
        <v>20186.78</v>
      </c>
      <c r="W724" s="168">
        <f t="shared" si="4"/>
        <v>0</v>
      </c>
      <c r="X724" s="168">
        <f t="shared" si="5"/>
        <v>0</v>
      </c>
      <c r="Y724" s="168">
        <f t="shared" si="6"/>
        <v>0</v>
      </c>
      <c r="Z724" s="168">
        <f t="shared" si="7"/>
        <v>0</v>
      </c>
      <c r="AA724" s="168">
        <f t="shared" si="8"/>
        <v>0</v>
      </c>
      <c r="AB724" s="168">
        <f t="shared" si="9"/>
        <v>0</v>
      </c>
    </row>
    <row r="725" ht="14.25" customHeight="1">
      <c r="A725" s="157">
        <v>1837.0</v>
      </c>
      <c r="B725" s="169" t="s">
        <v>37</v>
      </c>
      <c r="C725" s="169" t="s">
        <v>7490</v>
      </c>
      <c r="D725" s="336">
        <v>43635.0</v>
      </c>
      <c r="E725" s="157" t="s">
        <v>600</v>
      </c>
      <c r="F725" s="160">
        <v>95201.53</v>
      </c>
      <c r="G725" s="160">
        <v>15232.24</v>
      </c>
      <c r="H725" s="160">
        <f t="shared" si="29"/>
        <v>110433.77</v>
      </c>
      <c r="I725" s="172"/>
      <c r="J725" s="169"/>
      <c r="K725" s="172"/>
      <c r="L725" s="172">
        <f>+'FACUS$'!$H725-'FACUS$'!$I725-'FACUS$'!$K725</f>
        <v>110433.77</v>
      </c>
      <c r="M725" s="162" t="s">
        <v>116</v>
      </c>
      <c r="N725" s="337" t="s">
        <v>554</v>
      </c>
      <c r="O725" s="338">
        <v>43668.0</v>
      </c>
      <c r="P725" s="164">
        <f t="array" ref="P725">XLOOKUP('FACUS$'!$B725,'perfil de pagos'!$A$4:$A$46,'perfil de pagos'!$C$4:$C$46+'FACUS$'!$D725)</f>
        <v>43645</v>
      </c>
      <c r="Q725" s="165">
        <f t="shared" si="2"/>
        <v>0</v>
      </c>
      <c r="R725" s="167" t="s">
        <v>7491</v>
      </c>
      <c r="S725" s="171" t="s">
        <v>910</v>
      </c>
      <c r="T725" s="167"/>
      <c r="U725" s="334" t="s">
        <v>7271</v>
      </c>
      <c r="V725" s="168">
        <f t="shared" si="3"/>
        <v>110433.77</v>
      </c>
      <c r="W725" s="168">
        <f t="shared" si="4"/>
        <v>0</v>
      </c>
      <c r="X725" s="168">
        <f t="shared" si="5"/>
        <v>0</v>
      </c>
      <c r="Y725" s="168">
        <f t="shared" si="6"/>
        <v>0</v>
      </c>
      <c r="Z725" s="168">
        <f t="shared" si="7"/>
        <v>0</v>
      </c>
      <c r="AA725" s="168">
        <f t="shared" si="8"/>
        <v>0</v>
      </c>
      <c r="AB725" s="168">
        <f t="shared" si="9"/>
        <v>0</v>
      </c>
    </row>
    <row r="726" ht="14.25" customHeight="1">
      <c r="A726" s="157">
        <v>1840.0</v>
      </c>
      <c r="B726" s="169" t="s">
        <v>960</v>
      </c>
      <c r="C726" s="169" t="s">
        <v>7490</v>
      </c>
      <c r="D726" s="336">
        <v>43640.0</v>
      </c>
      <c r="E726" s="157" t="s">
        <v>600</v>
      </c>
      <c r="F726" s="160">
        <v>10740.27</v>
      </c>
      <c r="G726" s="160">
        <v>1718.44</v>
      </c>
      <c r="H726" s="160">
        <f t="shared" si="29"/>
        <v>12458.71</v>
      </c>
      <c r="I726" s="172"/>
      <c r="J726" s="169"/>
      <c r="K726" s="172"/>
      <c r="L726" s="172">
        <f>+'FACUS$'!$H726-'FACUS$'!$I726-'FACUS$'!$K726</f>
        <v>12458.71</v>
      </c>
      <c r="M726" s="162" t="s">
        <v>875</v>
      </c>
      <c r="N726" s="337" t="s">
        <v>127</v>
      </c>
      <c r="O726" s="338"/>
      <c r="P726" s="164" t="str">
        <f t="array" ref="P726">XLOOKUP('FACUS$'!$B726,'perfil de pagos'!$A$4:$A$46,'perfil de pagos'!$C$4:$C$46+'FACUS$'!$D726)</f>
        <v>#N/A</v>
      </c>
      <c r="Q726" s="165" t="str">
        <f t="shared" si="2"/>
        <v>N/A</v>
      </c>
      <c r="R726" s="167" t="s">
        <v>7489</v>
      </c>
      <c r="S726" s="167"/>
      <c r="T726" s="167"/>
      <c r="U726" s="334" t="s">
        <v>7271</v>
      </c>
      <c r="V726" s="168">
        <f t="shared" si="3"/>
        <v>0</v>
      </c>
      <c r="W726" s="168">
        <f t="shared" si="4"/>
        <v>0</v>
      </c>
      <c r="X726" s="168">
        <f t="shared" si="5"/>
        <v>0</v>
      </c>
      <c r="Y726" s="168">
        <f t="shared" si="6"/>
        <v>0</v>
      </c>
      <c r="Z726" s="168">
        <f t="shared" si="7"/>
        <v>0</v>
      </c>
      <c r="AA726" s="168">
        <f t="shared" si="8"/>
        <v>0</v>
      </c>
      <c r="AB726" s="168">
        <f t="shared" si="9"/>
        <v>12458.71</v>
      </c>
    </row>
    <row r="727" ht="14.25" customHeight="1">
      <c r="A727" s="157">
        <v>1842.0</v>
      </c>
      <c r="B727" s="169" t="s">
        <v>30</v>
      </c>
      <c r="C727" s="169" t="s">
        <v>7490</v>
      </c>
      <c r="D727" s="336">
        <v>43640.0</v>
      </c>
      <c r="E727" s="157" t="s">
        <v>600</v>
      </c>
      <c r="F727" s="160">
        <v>1101.31</v>
      </c>
      <c r="G727" s="160">
        <v>176.21</v>
      </c>
      <c r="H727" s="160">
        <f t="shared" si="29"/>
        <v>1277.52</v>
      </c>
      <c r="I727" s="172"/>
      <c r="J727" s="169"/>
      <c r="K727" s="172"/>
      <c r="L727" s="172">
        <f>+'FACUS$'!$H727-'FACUS$'!$I727-'FACUS$'!$K727</f>
        <v>1277.52</v>
      </c>
      <c r="M727" s="162" t="s">
        <v>7415</v>
      </c>
      <c r="N727" s="337" t="s">
        <v>554</v>
      </c>
      <c r="O727" s="338">
        <v>43647.0</v>
      </c>
      <c r="P727" s="164">
        <f t="array" ref="P727">XLOOKUP('FACUS$'!$B727,'perfil de pagos'!$A$4:$A$46,'perfil de pagos'!$C$4:$C$46+'FACUS$'!$D727)</f>
        <v>43650</v>
      </c>
      <c r="Q727" s="165">
        <f t="shared" si="2"/>
        <v>0</v>
      </c>
      <c r="R727" s="220" t="s">
        <v>7492</v>
      </c>
      <c r="S727" s="223" t="s">
        <v>910</v>
      </c>
      <c r="T727" s="167"/>
      <c r="U727" s="334" t="s">
        <v>7271</v>
      </c>
      <c r="V727" s="168">
        <f t="shared" si="3"/>
        <v>1277.52</v>
      </c>
      <c r="W727" s="168">
        <f t="shared" si="4"/>
        <v>0</v>
      </c>
      <c r="X727" s="168">
        <f t="shared" si="5"/>
        <v>0</v>
      </c>
      <c r="Y727" s="168">
        <f t="shared" si="6"/>
        <v>0</v>
      </c>
      <c r="Z727" s="168">
        <f t="shared" si="7"/>
        <v>0</v>
      </c>
      <c r="AA727" s="168">
        <f t="shared" si="8"/>
        <v>0</v>
      </c>
      <c r="AB727" s="168">
        <f t="shared" si="9"/>
        <v>0</v>
      </c>
    </row>
    <row r="728" ht="14.25" customHeight="1">
      <c r="A728" s="157">
        <v>1848.0</v>
      </c>
      <c r="B728" s="169" t="s">
        <v>127</v>
      </c>
      <c r="C728" s="169"/>
      <c r="D728" s="336"/>
      <c r="E728" s="157"/>
      <c r="F728" s="160"/>
      <c r="G728" s="160"/>
      <c r="H728" s="160">
        <f t="shared" si="29"/>
        <v>0</v>
      </c>
      <c r="I728" s="172"/>
      <c r="J728" s="169"/>
      <c r="K728" s="172"/>
      <c r="L728" s="172">
        <f>+'FACUS$'!$H728-'FACUS$'!$I728-'FACUS$'!$K728</f>
        <v>0</v>
      </c>
      <c r="M728" s="162" t="s">
        <v>958</v>
      </c>
      <c r="N728" s="337" t="s">
        <v>127</v>
      </c>
      <c r="O728" s="338"/>
      <c r="P728" s="164" t="str">
        <f t="array" ref="P728">XLOOKUP('FACUS$'!$B728,'perfil de pagos'!$A$4:$A$46,'perfil de pagos'!$C$4:$C$46+'FACUS$'!$D728)</f>
        <v>#N/A</v>
      </c>
      <c r="Q728" s="165" t="str">
        <f t="shared" si="2"/>
        <v>N/A</v>
      </c>
      <c r="R728" s="167"/>
      <c r="S728" s="167"/>
      <c r="T728" s="167"/>
      <c r="U728" s="334" t="s">
        <v>7271</v>
      </c>
      <c r="V728" s="168">
        <f t="shared" si="3"/>
        <v>0</v>
      </c>
      <c r="W728" s="168">
        <f t="shared" si="4"/>
        <v>0</v>
      </c>
      <c r="X728" s="168">
        <f t="shared" si="5"/>
        <v>0</v>
      </c>
      <c r="Y728" s="168">
        <f t="shared" si="6"/>
        <v>0</v>
      </c>
      <c r="Z728" s="168">
        <f t="shared" si="7"/>
        <v>0</v>
      </c>
      <c r="AA728" s="168">
        <f t="shared" si="8"/>
        <v>0</v>
      </c>
      <c r="AB728" s="168">
        <f t="shared" si="9"/>
        <v>0</v>
      </c>
    </row>
    <row r="729" ht="14.25" customHeight="1">
      <c r="A729" s="157">
        <v>1850.0</v>
      </c>
      <c r="B729" s="169" t="s">
        <v>43</v>
      </c>
      <c r="C729" s="169" t="s">
        <v>986</v>
      </c>
      <c r="D729" s="336">
        <v>43649.0</v>
      </c>
      <c r="E729" s="157" t="s">
        <v>600</v>
      </c>
      <c r="F729" s="160">
        <v>9452.74</v>
      </c>
      <c r="G729" s="160">
        <v>1512.44</v>
      </c>
      <c r="H729" s="160">
        <f t="shared" si="29"/>
        <v>10965.18</v>
      </c>
      <c r="I729" s="172"/>
      <c r="J729" s="169"/>
      <c r="K729" s="172"/>
      <c r="L729" s="172">
        <f>+'FACUS$'!$H729-'FACUS$'!$I729-'FACUS$'!$K729</f>
        <v>10965.18</v>
      </c>
      <c r="M729" s="162" t="s">
        <v>43</v>
      </c>
      <c r="N729" s="337" t="s">
        <v>554</v>
      </c>
      <c r="O729" s="338">
        <v>43707.0</v>
      </c>
      <c r="P729" s="164">
        <f t="array" ref="P729">XLOOKUP('FACUS$'!$B729,'perfil de pagos'!$A$4:$A$46,'perfil de pagos'!$C$4:$C$46+'FACUS$'!$D729)</f>
        <v>43674</v>
      </c>
      <c r="Q729" s="165">
        <f t="shared" si="2"/>
        <v>0</v>
      </c>
      <c r="R729" s="167"/>
      <c r="S729" s="167" t="s">
        <v>910</v>
      </c>
      <c r="T729" s="167"/>
      <c r="U729" s="334" t="s">
        <v>7271</v>
      </c>
      <c r="V729" s="168">
        <f t="shared" si="3"/>
        <v>10965.18</v>
      </c>
      <c r="W729" s="168">
        <f t="shared" si="4"/>
        <v>0</v>
      </c>
      <c r="X729" s="168">
        <f t="shared" si="5"/>
        <v>0</v>
      </c>
      <c r="Y729" s="168">
        <f t="shared" si="6"/>
        <v>0</v>
      </c>
      <c r="Z729" s="168">
        <f t="shared" si="7"/>
        <v>0</v>
      </c>
      <c r="AA729" s="168">
        <f t="shared" si="8"/>
        <v>0</v>
      </c>
      <c r="AB729" s="168">
        <f t="shared" si="9"/>
        <v>0</v>
      </c>
    </row>
    <row r="730" ht="14.25" customHeight="1">
      <c r="A730" s="157">
        <v>1852.0</v>
      </c>
      <c r="B730" s="169" t="s">
        <v>29</v>
      </c>
      <c r="C730" s="169" t="s">
        <v>986</v>
      </c>
      <c r="D730" s="336">
        <v>43649.0</v>
      </c>
      <c r="E730" s="157" t="s">
        <v>600</v>
      </c>
      <c r="F730" s="160">
        <v>25488.82</v>
      </c>
      <c r="G730" s="160">
        <v>4078.21</v>
      </c>
      <c r="H730" s="160">
        <f t="shared" si="29"/>
        <v>29567.03</v>
      </c>
      <c r="I730" s="172"/>
      <c r="J730" s="169"/>
      <c r="K730" s="172"/>
      <c r="L730" s="172">
        <f>+'FACUS$'!$H730-'FACUS$'!$I730-'FACUS$'!$K730</f>
        <v>29567.03</v>
      </c>
      <c r="M730" s="162" t="s">
        <v>825</v>
      </c>
      <c r="N730" s="337" t="s">
        <v>554</v>
      </c>
      <c r="O730" s="338">
        <v>43655.0</v>
      </c>
      <c r="P730" s="164">
        <f t="array" ref="P730">XLOOKUP('FACUS$'!$B730,'perfil de pagos'!$A$4:$A$46,'perfil de pagos'!$C$4:$C$46+'FACUS$'!$D730)</f>
        <v>43659</v>
      </c>
      <c r="Q730" s="165">
        <f t="shared" si="2"/>
        <v>0</v>
      </c>
      <c r="R730" s="167"/>
      <c r="S730" s="167"/>
      <c r="T730" s="167"/>
      <c r="U730" s="334" t="s">
        <v>7271</v>
      </c>
      <c r="V730" s="168">
        <f t="shared" si="3"/>
        <v>29567.03</v>
      </c>
      <c r="W730" s="168">
        <f t="shared" si="4"/>
        <v>0</v>
      </c>
      <c r="X730" s="168">
        <f t="shared" si="5"/>
        <v>0</v>
      </c>
      <c r="Y730" s="168">
        <f t="shared" si="6"/>
        <v>0</v>
      </c>
      <c r="Z730" s="168">
        <f t="shared" si="7"/>
        <v>0</v>
      </c>
      <c r="AA730" s="168">
        <f t="shared" si="8"/>
        <v>0</v>
      </c>
      <c r="AB730" s="168">
        <f t="shared" si="9"/>
        <v>0</v>
      </c>
    </row>
    <row r="731" ht="14.25" customHeight="1">
      <c r="A731" s="157">
        <v>1854.0</v>
      </c>
      <c r="B731" s="169" t="s">
        <v>30</v>
      </c>
      <c r="C731" s="169" t="s">
        <v>7493</v>
      </c>
      <c r="D731" s="336">
        <v>43649.0</v>
      </c>
      <c r="E731" s="157" t="s">
        <v>600</v>
      </c>
      <c r="F731" s="160">
        <v>3569.75</v>
      </c>
      <c r="G731" s="160">
        <v>571.16</v>
      </c>
      <c r="H731" s="160">
        <f t="shared" si="29"/>
        <v>4140.91</v>
      </c>
      <c r="I731" s="172"/>
      <c r="J731" s="169"/>
      <c r="K731" s="172"/>
      <c r="L731" s="172">
        <f>+'FACUS$'!$H731-'FACUS$'!$I731-'FACUS$'!$K731</f>
        <v>4140.91</v>
      </c>
      <c r="M731" s="162" t="s">
        <v>7415</v>
      </c>
      <c r="N731" s="337" t="s">
        <v>554</v>
      </c>
      <c r="O731" s="338">
        <v>43651.0</v>
      </c>
      <c r="P731" s="164">
        <f t="array" ref="P731">XLOOKUP('FACUS$'!$B731,'perfil de pagos'!$A$4:$A$46,'perfil de pagos'!$C$4:$C$46+'FACUS$'!$D731)</f>
        <v>43659</v>
      </c>
      <c r="Q731" s="165">
        <f t="shared" si="2"/>
        <v>0</v>
      </c>
      <c r="R731" s="167" t="s">
        <v>7494</v>
      </c>
      <c r="S731" s="223" t="s">
        <v>910</v>
      </c>
      <c r="T731" s="167"/>
      <c r="U731" s="334" t="s">
        <v>7271</v>
      </c>
      <c r="V731" s="168">
        <f t="shared" si="3"/>
        <v>4140.91</v>
      </c>
      <c r="W731" s="168">
        <f t="shared" si="4"/>
        <v>0</v>
      </c>
      <c r="X731" s="168">
        <f t="shared" si="5"/>
        <v>0</v>
      </c>
      <c r="Y731" s="168">
        <f t="shared" si="6"/>
        <v>0</v>
      </c>
      <c r="Z731" s="168">
        <f t="shared" si="7"/>
        <v>0</v>
      </c>
      <c r="AA731" s="168">
        <f t="shared" si="8"/>
        <v>0</v>
      </c>
      <c r="AB731" s="168">
        <f t="shared" si="9"/>
        <v>0</v>
      </c>
    </row>
    <row r="732" ht="14.25" customHeight="1">
      <c r="A732" s="157">
        <v>1860.0</v>
      </c>
      <c r="B732" s="169" t="s">
        <v>33</v>
      </c>
      <c r="C732" s="169" t="s">
        <v>986</v>
      </c>
      <c r="D732" s="336">
        <v>43654.0</v>
      </c>
      <c r="E732" s="157" t="s">
        <v>600</v>
      </c>
      <c r="F732" s="160">
        <v>5204.51</v>
      </c>
      <c r="G732" s="160">
        <v>832.72</v>
      </c>
      <c r="H732" s="160">
        <f t="shared" si="29"/>
        <v>6037.23</v>
      </c>
      <c r="I732" s="172"/>
      <c r="J732" s="169"/>
      <c r="K732" s="172"/>
      <c r="L732" s="172">
        <f>+'FACUS$'!$H732-'FACUS$'!$I732-'FACUS$'!$K732</f>
        <v>6037.23</v>
      </c>
      <c r="M732" s="162" t="s">
        <v>958</v>
      </c>
      <c r="N732" s="337" t="s">
        <v>554</v>
      </c>
      <c r="O732" s="338">
        <v>43693.0</v>
      </c>
      <c r="P732" s="164">
        <f t="array" ref="P732">XLOOKUP('FACUS$'!$B732,'perfil de pagos'!$A$4:$A$46,'perfil de pagos'!$C$4:$C$46+'FACUS$'!$D732)</f>
        <v>43664</v>
      </c>
      <c r="Q732" s="165">
        <f t="shared" si="2"/>
        <v>0</v>
      </c>
      <c r="R732" s="167"/>
      <c r="S732" s="167" t="s">
        <v>910</v>
      </c>
      <c r="T732" s="167"/>
      <c r="U732" s="334" t="s">
        <v>7271</v>
      </c>
      <c r="V732" s="168">
        <f t="shared" si="3"/>
        <v>6037.23</v>
      </c>
      <c r="W732" s="168">
        <f t="shared" si="4"/>
        <v>0</v>
      </c>
      <c r="X732" s="168">
        <f t="shared" si="5"/>
        <v>0</v>
      </c>
      <c r="Y732" s="168">
        <f t="shared" si="6"/>
        <v>0</v>
      </c>
      <c r="Z732" s="168">
        <f t="shared" si="7"/>
        <v>0</v>
      </c>
      <c r="AA732" s="168">
        <f t="shared" si="8"/>
        <v>0</v>
      </c>
      <c r="AB732" s="168">
        <f t="shared" si="9"/>
        <v>0</v>
      </c>
    </row>
    <row r="733" ht="14.25" customHeight="1">
      <c r="A733" s="157">
        <v>1862.0</v>
      </c>
      <c r="B733" s="169" t="s">
        <v>41</v>
      </c>
      <c r="C733" s="169" t="s">
        <v>7484</v>
      </c>
      <c r="D733" s="336">
        <v>43627.0</v>
      </c>
      <c r="E733" s="157" t="s">
        <v>600</v>
      </c>
      <c r="F733" s="160">
        <v>17480.24</v>
      </c>
      <c r="G733" s="160">
        <v>2796.84</v>
      </c>
      <c r="H733" s="160">
        <f t="shared" si="29"/>
        <v>20277.08</v>
      </c>
      <c r="I733" s="172"/>
      <c r="J733" s="169"/>
      <c r="K733" s="172"/>
      <c r="L733" s="172">
        <f>+'FACUS$'!$H733-'FACUS$'!$I733-'FACUS$'!$K733</f>
        <v>20277.08</v>
      </c>
      <c r="M733" s="162" t="s">
        <v>875</v>
      </c>
      <c r="N733" s="337" t="s">
        <v>554</v>
      </c>
      <c r="O733" s="338">
        <v>43696.0</v>
      </c>
      <c r="P733" s="164">
        <f t="array" ref="P733">XLOOKUP('FACUS$'!$B733,'perfil de pagos'!$A$4:$A$46,'perfil de pagos'!$C$4:$C$46+'FACUS$'!$D733)</f>
        <v>43637</v>
      </c>
      <c r="Q733" s="165">
        <f t="shared" si="2"/>
        <v>0</v>
      </c>
      <c r="R733" s="220" t="s">
        <v>7495</v>
      </c>
      <c r="S733" s="167"/>
      <c r="T733" s="167"/>
      <c r="U733" s="334" t="s">
        <v>7271</v>
      </c>
      <c r="V733" s="168">
        <f t="shared" si="3"/>
        <v>20277.08</v>
      </c>
      <c r="W733" s="168">
        <f t="shared" si="4"/>
        <v>0</v>
      </c>
      <c r="X733" s="168">
        <f t="shared" si="5"/>
        <v>0</v>
      </c>
      <c r="Y733" s="168">
        <f t="shared" si="6"/>
        <v>0</v>
      </c>
      <c r="Z733" s="168">
        <f t="shared" si="7"/>
        <v>0</v>
      </c>
      <c r="AA733" s="168">
        <f t="shared" si="8"/>
        <v>0</v>
      </c>
      <c r="AB733" s="168">
        <f t="shared" si="9"/>
        <v>0</v>
      </c>
    </row>
    <row r="734" ht="14.25" customHeight="1">
      <c r="A734" s="157">
        <v>1864.0</v>
      </c>
      <c r="B734" s="169" t="s">
        <v>41</v>
      </c>
      <c r="C734" s="169" t="s">
        <v>7490</v>
      </c>
      <c r="D734" s="336">
        <v>43640.0</v>
      </c>
      <c r="E734" s="157" t="s">
        <v>600</v>
      </c>
      <c r="F734" s="160">
        <v>10740.27</v>
      </c>
      <c r="G734" s="160">
        <v>1718.44</v>
      </c>
      <c r="H734" s="160">
        <f t="shared" si="29"/>
        <v>12458.71</v>
      </c>
      <c r="I734" s="172"/>
      <c r="J734" s="169"/>
      <c r="K734" s="172"/>
      <c r="L734" s="172">
        <f>+'FACUS$'!$H734-'FACUS$'!$I734-'FACUS$'!$K734</f>
        <v>12458.71</v>
      </c>
      <c r="M734" s="162" t="s">
        <v>875</v>
      </c>
      <c r="N734" s="337" t="s">
        <v>554</v>
      </c>
      <c r="O734" s="338">
        <v>43707.0</v>
      </c>
      <c r="P734" s="164">
        <f t="array" ref="P734">XLOOKUP('FACUS$'!$B734,'perfil de pagos'!$A$4:$A$46,'perfil de pagos'!$C$4:$C$46+'FACUS$'!$D734)</f>
        <v>43650</v>
      </c>
      <c r="Q734" s="165">
        <f t="shared" si="2"/>
        <v>0</v>
      </c>
      <c r="R734" s="167"/>
      <c r="S734" s="167"/>
      <c r="T734" s="167"/>
      <c r="U734" s="334" t="s">
        <v>7271</v>
      </c>
      <c r="V734" s="168">
        <f t="shared" si="3"/>
        <v>12458.71</v>
      </c>
      <c r="W734" s="168">
        <f t="shared" si="4"/>
        <v>0</v>
      </c>
      <c r="X734" s="168">
        <f t="shared" si="5"/>
        <v>0</v>
      </c>
      <c r="Y734" s="168">
        <f t="shared" si="6"/>
        <v>0</v>
      </c>
      <c r="Z734" s="168">
        <f t="shared" si="7"/>
        <v>0</v>
      </c>
      <c r="AA734" s="168">
        <f t="shared" si="8"/>
        <v>0</v>
      </c>
      <c r="AB734" s="168">
        <f t="shared" si="9"/>
        <v>0</v>
      </c>
    </row>
    <row r="735" ht="14.25" customHeight="1">
      <c r="A735" s="157">
        <v>1866.0</v>
      </c>
      <c r="B735" s="169" t="s">
        <v>18</v>
      </c>
      <c r="C735" s="169" t="s">
        <v>986</v>
      </c>
      <c r="D735" s="336">
        <v>43654.0</v>
      </c>
      <c r="E735" s="157" t="s">
        <v>600</v>
      </c>
      <c r="F735" s="160">
        <v>9059.49</v>
      </c>
      <c r="G735" s="160">
        <v>1449.52</v>
      </c>
      <c r="H735" s="160">
        <f t="shared" si="29"/>
        <v>10509.01</v>
      </c>
      <c r="I735" s="172"/>
      <c r="J735" s="169"/>
      <c r="K735" s="172"/>
      <c r="L735" s="172">
        <f>+'FACUS$'!$H735-'FACUS$'!$I735-'FACUS$'!$K735</f>
        <v>10509.01</v>
      </c>
      <c r="M735" s="162" t="s">
        <v>586</v>
      </c>
      <c r="N735" s="337" t="s">
        <v>554</v>
      </c>
      <c r="O735" s="338">
        <v>43717.0</v>
      </c>
      <c r="P735" s="164">
        <f t="array" ref="P735">XLOOKUP('FACUS$'!$B735,'perfil de pagos'!$A$4:$A$46,'perfil de pagos'!$C$4:$C$46+'FACUS$'!$D735)</f>
        <v>43664</v>
      </c>
      <c r="Q735" s="165">
        <f t="shared" si="2"/>
        <v>0</v>
      </c>
      <c r="R735" s="167"/>
      <c r="S735" s="167" t="s">
        <v>910</v>
      </c>
      <c r="T735" s="167"/>
      <c r="U735" s="334" t="s">
        <v>7271</v>
      </c>
      <c r="V735" s="168">
        <f t="shared" si="3"/>
        <v>10509.01</v>
      </c>
      <c r="W735" s="168">
        <f t="shared" si="4"/>
        <v>0</v>
      </c>
      <c r="X735" s="168">
        <f t="shared" si="5"/>
        <v>0</v>
      </c>
      <c r="Y735" s="168">
        <f t="shared" si="6"/>
        <v>0</v>
      </c>
      <c r="Z735" s="168">
        <f t="shared" si="7"/>
        <v>0</v>
      </c>
      <c r="AA735" s="168">
        <f t="shared" si="8"/>
        <v>0</v>
      </c>
      <c r="AB735" s="168">
        <f t="shared" si="9"/>
        <v>0</v>
      </c>
    </row>
    <row r="736" ht="14.25" customHeight="1">
      <c r="A736" s="157">
        <v>1868.0</v>
      </c>
      <c r="B736" s="169" t="s">
        <v>20</v>
      </c>
      <c r="C736" s="169" t="s">
        <v>986</v>
      </c>
      <c r="D736" s="336">
        <v>43654.0</v>
      </c>
      <c r="E736" s="157" t="s">
        <v>600</v>
      </c>
      <c r="F736" s="160">
        <v>17912.29</v>
      </c>
      <c r="G736" s="160">
        <v>2865.97</v>
      </c>
      <c r="H736" s="160">
        <f t="shared" si="29"/>
        <v>20778.26</v>
      </c>
      <c r="I736" s="172"/>
      <c r="J736" s="169"/>
      <c r="K736" s="172"/>
      <c r="L736" s="172">
        <f>+'FACUS$'!$H736-'FACUS$'!$I736-'FACUS$'!$K736</f>
        <v>20778.26</v>
      </c>
      <c r="M736" s="162" t="s">
        <v>732</v>
      </c>
      <c r="N736" s="337" t="s">
        <v>554</v>
      </c>
      <c r="O736" s="338">
        <v>43717.0</v>
      </c>
      <c r="P736" s="164">
        <f t="array" ref="P736">XLOOKUP('FACUS$'!$B736,'perfil de pagos'!$A$4:$A$46,'perfil de pagos'!$C$4:$C$46+'FACUS$'!$D736)</f>
        <v>43664</v>
      </c>
      <c r="Q736" s="165">
        <f t="shared" si="2"/>
        <v>0</v>
      </c>
      <c r="R736" s="167"/>
      <c r="S736" s="167" t="s">
        <v>910</v>
      </c>
      <c r="T736" s="167"/>
      <c r="U736" s="334" t="s">
        <v>7271</v>
      </c>
      <c r="V736" s="168">
        <f t="shared" si="3"/>
        <v>20778.26</v>
      </c>
      <c r="W736" s="168">
        <f t="shared" si="4"/>
        <v>0</v>
      </c>
      <c r="X736" s="168">
        <f t="shared" si="5"/>
        <v>0</v>
      </c>
      <c r="Y736" s="168">
        <f t="shared" si="6"/>
        <v>0</v>
      </c>
      <c r="Z736" s="168">
        <f t="shared" si="7"/>
        <v>0</v>
      </c>
      <c r="AA736" s="168">
        <f t="shared" si="8"/>
        <v>0</v>
      </c>
      <c r="AB736" s="168">
        <f t="shared" si="9"/>
        <v>0</v>
      </c>
    </row>
    <row r="737" ht="14.25" customHeight="1">
      <c r="A737" s="157">
        <v>1870.0</v>
      </c>
      <c r="B737" s="169" t="s">
        <v>37</v>
      </c>
      <c r="C737" s="169" t="s">
        <v>986</v>
      </c>
      <c r="D737" s="336">
        <v>43654.0</v>
      </c>
      <c r="E737" s="157" t="s">
        <v>600</v>
      </c>
      <c r="F737" s="160">
        <v>100427.62</v>
      </c>
      <c r="G737" s="160">
        <v>16068.42</v>
      </c>
      <c r="H737" s="160">
        <f t="shared" si="29"/>
        <v>116496.04</v>
      </c>
      <c r="I737" s="172"/>
      <c r="J737" s="169"/>
      <c r="K737" s="172"/>
      <c r="L737" s="172">
        <f>+'FACUS$'!$H737-'FACUS$'!$I737-'FACUS$'!$K737</f>
        <v>116496.04</v>
      </c>
      <c r="M737" s="162" t="s">
        <v>116</v>
      </c>
      <c r="N737" s="337" t="s">
        <v>554</v>
      </c>
      <c r="O737" s="338">
        <v>43675.0</v>
      </c>
      <c r="P737" s="164">
        <f t="array" ref="P737">XLOOKUP('FACUS$'!$B737,'perfil de pagos'!$A$4:$A$46,'perfil de pagos'!$C$4:$C$46+'FACUS$'!$D737)</f>
        <v>43664</v>
      </c>
      <c r="Q737" s="165">
        <f t="shared" si="2"/>
        <v>0</v>
      </c>
      <c r="R737" s="167" t="s">
        <v>7496</v>
      </c>
      <c r="S737" s="167"/>
      <c r="T737" s="167"/>
      <c r="U737" s="334" t="s">
        <v>7271</v>
      </c>
      <c r="V737" s="168">
        <f t="shared" si="3"/>
        <v>116496.04</v>
      </c>
      <c r="W737" s="168">
        <f t="shared" si="4"/>
        <v>0</v>
      </c>
      <c r="X737" s="168">
        <f t="shared" si="5"/>
        <v>0</v>
      </c>
      <c r="Y737" s="168">
        <f t="shared" si="6"/>
        <v>0</v>
      </c>
      <c r="Z737" s="168">
        <f t="shared" si="7"/>
        <v>0</v>
      </c>
      <c r="AA737" s="168">
        <f t="shared" si="8"/>
        <v>0</v>
      </c>
      <c r="AB737" s="168">
        <f t="shared" si="9"/>
        <v>0</v>
      </c>
    </row>
    <row r="738" ht="14.25" customHeight="1">
      <c r="A738" s="157">
        <v>1872.0</v>
      </c>
      <c r="B738" s="169" t="s">
        <v>33</v>
      </c>
      <c r="C738" s="169" t="s">
        <v>7490</v>
      </c>
      <c r="D738" s="336">
        <v>43654.0</v>
      </c>
      <c r="E738" s="157" t="s">
        <v>600</v>
      </c>
      <c r="F738" s="160">
        <v>14101.92</v>
      </c>
      <c r="G738" s="160">
        <v>2256.31</v>
      </c>
      <c r="H738" s="160">
        <f t="shared" si="29"/>
        <v>16358.23</v>
      </c>
      <c r="I738" s="172"/>
      <c r="J738" s="169"/>
      <c r="K738" s="172"/>
      <c r="L738" s="172">
        <f>+'FACUS$'!$H738-'FACUS$'!$I738-'FACUS$'!$K738</f>
        <v>16358.23</v>
      </c>
      <c r="M738" s="162" t="s">
        <v>958</v>
      </c>
      <c r="N738" s="337" t="s">
        <v>554</v>
      </c>
      <c r="O738" s="338">
        <v>43703.0</v>
      </c>
      <c r="P738" s="164">
        <f t="array" ref="P738">XLOOKUP('FACUS$'!$B738,'perfil de pagos'!$A$4:$A$46,'perfil de pagos'!$C$4:$C$46+'FACUS$'!$D738)</f>
        <v>43664</v>
      </c>
      <c r="Q738" s="165">
        <f t="shared" si="2"/>
        <v>0</v>
      </c>
      <c r="R738" s="167"/>
      <c r="S738" s="167"/>
      <c r="T738" s="167"/>
      <c r="U738" s="334" t="s">
        <v>7271</v>
      </c>
      <c r="V738" s="168">
        <f t="shared" si="3"/>
        <v>16358.23</v>
      </c>
      <c r="W738" s="168">
        <f t="shared" si="4"/>
        <v>0</v>
      </c>
      <c r="X738" s="168">
        <f t="shared" si="5"/>
        <v>0</v>
      </c>
      <c r="Y738" s="168">
        <f t="shared" si="6"/>
        <v>0</v>
      </c>
      <c r="Z738" s="168">
        <f t="shared" si="7"/>
        <v>0</v>
      </c>
      <c r="AA738" s="168">
        <f t="shared" si="8"/>
        <v>0</v>
      </c>
      <c r="AB738" s="168">
        <f t="shared" si="9"/>
        <v>0</v>
      </c>
    </row>
    <row r="739" ht="14.25" customHeight="1">
      <c r="A739" s="157">
        <v>1874.0</v>
      </c>
      <c r="B739" s="169" t="s">
        <v>36</v>
      </c>
      <c r="C739" s="169" t="s">
        <v>7490</v>
      </c>
      <c r="D739" s="336">
        <v>43655.0</v>
      </c>
      <c r="E739" s="157" t="s">
        <v>600</v>
      </c>
      <c r="F739" s="160">
        <v>1364.57</v>
      </c>
      <c r="G739" s="160">
        <v>218.33</v>
      </c>
      <c r="H739" s="160">
        <f t="shared" si="29"/>
        <v>1582.9</v>
      </c>
      <c r="I739" s="172"/>
      <c r="J739" s="169"/>
      <c r="K739" s="172"/>
      <c r="L739" s="172">
        <f>+'FACUS$'!$H739-'FACUS$'!$I739-'FACUS$'!$K739</f>
        <v>1582.9</v>
      </c>
      <c r="M739" s="162" t="s">
        <v>278</v>
      </c>
      <c r="N739" s="337" t="s">
        <v>554</v>
      </c>
      <c r="O739" s="338">
        <v>43686.0</v>
      </c>
      <c r="P739" s="164">
        <f t="array" ref="P739">XLOOKUP('FACUS$'!$B739,'perfil de pagos'!$A$4:$A$46,'perfil de pagos'!$C$4:$C$46+'FACUS$'!$D739)</f>
        <v>43665</v>
      </c>
      <c r="Q739" s="165">
        <f t="shared" si="2"/>
        <v>0</v>
      </c>
      <c r="R739" s="167"/>
      <c r="S739" s="220" t="s">
        <v>910</v>
      </c>
      <c r="T739" s="167"/>
      <c r="U739" s="334" t="s">
        <v>7271</v>
      </c>
      <c r="V739" s="168">
        <f t="shared" si="3"/>
        <v>1582.9</v>
      </c>
      <c r="W739" s="168">
        <f t="shared" si="4"/>
        <v>0</v>
      </c>
      <c r="X739" s="168">
        <f t="shared" si="5"/>
        <v>0</v>
      </c>
      <c r="Y739" s="168">
        <f t="shared" si="6"/>
        <v>0</v>
      </c>
      <c r="Z739" s="168">
        <f t="shared" si="7"/>
        <v>0</v>
      </c>
      <c r="AA739" s="168">
        <f t="shared" si="8"/>
        <v>0</v>
      </c>
      <c r="AB739" s="168">
        <f t="shared" si="9"/>
        <v>0</v>
      </c>
    </row>
    <row r="740" ht="14.25" customHeight="1">
      <c r="A740" s="157">
        <v>1876.0</v>
      </c>
      <c r="B740" s="169" t="s">
        <v>36</v>
      </c>
      <c r="C740" s="169" t="s">
        <v>986</v>
      </c>
      <c r="D740" s="336">
        <v>43655.0</v>
      </c>
      <c r="E740" s="157" t="s">
        <v>600</v>
      </c>
      <c r="F740" s="160">
        <v>1841.67</v>
      </c>
      <c r="G740" s="160">
        <v>294.67</v>
      </c>
      <c r="H740" s="160">
        <f t="shared" si="29"/>
        <v>2136.34</v>
      </c>
      <c r="I740" s="172"/>
      <c r="J740" s="169"/>
      <c r="K740" s="172"/>
      <c r="L740" s="172">
        <f>+'FACUS$'!$H740-'FACUS$'!$I740-'FACUS$'!$K740</f>
        <v>2136.34</v>
      </c>
      <c r="M740" s="162" t="s">
        <v>278</v>
      </c>
      <c r="N740" s="337" t="s">
        <v>554</v>
      </c>
      <c r="O740" s="338">
        <v>43686.0</v>
      </c>
      <c r="P740" s="164">
        <f t="array" ref="P740">XLOOKUP('FACUS$'!$B740,'perfil de pagos'!$A$4:$A$46,'perfil de pagos'!$C$4:$C$46+'FACUS$'!$D740)</f>
        <v>43665</v>
      </c>
      <c r="Q740" s="165">
        <f t="shared" si="2"/>
        <v>0</v>
      </c>
      <c r="R740" s="167"/>
      <c r="S740" s="220" t="s">
        <v>910</v>
      </c>
      <c r="T740" s="167"/>
      <c r="U740" s="334" t="s">
        <v>7271</v>
      </c>
      <c r="V740" s="168">
        <f t="shared" si="3"/>
        <v>2136.34</v>
      </c>
      <c r="W740" s="168">
        <f t="shared" si="4"/>
        <v>0</v>
      </c>
      <c r="X740" s="168">
        <f t="shared" si="5"/>
        <v>0</v>
      </c>
      <c r="Y740" s="168">
        <f t="shared" si="6"/>
        <v>0</v>
      </c>
      <c r="Z740" s="168">
        <f t="shared" si="7"/>
        <v>0</v>
      </c>
      <c r="AA740" s="168">
        <f t="shared" si="8"/>
        <v>0</v>
      </c>
      <c r="AB740" s="168">
        <f t="shared" si="9"/>
        <v>0</v>
      </c>
    </row>
    <row r="741" ht="14.25" customHeight="1">
      <c r="A741" s="157">
        <v>1882.0</v>
      </c>
      <c r="B741" s="169" t="s">
        <v>41</v>
      </c>
      <c r="C741" s="169" t="s">
        <v>986</v>
      </c>
      <c r="D741" s="336">
        <v>43663.0</v>
      </c>
      <c r="E741" s="157" t="s">
        <v>600</v>
      </c>
      <c r="F741" s="160">
        <v>14364.11</v>
      </c>
      <c r="G741" s="160">
        <v>2298.26</v>
      </c>
      <c r="H741" s="160">
        <f t="shared" si="29"/>
        <v>16662.37</v>
      </c>
      <c r="I741" s="172"/>
      <c r="J741" s="169"/>
      <c r="K741" s="172"/>
      <c r="L741" s="172">
        <f>+'FACUS$'!$H741-'FACUS$'!$I741-'FACUS$'!$K741</f>
        <v>16662.37</v>
      </c>
      <c r="M741" s="162" t="s">
        <v>875</v>
      </c>
      <c r="N741" s="337" t="s">
        <v>554</v>
      </c>
      <c r="O741" s="338">
        <v>43791.0</v>
      </c>
      <c r="P741" s="164">
        <f t="array" ref="P741">XLOOKUP('FACUS$'!$B741,'perfil de pagos'!$A$4:$A$46,'perfil de pagos'!$C$4:$C$46+'FACUS$'!$D741)</f>
        <v>43673</v>
      </c>
      <c r="Q741" s="165">
        <f t="shared" si="2"/>
        <v>0</v>
      </c>
      <c r="R741" s="167"/>
      <c r="S741" s="167"/>
      <c r="T741" s="167"/>
      <c r="U741" s="334" t="s">
        <v>7271</v>
      </c>
      <c r="V741" s="168">
        <f t="shared" si="3"/>
        <v>16662.37</v>
      </c>
      <c r="W741" s="168">
        <f t="shared" si="4"/>
        <v>0</v>
      </c>
      <c r="X741" s="168">
        <f t="shared" si="5"/>
        <v>0</v>
      </c>
      <c r="Y741" s="168">
        <f t="shared" si="6"/>
        <v>0</v>
      </c>
      <c r="Z741" s="168">
        <f t="shared" si="7"/>
        <v>0</v>
      </c>
      <c r="AA741" s="168">
        <f t="shared" si="8"/>
        <v>0</v>
      </c>
      <c r="AB741" s="168">
        <f t="shared" si="9"/>
        <v>0</v>
      </c>
    </row>
    <row r="742" ht="14.25" customHeight="1">
      <c r="A742" s="157">
        <v>1884.0</v>
      </c>
      <c r="B742" s="169" t="s">
        <v>29</v>
      </c>
      <c r="C742" s="169" t="s">
        <v>987</v>
      </c>
      <c r="D742" s="336">
        <v>43663.0</v>
      </c>
      <c r="E742" s="157" t="s">
        <v>600</v>
      </c>
      <c r="F742" s="160">
        <v>22567.82</v>
      </c>
      <c r="G742" s="160">
        <v>3610.85</v>
      </c>
      <c r="H742" s="160">
        <f t="shared" si="29"/>
        <v>26178.67</v>
      </c>
      <c r="I742" s="172"/>
      <c r="J742" s="169"/>
      <c r="K742" s="172"/>
      <c r="L742" s="172">
        <f>+'FACUS$'!$H742-'FACUS$'!$I742-'FACUS$'!$K742</f>
        <v>26178.67</v>
      </c>
      <c r="M742" s="162" t="s">
        <v>825</v>
      </c>
      <c r="N742" s="337" t="s">
        <v>554</v>
      </c>
      <c r="O742" s="338">
        <v>43670.0</v>
      </c>
      <c r="P742" s="164">
        <f t="array" ref="P742">XLOOKUP('FACUS$'!$B742,'perfil de pagos'!$A$4:$A$46,'perfil de pagos'!$C$4:$C$46+'FACUS$'!$D742)</f>
        <v>43673</v>
      </c>
      <c r="Q742" s="165">
        <f t="shared" si="2"/>
        <v>0</v>
      </c>
      <c r="R742" s="167"/>
      <c r="S742" s="167"/>
      <c r="T742" s="167"/>
      <c r="U742" s="334" t="s">
        <v>7271</v>
      </c>
      <c r="V742" s="168">
        <f t="shared" si="3"/>
        <v>26178.67</v>
      </c>
      <c r="W742" s="168">
        <f t="shared" si="4"/>
        <v>0</v>
      </c>
      <c r="X742" s="168">
        <f t="shared" si="5"/>
        <v>0</v>
      </c>
      <c r="Y742" s="168">
        <f t="shared" si="6"/>
        <v>0</v>
      </c>
      <c r="Z742" s="168">
        <f t="shared" si="7"/>
        <v>0</v>
      </c>
      <c r="AA742" s="168">
        <f t="shared" si="8"/>
        <v>0</v>
      </c>
      <c r="AB742" s="168">
        <f t="shared" si="9"/>
        <v>0</v>
      </c>
    </row>
    <row r="743" ht="14.25" customHeight="1">
      <c r="A743" s="157">
        <v>1886.0</v>
      </c>
      <c r="B743" s="169" t="s">
        <v>30</v>
      </c>
      <c r="C743" s="169" t="s">
        <v>987</v>
      </c>
      <c r="D743" s="336">
        <v>43663.0</v>
      </c>
      <c r="E743" s="157" t="s">
        <v>600</v>
      </c>
      <c r="F743" s="160">
        <v>5264.4</v>
      </c>
      <c r="G743" s="160">
        <v>842.3</v>
      </c>
      <c r="H743" s="160">
        <f t="shared" si="29"/>
        <v>6106.7</v>
      </c>
      <c r="I743" s="172"/>
      <c r="J743" s="169"/>
      <c r="K743" s="172"/>
      <c r="L743" s="172">
        <f>+'FACUS$'!$H743-'FACUS$'!$I743-'FACUS$'!$K743</f>
        <v>6106.7</v>
      </c>
      <c r="M743" s="162" t="s">
        <v>7415</v>
      </c>
      <c r="N743" s="337" t="s">
        <v>554</v>
      </c>
      <c r="O743" s="338">
        <v>43689.0</v>
      </c>
      <c r="P743" s="164">
        <f t="array" ref="P743">XLOOKUP('FACUS$'!$B743,'perfil de pagos'!$A$4:$A$46,'perfil de pagos'!$C$4:$C$46+'FACUS$'!$D743)</f>
        <v>43673</v>
      </c>
      <c r="Q743" s="165">
        <f t="shared" si="2"/>
        <v>0</v>
      </c>
      <c r="R743" s="167"/>
      <c r="S743" s="223" t="s">
        <v>910</v>
      </c>
      <c r="T743" s="167"/>
      <c r="U743" s="334" t="s">
        <v>7271</v>
      </c>
      <c r="V743" s="168">
        <f t="shared" si="3"/>
        <v>6106.7</v>
      </c>
      <c r="W743" s="168">
        <f t="shared" si="4"/>
        <v>0</v>
      </c>
      <c r="X743" s="168">
        <f t="shared" si="5"/>
        <v>0</v>
      </c>
      <c r="Y743" s="168">
        <f t="shared" si="6"/>
        <v>0</v>
      </c>
      <c r="Z743" s="168">
        <f t="shared" si="7"/>
        <v>0</v>
      </c>
      <c r="AA743" s="168">
        <f t="shared" si="8"/>
        <v>0</v>
      </c>
      <c r="AB743" s="168">
        <f t="shared" si="9"/>
        <v>0</v>
      </c>
    </row>
    <row r="744" ht="14.25" customHeight="1">
      <c r="A744" s="157">
        <v>1888.0</v>
      </c>
      <c r="B744" s="169" t="s">
        <v>41</v>
      </c>
      <c r="C744" s="169" t="s">
        <v>987</v>
      </c>
      <c r="D744" s="336">
        <v>43663.0</v>
      </c>
      <c r="E744" s="157" t="s">
        <v>600</v>
      </c>
      <c r="F744" s="160">
        <v>17148.78</v>
      </c>
      <c r="G744" s="160">
        <v>2743.8</v>
      </c>
      <c r="H744" s="160">
        <f t="shared" si="29"/>
        <v>19892.58</v>
      </c>
      <c r="I744" s="172"/>
      <c r="J744" s="169"/>
      <c r="K744" s="172"/>
      <c r="L744" s="172">
        <f>+'FACUS$'!$H744-'FACUS$'!$I744-'FACUS$'!$K744</f>
        <v>19892.58</v>
      </c>
      <c r="M744" s="162" t="s">
        <v>875</v>
      </c>
      <c r="N744" s="337" t="s">
        <v>554</v>
      </c>
      <c r="O744" s="338">
        <v>43774.0</v>
      </c>
      <c r="P744" s="164">
        <f t="array" ref="P744">XLOOKUP('FACUS$'!$B744,'perfil de pagos'!$A$4:$A$46,'perfil de pagos'!$C$4:$C$46+'FACUS$'!$D744)</f>
        <v>43673</v>
      </c>
      <c r="Q744" s="165">
        <f t="shared" si="2"/>
        <v>0</v>
      </c>
      <c r="R744" s="167"/>
      <c r="S744" s="167"/>
      <c r="T744" s="167"/>
      <c r="U744" s="334" t="s">
        <v>7271</v>
      </c>
      <c r="V744" s="168">
        <f t="shared" si="3"/>
        <v>19892.58</v>
      </c>
      <c r="W744" s="168">
        <f t="shared" si="4"/>
        <v>0</v>
      </c>
      <c r="X744" s="168">
        <f t="shared" si="5"/>
        <v>0</v>
      </c>
      <c r="Y744" s="168">
        <f t="shared" si="6"/>
        <v>0</v>
      </c>
      <c r="Z744" s="168">
        <f t="shared" si="7"/>
        <v>0</v>
      </c>
      <c r="AA744" s="168">
        <f t="shared" si="8"/>
        <v>0</v>
      </c>
      <c r="AB744" s="168">
        <f t="shared" si="9"/>
        <v>0</v>
      </c>
    </row>
    <row r="745" ht="14.25" customHeight="1">
      <c r="A745" s="157">
        <v>1890.0</v>
      </c>
      <c r="B745" s="169" t="s">
        <v>33</v>
      </c>
      <c r="C745" s="169" t="s">
        <v>987</v>
      </c>
      <c r="D745" s="336">
        <v>43663.0</v>
      </c>
      <c r="E745" s="157" t="s">
        <v>600</v>
      </c>
      <c r="F745" s="160">
        <v>1895.48</v>
      </c>
      <c r="G745" s="160">
        <v>303.28</v>
      </c>
      <c r="H745" s="160">
        <f t="shared" si="29"/>
        <v>2198.76</v>
      </c>
      <c r="I745" s="172"/>
      <c r="J745" s="169"/>
      <c r="K745" s="172"/>
      <c r="L745" s="172">
        <f>+'FACUS$'!$H745-'FACUS$'!$I745-'FACUS$'!$K745</f>
        <v>2198.76</v>
      </c>
      <c r="M745" s="162" t="s">
        <v>958</v>
      </c>
      <c r="N745" s="337" t="s">
        <v>554</v>
      </c>
      <c r="O745" s="338">
        <v>43717.0</v>
      </c>
      <c r="P745" s="164">
        <f t="array" ref="P745">XLOOKUP('FACUS$'!$B745,'perfil de pagos'!$A$4:$A$46,'perfil de pagos'!$C$4:$C$46+'FACUS$'!$D745)</f>
        <v>43673</v>
      </c>
      <c r="Q745" s="165">
        <f t="shared" si="2"/>
        <v>0</v>
      </c>
      <c r="R745" s="167"/>
      <c r="S745" s="167"/>
      <c r="T745" s="167"/>
      <c r="U745" s="334" t="s">
        <v>7271</v>
      </c>
      <c r="V745" s="168">
        <f t="shared" si="3"/>
        <v>2198.76</v>
      </c>
      <c r="W745" s="168">
        <f t="shared" si="4"/>
        <v>0</v>
      </c>
      <c r="X745" s="168">
        <f t="shared" si="5"/>
        <v>0</v>
      </c>
      <c r="Y745" s="168">
        <f t="shared" si="6"/>
        <v>0</v>
      </c>
      <c r="Z745" s="168">
        <f t="shared" si="7"/>
        <v>0</v>
      </c>
      <c r="AA745" s="168">
        <f t="shared" si="8"/>
        <v>0</v>
      </c>
      <c r="AB745" s="168">
        <f t="shared" si="9"/>
        <v>0</v>
      </c>
    </row>
    <row r="746" ht="15.75" customHeight="1">
      <c r="A746" s="157">
        <v>1892.0</v>
      </c>
      <c r="B746" s="169" t="s">
        <v>36</v>
      </c>
      <c r="C746" s="169" t="s">
        <v>987</v>
      </c>
      <c r="D746" s="336">
        <v>43663.0</v>
      </c>
      <c r="E746" s="157" t="s">
        <v>600</v>
      </c>
      <c r="F746" s="160">
        <v>528.46</v>
      </c>
      <c r="G746" s="160">
        <v>84.55</v>
      </c>
      <c r="H746" s="160">
        <f t="shared" si="29"/>
        <v>613.01</v>
      </c>
      <c r="I746" s="172"/>
      <c r="J746" s="169"/>
      <c r="K746" s="172"/>
      <c r="L746" s="172">
        <f>+'FACUS$'!$H746-'FACUS$'!$I746-'FACUS$'!$K746</f>
        <v>613.01</v>
      </c>
      <c r="M746" s="162" t="s">
        <v>278</v>
      </c>
      <c r="N746" s="337" t="s">
        <v>554</v>
      </c>
      <c r="O746" s="338">
        <v>43686.0</v>
      </c>
      <c r="P746" s="164">
        <f t="array" ref="P746">XLOOKUP('FACUS$'!$B746,'perfil de pagos'!$A$4:$A$46,'perfil de pagos'!$C$4:$C$46+'FACUS$'!$D746)</f>
        <v>43673</v>
      </c>
      <c r="Q746" s="165">
        <f t="shared" si="2"/>
        <v>0</v>
      </c>
      <c r="R746" s="167"/>
      <c r="S746" s="220" t="s">
        <v>910</v>
      </c>
      <c r="T746" s="167"/>
      <c r="U746" s="334" t="s">
        <v>7271</v>
      </c>
      <c r="V746" s="168">
        <f t="shared" si="3"/>
        <v>613.01</v>
      </c>
      <c r="W746" s="168">
        <f t="shared" si="4"/>
        <v>0</v>
      </c>
      <c r="X746" s="168">
        <f t="shared" si="5"/>
        <v>0</v>
      </c>
      <c r="Y746" s="168">
        <f t="shared" si="6"/>
        <v>0</v>
      </c>
      <c r="Z746" s="168">
        <f t="shared" si="7"/>
        <v>0</v>
      </c>
      <c r="AA746" s="168">
        <f t="shared" si="8"/>
        <v>0</v>
      </c>
      <c r="AB746" s="168">
        <f t="shared" si="9"/>
        <v>0</v>
      </c>
    </row>
    <row r="747" ht="14.25" customHeight="1">
      <c r="A747" s="157">
        <v>1895.0</v>
      </c>
      <c r="B747" s="169" t="s">
        <v>43</v>
      </c>
      <c r="C747" s="169" t="s">
        <v>987</v>
      </c>
      <c r="D747" s="336">
        <v>43663.0</v>
      </c>
      <c r="E747" s="157" t="s">
        <v>600</v>
      </c>
      <c r="F747" s="160">
        <v>12453.03</v>
      </c>
      <c r="G747" s="160">
        <v>1992.48</v>
      </c>
      <c r="H747" s="160">
        <f t="shared" si="29"/>
        <v>14445.51</v>
      </c>
      <c r="I747" s="172"/>
      <c r="J747" s="169"/>
      <c r="K747" s="172"/>
      <c r="L747" s="172">
        <f>+'FACUS$'!$H747-'FACUS$'!$I747-'FACUS$'!$K747</f>
        <v>14445.51</v>
      </c>
      <c r="M747" s="162" t="s">
        <v>43</v>
      </c>
      <c r="N747" s="337" t="s">
        <v>554</v>
      </c>
      <c r="O747" s="338">
        <v>43717.0</v>
      </c>
      <c r="P747" s="164">
        <f t="array" ref="P747">XLOOKUP('FACUS$'!$B747,'perfil de pagos'!$A$4:$A$46,'perfil de pagos'!$C$4:$C$46+'FACUS$'!$D747)</f>
        <v>43688</v>
      </c>
      <c r="Q747" s="165">
        <f t="shared" si="2"/>
        <v>0</v>
      </c>
      <c r="R747" s="167"/>
      <c r="S747" s="167" t="s">
        <v>910</v>
      </c>
      <c r="T747" s="167"/>
      <c r="U747" s="334" t="s">
        <v>7271</v>
      </c>
      <c r="V747" s="168">
        <f t="shared" si="3"/>
        <v>14445.51</v>
      </c>
      <c r="W747" s="168">
        <f t="shared" si="4"/>
        <v>0</v>
      </c>
      <c r="X747" s="168">
        <f t="shared" si="5"/>
        <v>0</v>
      </c>
      <c r="Y747" s="168">
        <f t="shared" si="6"/>
        <v>0</v>
      </c>
      <c r="Z747" s="168">
        <f t="shared" si="7"/>
        <v>0</v>
      </c>
      <c r="AA747" s="168">
        <f t="shared" si="8"/>
        <v>0</v>
      </c>
      <c r="AB747" s="168">
        <f t="shared" si="9"/>
        <v>0</v>
      </c>
    </row>
    <row r="748" ht="13.5" customHeight="1">
      <c r="A748" s="157">
        <v>1897.0</v>
      </c>
      <c r="B748" s="169" t="s">
        <v>18</v>
      </c>
      <c r="C748" s="169" t="s">
        <v>987</v>
      </c>
      <c r="D748" s="336">
        <v>43665.0</v>
      </c>
      <c r="E748" s="157" t="s">
        <v>600</v>
      </c>
      <c r="F748" s="160">
        <v>9249.94</v>
      </c>
      <c r="G748" s="222">
        <v>1479.99</v>
      </c>
      <c r="H748" s="160">
        <f t="shared" si="29"/>
        <v>10729.93</v>
      </c>
      <c r="I748" s="172"/>
      <c r="J748" s="169"/>
      <c r="K748" s="172"/>
      <c r="L748" s="172">
        <f>+'FACUS$'!$H748-'FACUS$'!$I748-'FACUS$'!$K748</f>
        <v>10729.93</v>
      </c>
      <c r="M748" s="162" t="s">
        <v>586</v>
      </c>
      <c r="N748" s="337" t="s">
        <v>554</v>
      </c>
      <c r="O748" s="338">
        <v>43717.0</v>
      </c>
      <c r="P748" s="164">
        <f t="array" ref="P748">XLOOKUP('FACUS$'!$B748,'perfil de pagos'!$A$4:$A$46,'perfil de pagos'!$C$4:$C$46+'FACUS$'!$D748)</f>
        <v>43675</v>
      </c>
      <c r="Q748" s="165">
        <f t="shared" si="2"/>
        <v>0</v>
      </c>
      <c r="R748" s="167"/>
      <c r="S748" s="167" t="s">
        <v>910</v>
      </c>
      <c r="T748" s="167"/>
      <c r="U748" s="334" t="s">
        <v>7271</v>
      </c>
      <c r="V748" s="168">
        <f t="shared" si="3"/>
        <v>10729.93</v>
      </c>
      <c r="W748" s="168">
        <f t="shared" si="4"/>
        <v>0</v>
      </c>
      <c r="X748" s="168">
        <f t="shared" si="5"/>
        <v>0</v>
      </c>
      <c r="Y748" s="168">
        <f t="shared" si="6"/>
        <v>0</v>
      </c>
      <c r="Z748" s="168">
        <f t="shared" si="7"/>
        <v>0</v>
      </c>
      <c r="AA748" s="168">
        <f t="shared" si="8"/>
        <v>0</v>
      </c>
      <c r="AB748" s="168">
        <f t="shared" si="9"/>
        <v>0</v>
      </c>
    </row>
    <row r="749" ht="15.75" customHeight="1">
      <c r="A749" s="157">
        <v>1899.0</v>
      </c>
      <c r="B749" s="169" t="s">
        <v>20</v>
      </c>
      <c r="C749" s="169" t="s">
        <v>987</v>
      </c>
      <c r="D749" s="336">
        <v>43665.0</v>
      </c>
      <c r="E749" s="157" t="s">
        <v>600</v>
      </c>
      <c r="F749" s="160">
        <v>13823.87</v>
      </c>
      <c r="G749" s="160">
        <v>2211.82</v>
      </c>
      <c r="H749" s="160">
        <f t="shared" si="29"/>
        <v>16035.69</v>
      </c>
      <c r="I749" s="172"/>
      <c r="J749" s="169"/>
      <c r="K749" s="172"/>
      <c r="L749" s="172">
        <f>+'FACUS$'!$H749-'FACUS$'!$I749-'FACUS$'!$K749</f>
        <v>16035.69</v>
      </c>
      <c r="M749" s="162" t="s">
        <v>732</v>
      </c>
      <c r="N749" s="337" t="s">
        <v>554</v>
      </c>
      <c r="O749" s="338">
        <v>43717.0</v>
      </c>
      <c r="P749" s="164">
        <f t="array" ref="P749">XLOOKUP('FACUS$'!$B749,'perfil de pagos'!$A$4:$A$46,'perfil de pagos'!$C$4:$C$46+'FACUS$'!$D749)</f>
        <v>43675</v>
      </c>
      <c r="Q749" s="165">
        <f t="shared" si="2"/>
        <v>0</v>
      </c>
      <c r="R749" s="167"/>
      <c r="S749" s="167" t="s">
        <v>910</v>
      </c>
      <c r="T749" s="167"/>
      <c r="U749" s="334" t="s">
        <v>7271</v>
      </c>
      <c r="V749" s="168">
        <f t="shared" si="3"/>
        <v>16035.69</v>
      </c>
      <c r="W749" s="168">
        <f t="shared" si="4"/>
        <v>0</v>
      </c>
      <c r="X749" s="168">
        <f t="shared" si="5"/>
        <v>0</v>
      </c>
      <c r="Y749" s="168">
        <f t="shared" si="6"/>
        <v>0</v>
      </c>
      <c r="Z749" s="168">
        <f t="shared" si="7"/>
        <v>0</v>
      </c>
      <c r="AA749" s="168">
        <f t="shared" si="8"/>
        <v>0</v>
      </c>
      <c r="AB749" s="168">
        <f t="shared" si="9"/>
        <v>0</v>
      </c>
    </row>
    <row r="750" ht="14.25" customHeight="1">
      <c r="A750" s="157">
        <v>1901.0</v>
      </c>
      <c r="B750" s="169" t="s">
        <v>37</v>
      </c>
      <c r="C750" s="169" t="s">
        <v>987</v>
      </c>
      <c r="D750" s="336">
        <v>43665.0</v>
      </c>
      <c r="E750" s="157" t="s">
        <v>600</v>
      </c>
      <c r="F750" s="160">
        <v>89244.07</v>
      </c>
      <c r="G750" s="160">
        <v>14279.05</v>
      </c>
      <c r="H750" s="160">
        <f t="shared" si="29"/>
        <v>103523.12</v>
      </c>
      <c r="I750" s="172"/>
      <c r="J750" s="169"/>
      <c r="K750" s="172"/>
      <c r="L750" s="172">
        <f>+'FACUS$'!$H750-'FACUS$'!$I750-'FACUS$'!$K750</f>
        <v>103523.12</v>
      </c>
      <c r="M750" s="162" t="s">
        <v>116</v>
      </c>
      <c r="N750" s="337" t="s">
        <v>554</v>
      </c>
      <c r="O750" s="338">
        <v>43682.0</v>
      </c>
      <c r="P750" s="164">
        <f t="array" ref="P750">XLOOKUP('FACUS$'!$B750,'perfil de pagos'!$A$4:$A$46,'perfil de pagos'!$C$4:$C$46+'FACUS$'!$D750)</f>
        <v>43675</v>
      </c>
      <c r="Q750" s="165">
        <f t="shared" si="2"/>
        <v>0</v>
      </c>
      <c r="R750" s="167" t="s">
        <v>7497</v>
      </c>
      <c r="S750" s="220" t="s">
        <v>910</v>
      </c>
      <c r="T750" s="167"/>
      <c r="U750" s="334" t="s">
        <v>7271</v>
      </c>
      <c r="V750" s="168">
        <f t="shared" si="3"/>
        <v>103523.12</v>
      </c>
      <c r="W750" s="168">
        <f t="shared" si="4"/>
        <v>0</v>
      </c>
      <c r="X750" s="168">
        <f t="shared" si="5"/>
        <v>0</v>
      </c>
      <c r="Y750" s="168">
        <f t="shared" si="6"/>
        <v>0</v>
      </c>
      <c r="Z750" s="168">
        <f t="shared" si="7"/>
        <v>0</v>
      </c>
      <c r="AA750" s="168">
        <f t="shared" si="8"/>
        <v>0</v>
      </c>
      <c r="AB750" s="168">
        <f t="shared" si="9"/>
        <v>0</v>
      </c>
    </row>
    <row r="751" ht="14.25" customHeight="1">
      <c r="A751" s="157">
        <v>1906.0</v>
      </c>
      <c r="B751" s="169" t="s">
        <v>29</v>
      </c>
      <c r="C751" s="169" t="s">
        <v>7498</v>
      </c>
      <c r="D751" s="336">
        <v>43671.0</v>
      </c>
      <c r="E751" s="157" t="s">
        <v>600</v>
      </c>
      <c r="F751" s="160">
        <v>2500.0</v>
      </c>
      <c r="G751" s="160">
        <v>400.0</v>
      </c>
      <c r="H751" s="160">
        <f t="shared" si="29"/>
        <v>2900</v>
      </c>
      <c r="I751" s="172"/>
      <c r="J751" s="169"/>
      <c r="K751" s="172"/>
      <c r="L751" s="172">
        <f>+'FACUS$'!$H751-'FACUS$'!$I751-'FACUS$'!$K751</f>
        <v>2900</v>
      </c>
      <c r="M751" s="162" t="s">
        <v>922</v>
      </c>
      <c r="N751" s="337" t="s">
        <v>554</v>
      </c>
      <c r="O751" s="338">
        <v>43697.0</v>
      </c>
      <c r="P751" s="164">
        <f t="array" ref="P751">XLOOKUP('FACUS$'!$B751,'perfil de pagos'!$A$4:$A$46,'perfil de pagos'!$C$4:$C$46+'FACUS$'!$D751)</f>
        <v>43681</v>
      </c>
      <c r="Q751" s="165">
        <f t="shared" si="2"/>
        <v>0</v>
      </c>
      <c r="R751" s="167"/>
      <c r="S751" s="167"/>
      <c r="T751" s="167"/>
      <c r="U751" s="334" t="s">
        <v>7271</v>
      </c>
      <c r="V751" s="168">
        <f t="shared" si="3"/>
        <v>2900</v>
      </c>
      <c r="W751" s="168">
        <f t="shared" si="4"/>
        <v>0</v>
      </c>
      <c r="X751" s="168">
        <f t="shared" si="5"/>
        <v>0</v>
      </c>
      <c r="Y751" s="168">
        <f t="shared" si="6"/>
        <v>0</v>
      </c>
      <c r="Z751" s="168">
        <f t="shared" si="7"/>
        <v>0</v>
      </c>
      <c r="AA751" s="168">
        <f t="shared" si="8"/>
        <v>0</v>
      </c>
      <c r="AB751" s="168">
        <f t="shared" si="9"/>
        <v>0</v>
      </c>
    </row>
    <row r="752" ht="14.25" customHeight="1">
      <c r="A752" s="157">
        <v>1907.0</v>
      </c>
      <c r="B752" s="169" t="s">
        <v>29</v>
      </c>
      <c r="C752" s="169" t="s">
        <v>7499</v>
      </c>
      <c r="D752" s="336">
        <v>43671.0</v>
      </c>
      <c r="E752" s="157" t="s">
        <v>600</v>
      </c>
      <c r="F752" s="160">
        <v>2500.0</v>
      </c>
      <c r="G752" s="160">
        <v>400.0</v>
      </c>
      <c r="H752" s="160">
        <f t="shared" si="29"/>
        <v>2900</v>
      </c>
      <c r="I752" s="172"/>
      <c r="J752" s="169"/>
      <c r="K752" s="172"/>
      <c r="L752" s="172">
        <f>+'FACUS$'!$H752-'FACUS$'!$I752-'FACUS$'!$K752</f>
        <v>2900</v>
      </c>
      <c r="M752" s="162" t="s">
        <v>7500</v>
      </c>
      <c r="N752" s="337" t="s">
        <v>554</v>
      </c>
      <c r="O752" s="338">
        <v>43697.0</v>
      </c>
      <c r="P752" s="164">
        <f t="array" ref="P752">XLOOKUP('FACUS$'!$B752,'perfil de pagos'!$A$4:$A$46,'perfil de pagos'!$C$4:$C$46+'FACUS$'!$D752)</f>
        <v>43681</v>
      </c>
      <c r="Q752" s="165">
        <f t="shared" si="2"/>
        <v>0</v>
      </c>
      <c r="R752" s="167"/>
      <c r="S752" s="167"/>
      <c r="T752" s="167"/>
      <c r="U752" s="334" t="s">
        <v>7271</v>
      </c>
      <c r="V752" s="168">
        <f t="shared" si="3"/>
        <v>2900</v>
      </c>
      <c r="W752" s="168">
        <f t="shared" si="4"/>
        <v>0</v>
      </c>
      <c r="X752" s="168">
        <f t="shared" si="5"/>
        <v>0</v>
      </c>
      <c r="Y752" s="168">
        <f t="shared" si="6"/>
        <v>0</v>
      </c>
      <c r="Z752" s="168">
        <f t="shared" si="7"/>
        <v>0</v>
      </c>
      <c r="AA752" s="168">
        <f t="shared" si="8"/>
        <v>0</v>
      </c>
      <c r="AB752" s="168">
        <f t="shared" si="9"/>
        <v>0</v>
      </c>
    </row>
    <row r="753" ht="14.25" customHeight="1">
      <c r="A753" s="157">
        <v>1909.0</v>
      </c>
      <c r="B753" s="169" t="s">
        <v>29</v>
      </c>
      <c r="C753" s="169" t="s">
        <v>7501</v>
      </c>
      <c r="D753" s="336">
        <v>43671.0</v>
      </c>
      <c r="E753" s="157" t="s">
        <v>600</v>
      </c>
      <c r="F753" s="160">
        <v>6500.0</v>
      </c>
      <c r="G753" s="160">
        <v>1040.0</v>
      </c>
      <c r="H753" s="160">
        <f t="shared" si="29"/>
        <v>7540</v>
      </c>
      <c r="I753" s="172"/>
      <c r="J753" s="169"/>
      <c r="K753" s="172"/>
      <c r="L753" s="172">
        <f>+'FACUS$'!$H753-'FACUS$'!$I753-'FACUS$'!$K753</f>
        <v>7540</v>
      </c>
      <c r="M753" s="162" t="s">
        <v>7500</v>
      </c>
      <c r="N753" s="337" t="s">
        <v>554</v>
      </c>
      <c r="O753" s="338">
        <v>43697.0</v>
      </c>
      <c r="P753" s="164">
        <f t="array" ref="P753">XLOOKUP('FACUS$'!$B753,'perfil de pagos'!$A$4:$A$46,'perfil de pagos'!$C$4:$C$46+'FACUS$'!$D753)</f>
        <v>43681</v>
      </c>
      <c r="Q753" s="165">
        <f t="shared" si="2"/>
        <v>0</v>
      </c>
      <c r="R753" s="167"/>
      <c r="S753" s="167"/>
      <c r="T753" s="167"/>
      <c r="U753" s="334" t="s">
        <v>7271</v>
      </c>
      <c r="V753" s="168">
        <f t="shared" si="3"/>
        <v>7540</v>
      </c>
      <c r="W753" s="168">
        <f t="shared" si="4"/>
        <v>0</v>
      </c>
      <c r="X753" s="168">
        <f t="shared" si="5"/>
        <v>0</v>
      </c>
      <c r="Y753" s="168">
        <f t="shared" si="6"/>
        <v>0</v>
      </c>
      <c r="Z753" s="168">
        <f t="shared" si="7"/>
        <v>0</v>
      </c>
      <c r="AA753" s="168">
        <f t="shared" si="8"/>
        <v>0</v>
      </c>
      <c r="AB753" s="168">
        <f t="shared" si="9"/>
        <v>0</v>
      </c>
    </row>
    <row r="754" ht="14.25" customHeight="1">
      <c r="A754" s="157">
        <v>1910.0</v>
      </c>
      <c r="B754" s="169" t="s">
        <v>29</v>
      </c>
      <c r="C754" s="169" t="s">
        <v>7502</v>
      </c>
      <c r="D754" s="336">
        <v>43671.0</v>
      </c>
      <c r="E754" s="157" t="s">
        <v>600</v>
      </c>
      <c r="F754" s="160">
        <v>15000.0</v>
      </c>
      <c r="G754" s="160">
        <v>2400.0</v>
      </c>
      <c r="H754" s="160">
        <f t="shared" si="29"/>
        <v>17400</v>
      </c>
      <c r="I754" s="172"/>
      <c r="J754" s="169"/>
      <c r="K754" s="172"/>
      <c r="L754" s="172">
        <f>+'FACUS$'!$H754-'FACUS$'!$I754-'FACUS$'!$K754</f>
        <v>17400</v>
      </c>
      <c r="M754" s="162" t="s">
        <v>922</v>
      </c>
      <c r="N754" s="337" t="s">
        <v>554</v>
      </c>
      <c r="O754" s="338">
        <v>43697.0</v>
      </c>
      <c r="P754" s="164">
        <f t="array" ref="P754">XLOOKUP('FACUS$'!$B754,'perfil de pagos'!$A$4:$A$46,'perfil de pagos'!$C$4:$C$46+'FACUS$'!$D754)</f>
        <v>43681</v>
      </c>
      <c r="Q754" s="165">
        <f t="shared" si="2"/>
        <v>0</v>
      </c>
      <c r="R754" s="167"/>
      <c r="S754" s="167"/>
      <c r="T754" s="167"/>
      <c r="U754" s="334" t="s">
        <v>7271</v>
      </c>
      <c r="V754" s="168">
        <f t="shared" si="3"/>
        <v>17400</v>
      </c>
      <c r="W754" s="168">
        <f t="shared" si="4"/>
        <v>0</v>
      </c>
      <c r="X754" s="168">
        <f t="shared" si="5"/>
        <v>0</v>
      </c>
      <c r="Y754" s="168">
        <f t="shared" si="6"/>
        <v>0</v>
      </c>
      <c r="Z754" s="168">
        <f t="shared" si="7"/>
        <v>0</v>
      </c>
      <c r="AA754" s="168">
        <f t="shared" si="8"/>
        <v>0</v>
      </c>
      <c r="AB754" s="168">
        <f t="shared" si="9"/>
        <v>0</v>
      </c>
    </row>
    <row r="755" ht="14.25" customHeight="1">
      <c r="A755" s="157">
        <v>1916.0</v>
      </c>
      <c r="B755" s="169" t="s">
        <v>29</v>
      </c>
      <c r="C755" s="169" t="s">
        <v>991</v>
      </c>
      <c r="D755" s="336">
        <v>43682.0</v>
      </c>
      <c r="E755" s="157" t="s">
        <v>600</v>
      </c>
      <c r="F755" s="160">
        <v>30492.51</v>
      </c>
      <c r="G755" s="160">
        <v>4878.8</v>
      </c>
      <c r="H755" s="160">
        <f t="shared" si="29"/>
        <v>35371.31</v>
      </c>
      <c r="I755" s="172"/>
      <c r="J755" s="169"/>
      <c r="K755" s="172"/>
      <c r="L755" s="172">
        <f>+'FACUS$'!$H755-'FACUS$'!$I755-'FACUS$'!$K755</f>
        <v>35371.31</v>
      </c>
      <c r="M755" s="162" t="s">
        <v>825</v>
      </c>
      <c r="N755" s="337" t="s">
        <v>554</v>
      </c>
      <c r="O755" s="338">
        <v>43697.0</v>
      </c>
      <c r="P755" s="164">
        <f t="array" ref="P755">XLOOKUP('FACUS$'!$B755,'perfil de pagos'!$A$4:$A$46,'perfil de pagos'!$C$4:$C$46+'FACUS$'!$D755)</f>
        <v>43692</v>
      </c>
      <c r="Q755" s="165">
        <f t="shared" si="2"/>
        <v>0</v>
      </c>
      <c r="R755" s="167"/>
      <c r="S755" s="167"/>
      <c r="T755" s="167"/>
      <c r="U755" s="334" t="s">
        <v>7271</v>
      </c>
      <c r="V755" s="168">
        <f t="shared" si="3"/>
        <v>35371.31</v>
      </c>
      <c r="W755" s="168">
        <f t="shared" si="4"/>
        <v>0</v>
      </c>
      <c r="X755" s="168">
        <f t="shared" si="5"/>
        <v>0</v>
      </c>
      <c r="Y755" s="168">
        <f t="shared" si="6"/>
        <v>0</v>
      </c>
      <c r="Z755" s="168">
        <f t="shared" si="7"/>
        <v>0</v>
      </c>
      <c r="AA755" s="168">
        <f t="shared" si="8"/>
        <v>0</v>
      </c>
      <c r="AB755" s="168">
        <f t="shared" si="9"/>
        <v>0</v>
      </c>
    </row>
    <row r="756" ht="14.25" customHeight="1">
      <c r="A756" s="157">
        <v>1917.0</v>
      </c>
      <c r="B756" s="169" t="s">
        <v>30</v>
      </c>
      <c r="C756" s="169" t="s">
        <v>991</v>
      </c>
      <c r="D756" s="336">
        <v>43682.0</v>
      </c>
      <c r="E756" s="157" t="s">
        <v>600</v>
      </c>
      <c r="F756" s="160">
        <v>5856.89</v>
      </c>
      <c r="G756" s="160">
        <v>937.1</v>
      </c>
      <c r="H756" s="160">
        <f t="shared" si="29"/>
        <v>6793.99</v>
      </c>
      <c r="I756" s="172"/>
      <c r="J756" s="169"/>
      <c r="K756" s="172"/>
      <c r="L756" s="172">
        <f>+'FACUS$'!$H756-'FACUS$'!$I756-'FACUS$'!$K756</f>
        <v>6793.99</v>
      </c>
      <c r="M756" s="162" t="s">
        <v>7415</v>
      </c>
      <c r="N756" s="337" t="s">
        <v>554</v>
      </c>
      <c r="O756" s="338">
        <v>43727.0</v>
      </c>
      <c r="P756" s="164">
        <f t="array" ref="P756">XLOOKUP('FACUS$'!$B756,'perfil de pagos'!$A$4:$A$46,'perfil de pagos'!$C$4:$C$46+'FACUS$'!$D756)</f>
        <v>43692</v>
      </c>
      <c r="Q756" s="165">
        <f t="shared" si="2"/>
        <v>0</v>
      </c>
      <c r="R756" s="167" t="s">
        <v>7503</v>
      </c>
      <c r="S756" s="223" t="s">
        <v>910</v>
      </c>
      <c r="T756" s="167"/>
      <c r="U756" s="334" t="s">
        <v>7271</v>
      </c>
      <c r="V756" s="168">
        <f t="shared" si="3"/>
        <v>6793.99</v>
      </c>
      <c r="W756" s="168">
        <f t="shared" si="4"/>
        <v>0</v>
      </c>
      <c r="X756" s="168">
        <f t="shared" si="5"/>
        <v>0</v>
      </c>
      <c r="Y756" s="168">
        <f t="shared" si="6"/>
        <v>0</v>
      </c>
      <c r="Z756" s="168">
        <f t="shared" si="7"/>
        <v>0</v>
      </c>
      <c r="AA756" s="168">
        <f t="shared" si="8"/>
        <v>0</v>
      </c>
      <c r="AB756" s="168">
        <f t="shared" si="9"/>
        <v>0</v>
      </c>
    </row>
    <row r="757" ht="14.25" customHeight="1">
      <c r="A757" s="157">
        <v>1918.0</v>
      </c>
      <c r="B757" s="169" t="s">
        <v>127</v>
      </c>
      <c r="C757" s="169"/>
      <c r="D757" s="336"/>
      <c r="E757" s="157"/>
      <c r="F757" s="160"/>
      <c r="G757" s="160"/>
      <c r="H757" s="160">
        <f t="shared" si="29"/>
        <v>0</v>
      </c>
      <c r="I757" s="172"/>
      <c r="J757" s="169"/>
      <c r="K757" s="172"/>
      <c r="L757" s="172">
        <f>+'FACUS$'!$H757-'FACUS$'!$I757-'FACUS$'!$K757</f>
        <v>0</v>
      </c>
      <c r="M757" s="162"/>
      <c r="N757" s="337" t="s">
        <v>127</v>
      </c>
      <c r="O757" s="338"/>
      <c r="P757" s="164" t="str">
        <f t="array" ref="P757">XLOOKUP('FACUS$'!$B757,'perfil de pagos'!$A$4:$A$46,'perfil de pagos'!$C$4:$C$46+'FACUS$'!$D757)</f>
        <v>#N/A</v>
      </c>
      <c r="Q757" s="165" t="str">
        <f t="shared" si="2"/>
        <v>N/A</v>
      </c>
      <c r="R757" s="167"/>
      <c r="S757" s="167"/>
      <c r="T757" s="167"/>
      <c r="U757" s="334" t="s">
        <v>7271</v>
      </c>
      <c r="V757" s="168">
        <f t="shared" si="3"/>
        <v>0</v>
      </c>
      <c r="W757" s="168">
        <f t="shared" si="4"/>
        <v>0</v>
      </c>
      <c r="X757" s="168">
        <f t="shared" si="5"/>
        <v>0</v>
      </c>
      <c r="Y757" s="168">
        <f t="shared" si="6"/>
        <v>0</v>
      </c>
      <c r="Z757" s="168">
        <f t="shared" si="7"/>
        <v>0</v>
      </c>
      <c r="AA757" s="168">
        <f t="shared" si="8"/>
        <v>0</v>
      </c>
      <c r="AB757" s="168">
        <f t="shared" si="9"/>
        <v>0</v>
      </c>
    </row>
    <row r="758" ht="14.25" customHeight="1">
      <c r="A758" s="157">
        <v>1919.0</v>
      </c>
      <c r="B758" s="169" t="s">
        <v>36</v>
      </c>
      <c r="C758" s="169" t="s">
        <v>7504</v>
      </c>
      <c r="D758" s="336">
        <v>43682.0</v>
      </c>
      <c r="E758" s="157" t="s">
        <v>600</v>
      </c>
      <c r="F758" s="160">
        <v>1676.07</v>
      </c>
      <c r="G758" s="160">
        <v>268.17</v>
      </c>
      <c r="H758" s="160">
        <f t="shared" si="29"/>
        <v>1944.24</v>
      </c>
      <c r="I758" s="172"/>
      <c r="J758" s="169"/>
      <c r="K758" s="172"/>
      <c r="L758" s="172">
        <f>+'FACUS$'!$H758-'FACUS$'!$I758-'FACUS$'!$K758</f>
        <v>1944.24</v>
      </c>
      <c r="M758" s="162" t="s">
        <v>278</v>
      </c>
      <c r="N758" s="337" t="s">
        <v>554</v>
      </c>
      <c r="O758" s="338">
        <v>43686.0</v>
      </c>
      <c r="P758" s="164">
        <f t="array" ref="P758">XLOOKUP('FACUS$'!$B758,'perfil de pagos'!$A$4:$A$46,'perfil de pagos'!$C$4:$C$46+'FACUS$'!$D758)</f>
        <v>43692</v>
      </c>
      <c r="Q758" s="165">
        <f t="shared" si="2"/>
        <v>0</v>
      </c>
      <c r="R758" s="167"/>
      <c r="S758" s="220" t="s">
        <v>910</v>
      </c>
      <c r="T758" s="167"/>
      <c r="U758" s="334" t="s">
        <v>7271</v>
      </c>
      <c r="V758" s="168">
        <f t="shared" si="3"/>
        <v>1944.24</v>
      </c>
      <c r="W758" s="168">
        <f t="shared" si="4"/>
        <v>0</v>
      </c>
      <c r="X758" s="168">
        <f t="shared" si="5"/>
        <v>0</v>
      </c>
      <c r="Y758" s="168">
        <f t="shared" si="6"/>
        <v>0</v>
      </c>
      <c r="Z758" s="168">
        <f t="shared" si="7"/>
        <v>0</v>
      </c>
      <c r="AA758" s="168">
        <f t="shared" si="8"/>
        <v>0</v>
      </c>
      <c r="AB758" s="168">
        <f t="shared" si="9"/>
        <v>0</v>
      </c>
    </row>
    <row r="759" ht="14.25" customHeight="1">
      <c r="A759" s="157">
        <v>1920.0</v>
      </c>
      <c r="B759" s="169" t="s">
        <v>43</v>
      </c>
      <c r="C759" s="169" t="s">
        <v>991</v>
      </c>
      <c r="D759" s="336">
        <v>43683.0</v>
      </c>
      <c r="E759" s="157" t="s">
        <v>600</v>
      </c>
      <c r="F759" s="160">
        <v>17982.92</v>
      </c>
      <c r="G759" s="160">
        <v>2877.27</v>
      </c>
      <c r="H759" s="160">
        <f t="shared" si="29"/>
        <v>20860.19</v>
      </c>
      <c r="I759" s="172"/>
      <c r="J759" s="169"/>
      <c r="K759" s="172"/>
      <c r="L759" s="172">
        <f>+'FACUS$'!$H759-'FACUS$'!$I759-'FACUS$'!$K759</f>
        <v>20860.19</v>
      </c>
      <c r="M759" s="162" t="s">
        <v>43</v>
      </c>
      <c r="N759" s="337" t="s">
        <v>554</v>
      </c>
      <c r="O759" s="338">
        <v>43717.0</v>
      </c>
      <c r="P759" s="164">
        <f t="array" ref="P759">XLOOKUP('FACUS$'!$B759,'perfil de pagos'!$A$4:$A$46,'perfil de pagos'!$C$4:$C$46+'FACUS$'!$D759)</f>
        <v>43708</v>
      </c>
      <c r="Q759" s="165">
        <f t="shared" si="2"/>
        <v>0</v>
      </c>
      <c r="R759" s="167"/>
      <c r="S759" s="167" t="s">
        <v>910</v>
      </c>
      <c r="T759" s="167"/>
      <c r="U759" s="334" t="s">
        <v>7271</v>
      </c>
      <c r="V759" s="168">
        <f t="shared" si="3"/>
        <v>20860.19</v>
      </c>
      <c r="W759" s="168">
        <f t="shared" si="4"/>
        <v>0</v>
      </c>
      <c r="X759" s="168">
        <f t="shared" si="5"/>
        <v>0</v>
      </c>
      <c r="Y759" s="168">
        <f t="shared" si="6"/>
        <v>0</v>
      </c>
      <c r="Z759" s="168">
        <f t="shared" si="7"/>
        <v>0</v>
      </c>
      <c r="AA759" s="168">
        <f t="shared" si="8"/>
        <v>0</v>
      </c>
      <c r="AB759" s="168">
        <f t="shared" si="9"/>
        <v>0</v>
      </c>
    </row>
    <row r="760" ht="14.25" customHeight="1">
      <c r="A760" s="157">
        <v>1924.0</v>
      </c>
      <c r="B760" s="169" t="s">
        <v>18</v>
      </c>
      <c r="C760" s="169" t="s">
        <v>7505</v>
      </c>
      <c r="D760" s="336">
        <v>43683.0</v>
      </c>
      <c r="E760" s="157" t="s">
        <v>600</v>
      </c>
      <c r="F760" s="160">
        <v>11308.51</v>
      </c>
      <c r="G760" s="160">
        <v>1809.36</v>
      </c>
      <c r="H760" s="160">
        <f t="shared" si="29"/>
        <v>13117.87</v>
      </c>
      <c r="I760" s="172"/>
      <c r="J760" s="169"/>
      <c r="K760" s="172"/>
      <c r="L760" s="172">
        <f>+'FACUS$'!$H760-'FACUS$'!$I760-'FACUS$'!$K760</f>
        <v>13117.87</v>
      </c>
      <c r="M760" s="162" t="s">
        <v>586</v>
      </c>
      <c r="N760" s="337" t="s">
        <v>554</v>
      </c>
      <c r="O760" s="338">
        <v>43759.0</v>
      </c>
      <c r="P760" s="164">
        <f t="array" ref="P760">XLOOKUP('FACUS$'!$B760,'perfil de pagos'!$A$4:$A$46,'perfil de pagos'!$C$4:$C$46+'FACUS$'!$D760)</f>
        <v>43693</v>
      </c>
      <c r="Q760" s="165">
        <f t="shared" si="2"/>
        <v>0</v>
      </c>
      <c r="R760" s="167"/>
      <c r="S760" s="167" t="s">
        <v>910</v>
      </c>
      <c r="T760" s="167"/>
      <c r="U760" s="334" t="s">
        <v>7271</v>
      </c>
      <c r="V760" s="168">
        <f t="shared" si="3"/>
        <v>13117.87</v>
      </c>
      <c r="W760" s="168">
        <f t="shared" si="4"/>
        <v>0</v>
      </c>
      <c r="X760" s="168">
        <f t="shared" si="5"/>
        <v>0</v>
      </c>
      <c r="Y760" s="168">
        <f t="shared" si="6"/>
        <v>0</v>
      </c>
      <c r="Z760" s="168">
        <f t="shared" si="7"/>
        <v>0</v>
      </c>
      <c r="AA760" s="168">
        <f t="shared" si="8"/>
        <v>0</v>
      </c>
      <c r="AB760" s="168">
        <f t="shared" si="9"/>
        <v>0</v>
      </c>
    </row>
    <row r="761" ht="14.25" customHeight="1">
      <c r="A761" s="157">
        <v>1926.0</v>
      </c>
      <c r="B761" s="169" t="s">
        <v>20</v>
      </c>
      <c r="C761" s="169" t="s">
        <v>7506</v>
      </c>
      <c r="D761" s="336">
        <v>43683.0</v>
      </c>
      <c r="E761" s="157" t="s">
        <v>600</v>
      </c>
      <c r="F761" s="160">
        <v>15120.18</v>
      </c>
      <c r="G761" s="160">
        <v>2419.23</v>
      </c>
      <c r="H761" s="160">
        <f t="shared" si="29"/>
        <v>17539.41</v>
      </c>
      <c r="I761" s="172"/>
      <c r="J761" s="169"/>
      <c r="K761" s="172"/>
      <c r="L761" s="172">
        <f>+'FACUS$'!$H761-'FACUS$'!$I761-'FACUS$'!$K761</f>
        <v>17539.41</v>
      </c>
      <c r="M761" s="162" t="s">
        <v>732</v>
      </c>
      <c r="N761" s="337" t="s">
        <v>554</v>
      </c>
      <c r="O761" s="338">
        <v>43759.0</v>
      </c>
      <c r="P761" s="164">
        <f t="array" ref="P761">XLOOKUP('FACUS$'!$B761,'perfil de pagos'!$A$4:$A$46,'perfil de pagos'!$C$4:$C$46+'FACUS$'!$D761)</f>
        <v>43693</v>
      </c>
      <c r="Q761" s="165">
        <f t="shared" si="2"/>
        <v>0</v>
      </c>
      <c r="R761" s="167"/>
      <c r="S761" s="167" t="s">
        <v>910</v>
      </c>
      <c r="T761" s="167"/>
      <c r="U761" s="334" t="s">
        <v>7271</v>
      </c>
      <c r="V761" s="168">
        <f t="shared" si="3"/>
        <v>17539.41</v>
      </c>
      <c r="W761" s="168">
        <f t="shared" si="4"/>
        <v>0</v>
      </c>
      <c r="X761" s="168">
        <f t="shared" si="5"/>
        <v>0</v>
      </c>
      <c r="Y761" s="168">
        <f t="shared" si="6"/>
        <v>0</v>
      </c>
      <c r="Z761" s="168">
        <f t="shared" si="7"/>
        <v>0</v>
      </c>
      <c r="AA761" s="168">
        <f t="shared" si="8"/>
        <v>0</v>
      </c>
      <c r="AB761" s="168">
        <f t="shared" si="9"/>
        <v>0</v>
      </c>
    </row>
    <row r="762" ht="14.25" customHeight="1">
      <c r="A762" s="157">
        <v>1928.0</v>
      </c>
      <c r="B762" s="169" t="s">
        <v>37</v>
      </c>
      <c r="C762" s="169" t="s">
        <v>991</v>
      </c>
      <c r="D762" s="336">
        <v>43683.0</v>
      </c>
      <c r="E762" s="157" t="s">
        <v>600</v>
      </c>
      <c r="F762" s="160">
        <v>93658.07</v>
      </c>
      <c r="G762" s="160">
        <v>14985.29</v>
      </c>
      <c r="H762" s="160">
        <f t="shared" si="29"/>
        <v>108643.36</v>
      </c>
      <c r="I762" s="172"/>
      <c r="J762" s="169"/>
      <c r="K762" s="172"/>
      <c r="L762" s="172">
        <f>+'FACUS$'!$H762-'FACUS$'!$I762-'FACUS$'!$K762</f>
        <v>108643.36</v>
      </c>
      <c r="M762" s="162" t="s">
        <v>116</v>
      </c>
      <c r="N762" s="337" t="s">
        <v>554</v>
      </c>
      <c r="O762" s="338">
        <v>43706.0</v>
      </c>
      <c r="P762" s="164">
        <f t="array" ref="P762">XLOOKUP('FACUS$'!$B762,'perfil de pagos'!$A$4:$A$46,'perfil de pagos'!$C$4:$C$46+'FACUS$'!$D762)</f>
        <v>43693</v>
      </c>
      <c r="Q762" s="165">
        <f t="shared" si="2"/>
        <v>0</v>
      </c>
      <c r="R762" s="167" t="s">
        <v>7507</v>
      </c>
      <c r="S762" s="220" t="s">
        <v>910</v>
      </c>
      <c r="T762" s="167"/>
      <c r="U762" s="334" t="s">
        <v>7271</v>
      </c>
      <c r="V762" s="168">
        <f t="shared" si="3"/>
        <v>108643.36</v>
      </c>
      <c r="W762" s="168">
        <f t="shared" si="4"/>
        <v>0</v>
      </c>
      <c r="X762" s="168">
        <f t="shared" si="5"/>
        <v>0</v>
      </c>
      <c r="Y762" s="168">
        <f t="shared" si="6"/>
        <v>0</v>
      </c>
      <c r="Z762" s="168">
        <f t="shared" si="7"/>
        <v>0</v>
      </c>
      <c r="AA762" s="168">
        <f t="shared" si="8"/>
        <v>0</v>
      </c>
      <c r="AB762" s="168">
        <f t="shared" si="9"/>
        <v>0</v>
      </c>
    </row>
    <row r="763" ht="14.25" customHeight="1">
      <c r="A763" s="157">
        <v>1938.0</v>
      </c>
      <c r="B763" s="169" t="s">
        <v>29</v>
      </c>
      <c r="C763" s="169" t="s">
        <v>7508</v>
      </c>
      <c r="D763" s="336">
        <v>43685.0</v>
      </c>
      <c r="E763" s="157" t="s">
        <v>600</v>
      </c>
      <c r="F763" s="160">
        <v>6500.0</v>
      </c>
      <c r="G763" s="160">
        <v>1040.0</v>
      </c>
      <c r="H763" s="160">
        <f t="shared" si="29"/>
        <v>7540</v>
      </c>
      <c r="I763" s="172"/>
      <c r="J763" s="169"/>
      <c r="K763" s="172"/>
      <c r="L763" s="172">
        <f>+'FACUS$'!$H763-'FACUS$'!$I763-'FACUS$'!$K763</f>
        <v>7540</v>
      </c>
      <c r="M763" s="162" t="s">
        <v>7509</v>
      </c>
      <c r="N763" s="337" t="s">
        <v>554</v>
      </c>
      <c r="O763" s="338">
        <v>43697.0</v>
      </c>
      <c r="P763" s="164">
        <f t="array" ref="P763">XLOOKUP('FACUS$'!$B763,'perfil de pagos'!$A$4:$A$46,'perfil de pagos'!$C$4:$C$46+'FACUS$'!$D763)</f>
        <v>43695</v>
      </c>
      <c r="Q763" s="165">
        <f t="shared" si="2"/>
        <v>0</v>
      </c>
      <c r="R763" s="167"/>
      <c r="S763" s="167"/>
      <c r="T763" s="167"/>
      <c r="U763" s="334" t="s">
        <v>7271</v>
      </c>
      <c r="V763" s="168">
        <f t="shared" si="3"/>
        <v>7540</v>
      </c>
      <c r="W763" s="168">
        <f t="shared" si="4"/>
        <v>0</v>
      </c>
      <c r="X763" s="168">
        <f t="shared" si="5"/>
        <v>0</v>
      </c>
      <c r="Y763" s="168">
        <f t="shared" si="6"/>
        <v>0</v>
      </c>
      <c r="Z763" s="168">
        <f t="shared" si="7"/>
        <v>0</v>
      </c>
      <c r="AA763" s="168">
        <f t="shared" si="8"/>
        <v>0</v>
      </c>
      <c r="AB763" s="168">
        <f t="shared" si="9"/>
        <v>0</v>
      </c>
    </row>
    <row r="764" ht="14.25" customHeight="1">
      <c r="A764" s="157">
        <v>1939.0</v>
      </c>
      <c r="B764" s="169" t="s">
        <v>29</v>
      </c>
      <c r="C764" s="169" t="s">
        <v>7510</v>
      </c>
      <c r="D764" s="336">
        <v>43685.0</v>
      </c>
      <c r="E764" s="157" t="s">
        <v>600</v>
      </c>
      <c r="F764" s="160">
        <v>15000.0</v>
      </c>
      <c r="G764" s="160">
        <v>2400.0</v>
      </c>
      <c r="H764" s="160">
        <f t="shared" si="29"/>
        <v>17400</v>
      </c>
      <c r="I764" s="172"/>
      <c r="J764" s="169"/>
      <c r="K764" s="172"/>
      <c r="L764" s="172">
        <f>+'FACUS$'!$H764-'FACUS$'!$I764-'FACUS$'!$K764</f>
        <v>17400</v>
      </c>
      <c r="M764" s="162" t="s">
        <v>712</v>
      </c>
      <c r="N764" s="337" t="s">
        <v>554</v>
      </c>
      <c r="O764" s="338">
        <v>43697.0</v>
      </c>
      <c r="P764" s="164">
        <f t="array" ref="P764">XLOOKUP('FACUS$'!$B764,'perfil de pagos'!$A$4:$A$46,'perfil de pagos'!$C$4:$C$46+'FACUS$'!$D764)</f>
        <v>43695</v>
      </c>
      <c r="Q764" s="165">
        <f t="shared" si="2"/>
        <v>0</v>
      </c>
      <c r="R764" s="167"/>
      <c r="S764" s="167"/>
      <c r="T764" s="167"/>
      <c r="U764" s="334" t="s">
        <v>7271</v>
      </c>
      <c r="V764" s="168">
        <f t="shared" si="3"/>
        <v>17400</v>
      </c>
      <c r="W764" s="168">
        <f t="shared" si="4"/>
        <v>0</v>
      </c>
      <c r="X764" s="168">
        <f t="shared" si="5"/>
        <v>0</v>
      </c>
      <c r="Y764" s="168">
        <f t="shared" si="6"/>
        <v>0</v>
      </c>
      <c r="Z764" s="168">
        <f t="shared" si="7"/>
        <v>0</v>
      </c>
      <c r="AA764" s="168">
        <f t="shared" si="8"/>
        <v>0</v>
      </c>
      <c r="AB764" s="168">
        <f t="shared" si="9"/>
        <v>0</v>
      </c>
    </row>
    <row r="765" ht="14.25" customHeight="1">
      <c r="A765" s="157">
        <v>1940.0</v>
      </c>
      <c r="B765" s="169" t="s">
        <v>29</v>
      </c>
      <c r="C765" s="169" t="s">
        <v>7511</v>
      </c>
      <c r="D765" s="336">
        <v>43685.0</v>
      </c>
      <c r="E765" s="157" t="s">
        <v>600</v>
      </c>
      <c r="F765" s="160">
        <v>2500.0</v>
      </c>
      <c r="G765" s="160">
        <v>400.0</v>
      </c>
      <c r="H765" s="160">
        <f t="shared" si="29"/>
        <v>2900</v>
      </c>
      <c r="I765" s="172"/>
      <c r="J765" s="169"/>
      <c r="K765" s="172"/>
      <c r="L765" s="172">
        <f>+'FACUS$'!$H765-'FACUS$'!$I765-'FACUS$'!$K765</f>
        <v>2900</v>
      </c>
      <c r="M765" s="162" t="s">
        <v>7509</v>
      </c>
      <c r="N765" s="337" t="s">
        <v>554</v>
      </c>
      <c r="O765" s="338">
        <v>43697.0</v>
      </c>
      <c r="P765" s="164">
        <f t="array" ref="P765">XLOOKUP('FACUS$'!$B765,'perfil de pagos'!$A$4:$A$46,'perfil de pagos'!$C$4:$C$46+'FACUS$'!$D765)</f>
        <v>43695</v>
      </c>
      <c r="Q765" s="165">
        <f t="shared" si="2"/>
        <v>0</v>
      </c>
      <c r="R765" s="167"/>
      <c r="S765" s="167"/>
      <c r="T765" s="167"/>
      <c r="U765" s="334" t="s">
        <v>7271</v>
      </c>
      <c r="V765" s="168">
        <f t="shared" si="3"/>
        <v>2900</v>
      </c>
      <c r="W765" s="168">
        <f t="shared" si="4"/>
        <v>0</v>
      </c>
      <c r="X765" s="168">
        <f t="shared" si="5"/>
        <v>0</v>
      </c>
      <c r="Y765" s="168">
        <f t="shared" si="6"/>
        <v>0</v>
      </c>
      <c r="Z765" s="168">
        <f t="shared" si="7"/>
        <v>0</v>
      </c>
      <c r="AA765" s="168">
        <f t="shared" si="8"/>
        <v>0</v>
      </c>
      <c r="AB765" s="168">
        <f t="shared" si="9"/>
        <v>0</v>
      </c>
    </row>
    <row r="766" ht="14.25" customHeight="1">
      <c r="A766" s="157">
        <v>1941.0</v>
      </c>
      <c r="B766" s="169" t="s">
        <v>29</v>
      </c>
      <c r="C766" s="169" t="s">
        <v>7512</v>
      </c>
      <c r="D766" s="336">
        <v>43685.0</v>
      </c>
      <c r="E766" s="157" t="s">
        <v>600</v>
      </c>
      <c r="F766" s="160">
        <v>2500.0</v>
      </c>
      <c r="G766" s="160">
        <v>400.0</v>
      </c>
      <c r="H766" s="160">
        <f t="shared" si="29"/>
        <v>2900</v>
      </c>
      <c r="I766" s="172"/>
      <c r="J766" s="169"/>
      <c r="K766" s="172"/>
      <c r="L766" s="172">
        <f>+'FACUS$'!$H766-'FACUS$'!$I766-'FACUS$'!$K766</f>
        <v>2900</v>
      </c>
      <c r="M766" s="162" t="s">
        <v>712</v>
      </c>
      <c r="N766" s="337" t="s">
        <v>554</v>
      </c>
      <c r="O766" s="338">
        <v>43697.0</v>
      </c>
      <c r="P766" s="164">
        <f t="array" ref="P766">XLOOKUP('FACUS$'!$B766,'perfil de pagos'!$A$4:$A$46,'perfil de pagos'!$C$4:$C$46+'FACUS$'!$D766)</f>
        <v>43695</v>
      </c>
      <c r="Q766" s="165">
        <f t="shared" si="2"/>
        <v>0</v>
      </c>
      <c r="R766" s="167"/>
      <c r="S766" s="167"/>
      <c r="T766" s="167"/>
      <c r="U766" s="334" t="s">
        <v>7271</v>
      </c>
      <c r="V766" s="168">
        <f t="shared" si="3"/>
        <v>2900</v>
      </c>
      <c r="W766" s="168">
        <f t="shared" si="4"/>
        <v>0</v>
      </c>
      <c r="X766" s="168">
        <f t="shared" si="5"/>
        <v>0</v>
      </c>
      <c r="Y766" s="168">
        <f t="shared" si="6"/>
        <v>0</v>
      </c>
      <c r="Z766" s="168">
        <f t="shared" si="7"/>
        <v>0</v>
      </c>
      <c r="AA766" s="168">
        <f t="shared" si="8"/>
        <v>0</v>
      </c>
      <c r="AB766" s="168">
        <f t="shared" si="9"/>
        <v>0</v>
      </c>
    </row>
    <row r="767" ht="14.25" customHeight="1">
      <c r="A767" s="157">
        <v>1949.0</v>
      </c>
      <c r="B767" s="169" t="s">
        <v>41</v>
      </c>
      <c r="C767" s="169" t="s">
        <v>991</v>
      </c>
      <c r="D767" s="336">
        <v>43690.0</v>
      </c>
      <c r="E767" s="157" t="s">
        <v>600</v>
      </c>
      <c r="F767" s="222">
        <v>25875.51</v>
      </c>
      <c r="G767" s="222">
        <v>4140.08</v>
      </c>
      <c r="H767" s="160">
        <f t="shared" si="29"/>
        <v>30015.59</v>
      </c>
      <c r="I767" s="172"/>
      <c r="J767" s="169"/>
      <c r="K767" s="172"/>
      <c r="L767" s="172">
        <f>+'FACUS$'!$H767-'FACUS$'!$I767-'FACUS$'!$K767</f>
        <v>30015.59</v>
      </c>
      <c r="M767" s="162" t="s">
        <v>875</v>
      </c>
      <c r="N767" s="337" t="s">
        <v>554</v>
      </c>
      <c r="O767" s="338">
        <v>43756.0</v>
      </c>
      <c r="P767" s="164">
        <f t="array" ref="P767">XLOOKUP('FACUS$'!$B767,'perfil de pagos'!$A$4:$A$46,'perfil de pagos'!$C$4:$C$46+'FACUS$'!$D767)</f>
        <v>43700</v>
      </c>
      <c r="Q767" s="165">
        <f t="shared" si="2"/>
        <v>0</v>
      </c>
      <c r="R767" s="167"/>
      <c r="S767" s="167"/>
      <c r="T767" s="167"/>
      <c r="U767" s="334" t="s">
        <v>7271</v>
      </c>
      <c r="V767" s="168">
        <f t="shared" si="3"/>
        <v>30015.59</v>
      </c>
      <c r="W767" s="168">
        <f t="shared" si="4"/>
        <v>0</v>
      </c>
      <c r="X767" s="168">
        <f t="shared" si="5"/>
        <v>0</v>
      </c>
      <c r="Y767" s="168">
        <f t="shared" si="6"/>
        <v>0</v>
      </c>
      <c r="Z767" s="168">
        <f t="shared" si="7"/>
        <v>0</v>
      </c>
      <c r="AA767" s="168">
        <f t="shared" si="8"/>
        <v>0</v>
      </c>
      <c r="AB767" s="168">
        <f t="shared" si="9"/>
        <v>0</v>
      </c>
    </row>
    <row r="768" ht="14.25" customHeight="1">
      <c r="A768" s="157">
        <v>1951.0</v>
      </c>
      <c r="B768" s="169" t="s">
        <v>29</v>
      </c>
      <c r="C768" s="169" t="s">
        <v>7513</v>
      </c>
      <c r="D768" s="336">
        <v>43693.0</v>
      </c>
      <c r="E768" s="157" t="s">
        <v>600</v>
      </c>
      <c r="F768" s="160">
        <v>25794.6</v>
      </c>
      <c r="G768" s="160">
        <v>4127.14</v>
      </c>
      <c r="H768" s="160">
        <f t="shared" si="29"/>
        <v>29921.74</v>
      </c>
      <c r="I768" s="172"/>
      <c r="J768" s="169"/>
      <c r="K768" s="172"/>
      <c r="L768" s="172">
        <f>+'FACUS$'!$H768-'FACUS$'!$I768-'FACUS$'!$K768</f>
        <v>29921.74</v>
      </c>
      <c r="M768" s="162" t="s">
        <v>825</v>
      </c>
      <c r="N768" s="337" t="s">
        <v>554</v>
      </c>
      <c r="O768" s="338">
        <v>43730.0</v>
      </c>
      <c r="P768" s="164">
        <f t="array" ref="P768">XLOOKUP('FACUS$'!$B768,'perfil de pagos'!$A$4:$A$46,'perfil de pagos'!$C$4:$C$46+'FACUS$'!$D768)</f>
        <v>43703</v>
      </c>
      <c r="Q768" s="165">
        <f t="shared" si="2"/>
        <v>0</v>
      </c>
      <c r="R768" s="167"/>
      <c r="S768" s="167"/>
      <c r="T768" s="167"/>
      <c r="U768" s="334" t="s">
        <v>7271</v>
      </c>
      <c r="V768" s="168">
        <f t="shared" si="3"/>
        <v>29921.74</v>
      </c>
      <c r="W768" s="168">
        <f t="shared" si="4"/>
        <v>0</v>
      </c>
      <c r="X768" s="168">
        <f t="shared" si="5"/>
        <v>0</v>
      </c>
      <c r="Y768" s="168">
        <f t="shared" si="6"/>
        <v>0</v>
      </c>
      <c r="Z768" s="168">
        <f t="shared" si="7"/>
        <v>0</v>
      </c>
      <c r="AA768" s="168">
        <f t="shared" si="8"/>
        <v>0</v>
      </c>
      <c r="AB768" s="168">
        <f t="shared" si="9"/>
        <v>0</v>
      </c>
    </row>
    <row r="769" ht="14.25" customHeight="1">
      <c r="A769" s="157">
        <v>1953.0</v>
      </c>
      <c r="B769" s="169" t="s">
        <v>36</v>
      </c>
      <c r="C769" s="169" t="s">
        <v>1004</v>
      </c>
      <c r="D769" s="336">
        <v>43693.0</v>
      </c>
      <c r="E769" s="157" t="s">
        <v>600</v>
      </c>
      <c r="F769" s="160">
        <v>2481.8</v>
      </c>
      <c r="G769" s="160">
        <v>397.09</v>
      </c>
      <c r="H769" s="160">
        <f t="shared" si="29"/>
        <v>2878.89</v>
      </c>
      <c r="I769" s="172"/>
      <c r="J769" s="169"/>
      <c r="K769" s="172"/>
      <c r="L769" s="172">
        <f>+'FACUS$'!$H769-'FACUS$'!$I769-'FACUS$'!$K769</f>
        <v>2878.89</v>
      </c>
      <c r="M769" s="162" t="s">
        <v>278</v>
      </c>
      <c r="N769" s="337" t="s">
        <v>554</v>
      </c>
      <c r="O769" s="338">
        <v>43718.0</v>
      </c>
      <c r="P769" s="164">
        <f t="array" ref="P769">XLOOKUP('FACUS$'!$B769,'perfil de pagos'!$A$4:$A$46,'perfil de pagos'!$C$4:$C$46+'FACUS$'!$D769)</f>
        <v>43703</v>
      </c>
      <c r="Q769" s="165">
        <f t="shared" si="2"/>
        <v>0</v>
      </c>
      <c r="R769" s="167"/>
      <c r="S769" s="220" t="s">
        <v>910</v>
      </c>
      <c r="T769" s="167"/>
      <c r="U769" s="334" t="s">
        <v>7271</v>
      </c>
      <c r="V769" s="168">
        <f t="shared" si="3"/>
        <v>2878.89</v>
      </c>
      <c r="W769" s="168">
        <f t="shared" si="4"/>
        <v>0</v>
      </c>
      <c r="X769" s="168">
        <f t="shared" si="5"/>
        <v>0</v>
      </c>
      <c r="Y769" s="168">
        <f t="shared" si="6"/>
        <v>0</v>
      </c>
      <c r="Z769" s="168">
        <f t="shared" si="7"/>
        <v>0</v>
      </c>
      <c r="AA769" s="168">
        <f t="shared" si="8"/>
        <v>0</v>
      </c>
      <c r="AB769" s="168">
        <f t="shared" si="9"/>
        <v>0</v>
      </c>
    </row>
    <row r="770" ht="14.25" customHeight="1">
      <c r="A770" s="157">
        <v>1956.0</v>
      </c>
      <c r="B770" s="169" t="s">
        <v>43</v>
      </c>
      <c r="C770" s="169" t="s">
        <v>1004</v>
      </c>
      <c r="D770" s="336">
        <v>43693.0</v>
      </c>
      <c r="E770" s="157" t="s">
        <v>600</v>
      </c>
      <c r="F770" s="160">
        <v>18710.84</v>
      </c>
      <c r="G770" s="160">
        <v>2993.73</v>
      </c>
      <c r="H770" s="160">
        <f t="shared" si="29"/>
        <v>21704.57</v>
      </c>
      <c r="I770" s="172"/>
      <c r="J770" s="169"/>
      <c r="K770" s="172"/>
      <c r="L770" s="172">
        <f>+'FACUS$'!$H770-'FACUS$'!$I770-'FACUS$'!$K770</f>
        <v>21704.57</v>
      </c>
      <c r="M770" s="162" t="s">
        <v>43</v>
      </c>
      <c r="N770" s="337" t="s">
        <v>554</v>
      </c>
      <c r="O770" s="338">
        <v>43721.0</v>
      </c>
      <c r="P770" s="164">
        <f t="array" ref="P770">XLOOKUP('FACUS$'!$B770,'perfil de pagos'!$A$4:$A$46,'perfil de pagos'!$C$4:$C$46+'FACUS$'!$D770)</f>
        <v>43718</v>
      </c>
      <c r="Q770" s="165">
        <f t="shared" si="2"/>
        <v>0</v>
      </c>
      <c r="R770" s="167"/>
      <c r="S770" s="167" t="s">
        <v>910</v>
      </c>
      <c r="T770" s="167"/>
      <c r="U770" s="334" t="s">
        <v>7271</v>
      </c>
      <c r="V770" s="168">
        <f t="shared" si="3"/>
        <v>21704.57</v>
      </c>
      <c r="W770" s="168">
        <f t="shared" si="4"/>
        <v>0</v>
      </c>
      <c r="X770" s="168">
        <f t="shared" si="5"/>
        <v>0</v>
      </c>
      <c r="Y770" s="168">
        <f t="shared" si="6"/>
        <v>0</v>
      </c>
      <c r="Z770" s="168">
        <f t="shared" si="7"/>
        <v>0</v>
      </c>
      <c r="AA770" s="168">
        <f t="shared" si="8"/>
        <v>0</v>
      </c>
      <c r="AB770" s="168">
        <f t="shared" si="9"/>
        <v>0</v>
      </c>
    </row>
    <row r="771" ht="14.25" customHeight="1">
      <c r="A771" s="157">
        <v>1958.0</v>
      </c>
      <c r="B771" s="169" t="s">
        <v>30</v>
      </c>
      <c r="C771" s="169" t="s">
        <v>1004</v>
      </c>
      <c r="D771" s="336">
        <v>43697.0</v>
      </c>
      <c r="E771" s="157" t="s">
        <v>600</v>
      </c>
      <c r="F771" s="160">
        <v>5300.25</v>
      </c>
      <c r="G771" s="160">
        <v>848.04</v>
      </c>
      <c r="H771" s="160">
        <f t="shared" si="29"/>
        <v>6148.29</v>
      </c>
      <c r="I771" s="172"/>
      <c r="J771" s="169"/>
      <c r="K771" s="172"/>
      <c r="L771" s="172">
        <f>+'FACUS$'!$H771-'FACUS$'!$I771-'FACUS$'!$K771</f>
        <v>6148.29</v>
      </c>
      <c r="M771" s="162" t="s">
        <v>7415</v>
      </c>
      <c r="N771" s="337" t="s">
        <v>554</v>
      </c>
      <c r="O771" s="338">
        <v>43742.0</v>
      </c>
      <c r="P771" s="164">
        <f t="array" ref="P771">XLOOKUP('FACUS$'!$B771,'perfil de pagos'!$A$4:$A$46,'perfil de pagos'!$C$4:$C$46+'FACUS$'!$D771)</f>
        <v>43707</v>
      </c>
      <c r="Q771" s="165">
        <f t="shared" si="2"/>
        <v>0</v>
      </c>
      <c r="R771" s="167"/>
      <c r="S771" s="223" t="s">
        <v>910</v>
      </c>
      <c r="T771" s="167"/>
      <c r="U771" s="334" t="s">
        <v>7271</v>
      </c>
      <c r="V771" s="168">
        <f t="shared" si="3"/>
        <v>6148.29</v>
      </c>
      <c r="W771" s="168">
        <f t="shared" si="4"/>
        <v>0</v>
      </c>
      <c r="X771" s="168">
        <f t="shared" si="5"/>
        <v>0</v>
      </c>
      <c r="Y771" s="168">
        <f t="shared" si="6"/>
        <v>0</v>
      </c>
      <c r="Z771" s="168">
        <f t="shared" si="7"/>
        <v>0</v>
      </c>
      <c r="AA771" s="168">
        <f t="shared" si="8"/>
        <v>0</v>
      </c>
      <c r="AB771" s="168">
        <f t="shared" si="9"/>
        <v>0</v>
      </c>
    </row>
    <row r="772" ht="14.25" customHeight="1">
      <c r="A772" s="157">
        <v>1959.0</v>
      </c>
      <c r="B772" s="169" t="s">
        <v>127</v>
      </c>
      <c r="C772" s="169"/>
      <c r="D772" s="336"/>
      <c r="E772" s="157"/>
      <c r="F772" s="160"/>
      <c r="G772" s="160"/>
      <c r="H772" s="160">
        <f t="shared" si="29"/>
        <v>0</v>
      </c>
      <c r="I772" s="172"/>
      <c r="J772" s="169"/>
      <c r="K772" s="172"/>
      <c r="L772" s="172">
        <f>+'FACUS$'!$H772-'FACUS$'!$I772-'FACUS$'!$K772</f>
        <v>0</v>
      </c>
      <c r="M772" s="162"/>
      <c r="N772" s="337" t="s">
        <v>127</v>
      </c>
      <c r="O772" s="338"/>
      <c r="P772" s="164" t="str">
        <f t="array" ref="P772">XLOOKUP('FACUS$'!$B772,'perfil de pagos'!$A$4:$A$46,'perfil de pagos'!$C$4:$C$46+'FACUS$'!$D772)</f>
        <v>#N/A</v>
      </c>
      <c r="Q772" s="165" t="str">
        <f t="shared" si="2"/>
        <v>N/A</v>
      </c>
      <c r="R772" s="167"/>
      <c r="S772" s="167"/>
      <c r="T772" s="167"/>
      <c r="U772" s="334" t="s">
        <v>7271</v>
      </c>
      <c r="V772" s="168">
        <f t="shared" si="3"/>
        <v>0</v>
      </c>
      <c r="W772" s="168">
        <f t="shared" si="4"/>
        <v>0</v>
      </c>
      <c r="X772" s="168">
        <f t="shared" si="5"/>
        <v>0</v>
      </c>
      <c r="Y772" s="168">
        <f t="shared" si="6"/>
        <v>0</v>
      </c>
      <c r="Z772" s="168">
        <f t="shared" si="7"/>
        <v>0</v>
      </c>
      <c r="AA772" s="168">
        <f t="shared" si="8"/>
        <v>0</v>
      </c>
      <c r="AB772" s="168">
        <f t="shared" si="9"/>
        <v>0</v>
      </c>
    </row>
    <row r="773" ht="14.25" customHeight="1">
      <c r="A773" s="157">
        <v>1960.0</v>
      </c>
      <c r="B773" s="169" t="s">
        <v>41</v>
      </c>
      <c r="C773" s="169" t="s">
        <v>1004</v>
      </c>
      <c r="D773" s="336">
        <v>43698.0</v>
      </c>
      <c r="E773" s="157" t="s">
        <v>600</v>
      </c>
      <c r="F773" s="160">
        <v>17368.85</v>
      </c>
      <c r="G773" s="160">
        <v>2779.02</v>
      </c>
      <c r="H773" s="160">
        <f t="shared" si="29"/>
        <v>20147.87</v>
      </c>
      <c r="I773" s="172"/>
      <c r="J773" s="169"/>
      <c r="K773" s="172"/>
      <c r="L773" s="172">
        <f>+'FACUS$'!$H773-'FACUS$'!$I773-'FACUS$'!$K773</f>
        <v>20147.87</v>
      </c>
      <c r="M773" s="162" t="s">
        <v>875</v>
      </c>
      <c r="N773" s="337" t="s">
        <v>554</v>
      </c>
      <c r="O773" s="338">
        <v>43791.0</v>
      </c>
      <c r="P773" s="164">
        <f t="array" ref="P773">XLOOKUP('FACUS$'!$B773,'perfil de pagos'!$A$4:$A$46,'perfil de pagos'!$C$4:$C$46+'FACUS$'!$D773)</f>
        <v>43708</v>
      </c>
      <c r="Q773" s="165">
        <f t="shared" si="2"/>
        <v>0</v>
      </c>
      <c r="R773" s="167"/>
      <c r="S773" s="167"/>
      <c r="T773" s="167"/>
      <c r="U773" s="334" t="s">
        <v>7271</v>
      </c>
      <c r="V773" s="168">
        <f t="shared" si="3"/>
        <v>20147.87</v>
      </c>
      <c r="W773" s="168">
        <f t="shared" si="4"/>
        <v>0</v>
      </c>
      <c r="X773" s="168">
        <f t="shared" si="5"/>
        <v>0</v>
      </c>
      <c r="Y773" s="168">
        <f t="shared" si="6"/>
        <v>0</v>
      </c>
      <c r="Z773" s="168">
        <f t="shared" si="7"/>
        <v>0</v>
      </c>
      <c r="AA773" s="168">
        <f t="shared" si="8"/>
        <v>0</v>
      </c>
      <c r="AB773" s="168">
        <f t="shared" si="9"/>
        <v>0</v>
      </c>
    </row>
    <row r="774" ht="14.25" customHeight="1">
      <c r="A774" s="157">
        <v>1968.0</v>
      </c>
      <c r="B774" s="169" t="s">
        <v>18</v>
      </c>
      <c r="C774" s="169" t="s">
        <v>1004</v>
      </c>
      <c r="D774" s="336">
        <v>43700.0</v>
      </c>
      <c r="E774" s="157" t="s">
        <v>600</v>
      </c>
      <c r="F774" s="160">
        <v>10038.03</v>
      </c>
      <c r="G774" s="160">
        <v>1606.08</v>
      </c>
      <c r="H774" s="160">
        <f t="shared" si="29"/>
        <v>11644.11</v>
      </c>
      <c r="I774" s="172"/>
      <c r="J774" s="169"/>
      <c r="K774" s="172"/>
      <c r="L774" s="172">
        <f>+'FACUS$'!$H774-'FACUS$'!$I774-'FACUS$'!$K774</f>
        <v>11644.11</v>
      </c>
      <c r="M774" s="162" t="s">
        <v>586</v>
      </c>
      <c r="N774" s="337" t="s">
        <v>554</v>
      </c>
      <c r="O774" s="338">
        <v>43789.0</v>
      </c>
      <c r="P774" s="164">
        <f t="array" ref="P774">XLOOKUP('FACUS$'!$B774,'perfil de pagos'!$A$4:$A$46,'perfil de pagos'!$C$4:$C$46+'FACUS$'!$D774)</f>
        <v>43710</v>
      </c>
      <c r="Q774" s="165">
        <f t="shared" si="2"/>
        <v>0</v>
      </c>
      <c r="R774" s="167"/>
      <c r="S774" s="220" t="s">
        <v>910</v>
      </c>
      <c r="T774" s="167"/>
      <c r="U774" s="334" t="s">
        <v>7271</v>
      </c>
      <c r="V774" s="168">
        <f t="shared" si="3"/>
        <v>11644.11</v>
      </c>
      <c r="W774" s="168">
        <f t="shared" si="4"/>
        <v>0</v>
      </c>
      <c r="X774" s="168">
        <f t="shared" si="5"/>
        <v>0</v>
      </c>
      <c r="Y774" s="168">
        <f t="shared" si="6"/>
        <v>0</v>
      </c>
      <c r="Z774" s="168">
        <f t="shared" si="7"/>
        <v>0</v>
      </c>
      <c r="AA774" s="168">
        <f t="shared" si="8"/>
        <v>0</v>
      </c>
      <c r="AB774" s="168">
        <f t="shared" si="9"/>
        <v>0</v>
      </c>
    </row>
    <row r="775" ht="14.25" customHeight="1">
      <c r="A775" s="157">
        <v>1970.0</v>
      </c>
      <c r="B775" s="169" t="s">
        <v>20</v>
      </c>
      <c r="C775" s="169" t="s">
        <v>1004</v>
      </c>
      <c r="D775" s="336">
        <v>43700.0</v>
      </c>
      <c r="E775" s="157" t="s">
        <v>600</v>
      </c>
      <c r="F775" s="160">
        <v>14431.83</v>
      </c>
      <c r="G775" s="160">
        <v>2309.09</v>
      </c>
      <c r="H775" s="160">
        <f t="shared" si="29"/>
        <v>16740.92</v>
      </c>
      <c r="I775" s="172"/>
      <c r="J775" s="169"/>
      <c r="K775" s="172"/>
      <c r="L775" s="172">
        <f>+'FACUS$'!$H775-'FACUS$'!$I775-'FACUS$'!$K775</f>
        <v>16740.92</v>
      </c>
      <c r="M775" s="162" t="s">
        <v>732</v>
      </c>
      <c r="N775" s="337" t="s">
        <v>554</v>
      </c>
      <c r="O775" s="338">
        <v>43759.0</v>
      </c>
      <c r="P775" s="164">
        <f t="array" ref="P775">XLOOKUP('FACUS$'!$B775,'perfil de pagos'!$A$4:$A$46,'perfil de pagos'!$C$4:$C$46+'FACUS$'!$D775)</f>
        <v>43710</v>
      </c>
      <c r="Q775" s="165">
        <f t="shared" si="2"/>
        <v>0</v>
      </c>
      <c r="R775" s="167"/>
      <c r="S775" s="167" t="s">
        <v>910</v>
      </c>
      <c r="T775" s="167"/>
      <c r="U775" s="334" t="s">
        <v>7271</v>
      </c>
      <c r="V775" s="168">
        <f t="shared" si="3"/>
        <v>16740.92</v>
      </c>
      <c r="W775" s="168">
        <f t="shared" si="4"/>
        <v>0</v>
      </c>
      <c r="X775" s="168">
        <f t="shared" si="5"/>
        <v>0</v>
      </c>
      <c r="Y775" s="168">
        <f t="shared" si="6"/>
        <v>0</v>
      </c>
      <c r="Z775" s="168">
        <f t="shared" si="7"/>
        <v>0</v>
      </c>
      <c r="AA775" s="168">
        <f t="shared" si="8"/>
        <v>0</v>
      </c>
      <c r="AB775" s="168">
        <f t="shared" si="9"/>
        <v>0</v>
      </c>
    </row>
    <row r="776" ht="14.25" customHeight="1">
      <c r="A776" s="157">
        <v>1972.0</v>
      </c>
      <c r="B776" s="169" t="s">
        <v>37</v>
      </c>
      <c r="C776" s="169" t="s">
        <v>1004</v>
      </c>
      <c r="D776" s="336">
        <v>43700.0</v>
      </c>
      <c r="E776" s="157" t="s">
        <v>600</v>
      </c>
      <c r="F776" s="160">
        <v>91734.27</v>
      </c>
      <c r="G776" s="160">
        <v>14677.48</v>
      </c>
      <c r="H776" s="160">
        <f t="shared" si="29"/>
        <v>106411.75</v>
      </c>
      <c r="I776" s="172"/>
      <c r="J776" s="169"/>
      <c r="K776" s="172"/>
      <c r="L776" s="172">
        <f>+'FACUS$'!$H776-'FACUS$'!$I776-'FACUS$'!$K776</f>
        <v>106411.75</v>
      </c>
      <c r="M776" s="162" t="s">
        <v>116</v>
      </c>
      <c r="N776" s="337" t="s">
        <v>554</v>
      </c>
      <c r="O776" s="338">
        <v>43717.0</v>
      </c>
      <c r="P776" s="164">
        <f t="array" ref="P776">XLOOKUP('FACUS$'!$B776,'perfil de pagos'!$A$4:$A$46,'perfil de pagos'!$C$4:$C$46+'FACUS$'!$D776)</f>
        <v>43710</v>
      </c>
      <c r="Q776" s="165">
        <f t="shared" si="2"/>
        <v>0</v>
      </c>
      <c r="R776" s="167" t="s">
        <v>7514</v>
      </c>
      <c r="S776" s="220" t="s">
        <v>910</v>
      </c>
      <c r="T776" s="167"/>
      <c r="U776" s="334" t="s">
        <v>7271</v>
      </c>
      <c r="V776" s="168">
        <f t="shared" si="3"/>
        <v>106411.75</v>
      </c>
      <c r="W776" s="168">
        <f t="shared" si="4"/>
        <v>0</v>
      </c>
      <c r="X776" s="168">
        <f t="shared" si="5"/>
        <v>0</v>
      </c>
      <c r="Y776" s="168">
        <f t="shared" si="6"/>
        <v>0</v>
      </c>
      <c r="Z776" s="168">
        <f t="shared" si="7"/>
        <v>0</v>
      </c>
      <c r="AA776" s="168">
        <f t="shared" si="8"/>
        <v>0</v>
      </c>
      <c r="AB776" s="168">
        <f t="shared" si="9"/>
        <v>0</v>
      </c>
    </row>
    <row r="777" ht="14.25" customHeight="1">
      <c r="A777" s="157">
        <v>1980.0</v>
      </c>
      <c r="B777" s="169" t="s">
        <v>29</v>
      </c>
      <c r="C777" s="169" t="s">
        <v>1009</v>
      </c>
      <c r="D777" s="336">
        <v>43713.0</v>
      </c>
      <c r="E777" s="157" t="s">
        <v>600</v>
      </c>
      <c r="F777" s="160">
        <v>31045.66</v>
      </c>
      <c r="G777" s="160">
        <v>4967.31</v>
      </c>
      <c r="H777" s="160">
        <f t="shared" si="29"/>
        <v>36012.97</v>
      </c>
      <c r="I777" s="172"/>
      <c r="J777" s="169"/>
      <c r="K777" s="172"/>
      <c r="L777" s="172">
        <f>+'FACUS$'!$H777-'FACUS$'!$I777-'FACUS$'!$K777</f>
        <v>36012.97</v>
      </c>
      <c r="M777" s="162" t="s">
        <v>825</v>
      </c>
      <c r="N777" s="337" t="s">
        <v>554</v>
      </c>
      <c r="O777" s="338">
        <v>43720.0</v>
      </c>
      <c r="P777" s="164">
        <f t="array" ref="P777">XLOOKUP('FACUS$'!$B777,'perfil de pagos'!$A$4:$A$46,'perfil de pagos'!$C$4:$C$46+'FACUS$'!$D777)</f>
        <v>43723</v>
      </c>
      <c r="Q777" s="165">
        <f t="shared" si="2"/>
        <v>0</v>
      </c>
      <c r="R777" s="167"/>
      <c r="S777" s="167"/>
      <c r="T777" s="167"/>
      <c r="U777" s="334" t="s">
        <v>7271</v>
      </c>
      <c r="V777" s="168">
        <f t="shared" si="3"/>
        <v>36012.97</v>
      </c>
      <c r="W777" s="168">
        <f t="shared" si="4"/>
        <v>0</v>
      </c>
      <c r="X777" s="168">
        <f t="shared" si="5"/>
        <v>0</v>
      </c>
      <c r="Y777" s="168">
        <f t="shared" si="6"/>
        <v>0</v>
      </c>
      <c r="Z777" s="168">
        <f t="shared" si="7"/>
        <v>0</v>
      </c>
      <c r="AA777" s="168">
        <f t="shared" si="8"/>
        <v>0</v>
      </c>
      <c r="AB777" s="168">
        <f t="shared" si="9"/>
        <v>0</v>
      </c>
    </row>
    <row r="778" ht="14.25" customHeight="1">
      <c r="A778" s="157">
        <v>1982.0</v>
      </c>
      <c r="B778" s="169" t="s">
        <v>30</v>
      </c>
      <c r="C778" s="169" t="s">
        <v>1009</v>
      </c>
      <c r="D778" s="336">
        <v>43713.0</v>
      </c>
      <c r="E778" s="157" t="s">
        <v>600</v>
      </c>
      <c r="F778" s="160">
        <v>6328.26</v>
      </c>
      <c r="G778" s="160">
        <v>1012.52</v>
      </c>
      <c r="H778" s="160">
        <f t="shared" si="29"/>
        <v>7340.78</v>
      </c>
      <c r="I778" s="172"/>
      <c r="J778" s="169"/>
      <c r="K778" s="172"/>
      <c r="L778" s="172">
        <f>+'FACUS$'!$H778-'FACUS$'!$I778-'FACUS$'!$K778</f>
        <v>7340.78</v>
      </c>
      <c r="M778" s="162" t="s">
        <v>7415</v>
      </c>
      <c r="N778" s="337" t="s">
        <v>554</v>
      </c>
      <c r="O778" s="338">
        <v>43727.0</v>
      </c>
      <c r="P778" s="164">
        <f t="array" ref="P778">XLOOKUP('FACUS$'!$B778,'perfil de pagos'!$A$4:$A$46,'perfil de pagos'!$C$4:$C$46+'FACUS$'!$D778)</f>
        <v>43723</v>
      </c>
      <c r="Q778" s="165">
        <f t="shared" si="2"/>
        <v>0</v>
      </c>
      <c r="R778" s="167" t="s">
        <v>7515</v>
      </c>
      <c r="S778" s="223" t="s">
        <v>910</v>
      </c>
      <c r="T778" s="167"/>
      <c r="U778" s="334" t="s">
        <v>7271</v>
      </c>
      <c r="V778" s="168">
        <f t="shared" si="3"/>
        <v>7340.78</v>
      </c>
      <c r="W778" s="168">
        <f t="shared" si="4"/>
        <v>0</v>
      </c>
      <c r="X778" s="168">
        <f t="shared" si="5"/>
        <v>0</v>
      </c>
      <c r="Y778" s="168">
        <f t="shared" si="6"/>
        <v>0</v>
      </c>
      <c r="Z778" s="168">
        <f t="shared" si="7"/>
        <v>0</v>
      </c>
      <c r="AA778" s="168">
        <f t="shared" si="8"/>
        <v>0</v>
      </c>
      <c r="AB778" s="168">
        <f t="shared" si="9"/>
        <v>0</v>
      </c>
    </row>
    <row r="779" ht="14.25" customHeight="1">
      <c r="A779" s="157">
        <v>1984.0</v>
      </c>
      <c r="B779" s="169" t="s">
        <v>36</v>
      </c>
      <c r="C779" s="169" t="s">
        <v>1009</v>
      </c>
      <c r="D779" s="336">
        <v>43713.0</v>
      </c>
      <c r="E779" s="157" t="s">
        <v>600</v>
      </c>
      <c r="F779" s="160">
        <v>4538.57</v>
      </c>
      <c r="G779" s="160">
        <v>726.17</v>
      </c>
      <c r="H779" s="160">
        <f t="shared" si="29"/>
        <v>5264.74</v>
      </c>
      <c r="I779" s="172"/>
      <c r="J779" s="169"/>
      <c r="K779" s="172"/>
      <c r="L779" s="172">
        <f>+'FACUS$'!$H779-'FACUS$'!$I779-'FACUS$'!$K779</f>
        <v>5264.74</v>
      </c>
      <c r="M779" s="162" t="s">
        <v>278</v>
      </c>
      <c r="N779" s="337" t="s">
        <v>554</v>
      </c>
      <c r="O779" s="338">
        <v>43718.0</v>
      </c>
      <c r="P779" s="164">
        <f t="array" ref="P779">XLOOKUP('FACUS$'!$B779,'perfil de pagos'!$A$4:$A$46,'perfil de pagos'!$C$4:$C$46+'FACUS$'!$D779)</f>
        <v>43723</v>
      </c>
      <c r="Q779" s="165">
        <f t="shared" si="2"/>
        <v>0</v>
      </c>
      <c r="R779" s="167"/>
      <c r="S779" s="220" t="s">
        <v>910</v>
      </c>
      <c r="T779" s="167"/>
      <c r="U779" s="334" t="s">
        <v>7271</v>
      </c>
      <c r="V779" s="168">
        <f t="shared" si="3"/>
        <v>5264.74</v>
      </c>
      <c r="W779" s="168">
        <f t="shared" si="4"/>
        <v>0</v>
      </c>
      <c r="X779" s="168">
        <f t="shared" si="5"/>
        <v>0</v>
      </c>
      <c r="Y779" s="168">
        <f t="shared" si="6"/>
        <v>0</v>
      </c>
      <c r="Z779" s="168">
        <f t="shared" si="7"/>
        <v>0</v>
      </c>
      <c r="AA779" s="168">
        <f t="shared" si="8"/>
        <v>0</v>
      </c>
      <c r="AB779" s="168">
        <f t="shared" si="9"/>
        <v>0</v>
      </c>
    </row>
    <row r="780" ht="14.25" customHeight="1">
      <c r="A780" s="157">
        <v>1987.0</v>
      </c>
      <c r="B780" s="169" t="s">
        <v>43</v>
      </c>
      <c r="C780" s="169" t="s">
        <v>1009</v>
      </c>
      <c r="D780" s="336">
        <v>43713.0</v>
      </c>
      <c r="E780" s="157" t="s">
        <v>600</v>
      </c>
      <c r="F780" s="160">
        <v>26490.81</v>
      </c>
      <c r="G780" s="160">
        <v>4238.53</v>
      </c>
      <c r="H780" s="160">
        <f t="shared" si="29"/>
        <v>30729.34</v>
      </c>
      <c r="I780" s="172"/>
      <c r="J780" s="169"/>
      <c r="K780" s="172"/>
      <c r="L780" s="172">
        <f>+'FACUS$'!$H780-'FACUS$'!$I780-'FACUS$'!$K780</f>
        <v>30729.34</v>
      </c>
      <c r="M780" s="162" t="s">
        <v>43</v>
      </c>
      <c r="N780" s="337" t="s">
        <v>554</v>
      </c>
      <c r="O780" s="338">
        <v>43742.0</v>
      </c>
      <c r="P780" s="164">
        <f t="array" ref="P780">XLOOKUP('FACUS$'!$B780,'perfil de pagos'!$A$4:$A$46,'perfil de pagos'!$C$4:$C$46+'FACUS$'!$D780)</f>
        <v>43738</v>
      </c>
      <c r="Q780" s="165">
        <f t="shared" si="2"/>
        <v>0</v>
      </c>
      <c r="R780" s="167"/>
      <c r="S780" s="167" t="s">
        <v>910</v>
      </c>
      <c r="T780" s="167"/>
      <c r="U780" s="334" t="s">
        <v>7271</v>
      </c>
      <c r="V780" s="168">
        <f t="shared" si="3"/>
        <v>30729.34</v>
      </c>
      <c r="W780" s="168">
        <f t="shared" si="4"/>
        <v>0</v>
      </c>
      <c r="X780" s="168">
        <f t="shared" si="5"/>
        <v>0</v>
      </c>
      <c r="Y780" s="168">
        <f t="shared" si="6"/>
        <v>0</v>
      </c>
      <c r="Z780" s="168">
        <f t="shared" si="7"/>
        <v>0</v>
      </c>
      <c r="AA780" s="168">
        <f t="shared" si="8"/>
        <v>0</v>
      </c>
      <c r="AB780" s="168">
        <f t="shared" si="9"/>
        <v>0</v>
      </c>
    </row>
    <row r="781" ht="14.25" customHeight="1">
      <c r="A781" s="157">
        <v>1989.0</v>
      </c>
      <c r="B781" s="169" t="s">
        <v>41</v>
      </c>
      <c r="C781" s="169" t="s">
        <v>1009</v>
      </c>
      <c r="D781" s="336">
        <v>43713.0</v>
      </c>
      <c r="E781" s="157" t="s">
        <v>600</v>
      </c>
      <c r="F781" s="160">
        <v>14700.45</v>
      </c>
      <c r="G781" s="160">
        <v>2352.07</v>
      </c>
      <c r="H781" s="160">
        <f t="shared" si="29"/>
        <v>17052.52</v>
      </c>
      <c r="I781" s="172"/>
      <c r="J781" s="169"/>
      <c r="K781" s="172"/>
      <c r="L781" s="172">
        <f>+'FACUS$'!$H781-'FACUS$'!$I781-'FACUS$'!$K781</f>
        <v>17052.52</v>
      </c>
      <c r="M781" s="162" t="s">
        <v>875</v>
      </c>
      <c r="N781" s="337" t="s">
        <v>554</v>
      </c>
      <c r="O781" s="338">
        <v>43791.0</v>
      </c>
      <c r="P781" s="164">
        <f t="array" ref="P781">XLOOKUP('FACUS$'!$B781,'perfil de pagos'!$A$4:$A$46,'perfil de pagos'!$C$4:$C$46+'FACUS$'!$D781)</f>
        <v>43723</v>
      </c>
      <c r="Q781" s="165">
        <f t="shared" si="2"/>
        <v>0</v>
      </c>
      <c r="R781" s="167"/>
      <c r="S781" s="167"/>
      <c r="T781" s="167"/>
      <c r="U781" s="334" t="s">
        <v>7271</v>
      </c>
      <c r="V781" s="168">
        <f t="shared" si="3"/>
        <v>17052.52</v>
      </c>
      <c r="W781" s="168">
        <f t="shared" si="4"/>
        <v>0</v>
      </c>
      <c r="X781" s="168">
        <f t="shared" si="5"/>
        <v>0</v>
      </c>
      <c r="Y781" s="168">
        <f t="shared" si="6"/>
        <v>0</v>
      </c>
      <c r="Z781" s="168">
        <f t="shared" si="7"/>
        <v>0</v>
      </c>
      <c r="AA781" s="168">
        <f t="shared" si="8"/>
        <v>0</v>
      </c>
      <c r="AB781" s="168">
        <f t="shared" si="9"/>
        <v>0</v>
      </c>
    </row>
    <row r="782" ht="14.25" customHeight="1">
      <c r="A782" s="157">
        <v>1993.0</v>
      </c>
      <c r="B782" s="169" t="s">
        <v>18</v>
      </c>
      <c r="C782" s="169" t="s">
        <v>1009</v>
      </c>
      <c r="D782" s="336">
        <v>43713.0</v>
      </c>
      <c r="E782" s="157" t="s">
        <v>600</v>
      </c>
      <c r="F782" s="160">
        <v>10345.67</v>
      </c>
      <c r="G782" s="160">
        <v>1655.31</v>
      </c>
      <c r="H782" s="160">
        <f t="shared" si="29"/>
        <v>12000.98</v>
      </c>
      <c r="I782" s="172"/>
      <c r="J782" s="169"/>
      <c r="K782" s="172"/>
      <c r="L782" s="172">
        <f>+'FACUS$'!$H782-'FACUS$'!$I782-'FACUS$'!$K782</f>
        <v>12000.98</v>
      </c>
      <c r="M782" s="162" t="s">
        <v>586</v>
      </c>
      <c r="N782" s="337" t="s">
        <v>554</v>
      </c>
      <c r="O782" s="338">
        <v>43759.0</v>
      </c>
      <c r="P782" s="164">
        <f t="array" ref="P782">XLOOKUP('FACUS$'!$B782,'perfil de pagos'!$A$4:$A$46,'perfil de pagos'!$C$4:$C$46+'FACUS$'!$D782)</f>
        <v>43723</v>
      </c>
      <c r="Q782" s="165">
        <f t="shared" si="2"/>
        <v>0</v>
      </c>
      <c r="R782" s="167"/>
      <c r="S782" s="167" t="s">
        <v>910</v>
      </c>
      <c r="T782" s="167"/>
      <c r="U782" s="334" t="s">
        <v>7271</v>
      </c>
      <c r="V782" s="168">
        <f t="shared" si="3"/>
        <v>12000.98</v>
      </c>
      <c r="W782" s="168">
        <f t="shared" si="4"/>
        <v>0</v>
      </c>
      <c r="X782" s="168">
        <f t="shared" si="5"/>
        <v>0</v>
      </c>
      <c r="Y782" s="168">
        <f t="shared" si="6"/>
        <v>0</v>
      </c>
      <c r="Z782" s="168">
        <f t="shared" si="7"/>
        <v>0</v>
      </c>
      <c r="AA782" s="168">
        <f t="shared" si="8"/>
        <v>0</v>
      </c>
      <c r="AB782" s="168">
        <f t="shared" si="9"/>
        <v>0</v>
      </c>
    </row>
    <row r="783" ht="14.25" customHeight="1">
      <c r="A783" s="157">
        <v>1996.0</v>
      </c>
      <c r="B783" s="169" t="s">
        <v>20</v>
      </c>
      <c r="C783" s="169" t="s">
        <v>1009</v>
      </c>
      <c r="D783" s="336">
        <v>43713.0</v>
      </c>
      <c r="E783" s="157" t="s">
        <v>600</v>
      </c>
      <c r="F783" s="160">
        <v>19138.09</v>
      </c>
      <c r="G783" s="160">
        <v>3062.09</v>
      </c>
      <c r="H783" s="160">
        <f t="shared" si="29"/>
        <v>22200.18</v>
      </c>
      <c r="I783" s="172"/>
      <c r="J783" s="169"/>
      <c r="K783" s="172"/>
      <c r="L783" s="172">
        <f>+'FACUS$'!$H783-'FACUS$'!$I783-'FACUS$'!$K783</f>
        <v>22200.18</v>
      </c>
      <c r="M783" s="162" t="s">
        <v>732</v>
      </c>
      <c r="N783" s="337" t="s">
        <v>554</v>
      </c>
      <c r="O783" s="338">
        <v>43759.0</v>
      </c>
      <c r="P783" s="164">
        <f t="array" ref="P783">XLOOKUP('FACUS$'!$B783,'perfil de pagos'!$A$4:$A$46,'perfil de pagos'!$C$4:$C$46+'FACUS$'!$D783)</f>
        <v>43723</v>
      </c>
      <c r="Q783" s="165">
        <f t="shared" si="2"/>
        <v>0</v>
      </c>
      <c r="R783" s="167"/>
      <c r="S783" s="167" t="s">
        <v>910</v>
      </c>
      <c r="T783" s="167"/>
      <c r="U783" s="334" t="s">
        <v>7271</v>
      </c>
      <c r="V783" s="168">
        <f t="shared" si="3"/>
        <v>22200.18</v>
      </c>
      <c r="W783" s="168">
        <f t="shared" si="4"/>
        <v>0</v>
      </c>
      <c r="X783" s="168">
        <f t="shared" si="5"/>
        <v>0</v>
      </c>
      <c r="Y783" s="168">
        <f t="shared" si="6"/>
        <v>0</v>
      </c>
      <c r="Z783" s="168">
        <f t="shared" si="7"/>
        <v>0</v>
      </c>
      <c r="AA783" s="168">
        <f t="shared" si="8"/>
        <v>0</v>
      </c>
      <c r="AB783" s="168">
        <f t="shared" si="9"/>
        <v>0</v>
      </c>
    </row>
    <row r="784" ht="14.25" customHeight="1">
      <c r="A784" s="157">
        <v>1998.0</v>
      </c>
      <c r="B784" s="169" t="s">
        <v>37</v>
      </c>
      <c r="C784" s="169" t="s">
        <v>1009</v>
      </c>
      <c r="D784" s="336">
        <v>43714.0</v>
      </c>
      <c r="E784" s="157" t="s">
        <v>600</v>
      </c>
      <c r="F784" s="160">
        <v>96133.27</v>
      </c>
      <c r="G784" s="160">
        <v>15381.32</v>
      </c>
      <c r="H784" s="160">
        <f t="shared" si="29"/>
        <v>111514.59</v>
      </c>
      <c r="I784" s="172"/>
      <c r="J784" s="169"/>
      <c r="K784" s="172"/>
      <c r="L784" s="172">
        <f>+'FACUS$'!$H784-'FACUS$'!$I784-'FACUS$'!$K784</f>
        <v>111514.59</v>
      </c>
      <c r="M784" s="162" t="s">
        <v>116</v>
      </c>
      <c r="N784" s="337" t="s">
        <v>554</v>
      </c>
      <c r="O784" s="338">
        <v>43725.0</v>
      </c>
      <c r="P784" s="164">
        <f t="array" ref="P784">XLOOKUP('FACUS$'!$B784,'perfil de pagos'!$A$4:$A$46,'perfil de pagos'!$C$4:$C$46+'FACUS$'!$D784)</f>
        <v>43724</v>
      </c>
      <c r="Q784" s="165">
        <f t="shared" si="2"/>
        <v>0</v>
      </c>
      <c r="R784" s="167" t="s">
        <v>7516</v>
      </c>
      <c r="S784" s="220" t="s">
        <v>910</v>
      </c>
      <c r="T784" s="167"/>
      <c r="U784" s="334" t="s">
        <v>7271</v>
      </c>
      <c r="V784" s="168">
        <f t="shared" si="3"/>
        <v>111514.59</v>
      </c>
      <c r="W784" s="168">
        <f t="shared" si="4"/>
        <v>0</v>
      </c>
      <c r="X784" s="168">
        <f t="shared" si="5"/>
        <v>0</v>
      </c>
      <c r="Y784" s="168">
        <f t="shared" si="6"/>
        <v>0</v>
      </c>
      <c r="Z784" s="168">
        <f t="shared" si="7"/>
        <v>0</v>
      </c>
      <c r="AA784" s="168">
        <f t="shared" si="8"/>
        <v>0</v>
      </c>
      <c r="AB784" s="168">
        <f t="shared" si="9"/>
        <v>0</v>
      </c>
    </row>
    <row r="785" ht="14.25" customHeight="1">
      <c r="A785" s="157">
        <v>2001.0</v>
      </c>
      <c r="B785" s="169" t="s">
        <v>29</v>
      </c>
      <c r="C785" s="169" t="s">
        <v>7517</v>
      </c>
      <c r="D785" s="336">
        <v>43714.0</v>
      </c>
      <c r="E785" s="157" t="s">
        <v>600</v>
      </c>
      <c r="F785" s="160">
        <v>2500.0</v>
      </c>
      <c r="G785" s="160">
        <v>400.0</v>
      </c>
      <c r="H785" s="160">
        <f t="shared" si="29"/>
        <v>2900</v>
      </c>
      <c r="I785" s="172"/>
      <c r="J785" s="169"/>
      <c r="K785" s="172"/>
      <c r="L785" s="172">
        <f>+'FACUS$'!$H785-'FACUS$'!$I785-'FACUS$'!$K785</f>
        <v>2900</v>
      </c>
      <c r="M785" s="162" t="s">
        <v>7509</v>
      </c>
      <c r="N785" s="337" t="s">
        <v>554</v>
      </c>
      <c r="O785" s="338">
        <v>43720.0</v>
      </c>
      <c r="P785" s="164">
        <f t="array" ref="P785">XLOOKUP('FACUS$'!$B785,'perfil de pagos'!$A$4:$A$46,'perfil de pagos'!$C$4:$C$46+'FACUS$'!$D785)</f>
        <v>43724</v>
      </c>
      <c r="Q785" s="165">
        <f t="shared" si="2"/>
        <v>0</v>
      </c>
      <c r="R785" s="167"/>
      <c r="S785" s="167"/>
      <c r="T785" s="167"/>
      <c r="U785" s="334" t="s">
        <v>7271</v>
      </c>
      <c r="V785" s="168">
        <f t="shared" si="3"/>
        <v>2900</v>
      </c>
      <c r="W785" s="168">
        <f t="shared" si="4"/>
        <v>0</v>
      </c>
      <c r="X785" s="168">
        <f t="shared" si="5"/>
        <v>0</v>
      </c>
      <c r="Y785" s="168">
        <f t="shared" si="6"/>
        <v>0</v>
      </c>
      <c r="Z785" s="168">
        <f t="shared" si="7"/>
        <v>0</v>
      </c>
      <c r="AA785" s="168">
        <f t="shared" si="8"/>
        <v>0</v>
      </c>
      <c r="AB785" s="168">
        <f t="shared" si="9"/>
        <v>0</v>
      </c>
    </row>
    <row r="786" ht="14.25" customHeight="1">
      <c r="A786" s="157">
        <v>2002.0</v>
      </c>
      <c r="B786" s="169" t="s">
        <v>29</v>
      </c>
      <c r="C786" s="169" t="s">
        <v>7518</v>
      </c>
      <c r="D786" s="336">
        <v>43714.0</v>
      </c>
      <c r="E786" s="157" t="s">
        <v>600</v>
      </c>
      <c r="F786" s="160">
        <v>2500.0</v>
      </c>
      <c r="G786" s="160">
        <v>400.0</v>
      </c>
      <c r="H786" s="160">
        <f t="shared" si="29"/>
        <v>2900</v>
      </c>
      <c r="I786" s="172"/>
      <c r="J786" s="169"/>
      <c r="K786" s="172"/>
      <c r="L786" s="172">
        <f>+'FACUS$'!$H786-'FACUS$'!$I786-'FACUS$'!$K786</f>
        <v>2900</v>
      </c>
      <c r="M786" s="162" t="s">
        <v>712</v>
      </c>
      <c r="N786" s="337" t="s">
        <v>554</v>
      </c>
      <c r="O786" s="338">
        <v>43720.0</v>
      </c>
      <c r="P786" s="164">
        <f t="array" ref="P786">XLOOKUP('FACUS$'!$B786,'perfil de pagos'!$A$4:$A$46,'perfil de pagos'!$C$4:$C$46+'FACUS$'!$D786)</f>
        <v>43724</v>
      </c>
      <c r="Q786" s="165">
        <f t="shared" si="2"/>
        <v>0</v>
      </c>
      <c r="R786" s="167"/>
      <c r="S786" s="167"/>
      <c r="T786" s="167"/>
      <c r="U786" s="334" t="s">
        <v>7271</v>
      </c>
      <c r="V786" s="168">
        <f t="shared" si="3"/>
        <v>2900</v>
      </c>
      <c r="W786" s="168">
        <f t="shared" si="4"/>
        <v>0</v>
      </c>
      <c r="X786" s="168">
        <f t="shared" si="5"/>
        <v>0</v>
      </c>
      <c r="Y786" s="168">
        <f t="shared" si="6"/>
        <v>0</v>
      </c>
      <c r="Z786" s="168">
        <f t="shared" si="7"/>
        <v>0</v>
      </c>
      <c r="AA786" s="168">
        <f t="shared" si="8"/>
        <v>0</v>
      </c>
      <c r="AB786" s="168">
        <f t="shared" si="9"/>
        <v>0</v>
      </c>
    </row>
    <row r="787" ht="14.25" customHeight="1">
      <c r="A787" s="157">
        <v>2004.0</v>
      </c>
      <c r="B787" s="169" t="s">
        <v>29</v>
      </c>
      <c r="C787" s="169" t="s">
        <v>7519</v>
      </c>
      <c r="D787" s="336">
        <v>43714.0</v>
      </c>
      <c r="E787" s="157" t="s">
        <v>600</v>
      </c>
      <c r="F787" s="160">
        <v>6500.0</v>
      </c>
      <c r="G787" s="160">
        <v>1040.0</v>
      </c>
      <c r="H787" s="160">
        <f t="shared" si="29"/>
        <v>7540</v>
      </c>
      <c r="I787" s="172"/>
      <c r="J787" s="169"/>
      <c r="K787" s="172"/>
      <c r="L787" s="172">
        <f>+'FACUS$'!$H787-'FACUS$'!$I787-'FACUS$'!$K787</f>
        <v>7540</v>
      </c>
      <c r="M787" s="162" t="s">
        <v>712</v>
      </c>
      <c r="N787" s="337" t="s">
        <v>554</v>
      </c>
      <c r="O787" s="338">
        <v>43720.0</v>
      </c>
      <c r="P787" s="164">
        <f t="array" ref="P787">XLOOKUP('FACUS$'!$B787,'perfil de pagos'!$A$4:$A$46,'perfil de pagos'!$C$4:$C$46+'FACUS$'!$D787)</f>
        <v>43724</v>
      </c>
      <c r="Q787" s="165">
        <f t="shared" si="2"/>
        <v>0</v>
      </c>
      <c r="R787" s="167"/>
      <c r="S787" s="167"/>
      <c r="T787" s="167"/>
      <c r="U787" s="334" t="s">
        <v>7271</v>
      </c>
      <c r="V787" s="168">
        <f t="shared" si="3"/>
        <v>7540</v>
      </c>
      <c r="W787" s="168">
        <f t="shared" si="4"/>
        <v>0</v>
      </c>
      <c r="X787" s="168">
        <f t="shared" si="5"/>
        <v>0</v>
      </c>
      <c r="Y787" s="168">
        <f t="shared" si="6"/>
        <v>0</v>
      </c>
      <c r="Z787" s="168">
        <f t="shared" si="7"/>
        <v>0</v>
      </c>
      <c r="AA787" s="168">
        <f t="shared" si="8"/>
        <v>0</v>
      </c>
      <c r="AB787" s="168">
        <f t="shared" si="9"/>
        <v>0</v>
      </c>
    </row>
    <row r="788" ht="14.25" customHeight="1">
      <c r="A788" s="157">
        <v>2005.0</v>
      </c>
      <c r="B788" s="169" t="s">
        <v>29</v>
      </c>
      <c r="C788" s="169" t="s">
        <v>7520</v>
      </c>
      <c r="D788" s="336">
        <v>43714.0</v>
      </c>
      <c r="E788" s="157" t="s">
        <v>600</v>
      </c>
      <c r="F788" s="160">
        <v>15000.0</v>
      </c>
      <c r="G788" s="160">
        <v>2400.0</v>
      </c>
      <c r="H788" s="160">
        <f t="shared" si="29"/>
        <v>17400</v>
      </c>
      <c r="I788" s="172"/>
      <c r="J788" s="169"/>
      <c r="K788" s="172"/>
      <c r="L788" s="172">
        <f>+'FACUS$'!$H788-'FACUS$'!$I788-'FACUS$'!$K788</f>
        <v>17400</v>
      </c>
      <c r="M788" s="162" t="s">
        <v>7509</v>
      </c>
      <c r="N788" s="337" t="s">
        <v>554</v>
      </c>
      <c r="O788" s="338">
        <v>43720.0</v>
      </c>
      <c r="P788" s="164">
        <f t="array" ref="P788">XLOOKUP('FACUS$'!$B788,'perfil de pagos'!$A$4:$A$46,'perfil de pagos'!$C$4:$C$46+'FACUS$'!$D788)</f>
        <v>43724</v>
      </c>
      <c r="Q788" s="165">
        <f t="shared" si="2"/>
        <v>0</v>
      </c>
      <c r="R788" s="167"/>
      <c r="S788" s="167"/>
      <c r="T788" s="167"/>
      <c r="U788" s="334" t="s">
        <v>7271</v>
      </c>
      <c r="V788" s="168">
        <f t="shared" si="3"/>
        <v>17400</v>
      </c>
      <c r="W788" s="168">
        <f t="shared" si="4"/>
        <v>0</v>
      </c>
      <c r="X788" s="168">
        <f t="shared" si="5"/>
        <v>0</v>
      </c>
      <c r="Y788" s="168">
        <f t="shared" si="6"/>
        <v>0</v>
      </c>
      <c r="Z788" s="168">
        <f t="shared" si="7"/>
        <v>0</v>
      </c>
      <c r="AA788" s="168">
        <f t="shared" si="8"/>
        <v>0</v>
      </c>
      <c r="AB788" s="168">
        <f t="shared" si="9"/>
        <v>0</v>
      </c>
    </row>
    <row r="789" ht="14.25" customHeight="1">
      <c r="A789" s="157" t="s">
        <v>7521</v>
      </c>
      <c r="B789" s="169" t="s">
        <v>37</v>
      </c>
      <c r="C789" s="169" t="s">
        <v>2407</v>
      </c>
      <c r="D789" s="336">
        <v>44217.0</v>
      </c>
      <c r="E789" s="157" t="s">
        <v>600</v>
      </c>
      <c r="F789" s="160">
        <v>75059.39</v>
      </c>
      <c r="G789" s="160">
        <v>12009.5</v>
      </c>
      <c r="H789" s="160">
        <f t="shared" si="29"/>
        <v>87068.89</v>
      </c>
      <c r="I789" s="172"/>
      <c r="J789" s="169"/>
      <c r="K789" s="172"/>
      <c r="L789" s="172">
        <f>+'FACUS$'!$H789-'FACUS$'!$I789-'FACUS$'!$K789</f>
        <v>87068.89</v>
      </c>
      <c r="M789" s="162" t="s">
        <v>116</v>
      </c>
      <c r="N789" s="337" t="s">
        <v>554</v>
      </c>
      <c r="O789" s="338">
        <v>44242.0</v>
      </c>
      <c r="P789" s="164">
        <f t="array" ref="P789">XLOOKUP('FACUS$'!$B789,'perfil de pagos'!$A$4:$A$46,'perfil de pagos'!$C$4:$C$46+'FACUS$'!$D789)</f>
        <v>44227</v>
      </c>
      <c r="Q789" s="165">
        <f t="shared" si="2"/>
        <v>0</v>
      </c>
      <c r="R789" s="167"/>
      <c r="S789" s="167"/>
      <c r="T789" s="167"/>
      <c r="U789" s="334" t="s">
        <v>7271</v>
      </c>
      <c r="V789" s="168">
        <f t="shared" si="3"/>
        <v>87068.89</v>
      </c>
      <c r="W789" s="168">
        <f t="shared" si="4"/>
        <v>0</v>
      </c>
      <c r="X789" s="168">
        <f t="shared" si="5"/>
        <v>0</v>
      </c>
      <c r="Y789" s="168">
        <f t="shared" si="6"/>
        <v>0</v>
      </c>
      <c r="Z789" s="168">
        <f t="shared" si="7"/>
        <v>0</v>
      </c>
      <c r="AA789" s="168">
        <f t="shared" si="8"/>
        <v>0</v>
      </c>
      <c r="AB789" s="168">
        <f t="shared" si="9"/>
        <v>0</v>
      </c>
    </row>
    <row r="790" ht="14.25" customHeight="1">
      <c r="A790" s="157" t="s">
        <v>7522</v>
      </c>
      <c r="B790" s="169" t="s">
        <v>29</v>
      </c>
      <c r="C790" s="169" t="s">
        <v>7523</v>
      </c>
      <c r="D790" s="336">
        <v>43726.0</v>
      </c>
      <c r="E790" s="157" t="s">
        <v>600</v>
      </c>
      <c r="F790" s="160">
        <v>23476.95</v>
      </c>
      <c r="G790" s="160">
        <v>3756.31</v>
      </c>
      <c r="H790" s="160">
        <f t="shared" si="29"/>
        <v>27233.26</v>
      </c>
      <c r="I790" s="172"/>
      <c r="J790" s="169"/>
      <c r="K790" s="172"/>
      <c r="L790" s="172">
        <f>+'FACUS$'!$H790-'FACUS$'!$I790-'FACUS$'!$K790</f>
        <v>27233.26</v>
      </c>
      <c r="M790" s="162" t="s">
        <v>825</v>
      </c>
      <c r="N790" s="337" t="s">
        <v>554</v>
      </c>
      <c r="O790" s="338">
        <v>43746.0</v>
      </c>
      <c r="P790" s="164">
        <f t="array" ref="P790">XLOOKUP('FACUS$'!$B790,'perfil de pagos'!$A$4:$A$46,'perfil de pagos'!$C$4:$C$46+'FACUS$'!$D790)</f>
        <v>43736</v>
      </c>
      <c r="Q790" s="165">
        <f t="shared" si="2"/>
        <v>0</v>
      </c>
      <c r="R790" s="167"/>
      <c r="S790" s="167"/>
      <c r="T790" s="167"/>
      <c r="U790" s="334" t="s">
        <v>7271</v>
      </c>
      <c r="V790" s="168">
        <f t="shared" si="3"/>
        <v>27233.26</v>
      </c>
      <c r="W790" s="168">
        <f t="shared" si="4"/>
        <v>0</v>
      </c>
      <c r="X790" s="168">
        <f t="shared" si="5"/>
        <v>0</v>
      </c>
      <c r="Y790" s="168">
        <f t="shared" si="6"/>
        <v>0</v>
      </c>
      <c r="Z790" s="168">
        <f t="shared" si="7"/>
        <v>0</v>
      </c>
      <c r="AA790" s="168">
        <f t="shared" si="8"/>
        <v>0</v>
      </c>
      <c r="AB790" s="168">
        <f t="shared" si="9"/>
        <v>0</v>
      </c>
    </row>
    <row r="791" ht="14.25" customHeight="1">
      <c r="A791" s="157" t="s">
        <v>7524</v>
      </c>
      <c r="B791" s="169" t="s">
        <v>43</v>
      </c>
      <c r="C791" s="169" t="s">
        <v>1024</v>
      </c>
      <c r="D791" s="336">
        <v>43726.0</v>
      </c>
      <c r="E791" s="157" t="s">
        <v>600</v>
      </c>
      <c r="F791" s="160">
        <v>24937.63</v>
      </c>
      <c r="G791" s="160">
        <v>3990.02</v>
      </c>
      <c r="H791" s="160">
        <f t="shared" si="29"/>
        <v>28927.65</v>
      </c>
      <c r="I791" s="172"/>
      <c r="J791" s="169"/>
      <c r="K791" s="172"/>
      <c r="L791" s="172">
        <f>+'FACUS$'!$H791-'FACUS$'!$I791-'FACUS$'!$K791</f>
        <v>28927.65</v>
      </c>
      <c r="M791" s="162" t="s">
        <v>43</v>
      </c>
      <c r="N791" s="337" t="s">
        <v>554</v>
      </c>
      <c r="O791" s="338">
        <v>43749.0</v>
      </c>
      <c r="P791" s="164">
        <f t="array" ref="P791">XLOOKUP('FACUS$'!$B791,'perfil de pagos'!$A$4:$A$46,'perfil de pagos'!$C$4:$C$46+'FACUS$'!$D791)</f>
        <v>43751</v>
      </c>
      <c r="Q791" s="165">
        <f t="shared" si="2"/>
        <v>0</v>
      </c>
      <c r="R791" s="167"/>
      <c r="S791" s="167" t="s">
        <v>910</v>
      </c>
      <c r="T791" s="167"/>
      <c r="U791" s="334" t="s">
        <v>7271</v>
      </c>
      <c r="V791" s="168">
        <f t="shared" si="3"/>
        <v>28927.65</v>
      </c>
      <c r="W791" s="168">
        <f t="shared" si="4"/>
        <v>0</v>
      </c>
      <c r="X791" s="168">
        <f t="shared" si="5"/>
        <v>0</v>
      </c>
      <c r="Y791" s="168">
        <f t="shared" si="6"/>
        <v>0</v>
      </c>
      <c r="Z791" s="168">
        <f t="shared" si="7"/>
        <v>0</v>
      </c>
      <c r="AA791" s="168">
        <f t="shared" si="8"/>
        <v>0</v>
      </c>
      <c r="AB791" s="168">
        <f t="shared" si="9"/>
        <v>0</v>
      </c>
    </row>
    <row r="792" ht="14.25" customHeight="1">
      <c r="A792" s="157" t="s">
        <v>7525</v>
      </c>
      <c r="B792" s="169" t="s">
        <v>41</v>
      </c>
      <c r="C792" s="169" t="s">
        <v>1024</v>
      </c>
      <c r="D792" s="336">
        <v>43728.0</v>
      </c>
      <c r="E792" s="157" t="s">
        <v>600</v>
      </c>
      <c r="F792" s="160">
        <v>22475.54</v>
      </c>
      <c r="G792" s="160">
        <v>3596.09</v>
      </c>
      <c r="H792" s="160">
        <f t="shared" si="29"/>
        <v>26071.63</v>
      </c>
      <c r="I792" s="172"/>
      <c r="J792" s="169"/>
      <c r="K792" s="172"/>
      <c r="L792" s="172">
        <f>+'FACUS$'!$H792-'FACUS$'!$I792-'FACUS$'!$K792</f>
        <v>26071.63</v>
      </c>
      <c r="M792" s="162" t="s">
        <v>875</v>
      </c>
      <c r="N792" s="337" t="s">
        <v>554</v>
      </c>
      <c r="O792" s="338">
        <v>43791.0</v>
      </c>
      <c r="P792" s="164">
        <f t="array" ref="P792">XLOOKUP('FACUS$'!$B792,'perfil de pagos'!$A$4:$A$46,'perfil de pagos'!$C$4:$C$46+'FACUS$'!$D792)</f>
        <v>43738</v>
      </c>
      <c r="Q792" s="165">
        <f t="shared" si="2"/>
        <v>0</v>
      </c>
      <c r="R792" s="167"/>
      <c r="S792" s="167"/>
      <c r="T792" s="167"/>
      <c r="U792" s="334" t="s">
        <v>7271</v>
      </c>
      <c r="V792" s="168">
        <f t="shared" si="3"/>
        <v>26071.63</v>
      </c>
      <c r="W792" s="168">
        <f t="shared" si="4"/>
        <v>0</v>
      </c>
      <c r="X792" s="168">
        <f t="shared" si="5"/>
        <v>0</v>
      </c>
      <c r="Y792" s="168">
        <f t="shared" si="6"/>
        <v>0</v>
      </c>
      <c r="Z792" s="168">
        <f t="shared" si="7"/>
        <v>0</v>
      </c>
      <c r="AA792" s="168">
        <f t="shared" si="8"/>
        <v>0</v>
      </c>
      <c r="AB792" s="168">
        <f t="shared" si="9"/>
        <v>0</v>
      </c>
    </row>
    <row r="793" ht="14.25" customHeight="1">
      <c r="A793" s="157" t="s">
        <v>7526</v>
      </c>
      <c r="B793" s="169" t="s">
        <v>30</v>
      </c>
      <c r="C793" s="169" t="s">
        <v>1024</v>
      </c>
      <c r="D793" s="336">
        <v>43728.0</v>
      </c>
      <c r="E793" s="157" t="s">
        <v>600</v>
      </c>
      <c r="F793" s="160">
        <v>5081.01</v>
      </c>
      <c r="G793" s="160">
        <v>812.96</v>
      </c>
      <c r="H793" s="160">
        <f t="shared" si="29"/>
        <v>5893.97</v>
      </c>
      <c r="I793" s="172"/>
      <c r="J793" s="169"/>
      <c r="K793" s="172"/>
      <c r="L793" s="172">
        <f>+'FACUS$'!$H793-'FACUS$'!$I793-'FACUS$'!$K793</f>
        <v>5893.97</v>
      </c>
      <c r="M793" s="162" t="s">
        <v>7415</v>
      </c>
      <c r="N793" s="337" t="s">
        <v>554</v>
      </c>
      <c r="O793" s="338">
        <v>43777.0</v>
      </c>
      <c r="P793" s="164">
        <f t="array" ref="P793">XLOOKUP('FACUS$'!$B793,'perfil de pagos'!$A$4:$A$46,'perfil de pagos'!$C$4:$C$46+'FACUS$'!$D793)</f>
        <v>43738</v>
      </c>
      <c r="Q793" s="165">
        <f t="shared" si="2"/>
        <v>0</v>
      </c>
      <c r="R793" s="220" t="s">
        <v>7527</v>
      </c>
      <c r="S793" s="223" t="s">
        <v>910</v>
      </c>
      <c r="T793" s="167"/>
      <c r="U793" s="334" t="s">
        <v>7271</v>
      </c>
      <c r="V793" s="168">
        <f t="shared" si="3"/>
        <v>5893.97</v>
      </c>
      <c r="W793" s="168">
        <f t="shared" si="4"/>
        <v>0</v>
      </c>
      <c r="X793" s="168">
        <f t="shared" si="5"/>
        <v>0</v>
      </c>
      <c r="Y793" s="168">
        <f t="shared" si="6"/>
        <v>0</v>
      </c>
      <c r="Z793" s="168">
        <f t="shared" si="7"/>
        <v>0</v>
      </c>
      <c r="AA793" s="168">
        <f t="shared" si="8"/>
        <v>0</v>
      </c>
      <c r="AB793" s="168">
        <f t="shared" si="9"/>
        <v>0</v>
      </c>
    </row>
    <row r="794" ht="14.25" customHeight="1">
      <c r="A794" s="157" t="s">
        <v>7528</v>
      </c>
      <c r="B794" s="169" t="s">
        <v>18</v>
      </c>
      <c r="C794" s="169" t="s">
        <v>1024</v>
      </c>
      <c r="D794" s="336">
        <v>43728.0</v>
      </c>
      <c r="E794" s="157" t="s">
        <v>600</v>
      </c>
      <c r="F794" s="160">
        <v>2494.41</v>
      </c>
      <c r="G794" s="160">
        <v>399.11</v>
      </c>
      <c r="H794" s="160">
        <f t="shared" si="29"/>
        <v>2893.52</v>
      </c>
      <c r="I794" s="172"/>
      <c r="J794" s="169"/>
      <c r="K794" s="172"/>
      <c r="L794" s="172">
        <f>+'FACUS$'!$H794-'FACUS$'!$I794-'FACUS$'!$K794</f>
        <v>2893.52</v>
      </c>
      <c r="M794" s="162" t="s">
        <v>586</v>
      </c>
      <c r="N794" s="337" t="s">
        <v>554</v>
      </c>
      <c r="O794" s="338">
        <v>43759.0</v>
      </c>
      <c r="P794" s="164">
        <f t="array" ref="P794">XLOOKUP('FACUS$'!$B794,'perfil de pagos'!$A$4:$A$46,'perfil de pagos'!$C$4:$C$46+'FACUS$'!$D794)</f>
        <v>43738</v>
      </c>
      <c r="Q794" s="165">
        <f t="shared" si="2"/>
        <v>0</v>
      </c>
      <c r="R794" s="167"/>
      <c r="S794" s="167" t="s">
        <v>910</v>
      </c>
      <c r="T794" s="167"/>
      <c r="U794" s="334" t="s">
        <v>7271</v>
      </c>
      <c r="V794" s="168">
        <f t="shared" si="3"/>
        <v>2893.52</v>
      </c>
      <c r="W794" s="168">
        <f t="shared" si="4"/>
        <v>0</v>
      </c>
      <c r="X794" s="168">
        <f t="shared" si="5"/>
        <v>0</v>
      </c>
      <c r="Y794" s="168">
        <f t="shared" si="6"/>
        <v>0</v>
      </c>
      <c r="Z794" s="168">
        <f t="shared" si="7"/>
        <v>0</v>
      </c>
      <c r="AA794" s="168">
        <f t="shared" si="8"/>
        <v>0</v>
      </c>
      <c r="AB794" s="168">
        <f t="shared" si="9"/>
        <v>0</v>
      </c>
    </row>
    <row r="795" ht="14.25" customHeight="1">
      <c r="A795" s="157" t="s">
        <v>7529</v>
      </c>
      <c r="B795" s="169" t="s">
        <v>37</v>
      </c>
      <c r="C795" s="169" t="s">
        <v>1024</v>
      </c>
      <c r="D795" s="336">
        <v>43728.0</v>
      </c>
      <c r="E795" s="157" t="s">
        <v>600</v>
      </c>
      <c r="F795" s="160">
        <v>26079.83</v>
      </c>
      <c r="G795" s="160">
        <v>4172.77</v>
      </c>
      <c r="H795" s="160">
        <f t="shared" si="29"/>
        <v>30252.6</v>
      </c>
      <c r="I795" s="172"/>
      <c r="J795" s="169"/>
      <c r="K795" s="172"/>
      <c r="L795" s="172">
        <f>+'FACUS$'!$H795-'FACUS$'!$I795-'FACUS$'!$K795</f>
        <v>30252.6</v>
      </c>
      <c r="M795" s="162" t="s">
        <v>116</v>
      </c>
      <c r="N795" s="337" t="s">
        <v>554</v>
      </c>
      <c r="O795" s="338">
        <v>43748.0</v>
      </c>
      <c r="P795" s="164">
        <f t="array" ref="P795">XLOOKUP('FACUS$'!$B795,'perfil de pagos'!$A$4:$A$46,'perfil de pagos'!$C$4:$C$46+'FACUS$'!$D795)</f>
        <v>43738</v>
      </c>
      <c r="Q795" s="165">
        <f t="shared" si="2"/>
        <v>0</v>
      </c>
      <c r="R795" s="167" t="s">
        <v>7530</v>
      </c>
      <c r="S795" s="220" t="s">
        <v>910</v>
      </c>
      <c r="T795" s="167"/>
      <c r="U795" s="334" t="s">
        <v>7271</v>
      </c>
      <c r="V795" s="168">
        <f t="shared" si="3"/>
        <v>30252.6</v>
      </c>
      <c r="W795" s="168">
        <f t="shared" si="4"/>
        <v>0</v>
      </c>
      <c r="X795" s="168">
        <f t="shared" si="5"/>
        <v>0</v>
      </c>
      <c r="Y795" s="168">
        <f t="shared" si="6"/>
        <v>0</v>
      </c>
      <c r="Z795" s="168">
        <f t="shared" si="7"/>
        <v>0</v>
      </c>
      <c r="AA795" s="168">
        <f t="shared" si="8"/>
        <v>0</v>
      </c>
      <c r="AB795" s="168">
        <f t="shared" si="9"/>
        <v>0</v>
      </c>
    </row>
    <row r="796" ht="14.25" customHeight="1">
      <c r="A796" s="157" t="s">
        <v>7531</v>
      </c>
      <c r="B796" s="169" t="s">
        <v>30</v>
      </c>
      <c r="C796" s="169" t="s">
        <v>7532</v>
      </c>
      <c r="D796" s="336">
        <v>43735.0</v>
      </c>
      <c r="E796" s="157" t="s">
        <v>600</v>
      </c>
      <c r="F796" s="160">
        <v>3000.0</v>
      </c>
      <c r="G796" s="160">
        <v>480.0</v>
      </c>
      <c r="H796" s="160">
        <f t="shared" si="29"/>
        <v>3480</v>
      </c>
      <c r="I796" s="172"/>
      <c r="J796" s="169"/>
      <c r="K796" s="172"/>
      <c r="L796" s="172">
        <f>+'FACUS$'!$H796-'FACUS$'!$I796-'FACUS$'!$K796</f>
        <v>3480</v>
      </c>
      <c r="M796" s="162" t="s">
        <v>7415</v>
      </c>
      <c r="N796" s="337" t="s">
        <v>554</v>
      </c>
      <c r="O796" s="338">
        <v>43840.0</v>
      </c>
      <c r="P796" s="164">
        <f t="array" ref="P796">XLOOKUP('FACUS$'!$B796,'perfil de pagos'!$A$4:$A$46,'perfil de pagos'!$C$4:$C$46+'FACUS$'!$D796)</f>
        <v>43745</v>
      </c>
      <c r="Q796" s="165">
        <f t="shared" si="2"/>
        <v>0</v>
      </c>
      <c r="R796" s="167" t="s">
        <v>7533</v>
      </c>
      <c r="S796" s="167" t="s">
        <v>910</v>
      </c>
      <c r="T796" s="167"/>
      <c r="U796" s="334" t="s">
        <v>7271</v>
      </c>
      <c r="V796" s="168">
        <f t="shared" si="3"/>
        <v>3480</v>
      </c>
      <c r="W796" s="168">
        <f t="shared" si="4"/>
        <v>0</v>
      </c>
      <c r="X796" s="168">
        <f t="shared" si="5"/>
        <v>0</v>
      </c>
      <c r="Y796" s="168">
        <f t="shared" si="6"/>
        <v>0</v>
      </c>
      <c r="Z796" s="168">
        <f t="shared" si="7"/>
        <v>0</v>
      </c>
      <c r="AA796" s="168">
        <f t="shared" si="8"/>
        <v>0</v>
      </c>
      <c r="AB796" s="168">
        <f t="shared" si="9"/>
        <v>0</v>
      </c>
    </row>
    <row r="797" ht="14.25" customHeight="1">
      <c r="A797" s="157" t="s">
        <v>7534</v>
      </c>
      <c r="B797" s="169" t="s">
        <v>30</v>
      </c>
      <c r="C797" s="169" t="s">
        <v>7535</v>
      </c>
      <c r="D797" s="336">
        <v>43735.0</v>
      </c>
      <c r="E797" s="157" t="s">
        <v>600</v>
      </c>
      <c r="F797" s="160">
        <v>3000.0</v>
      </c>
      <c r="G797" s="160">
        <v>480.0</v>
      </c>
      <c r="H797" s="160">
        <f t="shared" si="29"/>
        <v>3480</v>
      </c>
      <c r="I797" s="172"/>
      <c r="J797" s="169"/>
      <c r="K797" s="172"/>
      <c r="L797" s="172">
        <f>+'FACUS$'!$H797-'FACUS$'!$I797-'FACUS$'!$K797</f>
        <v>3480</v>
      </c>
      <c r="M797" s="162" t="s">
        <v>7415</v>
      </c>
      <c r="N797" s="337" t="s">
        <v>554</v>
      </c>
      <c r="O797" s="338">
        <v>43840.0</v>
      </c>
      <c r="P797" s="164">
        <f t="array" ref="P797">XLOOKUP('FACUS$'!$B797,'perfil de pagos'!$A$4:$A$46,'perfil de pagos'!$C$4:$C$46+'FACUS$'!$D797)</f>
        <v>43745</v>
      </c>
      <c r="Q797" s="165">
        <f t="shared" si="2"/>
        <v>0</v>
      </c>
      <c r="R797" s="167"/>
      <c r="S797" s="167" t="s">
        <v>910</v>
      </c>
      <c r="T797" s="167"/>
      <c r="U797" s="334" t="s">
        <v>7271</v>
      </c>
      <c r="V797" s="168">
        <f t="shared" si="3"/>
        <v>3480</v>
      </c>
      <c r="W797" s="168">
        <f t="shared" si="4"/>
        <v>0</v>
      </c>
      <c r="X797" s="168">
        <f t="shared" si="5"/>
        <v>0</v>
      </c>
      <c r="Y797" s="168">
        <f t="shared" si="6"/>
        <v>0</v>
      </c>
      <c r="Z797" s="168">
        <f t="shared" si="7"/>
        <v>0</v>
      </c>
      <c r="AA797" s="168">
        <f t="shared" si="8"/>
        <v>0</v>
      </c>
      <c r="AB797" s="168">
        <f t="shared" si="9"/>
        <v>0</v>
      </c>
    </row>
    <row r="798" ht="14.25" customHeight="1">
      <c r="A798" s="157" t="s">
        <v>7536</v>
      </c>
      <c r="B798" s="169" t="s">
        <v>30</v>
      </c>
      <c r="C798" s="169" t="s">
        <v>7537</v>
      </c>
      <c r="D798" s="336">
        <v>43735.0</v>
      </c>
      <c r="E798" s="157" t="s">
        <v>600</v>
      </c>
      <c r="F798" s="160">
        <v>3000.0</v>
      </c>
      <c r="G798" s="160">
        <v>480.0</v>
      </c>
      <c r="H798" s="160">
        <f t="shared" si="29"/>
        <v>3480</v>
      </c>
      <c r="I798" s="172"/>
      <c r="J798" s="169"/>
      <c r="K798" s="172"/>
      <c r="L798" s="172">
        <f>+'FACUS$'!$H798-'FACUS$'!$I798-'FACUS$'!$K798</f>
        <v>3480</v>
      </c>
      <c r="M798" s="162" t="s">
        <v>7415</v>
      </c>
      <c r="N798" s="337" t="s">
        <v>554</v>
      </c>
      <c r="O798" s="338">
        <v>43840.0</v>
      </c>
      <c r="P798" s="164">
        <f t="array" ref="P798">XLOOKUP('FACUS$'!$B798,'perfil de pagos'!$A$4:$A$46,'perfil de pagos'!$C$4:$C$46+'FACUS$'!$D798)</f>
        <v>43745</v>
      </c>
      <c r="Q798" s="165">
        <f t="shared" si="2"/>
        <v>0</v>
      </c>
      <c r="R798" s="167"/>
      <c r="S798" s="167" t="s">
        <v>910</v>
      </c>
      <c r="T798" s="167"/>
      <c r="U798" s="334" t="s">
        <v>7271</v>
      </c>
      <c r="V798" s="168">
        <f t="shared" si="3"/>
        <v>3480</v>
      </c>
      <c r="W798" s="168">
        <f t="shared" si="4"/>
        <v>0</v>
      </c>
      <c r="X798" s="168">
        <f t="shared" si="5"/>
        <v>0</v>
      </c>
      <c r="Y798" s="168">
        <f t="shared" si="6"/>
        <v>0</v>
      </c>
      <c r="Z798" s="168">
        <f t="shared" si="7"/>
        <v>0</v>
      </c>
      <c r="AA798" s="168">
        <f t="shared" si="8"/>
        <v>0</v>
      </c>
      <c r="AB798" s="168">
        <f t="shared" si="9"/>
        <v>0</v>
      </c>
    </row>
    <row r="799" ht="14.25" customHeight="1">
      <c r="A799" s="157" t="s">
        <v>7538</v>
      </c>
      <c r="B799" s="169" t="s">
        <v>30</v>
      </c>
      <c r="C799" s="169" t="s">
        <v>7539</v>
      </c>
      <c r="D799" s="336">
        <v>43735.0</v>
      </c>
      <c r="E799" s="157" t="s">
        <v>600</v>
      </c>
      <c r="F799" s="160">
        <v>3000.0</v>
      </c>
      <c r="G799" s="160">
        <v>480.0</v>
      </c>
      <c r="H799" s="160">
        <f t="shared" si="29"/>
        <v>3480</v>
      </c>
      <c r="I799" s="172"/>
      <c r="J799" s="169"/>
      <c r="K799" s="172"/>
      <c r="L799" s="172">
        <f>+'FACUS$'!$H799-'FACUS$'!$I799-'FACUS$'!$K799</f>
        <v>3480</v>
      </c>
      <c r="M799" s="162" t="s">
        <v>7415</v>
      </c>
      <c r="N799" s="337" t="s">
        <v>554</v>
      </c>
      <c r="O799" s="338">
        <v>43840.0</v>
      </c>
      <c r="P799" s="164">
        <f t="array" ref="P799">XLOOKUP('FACUS$'!$B799,'perfil de pagos'!$A$4:$A$46,'perfil de pagos'!$C$4:$C$46+'FACUS$'!$D799)</f>
        <v>43745</v>
      </c>
      <c r="Q799" s="165">
        <f t="shared" si="2"/>
        <v>0</v>
      </c>
      <c r="R799" s="167"/>
      <c r="S799" s="167" t="s">
        <v>910</v>
      </c>
      <c r="T799" s="167"/>
      <c r="U799" s="334" t="s">
        <v>7271</v>
      </c>
      <c r="V799" s="168">
        <f t="shared" si="3"/>
        <v>3480</v>
      </c>
      <c r="W799" s="168">
        <f t="shared" si="4"/>
        <v>0</v>
      </c>
      <c r="X799" s="168">
        <f t="shared" si="5"/>
        <v>0</v>
      </c>
      <c r="Y799" s="168">
        <f t="shared" si="6"/>
        <v>0</v>
      </c>
      <c r="Z799" s="168">
        <f t="shared" si="7"/>
        <v>0</v>
      </c>
      <c r="AA799" s="168">
        <f t="shared" si="8"/>
        <v>0</v>
      </c>
      <c r="AB799" s="168">
        <f t="shared" si="9"/>
        <v>0</v>
      </c>
    </row>
    <row r="800" ht="14.25" customHeight="1">
      <c r="A800" s="157" t="s">
        <v>7540</v>
      </c>
      <c r="B800" s="169" t="s">
        <v>30</v>
      </c>
      <c r="C800" s="169" t="s">
        <v>7541</v>
      </c>
      <c r="D800" s="336">
        <v>43735.0</v>
      </c>
      <c r="E800" s="157" t="s">
        <v>600</v>
      </c>
      <c r="F800" s="160">
        <v>3000.0</v>
      </c>
      <c r="G800" s="160">
        <v>480.0</v>
      </c>
      <c r="H800" s="160">
        <f t="shared" si="29"/>
        <v>3480</v>
      </c>
      <c r="I800" s="172"/>
      <c r="J800" s="169"/>
      <c r="K800" s="172"/>
      <c r="L800" s="172">
        <f>+'FACUS$'!$H800-'FACUS$'!$I800-'FACUS$'!$K800</f>
        <v>3480</v>
      </c>
      <c r="M800" s="162" t="s">
        <v>7415</v>
      </c>
      <c r="N800" s="337" t="s">
        <v>554</v>
      </c>
      <c r="O800" s="338">
        <v>43840.0</v>
      </c>
      <c r="P800" s="164">
        <f t="array" ref="P800">XLOOKUP('FACUS$'!$B800,'perfil de pagos'!$A$4:$A$46,'perfil de pagos'!$C$4:$C$46+'FACUS$'!$D800)</f>
        <v>43745</v>
      </c>
      <c r="Q800" s="165">
        <f t="shared" si="2"/>
        <v>0</v>
      </c>
      <c r="R800" s="167"/>
      <c r="S800" s="167" t="s">
        <v>910</v>
      </c>
      <c r="T800" s="167"/>
      <c r="U800" s="334" t="s">
        <v>7271</v>
      </c>
      <c r="V800" s="168">
        <f t="shared" si="3"/>
        <v>3480</v>
      </c>
      <c r="W800" s="168">
        <f t="shared" si="4"/>
        <v>0</v>
      </c>
      <c r="X800" s="168">
        <f t="shared" si="5"/>
        <v>0</v>
      </c>
      <c r="Y800" s="168">
        <f t="shared" si="6"/>
        <v>0</v>
      </c>
      <c r="Z800" s="168">
        <f t="shared" si="7"/>
        <v>0</v>
      </c>
      <c r="AA800" s="168">
        <f t="shared" si="8"/>
        <v>0</v>
      </c>
      <c r="AB800" s="168">
        <f t="shared" si="9"/>
        <v>0</v>
      </c>
    </row>
    <row r="801" ht="14.25" customHeight="1">
      <c r="A801" s="157" t="s">
        <v>7542</v>
      </c>
      <c r="B801" s="169" t="s">
        <v>30</v>
      </c>
      <c r="C801" s="169" t="s">
        <v>7543</v>
      </c>
      <c r="D801" s="336">
        <v>43735.0</v>
      </c>
      <c r="E801" s="157" t="s">
        <v>600</v>
      </c>
      <c r="F801" s="160"/>
      <c r="G801" s="160"/>
      <c r="H801" s="160">
        <f t="shared" si="29"/>
        <v>0</v>
      </c>
      <c r="I801" s="172"/>
      <c r="J801" s="169"/>
      <c r="K801" s="172"/>
      <c r="L801" s="172">
        <f>+'FACUS$'!$H801-'FACUS$'!$I801-'FACUS$'!$K801</f>
        <v>0</v>
      </c>
      <c r="M801" s="162"/>
      <c r="N801" s="337" t="s">
        <v>127</v>
      </c>
      <c r="O801" s="338"/>
      <c r="P801" s="164">
        <f t="array" ref="P801">XLOOKUP('FACUS$'!$B801,'perfil de pagos'!$A$4:$A$46,'perfil de pagos'!$C$4:$C$46+'FACUS$'!$D801)</f>
        <v>43745</v>
      </c>
      <c r="Q801" s="165" t="str">
        <f t="shared" si="2"/>
        <v>N/A</v>
      </c>
      <c r="R801" s="167"/>
      <c r="S801" s="167"/>
      <c r="T801" s="167"/>
      <c r="U801" s="334" t="s">
        <v>7271</v>
      </c>
      <c r="V801" s="168">
        <f t="shared" si="3"/>
        <v>0</v>
      </c>
      <c r="W801" s="168">
        <f t="shared" si="4"/>
        <v>0</v>
      </c>
      <c r="X801" s="168">
        <f t="shared" si="5"/>
        <v>0</v>
      </c>
      <c r="Y801" s="168">
        <f t="shared" si="6"/>
        <v>0</v>
      </c>
      <c r="Z801" s="168">
        <f t="shared" si="7"/>
        <v>0</v>
      </c>
      <c r="AA801" s="168">
        <f t="shared" si="8"/>
        <v>0</v>
      </c>
      <c r="AB801" s="168">
        <f t="shared" si="9"/>
        <v>0</v>
      </c>
    </row>
    <row r="802" ht="14.25" customHeight="1">
      <c r="A802" s="157" t="s">
        <v>7544</v>
      </c>
      <c r="B802" s="169" t="s">
        <v>30</v>
      </c>
      <c r="C802" s="169" t="s">
        <v>7545</v>
      </c>
      <c r="D802" s="336">
        <v>43735.0</v>
      </c>
      <c r="E802" s="157" t="s">
        <v>600</v>
      </c>
      <c r="F802" s="160"/>
      <c r="G802" s="160"/>
      <c r="H802" s="160">
        <f t="shared" si="29"/>
        <v>0</v>
      </c>
      <c r="I802" s="172"/>
      <c r="J802" s="169"/>
      <c r="K802" s="172"/>
      <c r="L802" s="172">
        <f>+'FACUS$'!$H802-'FACUS$'!$I802-'FACUS$'!$K802</f>
        <v>0</v>
      </c>
      <c r="M802" s="162"/>
      <c r="N802" s="337" t="s">
        <v>127</v>
      </c>
      <c r="O802" s="338"/>
      <c r="P802" s="164">
        <f t="array" ref="P802">XLOOKUP('FACUS$'!$B802,'perfil de pagos'!$A$4:$A$46,'perfil de pagos'!$C$4:$C$46+'FACUS$'!$D802)</f>
        <v>43745</v>
      </c>
      <c r="Q802" s="165" t="str">
        <f t="shared" si="2"/>
        <v>N/A</v>
      </c>
      <c r="R802" s="167"/>
      <c r="S802" s="167"/>
      <c r="T802" s="167"/>
      <c r="U802" s="334" t="s">
        <v>7271</v>
      </c>
      <c r="V802" s="168">
        <f t="shared" si="3"/>
        <v>0</v>
      </c>
      <c r="W802" s="168">
        <f t="shared" si="4"/>
        <v>0</v>
      </c>
      <c r="X802" s="168">
        <f t="shared" si="5"/>
        <v>0</v>
      </c>
      <c r="Y802" s="168">
        <f t="shared" si="6"/>
        <v>0</v>
      </c>
      <c r="Z802" s="168">
        <f t="shared" si="7"/>
        <v>0</v>
      </c>
      <c r="AA802" s="168">
        <f t="shared" si="8"/>
        <v>0</v>
      </c>
      <c r="AB802" s="168">
        <f t="shared" si="9"/>
        <v>0</v>
      </c>
    </row>
    <row r="803" ht="14.25" customHeight="1">
      <c r="A803" s="157" t="s">
        <v>7546</v>
      </c>
      <c r="B803" s="169" t="s">
        <v>30</v>
      </c>
      <c r="C803" s="169" t="s">
        <v>7547</v>
      </c>
      <c r="D803" s="336">
        <v>43735.0</v>
      </c>
      <c r="E803" s="157" t="s">
        <v>600</v>
      </c>
      <c r="F803" s="160">
        <v>3000.0</v>
      </c>
      <c r="G803" s="160">
        <v>480.0</v>
      </c>
      <c r="H803" s="160">
        <f t="shared" si="29"/>
        <v>3480</v>
      </c>
      <c r="I803" s="172"/>
      <c r="J803" s="169"/>
      <c r="K803" s="172"/>
      <c r="L803" s="172">
        <f>+'FACUS$'!$H803-'FACUS$'!$I803-'FACUS$'!$K803</f>
        <v>3480</v>
      </c>
      <c r="M803" s="162" t="s">
        <v>7415</v>
      </c>
      <c r="N803" s="337" t="s">
        <v>554</v>
      </c>
      <c r="O803" s="338">
        <v>43840.0</v>
      </c>
      <c r="P803" s="164">
        <f t="array" ref="P803">XLOOKUP('FACUS$'!$B803,'perfil de pagos'!$A$4:$A$46,'perfil de pagos'!$C$4:$C$46+'FACUS$'!$D803)</f>
        <v>43745</v>
      </c>
      <c r="Q803" s="165">
        <f t="shared" si="2"/>
        <v>0</v>
      </c>
      <c r="R803" s="167"/>
      <c r="S803" s="167" t="s">
        <v>910</v>
      </c>
      <c r="T803" s="167"/>
      <c r="U803" s="334" t="s">
        <v>7271</v>
      </c>
      <c r="V803" s="168">
        <f t="shared" si="3"/>
        <v>3480</v>
      </c>
      <c r="W803" s="168">
        <f t="shared" si="4"/>
        <v>0</v>
      </c>
      <c r="X803" s="168">
        <f t="shared" si="5"/>
        <v>0</v>
      </c>
      <c r="Y803" s="168">
        <f t="shared" si="6"/>
        <v>0</v>
      </c>
      <c r="Z803" s="168">
        <f t="shared" si="7"/>
        <v>0</v>
      </c>
      <c r="AA803" s="168">
        <f t="shared" si="8"/>
        <v>0</v>
      </c>
      <c r="AB803" s="168">
        <f t="shared" si="9"/>
        <v>0</v>
      </c>
    </row>
    <row r="804" ht="14.25" customHeight="1">
      <c r="A804" s="157" t="s">
        <v>7548</v>
      </c>
      <c r="B804" s="169" t="s">
        <v>30</v>
      </c>
      <c r="C804" s="169" t="s">
        <v>7549</v>
      </c>
      <c r="D804" s="336">
        <v>43735.0</v>
      </c>
      <c r="E804" s="157" t="s">
        <v>600</v>
      </c>
      <c r="F804" s="160">
        <v>3000.0</v>
      </c>
      <c r="G804" s="160">
        <v>480.0</v>
      </c>
      <c r="H804" s="160">
        <f t="shared" si="29"/>
        <v>3480</v>
      </c>
      <c r="I804" s="172"/>
      <c r="J804" s="169"/>
      <c r="K804" s="172"/>
      <c r="L804" s="172">
        <f>+'FACUS$'!$H804-'FACUS$'!$I804-'FACUS$'!$K804</f>
        <v>3480</v>
      </c>
      <c r="M804" s="162" t="s">
        <v>7415</v>
      </c>
      <c r="N804" s="337" t="s">
        <v>554</v>
      </c>
      <c r="O804" s="338">
        <v>43840.0</v>
      </c>
      <c r="P804" s="164">
        <f t="array" ref="P804">XLOOKUP('FACUS$'!$B804,'perfil de pagos'!$A$4:$A$46,'perfil de pagos'!$C$4:$C$46+'FACUS$'!$D804)</f>
        <v>43745</v>
      </c>
      <c r="Q804" s="165">
        <f t="shared" si="2"/>
        <v>0</v>
      </c>
      <c r="R804" s="167"/>
      <c r="S804" s="167" t="s">
        <v>910</v>
      </c>
      <c r="T804" s="167"/>
      <c r="U804" s="334" t="s">
        <v>7271</v>
      </c>
      <c r="V804" s="168">
        <f t="shared" si="3"/>
        <v>3480</v>
      </c>
      <c r="W804" s="168">
        <f t="shared" si="4"/>
        <v>0</v>
      </c>
      <c r="X804" s="168">
        <f t="shared" si="5"/>
        <v>0</v>
      </c>
      <c r="Y804" s="168">
        <f t="shared" si="6"/>
        <v>0</v>
      </c>
      <c r="Z804" s="168">
        <f t="shared" si="7"/>
        <v>0</v>
      </c>
      <c r="AA804" s="168">
        <f t="shared" si="8"/>
        <v>0</v>
      </c>
      <c r="AB804" s="168">
        <f t="shared" si="9"/>
        <v>0</v>
      </c>
    </row>
    <row r="805" ht="14.25" customHeight="1">
      <c r="A805" s="157" t="s">
        <v>7550</v>
      </c>
      <c r="B805" s="169" t="s">
        <v>30</v>
      </c>
      <c r="C805" s="169" t="s">
        <v>7551</v>
      </c>
      <c r="D805" s="336">
        <v>43735.0</v>
      </c>
      <c r="E805" s="157" t="s">
        <v>600</v>
      </c>
      <c r="F805" s="160">
        <v>3000.0</v>
      </c>
      <c r="G805" s="160">
        <v>480.0</v>
      </c>
      <c r="H805" s="160">
        <f t="shared" si="29"/>
        <v>3480</v>
      </c>
      <c r="I805" s="172"/>
      <c r="J805" s="169"/>
      <c r="K805" s="172"/>
      <c r="L805" s="172">
        <f>+'FACUS$'!$H805-'FACUS$'!$I805-'FACUS$'!$K805</f>
        <v>3480</v>
      </c>
      <c r="M805" s="162" t="s">
        <v>7415</v>
      </c>
      <c r="N805" s="337" t="s">
        <v>554</v>
      </c>
      <c r="O805" s="338">
        <v>43840.0</v>
      </c>
      <c r="P805" s="164">
        <f t="array" ref="P805">XLOOKUP('FACUS$'!$B805,'perfil de pagos'!$A$4:$A$46,'perfil de pagos'!$C$4:$C$46+'FACUS$'!$D805)</f>
        <v>43745</v>
      </c>
      <c r="Q805" s="165">
        <f t="shared" si="2"/>
        <v>0</v>
      </c>
      <c r="R805" s="167"/>
      <c r="S805" s="167" t="s">
        <v>910</v>
      </c>
      <c r="T805" s="167"/>
      <c r="U805" s="334" t="s">
        <v>7271</v>
      </c>
      <c r="V805" s="168">
        <f t="shared" si="3"/>
        <v>3480</v>
      </c>
      <c r="W805" s="168">
        <f t="shared" si="4"/>
        <v>0</v>
      </c>
      <c r="X805" s="168">
        <f t="shared" si="5"/>
        <v>0</v>
      </c>
      <c r="Y805" s="168">
        <f t="shared" si="6"/>
        <v>0</v>
      </c>
      <c r="Z805" s="168">
        <f t="shared" si="7"/>
        <v>0</v>
      </c>
      <c r="AA805" s="168">
        <f t="shared" si="8"/>
        <v>0</v>
      </c>
      <c r="AB805" s="168">
        <f t="shared" si="9"/>
        <v>0</v>
      </c>
    </row>
    <row r="806" ht="14.25" customHeight="1">
      <c r="A806" s="157" t="s">
        <v>7552</v>
      </c>
      <c r="B806" s="169" t="s">
        <v>29</v>
      </c>
      <c r="C806" s="169" t="s">
        <v>1052</v>
      </c>
      <c r="D806" s="336">
        <v>43740.0</v>
      </c>
      <c r="E806" s="157" t="s">
        <v>600</v>
      </c>
      <c r="F806" s="160">
        <v>13893.96</v>
      </c>
      <c r="G806" s="160">
        <v>2223.03</v>
      </c>
      <c r="H806" s="160">
        <f t="shared" si="29"/>
        <v>16116.99</v>
      </c>
      <c r="I806" s="172"/>
      <c r="J806" s="169"/>
      <c r="K806" s="172"/>
      <c r="L806" s="172">
        <f>+'FACUS$'!$H806-'FACUS$'!$I806-'FACUS$'!$K806</f>
        <v>16116.99</v>
      </c>
      <c r="M806" s="162" t="s">
        <v>825</v>
      </c>
      <c r="N806" s="337" t="s">
        <v>554</v>
      </c>
      <c r="O806" s="338">
        <v>43747.0</v>
      </c>
      <c r="P806" s="164">
        <f t="array" ref="P806">XLOOKUP('FACUS$'!$B806,'perfil de pagos'!$A$4:$A$46,'perfil de pagos'!$C$4:$C$46+'FACUS$'!$D806)</f>
        <v>43750</v>
      </c>
      <c r="Q806" s="165">
        <f t="shared" si="2"/>
        <v>0</v>
      </c>
      <c r="R806" s="167"/>
      <c r="S806" s="167"/>
      <c r="T806" s="167"/>
      <c r="U806" s="334" t="s">
        <v>7271</v>
      </c>
      <c r="V806" s="168">
        <f t="shared" si="3"/>
        <v>16116.99</v>
      </c>
      <c r="W806" s="168">
        <f t="shared" si="4"/>
        <v>0</v>
      </c>
      <c r="X806" s="168">
        <f t="shared" si="5"/>
        <v>0</v>
      </c>
      <c r="Y806" s="168">
        <f t="shared" si="6"/>
        <v>0</v>
      </c>
      <c r="Z806" s="168">
        <f t="shared" si="7"/>
        <v>0</v>
      </c>
      <c r="AA806" s="168">
        <f t="shared" si="8"/>
        <v>0</v>
      </c>
      <c r="AB806" s="168">
        <f t="shared" si="9"/>
        <v>0</v>
      </c>
    </row>
    <row r="807" ht="14.25" customHeight="1">
      <c r="A807" s="157" t="s">
        <v>7553</v>
      </c>
      <c r="B807" s="169" t="s">
        <v>43</v>
      </c>
      <c r="C807" s="169" t="s">
        <v>1052</v>
      </c>
      <c r="D807" s="336">
        <v>43740.0</v>
      </c>
      <c r="E807" s="157" t="s">
        <v>600</v>
      </c>
      <c r="F807" s="160"/>
      <c r="G807" s="160"/>
      <c r="H807" s="160">
        <f t="shared" si="29"/>
        <v>0</v>
      </c>
      <c r="I807" s="172"/>
      <c r="J807" s="169"/>
      <c r="K807" s="172"/>
      <c r="L807" s="172">
        <f>+'FACUS$'!$H807-'FACUS$'!$I807-'FACUS$'!$K807</f>
        <v>0</v>
      </c>
      <c r="M807" s="162" t="s">
        <v>43</v>
      </c>
      <c r="N807" s="337" t="s">
        <v>127</v>
      </c>
      <c r="O807" s="338"/>
      <c r="P807" s="164">
        <f t="array" ref="P807">XLOOKUP('FACUS$'!$B807,'perfil de pagos'!$A$4:$A$46,'perfil de pagos'!$C$4:$C$46+'FACUS$'!$D807)</f>
        <v>43765</v>
      </c>
      <c r="Q807" s="165" t="str">
        <f t="shared" si="2"/>
        <v>N/A</v>
      </c>
      <c r="R807" s="167"/>
      <c r="S807" s="167"/>
      <c r="T807" s="167"/>
      <c r="U807" s="334" t="s">
        <v>7271</v>
      </c>
      <c r="V807" s="168">
        <f t="shared" si="3"/>
        <v>0</v>
      </c>
      <c r="W807" s="168">
        <f t="shared" si="4"/>
        <v>0</v>
      </c>
      <c r="X807" s="168">
        <f t="shared" si="5"/>
        <v>0</v>
      </c>
      <c r="Y807" s="168">
        <f t="shared" si="6"/>
        <v>0</v>
      </c>
      <c r="Z807" s="168">
        <f t="shared" si="7"/>
        <v>0</v>
      </c>
      <c r="AA807" s="168">
        <f t="shared" si="8"/>
        <v>0</v>
      </c>
      <c r="AB807" s="168">
        <f t="shared" si="9"/>
        <v>0</v>
      </c>
    </row>
    <row r="808" ht="14.25" customHeight="1">
      <c r="A808" s="157" t="s">
        <v>7554</v>
      </c>
      <c r="B808" s="169" t="s">
        <v>36</v>
      </c>
      <c r="C808" s="169" t="s">
        <v>1024</v>
      </c>
      <c r="D808" s="336">
        <v>43740.0</v>
      </c>
      <c r="E808" s="157" t="s">
        <v>600</v>
      </c>
      <c r="F808" s="160">
        <v>3611.52</v>
      </c>
      <c r="G808" s="160">
        <v>577.84</v>
      </c>
      <c r="H808" s="160">
        <f t="shared" si="29"/>
        <v>4189.36</v>
      </c>
      <c r="I808" s="172"/>
      <c r="J808" s="169"/>
      <c r="K808" s="172"/>
      <c r="L808" s="172">
        <f>+'FACUS$'!$H808-'FACUS$'!$I808-'FACUS$'!$K808</f>
        <v>4189.36</v>
      </c>
      <c r="M808" s="162" t="s">
        <v>278</v>
      </c>
      <c r="N808" s="337" t="s">
        <v>554</v>
      </c>
      <c r="O808" s="338">
        <v>43928.0</v>
      </c>
      <c r="P808" s="164">
        <f t="array" ref="P808">XLOOKUP('FACUS$'!$B808,'perfil de pagos'!$A$4:$A$46,'perfil de pagos'!$C$4:$C$46+'FACUS$'!$D808)</f>
        <v>43750</v>
      </c>
      <c r="Q808" s="165">
        <f t="shared" si="2"/>
        <v>0</v>
      </c>
      <c r="R808" s="167" t="s">
        <v>7555</v>
      </c>
      <c r="S808" s="220" t="s">
        <v>910</v>
      </c>
      <c r="T808" s="167"/>
      <c r="U808" s="334" t="s">
        <v>7271</v>
      </c>
      <c r="V808" s="168">
        <f t="shared" si="3"/>
        <v>4189.36</v>
      </c>
      <c r="W808" s="168">
        <f t="shared" si="4"/>
        <v>0</v>
      </c>
      <c r="X808" s="168">
        <f t="shared" si="5"/>
        <v>0</v>
      </c>
      <c r="Y808" s="168">
        <f t="shared" si="6"/>
        <v>0</v>
      </c>
      <c r="Z808" s="168">
        <f t="shared" si="7"/>
        <v>0</v>
      </c>
      <c r="AA808" s="168">
        <f t="shared" si="8"/>
        <v>0</v>
      </c>
      <c r="AB808" s="168">
        <f t="shared" si="9"/>
        <v>0</v>
      </c>
    </row>
    <row r="809" ht="14.25" customHeight="1">
      <c r="A809" s="157" t="s">
        <v>7556</v>
      </c>
      <c r="B809" s="169" t="s">
        <v>36</v>
      </c>
      <c r="C809" s="169" t="s">
        <v>1052</v>
      </c>
      <c r="D809" s="336">
        <v>43740.0</v>
      </c>
      <c r="E809" s="157" t="s">
        <v>600</v>
      </c>
      <c r="F809" s="160">
        <v>5270.22</v>
      </c>
      <c r="G809" s="160">
        <v>843.24</v>
      </c>
      <c r="H809" s="160">
        <f t="shared" si="29"/>
        <v>6113.46</v>
      </c>
      <c r="I809" s="172"/>
      <c r="J809" s="169"/>
      <c r="K809" s="172"/>
      <c r="L809" s="172">
        <f>+'FACUS$'!$H809-'FACUS$'!$I809-'FACUS$'!$K809</f>
        <v>6113.46</v>
      </c>
      <c r="M809" s="162" t="s">
        <v>278</v>
      </c>
      <c r="N809" s="337" t="s">
        <v>554</v>
      </c>
      <c r="O809" s="338">
        <v>43759.0</v>
      </c>
      <c r="P809" s="164">
        <f t="array" ref="P809">XLOOKUP('FACUS$'!$B809,'perfil de pagos'!$A$4:$A$46,'perfil de pagos'!$C$4:$C$46+'FACUS$'!$D809)</f>
        <v>43750</v>
      </c>
      <c r="Q809" s="165">
        <f t="shared" si="2"/>
        <v>0</v>
      </c>
      <c r="R809" s="167" t="s">
        <v>7557</v>
      </c>
      <c r="S809" s="220" t="s">
        <v>910</v>
      </c>
      <c r="T809" s="167"/>
      <c r="U809" s="334" t="s">
        <v>7271</v>
      </c>
      <c r="V809" s="168">
        <f t="shared" si="3"/>
        <v>6113.46</v>
      </c>
      <c r="W809" s="168">
        <f t="shared" si="4"/>
        <v>0</v>
      </c>
      <c r="X809" s="168">
        <f t="shared" si="5"/>
        <v>0</v>
      </c>
      <c r="Y809" s="168">
        <f t="shared" si="6"/>
        <v>0</v>
      </c>
      <c r="Z809" s="168">
        <f t="shared" si="7"/>
        <v>0</v>
      </c>
      <c r="AA809" s="168">
        <f t="shared" si="8"/>
        <v>0</v>
      </c>
      <c r="AB809" s="168">
        <f t="shared" si="9"/>
        <v>0</v>
      </c>
    </row>
    <row r="810" ht="14.25" customHeight="1">
      <c r="A810" s="157" t="s">
        <v>7558</v>
      </c>
      <c r="B810" s="169" t="s">
        <v>30</v>
      </c>
      <c r="C810" s="169" t="s">
        <v>1052</v>
      </c>
      <c r="D810" s="336">
        <v>43740.0</v>
      </c>
      <c r="E810" s="157" t="s">
        <v>600</v>
      </c>
      <c r="F810" s="160">
        <v>5228.65</v>
      </c>
      <c r="G810" s="160">
        <v>836.58</v>
      </c>
      <c r="H810" s="160">
        <f t="shared" si="29"/>
        <v>6065.23</v>
      </c>
      <c r="I810" s="172"/>
      <c r="J810" s="169"/>
      <c r="K810" s="172"/>
      <c r="L810" s="172">
        <f>+'FACUS$'!$H810-'FACUS$'!$I810-'FACUS$'!$K810</f>
        <v>6065.23</v>
      </c>
      <c r="M810" s="162" t="s">
        <v>7415</v>
      </c>
      <c r="N810" s="337" t="s">
        <v>554</v>
      </c>
      <c r="O810" s="338">
        <v>43789.0</v>
      </c>
      <c r="P810" s="164">
        <f t="array" ref="P810">XLOOKUP('FACUS$'!$B810,'perfil de pagos'!$A$4:$A$46,'perfil de pagos'!$C$4:$C$46+'FACUS$'!$D810)</f>
        <v>43750</v>
      </c>
      <c r="Q810" s="165">
        <f t="shared" si="2"/>
        <v>0</v>
      </c>
      <c r="R810" s="167" t="s">
        <v>7559</v>
      </c>
      <c r="S810" s="223" t="s">
        <v>910</v>
      </c>
      <c r="T810" s="167"/>
      <c r="U810" s="334" t="s">
        <v>7271</v>
      </c>
      <c r="V810" s="168">
        <f t="shared" si="3"/>
        <v>6065.23</v>
      </c>
      <c r="W810" s="168">
        <f t="shared" si="4"/>
        <v>0</v>
      </c>
      <c r="X810" s="168">
        <f t="shared" si="5"/>
        <v>0</v>
      </c>
      <c r="Y810" s="168">
        <f t="shared" si="6"/>
        <v>0</v>
      </c>
      <c r="Z810" s="168">
        <f t="shared" si="7"/>
        <v>0</v>
      </c>
      <c r="AA810" s="168">
        <f t="shared" si="8"/>
        <v>0</v>
      </c>
      <c r="AB810" s="168">
        <f t="shared" si="9"/>
        <v>0</v>
      </c>
    </row>
    <row r="811" ht="14.25" customHeight="1">
      <c r="A811" s="157" t="s">
        <v>7560</v>
      </c>
      <c r="B811" s="169" t="s">
        <v>43</v>
      </c>
      <c r="C811" s="169" t="s">
        <v>1052</v>
      </c>
      <c r="D811" s="336">
        <v>43742.0</v>
      </c>
      <c r="E811" s="157" t="s">
        <v>600</v>
      </c>
      <c r="F811" s="160">
        <v>31390.06</v>
      </c>
      <c r="G811" s="160">
        <v>5022.41</v>
      </c>
      <c r="H811" s="160">
        <f t="shared" si="29"/>
        <v>36412.47</v>
      </c>
      <c r="I811" s="172"/>
      <c r="J811" s="169"/>
      <c r="K811" s="172"/>
      <c r="L811" s="172">
        <f>+'FACUS$'!$H811-'FACUS$'!$I811-'FACUS$'!$K811</f>
        <v>36412.47</v>
      </c>
      <c r="M811" s="162" t="s">
        <v>43</v>
      </c>
      <c r="N811" s="337" t="s">
        <v>554</v>
      </c>
      <c r="O811" s="338">
        <v>43778.0</v>
      </c>
      <c r="P811" s="164">
        <f t="array" ref="P811">XLOOKUP('FACUS$'!$B811,'perfil de pagos'!$A$4:$A$46,'perfil de pagos'!$C$4:$C$46+'FACUS$'!$D811)</f>
        <v>43767</v>
      </c>
      <c r="Q811" s="165">
        <f t="shared" si="2"/>
        <v>0</v>
      </c>
      <c r="R811" s="167"/>
      <c r="S811" s="220" t="s">
        <v>910</v>
      </c>
      <c r="T811" s="167"/>
      <c r="U811" s="334" t="s">
        <v>7271</v>
      </c>
      <c r="V811" s="168">
        <f t="shared" si="3"/>
        <v>36412.47</v>
      </c>
      <c r="W811" s="168">
        <f t="shared" si="4"/>
        <v>0</v>
      </c>
      <c r="X811" s="168">
        <f t="shared" si="5"/>
        <v>0</v>
      </c>
      <c r="Y811" s="168">
        <f t="shared" si="6"/>
        <v>0</v>
      </c>
      <c r="Z811" s="168">
        <f t="shared" si="7"/>
        <v>0</v>
      </c>
      <c r="AA811" s="168">
        <f t="shared" si="8"/>
        <v>0</v>
      </c>
      <c r="AB811" s="168">
        <f t="shared" si="9"/>
        <v>0</v>
      </c>
    </row>
    <row r="812" ht="14.25" customHeight="1">
      <c r="A812" s="157" t="s">
        <v>7561</v>
      </c>
      <c r="B812" s="169" t="s">
        <v>18</v>
      </c>
      <c r="C812" s="169" t="s">
        <v>1052</v>
      </c>
      <c r="D812" s="336">
        <v>43745.0</v>
      </c>
      <c r="E812" s="157" t="s">
        <v>600</v>
      </c>
      <c r="F812" s="160">
        <v>8584.25</v>
      </c>
      <c r="G812" s="160">
        <v>1373.48</v>
      </c>
      <c r="H812" s="160">
        <f t="shared" si="29"/>
        <v>9957.73</v>
      </c>
      <c r="I812" s="172"/>
      <c r="J812" s="169"/>
      <c r="K812" s="172"/>
      <c r="L812" s="172">
        <f>+'FACUS$'!$H812-'FACUS$'!$I812-'FACUS$'!$K812</f>
        <v>9957.73</v>
      </c>
      <c r="M812" s="162" t="s">
        <v>586</v>
      </c>
      <c r="N812" s="337" t="s">
        <v>554</v>
      </c>
      <c r="O812" s="338">
        <v>43789.0</v>
      </c>
      <c r="P812" s="164">
        <f t="array" ref="P812">XLOOKUP('FACUS$'!$B812,'perfil de pagos'!$A$4:$A$46,'perfil de pagos'!$C$4:$C$46+'FACUS$'!$D812)</f>
        <v>43755</v>
      </c>
      <c r="Q812" s="165">
        <f t="shared" si="2"/>
        <v>0</v>
      </c>
      <c r="R812" s="167"/>
      <c r="S812" s="220" t="s">
        <v>910</v>
      </c>
      <c r="T812" s="167"/>
      <c r="U812" s="334" t="s">
        <v>7271</v>
      </c>
      <c r="V812" s="168">
        <f t="shared" si="3"/>
        <v>9957.73</v>
      </c>
      <c r="W812" s="168">
        <f t="shared" si="4"/>
        <v>0</v>
      </c>
      <c r="X812" s="168">
        <f t="shared" si="5"/>
        <v>0</v>
      </c>
      <c r="Y812" s="168">
        <f t="shared" si="6"/>
        <v>0</v>
      </c>
      <c r="Z812" s="168">
        <f t="shared" si="7"/>
        <v>0</v>
      </c>
      <c r="AA812" s="168">
        <f t="shared" si="8"/>
        <v>0</v>
      </c>
      <c r="AB812" s="168">
        <f t="shared" si="9"/>
        <v>0</v>
      </c>
    </row>
    <row r="813" ht="14.25" customHeight="1">
      <c r="A813" s="157" t="s">
        <v>7562</v>
      </c>
      <c r="B813" s="169" t="s">
        <v>37</v>
      </c>
      <c r="C813" s="169" t="s">
        <v>1052</v>
      </c>
      <c r="D813" s="336">
        <v>43745.0</v>
      </c>
      <c r="E813" s="157" t="s">
        <v>600</v>
      </c>
      <c r="F813" s="160">
        <v>28852.92</v>
      </c>
      <c r="G813" s="160">
        <v>4616.47</v>
      </c>
      <c r="H813" s="160">
        <f t="shared" si="29"/>
        <v>33469.39</v>
      </c>
      <c r="I813" s="172"/>
      <c r="J813" s="169"/>
      <c r="K813" s="172"/>
      <c r="L813" s="172">
        <f>+'FACUS$'!$H813-'FACUS$'!$I813-'FACUS$'!$K813</f>
        <v>33469.39</v>
      </c>
      <c r="M813" s="162" t="s">
        <v>116</v>
      </c>
      <c r="N813" s="337" t="s">
        <v>554</v>
      </c>
      <c r="O813" s="338">
        <v>43780.0</v>
      </c>
      <c r="P813" s="164">
        <f t="array" ref="P813">XLOOKUP('FACUS$'!$B813,'perfil de pagos'!$A$4:$A$46,'perfil de pagos'!$C$4:$C$46+'FACUS$'!$D813)</f>
        <v>43755</v>
      </c>
      <c r="Q813" s="165">
        <f t="shared" si="2"/>
        <v>0</v>
      </c>
      <c r="R813" s="167" t="s">
        <v>7563</v>
      </c>
      <c r="S813" s="220" t="s">
        <v>910</v>
      </c>
      <c r="T813" s="167"/>
      <c r="U813" s="334" t="s">
        <v>7271</v>
      </c>
      <c r="V813" s="168">
        <f t="shared" si="3"/>
        <v>33469.39</v>
      </c>
      <c r="W813" s="168">
        <f t="shared" si="4"/>
        <v>0</v>
      </c>
      <c r="X813" s="168">
        <f t="shared" si="5"/>
        <v>0</v>
      </c>
      <c r="Y813" s="168">
        <f t="shared" si="6"/>
        <v>0</v>
      </c>
      <c r="Z813" s="168">
        <f t="shared" si="7"/>
        <v>0</v>
      </c>
      <c r="AA813" s="168">
        <f t="shared" si="8"/>
        <v>0</v>
      </c>
      <c r="AB813" s="168">
        <f t="shared" si="9"/>
        <v>0</v>
      </c>
    </row>
    <row r="814" ht="14.25" customHeight="1">
      <c r="A814" s="157" t="s">
        <v>7564</v>
      </c>
      <c r="B814" s="169" t="s">
        <v>43</v>
      </c>
      <c r="C814" s="169" t="s">
        <v>1067</v>
      </c>
      <c r="D814" s="336">
        <v>43754.0</v>
      </c>
      <c r="E814" s="157" t="s">
        <v>600</v>
      </c>
      <c r="F814" s="160">
        <v>30513.27</v>
      </c>
      <c r="G814" s="160">
        <v>4882.12</v>
      </c>
      <c r="H814" s="160">
        <f t="shared" si="29"/>
        <v>35395.39</v>
      </c>
      <c r="I814" s="172"/>
      <c r="J814" s="169"/>
      <c r="K814" s="172"/>
      <c r="L814" s="172">
        <f>+'FACUS$'!$H814-'FACUS$'!$I814-'FACUS$'!$K814</f>
        <v>35395.39</v>
      </c>
      <c r="M814" s="162" t="s">
        <v>43</v>
      </c>
      <c r="N814" s="337" t="s">
        <v>554</v>
      </c>
      <c r="O814" s="338">
        <v>43778.0</v>
      </c>
      <c r="P814" s="164">
        <f t="array" ref="P814">XLOOKUP('FACUS$'!$B814,'perfil de pagos'!$A$4:$A$46,'perfil de pagos'!$C$4:$C$46+'FACUS$'!$D814)</f>
        <v>43779</v>
      </c>
      <c r="Q814" s="165">
        <f t="shared" si="2"/>
        <v>0</v>
      </c>
      <c r="R814" s="167"/>
      <c r="S814" s="220" t="s">
        <v>910</v>
      </c>
      <c r="T814" s="167"/>
      <c r="U814" s="334" t="s">
        <v>7271</v>
      </c>
      <c r="V814" s="168">
        <f t="shared" si="3"/>
        <v>35395.39</v>
      </c>
      <c r="W814" s="168">
        <f t="shared" si="4"/>
        <v>0</v>
      </c>
      <c r="X814" s="168">
        <f t="shared" si="5"/>
        <v>0</v>
      </c>
      <c r="Y814" s="168">
        <f t="shared" si="6"/>
        <v>0</v>
      </c>
      <c r="Z814" s="168">
        <f t="shared" si="7"/>
        <v>0</v>
      </c>
      <c r="AA814" s="168">
        <f t="shared" si="8"/>
        <v>0</v>
      </c>
      <c r="AB814" s="168">
        <f t="shared" si="9"/>
        <v>0</v>
      </c>
    </row>
    <row r="815" ht="14.25" customHeight="1">
      <c r="A815" s="157" t="s">
        <v>7565</v>
      </c>
      <c r="B815" s="169" t="s">
        <v>36</v>
      </c>
      <c r="C815" s="169" t="s">
        <v>1067</v>
      </c>
      <c r="D815" s="336">
        <v>43754.0</v>
      </c>
      <c r="E815" s="157" t="s">
        <v>600</v>
      </c>
      <c r="F815" s="160">
        <v>3458.05</v>
      </c>
      <c r="G815" s="160">
        <v>553.29</v>
      </c>
      <c r="H815" s="160">
        <f t="shared" si="29"/>
        <v>4011.34</v>
      </c>
      <c r="I815" s="172"/>
      <c r="J815" s="169"/>
      <c r="K815" s="172"/>
      <c r="L815" s="172">
        <f>+'FACUS$'!$H815-'FACUS$'!$I815-'FACUS$'!$K815</f>
        <v>4011.34</v>
      </c>
      <c r="M815" s="162" t="s">
        <v>278</v>
      </c>
      <c r="N815" s="337" t="s">
        <v>554</v>
      </c>
      <c r="O815" s="338">
        <v>43759.0</v>
      </c>
      <c r="P815" s="164">
        <f t="array" ref="P815">XLOOKUP('FACUS$'!$B815,'perfil de pagos'!$A$4:$A$46,'perfil de pagos'!$C$4:$C$46+'FACUS$'!$D815)</f>
        <v>43764</v>
      </c>
      <c r="Q815" s="165">
        <f t="shared" si="2"/>
        <v>0</v>
      </c>
      <c r="R815" s="167"/>
      <c r="S815" s="220" t="s">
        <v>910</v>
      </c>
      <c r="T815" s="167"/>
      <c r="U815" s="334" t="s">
        <v>7271</v>
      </c>
      <c r="V815" s="168">
        <f t="shared" si="3"/>
        <v>4011.34</v>
      </c>
      <c r="W815" s="168">
        <f t="shared" si="4"/>
        <v>0</v>
      </c>
      <c r="X815" s="168">
        <f t="shared" si="5"/>
        <v>0</v>
      </c>
      <c r="Y815" s="168">
        <f t="shared" si="6"/>
        <v>0</v>
      </c>
      <c r="Z815" s="168">
        <f t="shared" si="7"/>
        <v>0</v>
      </c>
      <c r="AA815" s="168">
        <f t="shared" si="8"/>
        <v>0</v>
      </c>
      <c r="AB815" s="168">
        <f t="shared" si="9"/>
        <v>0</v>
      </c>
    </row>
    <row r="816" ht="14.25" customHeight="1">
      <c r="A816" s="157" t="s">
        <v>7566</v>
      </c>
      <c r="B816" s="169" t="s">
        <v>30</v>
      </c>
      <c r="C816" s="169" t="s">
        <v>1067</v>
      </c>
      <c r="D816" s="336">
        <v>43754.0</v>
      </c>
      <c r="E816" s="157" t="s">
        <v>600</v>
      </c>
      <c r="F816" s="160">
        <v>4899.69</v>
      </c>
      <c r="G816" s="160">
        <v>783.95</v>
      </c>
      <c r="H816" s="160">
        <f t="shared" si="29"/>
        <v>5683.64</v>
      </c>
      <c r="I816" s="172"/>
      <c r="J816" s="169"/>
      <c r="K816" s="172"/>
      <c r="L816" s="172">
        <f>+'FACUS$'!$H816-'FACUS$'!$I816-'FACUS$'!$K816</f>
        <v>5683.64</v>
      </c>
      <c r="M816" s="162" t="s">
        <v>7415</v>
      </c>
      <c r="N816" s="337" t="s">
        <v>554</v>
      </c>
      <c r="O816" s="338">
        <v>43829.0</v>
      </c>
      <c r="P816" s="164">
        <f t="array" ref="P816">XLOOKUP('FACUS$'!$B816,'perfil de pagos'!$A$4:$A$46,'perfil de pagos'!$C$4:$C$46+'FACUS$'!$D816)</f>
        <v>43764</v>
      </c>
      <c r="Q816" s="165">
        <f t="shared" si="2"/>
        <v>0</v>
      </c>
      <c r="R816" s="220" t="s">
        <v>7567</v>
      </c>
      <c r="S816" s="167" t="s">
        <v>910</v>
      </c>
      <c r="T816" s="167"/>
      <c r="U816" s="334" t="s">
        <v>7271</v>
      </c>
      <c r="V816" s="168">
        <f t="shared" si="3"/>
        <v>5683.64</v>
      </c>
      <c r="W816" s="168">
        <f t="shared" si="4"/>
        <v>0</v>
      </c>
      <c r="X816" s="168">
        <f t="shared" si="5"/>
        <v>0</v>
      </c>
      <c r="Y816" s="168">
        <f t="shared" si="6"/>
        <v>0</v>
      </c>
      <c r="Z816" s="168">
        <f t="shared" si="7"/>
        <v>0</v>
      </c>
      <c r="AA816" s="168">
        <f t="shared" si="8"/>
        <v>0</v>
      </c>
      <c r="AB816" s="168">
        <f t="shared" si="9"/>
        <v>0</v>
      </c>
    </row>
    <row r="817" ht="14.25" customHeight="1">
      <c r="A817" s="157" t="s">
        <v>7568</v>
      </c>
      <c r="B817" s="169" t="s">
        <v>41</v>
      </c>
      <c r="C817" s="169" t="s">
        <v>1052</v>
      </c>
      <c r="D817" s="336">
        <v>43754.0</v>
      </c>
      <c r="E817" s="157" t="s">
        <v>600</v>
      </c>
      <c r="F817" s="160">
        <v>23153.35</v>
      </c>
      <c r="G817" s="160">
        <v>3704.54</v>
      </c>
      <c r="H817" s="160">
        <f t="shared" si="29"/>
        <v>26857.89</v>
      </c>
      <c r="I817" s="172"/>
      <c r="J817" s="169"/>
      <c r="K817" s="172"/>
      <c r="L817" s="172">
        <f>+'FACUS$'!$H817-'FACUS$'!$I817-'FACUS$'!$K817</f>
        <v>26857.89</v>
      </c>
      <c r="M817" s="162" t="s">
        <v>875</v>
      </c>
      <c r="N817" s="337" t="s">
        <v>554</v>
      </c>
      <c r="O817" s="338">
        <v>43812.0</v>
      </c>
      <c r="P817" s="164">
        <f t="array" ref="P817">XLOOKUP('FACUS$'!$B817,'perfil de pagos'!$A$4:$A$46,'perfil de pagos'!$C$4:$C$46+'FACUS$'!$D817)</f>
        <v>43764</v>
      </c>
      <c r="Q817" s="165">
        <f t="shared" si="2"/>
        <v>0</v>
      </c>
      <c r="R817" s="167"/>
      <c r="S817" s="167"/>
      <c r="T817" s="167"/>
      <c r="U817" s="334" t="s">
        <v>7271</v>
      </c>
      <c r="V817" s="168">
        <f t="shared" si="3"/>
        <v>26857.89</v>
      </c>
      <c r="W817" s="168">
        <f t="shared" si="4"/>
        <v>0</v>
      </c>
      <c r="X817" s="168">
        <f t="shared" si="5"/>
        <v>0</v>
      </c>
      <c r="Y817" s="168">
        <f t="shared" si="6"/>
        <v>0</v>
      </c>
      <c r="Z817" s="168">
        <f t="shared" si="7"/>
        <v>0</v>
      </c>
      <c r="AA817" s="168">
        <f t="shared" si="8"/>
        <v>0</v>
      </c>
      <c r="AB817" s="168">
        <f t="shared" si="9"/>
        <v>0</v>
      </c>
    </row>
    <row r="818" ht="14.25" customHeight="1">
      <c r="A818" s="157" t="s">
        <v>7569</v>
      </c>
      <c r="B818" s="169" t="s">
        <v>37</v>
      </c>
      <c r="C818" s="169" t="s">
        <v>1067</v>
      </c>
      <c r="D818" s="336">
        <v>43760.0</v>
      </c>
      <c r="E818" s="157" t="s">
        <v>600</v>
      </c>
      <c r="F818" s="160">
        <v>48101.14</v>
      </c>
      <c r="G818" s="160">
        <v>7696.18</v>
      </c>
      <c r="H818" s="160">
        <f t="shared" si="29"/>
        <v>55797.32</v>
      </c>
      <c r="I818" s="172"/>
      <c r="J818" s="169"/>
      <c r="K818" s="172"/>
      <c r="L818" s="172">
        <f>+'FACUS$'!$H818-'FACUS$'!$I818-'FACUS$'!$K818</f>
        <v>55797.32</v>
      </c>
      <c r="M818" s="162" t="s">
        <v>116</v>
      </c>
      <c r="N818" s="337" t="s">
        <v>554</v>
      </c>
      <c r="O818" s="338">
        <v>43780.0</v>
      </c>
      <c r="P818" s="164">
        <f t="array" ref="P818">XLOOKUP('FACUS$'!$B818,'perfil de pagos'!$A$4:$A$46,'perfil de pagos'!$C$4:$C$46+'FACUS$'!$D818)</f>
        <v>43770</v>
      </c>
      <c r="Q818" s="165">
        <f t="shared" si="2"/>
        <v>0</v>
      </c>
      <c r="R818" s="167" t="s">
        <v>7570</v>
      </c>
      <c r="S818" s="220" t="s">
        <v>910</v>
      </c>
      <c r="T818" s="167"/>
      <c r="U818" s="334" t="s">
        <v>7271</v>
      </c>
      <c r="V818" s="168">
        <f t="shared" si="3"/>
        <v>55797.32</v>
      </c>
      <c r="W818" s="168">
        <f t="shared" si="4"/>
        <v>0</v>
      </c>
      <c r="X818" s="168">
        <f t="shared" si="5"/>
        <v>0</v>
      </c>
      <c r="Y818" s="168">
        <f t="shared" si="6"/>
        <v>0</v>
      </c>
      <c r="Z818" s="168">
        <f t="shared" si="7"/>
        <v>0</v>
      </c>
      <c r="AA818" s="168">
        <f t="shared" si="8"/>
        <v>0</v>
      </c>
      <c r="AB818" s="168">
        <f t="shared" si="9"/>
        <v>0</v>
      </c>
    </row>
    <row r="819" ht="14.25" customHeight="1">
      <c r="A819" s="157" t="s">
        <v>7571</v>
      </c>
      <c r="B819" s="169" t="s">
        <v>18</v>
      </c>
      <c r="C819" s="169" t="s">
        <v>1067</v>
      </c>
      <c r="D819" s="336">
        <v>43760.0</v>
      </c>
      <c r="E819" s="157" t="s">
        <v>600</v>
      </c>
      <c r="F819" s="160">
        <v>7314.78</v>
      </c>
      <c r="G819" s="160">
        <v>1170.36</v>
      </c>
      <c r="H819" s="160">
        <f t="shared" si="29"/>
        <v>8485.14</v>
      </c>
      <c r="I819" s="172"/>
      <c r="J819" s="169"/>
      <c r="K819" s="172"/>
      <c r="L819" s="172">
        <f>+'FACUS$'!$H819-'FACUS$'!$I819-'FACUS$'!$K819</f>
        <v>8485.14</v>
      </c>
      <c r="M819" s="162" t="s">
        <v>586</v>
      </c>
      <c r="N819" s="337" t="s">
        <v>554</v>
      </c>
      <c r="O819" s="338">
        <v>43789.0</v>
      </c>
      <c r="P819" s="164">
        <f t="array" ref="P819">XLOOKUP('FACUS$'!$B819,'perfil de pagos'!$A$4:$A$46,'perfil de pagos'!$C$4:$C$46+'FACUS$'!$D819)</f>
        <v>43770</v>
      </c>
      <c r="Q819" s="165">
        <f t="shared" si="2"/>
        <v>0</v>
      </c>
      <c r="R819" s="167"/>
      <c r="S819" s="220" t="s">
        <v>910</v>
      </c>
      <c r="T819" s="167"/>
      <c r="U819" s="334" t="s">
        <v>7271</v>
      </c>
      <c r="V819" s="168">
        <f t="shared" si="3"/>
        <v>8485.14</v>
      </c>
      <c r="W819" s="168">
        <f t="shared" si="4"/>
        <v>0</v>
      </c>
      <c r="X819" s="168">
        <f t="shared" si="5"/>
        <v>0</v>
      </c>
      <c r="Y819" s="168">
        <f t="shared" si="6"/>
        <v>0</v>
      </c>
      <c r="Z819" s="168">
        <f t="shared" si="7"/>
        <v>0</v>
      </c>
      <c r="AA819" s="168">
        <f t="shared" si="8"/>
        <v>0</v>
      </c>
      <c r="AB819" s="168">
        <f t="shared" si="9"/>
        <v>0</v>
      </c>
    </row>
    <row r="820" ht="14.25" customHeight="1">
      <c r="A820" s="157" t="s">
        <v>7572</v>
      </c>
      <c r="B820" s="169" t="s">
        <v>127</v>
      </c>
      <c r="C820" s="169"/>
      <c r="D820" s="336"/>
      <c r="E820" s="157"/>
      <c r="F820" s="160"/>
      <c r="G820" s="160"/>
      <c r="H820" s="160">
        <f t="shared" si="29"/>
        <v>0</v>
      </c>
      <c r="I820" s="172"/>
      <c r="J820" s="169"/>
      <c r="K820" s="172"/>
      <c r="L820" s="172">
        <f>+'FACUS$'!$H820-'FACUS$'!$I820-'FACUS$'!$K820</f>
        <v>0</v>
      </c>
      <c r="M820" s="162"/>
      <c r="N820" s="337" t="s">
        <v>127</v>
      </c>
      <c r="O820" s="338"/>
      <c r="P820" s="164" t="str">
        <f t="array" ref="P820">XLOOKUP('FACUS$'!$B820,'perfil de pagos'!$A$4:$A$46,'perfil de pagos'!$C$4:$C$46+'FACUS$'!$D820)</f>
        <v>#N/A</v>
      </c>
      <c r="Q820" s="165" t="str">
        <f t="shared" si="2"/>
        <v>N/A</v>
      </c>
      <c r="R820" s="167"/>
      <c r="S820" s="167"/>
      <c r="T820" s="167"/>
      <c r="U820" s="334" t="s">
        <v>7271</v>
      </c>
      <c r="V820" s="168">
        <f t="shared" si="3"/>
        <v>0</v>
      </c>
      <c r="W820" s="168">
        <f t="shared" si="4"/>
        <v>0</v>
      </c>
      <c r="X820" s="168">
        <f t="shared" si="5"/>
        <v>0</v>
      </c>
      <c r="Y820" s="168">
        <f t="shared" si="6"/>
        <v>0</v>
      </c>
      <c r="Z820" s="168">
        <f t="shared" si="7"/>
        <v>0</v>
      </c>
      <c r="AA820" s="168">
        <f t="shared" si="8"/>
        <v>0</v>
      </c>
      <c r="AB820" s="168">
        <f t="shared" si="9"/>
        <v>0</v>
      </c>
    </row>
    <row r="821" ht="14.25" customHeight="1">
      <c r="A821" s="157" t="s">
        <v>7573</v>
      </c>
      <c r="B821" s="169" t="s">
        <v>29</v>
      </c>
      <c r="C821" s="169" t="s">
        <v>7574</v>
      </c>
      <c r="D821" s="336">
        <v>43760.0</v>
      </c>
      <c r="E821" s="157" t="s">
        <v>600</v>
      </c>
      <c r="F821" s="160">
        <v>15000.0</v>
      </c>
      <c r="G821" s="160">
        <v>2400.0</v>
      </c>
      <c r="H821" s="160">
        <f t="shared" si="29"/>
        <v>17400</v>
      </c>
      <c r="I821" s="172"/>
      <c r="J821" s="169"/>
      <c r="K821" s="172"/>
      <c r="L821" s="172">
        <f>+'FACUS$'!$H821-'FACUS$'!$I821-'FACUS$'!$K821</f>
        <v>17400</v>
      </c>
      <c r="M821" s="162" t="s">
        <v>7509</v>
      </c>
      <c r="N821" s="337" t="s">
        <v>554</v>
      </c>
      <c r="O821" s="338">
        <v>43804.0</v>
      </c>
      <c r="P821" s="164">
        <f t="array" ref="P821">XLOOKUP('FACUS$'!$B821,'perfil de pagos'!$A$4:$A$46,'perfil de pagos'!$C$4:$C$46+'FACUS$'!$D821)</f>
        <v>43770</v>
      </c>
      <c r="Q821" s="165">
        <f t="shared" si="2"/>
        <v>0</v>
      </c>
      <c r="R821" s="167"/>
      <c r="S821" s="167"/>
      <c r="T821" s="167"/>
      <c r="U821" s="334" t="s">
        <v>7271</v>
      </c>
      <c r="V821" s="168">
        <f t="shared" si="3"/>
        <v>17400</v>
      </c>
      <c r="W821" s="168">
        <f t="shared" si="4"/>
        <v>0</v>
      </c>
      <c r="X821" s="168">
        <f t="shared" si="5"/>
        <v>0</v>
      </c>
      <c r="Y821" s="168">
        <f t="shared" si="6"/>
        <v>0</v>
      </c>
      <c r="Z821" s="168">
        <f t="shared" si="7"/>
        <v>0</v>
      </c>
      <c r="AA821" s="168">
        <f t="shared" si="8"/>
        <v>0</v>
      </c>
      <c r="AB821" s="168">
        <f t="shared" si="9"/>
        <v>0</v>
      </c>
    </row>
    <row r="822" ht="14.25" customHeight="1">
      <c r="A822" s="157" t="s">
        <v>7575</v>
      </c>
      <c r="B822" s="169" t="s">
        <v>29</v>
      </c>
      <c r="C822" s="169" t="s">
        <v>7576</v>
      </c>
      <c r="D822" s="336">
        <v>43760.0</v>
      </c>
      <c r="E822" s="157" t="s">
        <v>600</v>
      </c>
      <c r="F822" s="160">
        <v>6500.0</v>
      </c>
      <c r="G822" s="160">
        <v>1040.0</v>
      </c>
      <c r="H822" s="160">
        <f t="shared" si="29"/>
        <v>7540</v>
      </c>
      <c r="I822" s="172"/>
      <c r="J822" s="169"/>
      <c r="K822" s="172"/>
      <c r="L822" s="172">
        <f>+'FACUS$'!$H822-'FACUS$'!$I822-'FACUS$'!$K822</f>
        <v>7540</v>
      </c>
      <c r="M822" s="162" t="s">
        <v>712</v>
      </c>
      <c r="N822" s="337" t="s">
        <v>554</v>
      </c>
      <c r="O822" s="338">
        <v>43804.0</v>
      </c>
      <c r="P822" s="164">
        <f t="array" ref="P822">XLOOKUP('FACUS$'!$B822,'perfil de pagos'!$A$4:$A$46,'perfil de pagos'!$C$4:$C$46+'FACUS$'!$D822)</f>
        <v>43770</v>
      </c>
      <c r="Q822" s="165">
        <f t="shared" si="2"/>
        <v>0</v>
      </c>
      <c r="R822" s="167"/>
      <c r="S822" s="167"/>
      <c r="T822" s="167"/>
      <c r="U822" s="334" t="s">
        <v>7271</v>
      </c>
      <c r="V822" s="168">
        <f t="shared" si="3"/>
        <v>7540</v>
      </c>
      <c r="W822" s="168">
        <f t="shared" si="4"/>
        <v>0</v>
      </c>
      <c r="X822" s="168">
        <f t="shared" si="5"/>
        <v>0</v>
      </c>
      <c r="Y822" s="168">
        <f t="shared" si="6"/>
        <v>0</v>
      </c>
      <c r="Z822" s="168">
        <f t="shared" si="7"/>
        <v>0</v>
      </c>
      <c r="AA822" s="168">
        <f t="shared" si="8"/>
        <v>0</v>
      </c>
      <c r="AB822" s="168">
        <f t="shared" si="9"/>
        <v>0</v>
      </c>
    </row>
    <row r="823" ht="14.25" customHeight="1">
      <c r="A823" s="157" t="s">
        <v>7577</v>
      </c>
      <c r="B823" s="169" t="s">
        <v>29</v>
      </c>
      <c r="C823" s="169" t="s">
        <v>7578</v>
      </c>
      <c r="D823" s="336">
        <v>43760.0</v>
      </c>
      <c r="E823" s="157" t="s">
        <v>600</v>
      </c>
      <c r="F823" s="160">
        <v>2500.0</v>
      </c>
      <c r="G823" s="160">
        <v>400.0</v>
      </c>
      <c r="H823" s="160">
        <f t="shared" si="29"/>
        <v>2900</v>
      </c>
      <c r="I823" s="172"/>
      <c r="J823" s="169"/>
      <c r="K823" s="172"/>
      <c r="L823" s="172">
        <f>+'FACUS$'!$H823-'FACUS$'!$I823-'FACUS$'!$K823</f>
        <v>2900</v>
      </c>
      <c r="M823" s="162" t="s">
        <v>7509</v>
      </c>
      <c r="N823" s="337" t="s">
        <v>554</v>
      </c>
      <c r="O823" s="338">
        <v>43804.0</v>
      </c>
      <c r="P823" s="164">
        <f t="array" ref="P823">XLOOKUP('FACUS$'!$B823,'perfil de pagos'!$A$4:$A$46,'perfil de pagos'!$C$4:$C$46+'FACUS$'!$D823)</f>
        <v>43770</v>
      </c>
      <c r="Q823" s="165">
        <f t="shared" si="2"/>
        <v>0</v>
      </c>
      <c r="R823" s="167"/>
      <c r="S823" s="167"/>
      <c r="T823" s="167"/>
      <c r="U823" s="334" t="s">
        <v>7271</v>
      </c>
      <c r="V823" s="168">
        <f t="shared" si="3"/>
        <v>2900</v>
      </c>
      <c r="W823" s="168">
        <f t="shared" si="4"/>
        <v>0</v>
      </c>
      <c r="X823" s="168">
        <f t="shared" si="5"/>
        <v>0</v>
      </c>
      <c r="Y823" s="168">
        <f t="shared" si="6"/>
        <v>0</v>
      </c>
      <c r="Z823" s="168">
        <f t="shared" si="7"/>
        <v>0</v>
      </c>
      <c r="AA823" s="168">
        <f t="shared" si="8"/>
        <v>0</v>
      </c>
      <c r="AB823" s="168">
        <f t="shared" si="9"/>
        <v>0</v>
      </c>
    </row>
    <row r="824" ht="14.25" customHeight="1">
      <c r="A824" s="157" t="s">
        <v>7579</v>
      </c>
      <c r="B824" s="169" t="s">
        <v>29</v>
      </c>
      <c r="C824" s="169" t="s">
        <v>7580</v>
      </c>
      <c r="D824" s="336">
        <v>43760.0</v>
      </c>
      <c r="E824" s="157" t="s">
        <v>600</v>
      </c>
      <c r="F824" s="160">
        <v>2500.0</v>
      </c>
      <c r="G824" s="160">
        <v>400.0</v>
      </c>
      <c r="H824" s="160">
        <f t="shared" si="29"/>
        <v>2900</v>
      </c>
      <c r="I824" s="172"/>
      <c r="J824" s="169"/>
      <c r="K824" s="172"/>
      <c r="L824" s="172">
        <f>+'FACUS$'!$H824-'FACUS$'!$I824-'FACUS$'!$K824</f>
        <v>2900</v>
      </c>
      <c r="M824" s="162" t="s">
        <v>712</v>
      </c>
      <c r="N824" s="337" t="s">
        <v>554</v>
      </c>
      <c r="O824" s="338">
        <v>43804.0</v>
      </c>
      <c r="P824" s="164">
        <f t="array" ref="P824">XLOOKUP('FACUS$'!$B824,'perfil de pagos'!$A$4:$A$46,'perfil de pagos'!$C$4:$C$46+'FACUS$'!$D824)</f>
        <v>43770</v>
      </c>
      <c r="Q824" s="165">
        <f t="shared" si="2"/>
        <v>0</v>
      </c>
      <c r="R824" s="167"/>
      <c r="S824" s="167"/>
      <c r="T824" s="167"/>
      <c r="U824" s="334" t="s">
        <v>7271</v>
      </c>
      <c r="V824" s="168">
        <f t="shared" si="3"/>
        <v>2900</v>
      </c>
      <c r="W824" s="168">
        <f t="shared" si="4"/>
        <v>0</v>
      </c>
      <c r="X824" s="168">
        <f t="shared" si="5"/>
        <v>0</v>
      </c>
      <c r="Y824" s="168">
        <f t="shared" si="6"/>
        <v>0</v>
      </c>
      <c r="Z824" s="168">
        <f t="shared" si="7"/>
        <v>0</v>
      </c>
      <c r="AA824" s="168">
        <f t="shared" si="8"/>
        <v>0</v>
      </c>
      <c r="AB824" s="168">
        <f t="shared" si="9"/>
        <v>0</v>
      </c>
    </row>
    <row r="825" ht="14.25" customHeight="1">
      <c r="A825" s="157" t="s">
        <v>7581</v>
      </c>
      <c r="B825" s="169" t="s">
        <v>41</v>
      </c>
      <c r="C825" s="169" t="s">
        <v>1067</v>
      </c>
      <c r="D825" s="336">
        <v>43761.0</v>
      </c>
      <c r="E825" s="157" t="s">
        <v>600</v>
      </c>
      <c r="F825" s="160">
        <v>34147.69</v>
      </c>
      <c r="G825" s="160">
        <v>5463.63</v>
      </c>
      <c r="H825" s="160">
        <f t="shared" si="29"/>
        <v>39611.32</v>
      </c>
      <c r="I825" s="172"/>
      <c r="J825" s="169"/>
      <c r="K825" s="172"/>
      <c r="L825" s="172">
        <f>+'FACUS$'!$H825-'FACUS$'!$I825-'FACUS$'!$K825</f>
        <v>39611.32</v>
      </c>
      <c r="M825" s="162" t="s">
        <v>875</v>
      </c>
      <c r="N825" s="337" t="s">
        <v>554</v>
      </c>
      <c r="O825" s="338">
        <v>43819.0</v>
      </c>
      <c r="P825" s="164">
        <f t="array" ref="P825">XLOOKUP('FACUS$'!$B825,'perfil de pagos'!$A$4:$A$46,'perfil de pagos'!$C$4:$C$46+'FACUS$'!$D825)</f>
        <v>43771</v>
      </c>
      <c r="Q825" s="165">
        <f t="shared" si="2"/>
        <v>0</v>
      </c>
      <c r="R825" s="167"/>
      <c r="S825" s="167"/>
      <c r="T825" s="167"/>
      <c r="U825" s="334" t="s">
        <v>7271</v>
      </c>
      <c r="V825" s="168">
        <f t="shared" si="3"/>
        <v>39611.32</v>
      </c>
      <c r="W825" s="168">
        <f t="shared" si="4"/>
        <v>0</v>
      </c>
      <c r="X825" s="168">
        <f t="shared" si="5"/>
        <v>0</v>
      </c>
      <c r="Y825" s="168">
        <f t="shared" si="6"/>
        <v>0</v>
      </c>
      <c r="Z825" s="168">
        <f t="shared" si="7"/>
        <v>0</v>
      </c>
      <c r="AA825" s="168">
        <f t="shared" si="8"/>
        <v>0</v>
      </c>
      <c r="AB825" s="168">
        <f t="shared" si="9"/>
        <v>0</v>
      </c>
    </row>
    <row r="826" ht="14.25" customHeight="1">
      <c r="A826" s="157" t="s">
        <v>7582</v>
      </c>
      <c r="B826" s="169" t="s">
        <v>30</v>
      </c>
      <c r="C826" s="169" t="s">
        <v>1104</v>
      </c>
      <c r="D826" s="336">
        <v>43773.0</v>
      </c>
      <c r="E826" s="157" t="s">
        <v>600</v>
      </c>
      <c r="F826" s="160">
        <v>3791.21</v>
      </c>
      <c r="G826" s="160">
        <v>606.59</v>
      </c>
      <c r="H826" s="160">
        <f t="shared" si="29"/>
        <v>4397.8</v>
      </c>
      <c r="I826" s="172"/>
      <c r="J826" s="169"/>
      <c r="K826" s="172"/>
      <c r="L826" s="172">
        <f>+'FACUS$'!$H826-'FACUS$'!$I826-'FACUS$'!$K826</f>
        <v>4397.8</v>
      </c>
      <c r="M826" s="162" t="s">
        <v>7415</v>
      </c>
      <c r="N826" s="337" t="s">
        <v>554</v>
      </c>
      <c r="O826" s="338">
        <v>43859.0</v>
      </c>
      <c r="P826" s="164">
        <f t="array" ref="P826">XLOOKUP('FACUS$'!$B826,'perfil de pagos'!$A$4:$A$46,'perfil de pagos'!$C$4:$C$46+'FACUS$'!$D826)</f>
        <v>43783</v>
      </c>
      <c r="Q826" s="165">
        <f t="shared" si="2"/>
        <v>0</v>
      </c>
      <c r="R826" s="265" t="s">
        <v>7583</v>
      </c>
      <c r="S826" s="167" t="s">
        <v>910</v>
      </c>
      <c r="T826" s="167"/>
      <c r="U826" s="334" t="s">
        <v>7271</v>
      </c>
      <c r="V826" s="168">
        <f t="shared" si="3"/>
        <v>4397.8</v>
      </c>
      <c r="W826" s="168">
        <f t="shared" si="4"/>
        <v>0</v>
      </c>
      <c r="X826" s="168">
        <f t="shared" si="5"/>
        <v>0</v>
      </c>
      <c r="Y826" s="168">
        <f t="shared" si="6"/>
        <v>0</v>
      </c>
      <c r="Z826" s="168">
        <f t="shared" si="7"/>
        <v>0</v>
      </c>
      <c r="AA826" s="168">
        <f t="shared" si="8"/>
        <v>0</v>
      </c>
      <c r="AB826" s="168">
        <f t="shared" si="9"/>
        <v>0</v>
      </c>
    </row>
    <row r="827" ht="14.25" customHeight="1">
      <c r="A827" s="157" t="s">
        <v>7584</v>
      </c>
      <c r="B827" s="169" t="s">
        <v>36</v>
      </c>
      <c r="C827" s="169" t="s">
        <v>1104</v>
      </c>
      <c r="D827" s="336">
        <v>43773.0</v>
      </c>
      <c r="E827" s="157" t="s">
        <v>600</v>
      </c>
      <c r="F827" s="160">
        <v>3125.69</v>
      </c>
      <c r="G827" s="160">
        <v>500.11</v>
      </c>
      <c r="H827" s="160">
        <f t="shared" si="29"/>
        <v>3625.8</v>
      </c>
      <c r="I827" s="172"/>
      <c r="J827" s="169"/>
      <c r="K827" s="172"/>
      <c r="L827" s="172">
        <f>+'FACUS$'!$H827-'FACUS$'!$I827-'FACUS$'!$K827</f>
        <v>3625.8</v>
      </c>
      <c r="M827" s="162" t="s">
        <v>278</v>
      </c>
      <c r="N827" s="337" t="s">
        <v>554</v>
      </c>
      <c r="O827" s="338">
        <v>43826.0</v>
      </c>
      <c r="P827" s="164">
        <f t="array" ref="P827">XLOOKUP('FACUS$'!$B827,'perfil de pagos'!$A$4:$A$46,'perfil de pagos'!$C$4:$C$46+'FACUS$'!$D827)</f>
        <v>43783</v>
      </c>
      <c r="Q827" s="165">
        <f t="shared" si="2"/>
        <v>0</v>
      </c>
      <c r="R827" s="167" t="s">
        <v>7585</v>
      </c>
      <c r="S827" s="220" t="s">
        <v>910</v>
      </c>
      <c r="T827" s="167"/>
      <c r="U827" s="334" t="s">
        <v>7271</v>
      </c>
      <c r="V827" s="168">
        <f t="shared" si="3"/>
        <v>3625.8</v>
      </c>
      <c r="W827" s="168">
        <f t="shared" si="4"/>
        <v>0</v>
      </c>
      <c r="X827" s="168">
        <f t="shared" si="5"/>
        <v>0</v>
      </c>
      <c r="Y827" s="168">
        <f t="shared" si="6"/>
        <v>0</v>
      </c>
      <c r="Z827" s="168">
        <f t="shared" si="7"/>
        <v>0</v>
      </c>
      <c r="AA827" s="168">
        <f t="shared" si="8"/>
        <v>0</v>
      </c>
      <c r="AB827" s="168">
        <f t="shared" si="9"/>
        <v>0</v>
      </c>
    </row>
    <row r="828" ht="14.25" customHeight="1">
      <c r="A828" s="157" t="s">
        <v>7586</v>
      </c>
      <c r="B828" s="169" t="s">
        <v>43</v>
      </c>
      <c r="C828" s="169" t="s">
        <v>1104</v>
      </c>
      <c r="D828" s="336">
        <v>43773.0</v>
      </c>
      <c r="E828" s="157" t="s">
        <v>600</v>
      </c>
      <c r="F828" s="160">
        <v>39793.68</v>
      </c>
      <c r="G828" s="160">
        <v>6366.99</v>
      </c>
      <c r="H828" s="160">
        <f t="shared" si="29"/>
        <v>46160.67</v>
      </c>
      <c r="I828" s="172"/>
      <c r="J828" s="169"/>
      <c r="K828" s="172"/>
      <c r="L828" s="172">
        <f>+'FACUS$'!$H828-'FACUS$'!$I828-'FACUS$'!$K828</f>
        <v>46160.67</v>
      </c>
      <c r="M828" s="162" t="s">
        <v>43</v>
      </c>
      <c r="N828" s="337" t="s">
        <v>554</v>
      </c>
      <c r="O828" s="338">
        <v>43784.0</v>
      </c>
      <c r="P828" s="164">
        <f t="array" ref="P828">XLOOKUP('FACUS$'!$B828,'perfil de pagos'!$A$4:$A$46,'perfil de pagos'!$C$4:$C$46+'FACUS$'!$D828)</f>
        <v>43798</v>
      </c>
      <c r="Q828" s="165">
        <f t="shared" si="2"/>
        <v>0</v>
      </c>
      <c r="R828" s="167"/>
      <c r="S828" s="220" t="s">
        <v>910</v>
      </c>
      <c r="T828" s="167"/>
      <c r="U828" s="334" t="s">
        <v>7271</v>
      </c>
      <c r="V828" s="168">
        <f t="shared" si="3"/>
        <v>46160.67</v>
      </c>
      <c r="W828" s="168">
        <f t="shared" si="4"/>
        <v>0</v>
      </c>
      <c r="X828" s="168">
        <f t="shared" si="5"/>
        <v>0</v>
      </c>
      <c r="Y828" s="168">
        <f t="shared" si="6"/>
        <v>0</v>
      </c>
      <c r="Z828" s="168">
        <f t="shared" si="7"/>
        <v>0</v>
      </c>
      <c r="AA828" s="168">
        <f t="shared" si="8"/>
        <v>0</v>
      </c>
      <c r="AB828" s="168">
        <f t="shared" si="9"/>
        <v>0</v>
      </c>
    </row>
    <row r="829" ht="14.25" customHeight="1">
      <c r="A829" s="157" t="s">
        <v>7587</v>
      </c>
      <c r="B829" s="169" t="s">
        <v>127</v>
      </c>
      <c r="C829" s="169"/>
      <c r="D829" s="336"/>
      <c r="E829" s="157"/>
      <c r="F829" s="160"/>
      <c r="G829" s="160"/>
      <c r="H829" s="160">
        <f t="shared" si="29"/>
        <v>0</v>
      </c>
      <c r="I829" s="172"/>
      <c r="J829" s="169"/>
      <c r="K829" s="172"/>
      <c r="L829" s="172">
        <f>+'FACUS$'!$H829-'FACUS$'!$I829-'FACUS$'!$K829</f>
        <v>0</v>
      </c>
      <c r="M829" s="162"/>
      <c r="N829" s="337" t="s">
        <v>127</v>
      </c>
      <c r="O829" s="338"/>
      <c r="P829" s="164" t="str">
        <f t="array" ref="P829">XLOOKUP('FACUS$'!$B829,'perfil de pagos'!$A$4:$A$46,'perfil de pagos'!$C$4:$C$46+'FACUS$'!$D829)</f>
        <v>#N/A</v>
      </c>
      <c r="Q829" s="165" t="str">
        <f t="shared" si="2"/>
        <v>N/A</v>
      </c>
      <c r="R829" s="167"/>
      <c r="S829" s="167"/>
      <c r="T829" s="167"/>
      <c r="U829" s="334" t="s">
        <v>7271</v>
      </c>
      <c r="V829" s="168">
        <f t="shared" si="3"/>
        <v>0</v>
      </c>
      <c r="W829" s="168">
        <f t="shared" si="4"/>
        <v>0</v>
      </c>
      <c r="X829" s="168">
        <f t="shared" si="5"/>
        <v>0</v>
      </c>
      <c r="Y829" s="168">
        <f t="shared" si="6"/>
        <v>0</v>
      </c>
      <c r="Z829" s="168">
        <f t="shared" si="7"/>
        <v>0</v>
      </c>
      <c r="AA829" s="168">
        <f t="shared" si="8"/>
        <v>0</v>
      </c>
      <c r="AB829" s="168">
        <f t="shared" si="9"/>
        <v>0</v>
      </c>
    </row>
    <row r="830" ht="14.25" customHeight="1">
      <c r="A830" s="157" t="s">
        <v>7588</v>
      </c>
      <c r="B830" s="169" t="s">
        <v>29</v>
      </c>
      <c r="C830" s="169" t="s">
        <v>7589</v>
      </c>
      <c r="D830" s="336">
        <v>43773.0</v>
      </c>
      <c r="E830" s="157" t="s">
        <v>600</v>
      </c>
      <c r="F830" s="160">
        <v>36341.78</v>
      </c>
      <c r="G830" s="160">
        <v>5814.68</v>
      </c>
      <c r="H830" s="160">
        <f t="shared" si="29"/>
        <v>42156.46</v>
      </c>
      <c r="I830" s="172"/>
      <c r="J830" s="169"/>
      <c r="K830" s="172"/>
      <c r="L830" s="172">
        <f>+'FACUS$'!$H830-'FACUS$'!$I830-'FACUS$'!$K830</f>
        <v>42156.46</v>
      </c>
      <c r="M830" s="162" t="s">
        <v>825</v>
      </c>
      <c r="N830" s="337" t="s">
        <v>554</v>
      </c>
      <c r="O830" s="338">
        <v>43802.0</v>
      </c>
      <c r="P830" s="164">
        <f t="array" ref="P830">XLOOKUP('FACUS$'!$B830,'perfil de pagos'!$A$4:$A$46,'perfil de pagos'!$C$4:$C$46+'FACUS$'!$D830)</f>
        <v>43783</v>
      </c>
      <c r="Q830" s="165">
        <f t="shared" si="2"/>
        <v>0</v>
      </c>
      <c r="R830" s="167"/>
      <c r="S830" s="167"/>
      <c r="T830" s="167"/>
      <c r="U830" s="334" t="s">
        <v>7271</v>
      </c>
      <c r="V830" s="168">
        <f t="shared" si="3"/>
        <v>42156.46</v>
      </c>
      <c r="W830" s="168">
        <f t="shared" si="4"/>
        <v>0</v>
      </c>
      <c r="X830" s="168">
        <f t="shared" si="5"/>
        <v>0</v>
      </c>
      <c r="Y830" s="168">
        <f t="shared" si="6"/>
        <v>0</v>
      </c>
      <c r="Z830" s="168">
        <f t="shared" si="7"/>
        <v>0</v>
      </c>
      <c r="AA830" s="168">
        <f t="shared" si="8"/>
        <v>0</v>
      </c>
      <c r="AB830" s="168">
        <f t="shared" si="9"/>
        <v>0</v>
      </c>
    </row>
    <row r="831" ht="14.25" customHeight="1">
      <c r="A831" s="157" t="s">
        <v>7590</v>
      </c>
      <c r="B831" s="169" t="s">
        <v>127</v>
      </c>
      <c r="C831" s="169"/>
      <c r="D831" s="336"/>
      <c r="E831" s="157"/>
      <c r="F831" s="160"/>
      <c r="G831" s="160"/>
      <c r="H831" s="160">
        <f t="shared" si="29"/>
        <v>0</v>
      </c>
      <c r="I831" s="172"/>
      <c r="J831" s="169"/>
      <c r="K831" s="172"/>
      <c r="L831" s="172">
        <f>+'FACUS$'!$H831-'FACUS$'!$I831-'FACUS$'!$K831</f>
        <v>0</v>
      </c>
      <c r="M831" s="162"/>
      <c r="N831" s="337" t="s">
        <v>127</v>
      </c>
      <c r="O831" s="338"/>
      <c r="P831" s="164" t="str">
        <f t="array" ref="P831">XLOOKUP('FACUS$'!$B831,'perfil de pagos'!$A$4:$A$46,'perfil de pagos'!$C$4:$C$46+'FACUS$'!$D831)</f>
        <v>#N/A</v>
      </c>
      <c r="Q831" s="165" t="str">
        <f t="shared" si="2"/>
        <v>N/A</v>
      </c>
      <c r="R831" s="167"/>
      <c r="S831" s="167"/>
      <c r="T831" s="167"/>
      <c r="U831" s="334" t="s">
        <v>7271</v>
      </c>
      <c r="V831" s="168">
        <f t="shared" si="3"/>
        <v>0</v>
      </c>
      <c r="W831" s="168">
        <f t="shared" si="4"/>
        <v>0</v>
      </c>
      <c r="X831" s="168">
        <f t="shared" si="5"/>
        <v>0</v>
      </c>
      <c r="Y831" s="168">
        <f t="shared" si="6"/>
        <v>0</v>
      </c>
      <c r="Z831" s="168">
        <f t="shared" si="7"/>
        <v>0</v>
      </c>
      <c r="AA831" s="168">
        <f t="shared" si="8"/>
        <v>0</v>
      </c>
      <c r="AB831" s="168">
        <f t="shared" si="9"/>
        <v>0</v>
      </c>
    </row>
    <row r="832" ht="14.25" customHeight="1">
      <c r="A832" s="157" t="s">
        <v>7591</v>
      </c>
      <c r="B832" s="169" t="s">
        <v>35</v>
      </c>
      <c r="C832" s="169" t="s">
        <v>1104</v>
      </c>
      <c r="D832" s="336">
        <v>43773.0</v>
      </c>
      <c r="E832" s="157" t="s">
        <v>600</v>
      </c>
      <c r="F832" s="160">
        <v>2819.44</v>
      </c>
      <c r="G832" s="160">
        <v>451.11</v>
      </c>
      <c r="H832" s="160">
        <f t="shared" si="29"/>
        <v>3270.55</v>
      </c>
      <c r="I832" s="172"/>
      <c r="J832" s="169"/>
      <c r="K832" s="172"/>
      <c r="L832" s="172">
        <f>+'FACUS$'!$H832-'FACUS$'!$I832-'FACUS$'!$K832</f>
        <v>3270.55</v>
      </c>
      <c r="M832" s="162" t="s">
        <v>276</v>
      </c>
      <c r="N832" s="337" t="s">
        <v>127</v>
      </c>
      <c r="O832" s="338"/>
      <c r="P832" s="164">
        <f t="array" ref="P832">XLOOKUP('FACUS$'!$B832,'perfil de pagos'!$A$4:$A$46,'perfil de pagos'!$C$4:$C$46+'FACUS$'!$D832)</f>
        <v>43783</v>
      </c>
      <c r="Q832" s="165" t="str">
        <f t="shared" si="2"/>
        <v>N/A</v>
      </c>
      <c r="R832" s="220" t="s">
        <v>7592</v>
      </c>
      <c r="S832" s="220" t="s">
        <v>910</v>
      </c>
      <c r="T832" s="167"/>
      <c r="U832" s="334" t="s">
        <v>7271</v>
      </c>
      <c r="V832" s="168">
        <f t="shared" si="3"/>
        <v>0</v>
      </c>
      <c r="W832" s="168">
        <f t="shared" si="4"/>
        <v>0</v>
      </c>
      <c r="X832" s="168">
        <f t="shared" si="5"/>
        <v>0</v>
      </c>
      <c r="Y832" s="168">
        <f t="shared" si="6"/>
        <v>0</v>
      </c>
      <c r="Z832" s="168">
        <f t="shared" si="7"/>
        <v>0</v>
      </c>
      <c r="AA832" s="168">
        <f t="shared" si="8"/>
        <v>0</v>
      </c>
      <c r="AB832" s="168">
        <f t="shared" si="9"/>
        <v>3270.55</v>
      </c>
    </row>
    <row r="833" ht="14.25" customHeight="1">
      <c r="A833" s="157" t="s">
        <v>7593</v>
      </c>
      <c r="B833" s="169" t="s">
        <v>18</v>
      </c>
      <c r="C833" s="169" t="s">
        <v>1104</v>
      </c>
      <c r="D833" s="336">
        <v>43775.0</v>
      </c>
      <c r="E833" s="157" t="s">
        <v>600</v>
      </c>
      <c r="F833" s="160">
        <v>8797.79</v>
      </c>
      <c r="G833" s="160">
        <v>1407.65</v>
      </c>
      <c r="H833" s="160">
        <f t="shared" si="29"/>
        <v>10205.44</v>
      </c>
      <c r="I833" s="172"/>
      <c r="J833" s="169"/>
      <c r="K833" s="172"/>
      <c r="L833" s="172">
        <f>+'FACUS$'!$H833-'FACUS$'!$I833-'FACUS$'!$K833</f>
        <v>10205.44</v>
      </c>
      <c r="M833" s="162" t="s">
        <v>586</v>
      </c>
      <c r="N833" s="337" t="s">
        <v>554</v>
      </c>
      <c r="O833" s="338">
        <v>43817.0</v>
      </c>
      <c r="P833" s="164">
        <f t="array" ref="P833">XLOOKUP('FACUS$'!$B833,'perfil de pagos'!$A$4:$A$46,'perfil de pagos'!$C$4:$C$46+'FACUS$'!$D833)</f>
        <v>43785</v>
      </c>
      <c r="Q833" s="165">
        <f t="shared" si="2"/>
        <v>0</v>
      </c>
      <c r="R833" s="167"/>
      <c r="S833" s="220" t="s">
        <v>910</v>
      </c>
      <c r="T833" s="167"/>
      <c r="U833" s="334" t="s">
        <v>7271</v>
      </c>
      <c r="V833" s="168">
        <f t="shared" si="3"/>
        <v>10205.44</v>
      </c>
      <c r="W833" s="168">
        <f t="shared" si="4"/>
        <v>0</v>
      </c>
      <c r="X833" s="168">
        <f t="shared" si="5"/>
        <v>0</v>
      </c>
      <c r="Y833" s="168">
        <f t="shared" si="6"/>
        <v>0</v>
      </c>
      <c r="Z833" s="168">
        <f t="shared" si="7"/>
        <v>0</v>
      </c>
      <c r="AA833" s="168">
        <f t="shared" si="8"/>
        <v>0</v>
      </c>
      <c r="AB833" s="168">
        <f t="shared" si="9"/>
        <v>0</v>
      </c>
    </row>
    <row r="834" ht="14.25" customHeight="1">
      <c r="A834" s="157" t="s">
        <v>7594</v>
      </c>
      <c r="B834" s="169" t="s">
        <v>37</v>
      </c>
      <c r="C834" s="169" t="s">
        <v>1104</v>
      </c>
      <c r="D834" s="336">
        <v>43775.0</v>
      </c>
      <c r="E834" s="157" t="s">
        <v>600</v>
      </c>
      <c r="F834" s="160">
        <v>62654.12</v>
      </c>
      <c r="G834" s="160">
        <v>10024.66</v>
      </c>
      <c r="H834" s="160">
        <f t="shared" si="29"/>
        <v>72678.78</v>
      </c>
      <c r="I834" s="172"/>
      <c r="J834" s="169"/>
      <c r="K834" s="172"/>
      <c r="L834" s="172">
        <f>+'FACUS$'!$H834-'FACUS$'!$I834-'FACUS$'!$K834</f>
        <v>72678.78</v>
      </c>
      <c r="M834" s="162" t="s">
        <v>116</v>
      </c>
      <c r="N834" s="337" t="s">
        <v>554</v>
      </c>
      <c r="O834" s="338">
        <v>43794.0</v>
      </c>
      <c r="P834" s="164">
        <f t="array" ref="P834">XLOOKUP('FACUS$'!$B834,'perfil de pagos'!$A$4:$A$46,'perfil de pagos'!$C$4:$C$46+'FACUS$'!$D834)</f>
        <v>43785</v>
      </c>
      <c r="Q834" s="165">
        <f t="shared" si="2"/>
        <v>0</v>
      </c>
      <c r="R834" s="220" t="s">
        <v>7595</v>
      </c>
      <c r="S834" s="220" t="s">
        <v>910</v>
      </c>
      <c r="T834" s="167"/>
      <c r="U834" s="334" t="s">
        <v>7271</v>
      </c>
      <c r="V834" s="168">
        <f t="shared" si="3"/>
        <v>72678.78</v>
      </c>
      <c r="W834" s="168">
        <f t="shared" si="4"/>
        <v>0</v>
      </c>
      <c r="X834" s="168">
        <f t="shared" si="5"/>
        <v>0</v>
      </c>
      <c r="Y834" s="168">
        <f t="shared" si="6"/>
        <v>0</v>
      </c>
      <c r="Z834" s="168">
        <f t="shared" si="7"/>
        <v>0</v>
      </c>
      <c r="AA834" s="168">
        <f t="shared" si="8"/>
        <v>0</v>
      </c>
      <c r="AB834" s="168">
        <f t="shared" si="9"/>
        <v>0</v>
      </c>
    </row>
    <row r="835" ht="14.25" customHeight="1">
      <c r="A835" s="157" t="s">
        <v>7596</v>
      </c>
      <c r="B835" s="169" t="s">
        <v>41</v>
      </c>
      <c r="C835" s="169" t="s">
        <v>1104</v>
      </c>
      <c r="D835" s="336">
        <v>43775.0</v>
      </c>
      <c r="E835" s="157" t="s">
        <v>600</v>
      </c>
      <c r="F835" s="160">
        <v>48222.16</v>
      </c>
      <c r="G835" s="160">
        <v>7715.55</v>
      </c>
      <c r="H835" s="160">
        <f t="shared" si="29"/>
        <v>55937.71</v>
      </c>
      <c r="I835" s="172"/>
      <c r="J835" s="169"/>
      <c r="K835" s="172"/>
      <c r="L835" s="172">
        <f>+'FACUS$'!$H835-'FACUS$'!$I835-'FACUS$'!$K835</f>
        <v>55937.71</v>
      </c>
      <c r="M835" s="162" t="s">
        <v>875</v>
      </c>
      <c r="N835" s="337" t="s">
        <v>554</v>
      </c>
      <c r="O835" s="338">
        <v>43819.0</v>
      </c>
      <c r="P835" s="164">
        <f t="array" ref="P835">XLOOKUP('FACUS$'!$B835,'perfil de pagos'!$A$4:$A$46,'perfil de pagos'!$C$4:$C$46+'FACUS$'!$D835)</f>
        <v>43785</v>
      </c>
      <c r="Q835" s="165">
        <f t="shared" si="2"/>
        <v>0</v>
      </c>
      <c r="R835" s="167"/>
      <c r="S835" s="167"/>
      <c r="T835" s="167"/>
      <c r="U835" s="334" t="s">
        <v>7271</v>
      </c>
      <c r="V835" s="168">
        <f t="shared" si="3"/>
        <v>55937.71</v>
      </c>
      <c r="W835" s="168">
        <f t="shared" si="4"/>
        <v>0</v>
      </c>
      <c r="X835" s="168">
        <f t="shared" si="5"/>
        <v>0</v>
      </c>
      <c r="Y835" s="168">
        <f t="shared" si="6"/>
        <v>0</v>
      </c>
      <c r="Z835" s="168">
        <f t="shared" si="7"/>
        <v>0</v>
      </c>
      <c r="AA835" s="168">
        <f t="shared" si="8"/>
        <v>0</v>
      </c>
      <c r="AB835" s="168">
        <f t="shared" si="9"/>
        <v>0</v>
      </c>
    </row>
    <row r="836" ht="14.25" customHeight="1">
      <c r="A836" s="157" t="s">
        <v>7597</v>
      </c>
      <c r="B836" s="169" t="s">
        <v>29</v>
      </c>
      <c r="C836" s="169" t="s">
        <v>7598</v>
      </c>
      <c r="D836" s="336">
        <v>43782.0</v>
      </c>
      <c r="E836" s="157" t="s">
        <v>600</v>
      </c>
      <c r="F836" s="160">
        <v>15000.0</v>
      </c>
      <c r="G836" s="160">
        <v>2400.0</v>
      </c>
      <c r="H836" s="160">
        <f t="shared" si="29"/>
        <v>17400</v>
      </c>
      <c r="I836" s="172"/>
      <c r="J836" s="169"/>
      <c r="K836" s="172"/>
      <c r="L836" s="172">
        <f>+'FACUS$'!$H836-'FACUS$'!$I836-'FACUS$'!$K836</f>
        <v>17400</v>
      </c>
      <c r="M836" s="162" t="s">
        <v>7509</v>
      </c>
      <c r="N836" s="337" t="s">
        <v>554</v>
      </c>
      <c r="O836" s="338">
        <v>43804.0</v>
      </c>
      <c r="P836" s="164">
        <f t="array" ref="P836">XLOOKUP('FACUS$'!$B836,'perfil de pagos'!$A$4:$A$46,'perfil de pagos'!$C$4:$C$46+'FACUS$'!$D836)</f>
        <v>43792</v>
      </c>
      <c r="Q836" s="165">
        <f t="shared" si="2"/>
        <v>0</v>
      </c>
      <c r="R836" s="167"/>
      <c r="S836" s="167"/>
      <c r="T836" s="167"/>
      <c r="U836" s="334" t="s">
        <v>7271</v>
      </c>
      <c r="V836" s="168">
        <f t="shared" si="3"/>
        <v>17400</v>
      </c>
      <c r="W836" s="168">
        <f t="shared" si="4"/>
        <v>0</v>
      </c>
      <c r="X836" s="168">
        <f t="shared" si="5"/>
        <v>0</v>
      </c>
      <c r="Y836" s="168">
        <f t="shared" si="6"/>
        <v>0</v>
      </c>
      <c r="Z836" s="168">
        <f t="shared" si="7"/>
        <v>0</v>
      </c>
      <c r="AA836" s="168">
        <f t="shared" si="8"/>
        <v>0</v>
      </c>
      <c r="AB836" s="168">
        <f t="shared" si="9"/>
        <v>0</v>
      </c>
    </row>
    <row r="837" ht="14.25" customHeight="1">
      <c r="A837" s="157" t="s">
        <v>7599</v>
      </c>
      <c r="B837" s="169" t="s">
        <v>29</v>
      </c>
      <c r="C837" s="169" t="s">
        <v>7600</v>
      </c>
      <c r="D837" s="336">
        <v>43782.0</v>
      </c>
      <c r="E837" s="157" t="s">
        <v>600</v>
      </c>
      <c r="F837" s="160">
        <v>2500.0</v>
      </c>
      <c r="G837" s="160">
        <v>400.0</v>
      </c>
      <c r="H837" s="160">
        <f t="shared" si="29"/>
        <v>2900</v>
      </c>
      <c r="I837" s="172"/>
      <c r="J837" s="169"/>
      <c r="K837" s="172"/>
      <c r="L837" s="172">
        <f>+'FACUS$'!$H837-'FACUS$'!$I837-'FACUS$'!$K837</f>
        <v>2900</v>
      </c>
      <c r="M837" s="162" t="s">
        <v>7509</v>
      </c>
      <c r="N837" s="337" t="s">
        <v>554</v>
      </c>
      <c r="O837" s="338">
        <v>43805.0</v>
      </c>
      <c r="P837" s="164">
        <f t="array" ref="P837">XLOOKUP('FACUS$'!$B837,'perfil de pagos'!$A$4:$A$46,'perfil de pagos'!$C$4:$C$46+'FACUS$'!$D837)</f>
        <v>43792</v>
      </c>
      <c r="Q837" s="165">
        <f t="shared" si="2"/>
        <v>0</v>
      </c>
      <c r="R837" s="167"/>
      <c r="S837" s="167"/>
      <c r="T837" s="167"/>
      <c r="U837" s="334" t="s">
        <v>7271</v>
      </c>
      <c r="V837" s="168">
        <f t="shared" si="3"/>
        <v>2900</v>
      </c>
      <c r="W837" s="168">
        <f t="shared" si="4"/>
        <v>0</v>
      </c>
      <c r="X837" s="168">
        <f t="shared" si="5"/>
        <v>0</v>
      </c>
      <c r="Y837" s="168">
        <f t="shared" si="6"/>
        <v>0</v>
      </c>
      <c r="Z837" s="168">
        <f t="shared" si="7"/>
        <v>0</v>
      </c>
      <c r="AA837" s="168">
        <f t="shared" si="8"/>
        <v>0</v>
      </c>
      <c r="AB837" s="168">
        <f t="shared" si="9"/>
        <v>0</v>
      </c>
    </row>
    <row r="838" ht="14.25" customHeight="1">
      <c r="A838" s="157" t="s">
        <v>7601</v>
      </c>
      <c r="B838" s="169" t="s">
        <v>30</v>
      </c>
      <c r="C838" s="169" t="s">
        <v>1140</v>
      </c>
      <c r="D838" s="336">
        <v>43789.0</v>
      </c>
      <c r="E838" s="157" t="s">
        <v>600</v>
      </c>
      <c r="F838" s="160">
        <v>6274.67</v>
      </c>
      <c r="G838" s="160">
        <v>1003.95</v>
      </c>
      <c r="H838" s="160">
        <f t="shared" si="29"/>
        <v>7278.62</v>
      </c>
      <c r="I838" s="172"/>
      <c r="J838" s="169"/>
      <c r="K838" s="172"/>
      <c r="L838" s="172">
        <f>+'FACUS$'!$H838-'FACUS$'!$I838-'FACUS$'!$K838</f>
        <v>7278.62</v>
      </c>
      <c r="M838" s="162" t="s">
        <v>7415</v>
      </c>
      <c r="N838" s="337" t="s">
        <v>554</v>
      </c>
      <c r="O838" s="338">
        <v>43861.0</v>
      </c>
      <c r="P838" s="164">
        <f t="array" ref="P838">XLOOKUP('FACUS$'!$B838,'perfil de pagos'!$A$4:$A$46,'perfil de pagos'!$C$4:$C$46+'FACUS$'!$D838)</f>
        <v>43799</v>
      </c>
      <c r="Q838" s="165">
        <f t="shared" si="2"/>
        <v>0</v>
      </c>
      <c r="R838" s="167" t="s">
        <v>7602</v>
      </c>
      <c r="S838" s="167" t="s">
        <v>910</v>
      </c>
      <c r="T838" s="167"/>
      <c r="U838" s="334" t="s">
        <v>7271</v>
      </c>
      <c r="V838" s="168">
        <f t="shared" si="3"/>
        <v>7278.62</v>
      </c>
      <c r="W838" s="168">
        <f t="shared" si="4"/>
        <v>0</v>
      </c>
      <c r="X838" s="168">
        <f t="shared" si="5"/>
        <v>0</v>
      </c>
      <c r="Y838" s="168">
        <f t="shared" si="6"/>
        <v>0</v>
      </c>
      <c r="Z838" s="168">
        <f t="shared" si="7"/>
        <v>0</v>
      </c>
      <c r="AA838" s="168">
        <f t="shared" si="8"/>
        <v>0</v>
      </c>
      <c r="AB838" s="168">
        <f t="shared" si="9"/>
        <v>0</v>
      </c>
    </row>
    <row r="839" ht="14.25" customHeight="1">
      <c r="A839" s="157" t="s">
        <v>7603</v>
      </c>
      <c r="B839" s="169" t="s">
        <v>35</v>
      </c>
      <c r="C839" s="169" t="s">
        <v>1140</v>
      </c>
      <c r="D839" s="336">
        <v>43789.0</v>
      </c>
      <c r="E839" s="157" t="s">
        <v>600</v>
      </c>
      <c r="F839" s="160">
        <v>6015.7</v>
      </c>
      <c r="G839" s="160">
        <v>962.51</v>
      </c>
      <c r="H839" s="160">
        <f t="shared" si="29"/>
        <v>6978.21</v>
      </c>
      <c r="I839" s="172"/>
      <c r="J839" s="169"/>
      <c r="K839" s="172"/>
      <c r="L839" s="172">
        <f>+'FACUS$'!$H839-'FACUS$'!$I839-'FACUS$'!$K839</f>
        <v>6978.21</v>
      </c>
      <c r="M839" s="162" t="s">
        <v>276</v>
      </c>
      <c r="N839" s="337" t="s">
        <v>554</v>
      </c>
      <c r="O839" s="338">
        <v>43840.0</v>
      </c>
      <c r="P839" s="164">
        <f t="array" ref="P839">XLOOKUP('FACUS$'!$B839,'perfil de pagos'!$A$4:$A$46,'perfil de pagos'!$C$4:$C$46+'FACUS$'!$D839)</f>
        <v>43799</v>
      </c>
      <c r="Q839" s="165">
        <f t="shared" si="2"/>
        <v>0</v>
      </c>
      <c r="R839" s="167"/>
      <c r="S839" s="167" t="s">
        <v>910</v>
      </c>
      <c r="T839" s="167"/>
      <c r="U839" s="334" t="s">
        <v>7271</v>
      </c>
      <c r="V839" s="168">
        <f t="shared" si="3"/>
        <v>6978.21</v>
      </c>
      <c r="W839" s="168">
        <f t="shared" si="4"/>
        <v>0</v>
      </c>
      <c r="X839" s="168">
        <f t="shared" si="5"/>
        <v>0</v>
      </c>
      <c r="Y839" s="168">
        <f t="shared" si="6"/>
        <v>0</v>
      </c>
      <c r="Z839" s="168">
        <f t="shared" si="7"/>
        <v>0</v>
      </c>
      <c r="AA839" s="168">
        <f t="shared" si="8"/>
        <v>0</v>
      </c>
      <c r="AB839" s="168">
        <f t="shared" si="9"/>
        <v>0</v>
      </c>
    </row>
    <row r="840" ht="14.25" customHeight="1">
      <c r="A840" s="157" t="s">
        <v>7604</v>
      </c>
      <c r="B840" s="169" t="s">
        <v>36</v>
      </c>
      <c r="C840" s="169" t="s">
        <v>1140</v>
      </c>
      <c r="D840" s="336">
        <v>43789.0</v>
      </c>
      <c r="E840" s="157" t="s">
        <v>600</v>
      </c>
      <c r="F840" s="160">
        <v>2796.54</v>
      </c>
      <c r="G840" s="160">
        <v>447.45</v>
      </c>
      <c r="H840" s="160">
        <f t="shared" si="29"/>
        <v>3243.99</v>
      </c>
      <c r="I840" s="172"/>
      <c r="J840" s="169"/>
      <c r="K840" s="172"/>
      <c r="L840" s="172">
        <f>+'FACUS$'!$H840-'FACUS$'!$I840-'FACUS$'!$K840</f>
        <v>3243.99</v>
      </c>
      <c r="M840" s="162" t="s">
        <v>278</v>
      </c>
      <c r="N840" s="337" t="s">
        <v>554</v>
      </c>
      <c r="O840" s="338">
        <v>43808.0</v>
      </c>
      <c r="P840" s="164">
        <f t="array" ref="P840">XLOOKUP('FACUS$'!$B840,'perfil de pagos'!$A$4:$A$46,'perfil de pagos'!$C$4:$C$46+'FACUS$'!$D840)</f>
        <v>43799</v>
      </c>
      <c r="Q840" s="165">
        <f t="shared" si="2"/>
        <v>0</v>
      </c>
      <c r="R840" s="167" t="s">
        <v>7605</v>
      </c>
      <c r="S840" s="220" t="s">
        <v>910</v>
      </c>
      <c r="T840" s="167"/>
      <c r="U840" s="334" t="s">
        <v>7271</v>
      </c>
      <c r="V840" s="168">
        <f t="shared" si="3"/>
        <v>3243.99</v>
      </c>
      <c r="W840" s="168">
        <f t="shared" si="4"/>
        <v>0</v>
      </c>
      <c r="X840" s="168">
        <f t="shared" si="5"/>
        <v>0</v>
      </c>
      <c r="Y840" s="168">
        <f t="shared" si="6"/>
        <v>0</v>
      </c>
      <c r="Z840" s="168">
        <f t="shared" si="7"/>
        <v>0</v>
      </c>
      <c r="AA840" s="168">
        <f t="shared" si="8"/>
        <v>0</v>
      </c>
      <c r="AB840" s="168">
        <f t="shared" si="9"/>
        <v>0</v>
      </c>
    </row>
    <row r="841" ht="14.25" customHeight="1">
      <c r="A841" s="157" t="s">
        <v>7606</v>
      </c>
      <c r="B841" s="169" t="s">
        <v>1127</v>
      </c>
      <c r="C841" s="169" t="s">
        <v>7607</v>
      </c>
      <c r="D841" s="336">
        <v>43789.0</v>
      </c>
      <c r="E841" s="157" t="s">
        <v>600</v>
      </c>
      <c r="F841" s="160">
        <v>55.39</v>
      </c>
      <c r="G841" s="160">
        <v>8.86</v>
      </c>
      <c r="H841" s="160">
        <f t="shared" si="29"/>
        <v>64.25</v>
      </c>
      <c r="I841" s="172"/>
      <c r="J841" s="169"/>
      <c r="K841" s="172"/>
      <c r="L841" s="172">
        <f>+'FACUS$'!$H841-'FACUS$'!$I841-'FACUS$'!$K841</f>
        <v>64.25</v>
      </c>
      <c r="M841" s="162" t="s">
        <v>580</v>
      </c>
      <c r="N841" s="337" t="s">
        <v>554</v>
      </c>
      <c r="O841" s="338">
        <v>43875.0</v>
      </c>
      <c r="P841" s="164" t="str">
        <f t="array" ref="P841">XLOOKUP('FACUS$'!$B841,'perfil de pagos'!$A$4:$A$46,'perfil de pagos'!$C$4:$C$46+'FACUS$'!$D841)</f>
        <v>#N/A</v>
      </c>
      <c r="Q841" s="165">
        <f t="shared" si="2"/>
        <v>0</v>
      </c>
      <c r="R841" s="167" t="s">
        <v>7608</v>
      </c>
      <c r="S841" s="167" t="s">
        <v>910</v>
      </c>
      <c r="T841" s="167"/>
      <c r="U841" s="334" t="s">
        <v>7271</v>
      </c>
      <c r="V841" s="168">
        <f t="shared" si="3"/>
        <v>64.25</v>
      </c>
      <c r="W841" s="168">
        <f t="shared" si="4"/>
        <v>0</v>
      </c>
      <c r="X841" s="168">
        <f t="shared" si="5"/>
        <v>0</v>
      </c>
      <c r="Y841" s="168">
        <f t="shared" si="6"/>
        <v>0</v>
      </c>
      <c r="Z841" s="168">
        <f t="shared" si="7"/>
        <v>0</v>
      </c>
      <c r="AA841" s="168">
        <f t="shared" si="8"/>
        <v>0</v>
      </c>
      <c r="AB841" s="168">
        <f t="shared" si="9"/>
        <v>0</v>
      </c>
    </row>
    <row r="842" ht="14.25" customHeight="1">
      <c r="A842" s="157" t="s">
        <v>7609</v>
      </c>
      <c r="B842" s="169" t="s">
        <v>43</v>
      </c>
      <c r="C842" s="169" t="s">
        <v>1140</v>
      </c>
      <c r="D842" s="336">
        <v>43789.0</v>
      </c>
      <c r="E842" s="157" t="s">
        <v>600</v>
      </c>
      <c r="F842" s="160">
        <v>38768.6</v>
      </c>
      <c r="G842" s="160">
        <v>6202.98</v>
      </c>
      <c r="H842" s="160">
        <f t="shared" si="29"/>
        <v>44971.58</v>
      </c>
      <c r="I842" s="172"/>
      <c r="J842" s="169"/>
      <c r="K842" s="172"/>
      <c r="L842" s="172">
        <f>+'FACUS$'!$H842-'FACUS$'!$I842-'FACUS$'!$K842</f>
        <v>44971.58</v>
      </c>
      <c r="M842" s="162" t="s">
        <v>43</v>
      </c>
      <c r="N842" s="337" t="s">
        <v>554</v>
      </c>
      <c r="O842" s="338">
        <v>43805.0</v>
      </c>
      <c r="P842" s="164">
        <f t="array" ref="P842">XLOOKUP('FACUS$'!$B842,'perfil de pagos'!$A$4:$A$46,'perfil de pagos'!$C$4:$C$46+'FACUS$'!$D842)</f>
        <v>43814</v>
      </c>
      <c r="Q842" s="165">
        <f t="shared" si="2"/>
        <v>0</v>
      </c>
      <c r="R842" s="167"/>
      <c r="S842" s="220" t="s">
        <v>910</v>
      </c>
      <c r="T842" s="167"/>
      <c r="U842" s="334" t="s">
        <v>7271</v>
      </c>
      <c r="V842" s="168">
        <f t="shared" si="3"/>
        <v>44971.58</v>
      </c>
      <c r="W842" s="168">
        <f t="shared" si="4"/>
        <v>0</v>
      </c>
      <c r="X842" s="168">
        <f t="shared" si="5"/>
        <v>0</v>
      </c>
      <c r="Y842" s="168">
        <f t="shared" si="6"/>
        <v>0</v>
      </c>
      <c r="Z842" s="168">
        <f t="shared" si="7"/>
        <v>0</v>
      </c>
      <c r="AA842" s="168">
        <f t="shared" si="8"/>
        <v>0</v>
      </c>
      <c r="AB842" s="168">
        <f t="shared" si="9"/>
        <v>0</v>
      </c>
    </row>
    <row r="843" ht="14.25" customHeight="1">
      <c r="A843" s="157" t="s">
        <v>7610</v>
      </c>
      <c r="B843" s="169" t="s">
        <v>41</v>
      </c>
      <c r="C843" s="169" t="s">
        <v>1140</v>
      </c>
      <c r="D843" s="336">
        <v>43789.0</v>
      </c>
      <c r="E843" s="157" t="s">
        <v>600</v>
      </c>
      <c r="F843" s="160">
        <v>40825.97</v>
      </c>
      <c r="G843" s="160">
        <v>6532.16</v>
      </c>
      <c r="H843" s="160">
        <f t="shared" si="29"/>
        <v>47358.13</v>
      </c>
      <c r="I843" s="172"/>
      <c r="J843" s="169"/>
      <c r="K843" s="172"/>
      <c r="L843" s="172">
        <f>+'FACUS$'!$H843-'FACUS$'!$I843-'FACUS$'!$K843</f>
        <v>47358.13</v>
      </c>
      <c r="M843" s="162" t="s">
        <v>875</v>
      </c>
      <c r="N843" s="337" t="s">
        <v>554</v>
      </c>
      <c r="O843" s="338">
        <v>43819.0</v>
      </c>
      <c r="P843" s="164">
        <f t="array" ref="P843">XLOOKUP('FACUS$'!$B843,'perfil de pagos'!$A$4:$A$46,'perfil de pagos'!$C$4:$C$46+'FACUS$'!$D843)</f>
        <v>43799</v>
      </c>
      <c r="Q843" s="165">
        <f t="shared" si="2"/>
        <v>0</v>
      </c>
      <c r="R843" s="167"/>
      <c r="S843" s="167"/>
      <c r="T843" s="167"/>
      <c r="U843" s="334" t="s">
        <v>7271</v>
      </c>
      <c r="V843" s="168">
        <f t="shared" si="3"/>
        <v>47358.13</v>
      </c>
      <c r="W843" s="168">
        <f t="shared" si="4"/>
        <v>0</v>
      </c>
      <c r="X843" s="168">
        <f t="shared" si="5"/>
        <v>0</v>
      </c>
      <c r="Y843" s="168">
        <f t="shared" si="6"/>
        <v>0</v>
      </c>
      <c r="Z843" s="168">
        <f t="shared" si="7"/>
        <v>0</v>
      </c>
      <c r="AA843" s="168">
        <f t="shared" si="8"/>
        <v>0</v>
      </c>
      <c r="AB843" s="168">
        <f t="shared" si="9"/>
        <v>0</v>
      </c>
    </row>
    <row r="844" ht="14.25" customHeight="1">
      <c r="A844" s="157" t="s">
        <v>7611</v>
      </c>
      <c r="B844" s="169" t="s">
        <v>37</v>
      </c>
      <c r="C844" s="169" t="s">
        <v>1140</v>
      </c>
      <c r="D844" s="336">
        <v>43797.0</v>
      </c>
      <c r="E844" s="157" t="s">
        <v>600</v>
      </c>
      <c r="F844" s="160">
        <v>49003.2</v>
      </c>
      <c r="G844" s="160">
        <v>7840.51</v>
      </c>
      <c r="H844" s="160">
        <f t="shared" si="29"/>
        <v>56843.71</v>
      </c>
      <c r="I844" s="172"/>
      <c r="J844" s="169"/>
      <c r="K844" s="172"/>
      <c r="L844" s="172">
        <f>+'FACUS$'!$H844-'FACUS$'!$I844-'FACUS$'!$K844</f>
        <v>56843.71</v>
      </c>
      <c r="M844" s="162" t="s">
        <v>116</v>
      </c>
      <c r="N844" s="337" t="s">
        <v>554</v>
      </c>
      <c r="O844" s="338">
        <v>43816.0</v>
      </c>
      <c r="P844" s="164">
        <f t="array" ref="P844">XLOOKUP('FACUS$'!$B844,'perfil de pagos'!$A$4:$A$46,'perfil de pagos'!$C$4:$C$46+'FACUS$'!$D844)</f>
        <v>43807</v>
      </c>
      <c r="Q844" s="165">
        <f t="shared" si="2"/>
        <v>0</v>
      </c>
      <c r="R844" s="220" t="s">
        <v>7612</v>
      </c>
      <c r="S844" s="220" t="s">
        <v>910</v>
      </c>
      <c r="T844" s="167"/>
      <c r="U844" s="334" t="s">
        <v>7271</v>
      </c>
      <c r="V844" s="168">
        <f t="shared" si="3"/>
        <v>56843.71</v>
      </c>
      <c r="W844" s="168">
        <f t="shared" si="4"/>
        <v>0</v>
      </c>
      <c r="X844" s="168">
        <f t="shared" si="5"/>
        <v>0</v>
      </c>
      <c r="Y844" s="168">
        <f t="shared" si="6"/>
        <v>0</v>
      </c>
      <c r="Z844" s="168">
        <f t="shared" si="7"/>
        <v>0</v>
      </c>
      <c r="AA844" s="168">
        <f t="shared" si="8"/>
        <v>0</v>
      </c>
      <c r="AB844" s="168">
        <f t="shared" si="9"/>
        <v>0</v>
      </c>
    </row>
    <row r="845" ht="14.25" customHeight="1">
      <c r="A845" s="157" t="s">
        <v>7613</v>
      </c>
      <c r="B845" s="169" t="s">
        <v>20</v>
      </c>
      <c r="C845" s="169" t="s">
        <v>1140</v>
      </c>
      <c r="D845" s="336">
        <v>43797.0</v>
      </c>
      <c r="E845" s="157" t="s">
        <v>600</v>
      </c>
      <c r="F845" s="160">
        <v>904.07</v>
      </c>
      <c r="G845" s="160">
        <v>144.65</v>
      </c>
      <c r="H845" s="160">
        <f t="shared" si="29"/>
        <v>1048.72</v>
      </c>
      <c r="I845" s="172"/>
      <c r="J845" s="169"/>
      <c r="K845" s="172"/>
      <c r="L845" s="172">
        <f>+'FACUS$'!$H845-'FACUS$'!$I845-'FACUS$'!$K845</f>
        <v>1048.72</v>
      </c>
      <c r="M845" s="162" t="s">
        <v>732</v>
      </c>
      <c r="N845" s="337" t="s">
        <v>554</v>
      </c>
      <c r="O845" s="338">
        <v>43817.0</v>
      </c>
      <c r="P845" s="164">
        <f t="array" ref="P845">XLOOKUP('FACUS$'!$B845,'perfil de pagos'!$A$4:$A$46,'perfil de pagos'!$C$4:$C$46+'FACUS$'!$D845)</f>
        <v>43807</v>
      </c>
      <c r="Q845" s="165">
        <f t="shared" si="2"/>
        <v>0</v>
      </c>
      <c r="R845" s="167"/>
      <c r="S845" s="220" t="s">
        <v>910</v>
      </c>
      <c r="T845" s="167"/>
      <c r="U845" s="334" t="s">
        <v>7271</v>
      </c>
      <c r="V845" s="168">
        <f t="shared" si="3"/>
        <v>1048.72</v>
      </c>
      <c r="W845" s="168">
        <f t="shared" si="4"/>
        <v>0</v>
      </c>
      <c r="X845" s="168">
        <f t="shared" si="5"/>
        <v>0</v>
      </c>
      <c r="Y845" s="168">
        <f t="shared" si="6"/>
        <v>0</v>
      </c>
      <c r="Z845" s="168">
        <f t="shared" si="7"/>
        <v>0</v>
      </c>
      <c r="AA845" s="168">
        <f t="shared" si="8"/>
        <v>0</v>
      </c>
      <c r="AB845" s="168">
        <f t="shared" si="9"/>
        <v>0</v>
      </c>
    </row>
    <row r="846" ht="14.25" customHeight="1">
      <c r="A846" s="157" t="s">
        <v>7614</v>
      </c>
      <c r="B846" s="169" t="s">
        <v>18</v>
      </c>
      <c r="C846" s="169" t="s">
        <v>1140</v>
      </c>
      <c r="D846" s="336">
        <v>43797.0</v>
      </c>
      <c r="E846" s="157" t="s">
        <v>600</v>
      </c>
      <c r="F846" s="160">
        <v>9346.35</v>
      </c>
      <c r="G846" s="160">
        <v>1495.42</v>
      </c>
      <c r="H846" s="160">
        <f t="shared" si="29"/>
        <v>10841.77</v>
      </c>
      <c r="I846" s="172"/>
      <c r="J846" s="169"/>
      <c r="K846" s="172"/>
      <c r="L846" s="172">
        <f>+'FACUS$'!$H846-'FACUS$'!$I846-'FACUS$'!$K846</f>
        <v>10841.77</v>
      </c>
      <c r="M846" s="162" t="s">
        <v>586</v>
      </c>
      <c r="N846" s="337" t="s">
        <v>554</v>
      </c>
      <c r="O846" s="338">
        <v>43817.0</v>
      </c>
      <c r="P846" s="164">
        <f t="array" ref="P846">XLOOKUP('FACUS$'!$B846,'perfil de pagos'!$A$4:$A$46,'perfil de pagos'!$C$4:$C$46+'FACUS$'!$D846)</f>
        <v>43807</v>
      </c>
      <c r="Q846" s="165">
        <f t="shared" si="2"/>
        <v>0</v>
      </c>
      <c r="R846" s="167"/>
      <c r="S846" s="220" t="s">
        <v>910</v>
      </c>
      <c r="T846" s="167"/>
      <c r="U846" s="334" t="s">
        <v>7271</v>
      </c>
      <c r="V846" s="168">
        <f t="shared" si="3"/>
        <v>10841.77</v>
      </c>
      <c r="W846" s="168">
        <f t="shared" si="4"/>
        <v>0</v>
      </c>
      <c r="X846" s="168">
        <f t="shared" si="5"/>
        <v>0</v>
      </c>
      <c r="Y846" s="168">
        <f t="shared" si="6"/>
        <v>0</v>
      </c>
      <c r="Z846" s="168">
        <f t="shared" si="7"/>
        <v>0</v>
      </c>
      <c r="AA846" s="168">
        <f t="shared" si="8"/>
        <v>0</v>
      </c>
      <c r="AB846" s="168">
        <f t="shared" si="9"/>
        <v>0</v>
      </c>
    </row>
    <row r="847" ht="14.25" customHeight="1">
      <c r="A847" s="157" t="s">
        <v>7615</v>
      </c>
      <c r="B847" s="169" t="s">
        <v>43</v>
      </c>
      <c r="C847" s="169" t="s">
        <v>563</v>
      </c>
      <c r="D847" s="336">
        <v>43802.0</v>
      </c>
      <c r="E847" s="157" t="s">
        <v>600</v>
      </c>
      <c r="F847" s="160">
        <v>50233.89</v>
      </c>
      <c r="G847" s="160">
        <v>8037.42</v>
      </c>
      <c r="H847" s="160">
        <f t="shared" si="29"/>
        <v>58271.31</v>
      </c>
      <c r="I847" s="172"/>
      <c r="J847" s="169"/>
      <c r="K847" s="172"/>
      <c r="L847" s="172">
        <f>+'FACUS$'!$H847-'FACUS$'!$I847-'FACUS$'!$K847</f>
        <v>58271.31</v>
      </c>
      <c r="M847" s="162" t="s">
        <v>43</v>
      </c>
      <c r="N847" s="337" t="s">
        <v>554</v>
      </c>
      <c r="O847" s="338">
        <v>43812.0</v>
      </c>
      <c r="P847" s="164">
        <f t="array" ref="P847">XLOOKUP('FACUS$'!$B847,'perfil de pagos'!$A$4:$A$46,'perfil de pagos'!$C$4:$C$46+'FACUS$'!$D847)</f>
        <v>43827</v>
      </c>
      <c r="Q847" s="165">
        <f t="shared" si="2"/>
        <v>0</v>
      </c>
      <c r="R847" s="167"/>
      <c r="S847" s="220" t="s">
        <v>910</v>
      </c>
      <c r="T847" s="167"/>
      <c r="U847" s="334" t="s">
        <v>7271</v>
      </c>
      <c r="V847" s="168">
        <f t="shared" si="3"/>
        <v>58271.31</v>
      </c>
      <c r="W847" s="168">
        <f t="shared" si="4"/>
        <v>0</v>
      </c>
      <c r="X847" s="168">
        <f t="shared" si="5"/>
        <v>0</v>
      </c>
      <c r="Y847" s="168">
        <f t="shared" si="6"/>
        <v>0</v>
      </c>
      <c r="Z847" s="168">
        <f t="shared" si="7"/>
        <v>0</v>
      </c>
      <c r="AA847" s="168">
        <f t="shared" si="8"/>
        <v>0</v>
      </c>
      <c r="AB847" s="168">
        <f t="shared" si="9"/>
        <v>0</v>
      </c>
    </row>
    <row r="848" ht="14.25" customHeight="1">
      <c r="A848" s="157" t="s">
        <v>7616</v>
      </c>
      <c r="B848" s="169" t="s">
        <v>36</v>
      </c>
      <c r="C848" s="169" t="s">
        <v>7617</v>
      </c>
      <c r="D848" s="336">
        <v>43802.0</v>
      </c>
      <c r="E848" s="157" t="s">
        <v>600</v>
      </c>
      <c r="F848" s="160">
        <v>3215.31</v>
      </c>
      <c r="G848" s="160">
        <v>514.45</v>
      </c>
      <c r="H848" s="160">
        <f t="shared" si="29"/>
        <v>3729.76</v>
      </c>
      <c r="I848" s="172"/>
      <c r="J848" s="169"/>
      <c r="K848" s="172"/>
      <c r="L848" s="172">
        <f>+'FACUS$'!$H848-'FACUS$'!$I848-'FACUS$'!$K848</f>
        <v>3729.76</v>
      </c>
      <c r="M848" s="162" t="s">
        <v>278</v>
      </c>
      <c r="N848" s="337" t="s">
        <v>554</v>
      </c>
      <c r="O848" s="338">
        <v>43844.0</v>
      </c>
      <c r="P848" s="164">
        <f t="array" ref="P848">XLOOKUP('FACUS$'!$B848,'perfil de pagos'!$A$4:$A$46,'perfil de pagos'!$C$4:$C$46+'FACUS$'!$D848)</f>
        <v>43812</v>
      </c>
      <c r="Q848" s="165">
        <f t="shared" si="2"/>
        <v>0</v>
      </c>
      <c r="R848" s="167" t="s">
        <v>7618</v>
      </c>
      <c r="S848" s="220" t="s">
        <v>910</v>
      </c>
      <c r="T848" s="167"/>
      <c r="U848" s="334" t="s">
        <v>7271</v>
      </c>
      <c r="V848" s="168">
        <f t="shared" si="3"/>
        <v>3729.76</v>
      </c>
      <c r="W848" s="168">
        <f t="shared" si="4"/>
        <v>0</v>
      </c>
      <c r="X848" s="168">
        <f t="shared" si="5"/>
        <v>0</v>
      </c>
      <c r="Y848" s="168">
        <f t="shared" si="6"/>
        <v>0</v>
      </c>
      <c r="Z848" s="168">
        <f t="shared" si="7"/>
        <v>0</v>
      </c>
      <c r="AA848" s="168">
        <f t="shared" si="8"/>
        <v>0</v>
      </c>
      <c r="AB848" s="168">
        <f t="shared" si="9"/>
        <v>0</v>
      </c>
    </row>
    <row r="849" ht="14.25" customHeight="1">
      <c r="A849" s="157" t="s">
        <v>7619</v>
      </c>
      <c r="B849" s="169" t="s">
        <v>30</v>
      </c>
      <c r="C849" s="169" t="s">
        <v>563</v>
      </c>
      <c r="D849" s="336">
        <v>43802.0</v>
      </c>
      <c r="E849" s="157" t="s">
        <v>600</v>
      </c>
      <c r="F849" s="160">
        <v>5977.35</v>
      </c>
      <c r="G849" s="160">
        <v>956.38</v>
      </c>
      <c r="H849" s="160">
        <f t="shared" si="29"/>
        <v>6933.73</v>
      </c>
      <c r="I849" s="172"/>
      <c r="J849" s="169"/>
      <c r="K849" s="172"/>
      <c r="L849" s="172">
        <f>+'FACUS$'!$H849-'FACUS$'!$I849-'FACUS$'!$K849</f>
        <v>6933.73</v>
      </c>
      <c r="M849" s="162" t="s">
        <v>7415</v>
      </c>
      <c r="N849" s="337" t="s">
        <v>554</v>
      </c>
      <c r="O849" s="338">
        <v>43882.0</v>
      </c>
      <c r="P849" s="164">
        <f t="array" ref="P849">XLOOKUP('FACUS$'!$B849,'perfil de pagos'!$A$4:$A$46,'perfil de pagos'!$C$4:$C$46+'FACUS$'!$D849)</f>
        <v>43812</v>
      </c>
      <c r="Q849" s="165">
        <f t="shared" si="2"/>
        <v>0</v>
      </c>
      <c r="R849" s="220" t="s">
        <v>7620</v>
      </c>
      <c r="S849" s="167" t="s">
        <v>910</v>
      </c>
      <c r="T849" s="167"/>
      <c r="U849" s="334" t="s">
        <v>7271</v>
      </c>
      <c r="V849" s="168">
        <f t="shared" si="3"/>
        <v>6933.73</v>
      </c>
      <c r="W849" s="168">
        <f t="shared" si="4"/>
        <v>0</v>
      </c>
      <c r="X849" s="168">
        <f t="shared" si="5"/>
        <v>0</v>
      </c>
      <c r="Y849" s="168">
        <f t="shared" si="6"/>
        <v>0</v>
      </c>
      <c r="Z849" s="168">
        <f t="shared" si="7"/>
        <v>0</v>
      </c>
      <c r="AA849" s="168">
        <f t="shared" si="8"/>
        <v>0</v>
      </c>
      <c r="AB849" s="168">
        <f t="shared" si="9"/>
        <v>0</v>
      </c>
    </row>
    <row r="850" ht="14.25" customHeight="1">
      <c r="A850" s="157" t="s">
        <v>7621</v>
      </c>
      <c r="B850" s="169" t="s">
        <v>33</v>
      </c>
      <c r="C850" s="169" t="s">
        <v>563</v>
      </c>
      <c r="D850" s="336">
        <v>43802.0</v>
      </c>
      <c r="E850" s="157" t="s">
        <v>600</v>
      </c>
      <c r="F850" s="160">
        <v>26022.3</v>
      </c>
      <c r="G850" s="160">
        <v>4163.57</v>
      </c>
      <c r="H850" s="160">
        <f t="shared" si="29"/>
        <v>30185.87</v>
      </c>
      <c r="I850" s="172"/>
      <c r="J850" s="169"/>
      <c r="K850" s="172"/>
      <c r="L850" s="172">
        <f>+'FACUS$'!$H850-'FACUS$'!$I850-'FACUS$'!$K850</f>
        <v>30185.87</v>
      </c>
      <c r="M850" s="162" t="s">
        <v>958</v>
      </c>
      <c r="N850" s="337" t="s">
        <v>554</v>
      </c>
      <c r="O850" s="338">
        <v>43817.0</v>
      </c>
      <c r="P850" s="164">
        <f t="array" ref="P850">XLOOKUP('FACUS$'!$B850,'perfil de pagos'!$A$4:$A$46,'perfil de pagos'!$C$4:$C$46+'FACUS$'!$D850)</f>
        <v>43812</v>
      </c>
      <c r="Q850" s="165">
        <f t="shared" si="2"/>
        <v>0</v>
      </c>
      <c r="R850" s="167"/>
      <c r="S850" s="167" t="s">
        <v>910</v>
      </c>
      <c r="T850" s="167"/>
      <c r="U850" s="334" t="s">
        <v>7271</v>
      </c>
      <c r="V850" s="168">
        <f t="shared" si="3"/>
        <v>30185.87</v>
      </c>
      <c r="W850" s="168">
        <f t="shared" si="4"/>
        <v>0</v>
      </c>
      <c r="X850" s="168">
        <f t="shared" si="5"/>
        <v>0</v>
      </c>
      <c r="Y850" s="168">
        <f t="shared" si="6"/>
        <v>0</v>
      </c>
      <c r="Z850" s="168">
        <f t="shared" si="7"/>
        <v>0</v>
      </c>
      <c r="AA850" s="168">
        <f t="shared" si="8"/>
        <v>0</v>
      </c>
      <c r="AB850" s="168">
        <f t="shared" si="9"/>
        <v>0</v>
      </c>
    </row>
    <row r="851" ht="14.25" customHeight="1">
      <c r="A851" s="157" t="s">
        <v>7622</v>
      </c>
      <c r="B851" s="169" t="s">
        <v>29</v>
      </c>
      <c r="C851" s="169" t="s">
        <v>7623</v>
      </c>
      <c r="D851" s="336">
        <v>43802.0</v>
      </c>
      <c r="E851" s="157" t="s">
        <v>600</v>
      </c>
      <c r="F851" s="160">
        <v>15000.0</v>
      </c>
      <c r="G851" s="160">
        <v>2400.0</v>
      </c>
      <c r="H851" s="160">
        <f t="shared" si="29"/>
        <v>17400</v>
      </c>
      <c r="I851" s="172"/>
      <c r="J851" s="169"/>
      <c r="K851" s="172"/>
      <c r="L851" s="172">
        <f>+'FACUS$'!$H851-'FACUS$'!$I851-'FACUS$'!$K851</f>
        <v>17400</v>
      </c>
      <c r="M851" s="162" t="s">
        <v>7509</v>
      </c>
      <c r="N851" s="337" t="s">
        <v>554</v>
      </c>
      <c r="O851" s="338">
        <v>43819.0</v>
      </c>
      <c r="P851" s="164">
        <f t="array" ref="P851">XLOOKUP('FACUS$'!$B851,'perfil de pagos'!$A$4:$A$46,'perfil de pagos'!$C$4:$C$46+'FACUS$'!$D851)</f>
        <v>43812</v>
      </c>
      <c r="Q851" s="165">
        <f t="shared" si="2"/>
        <v>0</v>
      </c>
      <c r="R851" s="167"/>
      <c r="S851" s="167"/>
      <c r="T851" s="167"/>
      <c r="U851" s="334" t="s">
        <v>7271</v>
      </c>
      <c r="V851" s="168">
        <f t="shared" si="3"/>
        <v>17400</v>
      </c>
      <c r="W851" s="168">
        <f t="shared" si="4"/>
        <v>0</v>
      </c>
      <c r="X851" s="168">
        <f t="shared" si="5"/>
        <v>0</v>
      </c>
      <c r="Y851" s="168">
        <f t="shared" si="6"/>
        <v>0</v>
      </c>
      <c r="Z851" s="168">
        <f t="shared" si="7"/>
        <v>0</v>
      </c>
      <c r="AA851" s="168">
        <f t="shared" si="8"/>
        <v>0</v>
      </c>
      <c r="AB851" s="168">
        <f t="shared" si="9"/>
        <v>0</v>
      </c>
    </row>
    <row r="852" ht="14.25" customHeight="1">
      <c r="A852" s="157" t="s">
        <v>7624</v>
      </c>
      <c r="B852" s="169" t="s">
        <v>29</v>
      </c>
      <c r="C852" s="169" t="s">
        <v>7625</v>
      </c>
      <c r="D852" s="336">
        <v>43802.0</v>
      </c>
      <c r="E852" s="157" t="s">
        <v>600</v>
      </c>
      <c r="F852" s="160">
        <v>2500.0</v>
      </c>
      <c r="G852" s="160">
        <v>400.0</v>
      </c>
      <c r="H852" s="160">
        <f t="shared" si="29"/>
        <v>2900</v>
      </c>
      <c r="I852" s="172"/>
      <c r="J852" s="169"/>
      <c r="K852" s="172"/>
      <c r="L852" s="172">
        <f>+'FACUS$'!$H852-'FACUS$'!$I852-'FACUS$'!$K852</f>
        <v>2900</v>
      </c>
      <c r="M852" s="162" t="s">
        <v>7509</v>
      </c>
      <c r="N852" s="337" t="s">
        <v>554</v>
      </c>
      <c r="O852" s="338">
        <v>43819.0</v>
      </c>
      <c r="P852" s="164">
        <f t="array" ref="P852">XLOOKUP('FACUS$'!$B852,'perfil de pagos'!$A$4:$A$46,'perfil de pagos'!$C$4:$C$46+'FACUS$'!$D852)</f>
        <v>43812</v>
      </c>
      <c r="Q852" s="165">
        <f t="shared" si="2"/>
        <v>0</v>
      </c>
      <c r="R852" s="167"/>
      <c r="S852" s="167"/>
      <c r="T852" s="167"/>
      <c r="U852" s="334" t="s">
        <v>7271</v>
      </c>
      <c r="V852" s="168">
        <f t="shared" si="3"/>
        <v>2900</v>
      </c>
      <c r="W852" s="168">
        <f t="shared" si="4"/>
        <v>0</v>
      </c>
      <c r="X852" s="168">
        <f t="shared" si="5"/>
        <v>0</v>
      </c>
      <c r="Y852" s="168">
        <f t="shared" si="6"/>
        <v>0</v>
      </c>
      <c r="Z852" s="168">
        <f t="shared" si="7"/>
        <v>0</v>
      </c>
      <c r="AA852" s="168">
        <f t="shared" si="8"/>
        <v>0</v>
      </c>
      <c r="AB852" s="168">
        <f t="shared" si="9"/>
        <v>0</v>
      </c>
    </row>
    <row r="853" ht="14.25" customHeight="1">
      <c r="A853" s="157" t="s">
        <v>7626</v>
      </c>
      <c r="B853" s="169" t="s">
        <v>1127</v>
      </c>
      <c r="C853" s="169" t="s">
        <v>563</v>
      </c>
      <c r="D853" s="336">
        <v>43803.0</v>
      </c>
      <c r="E853" s="157" t="s">
        <v>600</v>
      </c>
      <c r="F853" s="160">
        <v>13.49</v>
      </c>
      <c r="G853" s="160">
        <v>2.16</v>
      </c>
      <c r="H853" s="160">
        <f t="shared" si="29"/>
        <v>15.65</v>
      </c>
      <c r="I853" s="172"/>
      <c r="J853" s="169"/>
      <c r="K853" s="172"/>
      <c r="L853" s="172">
        <f>+'FACUS$'!$H853-'FACUS$'!$I853-'FACUS$'!$K853</f>
        <v>15.65</v>
      </c>
      <c r="M853" s="162" t="s">
        <v>580</v>
      </c>
      <c r="N853" s="337" t="s">
        <v>554</v>
      </c>
      <c r="O853" s="338">
        <v>43875.0</v>
      </c>
      <c r="P853" s="164" t="str">
        <f t="array" ref="P853">XLOOKUP('FACUS$'!$B853,'perfil de pagos'!$A$4:$A$46,'perfil de pagos'!$C$4:$C$46+'FACUS$'!$D853)</f>
        <v>#N/A</v>
      </c>
      <c r="Q853" s="165">
        <f t="shared" si="2"/>
        <v>0</v>
      </c>
      <c r="R853" s="167" t="s">
        <v>7608</v>
      </c>
      <c r="S853" s="167" t="s">
        <v>910</v>
      </c>
      <c r="T853" s="167"/>
      <c r="U853" s="334" t="s">
        <v>7271</v>
      </c>
      <c r="V853" s="168">
        <f t="shared" si="3"/>
        <v>15.65</v>
      </c>
      <c r="W853" s="168">
        <f t="shared" si="4"/>
        <v>0</v>
      </c>
      <c r="X853" s="168">
        <f t="shared" si="5"/>
        <v>0</v>
      </c>
      <c r="Y853" s="168">
        <f t="shared" si="6"/>
        <v>0</v>
      </c>
      <c r="Z853" s="168">
        <f t="shared" si="7"/>
        <v>0</v>
      </c>
      <c r="AA853" s="168">
        <f t="shared" si="8"/>
        <v>0</v>
      </c>
      <c r="AB853" s="168">
        <f t="shared" si="9"/>
        <v>0</v>
      </c>
    </row>
    <row r="854" ht="14.25" customHeight="1">
      <c r="A854" s="157" t="s">
        <v>7627</v>
      </c>
      <c r="B854" s="169" t="s">
        <v>35</v>
      </c>
      <c r="C854" s="169" t="s">
        <v>563</v>
      </c>
      <c r="D854" s="336">
        <v>43803.0</v>
      </c>
      <c r="E854" s="157" t="s">
        <v>600</v>
      </c>
      <c r="F854" s="160">
        <v>9795.99</v>
      </c>
      <c r="G854" s="160">
        <v>1567.36</v>
      </c>
      <c r="H854" s="160">
        <f t="shared" si="29"/>
        <v>11363.35</v>
      </c>
      <c r="I854" s="172"/>
      <c r="J854" s="169"/>
      <c r="K854" s="172"/>
      <c r="L854" s="172">
        <f>+'FACUS$'!$H854-'FACUS$'!$I854-'FACUS$'!$K854</f>
        <v>11363.35</v>
      </c>
      <c r="M854" s="162" t="s">
        <v>276</v>
      </c>
      <c r="N854" s="337" t="s">
        <v>554</v>
      </c>
      <c r="O854" s="338">
        <v>43812.0</v>
      </c>
      <c r="P854" s="164">
        <f t="array" ref="P854">XLOOKUP('FACUS$'!$B854,'perfil de pagos'!$A$4:$A$46,'perfil de pagos'!$C$4:$C$46+'FACUS$'!$D854)</f>
        <v>43813</v>
      </c>
      <c r="Q854" s="165">
        <f t="shared" si="2"/>
        <v>0</v>
      </c>
      <c r="R854" s="167"/>
      <c r="S854" s="220" t="s">
        <v>910</v>
      </c>
      <c r="T854" s="167"/>
      <c r="U854" s="334" t="s">
        <v>7271</v>
      </c>
      <c r="V854" s="168">
        <f t="shared" si="3"/>
        <v>11363.35</v>
      </c>
      <c r="W854" s="168">
        <f t="shared" si="4"/>
        <v>0</v>
      </c>
      <c r="X854" s="168">
        <f t="shared" si="5"/>
        <v>0</v>
      </c>
      <c r="Y854" s="168">
        <f t="shared" si="6"/>
        <v>0</v>
      </c>
      <c r="Z854" s="168">
        <f t="shared" si="7"/>
        <v>0</v>
      </c>
      <c r="AA854" s="168">
        <f t="shared" si="8"/>
        <v>0</v>
      </c>
      <c r="AB854" s="168">
        <f t="shared" si="9"/>
        <v>0</v>
      </c>
    </row>
    <row r="855" ht="14.25" customHeight="1">
      <c r="A855" s="157" t="s">
        <v>7628</v>
      </c>
      <c r="B855" s="169" t="s">
        <v>41</v>
      </c>
      <c r="C855" s="169" t="s">
        <v>563</v>
      </c>
      <c r="D855" s="336">
        <v>43803.0</v>
      </c>
      <c r="E855" s="157" t="s">
        <v>600</v>
      </c>
      <c r="F855" s="160">
        <v>37178.65</v>
      </c>
      <c r="G855" s="160">
        <v>5948.58</v>
      </c>
      <c r="H855" s="160">
        <f t="shared" si="29"/>
        <v>43127.23</v>
      </c>
      <c r="I855" s="172"/>
      <c r="J855" s="169"/>
      <c r="K855" s="172"/>
      <c r="L855" s="172">
        <f>+'FACUS$'!$H855-'FACUS$'!$I855-'FACUS$'!$K855</f>
        <v>43127.23</v>
      </c>
      <c r="M855" s="162" t="s">
        <v>875</v>
      </c>
      <c r="N855" s="337" t="s">
        <v>127</v>
      </c>
      <c r="O855" s="338"/>
      <c r="P855" s="164">
        <f t="array" ref="P855">XLOOKUP('FACUS$'!$B855,'perfil de pagos'!$A$4:$A$46,'perfil de pagos'!$C$4:$C$46+'FACUS$'!$D855)</f>
        <v>43813</v>
      </c>
      <c r="Q855" s="165" t="str">
        <f t="shared" si="2"/>
        <v>N/A</v>
      </c>
      <c r="R855" s="167" t="s">
        <v>7629</v>
      </c>
      <c r="S855" s="167"/>
      <c r="T855" s="167"/>
      <c r="U855" s="334" t="s">
        <v>7271</v>
      </c>
      <c r="V855" s="168">
        <f t="shared" si="3"/>
        <v>0</v>
      </c>
      <c r="W855" s="168">
        <f t="shared" si="4"/>
        <v>0</v>
      </c>
      <c r="X855" s="168">
        <f t="shared" si="5"/>
        <v>0</v>
      </c>
      <c r="Y855" s="168">
        <f t="shared" si="6"/>
        <v>0</v>
      </c>
      <c r="Z855" s="168">
        <f t="shared" si="7"/>
        <v>0</v>
      </c>
      <c r="AA855" s="168">
        <f t="shared" si="8"/>
        <v>0</v>
      </c>
      <c r="AB855" s="168">
        <f t="shared" si="9"/>
        <v>43127.23</v>
      </c>
    </row>
    <row r="856" ht="14.25" customHeight="1">
      <c r="A856" s="157" t="s">
        <v>7630</v>
      </c>
      <c r="B856" s="169" t="s">
        <v>37</v>
      </c>
      <c r="C856" s="169" t="s">
        <v>563</v>
      </c>
      <c r="D856" s="336">
        <v>43810.0</v>
      </c>
      <c r="E856" s="157" t="s">
        <v>600</v>
      </c>
      <c r="F856" s="160">
        <v>55538.39</v>
      </c>
      <c r="G856" s="160">
        <v>8886.14</v>
      </c>
      <c r="H856" s="160">
        <f t="shared" si="29"/>
        <v>64424.53</v>
      </c>
      <c r="I856" s="172"/>
      <c r="J856" s="169"/>
      <c r="K856" s="172"/>
      <c r="L856" s="172">
        <f>+'FACUS$'!$H856-'FACUS$'!$I856-'FACUS$'!$K856</f>
        <v>64424.53</v>
      </c>
      <c r="M856" s="162" t="s">
        <v>116</v>
      </c>
      <c r="N856" s="337" t="s">
        <v>554</v>
      </c>
      <c r="O856" s="338">
        <v>43816.0</v>
      </c>
      <c r="P856" s="164">
        <f t="array" ref="P856">XLOOKUP('FACUS$'!$B856,'perfil de pagos'!$A$4:$A$46,'perfil de pagos'!$C$4:$C$46+'FACUS$'!$D856)</f>
        <v>43820</v>
      </c>
      <c r="Q856" s="165">
        <f t="shared" si="2"/>
        <v>0</v>
      </c>
      <c r="R856" s="220" t="s">
        <v>7612</v>
      </c>
      <c r="S856" s="220" t="s">
        <v>910</v>
      </c>
      <c r="T856" s="167"/>
      <c r="U856" s="334" t="s">
        <v>7271</v>
      </c>
      <c r="V856" s="168">
        <f t="shared" si="3"/>
        <v>64424.53</v>
      </c>
      <c r="W856" s="168">
        <f t="shared" si="4"/>
        <v>0</v>
      </c>
      <c r="X856" s="168">
        <f t="shared" si="5"/>
        <v>0</v>
      </c>
      <c r="Y856" s="168">
        <f t="shared" si="6"/>
        <v>0</v>
      </c>
      <c r="Z856" s="168">
        <f t="shared" si="7"/>
        <v>0</v>
      </c>
      <c r="AA856" s="168">
        <f t="shared" si="8"/>
        <v>0</v>
      </c>
      <c r="AB856" s="168">
        <f t="shared" si="9"/>
        <v>0</v>
      </c>
    </row>
    <row r="857" ht="14.25" customHeight="1">
      <c r="A857" s="157" t="s">
        <v>7631</v>
      </c>
      <c r="B857" s="169" t="s">
        <v>18</v>
      </c>
      <c r="C857" s="169" t="s">
        <v>563</v>
      </c>
      <c r="D857" s="336">
        <v>43810.0</v>
      </c>
      <c r="E857" s="157" t="s">
        <v>600</v>
      </c>
      <c r="F857" s="160">
        <v>8797.79</v>
      </c>
      <c r="G857" s="160">
        <v>1407.65</v>
      </c>
      <c r="H857" s="160">
        <f t="shared" si="29"/>
        <v>10205.44</v>
      </c>
      <c r="I857" s="172"/>
      <c r="J857" s="169"/>
      <c r="K857" s="172"/>
      <c r="L857" s="172">
        <f>+'FACUS$'!$H857-'FACUS$'!$I857-'FACUS$'!$K857</f>
        <v>10205.44</v>
      </c>
      <c r="M857" s="162" t="s">
        <v>586</v>
      </c>
      <c r="N857" s="337" t="s">
        <v>554</v>
      </c>
      <c r="O857" s="338">
        <v>43823.0</v>
      </c>
      <c r="P857" s="164">
        <f t="array" ref="P857">XLOOKUP('FACUS$'!$B857,'perfil de pagos'!$A$4:$A$46,'perfil de pagos'!$C$4:$C$46+'FACUS$'!$D857)</f>
        <v>43820</v>
      </c>
      <c r="Q857" s="165">
        <f t="shared" si="2"/>
        <v>0</v>
      </c>
      <c r="R857" s="167"/>
      <c r="S857" s="220" t="s">
        <v>910</v>
      </c>
      <c r="T857" s="167"/>
      <c r="U857" s="334" t="s">
        <v>7271</v>
      </c>
      <c r="V857" s="168">
        <f t="shared" si="3"/>
        <v>10205.44</v>
      </c>
      <c r="W857" s="168">
        <f t="shared" si="4"/>
        <v>0</v>
      </c>
      <c r="X857" s="168">
        <f t="shared" si="5"/>
        <v>0</v>
      </c>
      <c r="Y857" s="168">
        <f t="shared" si="6"/>
        <v>0</v>
      </c>
      <c r="Z857" s="168">
        <f t="shared" si="7"/>
        <v>0</v>
      </c>
      <c r="AA857" s="168">
        <f t="shared" si="8"/>
        <v>0</v>
      </c>
      <c r="AB857" s="168">
        <f t="shared" si="9"/>
        <v>0</v>
      </c>
    </row>
    <row r="858" ht="14.25" customHeight="1">
      <c r="A858" s="157" t="s">
        <v>7632</v>
      </c>
      <c r="B858" s="169" t="s">
        <v>43</v>
      </c>
      <c r="C858" s="169" t="s">
        <v>1200</v>
      </c>
      <c r="D858" s="336">
        <v>43816.0</v>
      </c>
      <c r="E858" s="157" t="s">
        <v>600</v>
      </c>
      <c r="F858" s="160">
        <v>61673.3</v>
      </c>
      <c r="G858" s="160">
        <v>9867.73</v>
      </c>
      <c r="H858" s="160">
        <f t="shared" si="29"/>
        <v>71541.03</v>
      </c>
      <c r="I858" s="172"/>
      <c r="J858" s="169"/>
      <c r="K858" s="172"/>
      <c r="L858" s="172">
        <f>+'FACUS$'!$H858-'FACUS$'!$I858-'FACUS$'!$K858</f>
        <v>71541.03</v>
      </c>
      <c r="M858" s="162" t="s">
        <v>43</v>
      </c>
      <c r="N858" s="337" t="s">
        <v>554</v>
      </c>
      <c r="O858" s="338">
        <v>43840.0</v>
      </c>
      <c r="P858" s="164">
        <f t="array" ref="P858">XLOOKUP('FACUS$'!$B858,'perfil de pagos'!$A$4:$A$46,'perfil de pagos'!$C$4:$C$46+'FACUS$'!$D858)</f>
        <v>43841</v>
      </c>
      <c r="Q858" s="165">
        <f t="shared" si="2"/>
        <v>0</v>
      </c>
      <c r="R858" s="167" t="s">
        <v>7633</v>
      </c>
      <c r="S858" s="167" t="s">
        <v>910</v>
      </c>
      <c r="T858" s="167"/>
      <c r="U858" s="334" t="s">
        <v>7271</v>
      </c>
      <c r="V858" s="168">
        <f t="shared" si="3"/>
        <v>71541.03</v>
      </c>
      <c r="W858" s="168">
        <f t="shared" si="4"/>
        <v>0</v>
      </c>
      <c r="X858" s="168">
        <f t="shared" si="5"/>
        <v>0</v>
      </c>
      <c r="Y858" s="168">
        <f t="shared" si="6"/>
        <v>0</v>
      </c>
      <c r="Z858" s="168">
        <f t="shared" si="7"/>
        <v>0</v>
      </c>
      <c r="AA858" s="168">
        <f t="shared" si="8"/>
        <v>0</v>
      </c>
      <c r="AB858" s="168">
        <f t="shared" si="9"/>
        <v>0</v>
      </c>
    </row>
    <row r="859" ht="14.25" customHeight="1">
      <c r="A859" s="157" t="s">
        <v>7634</v>
      </c>
      <c r="B859" s="169" t="s">
        <v>1127</v>
      </c>
      <c r="C859" s="169" t="s">
        <v>1200</v>
      </c>
      <c r="D859" s="336">
        <v>43816.0</v>
      </c>
      <c r="E859" s="157" t="s">
        <v>600</v>
      </c>
      <c r="F859" s="160">
        <v>498.42</v>
      </c>
      <c r="G859" s="160">
        <v>79.75</v>
      </c>
      <c r="H859" s="160">
        <f t="shared" si="29"/>
        <v>578.17</v>
      </c>
      <c r="I859" s="172"/>
      <c r="J859" s="169"/>
      <c r="K859" s="172"/>
      <c r="L859" s="172">
        <f>+'FACUS$'!$H859-'FACUS$'!$I859-'FACUS$'!$K859</f>
        <v>578.17</v>
      </c>
      <c r="M859" s="162" t="s">
        <v>580</v>
      </c>
      <c r="N859" s="337" t="s">
        <v>554</v>
      </c>
      <c r="O859" s="338">
        <v>43875.0</v>
      </c>
      <c r="P859" s="164" t="str">
        <f t="array" ref="P859">XLOOKUP('FACUS$'!$B859,'perfil de pagos'!$A$4:$A$46,'perfil de pagos'!$C$4:$C$46+'FACUS$'!$D859)</f>
        <v>#N/A</v>
      </c>
      <c r="Q859" s="165">
        <f t="shared" si="2"/>
        <v>0</v>
      </c>
      <c r="R859" s="167" t="s">
        <v>7608</v>
      </c>
      <c r="S859" s="167" t="s">
        <v>910</v>
      </c>
      <c r="T859" s="167"/>
      <c r="U859" s="334" t="s">
        <v>7271</v>
      </c>
      <c r="V859" s="168">
        <f t="shared" si="3"/>
        <v>578.17</v>
      </c>
      <c r="W859" s="168">
        <f t="shared" si="4"/>
        <v>0</v>
      </c>
      <c r="X859" s="168">
        <f t="shared" si="5"/>
        <v>0</v>
      </c>
      <c r="Y859" s="168">
        <f t="shared" si="6"/>
        <v>0</v>
      </c>
      <c r="Z859" s="168">
        <f t="shared" si="7"/>
        <v>0</v>
      </c>
      <c r="AA859" s="168">
        <f t="shared" si="8"/>
        <v>0</v>
      </c>
      <c r="AB859" s="168">
        <f t="shared" si="9"/>
        <v>0</v>
      </c>
    </row>
    <row r="860" ht="14.25" customHeight="1">
      <c r="A860" s="157" t="s">
        <v>7635</v>
      </c>
      <c r="B860" s="169" t="s">
        <v>36</v>
      </c>
      <c r="C860" s="169" t="s">
        <v>1200</v>
      </c>
      <c r="D860" s="336">
        <v>43816.0</v>
      </c>
      <c r="E860" s="157" t="s">
        <v>600</v>
      </c>
      <c r="F860" s="160">
        <v>3043.39</v>
      </c>
      <c r="G860" s="160">
        <v>486.94</v>
      </c>
      <c r="H860" s="160">
        <f t="shared" si="29"/>
        <v>3530.33</v>
      </c>
      <c r="I860" s="172"/>
      <c r="J860" s="169"/>
      <c r="K860" s="172"/>
      <c r="L860" s="172">
        <f>+'FACUS$'!$H860-'FACUS$'!$I860-'FACUS$'!$K860</f>
        <v>3530.33</v>
      </c>
      <c r="M860" s="162" t="s">
        <v>278</v>
      </c>
      <c r="N860" s="337" t="s">
        <v>554</v>
      </c>
      <c r="O860" s="338">
        <v>43857.0</v>
      </c>
      <c r="P860" s="164">
        <f t="array" ref="P860">XLOOKUP('FACUS$'!$B860,'perfil de pagos'!$A$4:$A$46,'perfil de pagos'!$C$4:$C$46+'FACUS$'!$D860)</f>
        <v>43826</v>
      </c>
      <c r="Q860" s="165">
        <f t="shared" si="2"/>
        <v>0</v>
      </c>
      <c r="R860" s="167" t="s">
        <v>7636</v>
      </c>
      <c r="S860" s="220" t="s">
        <v>910</v>
      </c>
      <c r="T860" s="167"/>
      <c r="U860" s="334" t="s">
        <v>7271</v>
      </c>
      <c r="V860" s="168">
        <f t="shared" si="3"/>
        <v>3530.33</v>
      </c>
      <c r="W860" s="168">
        <f t="shared" si="4"/>
        <v>0</v>
      </c>
      <c r="X860" s="168">
        <f t="shared" si="5"/>
        <v>0</v>
      </c>
      <c r="Y860" s="168">
        <f t="shared" si="6"/>
        <v>0</v>
      </c>
      <c r="Z860" s="168">
        <f t="shared" si="7"/>
        <v>0</v>
      </c>
      <c r="AA860" s="168">
        <f t="shared" si="8"/>
        <v>0</v>
      </c>
      <c r="AB860" s="168">
        <f t="shared" si="9"/>
        <v>0</v>
      </c>
    </row>
    <row r="861" ht="14.25" customHeight="1">
      <c r="A861" s="157" t="s">
        <v>7637</v>
      </c>
      <c r="B861" s="169" t="s">
        <v>35</v>
      </c>
      <c r="C861" s="169" t="s">
        <v>1200</v>
      </c>
      <c r="D861" s="336">
        <v>43816.0</v>
      </c>
      <c r="E861" s="157" t="s">
        <v>600</v>
      </c>
      <c r="F861" s="160">
        <v>20020.93</v>
      </c>
      <c r="G861" s="160">
        <v>3203.35</v>
      </c>
      <c r="H861" s="160">
        <f t="shared" si="29"/>
        <v>23224.28</v>
      </c>
      <c r="I861" s="172"/>
      <c r="J861" s="169"/>
      <c r="K861" s="172"/>
      <c r="L861" s="172">
        <f>+'FACUS$'!$H861-'FACUS$'!$I861-'FACUS$'!$K861</f>
        <v>23224.28</v>
      </c>
      <c r="M861" s="162" t="s">
        <v>276</v>
      </c>
      <c r="N861" s="337" t="s">
        <v>554</v>
      </c>
      <c r="O861" s="338">
        <v>43825.0</v>
      </c>
      <c r="P861" s="164">
        <f t="array" ref="P861">XLOOKUP('FACUS$'!$B861,'perfil de pagos'!$A$4:$A$46,'perfil de pagos'!$C$4:$C$46+'FACUS$'!$D861)</f>
        <v>43826</v>
      </c>
      <c r="Q861" s="165">
        <f t="shared" si="2"/>
        <v>0</v>
      </c>
      <c r="R861" s="167"/>
      <c r="S861" s="220" t="s">
        <v>910</v>
      </c>
      <c r="T861" s="167"/>
      <c r="U861" s="334" t="s">
        <v>7271</v>
      </c>
      <c r="V861" s="168">
        <f t="shared" si="3"/>
        <v>23224.28</v>
      </c>
      <c r="W861" s="168">
        <f t="shared" si="4"/>
        <v>0</v>
      </c>
      <c r="X861" s="168">
        <f t="shared" si="5"/>
        <v>0</v>
      </c>
      <c r="Y861" s="168">
        <f t="shared" si="6"/>
        <v>0</v>
      </c>
      <c r="Z861" s="168">
        <f t="shared" si="7"/>
        <v>0</v>
      </c>
      <c r="AA861" s="168">
        <f t="shared" si="8"/>
        <v>0</v>
      </c>
      <c r="AB861" s="168">
        <f t="shared" si="9"/>
        <v>0</v>
      </c>
    </row>
    <row r="862" ht="14.25" customHeight="1">
      <c r="A862" s="157" t="s">
        <v>7638</v>
      </c>
      <c r="B862" s="169" t="s">
        <v>33</v>
      </c>
      <c r="C862" s="169" t="s">
        <v>1200</v>
      </c>
      <c r="D862" s="336">
        <v>43816.0</v>
      </c>
      <c r="E862" s="157" t="s">
        <v>600</v>
      </c>
      <c r="F862" s="160">
        <v>39044.84</v>
      </c>
      <c r="G862" s="160">
        <v>6247.17</v>
      </c>
      <c r="H862" s="160">
        <f t="shared" si="29"/>
        <v>45292.01</v>
      </c>
      <c r="I862" s="172"/>
      <c r="J862" s="169"/>
      <c r="K862" s="172"/>
      <c r="L862" s="172">
        <f>+'FACUS$'!$H862-'FACUS$'!$I862-'FACUS$'!$K862</f>
        <v>45292.01</v>
      </c>
      <c r="M862" s="162" t="s">
        <v>958</v>
      </c>
      <c r="N862" s="337" t="s">
        <v>554</v>
      </c>
      <c r="O862" s="338">
        <v>43840.0</v>
      </c>
      <c r="P862" s="164">
        <f t="array" ref="P862">XLOOKUP('FACUS$'!$B862,'perfil de pagos'!$A$4:$A$46,'perfil de pagos'!$C$4:$C$46+'FACUS$'!$D862)</f>
        <v>43826</v>
      </c>
      <c r="Q862" s="165">
        <f t="shared" si="2"/>
        <v>0</v>
      </c>
      <c r="R862" s="167"/>
      <c r="S862" s="167" t="s">
        <v>910</v>
      </c>
      <c r="T862" s="167"/>
      <c r="U862" s="334" t="s">
        <v>7271</v>
      </c>
      <c r="V862" s="168">
        <f t="shared" si="3"/>
        <v>45292.01</v>
      </c>
      <c r="W862" s="168">
        <f t="shared" si="4"/>
        <v>0</v>
      </c>
      <c r="X862" s="168">
        <f t="shared" si="5"/>
        <v>0</v>
      </c>
      <c r="Y862" s="168">
        <f t="shared" si="6"/>
        <v>0</v>
      </c>
      <c r="Z862" s="168">
        <f t="shared" si="7"/>
        <v>0</v>
      </c>
      <c r="AA862" s="168">
        <f t="shared" si="8"/>
        <v>0</v>
      </c>
      <c r="AB862" s="168">
        <f t="shared" si="9"/>
        <v>0</v>
      </c>
    </row>
    <row r="863" ht="14.25" customHeight="1">
      <c r="A863" s="157" t="s">
        <v>7639</v>
      </c>
      <c r="B863" s="169" t="s">
        <v>30</v>
      </c>
      <c r="C863" s="169" t="s">
        <v>1200</v>
      </c>
      <c r="D863" s="336">
        <v>43816.0</v>
      </c>
      <c r="E863" s="157" t="s">
        <v>600</v>
      </c>
      <c r="F863" s="160">
        <v>4203.34</v>
      </c>
      <c r="G863" s="160">
        <v>672.53</v>
      </c>
      <c r="H863" s="160">
        <f t="shared" si="29"/>
        <v>4875.87</v>
      </c>
      <c r="I863" s="172"/>
      <c r="J863" s="169"/>
      <c r="K863" s="172"/>
      <c r="L863" s="172">
        <f>+'FACUS$'!$H863-'FACUS$'!$I863-'FACUS$'!$K863</f>
        <v>4875.87</v>
      </c>
      <c r="M863" s="162" t="s">
        <v>7415</v>
      </c>
      <c r="N863" s="337" t="s">
        <v>554</v>
      </c>
      <c r="O863" s="338">
        <v>43903.0</v>
      </c>
      <c r="P863" s="164">
        <f t="array" ref="P863">XLOOKUP('FACUS$'!$B863,'perfil de pagos'!$A$4:$A$46,'perfil de pagos'!$C$4:$C$46+'FACUS$'!$D863)</f>
        <v>43826</v>
      </c>
      <c r="Q863" s="165">
        <f t="shared" si="2"/>
        <v>0</v>
      </c>
      <c r="R863" s="167" t="s">
        <v>7640</v>
      </c>
      <c r="S863" s="167" t="s">
        <v>910</v>
      </c>
      <c r="T863" s="167"/>
      <c r="U863" s="334" t="s">
        <v>7271</v>
      </c>
      <c r="V863" s="168">
        <f t="shared" si="3"/>
        <v>4875.87</v>
      </c>
      <c r="W863" s="168">
        <f t="shared" si="4"/>
        <v>0</v>
      </c>
      <c r="X863" s="168">
        <f t="shared" si="5"/>
        <v>0</v>
      </c>
      <c r="Y863" s="168">
        <f t="shared" si="6"/>
        <v>0</v>
      </c>
      <c r="Z863" s="168">
        <f t="shared" si="7"/>
        <v>0</v>
      </c>
      <c r="AA863" s="168">
        <f t="shared" si="8"/>
        <v>0</v>
      </c>
      <c r="AB863" s="168">
        <f t="shared" si="9"/>
        <v>0</v>
      </c>
    </row>
    <row r="864" ht="14.25" customHeight="1">
      <c r="A864" s="157" t="s">
        <v>7641</v>
      </c>
      <c r="B864" s="169" t="s">
        <v>37</v>
      </c>
      <c r="C864" s="169" t="s">
        <v>1200</v>
      </c>
      <c r="D864" s="336">
        <v>43818.0</v>
      </c>
      <c r="E864" s="157" t="s">
        <v>600</v>
      </c>
      <c r="F864" s="160">
        <v>46243.12</v>
      </c>
      <c r="G864" s="160">
        <v>7398.9</v>
      </c>
      <c r="H864" s="160">
        <f t="shared" si="29"/>
        <v>53642.02</v>
      </c>
      <c r="I864" s="172"/>
      <c r="J864" s="169"/>
      <c r="K864" s="172"/>
      <c r="L864" s="172">
        <f>+'FACUS$'!$H864-'FACUS$'!$I864-'FACUS$'!$K864</f>
        <v>53642.02</v>
      </c>
      <c r="M864" s="162" t="s">
        <v>116</v>
      </c>
      <c r="N864" s="337" t="s">
        <v>554</v>
      </c>
      <c r="O864" s="338">
        <v>43844.0</v>
      </c>
      <c r="P864" s="164">
        <f t="array" ref="P864">XLOOKUP('FACUS$'!$B864,'perfil de pagos'!$A$4:$A$46,'perfil de pagos'!$C$4:$C$46+'FACUS$'!$D864)</f>
        <v>43828</v>
      </c>
      <c r="Q864" s="165">
        <f t="shared" si="2"/>
        <v>0</v>
      </c>
      <c r="R864" s="167"/>
      <c r="S864" s="220" t="s">
        <v>910</v>
      </c>
      <c r="T864" s="167"/>
      <c r="U864" s="334" t="s">
        <v>7271</v>
      </c>
      <c r="V864" s="168">
        <f t="shared" si="3"/>
        <v>53642.02</v>
      </c>
      <c r="W864" s="168">
        <f t="shared" si="4"/>
        <v>0</v>
      </c>
      <c r="X864" s="168">
        <f t="shared" si="5"/>
        <v>0</v>
      </c>
      <c r="Y864" s="168">
        <f t="shared" si="6"/>
        <v>0</v>
      </c>
      <c r="Z864" s="168">
        <f t="shared" si="7"/>
        <v>0</v>
      </c>
      <c r="AA864" s="168">
        <f t="shared" si="8"/>
        <v>0</v>
      </c>
      <c r="AB864" s="168">
        <f t="shared" si="9"/>
        <v>0</v>
      </c>
    </row>
    <row r="865" ht="14.25" customHeight="1">
      <c r="A865" s="157" t="s">
        <v>7642</v>
      </c>
      <c r="B865" s="169" t="s">
        <v>18</v>
      </c>
      <c r="C865" s="169" t="s">
        <v>1200</v>
      </c>
      <c r="D865" s="336">
        <v>43818.0</v>
      </c>
      <c r="E865" s="157" t="s">
        <v>600</v>
      </c>
      <c r="F865" s="160">
        <v>9584.01</v>
      </c>
      <c r="G865" s="160">
        <v>1533.44</v>
      </c>
      <c r="H865" s="160">
        <f t="shared" si="29"/>
        <v>11117.45</v>
      </c>
      <c r="I865" s="172"/>
      <c r="J865" s="169"/>
      <c r="K865" s="172"/>
      <c r="L865" s="172">
        <f>+'FACUS$'!$H865-'FACUS$'!$I865-'FACUS$'!$K865</f>
        <v>11117.45</v>
      </c>
      <c r="M865" s="162" t="s">
        <v>586</v>
      </c>
      <c r="N865" s="337" t="s">
        <v>554</v>
      </c>
      <c r="O865" s="338">
        <v>43829.0</v>
      </c>
      <c r="P865" s="164">
        <f t="array" ref="P865">XLOOKUP('FACUS$'!$B865,'perfil de pagos'!$A$4:$A$46,'perfil de pagos'!$C$4:$C$46+'FACUS$'!$D865)</f>
        <v>43828</v>
      </c>
      <c r="Q865" s="165">
        <f t="shared" si="2"/>
        <v>0</v>
      </c>
      <c r="R865" s="167"/>
      <c r="S865" s="167" t="s">
        <v>910</v>
      </c>
      <c r="T865" s="167"/>
      <c r="U865" s="334" t="s">
        <v>7271</v>
      </c>
      <c r="V865" s="168">
        <f t="shared" si="3"/>
        <v>11117.45</v>
      </c>
      <c r="W865" s="168">
        <f t="shared" si="4"/>
        <v>0</v>
      </c>
      <c r="X865" s="168">
        <f t="shared" si="5"/>
        <v>0</v>
      </c>
      <c r="Y865" s="168">
        <f t="shared" si="6"/>
        <v>0</v>
      </c>
      <c r="Z865" s="168">
        <f t="shared" si="7"/>
        <v>0</v>
      </c>
      <c r="AA865" s="168">
        <f t="shared" si="8"/>
        <v>0</v>
      </c>
      <c r="AB865" s="168">
        <f t="shared" si="9"/>
        <v>0</v>
      </c>
    </row>
    <row r="866" ht="14.25" customHeight="1">
      <c r="A866" s="157" t="s">
        <v>7643</v>
      </c>
      <c r="B866" s="169" t="s">
        <v>41</v>
      </c>
      <c r="C866" s="169" t="s">
        <v>1200</v>
      </c>
      <c r="D866" s="336">
        <v>43829.0</v>
      </c>
      <c r="E866" s="157" t="s">
        <v>600</v>
      </c>
      <c r="F866" s="160">
        <v>46516.21</v>
      </c>
      <c r="G866" s="160">
        <v>7442.59</v>
      </c>
      <c r="H866" s="160">
        <f t="shared" si="29"/>
        <v>53958.8</v>
      </c>
      <c r="I866" s="172"/>
      <c r="J866" s="169"/>
      <c r="K866" s="172"/>
      <c r="L866" s="172">
        <f>+'FACUS$'!$H866-'FACUS$'!$I866-'FACUS$'!$K866</f>
        <v>53958.8</v>
      </c>
      <c r="M866" s="162" t="s">
        <v>875</v>
      </c>
      <c r="N866" s="337" t="s">
        <v>554</v>
      </c>
      <c r="O866" s="338">
        <v>43879.0</v>
      </c>
      <c r="P866" s="164">
        <f t="array" ref="P866">XLOOKUP('FACUS$'!$B866,'perfil de pagos'!$A$4:$A$46,'perfil de pagos'!$C$4:$C$46+'FACUS$'!$D866)</f>
        <v>43839</v>
      </c>
      <c r="Q866" s="165">
        <f t="shared" si="2"/>
        <v>0</v>
      </c>
      <c r="R866" s="167"/>
      <c r="S866" s="167"/>
      <c r="T866" s="167"/>
      <c r="U866" s="334" t="s">
        <v>7271</v>
      </c>
      <c r="V866" s="168">
        <f t="shared" si="3"/>
        <v>53958.8</v>
      </c>
      <c r="W866" s="168">
        <f t="shared" si="4"/>
        <v>0</v>
      </c>
      <c r="X866" s="168">
        <f t="shared" si="5"/>
        <v>0</v>
      </c>
      <c r="Y866" s="168">
        <f t="shared" si="6"/>
        <v>0</v>
      </c>
      <c r="Z866" s="168">
        <f t="shared" si="7"/>
        <v>0</v>
      </c>
      <c r="AA866" s="168">
        <f t="shared" si="8"/>
        <v>0</v>
      </c>
      <c r="AB866" s="168">
        <f t="shared" si="9"/>
        <v>0</v>
      </c>
    </row>
    <row r="867" ht="14.25" customHeight="1">
      <c r="A867" s="157" t="s">
        <v>7644</v>
      </c>
      <c r="B867" s="169" t="s">
        <v>35</v>
      </c>
      <c r="C867" s="169" t="s">
        <v>1104</v>
      </c>
      <c r="D867" s="336">
        <v>43829.0</v>
      </c>
      <c r="E867" s="157" t="s">
        <v>600</v>
      </c>
      <c r="F867" s="160">
        <v>2819.44</v>
      </c>
      <c r="G867" s="160">
        <v>451.11</v>
      </c>
      <c r="H867" s="160">
        <f t="shared" si="29"/>
        <v>3270.55</v>
      </c>
      <c r="I867" s="172"/>
      <c r="J867" s="169"/>
      <c r="K867" s="172"/>
      <c r="L867" s="172">
        <f>+'FACUS$'!$H867-'FACUS$'!$I867-'FACUS$'!$K867</f>
        <v>3270.55</v>
      </c>
      <c r="M867" s="162" t="s">
        <v>276</v>
      </c>
      <c r="N867" s="337" t="s">
        <v>554</v>
      </c>
      <c r="O867" s="338">
        <v>43784.0</v>
      </c>
      <c r="P867" s="164">
        <f t="array" ref="P867">XLOOKUP('FACUS$'!$B867,'perfil de pagos'!$A$4:$A$46,'perfil de pagos'!$C$4:$C$46+'FACUS$'!$D867)</f>
        <v>43839</v>
      </c>
      <c r="Q867" s="165">
        <f t="shared" si="2"/>
        <v>0</v>
      </c>
      <c r="R867" s="220" t="s">
        <v>7645</v>
      </c>
      <c r="S867" s="167" t="s">
        <v>910</v>
      </c>
      <c r="T867" s="167"/>
      <c r="U867" s="334" t="s">
        <v>7271</v>
      </c>
      <c r="V867" s="168">
        <f t="shared" si="3"/>
        <v>3270.55</v>
      </c>
      <c r="W867" s="168">
        <f t="shared" si="4"/>
        <v>0</v>
      </c>
      <c r="X867" s="168">
        <f t="shared" si="5"/>
        <v>0</v>
      </c>
      <c r="Y867" s="168">
        <f t="shared" si="6"/>
        <v>0</v>
      </c>
      <c r="Z867" s="168">
        <f t="shared" si="7"/>
        <v>0</v>
      </c>
      <c r="AA867" s="168">
        <f t="shared" si="8"/>
        <v>0</v>
      </c>
      <c r="AB867" s="168">
        <f t="shared" si="9"/>
        <v>0</v>
      </c>
    </row>
    <row r="868" ht="14.25" customHeight="1">
      <c r="A868" s="157" t="s">
        <v>7646</v>
      </c>
      <c r="B868" s="169" t="s">
        <v>43</v>
      </c>
      <c r="C868" s="169" t="s">
        <v>1241</v>
      </c>
      <c r="D868" s="336">
        <v>43833.0</v>
      </c>
      <c r="E868" s="157" t="s">
        <v>600</v>
      </c>
      <c r="F868" s="160">
        <v>79274.99</v>
      </c>
      <c r="G868" s="160">
        <v>12684.0</v>
      </c>
      <c r="H868" s="160">
        <f t="shared" si="29"/>
        <v>91958.99</v>
      </c>
      <c r="I868" s="172"/>
      <c r="J868" s="169"/>
      <c r="K868" s="172"/>
      <c r="L868" s="172">
        <f>+'FACUS$'!$H868-'FACUS$'!$I868-'FACUS$'!$K868</f>
        <v>91958.99</v>
      </c>
      <c r="M868" s="162" t="s">
        <v>43</v>
      </c>
      <c r="N868" s="337" t="s">
        <v>554</v>
      </c>
      <c r="O868" s="338">
        <v>43840.0</v>
      </c>
      <c r="P868" s="164">
        <f t="array" ref="P868">XLOOKUP('FACUS$'!$B868,'perfil de pagos'!$A$4:$A$46,'perfil de pagos'!$C$4:$C$46+'FACUS$'!$D868)</f>
        <v>43858</v>
      </c>
      <c r="Q868" s="165">
        <f t="shared" si="2"/>
        <v>0</v>
      </c>
      <c r="R868" s="167"/>
      <c r="S868" s="167" t="s">
        <v>910</v>
      </c>
      <c r="T868" s="167">
        <v>18.7732</v>
      </c>
      <c r="U868" s="334" t="s">
        <v>7271</v>
      </c>
      <c r="V868" s="168">
        <f t="shared" si="3"/>
        <v>91958.99</v>
      </c>
      <c r="W868" s="168">
        <f t="shared" si="4"/>
        <v>0</v>
      </c>
      <c r="X868" s="168">
        <f t="shared" si="5"/>
        <v>0</v>
      </c>
      <c r="Y868" s="168">
        <f t="shared" si="6"/>
        <v>0</v>
      </c>
      <c r="Z868" s="168">
        <f t="shared" si="7"/>
        <v>0</v>
      </c>
      <c r="AA868" s="168">
        <f t="shared" si="8"/>
        <v>0</v>
      </c>
      <c r="AB868" s="168">
        <f t="shared" si="9"/>
        <v>0</v>
      </c>
    </row>
    <row r="869" ht="14.25" customHeight="1">
      <c r="A869" s="157" t="s">
        <v>7647</v>
      </c>
      <c r="B869" s="169" t="s">
        <v>33</v>
      </c>
      <c r="C869" s="169" t="s">
        <v>7648</v>
      </c>
      <c r="D869" s="336">
        <v>43833.0</v>
      </c>
      <c r="E869" s="157" t="s">
        <v>600</v>
      </c>
      <c r="F869" s="160">
        <v>49680.63</v>
      </c>
      <c r="G869" s="160">
        <v>7948.9</v>
      </c>
      <c r="H869" s="160">
        <f t="shared" si="29"/>
        <v>57629.53</v>
      </c>
      <c r="I869" s="172"/>
      <c r="J869" s="169"/>
      <c r="K869" s="172"/>
      <c r="L869" s="172">
        <f>+'FACUS$'!$H869-'FACUS$'!$I869-'FACUS$'!$K869</f>
        <v>57629.53</v>
      </c>
      <c r="M869" s="162" t="s">
        <v>958</v>
      </c>
      <c r="N869" s="337" t="s">
        <v>554</v>
      </c>
      <c r="O869" s="338">
        <v>43853.0</v>
      </c>
      <c r="P869" s="164">
        <f t="array" ref="P869">XLOOKUP('FACUS$'!$B869,'perfil de pagos'!$A$4:$A$46,'perfil de pagos'!$C$4:$C$46+'FACUS$'!$D869)</f>
        <v>43843</v>
      </c>
      <c r="Q869" s="165">
        <f t="shared" si="2"/>
        <v>0</v>
      </c>
      <c r="R869" s="167"/>
      <c r="S869" s="167" t="s">
        <v>910</v>
      </c>
      <c r="T869" s="167">
        <v>18.7732</v>
      </c>
      <c r="U869" s="334" t="s">
        <v>7271</v>
      </c>
      <c r="V869" s="168">
        <f t="shared" si="3"/>
        <v>57629.53</v>
      </c>
      <c r="W869" s="168">
        <f t="shared" si="4"/>
        <v>0</v>
      </c>
      <c r="X869" s="168">
        <f t="shared" si="5"/>
        <v>0</v>
      </c>
      <c r="Y869" s="168">
        <f t="shared" si="6"/>
        <v>0</v>
      </c>
      <c r="Z869" s="168">
        <f t="shared" si="7"/>
        <v>0</v>
      </c>
      <c r="AA869" s="168">
        <f t="shared" si="8"/>
        <v>0</v>
      </c>
      <c r="AB869" s="168">
        <f t="shared" si="9"/>
        <v>0</v>
      </c>
    </row>
    <row r="870" ht="14.25" customHeight="1">
      <c r="A870" s="157" t="s">
        <v>7649</v>
      </c>
      <c r="B870" s="169" t="s">
        <v>36</v>
      </c>
      <c r="C870" s="169" t="s">
        <v>1241</v>
      </c>
      <c r="D870" s="336">
        <v>43833.0</v>
      </c>
      <c r="E870" s="157" t="s">
        <v>600</v>
      </c>
      <c r="F870" s="160">
        <v>3213.1</v>
      </c>
      <c r="G870" s="160">
        <v>514.1</v>
      </c>
      <c r="H870" s="160">
        <f t="shared" si="29"/>
        <v>3727.2</v>
      </c>
      <c r="I870" s="172"/>
      <c r="J870" s="169"/>
      <c r="K870" s="172"/>
      <c r="L870" s="172">
        <f>+'FACUS$'!$H870-'FACUS$'!$I870-'FACUS$'!$K870</f>
        <v>3727.2</v>
      </c>
      <c r="M870" s="162" t="s">
        <v>278</v>
      </c>
      <c r="N870" s="337" t="s">
        <v>554</v>
      </c>
      <c r="O870" s="338">
        <v>43861.0</v>
      </c>
      <c r="P870" s="164">
        <f t="array" ref="P870">XLOOKUP('FACUS$'!$B870,'perfil de pagos'!$A$4:$A$46,'perfil de pagos'!$C$4:$C$46+'FACUS$'!$D870)</f>
        <v>43843</v>
      </c>
      <c r="Q870" s="165">
        <f t="shared" si="2"/>
        <v>0</v>
      </c>
      <c r="R870" s="167" t="s">
        <v>7650</v>
      </c>
      <c r="S870" s="220" t="s">
        <v>910</v>
      </c>
      <c r="T870" s="167">
        <v>18.86445</v>
      </c>
      <c r="U870" s="334" t="s">
        <v>7271</v>
      </c>
      <c r="V870" s="168">
        <f t="shared" si="3"/>
        <v>3727.2</v>
      </c>
      <c r="W870" s="168">
        <f t="shared" si="4"/>
        <v>0</v>
      </c>
      <c r="X870" s="168">
        <f t="shared" si="5"/>
        <v>0</v>
      </c>
      <c r="Y870" s="168">
        <f t="shared" si="6"/>
        <v>0</v>
      </c>
      <c r="Z870" s="168">
        <f t="shared" si="7"/>
        <v>0</v>
      </c>
      <c r="AA870" s="168">
        <f t="shared" si="8"/>
        <v>0</v>
      </c>
      <c r="AB870" s="168">
        <f t="shared" si="9"/>
        <v>0</v>
      </c>
    </row>
    <row r="871" ht="14.25" customHeight="1">
      <c r="A871" s="157" t="s">
        <v>7651</v>
      </c>
      <c r="B871" s="169" t="s">
        <v>41</v>
      </c>
      <c r="C871" s="169" t="s">
        <v>1241</v>
      </c>
      <c r="D871" s="336">
        <v>43833.0</v>
      </c>
      <c r="E871" s="157" t="s">
        <v>600</v>
      </c>
      <c r="F871" s="160">
        <v>63983.44</v>
      </c>
      <c r="G871" s="160">
        <v>10237.35</v>
      </c>
      <c r="H871" s="160">
        <f t="shared" si="29"/>
        <v>74220.79</v>
      </c>
      <c r="I871" s="172"/>
      <c r="J871" s="169"/>
      <c r="K871" s="172"/>
      <c r="L871" s="172">
        <f>+'FACUS$'!$H871-'FACUS$'!$I871-'FACUS$'!$K871</f>
        <v>74220.79</v>
      </c>
      <c r="M871" s="162" t="s">
        <v>875</v>
      </c>
      <c r="N871" s="337" t="s">
        <v>554</v>
      </c>
      <c r="O871" s="338">
        <v>43879.0</v>
      </c>
      <c r="P871" s="164">
        <f t="array" ref="P871">XLOOKUP('FACUS$'!$B871,'perfil de pagos'!$A$4:$A$46,'perfil de pagos'!$C$4:$C$46+'FACUS$'!$D871)</f>
        <v>43843</v>
      </c>
      <c r="Q871" s="165">
        <f t="shared" si="2"/>
        <v>0</v>
      </c>
      <c r="R871" s="167"/>
      <c r="S871" s="167"/>
      <c r="T871" s="167">
        <v>18.7732</v>
      </c>
      <c r="U871" s="334" t="s">
        <v>7271</v>
      </c>
      <c r="V871" s="168">
        <f t="shared" si="3"/>
        <v>74220.79</v>
      </c>
      <c r="W871" s="168">
        <f t="shared" si="4"/>
        <v>0</v>
      </c>
      <c r="X871" s="168">
        <f t="shared" si="5"/>
        <v>0</v>
      </c>
      <c r="Y871" s="168">
        <f t="shared" si="6"/>
        <v>0</v>
      </c>
      <c r="Z871" s="168">
        <f t="shared" si="7"/>
        <v>0</v>
      </c>
      <c r="AA871" s="168">
        <f t="shared" si="8"/>
        <v>0</v>
      </c>
      <c r="AB871" s="168">
        <f t="shared" si="9"/>
        <v>0</v>
      </c>
    </row>
    <row r="872" ht="14.25" customHeight="1">
      <c r="A872" s="157" t="s">
        <v>7652</v>
      </c>
      <c r="B872" s="169" t="s">
        <v>1127</v>
      </c>
      <c r="C872" s="169" t="s">
        <v>1241</v>
      </c>
      <c r="D872" s="336">
        <v>43833.0</v>
      </c>
      <c r="E872" s="157" t="s">
        <v>600</v>
      </c>
      <c r="F872" s="160">
        <v>2923.89</v>
      </c>
      <c r="G872" s="160">
        <v>467.82</v>
      </c>
      <c r="H872" s="160">
        <f t="shared" si="29"/>
        <v>3391.71</v>
      </c>
      <c r="I872" s="172"/>
      <c r="J872" s="169"/>
      <c r="K872" s="172"/>
      <c r="L872" s="172">
        <f>+'FACUS$'!$H872-'FACUS$'!$I872-'FACUS$'!$K872</f>
        <v>3391.71</v>
      </c>
      <c r="M872" s="162" t="s">
        <v>580</v>
      </c>
      <c r="N872" s="337" t="s">
        <v>554</v>
      </c>
      <c r="O872" s="338">
        <v>43875.0</v>
      </c>
      <c r="P872" s="164" t="str">
        <f t="array" ref="P872">XLOOKUP('FACUS$'!$B872,'perfil de pagos'!$A$4:$A$46,'perfil de pagos'!$C$4:$C$46+'FACUS$'!$D872)</f>
        <v>#N/A</v>
      </c>
      <c r="Q872" s="165">
        <f t="shared" si="2"/>
        <v>0</v>
      </c>
      <c r="R872" s="167" t="s">
        <v>7608</v>
      </c>
      <c r="S872" s="167" t="s">
        <v>910</v>
      </c>
      <c r="T872" s="167">
        <v>18.7732</v>
      </c>
      <c r="U872" s="334" t="s">
        <v>7271</v>
      </c>
      <c r="V872" s="168">
        <f t="shared" si="3"/>
        <v>3391.71</v>
      </c>
      <c r="W872" s="168">
        <f t="shared" si="4"/>
        <v>0</v>
      </c>
      <c r="X872" s="168">
        <f t="shared" si="5"/>
        <v>0</v>
      </c>
      <c r="Y872" s="168">
        <f t="shared" si="6"/>
        <v>0</v>
      </c>
      <c r="Z872" s="168">
        <f t="shared" si="7"/>
        <v>0</v>
      </c>
      <c r="AA872" s="168">
        <f t="shared" si="8"/>
        <v>0</v>
      </c>
      <c r="AB872" s="168">
        <f t="shared" si="9"/>
        <v>0</v>
      </c>
    </row>
    <row r="873" ht="14.25" customHeight="1">
      <c r="A873" s="157" t="s">
        <v>7653</v>
      </c>
      <c r="B873" s="169" t="s">
        <v>37</v>
      </c>
      <c r="C873" s="169" t="s">
        <v>1241</v>
      </c>
      <c r="D873" s="336">
        <v>43836.0</v>
      </c>
      <c r="E873" s="157" t="s">
        <v>600</v>
      </c>
      <c r="F873" s="160">
        <v>50572.59</v>
      </c>
      <c r="G873" s="160">
        <v>8091.61</v>
      </c>
      <c r="H873" s="160">
        <f t="shared" si="29"/>
        <v>58664.2</v>
      </c>
      <c r="I873" s="172"/>
      <c r="J873" s="169"/>
      <c r="K873" s="172"/>
      <c r="L873" s="172">
        <f>+'FACUS$'!$H873-'FACUS$'!$I873-'FACUS$'!$K873</f>
        <v>58664.2</v>
      </c>
      <c r="M873" s="162" t="s">
        <v>116</v>
      </c>
      <c r="N873" s="337" t="s">
        <v>554</v>
      </c>
      <c r="O873" s="338">
        <v>43851.0</v>
      </c>
      <c r="P873" s="164">
        <f t="array" ref="P873">XLOOKUP('FACUS$'!$B873,'perfil de pagos'!$A$4:$A$46,'perfil de pagos'!$C$4:$C$46+'FACUS$'!$D873)</f>
        <v>43846</v>
      </c>
      <c r="Q873" s="165">
        <f t="shared" si="2"/>
        <v>0</v>
      </c>
      <c r="R873" s="167" t="s">
        <v>7654</v>
      </c>
      <c r="S873" s="220" t="s">
        <v>910</v>
      </c>
      <c r="T873" s="167">
        <v>18.8673</v>
      </c>
      <c r="U873" s="334" t="s">
        <v>7271</v>
      </c>
      <c r="V873" s="168">
        <f t="shared" si="3"/>
        <v>58664.2</v>
      </c>
      <c r="W873" s="168">
        <f t="shared" si="4"/>
        <v>0</v>
      </c>
      <c r="X873" s="168">
        <f t="shared" si="5"/>
        <v>0</v>
      </c>
      <c r="Y873" s="168">
        <f t="shared" si="6"/>
        <v>0</v>
      </c>
      <c r="Z873" s="168">
        <f t="shared" si="7"/>
        <v>0</v>
      </c>
      <c r="AA873" s="168">
        <f t="shared" si="8"/>
        <v>0</v>
      </c>
      <c r="AB873" s="168">
        <f t="shared" si="9"/>
        <v>0</v>
      </c>
    </row>
    <row r="874" ht="14.25" customHeight="1">
      <c r="A874" s="157" t="s">
        <v>7655</v>
      </c>
      <c r="B874" s="169" t="s">
        <v>18</v>
      </c>
      <c r="C874" s="169" t="s">
        <v>1241</v>
      </c>
      <c r="D874" s="336">
        <v>43836.0</v>
      </c>
      <c r="E874" s="157" t="s">
        <v>600</v>
      </c>
      <c r="F874" s="160">
        <v>11483.86</v>
      </c>
      <c r="G874" s="160">
        <v>1837.42</v>
      </c>
      <c r="H874" s="160">
        <f t="shared" si="29"/>
        <v>13321.28</v>
      </c>
      <c r="I874" s="172"/>
      <c r="J874" s="169"/>
      <c r="K874" s="172"/>
      <c r="L874" s="172">
        <f>+'FACUS$'!$H874-'FACUS$'!$I874-'FACUS$'!$K874</f>
        <v>13321.28</v>
      </c>
      <c r="M874" s="162" t="s">
        <v>586</v>
      </c>
      <c r="N874" s="337" t="s">
        <v>554</v>
      </c>
      <c r="O874" s="338">
        <v>43878.0</v>
      </c>
      <c r="P874" s="164">
        <f t="array" ref="P874">XLOOKUP('FACUS$'!$B874,'perfil de pagos'!$A$4:$A$46,'perfil de pagos'!$C$4:$C$46+'FACUS$'!$D874)</f>
        <v>43846</v>
      </c>
      <c r="Q874" s="165">
        <f t="shared" si="2"/>
        <v>0</v>
      </c>
      <c r="R874" s="167"/>
      <c r="S874" s="167" t="s">
        <v>910</v>
      </c>
      <c r="T874" s="167">
        <v>18.8673</v>
      </c>
      <c r="U874" s="334" t="s">
        <v>7271</v>
      </c>
      <c r="V874" s="168">
        <f t="shared" si="3"/>
        <v>13321.28</v>
      </c>
      <c r="W874" s="168">
        <f t="shared" si="4"/>
        <v>0</v>
      </c>
      <c r="X874" s="168">
        <f t="shared" si="5"/>
        <v>0</v>
      </c>
      <c r="Y874" s="168">
        <f t="shared" si="6"/>
        <v>0</v>
      </c>
      <c r="Z874" s="168">
        <f t="shared" si="7"/>
        <v>0</v>
      </c>
      <c r="AA874" s="168">
        <f t="shared" si="8"/>
        <v>0</v>
      </c>
      <c r="AB874" s="168">
        <f t="shared" si="9"/>
        <v>0</v>
      </c>
    </row>
    <row r="875" ht="14.25" customHeight="1">
      <c r="A875" s="157" t="s">
        <v>7656</v>
      </c>
      <c r="B875" s="169" t="s">
        <v>1127</v>
      </c>
      <c r="C875" s="169" t="s">
        <v>7657</v>
      </c>
      <c r="D875" s="336">
        <v>43837.0</v>
      </c>
      <c r="E875" s="157" t="s">
        <v>600</v>
      </c>
      <c r="F875" s="160">
        <v>69924.8</v>
      </c>
      <c r="G875" s="160">
        <v>11187.97</v>
      </c>
      <c r="H875" s="160">
        <f t="shared" si="29"/>
        <v>81112.77</v>
      </c>
      <c r="I875" s="172"/>
      <c r="J875" s="169"/>
      <c r="K875" s="172"/>
      <c r="L875" s="172">
        <f>+'FACUS$'!$H875-'FACUS$'!$I875-'FACUS$'!$K875</f>
        <v>81112.77</v>
      </c>
      <c r="M875" s="162" t="s">
        <v>580</v>
      </c>
      <c r="N875" s="337" t="s">
        <v>554</v>
      </c>
      <c r="O875" s="338">
        <v>43875.0</v>
      </c>
      <c r="P875" s="164" t="str">
        <f t="array" ref="P875">XLOOKUP('FACUS$'!$B875,'perfil de pagos'!$A$4:$A$46,'perfil de pagos'!$C$4:$C$46+'FACUS$'!$D875)</f>
        <v>#N/A</v>
      </c>
      <c r="Q875" s="165">
        <f t="shared" si="2"/>
        <v>0</v>
      </c>
      <c r="R875" s="167" t="s">
        <v>7608</v>
      </c>
      <c r="S875" s="167" t="s">
        <v>910</v>
      </c>
      <c r="T875" s="167">
        <v>18.827</v>
      </c>
      <c r="U875" s="334" t="s">
        <v>7271</v>
      </c>
      <c r="V875" s="168">
        <f t="shared" si="3"/>
        <v>81112.77</v>
      </c>
      <c r="W875" s="168">
        <f t="shared" si="4"/>
        <v>0</v>
      </c>
      <c r="X875" s="168">
        <f t="shared" si="5"/>
        <v>0</v>
      </c>
      <c r="Y875" s="168">
        <f t="shared" si="6"/>
        <v>0</v>
      </c>
      <c r="Z875" s="168">
        <f t="shared" si="7"/>
        <v>0</v>
      </c>
      <c r="AA875" s="168">
        <f t="shared" si="8"/>
        <v>0</v>
      </c>
      <c r="AB875" s="168">
        <f t="shared" si="9"/>
        <v>0</v>
      </c>
    </row>
    <row r="876" ht="14.25" customHeight="1">
      <c r="A876" s="157" t="s">
        <v>7658</v>
      </c>
      <c r="B876" s="169" t="s">
        <v>35</v>
      </c>
      <c r="C876" s="169" t="s">
        <v>7659</v>
      </c>
      <c r="D876" s="336">
        <v>43840.0</v>
      </c>
      <c r="E876" s="157" t="s">
        <v>600</v>
      </c>
      <c r="F876" s="160">
        <v>23085.07</v>
      </c>
      <c r="G876" s="160">
        <v>3693.61</v>
      </c>
      <c r="H876" s="160">
        <f t="shared" si="29"/>
        <v>26778.68</v>
      </c>
      <c r="I876" s="172"/>
      <c r="J876" s="169"/>
      <c r="K876" s="172"/>
      <c r="L876" s="172">
        <f>+'FACUS$'!$H876-'FACUS$'!$I876-'FACUS$'!$K876</f>
        <v>26778.68</v>
      </c>
      <c r="M876" s="162" t="s">
        <v>276</v>
      </c>
      <c r="N876" s="337" t="s">
        <v>554</v>
      </c>
      <c r="O876" s="338">
        <v>43854.0</v>
      </c>
      <c r="P876" s="164">
        <f t="array" ref="P876">XLOOKUP('FACUS$'!$B876,'perfil de pagos'!$A$4:$A$46,'perfil de pagos'!$C$4:$C$46+'FACUS$'!$D876)</f>
        <v>43850</v>
      </c>
      <c r="Q876" s="165">
        <f t="shared" si="2"/>
        <v>0</v>
      </c>
      <c r="R876" s="167"/>
      <c r="S876" s="220" t="s">
        <v>910</v>
      </c>
      <c r="T876" s="167">
        <v>18.8453</v>
      </c>
      <c r="U876" s="334" t="s">
        <v>7271</v>
      </c>
      <c r="V876" s="168">
        <f t="shared" si="3"/>
        <v>26778.68</v>
      </c>
      <c r="W876" s="168">
        <f t="shared" si="4"/>
        <v>0</v>
      </c>
      <c r="X876" s="168">
        <f t="shared" si="5"/>
        <v>0</v>
      </c>
      <c r="Y876" s="168">
        <f t="shared" si="6"/>
        <v>0</v>
      </c>
      <c r="Z876" s="168">
        <f t="shared" si="7"/>
        <v>0</v>
      </c>
      <c r="AA876" s="168">
        <f t="shared" si="8"/>
        <v>0</v>
      </c>
      <c r="AB876" s="168">
        <f t="shared" si="9"/>
        <v>0</v>
      </c>
    </row>
    <row r="877" ht="14.25" customHeight="1">
      <c r="A877" s="157" t="s">
        <v>7660</v>
      </c>
      <c r="B877" s="169" t="s">
        <v>127</v>
      </c>
      <c r="C877" s="169"/>
      <c r="D877" s="336"/>
      <c r="E877" s="157"/>
      <c r="F877" s="160"/>
      <c r="G877" s="160"/>
      <c r="H877" s="160">
        <f t="shared" si="29"/>
        <v>0</v>
      </c>
      <c r="I877" s="172"/>
      <c r="J877" s="169"/>
      <c r="K877" s="172"/>
      <c r="L877" s="172">
        <f>+'FACUS$'!$H877-'FACUS$'!$I877-'FACUS$'!$K877</f>
        <v>0</v>
      </c>
      <c r="M877" s="162"/>
      <c r="N877" s="337" t="s">
        <v>127</v>
      </c>
      <c r="O877" s="338"/>
      <c r="P877" s="164" t="str">
        <f t="array" ref="P877">XLOOKUP('FACUS$'!$B877,'perfil de pagos'!$A$4:$A$46,'perfil de pagos'!$C$4:$C$46+'FACUS$'!$D877)</f>
        <v>#N/A</v>
      </c>
      <c r="Q877" s="165" t="str">
        <f t="shared" si="2"/>
        <v>N/A</v>
      </c>
      <c r="R877" s="167"/>
      <c r="S877" s="167"/>
      <c r="T877" s="167"/>
      <c r="U877" s="334" t="s">
        <v>7271</v>
      </c>
      <c r="V877" s="168">
        <f t="shared" si="3"/>
        <v>0</v>
      </c>
      <c r="W877" s="168">
        <f t="shared" si="4"/>
        <v>0</v>
      </c>
      <c r="X877" s="168">
        <f t="shared" si="5"/>
        <v>0</v>
      </c>
      <c r="Y877" s="168">
        <f t="shared" si="6"/>
        <v>0</v>
      </c>
      <c r="Z877" s="168">
        <f t="shared" si="7"/>
        <v>0</v>
      </c>
      <c r="AA877" s="168">
        <f t="shared" si="8"/>
        <v>0</v>
      </c>
      <c r="AB877" s="168">
        <f t="shared" si="9"/>
        <v>0</v>
      </c>
    </row>
    <row r="878" ht="14.25" customHeight="1">
      <c r="A878" s="157" t="s">
        <v>7661</v>
      </c>
      <c r="B878" s="169" t="s">
        <v>43</v>
      </c>
      <c r="C878" s="169" t="s">
        <v>1256</v>
      </c>
      <c r="D878" s="336">
        <v>43846.0</v>
      </c>
      <c r="E878" s="157" t="s">
        <v>600</v>
      </c>
      <c r="F878" s="160">
        <v>66677.3</v>
      </c>
      <c r="G878" s="160">
        <v>10668.37</v>
      </c>
      <c r="H878" s="160">
        <f t="shared" si="29"/>
        <v>77345.67</v>
      </c>
      <c r="I878" s="172"/>
      <c r="J878" s="169"/>
      <c r="K878" s="172"/>
      <c r="L878" s="172">
        <f>+'FACUS$'!$H878-'FACUS$'!$I878-'FACUS$'!$K878</f>
        <v>77345.67</v>
      </c>
      <c r="M878" s="162" t="s">
        <v>43</v>
      </c>
      <c r="N878" s="337" t="s">
        <v>554</v>
      </c>
      <c r="O878" s="338">
        <v>43861.0</v>
      </c>
      <c r="P878" s="164">
        <f t="array" ref="P878">XLOOKUP('FACUS$'!$B878,'perfil de pagos'!$A$4:$A$46,'perfil de pagos'!$C$4:$C$46+'FACUS$'!$D878)</f>
        <v>43871</v>
      </c>
      <c r="Q878" s="165">
        <f t="shared" si="2"/>
        <v>0</v>
      </c>
      <c r="R878" s="167"/>
      <c r="S878" s="220" t="s">
        <v>910</v>
      </c>
      <c r="T878" s="167">
        <v>18.8077</v>
      </c>
      <c r="U878" s="334" t="s">
        <v>7271</v>
      </c>
      <c r="V878" s="168">
        <f t="shared" si="3"/>
        <v>77345.67</v>
      </c>
      <c r="W878" s="168">
        <f t="shared" si="4"/>
        <v>0</v>
      </c>
      <c r="X878" s="168">
        <f t="shared" si="5"/>
        <v>0</v>
      </c>
      <c r="Y878" s="168">
        <f t="shared" si="6"/>
        <v>0</v>
      </c>
      <c r="Z878" s="168">
        <f t="shared" si="7"/>
        <v>0</v>
      </c>
      <c r="AA878" s="168">
        <f t="shared" si="8"/>
        <v>0</v>
      </c>
      <c r="AB878" s="168">
        <f t="shared" si="9"/>
        <v>0</v>
      </c>
    </row>
    <row r="879" ht="14.25" customHeight="1">
      <c r="A879" s="157" t="s">
        <v>7662</v>
      </c>
      <c r="B879" s="169" t="s">
        <v>1127</v>
      </c>
      <c r="C879" s="169" t="s">
        <v>1256</v>
      </c>
      <c r="D879" s="336">
        <v>43846.0</v>
      </c>
      <c r="E879" s="157" t="s">
        <v>600</v>
      </c>
      <c r="F879" s="160">
        <v>612.49</v>
      </c>
      <c r="G879" s="160">
        <v>98.0</v>
      </c>
      <c r="H879" s="160">
        <f t="shared" si="29"/>
        <v>710.49</v>
      </c>
      <c r="I879" s="172"/>
      <c r="J879" s="169"/>
      <c r="K879" s="172"/>
      <c r="L879" s="172">
        <f>+'FACUS$'!$H879-'FACUS$'!$I879-'FACUS$'!$K879</f>
        <v>710.49</v>
      </c>
      <c r="M879" s="162" t="s">
        <v>580</v>
      </c>
      <c r="N879" s="337" t="s">
        <v>554</v>
      </c>
      <c r="O879" s="338">
        <v>43875.0</v>
      </c>
      <c r="P879" s="164" t="str">
        <f t="array" ref="P879">XLOOKUP('FACUS$'!$B879,'perfil de pagos'!$A$4:$A$46,'perfil de pagos'!$C$4:$C$46+'FACUS$'!$D879)</f>
        <v>#N/A</v>
      </c>
      <c r="Q879" s="165">
        <f t="shared" si="2"/>
        <v>0</v>
      </c>
      <c r="R879" s="167" t="s">
        <v>7608</v>
      </c>
      <c r="S879" s="167" t="s">
        <v>910</v>
      </c>
      <c r="T879" s="167">
        <v>18.8077</v>
      </c>
      <c r="U879" s="334" t="s">
        <v>7271</v>
      </c>
      <c r="V879" s="168">
        <f t="shared" si="3"/>
        <v>710.49</v>
      </c>
      <c r="W879" s="168">
        <f t="shared" si="4"/>
        <v>0</v>
      </c>
      <c r="X879" s="168">
        <f t="shared" si="5"/>
        <v>0</v>
      </c>
      <c r="Y879" s="168">
        <f t="shared" si="6"/>
        <v>0</v>
      </c>
      <c r="Z879" s="168">
        <f t="shared" si="7"/>
        <v>0</v>
      </c>
      <c r="AA879" s="168">
        <f t="shared" si="8"/>
        <v>0</v>
      </c>
      <c r="AB879" s="168">
        <f t="shared" si="9"/>
        <v>0</v>
      </c>
    </row>
    <row r="880" ht="14.25" customHeight="1">
      <c r="A880" s="157" t="s">
        <v>7663</v>
      </c>
      <c r="B880" s="169" t="s">
        <v>36</v>
      </c>
      <c r="C880" s="169" t="s">
        <v>1256</v>
      </c>
      <c r="D880" s="336">
        <v>43846.0</v>
      </c>
      <c r="E880" s="157" t="s">
        <v>600</v>
      </c>
      <c r="F880" s="160">
        <v>2576.39</v>
      </c>
      <c r="G880" s="160">
        <v>412.22</v>
      </c>
      <c r="H880" s="160">
        <f t="shared" si="29"/>
        <v>2988.61</v>
      </c>
      <c r="I880" s="172"/>
      <c r="J880" s="169"/>
      <c r="K880" s="172"/>
      <c r="L880" s="172">
        <f>+'FACUS$'!$H880-'FACUS$'!$I880-'FACUS$'!$K880</f>
        <v>2988.61</v>
      </c>
      <c r="M880" s="162" t="s">
        <v>278</v>
      </c>
      <c r="N880" s="337" t="s">
        <v>554</v>
      </c>
      <c r="O880" s="338">
        <v>43865.0</v>
      </c>
      <c r="P880" s="164">
        <f t="array" ref="P880">XLOOKUP('FACUS$'!$B880,'perfil de pagos'!$A$4:$A$46,'perfil de pagos'!$C$4:$C$46+'FACUS$'!$D880)</f>
        <v>43856</v>
      </c>
      <c r="Q880" s="165">
        <f t="shared" si="2"/>
        <v>0</v>
      </c>
      <c r="R880" s="167" t="s">
        <v>7664</v>
      </c>
      <c r="S880" s="220" t="s">
        <v>910</v>
      </c>
      <c r="T880" s="167">
        <v>18.8077</v>
      </c>
      <c r="U880" s="334" t="s">
        <v>7271</v>
      </c>
      <c r="V880" s="168">
        <f t="shared" si="3"/>
        <v>2988.61</v>
      </c>
      <c r="W880" s="168">
        <f t="shared" si="4"/>
        <v>0</v>
      </c>
      <c r="X880" s="168">
        <f t="shared" si="5"/>
        <v>0</v>
      </c>
      <c r="Y880" s="168">
        <f t="shared" si="6"/>
        <v>0</v>
      </c>
      <c r="Z880" s="168">
        <f t="shared" si="7"/>
        <v>0</v>
      </c>
      <c r="AA880" s="168">
        <f t="shared" si="8"/>
        <v>0</v>
      </c>
      <c r="AB880" s="168">
        <f t="shared" si="9"/>
        <v>0</v>
      </c>
    </row>
    <row r="881" ht="14.25" customHeight="1">
      <c r="A881" s="157" t="s">
        <v>7665</v>
      </c>
      <c r="B881" s="169" t="s">
        <v>35</v>
      </c>
      <c r="C881" s="169" t="s">
        <v>1256</v>
      </c>
      <c r="D881" s="336">
        <v>43846.0</v>
      </c>
      <c r="E881" s="157" t="s">
        <v>600</v>
      </c>
      <c r="F881" s="160">
        <v>19576.37</v>
      </c>
      <c r="G881" s="160">
        <v>3132.22</v>
      </c>
      <c r="H881" s="160">
        <f t="shared" si="29"/>
        <v>22708.59</v>
      </c>
      <c r="I881" s="172"/>
      <c r="J881" s="169"/>
      <c r="K881" s="172"/>
      <c r="L881" s="172">
        <f>+'FACUS$'!$H881-'FACUS$'!$I881-'FACUS$'!$K881</f>
        <v>22708.59</v>
      </c>
      <c r="M881" s="162" t="s">
        <v>276</v>
      </c>
      <c r="N881" s="337" t="s">
        <v>554</v>
      </c>
      <c r="O881" s="338">
        <v>43868.0</v>
      </c>
      <c r="P881" s="164">
        <f t="array" ref="P881">XLOOKUP('FACUS$'!$B881,'perfil de pagos'!$A$4:$A$46,'perfil de pagos'!$C$4:$C$46+'FACUS$'!$D881)</f>
        <v>43856</v>
      </c>
      <c r="Q881" s="165">
        <f t="shared" si="2"/>
        <v>0</v>
      </c>
      <c r="R881" s="167"/>
      <c r="S881" s="220" t="s">
        <v>910</v>
      </c>
      <c r="T881" s="167">
        <v>18.8077</v>
      </c>
      <c r="U881" s="334" t="s">
        <v>7271</v>
      </c>
      <c r="V881" s="168">
        <f t="shared" si="3"/>
        <v>22708.59</v>
      </c>
      <c r="W881" s="168">
        <f t="shared" si="4"/>
        <v>0</v>
      </c>
      <c r="X881" s="168">
        <f t="shared" si="5"/>
        <v>0</v>
      </c>
      <c r="Y881" s="168">
        <f t="shared" si="6"/>
        <v>0</v>
      </c>
      <c r="Z881" s="168">
        <f t="shared" si="7"/>
        <v>0</v>
      </c>
      <c r="AA881" s="168">
        <f t="shared" si="8"/>
        <v>0</v>
      </c>
      <c r="AB881" s="168">
        <f t="shared" si="9"/>
        <v>0</v>
      </c>
    </row>
    <row r="882" ht="14.25" customHeight="1">
      <c r="A882" s="157" t="s">
        <v>7666</v>
      </c>
      <c r="B882" s="169" t="s">
        <v>33</v>
      </c>
      <c r="C882" s="169" t="s">
        <v>1256</v>
      </c>
      <c r="D882" s="336">
        <v>43846.0</v>
      </c>
      <c r="E882" s="157" t="s">
        <v>600</v>
      </c>
      <c r="F882" s="160">
        <v>44557.12</v>
      </c>
      <c r="G882" s="160">
        <v>7129.14</v>
      </c>
      <c r="H882" s="160">
        <f t="shared" si="29"/>
        <v>51686.26</v>
      </c>
      <c r="I882" s="172"/>
      <c r="J882" s="169"/>
      <c r="K882" s="172"/>
      <c r="L882" s="172">
        <f>+'FACUS$'!$H882-'FACUS$'!$I882-'FACUS$'!$K882</f>
        <v>51686.26</v>
      </c>
      <c r="M882" s="162" t="s">
        <v>958</v>
      </c>
      <c r="N882" s="337" t="s">
        <v>554</v>
      </c>
      <c r="O882" s="338">
        <v>43857.0</v>
      </c>
      <c r="P882" s="164">
        <f t="array" ref="P882">XLOOKUP('FACUS$'!$B882,'perfil de pagos'!$A$4:$A$46,'perfil de pagos'!$C$4:$C$46+'FACUS$'!$D882)</f>
        <v>43856</v>
      </c>
      <c r="Q882" s="165">
        <f t="shared" si="2"/>
        <v>0</v>
      </c>
      <c r="R882" s="167"/>
      <c r="S882" s="167" t="s">
        <v>910</v>
      </c>
      <c r="T882" s="167">
        <v>18.8077</v>
      </c>
      <c r="U882" s="334" t="s">
        <v>7271</v>
      </c>
      <c r="V882" s="168">
        <f t="shared" si="3"/>
        <v>51686.26</v>
      </c>
      <c r="W882" s="168">
        <f t="shared" si="4"/>
        <v>0</v>
      </c>
      <c r="X882" s="168">
        <f t="shared" si="5"/>
        <v>0</v>
      </c>
      <c r="Y882" s="168">
        <f t="shared" si="6"/>
        <v>0</v>
      </c>
      <c r="Z882" s="168">
        <f t="shared" si="7"/>
        <v>0</v>
      </c>
      <c r="AA882" s="168">
        <f t="shared" si="8"/>
        <v>0</v>
      </c>
      <c r="AB882" s="168">
        <f t="shared" si="9"/>
        <v>0</v>
      </c>
    </row>
    <row r="883" ht="14.25" customHeight="1">
      <c r="A883" s="157" t="s">
        <v>7667</v>
      </c>
      <c r="B883" s="169" t="s">
        <v>30</v>
      </c>
      <c r="C883" s="169" t="s">
        <v>1256</v>
      </c>
      <c r="D883" s="336">
        <v>43846.0</v>
      </c>
      <c r="E883" s="157" t="s">
        <v>600</v>
      </c>
      <c r="F883" s="160">
        <v>1049.26</v>
      </c>
      <c r="G883" s="160">
        <v>167.88</v>
      </c>
      <c r="H883" s="160">
        <f t="shared" si="29"/>
        <v>1217.14</v>
      </c>
      <c r="I883" s="172"/>
      <c r="J883" s="169"/>
      <c r="K883" s="172"/>
      <c r="L883" s="172">
        <f>+'FACUS$'!$H883-'FACUS$'!$I883-'FACUS$'!$K883</f>
        <v>1217.14</v>
      </c>
      <c r="M883" s="162" t="s">
        <v>7415</v>
      </c>
      <c r="N883" s="337" t="s">
        <v>554</v>
      </c>
      <c r="O883" s="338">
        <v>43903.0</v>
      </c>
      <c r="P883" s="164">
        <f t="array" ref="P883">XLOOKUP('FACUS$'!$B883,'perfil de pagos'!$A$4:$A$46,'perfil de pagos'!$C$4:$C$46+'FACUS$'!$D883)</f>
        <v>43856</v>
      </c>
      <c r="Q883" s="165">
        <f t="shared" si="2"/>
        <v>0</v>
      </c>
      <c r="R883" s="220" t="s">
        <v>7668</v>
      </c>
      <c r="S883" s="167" t="s">
        <v>910</v>
      </c>
      <c r="T883" s="167">
        <v>18.8077</v>
      </c>
      <c r="U883" s="334" t="s">
        <v>7271</v>
      </c>
      <c r="V883" s="168">
        <f t="shared" si="3"/>
        <v>1217.14</v>
      </c>
      <c r="W883" s="168">
        <f t="shared" si="4"/>
        <v>0</v>
      </c>
      <c r="X883" s="168">
        <f t="shared" si="5"/>
        <v>0</v>
      </c>
      <c r="Y883" s="168">
        <f t="shared" si="6"/>
        <v>0</v>
      </c>
      <c r="Z883" s="168">
        <f t="shared" si="7"/>
        <v>0</v>
      </c>
      <c r="AA883" s="168">
        <f t="shared" si="8"/>
        <v>0</v>
      </c>
      <c r="AB883" s="168">
        <f t="shared" si="9"/>
        <v>0</v>
      </c>
    </row>
    <row r="884" ht="14.25" customHeight="1">
      <c r="A884" s="157" t="s">
        <v>7669</v>
      </c>
      <c r="B884" s="169" t="s">
        <v>41</v>
      </c>
      <c r="C884" s="169" t="s">
        <v>1256</v>
      </c>
      <c r="D884" s="336">
        <v>43853.0</v>
      </c>
      <c r="E884" s="157" t="s">
        <v>600</v>
      </c>
      <c r="F884" s="160">
        <v>52903.63</v>
      </c>
      <c r="G884" s="160">
        <v>8464.58</v>
      </c>
      <c r="H884" s="160">
        <f t="shared" si="29"/>
        <v>61368.21</v>
      </c>
      <c r="I884" s="172"/>
      <c r="J884" s="169"/>
      <c r="K884" s="172"/>
      <c r="L884" s="172">
        <f>+'FACUS$'!$H884-'FACUS$'!$I884-'FACUS$'!$K884</f>
        <v>61368.21</v>
      </c>
      <c r="M884" s="162" t="s">
        <v>875</v>
      </c>
      <c r="N884" s="337" t="s">
        <v>554</v>
      </c>
      <c r="O884" s="338">
        <v>43895.0</v>
      </c>
      <c r="P884" s="164">
        <f t="array" ref="P884">XLOOKUP('FACUS$'!$B884,'perfil de pagos'!$A$4:$A$46,'perfil de pagos'!$C$4:$C$46+'FACUS$'!$D884)</f>
        <v>43863</v>
      </c>
      <c r="Q884" s="165">
        <f t="shared" si="2"/>
        <v>0</v>
      </c>
      <c r="R884" s="167"/>
      <c r="S884" s="167"/>
      <c r="T884" s="167">
        <v>18.6883</v>
      </c>
      <c r="U884" s="334" t="s">
        <v>7271</v>
      </c>
      <c r="V884" s="168">
        <f t="shared" si="3"/>
        <v>61368.21</v>
      </c>
      <c r="W884" s="168">
        <f t="shared" si="4"/>
        <v>0</v>
      </c>
      <c r="X884" s="168">
        <f t="shared" si="5"/>
        <v>0</v>
      </c>
      <c r="Y884" s="168">
        <f t="shared" si="6"/>
        <v>0</v>
      </c>
      <c r="Z884" s="168">
        <f t="shared" si="7"/>
        <v>0</v>
      </c>
      <c r="AA884" s="168">
        <f t="shared" si="8"/>
        <v>0</v>
      </c>
      <c r="AB884" s="168">
        <f t="shared" si="9"/>
        <v>0</v>
      </c>
    </row>
    <row r="885" ht="14.25" customHeight="1">
      <c r="A885" s="157" t="s">
        <v>7670</v>
      </c>
      <c r="B885" s="169" t="s">
        <v>18</v>
      </c>
      <c r="C885" s="169" t="s">
        <v>1256</v>
      </c>
      <c r="D885" s="336">
        <v>43858.0</v>
      </c>
      <c r="E885" s="157" t="s">
        <v>600</v>
      </c>
      <c r="F885" s="160">
        <v>8573.81</v>
      </c>
      <c r="G885" s="160">
        <v>1371.81</v>
      </c>
      <c r="H885" s="160">
        <f t="shared" si="29"/>
        <v>9945.62</v>
      </c>
      <c r="I885" s="172"/>
      <c r="J885" s="169"/>
      <c r="K885" s="172"/>
      <c r="L885" s="172">
        <f>+'FACUS$'!$H885-'FACUS$'!$I885-'FACUS$'!$K885</f>
        <v>9945.62</v>
      </c>
      <c r="M885" s="162" t="s">
        <v>586</v>
      </c>
      <c r="N885" s="337" t="s">
        <v>554</v>
      </c>
      <c r="O885" s="338">
        <v>43878.0</v>
      </c>
      <c r="P885" s="164">
        <f t="array" ref="P885">XLOOKUP('FACUS$'!$B885,'perfil de pagos'!$A$4:$A$46,'perfil de pagos'!$C$4:$C$46+'FACUS$'!$D885)</f>
        <v>43868</v>
      </c>
      <c r="Q885" s="165">
        <f t="shared" si="2"/>
        <v>0</v>
      </c>
      <c r="R885" s="167"/>
      <c r="S885" s="167" t="s">
        <v>910</v>
      </c>
      <c r="T885" s="167">
        <v>18.9407</v>
      </c>
      <c r="U885" s="334" t="s">
        <v>7271</v>
      </c>
      <c r="V885" s="168">
        <f t="shared" si="3"/>
        <v>9945.62</v>
      </c>
      <c r="W885" s="168">
        <f t="shared" si="4"/>
        <v>0</v>
      </c>
      <c r="X885" s="168">
        <f t="shared" si="5"/>
        <v>0</v>
      </c>
      <c r="Y885" s="168">
        <f t="shared" si="6"/>
        <v>0</v>
      </c>
      <c r="Z885" s="168">
        <f t="shared" si="7"/>
        <v>0</v>
      </c>
      <c r="AA885" s="168">
        <f t="shared" si="8"/>
        <v>0</v>
      </c>
      <c r="AB885" s="168">
        <f t="shared" si="9"/>
        <v>0</v>
      </c>
    </row>
    <row r="886" ht="14.25" customHeight="1">
      <c r="A886" s="157" t="s">
        <v>7671</v>
      </c>
      <c r="B886" s="169" t="s">
        <v>20</v>
      </c>
      <c r="C886" s="169" t="s">
        <v>1256</v>
      </c>
      <c r="D886" s="336">
        <v>43858.0</v>
      </c>
      <c r="E886" s="157" t="s">
        <v>600</v>
      </c>
      <c r="F886" s="160">
        <v>130.37</v>
      </c>
      <c r="G886" s="160">
        <v>20.86</v>
      </c>
      <c r="H886" s="160">
        <f t="shared" si="29"/>
        <v>151.23</v>
      </c>
      <c r="I886" s="172"/>
      <c r="J886" s="169"/>
      <c r="K886" s="172"/>
      <c r="L886" s="172">
        <f>+'FACUS$'!$H886-'FACUS$'!$I886-'FACUS$'!$K886</f>
        <v>151.23</v>
      </c>
      <c r="M886" s="162" t="s">
        <v>732</v>
      </c>
      <c r="N886" s="337" t="s">
        <v>554</v>
      </c>
      <c r="O886" s="338">
        <v>43893.0</v>
      </c>
      <c r="P886" s="164">
        <f t="array" ref="P886">XLOOKUP('FACUS$'!$B886,'perfil de pagos'!$A$4:$A$46,'perfil de pagos'!$C$4:$C$46+'FACUS$'!$D886)</f>
        <v>43868</v>
      </c>
      <c r="Q886" s="165">
        <f t="shared" si="2"/>
        <v>0</v>
      </c>
      <c r="R886" s="167"/>
      <c r="S886" s="167" t="s">
        <v>910</v>
      </c>
      <c r="T886" s="167">
        <v>18.9407</v>
      </c>
      <c r="U886" s="334" t="s">
        <v>7271</v>
      </c>
      <c r="V886" s="168">
        <f t="shared" si="3"/>
        <v>151.23</v>
      </c>
      <c r="W886" s="168">
        <f t="shared" si="4"/>
        <v>0</v>
      </c>
      <c r="X886" s="168">
        <f t="shared" si="5"/>
        <v>0</v>
      </c>
      <c r="Y886" s="168">
        <f t="shared" si="6"/>
        <v>0</v>
      </c>
      <c r="Z886" s="168">
        <f t="shared" si="7"/>
        <v>0</v>
      </c>
      <c r="AA886" s="168">
        <f t="shared" si="8"/>
        <v>0</v>
      </c>
      <c r="AB886" s="168">
        <f t="shared" si="9"/>
        <v>0</v>
      </c>
    </row>
    <row r="887" ht="14.25" customHeight="1">
      <c r="A887" s="157" t="s">
        <v>7672</v>
      </c>
      <c r="B887" s="169" t="s">
        <v>37</v>
      </c>
      <c r="C887" s="169" t="s">
        <v>1256</v>
      </c>
      <c r="D887" s="336">
        <v>43858.0</v>
      </c>
      <c r="E887" s="157" t="s">
        <v>600</v>
      </c>
      <c r="F887" s="160">
        <v>45959.07</v>
      </c>
      <c r="G887" s="160">
        <v>7353.45</v>
      </c>
      <c r="H887" s="160">
        <f t="shared" si="29"/>
        <v>53312.52</v>
      </c>
      <c r="I887" s="172"/>
      <c r="J887" s="169"/>
      <c r="K887" s="172"/>
      <c r="L887" s="172">
        <f>+'FACUS$'!$H887-'FACUS$'!$I887-'FACUS$'!$K887</f>
        <v>53312.52</v>
      </c>
      <c r="M887" s="162" t="s">
        <v>116</v>
      </c>
      <c r="N887" s="337" t="s">
        <v>554</v>
      </c>
      <c r="O887" s="338">
        <v>43872.0</v>
      </c>
      <c r="P887" s="164">
        <f t="array" ref="P887">XLOOKUP('FACUS$'!$B887,'perfil de pagos'!$A$4:$A$46,'perfil de pagos'!$C$4:$C$46+'FACUS$'!$D887)</f>
        <v>43868</v>
      </c>
      <c r="Q887" s="165">
        <f t="shared" si="2"/>
        <v>0</v>
      </c>
      <c r="R887" s="167"/>
      <c r="S887" s="167" t="s">
        <v>910</v>
      </c>
      <c r="T887" s="167">
        <v>18.9407</v>
      </c>
      <c r="U887" s="334" t="s">
        <v>7271</v>
      </c>
      <c r="V887" s="168">
        <f t="shared" si="3"/>
        <v>53312.52</v>
      </c>
      <c r="W887" s="168">
        <f t="shared" si="4"/>
        <v>0</v>
      </c>
      <c r="X887" s="168">
        <f t="shared" si="5"/>
        <v>0</v>
      </c>
      <c r="Y887" s="168">
        <f t="shared" si="6"/>
        <v>0</v>
      </c>
      <c r="Z887" s="168">
        <f t="shared" si="7"/>
        <v>0</v>
      </c>
      <c r="AA887" s="168">
        <f t="shared" si="8"/>
        <v>0</v>
      </c>
      <c r="AB887" s="168">
        <f t="shared" si="9"/>
        <v>0</v>
      </c>
    </row>
    <row r="888" ht="14.25" customHeight="1">
      <c r="A888" s="157" t="s">
        <v>7673</v>
      </c>
      <c r="B888" s="169" t="s">
        <v>43</v>
      </c>
      <c r="C888" s="169" t="s">
        <v>1281</v>
      </c>
      <c r="D888" s="336">
        <v>43865.0</v>
      </c>
      <c r="E888" s="157" t="s">
        <v>600</v>
      </c>
      <c r="F888" s="160">
        <v>75384.85</v>
      </c>
      <c r="G888" s="160">
        <v>12061.58</v>
      </c>
      <c r="H888" s="160">
        <f t="shared" si="29"/>
        <v>87446.43</v>
      </c>
      <c r="I888" s="172"/>
      <c r="J888" s="169"/>
      <c r="K888" s="172"/>
      <c r="L888" s="172">
        <f>+'FACUS$'!$H888-'FACUS$'!$I888-'FACUS$'!$K888</f>
        <v>87446.43</v>
      </c>
      <c r="M888" s="162" t="s">
        <v>43</v>
      </c>
      <c r="N888" s="337" t="s">
        <v>554</v>
      </c>
      <c r="O888" s="338">
        <v>43868.0</v>
      </c>
      <c r="P888" s="164">
        <f t="array" ref="P888">XLOOKUP('FACUS$'!$B888,'perfil de pagos'!$A$4:$A$46,'perfil de pagos'!$C$4:$C$46+'FACUS$'!$D888)</f>
        <v>43890</v>
      </c>
      <c r="Q888" s="165">
        <f t="shared" si="2"/>
        <v>0</v>
      </c>
      <c r="R888" s="167"/>
      <c r="S888" s="220" t="s">
        <v>910</v>
      </c>
      <c r="T888" s="167">
        <v>18.9082</v>
      </c>
      <c r="U888" s="334" t="s">
        <v>7271</v>
      </c>
      <c r="V888" s="168">
        <f t="shared" si="3"/>
        <v>87446.43</v>
      </c>
      <c r="W888" s="168">
        <f t="shared" si="4"/>
        <v>0</v>
      </c>
      <c r="X888" s="168">
        <f t="shared" si="5"/>
        <v>0</v>
      </c>
      <c r="Y888" s="168">
        <f t="shared" si="6"/>
        <v>0</v>
      </c>
      <c r="Z888" s="168">
        <f t="shared" si="7"/>
        <v>0</v>
      </c>
      <c r="AA888" s="168">
        <f t="shared" si="8"/>
        <v>0</v>
      </c>
      <c r="AB888" s="168">
        <f t="shared" si="9"/>
        <v>0</v>
      </c>
    </row>
    <row r="889" ht="14.25" customHeight="1">
      <c r="A889" s="157" t="s">
        <v>7674</v>
      </c>
      <c r="B889" s="169" t="s">
        <v>1127</v>
      </c>
      <c r="C889" s="169" t="s">
        <v>1281</v>
      </c>
      <c r="D889" s="336">
        <v>43865.0</v>
      </c>
      <c r="E889" s="157" t="s">
        <v>600</v>
      </c>
      <c r="F889" s="160">
        <v>3346.99</v>
      </c>
      <c r="G889" s="160">
        <v>535.52</v>
      </c>
      <c r="H889" s="160">
        <f t="shared" si="29"/>
        <v>3882.51</v>
      </c>
      <c r="I889" s="172"/>
      <c r="J889" s="169"/>
      <c r="K889" s="172"/>
      <c r="L889" s="172">
        <f>+'FACUS$'!$H889-'FACUS$'!$I889-'FACUS$'!$K889</f>
        <v>3882.51</v>
      </c>
      <c r="M889" s="162" t="s">
        <v>580</v>
      </c>
      <c r="N889" s="337" t="s">
        <v>554</v>
      </c>
      <c r="O889" s="338">
        <v>43875.0</v>
      </c>
      <c r="P889" s="164" t="str">
        <f t="array" ref="P889">XLOOKUP('FACUS$'!$B889,'perfil de pagos'!$A$4:$A$46,'perfil de pagos'!$C$4:$C$46+'FACUS$'!$D889)</f>
        <v>#N/A</v>
      </c>
      <c r="Q889" s="165">
        <f t="shared" si="2"/>
        <v>0</v>
      </c>
      <c r="R889" s="167" t="s">
        <v>7608</v>
      </c>
      <c r="S889" s="167" t="s">
        <v>910</v>
      </c>
      <c r="T889" s="167">
        <v>18.9082</v>
      </c>
      <c r="U889" s="334" t="s">
        <v>7271</v>
      </c>
      <c r="V889" s="168">
        <f t="shared" si="3"/>
        <v>3882.51</v>
      </c>
      <c r="W889" s="168">
        <f t="shared" si="4"/>
        <v>0</v>
      </c>
      <c r="X889" s="168">
        <f t="shared" si="5"/>
        <v>0</v>
      </c>
      <c r="Y889" s="168">
        <f t="shared" si="6"/>
        <v>0</v>
      </c>
      <c r="Z889" s="168">
        <f t="shared" si="7"/>
        <v>0</v>
      </c>
      <c r="AA889" s="168">
        <f t="shared" si="8"/>
        <v>0</v>
      </c>
      <c r="AB889" s="168">
        <f t="shared" si="9"/>
        <v>0</v>
      </c>
    </row>
    <row r="890" ht="14.25" customHeight="1">
      <c r="A890" s="157" t="s">
        <v>7675</v>
      </c>
      <c r="B890" s="169" t="s">
        <v>36</v>
      </c>
      <c r="C890" s="169" t="s">
        <v>1281</v>
      </c>
      <c r="D890" s="336">
        <v>43865.0</v>
      </c>
      <c r="E890" s="157" t="s">
        <v>600</v>
      </c>
      <c r="F890" s="160">
        <v>2776.5</v>
      </c>
      <c r="G890" s="160">
        <v>444.24</v>
      </c>
      <c r="H890" s="160">
        <f t="shared" si="29"/>
        <v>3220.74</v>
      </c>
      <c r="I890" s="172"/>
      <c r="J890" s="169"/>
      <c r="K890" s="172"/>
      <c r="L890" s="172">
        <f>+'FACUS$'!$H890-'FACUS$'!$I890-'FACUS$'!$K890</f>
        <v>3220.74</v>
      </c>
      <c r="M890" s="162" t="s">
        <v>278</v>
      </c>
      <c r="N890" s="337" t="s">
        <v>554</v>
      </c>
      <c r="O890" s="338">
        <v>43889.0</v>
      </c>
      <c r="P890" s="164">
        <f t="array" ref="P890">XLOOKUP('FACUS$'!$B890,'perfil de pagos'!$A$4:$A$46,'perfil de pagos'!$C$4:$C$46+'FACUS$'!$D890)</f>
        <v>43875</v>
      </c>
      <c r="Q890" s="165">
        <f t="shared" si="2"/>
        <v>0</v>
      </c>
      <c r="R890" s="167" t="s">
        <v>7676</v>
      </c>
      <c r="S890" s="220" t="s">
        <v>910</v>
      </c>
      <c r="T890" s="167">
        <v>18.9082</v>
      </c>
      <c r="U890" s="334" t="s">
        <v>7271</v>
      </c>
      <c r="V890" s="168">
        <f t="shared" si="3"/>
        <v>3220.74</v>
      </c>
      <c r="W890" s="168">
        <f t="shared" si="4"/>
        <v>0</v>
      </c>
      <c r="X890" s="168">
        <f t="shared" si="5"/>
        <v>0</v>
      </c>
      <c r="Y890" s="168">
        <f t="shared" si="6"/>
        <v>0</v>
      </c>
      <c r="Z890" s="168">
        <f t="shared" si="7"/>
        <v>0</v>
      </c>
      <c r="AA890" s="168">
        <f t="shared" si="8"/>
        <v>0</v>
      </c>
      <c r="AB890" s="168">
        <f t="shared" si="9"/>
        <v>0</v>
      </c>
    </row>
    <row r="891" ht="14.25" customHeight="1">
      <c r="A891" s="157" t="s">
        <v>7677</v>
      </c>
      <c r="B891" s="169" t="s">
        <v>33</v>
      </c>
      <c r="C891" s="169" t="s">
        <v>1281</v>
      </c>
      <c r="D891" s="336">
        <v>43865.0</v>
      </c>
      <c r="E891" s="157" t="s">
        <v>600</v>
      </c>
      <c r="F891" s="160">
        <v>47498.41</v>
      </c>
      <c r="G891" s="160">
        <v>7599.75</v>
      </c>
      <c r="H891" s="160">
        <f t="shared" si="29"/>
        <v>55098.16</v>
      </c>
      <c r="I891" s="172"/>
      <c r="J891" s="169"/>
      <c r="K891" s="172"/>
      <c r="L891" s="172">
        <f>+'FACUS$'!$H891-'FACUS$'!$I891-'FACUS$'!$K891</f>
        <v>55098.16</v>
      </c>
      <c r="M891" s="162" t="s">
        <v>958</v>
      </c>
      <c r="N891" s="337" t="s">
        <v>554</v>
      </c>
      <c r="O891" s="338">
        <v>43878.0</v>
      </c>
      <c r="P891" s="164">
        <f t="array" ref="P891">XLOOKUP('FACUS$'!$B891,'perfil de pagos'!$A$4:$A$46,'perfil de pagos'!$C$4:$C$46+'FACUS$'!$D891)</f>
        <v>43875</v>
      </c>
      <c r="Q891" s="165">
        <f t="shared" si="2"/>
        <v>0</v>
      </c>
      <c r="R891" s="167"/>
      <c r="S891" s="167" t="s">
        <v>910</v>
      </c>
      <c r="T891" s="167">
        <v>18.9082</v>
      </c>
      <c r="U891" s="334" t="s">
        <v>7271</v>
      </c>
      <c r="V891" s="168">
        <f t="shared" si="3"/>
        <v>55098.16</v>
      </c>
      <c r="W891" s="168">
        <f t="shared" si="4"/>
        <v>0</v>
      </c>
      <c r="X891" s="168">
        <f t="shared" si="5"/>
        <v>0</v>
      </c>
      <c r="Y891" s="168">
        <f t="shared" si="6"/>
        <v>0</v>
      </c>
      <c r="Z891" s="168">
        <f t="shared" si="7"/>
        <v>0</v>
      </c>
      <c r="AA891" s="168">
        <f t="shared" si="8"/>
        <v>0</v>
      </c>
      <c r="AB891" s="168">
        <f t="shared" si="9"/>
        <v>0</v>
      </c>
    </row>
    <row r="892" ht="14.25" customHeight="1">
      <c r="A892" s="157" t="s">
        <v>7678</v>
      </c>
      <c r="B892" s="169" t="s">
        <v>30</v>
      </c>
      <c r="C892" s="169" t="s">
        <v>1281</v>
      </c>
      <c r="D892" s="336">
        <v>43865.0</v>
      </c>
      <c r="E892" s="157" t="s">
        <v>600</v>
      </c>
      <c r="F892" s="160">
        <v>8989.96</v>
      </c>
      <c r="G892" s="160">
        <v>1438.39</v>
      </c>
      <c r="H892" s="160">
        <f t="shared" si="29"/>
        <v>10428.35</v>
      </c>
      <c r="I892" s="172"/>
      <c r="J892" s="169"/>
      <c r="K892" s="172"/>
      <c r="L892" s="172">
        <f>+'FACUS$'!$H892-'FACUS$'!$I892-'FACUS$'!$K892</f>
        <v>10428.35</v>
      </c>
      <c r="M892" s="162" t="s">
        <v>7415</v>
      </c>
      <c r="N892" s="337" t="s">
        <v>554</v>
      </c>
      <c r="O892" s="338">
        <v>43927.0</v>
      </c>
      <c r="P892" s="164">
        <f t="array" ref="P892">XLOOKUP('FACUS$'!$B892,'perfil de pagos'!$A$4:$A$46,'perfil de pagos'!$C$4:$C$46+'FACUS$'!$D892)</f>
        <v>43875</v>
      </c>
      <c r="Q892" s="165">
        <f t="shared" si="2"/>
        <v>0</v>
      </c>
      <c r="R892" s="167" t="s">
        <v>7679</v>
      </c>
      <c r="S892" s="220" t="s">
        <v>910</v>
      </c>
      <c r="T892" s="167">
        <v>18.9082</v>
      </c>
      <c r="U892" s="334" t="s">
        <v>7271</v>
      </c>
      <c r="V892" s="168">
        <f t="shared" si="3"/>
        <v>10428.35</v>
      </c>
      <c r="W892" s="168">
        <f t="shared" si="4"/>
        <v>0</v>
      </c>
      <c r="X892" s="168">
        <f t="shared" si="5"/>
        <v>0</v>
      </c>
      <c r="Y892" s="168">
        <f t="shared" si="6"/>
        <v>0</v>
      </c>
      <c r="Z892" s="168">
        <f t="shared" si="7"/>
        <v>0</v>
      </c>
      <c r="AA892" s="168">
        <f t="shared" si="8"/>
        <v>0</v>
      </c>
      <c r="AB892" s="168">
        <f t="shared" si="9"/>
        <v>0</v>
      </c>
    </row>
    <row r="893" ht="14.25" customHeight="1">
      <c r="A893" s="157" t="s">
        <v>7680</v>
      </c>
      <c r="B893" s="169" t="s">
        <v>37</v>
      </c>
      <c r="C893" s="169" t="s">
        <v>1281</v>
      </c>
      <c r="D893" s="336">
        <v>43865.0</v>
      </c>
      <c r="E893" s="157" t="s">
        <v>600</v>
      </c>
      <c r="F893" s="160">
        <v>71299.75</v>
      </c>
      <c r="G893" s="160">
        <v>11407.96</v>
      </c>
      <c r="H893" s="160">
        <f t="shared" si="29"/>
        <v>82707.71</v>
      </c>
      <c r="I893" s="172"/>
      <c r="J893" s="169"/>
      <c r="K893" s="172"/>
      <c r="L893" s="172">
        <f>+'FACUS$'!$H893-'FACUS$'!$I893-'FACUS$'!$K893</f>
        <v>82707.71</v>
      </c>
      <c r="M893" s="162" t="s">
        <v>116</v>
      </c>
      <c r="N893" s="337" t="s">
        <v>554</v>
      </c>
      <c r="O893" s="338">
        <v>43886.0</v>
      </c>
      <c r="P893" s="164">
        <f t="array" ref="P893">XLOOKUP('FACUS$'!$B893,'perfil de pagos'!$A$4:$A$46,'perfil de pagos'!$C$4:$C$46+'FACUS$'!$D893)</f>
        <v>43875</v>
      </c>
      <c r="Q893" s="165">
        <f t="shared" si="2"/>
        <v>0</v>
      </c>
      <c r="R893" s="167" t="s">
        <v>7681</v>
      </c>
      <c r="S893" s="167" t="s">
        <v>910</v>
      </c>
      <c r="T893" s="167">
        <v>18.9082</v>
      </c>
      <c r="U893" s="334" t="s">
        <v>7271</v>
      </c>
      <c r="V893" s="168">
        <f t="shared" si="3"/>
        <v>82707.71</v>
      </c>
      <c r="W893" s="168">
        <f t="shared" si="4"/>
        <v>0</v>
      </c>
      <c r="X893" s="168">
        <f t="shared" si="5"/>
        <v>0</v>
      </c>
      <c r="Y893" s="168">
        <f t="shared" si="6"/>
        <v>0</v>
      </c>
      <c r="Z893" s="168">
        <f t="shared" si="7"/>
        <v>0</v>
      </c>
      <c r="AA893" s="168">
        <f t="shared" si="8"/>
        <v>0</v>
      </c>
      <c r="AB893" s="168">
        <f t="shared" si="9"/>
        <v>0</v>
      </c>
    </row>
    <row r="894" ht="14.25" customHeight="1">
      <c r="A894" s="157" t="s">
        <v>7682</v>
      </c>
      <c r="B894" s="169" t="s">
        <v>18</v>
      </c>
      <c r="C894" s="169" t="s">
        <v>1281</v>
      </c>
      <c r="D894" s="336">
        <v>43865.0</v>
      </c>
      <c r="E894" s="157" t="s">
        <v>600</v>
      </c>
      <c r="F894" s="160">
        <v>12027.44</v>
      </c>
      <c r="G894" s="160">
        <v>1924.39</v>
      </c>
      <c r="H894" s="160">
        <f t="shared" si="29"/>
        <v>13951.83</v>
      </c>
      <c r="I894" s="172"/>
      <c r="J894" s="169"/>
      <c r="K894" s="172"/>
      <c r="L894" s="172">
        <f>+'FACUS$'!$H894-'FACUS$'!$I894-'FACUS$'!$K894</f>
        <v>13951.83</v>
      </c>
      <c r="M894" s="162" t="s">
        <v>586</v>
      </c>
      <c r="N894" s="337" t="s">
        <v>554</v>
      </c>
      <c r="O894" s="338">
        <v>43910.0</v>
      </c>
      <c r="P894" s="164">
        <f t="array" ref="P894">XLOOKUP('FACUS$'!$B894,'perfil de pagos'!$A$4:$A$46,'perfil de pagos'!$C$4:$C$46+'FACUS$'!$D894)</f>
        <v>43875</v>
      </c>
      <c r="Q894" s="165">
        <f t="shared" si="2"/>
        <v>0</v>
      </c>
      <c r="R894" s="167"/>
      <c r="S894" s="167" t="s">
        <v>910</v>
      </c>
      <c r="T894" s="167">
        <v>18.9082</v>
      </c>
      <c r="U894" s="334" t="s">
        <v>7271</v>
      </c>
      <c r="V894" s="168">
        <f t="shared" si="3"/>
        <v>13951.83</v>
      </c>
      <c r="W894" s="168">
        <f t="shared" si="4"/>
        <v>0</v>
      </c>
      <c r="X894" s="168">
        <f t="shared" si="5"/>
        <v>0</v>
      </c>
      <c r="Y894" s="168">
        <f t="shared" si="6"/>
        <v>0</v>
      </c>
      <c r="Z894" s="168">
        <f t="shared" si="7"/>
        <v>0</v>
      </c>
      <c r="AA894" s="168">
        <f t="shared" si="8"/>
        <v>0</v>
      </c>
      <c r="AB894" s="168">
        <f t="shared" si="9"/>
        <v>0</v>
      </c>
    </row>
    <row r="895" ht="14.25" customHeight="1">
      <c r="A895" s="157" t="s">
        <v>7683</v>
      </c>
      <c r="B895" s="169" t="s">
        <v>30</v>
      </c>
      <c r="C895" s="169" t="s">
        <v>7684</v>
      </c>
      <c r="D895" s="336">
        <v>43865.0</v>
      </c>
      <c r="E895" s="157" t="s">
        <v>600</v>
      </c>
      <c r="F895" s="160">
        <v>3000.0</v>
      </c>
      <c r="G895" s="160">
        <v>480.0</v>
      </c>
      <c r="H895" s="160">
        <f t="shared" si="29"/>
        <v>3480</v>
      </c>
      <c r="I895" s="172"/>
      <c r="J895" s="169"/>
      <c r="K895" s="172"/>
      <c r="L895" s="172">
        <f>+'FACUS$'!$H895-'FACUS$'!$I895-'FACUS$'!$K895</f>
        <v>3480</v>
      </c>
      <c r="M895" s="162" t="s">
        <v>7415</v>
      </c>
      <c r="N895" s="337" t="s">
        <v>554</v>
      </c>
      <c r="O895" s="338">
        <v>43955.0</v>
      </c>
      <c r="P895" s="164">
        <f t="array" ref="P895">XLOOKUP('FACUS$'!$B895,'perfil de pagos'!$A$4:$A$46,'perfil de pagos'!$C$4:$C$46+'FACUS$'!$D895)</f>
        <v>43875</v>
      </c>
      <c r="Q895" s="165">
        <f t="shared" si="2"/>
        <v>0</v>
      </c>
      <c r="R895" s="167" t="s">
        <v>7685</v>
      </c>
      <c r="S895" s="167" t="s">
        <v>910</v>
      </c>
      <c r="T895" s="167">
        <v>18.9082</v>
      </c>
      <c r="U895" s="334" t="s">
        <v>7271</v>
      </c>
      <c r="V895" s="168">
        <f t="shared" si="3"/>
        <v>3480</v>
      </c>
      <c r="W895" s="168">
        <f t="shared" si="4"/>
        <v>0</v>
      </c>
      <c r="X895" s="168">
        <f t="shared" si="5"/>
        <v>0</v>
      </c>
      <c r="Y895" s="168">
        <f t="shared" si="6"/>
        <v>0</v>
      </c>
      <c r="Z895" s="168">
        <f t="shared" si="7"/>
        <v>0</v>
      </c>
      <c r="AA895" s="168">
        <f t="shared" si="8"/>
        <v>0</v>
      </c>
      <c r="AB895" s="168">
        <f t="shared" si="9"/>
        <v>0</v>
      </c>
    </row>
    <row r="896" ht="14.25" customHeight="1">
      <c r="A896" s="157" t="s">
        <v>7686</v>
      </c>
      <c r="B896" s="169" t="s">
        <v>30</v>
      </c>
      <c r="C896" s="169" t="s">
        <v>7687</v>
      </c>
      <c r="D896" s="336">
        <v>43865.0</v>
      </c>
      <c r="E896" s="157" t="s">
        <v>600</v>
      </c>
      <c r="F896" s="160">
        <v>3000.0</v>
      </c>
      <c r="G896" s="160">
        <v>480.0</v>
      </c>
      <c r="H896" s="160">
        <f t="shared" si="29"/>
        <v>3480</v>
      </c>
      <c r="I896" s="172"/>
      <c r="J896" s="169"/>
      <c r="K896" s="172"/>
      <c r="L896" s="172">
        <f>+'FACUS$'!$H896-'FACUS$'!$I896-'FACUS$'!$K896</f>
        <v>3480</v>
      </c>
      <c r="M896" s="162" t="s">
        <v>7415</v>
      </c>
      <c r="N896" s="337" t="s">
        <v>554</v>
      </c>
      <c r="O896" s="338">
        <v>43955.0</v>
      </c>
      <c r="P896" s="164">
        <f t="array" ref="P896">XLOOKUP('FACUS$'!$B896,'perfil de pagos'!$A$4:$A$46,'perfil de pagos'!$C$4:$C$46+'FACUS$'!$D896)</f>
        <v>43875</v>
      </c>
      <c r="Q896" s="165">
        <f t="shared" si="2"/>
        <v>0</v>
      </c>
      <c r="R896" s="167" t="s">
        <v>7685</v>
      </c>
      <c r="S896" s="167" t="s">
        <v>910</v>
      </c>
      <c r="T896" s="167">
        <v>18.9082</v>
      </c>
      <c r="U896" s="334" t="s">
        <v>7271</v>
      </c>
      <c r="V896" s="168">
        <f t="shared" si="3"/>
        <v>3480</v>
      </c>
      <c r="W896" s="168">
        <f t="shared" si="4"/>
        <v>0</v>
      </c>
      <c r="X896" s="168">
        <f t="shared" si="5"/>
        <v>0</v>
      </c>
      <c r="Y896" s="168">
        <f t="shared" si="6"/>
        <v>0</v>
      </c>
      <c r="Z896" s="168">
        <f t="shared" si="7"/>
        <v>0</v>
      </c>
      <c r="AA896" s="168">
        <f t="shared" si="8"/>
        <v>0</v>
      </c>
      <c r="AB896" s="168">
        <f t="shared" si="9"/>
        <v>0</v>
      </c>
    </row>
    <row r="897" ht="14.25" customHeight="1">
      <c r="A897" s="157" t="s">
        <v>7688</v>
      </c>
      <c r="B897" s="169" t="s">
        <v>30</v>
      </c>
      <c r="C897" s="169" t="s">
        <v>7689</v>
      </c>
      <c r="D897" s="336">
        <v>43865.0</v>
      </c>
      <c r="E897" s="157" t="s">
        <v>600</v>
      </c>
      <c r="F897" s="160">
        <v>3000.0</v>
      </c>
      <c r="G897" s="160">
        <v>480.0</v>
      </c>
      <c r="H897" s="160">
        <f t="shared" si="29"/>
        <v>3480</v>
      </c>
      <c r="I897" s="172"/>
      <c r="J897" s="169"/>
      <c r="K897" s="172"/>
      <c r="L897" s="172">
        <f>+'FACUS$'!$H897-'FACUS$'!$I897-'FACUS$'!$K897</f>
        <v>3480</v>
      </c>
      <c r="M897" s="162" t="s">
        <v>7415</v>
      </c>
      <c r="N897" s="337" t="s">
        <v>554</v>
      </c>
      <c r="O897" s="338">
        <v>43955.0</v>
      </c>
      <c r="P897" s="164">
        <f t="array" ref="P897">XLOOKUP('FACUS$'!$B897,'perfil de pagos'!$A$4:$A$46,'perfil de pagos'!$C$4:$C$46+'FACUS$'!$D897)</f>
        <v>43875</v>
      </c>
      <c r="Q897" s="165">
        <f t="shared" si="2"/>
        <v>0</v>
      </c>
      <c r="R897" s="167" t="s">
        <v>7685</v>
      </c>
      <c r="S897" s="167" t="s">
        <v>910</v>
      </c>
      <c r="T897" s="167">
        <v>18.9082</v>
      </c>
      <c r="U897" s="334" t="s">
        <v>7271</v>
      </c>
      <c r="V897" s="168">
        <f t="shared" si="3"/>
        <v>3480</v>
      </c>
      <c r="W897" s="168">
        <f t="shared" si="4"/>
        <v>0</v>
      </c>
      <c r="X897" s="168">
        <f t="shared" si="5"/>
        <v>0</v>
      </c>
      <c r="Y897" s="168">
        <f t="shared" si="6"/>
        <v>0</v>
      </c>
      <c r="Z897" s="168">
        <f t="shared" si="7"/>
        <v>0</v>
      </c>
      <c r="AA897" s="168">
        <f t="shared" si="8"/>
        <v>0</v>
      </c>
      <c r="AB897" s="168">
        <f t="shared" si="9"/>
        <v>0</v>
      </c>
    </row>
    <row r="898" ht="14.25" customHeight="1">
      <c r="A898" s="157" t="s">
        <v>7690</v>
      </c>
      <c r="B898" s="169" t="s">
        <v>30</v>
      </c>
      <c r="C898" s="169" t="s">
        <v>7691</v>
      </c>
      <c r="D898" s="336">
        <v>43865.0</v>
      </c>
      <c r="E898" s="157" t="s">
        <v>600</v>
      </c>
      <c r="F898" s="160">
        <v>3000.0</v>
      </c>
      <c r="G898" s="160">
        <v>480.0</v>
      </c>
      <c r="H898" s="160">
        <f t="shared" si="29"/>
        <v>3480</v>
      </c>
      <c r="I898" s="172"/>
      <c r="J898" s="169"/>
      <c r="K898" s="172"/>
      <c r="L898" s="172">
        <f>+'FACUS$'!$H898-'FACUS$'!$I898-'FACUS$'!$K898</f>
        <v>3480</v>
      </c>
      <c r="M898" s="162" t="s">
        <v>7415</v>
      </c>
      <c r="N898" s="337" t="s">
        <v>554</v>
      </c>
      <c r="O898" s="338">
        <v>43955.0</v>
      </c>
      <c r="P898" s="164">
        <f t="array" ref="P898">XLOOKUP('FACUS$'!$B898,'perfil de pagos'!$A$4:$A$46,'perfil de pagos'!$C$4:$C$46+'FACUS$'!$D898)</f>
        <v>43875</v>
      </c>
      <c r="Q898" s="165">
        <f t="shared" si="2"/>
        <v>0</v>
      </c>
      <c r="R898" s="167" t="s">
        <v>7685</v>
      </c>
      <c r="S898" s="167" t="s">
        <v>910</v>
      </c>
      <c r="T898" s="167">
        <v>18.9082</v>
      </c>
      <c r="U898" s="334" t="s">
        <v>7271</v>
      </c>
      <c r="V898" s="168">
        <f t="shared" si="3"/>
        <v>3480</v>
      </c>
      <c r="W898" s="168">
        <f t="shared" si="4"/>
        <v>0</v>
      </c>
      <c r="X898" s="168">
        <f t="shared" si="5"/>
        <v>0</v>
      </c>
      <c r="Y898" s="168">
        <f t="shared" si="6"/>
        <v>0</v>
      </c>
      <c r="Z898" s="168">
        <f t="shared" si="7"/>
        <v>0</v>
      </c>
      <c r="AA898" s="168">
        <f t="shared" si="8"/>
        <v>0</v>
      </c>
      <c r="AB898" s="168">
        <f t="shared" si="9"/>
        <v>0</v>
      </c>
    </row>
    <row r="899" ht="14.25" customHeight="1">
      <c r="A899" s="157" t="s">
        <v>7692</v>
      </c>
      <c r="B899" s="169" t="s">
        <v>30</v>
      </c>
      <c r="C899" s="169" t="s">
        <v>7693</v>
      </c>
      <c r="D899" s="336">
        <v>43865.0</v>
      </c>
      <c r="E899" s="157" t="s">
        <v>600</v>
      </c>
      <c r="F899" s="160">
        <v>3000.0</v>
      </c>
      <c r="G899" s="160">
        <v>480.0</v>
      </c>
      <c r="H899" s="160">
        <f t="shared" si="29"/>
        <v>3480</v>
      </c>
      <c r="I899" s="172"/>
      <c r="J899" s="169"/>
      <c r="K899" s="172"/>
      <c r="L899" s="172">
        <f>+'FACUS$'!$H899-'FACUS$'!$I899-'FACUS$'!$K899</f>
        <v>3480</v>
      </c>
      <c r="M899" s="162" t="s">
        <v>7415</v>
      </c>
      <c r="N899" s="337" t="s">
        <v>554</v>
      </c>
      <c r="O899" s="338">
        <v>44085.0</v>
      </c>
      <c r="P899" s="164">
        <f t="array" ref="P899">XLOOKUP('FACUS$'!$B899,'perfil de pagos'!$A$4:$A$46,'perfil de pagos'!$C$4:$C$46+'FACUS$'!$D899)</f>
        <v>43875</v>
      </c>
      <c r="Q899" s="165">
        <f t="shared" si="2"/>
        <v>0</v>
      </c>
      <c r="R899" s="167"/>
      <c r="S899" s="167"/>
      <c r="T899" s="167">
        <v>18.9082</v>
      </c>
      <c r="U899" s="334" t="s">
        <v>7271</v>
      </c>
      <c r="V899" s="168">
        <f t="shared" si="3"/>
        <v>3480</v>
      </c>
      <c r="W899" s="168">
        <f t="shared" si="4"/>
        <v>0</v>
      </c>
      <c r="X899" s="168">
        <f t="shared" si="5"/>
        <v>0</v>
      </c>
      <c r="Y899" s="168">
        <f t="shared" si="6"/>
        <v>0</v>
      </c>
      <c r="Z899" s="168">
        <f t="shared" si="7"/>
        <v>0</v>
      </c>
      <c r="AA899" s="168">
        <f t="shared" si="8"/>
        <v>0</v>
      </c>
      <c r="AB899" s="168">
        <f t="shared" si="9"/>
        <v>0</v>
      </c>
    </row>
    <row r="900" ht="14.25" customHeight="1">
      <c r="A900" s="157" t="s">
        <v>7694</v>
      </c>
      <c r="B900" s="169" t="s">
        <v>30</v>
      </c>
      <c r="C900" s="169" t="s">
        <v>7695</v>
      </c>
      <c r="D900" s="336">
        <v>43865.0</v>
      </c>
      <c r="E900" s="157" t="s">
        <v>600</v>
      </c>
      <c r="F900" s="160">
        <v>3000.0</v>
      </c>
      <c r="G900" s="160">
        <v>480.0</v>
      </c>
      <c r="H900" s="160">
        <f t="shared" si="29"/>
        <v>3480</v>
      </c>
      <c r="I900" s="172"/>
      <c r="J900" s="169"/>
      <c r="K900" s="172"/>
      <c r="L900" s="172">
        <f>+'FACUS$'!$H900-'FACUS$'!$I900-'FACUS$'!$K900</f>
        <v>3480</v>
      </c>
      <c r="M900" s="162" t="s">
        <v>7415</v>
      </c>
      <c r="N900" s="337" t="s">
        <v>554</v>
      </c>
      <c r="O900" s="338">
        <v>44085.0</v>
      </c>
      <c r="P900" s="164">
        <f t="array" ref="P900">XLOOKUP('FACUS$'!$B900,'perfil de pagos'!$A$4:$A$46,'perfil de pagos'!$C$4:$C$46+'FACUS$'!$D900)</f>
        <v>43875</v>
      </c>
      <c r="Q900" s="165">
        <f t="shared" si="2"/>
        <v>0</v>
      </c>
      <c r="R900" s="167"/>
      <c r="S900" s="167"/>
      <c r="T900" s="167">
        <v>18.9082</v>
      </c>
      <c r="U900" s="334" t="s">
        <v>7271</v>
      </c>
      <c r="V900" s="168">
        <f t="shared" si="3"/>
        <v>3480</v>
      </c>
      <c r="W900" s="168">
        <f t="shared" si="4"/>
        <v>0</v>
      </c>
      <c r="X900" s="168">
        <f t="shared" si="5"/>
        <v>0</v>
      </c>
      <c r="Y900" s="168">
        <f t="shared" si="6"/>
        <v>0</v>
      </c>
      <c r="Z900" s="168">
        <f t="shared" si="7"/>
        <v>0</v>
      </c>
      <c r="AA900" s="168">
        <f t="shared" si="8"/>
        <v>0</v>
      </c>
      <c r="AB900" s="168">
        <f t="shared" si="9"/>
        <v>0</v>
      </c>
    </row>
    <row r="901" ht="14.25" customHeight="1">
      <c r="A901" s="157" t="s">
        <v>7696</v>
      </c>
      <c r="B901" s="169" t="s">
        <v>30</v>
      </c>
      <c r="C901" s="169" t="s">
        <v>7697</v>
      </c>
      <c r="D901" s="336">
        <v>43865.0</v>
      </c>
      <c r="E901" s="157" t="s">
        <v>600</v>
      </c>
      <c r="F901" s="160">
        <v>3000.0</v>
      </c>
      <c r="G901" s="160">
        <v>480.0</v>
      </c>
      <c r="H901" s="160">
        <f t="shared" si="29"/>
        <v>3480</v>
      </c>
      <c r="I901" s="172"/>
      <c r="J901" s="169"/>
      <c r="K901" s="172"/>
      <c r="L901" s="172">
        <f>+'FACUS$'!$H901-'FACUS$'!$I901-'FACUS$'!$K901</f>
        <v>3480</v>
      </c>
      <c r="M901" s="162" t="s">
        <v>7415</v>
      </c>
      <c r="N901" s="337" t="s">
        <v>554</v>
      </c>
      <c r="O901" s="338">
        <v>44085.0</v>
      </c>
      <c r="P901" s="164">
        <f t="array" ref="P901">XLOOKUP('FACUS$'!$B901,'perfil de pagos'!$A$4:$A$46,'perfil de pagos'!$C$4:$C$46+'FACUS$'!$D901)</f>
        <v>43875</v>
      </c>
      <c r="Q901" s="165">
        <f t="shared" si="2"/>
        <v>0</v>
      </c>
      <c r="R901" s="167"/>
      <c r="S901" s="167"/>
      <c r="T901" s="167">
        <v>18.9082</v>
      </c>
      <c r="U901" s="334" t="s">
        <v>7271</v>
      </c>
      <c r="V901" s="168">
        <f t="shared" si="3"/>
        <v>3480</v>
      </c>
      <c r="W901" s="168">
        <f t="shared" si="4"/>
        <v>0</v>
      </c>
      <c r="X901" s="168">
        <f t="shared" si="5"/>
        <v>0</v>
      </c>
      <c r="Y901" s="168">
        <f t="shared" si="6"/>
        <v>0</v>
      </c>
      <c r="Z901" s="168">
        <f t="shared" si="7"/>
        <v>0</v>
      </c>
      <c r="AA901" s="168">
        <f t="shared" si="8"/>
        <v>0</v>
      </c>
      <c r="AB901" s="168">
        <f t="shared" si="9"/>
        <v>0</v>
      </c>
    </row>
    <row r="902" ht="14.25" customHeight="1">
      <c r="A902" s="157" t="s">
        <v>7698</v>
      </c>
      <c r="B902" s="169" t="s">
        <v>29</v>
      </c>
      <c r="C902" s="169" t="s">
        <v>7699</v>
      </c>
      <c r="D902" s="336">
        <v>43865.0</v>
      </c>
      <c r="E902" s="157" t="s">
        <v>600</v>
      </c>
      <c r="F902" s="160">
        <v>15000.0</v>
      </c>
      <c r="G902" s="160">
        <v>2400.0</v>
      </c>
      <c r="H902" s="160">
        <f t="shared" si="29"/>
        <v>17400</v>
      </c>
      <c r="I902" s="172"/>
      <c r="J902" s="169"/>
      <c r="K902" s="172"/>
      <c r="L902" s="172">
        <f>+'FACUS$'!$H902-'FACUS$'!$I902-'FACUS$'!$K902</f>
        <v>17400</v>
      </c>
      <c r="M902" s="162" t="s">
        <v>7509</v>
      </c>
      <c r="N902" s="337" t="s">
        <v>554</v>
      </c>
      <c r="O902" s="338">
        <v>43875.0</v>
      </c>
      <c r="P902" s="164">
        <f t="array" ref="P902">XLOOKUP('FACUS$'!$B902,'perfil de pagos'!$A$4:$A$46,'perfil de pagos'!$C$4:$C$46+'FACUS$'!$D902)</f>
        <v>43875</v>
      </c>
      <c r="Q902" s="165">
        <f t="shared" si="2"/>
        <v>0</v>
      </c>
      <c r="R902" s="167"/>
      <c r="S902" s="167"/>
      <c r="T902" s="167">
        <v>18.9082</v>
      </c>
      <c r="U902" s="334" t="s">
        <v>7271</v>
      </c>
      <c r="V902" s="168">
        <f t="shared" si="3"/>
        <v>17400</v>
      </c>
      <c r="W902" s="168">
        <f t="shared" si="4"/>
        <v>0</v>
      </c>
      <c r="X902" s="168">
        <f t="shared" si="5"/>
        <v>0</v>
      </c>
      <c r="Y902" s="168">
        <f t="shared" si="6"/>
        <v>0</v>
      </c>
      <c r="Z902" s="168">
        <f t="shared" si="7"/>
        <v>0</v>
      </c>
      <c r="AA902" s="168">
        <f t="shared" si="8"/>
        <v>0</v>
      </c>
      <c r="AB902" s="168">
        <f t="shared" si="9"/>
        <v>0</v>
      </c>
    </row>
    <row r="903" ht="14.25" customHeight="1">
      <c r="A903" s="157" t="s">
        <v>7700</v>
      </c>
      <c r="B903" s="169" t="s">
        <v>29</v>
      </c>
      <c r="C903" s="169" t="s">
        <v>7701</v>
      </c>
      <c r="D903" s="336">
        <v>43865.0</v>
      </c>
      <c r="E903" s="157" t="s">
        <v>600</v>
      </c>
      <c r="F903" s="160">
        <v>15000.0</v>
      </c>
      <c r="G903" s="160">
        <v>2400.0</v>
      </c>
      <c r="H903" s="160">
        <f t="shared" si="29"/>
        <v>17400</v>
      </c>
      <c r="I903" s="172"/>
      <c r="J903" s="169"/>
      <c r="K903" s="172"/>
      <c r="L903" s="172">
        <f>+'FACUS$'!$H903-'FACUS$'!$I903-'FACUS$'!$K903</f>
        <v>17400</v>
      </c>
      <c r="M903" s="162" t="s">
        <v>7509</v>
      </c>
      <c r="N903" s="337" t="s">
        <v>554</v>
      </c>
      <c r="O903" s="338">
        <v>43875.0</v>
      </c>
      <c r="P903" s="164">
        <f t="array" ref="P903">XLOOKUP('FACUS$'!$B903,'perfil de pagos'!$A$4:$A$46,'perfil de pagos'!$C$4:$C$46+'FACUS$'!$D903)</f>
        <v>43875</v>
      </c>
      <c r="Q903" s="165">
        <f t="shared" si="2"/>
        <v>0</v>
      </c>
      <c r="R903" s="167"/>
      <c r="S903" s="167"/>
      <c r="T903" s="167">
        <v>18.9082</v>
      </c>
      <c r="U903" s="334" t="s">
        <v>7271</v>
      </c>
      <c r="V903" s="168">
        <f t="shared" si="3"/>
        <v>17400</v>
      </c>
      <c r="W903" s="168">
        <f t="shared" si="4"/>
        <v>0</v>
      </c>
      <c r="X903" s="168">
        <f t="shared" si="5"/>
        <v>0</v>
      </c>
      <c r="Y903" s="168">
        <f t="shared" si="6"/>
        <v>0</v>
      </c>
      <c r="Z903" s="168">
        <f t="shared" si="7"/>
        <v>0</v>
      </c>
      <c r="AA903" s="168">
        <f t="shared" si="8"/>
        <v>0</v>
      </c>
      <c r="AB903" s="168">
        <f t="shared" si="9"/>
        <v>0</v>
      </c>
    </row>
    <row r="904" ht="14.25" customHeight="1">
      <c r="A904" s="157" t="s">
        <v>7702</v>
      </c>
      <c r="B904" s="169" t="s">
        <v>29</v>
      </c>
      <c r="C904" s="169" t="s">
        <v>7703</v>
      </c>
      <c r="D904" s="336">
        <v>43865.0</v>
      </c>
      <c r="E904" s="157" t="s">
        <v>600</v>
      </c>
      <c r="F904" s="160">
        <v>15000.0</v>
      </c>
      <c r="G904" s="160">
        <v>2400.0</v>
      </c>
      <c r="H904" s="160">
        <f t="shared" si="29"/>
        <v>17400</v>
      </c>
      <c r="I904" s="172"/>
      <c r="J904" s="169"/>
      <c r="K904" s="172"/>
      <c r="L904" s="172">
        <f>+'FACUS$'!$H904-'FACUS$'!$I904-'FACUS$'!$K904</f>
        <v>17400</v>
      </c>
      <c r="M904" s="162" t="s">
        <v>7509</v>
      </c>
      <c r="N904" s="337" t="s">
        <v>554</v>
      </c>
      <c r="O904" s="338">
        <v>43875.0</v>
      </c>
      <c r="P904" s="164">
        <f t="array" ref="P904">XLOOKUP('FACUS$'!$B904,'perfil de pagos'!$A$4:$A$46,'perfil de pagos'!$C$4:$C$46+'FACUS$'!$D904)</f>
        <v>43875</v>
      </c>
      <c r="Q904" s="165">
        <f t="shared" si="2"/>
        <v>0</v>
      </c>
      <c r="R904" s="167"/>
      <c r="S904" s="167"/>
      <c r="T904" s="167">
        <v>18.9082</v>
      </c>
      <c r="U904" s="334" t="s">
        <v>7271</v>
      </c>
      <c r="V904" s="168">
        <f t="shared" si="3"/>
        <v>17400</v>
      </c>
      <c r="W904" s="168">
        <f t="shared" si="4"/>
        <v>0</v>
      </c>
      <c r="X904" s="168">
        <f t="shared" si="5"/>
        <v>0</v>
      </c>
      <c r="Y904" s="168">
        <f t="shared" si="6"/>
        <v>0</v>
      </c>
      <c r="Z904" s="168">
        <f t="shared" si="7"/>
        <v>0</v>
      </c>
      <c r="AA904" s="168">
        <f t="shared" si="8"/>
        <v>0</v>
      </c>
      <c r="AB904" s="168">
        <f t="shared" si="9"/>
        <v>0</v>
      </c>
    </row>
    <row r="905" ht="14.25" customHeight="1">
      <c r="A905" s="157" t="s">
        <v>7704</v>
      </c>
      <c r="B905" s="169" t="s">
        <v>29</v>
      </c>
      <c r="C905" s="169" t="s">
        <v>7705</v>
      </c>
      <c r="D905" s="336">
        <v>43865.0</v>
      </c>
      <c r="E905" s="157" t="s">
        <v>600</v>
      </c>
      <c r="F905" s="160">
        <v>2500.0</v>
      </c>
      <c r="G905" s="160">
        <v>400.0</v>
      </c>
      <c r="H905" s="160">
        <f t="shared" si="29"/>
        <v>2900</v>
      </c>
      <c r="I905" s="172"/>
      <c r="J905" s="169"/>
      <c r="K905" s="172"/>
      <c r="L905" s="172">
        <f>+'FACUS$'!$H905-'FACUS$'!$I905-'FACUS$'!$K905</f>
        <v>2900</v>
      </c>
      <c r="M905" s="162" t="s">
        <v>7509</v>
      </c>
      <c r="N905" s="337" t="s">
        <v>554</v>
      </c>
      <c r="O905" s="338">
        <v>43875.0</v>
      </c>
      <c r="P905" s="164">
        <f t="array" ref="P905">XLOOKUP('FACUS$'!$B905,'perfil de pagos'!$A$4:$A$46,'perfil de pagos'!$C$4:$C$46+'FACUS$'!$D905)</f>
        <v>43875</v>
      </c>
      <c r="Q905" s="165">
        <f t="shared" si="2"/>
        <v>0</v>
      </c>
      <c r="R905" s="167"/>
      <c r="S905" s="167"/>
      <c r="T905" s="167">
        <v>18.9082</v>
      </c>
      <c r="U905" s="334" t="s">
        <v>7271</v>
      </c>
      <c r="V905" s="168">
        <f t="shared" si="3"/>
        <v>2900</v>
      </c>
      <c r="W905" s="168">
        <f t="shared" si="4"/>
        <v>0</v>
      </c>
      <c r="X905" s="168">
        <f t="shared" si="5"/>
        <v>0</v>
      </c>
      <c r="Y905" s="168">
        <f t="shared" si="6"/>
        <v>0</v>
      </c>
      <c r="Z905" s="168">
        <f t="shared" si="7"/>
        <v>0</v>
      </c>
      <c r="AA905" s="168">
        <f t="shared" si="8"/>
        <v>0</v>
      </c>
      <c r="AB905" s="168">
        <f t="shared" si="9"/>
        <v>0</v>
      </c>
    </row>
    <row r="906" ht="14.25" customHeight="1">
      <c r="A906" s="157" t="s">
        <v>7706</v>
      </c>
      <c r="B906" s="169" t="s">
        <v>29</v>
      </c>
      <c r="C906" s="169" t="s">
        <v>7707</v>
      </c>
      <c r="D906" s="336">
        <v>43865.0</v>
      </c>
      <c r="E906" s="157" t="s">
        <v>600</v>
      </c>
      <c r="F906" s="160">
        <v>2500.0</v>
      </c>
      <c r="G906" s="160">
        <v>400.0</v>
      </c>
      <c r="H906" s="160">
        <f t="shared" si="29"/>
        <v>2900</v>
      </c>
      <c r="I906" s="172"/>
      <c r="J906" s="169"/>
      <c r="K906" s="172"/>
      <c r="L906" s="172">
        <f>+'FACUS$'!$H906-'FACUS$'!$I906-'FACUS$'!$K906</f>
        <v>2900</v>
      </c>
      <c r="M906" s="162" t="s">
        <v>7509</v>
      </c>
      <c r="N906" s="337" t="s">
        <v>554</v>
      </c>
      <c r="O906" s="338">
        <v>43875.0</v>
      </c>
      <c r="P906" s="164">
        <f t="array" ref="P906">XLOOKUP('FACUS$'!$B906,'perfil de pagos'!$A$4:$A$46,'perfil de pagos'!$C$4:$C$46+'FACUS$'!$D906)</f>
        <v>43875</v>
      </c>
      <c r="Q906" s="165">
        <f t="shared" si="2"/>
        <v>0</v>
      </c>
      <c r="R906" s="167"/>
      <c r="S906" s="167"/>
      <c r="T906" s="167">
        <v>18.9082</v>
      </c>
      <c r="U906" s="334" t="s">
        <v>7271</v>
      </c>
      <c r="V906" s="168">
        <f t="shared" si="3"/>
        <v>2900</v>
      </c>
      <c r="W906" s="168">
        <f t="shared" si="4"/>
        <v>0</v>
      </c>
      <c r="X906" s="168">
        <f t="shared" si="5"/>
        <v>0</v>
      </c>
      <c r="Y906" s="168">
        <f t="shared" si="6"/>
        <v>0</v>
      </c>
      <c r="Z906" s="168">
        <f t="shared" si="7"/>
        <v>0</v>
      </c>
      <c r="AA906" s="168">
        <f t="shared" si="8"/>
        <v>0</v>
      </c>
      <c r="AB906" s="168">
        <f t="shared" si="9"/>
        <v>0</v>
      </c>
    </row>
    <row r="907" ht="14.25" customHeight="1">
      <c r="A907" s="157" t="s">
        <v>7708</v>
      </c>
      <c r="B907" s="169" t="s">
        <v>29</v>
      </c>
      <c r="C907" s="169" t="s">
        <v>7709</v>
      </c>
      <c r="D907" s="336">
        <v>43865.0</v>
      </c>
      <c r="E907" s="157" t="s">
        <v>600</v>
      </c>
      <c r="F907" s="160">
        <v>2500.0</v>
      </c>
      <c r="G907" s="160">
        <v>400.0</v>
      </c>
      <c r="H907" s="160">
        <f t="shared" si="29"/>
        <v>2900</v>
      </c>
      <c r="I907" s="172"/>
      <c r="J907" s="169"/>
      <c r="K907" s="172"/>
      <c r="L907" s="172">
        <f>+'FACUS$'!$H907-'FACUS$'!$I907-'FACUS$'!$K907</f>
        <v>2900</v>
      </c>
      <c r="M907" s="162" t="s">
        <v>7509</v>
      </c>
      <c r="N907" s="337" t="s">
        <v>554</v>
      </c>
      <c r="O907" s="338">
        <v>43875.0</v>
      </c>
      <c r="P907" s="164">
        <f t="array" ref="P907">XLOOKUP('FACUS$'!$B907,'perfil de pagos'!$A$4:$A$46,'perfil de pagos'!$C$4:$C$46+'FACUS$'!$D907)</f>
        <v>43875</v>
      </c>
      <c r="Q907" s="165">
        <f t="shared" si="2"/>
        <v>0</v>
      </c>
      <c r="R907" s="167"/>
      <c r="S907" s="167"/>
      <c r="T907" s="167">
        <v>18.9082</v>
      </c>
      <c r="U907" s="334" t="s">
        <v>7271</v>
      </c>
      <c r="V907" s="168">
        <f t="shared" si="3"/>
        <v>2900</v>
      </c>
      <c r="W907" s="168">
        <f t="shared" si="4"/>
        <v>0</v>
      </c>
      <c r="X907" s="168">
        <f t="shared" si="5"/>
        <v>0</v>
      </c>
      <c r="Y907" s="168">
        <f t="shared" si="6"/>
        <v>0</v>
      </c>
      <c r="Z907" s="168">
        <f t="shared" si="7"/>
        <v>0</v>
      </c>
      <c r="AA907" s="168">
        <f t="shared" si="8"/>
        <v>0</v>
      </c>
      <c r="AB907" s="168">
        <f t="shared" si="9"/>
        <v>0</v>
      </c>
    </row>
    <row r="908" ht="14.25" customHeight="1">
      <c r="A908" s="157" t="s">
        <v>7710</v>
      </c>
      <c r="B908" s="169" t="s">
        <v>41</v>
      </c>
      <c r="C908" s="169" t="s">
        <v>1281</v>
      </c>
      <c r="D908" s="336">
        <v>43865.0</v>
      </c>
      <c r="E908" s="157" t="s">
        <v>600</v>
      </c>
      <c r="F908" s="160">
        <v>43821.34</v>
      </c>
      <c r="G908" s="160">
        <v>7011.41</v>
      </c>
      <c r="H908" s="160">
        <f t="shared" si="29"/>
        <v>50832.75</v>
      </c>
      <c r="I908" s="172"/>
      <c r="J908" s="169"/>
      <c r="K908" s="172"/>
      <c r="L908" s="172">
        <f>+'FACUS$'!$H908-'FACUS$'!$I908-'FACUS$'!$K908</f>
        <v>50832.75</v>
      </c>
      <c r="M908" s="162" t="s">
        <v>875</v>
      </c>
      <c r="N908" s="337" t="s">
        <v>554</v>
      </c>
      <c r="O908" s="338">
        <v>43879.0</v>
      </c>
      <c r="P908" s="164">
        <f t="array" ref="P908">XLOOKUP('FACUS$'!$B908,'perfil de pagos'!$A$4:$A$46,'perfil de pagos'!$C$4:$C$46+'FACUS$'!$D908)</f>
        <v>43875</v>
      </c>
      <c r="Q908" s="165">
        <f t="shared" si="2"/>
        <v>0</v>
      </c>
      <c r="R908" s="167"/>
      <c r="S908" s="167"/>
      <c r="T908" s="167">
        <v>18.9082</v>
      </c>
      <c r="U908" s="334" t="s">
        <v>7271</v>
      </c>
      <c r="V908" s="168">
        <f t="shared" si="3"/>
        <v>50832.75</v>
      </c>
      <c r="W908" s="168">
        <f t="shared" si="4"/>
        <v>0</v>
      </c>
      <c r="X908" s="168">
        <f t="shared" si="5"/>
        <v>0</v>
      </c>
      <c r="Y908" s="168">
        <f t="shared" si="6"/>
        <v>0</v>
      </c>
      <c r="Z908" s="168">
        <f t="shared" si="7"/>
        <v>0</v>
      </c>
      <c r="AA908" s="168">
        <f t="shared" si="8"/>
        <v>0</v>
      </c>
      <c r="AB908" s="168">
        <f t="shared" si="9"/>
        <v>0</v>
      </c>
    </row>
    <row r="909" ht="14.25" customHeight="1">
      <c r="A909" s="157" t="s">
        <v>7711</v>
      </c>
      <c r="B909" s="169" t="s">
        <v>35</v>
      </c>
      <c r="C909" s="169" t="s">
        <v>1281</v>
      </c>
      <c r="D909" s="336">
        <v>43872.0</v>
      </c>
      <c r="E909" s="157" t="s">
        <v>600</v>
      </c>
      <c r="F909" s="160">
        <v>19632.66</v>
      </c>
      <c r="G909" s="160">
        <v>3141.23</v>
      </c>
      <c r="H909" s="160">
        <f t="shared" si="29"/>
        <v>22773.89</v>
      </c>
      <c r="I909" s="172"/>
      <c r="J909" s="169"/>
      <c r="K909" s="172"/>
      <c r="L909" s="172">
        <f>+'FACUS$'!$H909-'FACUS$'!$I909-'FACUS$'!$K909</f>
        <v>22773.89</v>
      </c>
      <c r="M909" s="162" t="s">
        <v>276</v>
      </c>
      <c r="N909" s="338" t="s">
        <v>554</v>
      </c>
      <c r="O909" s="338">
        <v>43882.0</v>
      </c>
      <c r="P909" s="164">
        <f t="array" ref="P909">XLOOKUP('FACUS$'!$B909,'perfil de pagos'!$A$4:$A$46,'perfil de pagos'!$C$4:$C$46+'FACUS$'!$D909)</f>
        <v>43882</v>
      </c>
      <c r="Q909" s="165">
        <f t="shared" si="2"/>
        <v>0</v>
      </c>
      <c r="R909" s="167"/>
      <c r="S909" s="220" t="s">
        <v>910</v>
      </c>
      <c r="T909" s="167">
        <v>18.7653</v>
      </c>
      <c r="U909" s="334" t="s">
        <v>7271</v>
      </c>
      <c r="V909" s="168">
        <f t="shared" si="3"/>
        <v>22773.89</v>
      </c>
      <c r="W909" s="168">
        <f t="shared" si="4"/>
        <v>0</v>
      </c>
      <c r="X909" s="168">
        <f t="shared" si="5"/>
        <v>0</v>
      </c>
      <c r="Y909" s="168">
        <f t="shared" si="6"/>
        <v>0</v>
      </c>
      <c r="Z909" s="168">
        <f t="shared" si="7"/>
        <v>0</v>
      </c>
      <c r="AA909" s="168">
        <f t="shared" si="8"/>
        <v>0</v>
      </c>
      <c r="AB909" s="168">
        <f t="shared" si="9"/>
        <v>0</v>
      </c>
    </row>
    <row r="910" ht="14.25" customHeight="1">
      <c r="A910" s="157" t="s">
        <v>7712</v>
      </c>
      <c r="B910" s="169" t="s">
        <v>33</v>
      </c>
      <c r="C910" s="169" t="s">
        <v>1314</v>
      </c>
      <c r="D910" s="336">
        <v>43879.0</v>
      </c>
      <c r="E910" s="157" t="s">
        <v>600</v>
      </c>
      <c r="F910" s="160">
        <v>40934.78</v>
      </c>
      <c r="G910" s="160">
        <v>6549.56</v>
      </c>
      <c r="H910" s="160">
        <f t="shared" si="29"/>
        <v>47484.34</v>
      </c>
      <c r="I910" s="172"/>
      <c r="J910" s="169"/>
      <c r="K910" s="172"/>
      <c r="L910" s="172">
        <f>+'FACUS$'!$H910-'FACUS$'!$I910-'FACUS$'!$K910</f>
        <v>47484.34</v>
      </c>
      <c r="M910" s="162" t="s">
        <v>958</v>
      </c>
      <c r="N910" s="337" t="s">
        <v>554</v>
      </c>
      <c r="O910" s="338">
        <v>43892.0</v>
      </c>
      <c r="P910" s="164">
        <f t="array" ref="P910">XLOOKUP('FACUS$'!$B910,'perfil de pagos'!$A$4:$A$46,'perfil de pagos'!$C$4:$C$46+'FACUS$'!$D910)</f>
        <v>43889</v>
      </c>
      <c r="Q910" s="165">
        <f t="shared" si="2"/>
        <v>0</v>
      </c>
      <c r="R910" s="167"/>
      <c r="S910" s="167" t="s">
        <v>910</v>
      </c>
      <c r="T910" s="167">
        <v>18.7653</v>
      </c>
      <c r="U910" s="334" t="s">
        <v>7271</v>
      </c>
      <c r="V910" s="168">
        <f t="shared" si="3"/>
        <v>47484.34</v>
      </c>
      <c r="W910" s="168">
        <f t="shared" si="4"/>
        <v>0</v>
      </c>
      <c r="X910" s="168">
        <f t="shared" si="5"/>
        <v>0</v>
      </c>
      <c r="Y910" s="168">
        <f t="shared" si="6"/>
        <v>0</v>
      </c>
      <c r="Z910" s="168">
        <f t="shared" si="7"/>
        <v>0</v>
      </c>
      <c r="AA910" s="168">
        <f t="shared" si="8"/>
        <v>0</v>
      </c>
      <c r="AB910" s="168">
        <f t="shared" si="9"/>
        <v>0</v>
      </c>
    </row>
    <row r="911" ht="14.25" customHeight="1">
      <c r="A911" s="157" t="s">
        <v>7713</v>
      </c>
      <c r="B911" s="169" t="s">
        <v>35</v>
      </c>
      <c r="C911" s="169" t="s">
        <v>1314</v>
      </c>
      <c r="D911" s="336">
        <v>43879.0</v>
      </c>
      <c r="E911" s="157" t="s">
        <v>600</v>
      </c>
      <c r="F911" s="160">
        <v>17046.64</v>
      </c>
      <c r="G911" s="160">
        <v>2727.46</v>
      </c>
      <c r="H911" s="160">
        <f t="shared" si="29"/>
        <v>19774.1</v>
      </c>
      <c r="I911" s="172"/>
      <c r="J911" s="169"/>
      <c r="K911" s="172"/>
      <c r="L911" s="172">
        <f>+'FACUS$'!$H911-'FACUS$'!$I911-'FACUS$'!$K911</f>
        <v>19774.1</v>
      </c>
      <c r="M911" s="162" t="s">
        <v>276</v>
      </c>
      <c r="N911" s="337" t="s">
        <v>554</v>
      </c>
      <c r="O911" s="338">
        <v>43896.0</v>
      </c>
      <c r="P911" s="164">
        <f t="array" ref="P911">XLOOKUP('FACUS$'!$B911,'perfil de pagos'!$A$4:$A$46,'perfil de pagos'!$C$4:$C$46+'FACUS$'!$D911)</f>
        <v>43889</v>
      </c>
      <c r="Q911" s="165">
        <f t="shared" si="2"/>
        <v>0</v>
      </c>
      <c r="R911" s="167"/>
      <c r="S911" s="167" t="s">
        <v>910</v>
      </c>
      <c r="T911" s="167">
        <v>18.7653</v>
      </c>
      <c r="U911" s="334" t="s">
        <v>7271</v>
      </c>
      <c r="V911" s="168">
        <f t="shared" si="3"/>
        <v>19774.1</v>
      </c>
      <c r="W911" s="168">
        <f t="shared" si="4"/>
        <v>0</v>
      </c>
      <c r="X911" s="168">
        <f t="shared" si="5"/>
        <v>0</v>
      </c>
      <c r="Y911" s="168">
        <f t="shared" si="6"/>
        <v>0</v>
      </c>
      <c r="Z911" s="168">
        <f t="shared" si="7"/>
        <v>0</v>
      </c>
      <c r="AA911" s="168">
        <f t="shared" si="8"/>
        <v>0</v>
      </c>
      <c r="AB911" s="168">
        <f t="shared" si="9"/>
        <v>0</v>
      </c>
    </row>
    <row r="912" ht="14.25" customHeight="1">
      <c r="A912" s="157" t="s">
        <v>7714</v>
      </c>
      <c r="B912" s="169" t="s">
        <v>36</v>
      </c>
      <c r="C912" s="169" t="s">
        <v>1314</v>
      </c>
      <c r="D912" s="336">
        <v>43879.0</v>
      </c>
      <c r="E912" s="157" t="s">
        <v>600</v>
      </c>
      <c r="F912" s="160">
        <v>1911.32</v>
      </c>
      <c r="G912" s="160">
        <v>305.81</v>
      </c>
      <c r="H912" s="160">
        <f t="shared" si="29"/>
        <v>2217.13</v>
      </c>
      <c r="I912" s="172"/>
      <c r="J912" s="169"/>
      <c r="K912" s="172"/>
      <c r="L912" s="172">
        <f>+'FACUS$'!$H912-'FACUS$'!$I912-'FACUS$'!$K912</f>
        <v>2217.13</v>
      </c>
      <c r="M912" s="162" t="s">
        <v>278</v>
      </c>
      <c r="N912" s="337" t="s">
        <v>554</v>
      </c>
      <c r="O912" s="338">
        <v>43889.0</v>
      </c>
      <c r="P912" s="164">
        <f t="array" ref="P912">XLOOKUP('FACUS$'!$B912,'perfil de pagos'!$A$4:$A$46,'perfil de pagos'!$C$4:$C$46+'FACUS$'!$D912)</f>
        <v>43889</v>
      </c>
      <c r="Q912" s="165">
        <f t="shared" si="2"/>
        <v>0</v>
      </c>
      <c r="R912" s="167" t="s">
        <v>7715</v>
      </c>
      <c r="S912" s="220" t="s">
        <v>910</v>
      </c>
      <c r="T912" s="167">
        <v>18.7653</v>
      </c>
      <c r="U912" s="334" t="s">
        <v>7271</v>
      </c>
      <c r="V912" s="168">
        <f t="shared" si="3"/>
        <v>2217.13</v>
      </c>
      <c r="W912" s="168">
        <f t="shared" si="4"/>
        <v>0</v>
      </c>
      <c r="X912" s="168">
        <f t="shared" si="5"/>
        <v>0</v>
      </c>
      <c r="Y912" s="168">
        <f t="shared" si="6"/>
        <v>0</v>
      </c>
      <c r="Z912" s="168">
        <f t="shared" si="7"/>
        <v>0</v>
      </c>
      <c r="AA912" s="168">
        <f t="shared" si="8"/>
        <v>0</v>
      </c>
      <c r="AB912" s="168">
        <f t="shared" si="9"/>
        <v>0</v>
      </c>
    </row>
    <row r="913" ht="14.25" customHeight="1">
      <c r="A913" s="157" t="s">
        <v>7716</v>
      </c>
      <c r="B913" s="169" t="s">
        <v>1127</v>
      </c>
      <c r="C913" s="169" t="s">
        <v>1314</v>
      </c>
      <c r="D913" s="336">
        <v>43879.0</v>
      </c>
      <c r="E913" s="157" t="s">
        <v>600</v>
      </c>
      <c r="F913" s="160">
        <v>7044.64</v>
      </c>
      <c r="G913" s="160">
        <v>1127.14</v>
      </c>
      <c r="H913" s="160">
        <f t="shared" si="29"/>
        <v>8171.78</v>
      </c>
      <c r="I913" s="172"/>
      <c r="J913" s="169"/>
      <c r="K913" s="172"/>
      <c r="L913" s="172">
        <f>+'FACUS$'!$H913-'FACUS$'!$I913-'FACUS$'!$K913</f>
        <v>8171.78</v>
      </c>
      <c r="M913" s="162" t="s">
        <v>580</v>
      </c>
      <c r="N913" s="337" t="s">
        <v>554</v>
      </c>
      <c r="O913" s="338">
        <v>43888.0</v>
      </c>
      <c r="P913" s="164" t="str">
        <f t="array" ref="P913">XLOOKUP('FACUS$'!$B913,'perfil de pagos'!$A$4:$A$46,'perfil de pagos'!$C$4:$C$46+'FACUS$'!$D913)</f>
        <v>#N/A</v>
      </c>
      <c r="Q913" s="165">
        <f t="shared" si="2"/>
        <v>0</v>
      </c>
      <c r="R913" s="167" t="s">
        <v>7717</v>
      </c>
      <c r="S913" s="167" t="s">
        <v>910</v>
      </c>
      <c r="T913" s="167">
        <v>18.7653</v>
      </c>
      <c r="U913" s="334" t="s">
        <v>7271</v>
      </c>
      <c r="V913" s="168">
        <f t="shared" si="3"/>
        <v>8171.78</v>
      </c>
      <c r="W913" s="168">
        <f t="shared" si="4"/>
        <v>0</v>
      </c>
      <c r="X913" s="168">
        <f t="shared" si="5"/>
        <v>0</v>
      </c>
      <c r="Y913" s="168">
        <f t="shared" si="6"/>
        <v>0</v>
      </c>
      <c r="Z913" s="168">
        <f t="shared" si="7"/>
        <v>0</v>
      </c>
      <c r="AA913" s="168">
        <f t="shared" si="8"/>
        <v>0</v>
      </c>
      <c r="AB913" s="168">
        <f t="shared" si="9"/>
        <v>0</v>
      </c>
    </row>
    <row r="914" ht="14.25" customHeight="1">
      <c r="A914" s="157" t="s">
        <v>7718</v>
      </c>
      <c r="B914" s="169" t="s">
        <v>43</v>
      </c>
      <c r="C914" s="169" t="s">
        <v>1314</v>
      </c>
      <c r="D914" s="336">
        <v>43879.0</v>
      </c>
      <c r="E914" s="157" t="s">
        <v>600</v>
      </c>
      <c r="F914" s="160">
        <v>59159.17</v>
      </c>
      <c r="G914" s="160">
        <v>9465.47</v>
      </c>
      <c r="H914" s="160">
        <f t="shared" si="29"/>
        <v>68624.64</v>
      </c>
      <c r="I914" s="172"/>
      <c r="J914" s="169"/>
      <c r="K914" s="172"/>
      <c r="L914" s="172">
        <f>+'FACUS$'!$H914-'FACUS$'!$I914-'FACUS$'!$K914</f>
        <v>68624.64</v>
      </c>
      <c r="M914" s="162" t="s">
        <v>43</v>
      </c>
      <c r="N914" s="337" t="s">
        <v>554</v>
      </c>
      <c r="O914" s="338">
        <v>43896.0</v>
      </c>
      <c r="P914" s="164">
        <f t="array" ref="P914">XLOOKUP('FACUS$'!$B914,'perfil de pagos'!$A$4:$A$46,'perfil de pagos'!$C$4:$C$46+'FACUS$'!$D914)</f>
        <v>43904</v>
      </c>
      <c r="Q914" s="165">
        <f t="shared" si="2"/>
        <v>0</v>
      </c>
      <c r="R914" s="167"/>
      <c r="S914" s="220" t="s">
        <v>910</v>
      </c>
      <c r="T914" s="167">
        <v>18.7653</v>
      </c>
      <c r="U914" s="334" t="s">
        <v>7271</v>
      </c>
      <c r="V914" s="168">
        <f t="shared" si="3"/>
        <v>68624.64</v>
      </c>
      <c r="W914" s="168">
        <f t="shared" si="4"/>
        <v>0</v>
      </c>
      <c r="X914" s="168">
        <f t="shared" si="5"/>
        <v>0</v>
      </c>
      <c r="Y914" s="168">
        <f t="shared" si="6"/>
        <v>0</v>
      </c>
      <c r="Z914" s="168">
        <f t="shared" si="7"/>
        <v>0</v>
      </c>
      <c r="AA914" s="168">
        <f t="shared" si="8"/>
        <v>0</v>
      </c>
      <c r="AB914" s="168">
        <f t="shared" si="9"/>
        <v>0</v>
      </c>
    </row>
    <row r="915" ht="14.25" customHeight="1">
      <c r="A915" s="157" t="s">
        <v>7719</v>
      </c>
      <c r="B915" s="169" t="s">
        <v>30</v>
      </c>
      <c r="C915" s="169" t="s">
        <v>1314</v>
      </c>
      <c r="D915" s="336">
        <v>43879.0</v>
      </c>
      <c r="E915" s="157" t="s">
        <v>600</v>
      </c>
      <c r="F915" s="160">
        <v>7492.28</v>
      </c>
      <c r="G915" s="160">
        <v>1198.76</v>
      </c>
      <c r="H915" s="160">
        <f t="shared" si="29"/>
        <v>8691.04</v>
      </c>
      <c r="I915" s="172"/>
      <c r="J915" s="169"/>
      <c r="K915" s="172"/>
      <c r="L915" s="172">
        <f>+'FACUS$'!$H915-'FACUS$'!$I915-'FACUS$'!$K915</f>
        <v>8691.04</v>
      </c>
      <c r="M915" s="162" t="s">
        <v>7415</v>
      </c>
      <c r="N915" s="337" t="s">
        <v>554</v>
      </c>
      <c r="O915" s="338">
        <v>43907.0</v>
      </c>
      <c r="P915" s="164">
        <f t="array" ref="P915">XLOOKUP('FACUS$'!$B915,'perfil de pagos'!$A$4:$A$46,'perfil de pagos'!$C$4:$C$46+'FACUS$'!$D915)</f>
        <v>43889</v>
      </c>
      <c r="Q915" s="165">
        <f t="shared" si="2"/>
        <v>0</v>
      </c>
      <c r="R915" s="220" t="s">
        <v>7720</v>
      </c>
      <c r="S915" s="167" t="s">
        <v>910</v>
      </c>
      <c r="T915" s="167">
        <v>18.7653</v>
      </c>
      <c r="U915" s="334" t="s">
        <v>7271</v>
      </c>
      <c r="V915" s="168">
        <f t="shared" si="3"/>
        <v>8691.04</v>
      </c>
      <c r="W915" s="168">
        <f t="shared" si="4"/>
        <v>0</v>
      </c>
      <c r="X915" s="168">
        <f t="shared" si="5"/>
        <v>0</v>
      </c>
      <c r="Y915" s="168">
        <f t="shared" si="6"/>
        <v>0</v>
      </c>
      <c r="Z915" s="168">
        <f t="shared" si="7"/>
        <v>0</v>
      </c>
      <c r="AA915" s="168">
        <f t="shared" si="8"/>
        <v>0</v>
      </c>
      <c r="AB915" s="168">
        <f t="shared" si="9"/>
        <v>0</v>
      </c>
    </row>
    <row r="916" ht="14.25" customHeight="1">
      <c r="A916" s="157" t="s">
        <v>7721</v>
      </c>
      <c r="B916" s="169" t="s">
        <v>41</v>
      </c>
      <c r="C916" s="169" t="s">
        <v>1314</v>
      </c>
      <c r="D916" s="336">
        <v>43885.0</v>
      </c>
      <c r="E916" s="157" t="s">
        <v>600</v>
      </c>
      <c r="F916" s="160">
        <v>24294.01</v>
      </c>
      <c r="G916" s="160">
        <v>3887.04</v>
      </c>
      <c r="H916" s="160">
        <f>(F916+G916)-22100</f>
        <v>6081.05</v>
      </c>
      <c r="I916" s="172"/>
      <c r="J916" s="169"/>
      <c r="K916" s="172"/>
      <c r="L916" s="172">
        <f>+'FACUS$'!$H916-'FACUS$'!$I916-'FACUS$'!$K916</f>
        <v>6081.05</v>
      </c>
      <c r="M916" s="162" t="s">
        <v>875</v>
      </c>
      <c r="N916" s="337" t="s">
        <v>554</v>
      </c>
      <c r="O916" s="338">
        <v>43950.0</v>
      </c>
      <c r="P916" s="164">
        <f t="array" ref="P916">XLOOKUP('FACUS$'!$B916,'perfil de pagos'!$A$4:$A$46,'perfil de pagos'!$C$4:$C$46+'FACUS$'!$D916)</f>
        <v>43895</v>
      </c>
      <c r="Q916" s="165">
        <f t="shared" si="2"/>
        <v>0</v>
      </c>
      <c r="R916" s="220" t="s">
        <v>7722</v>
      </c>
      <c r="S916" s="167"/>
      <c r="T916" s="167">
        <v>18.9138</v>
      </c>
      <c r="U916" s="334" t="s">
        <v>7271</v>
      </c>
      <c r="V916" s="168">
        <f t="shared" si="3"/>
        <v>6081.05</v>
      </c>
      <c r="W916" s="168">
        <f t="shared" si="4"/>
        <v>0</v>
      </c>
      <c r="X916" s="168">
        <f t="shared" si="5"/>
        <v>0</v>
      </c>
      <c r="Y916" s="168">
        <f t="shared" si="6"/>
        <v>0</v>
      </c>
      <c r="Z916" s="168">
        <f t="shared" si="7"/>
        <v>0</v>
      </c>
      <c r="AA916" s="168">
        <f t="shared" si="8"/>
        <v>0</v>
      </c>
      <c r="AB916" s="168">
        <f t="shared" si="9"/>
        <v>0</v>
      </c>
    </row>
    <row r="917" ht="14.25" customHeight="1">
      <c r="A917" s="157" t="s">
        <v>7723</v>
      </c>
      <c r="B917" s="169" t="s">
        <v>37</v>
      </c>
      <c r="C917" s="169" t="s">
        <v>1314</v>
      </c>
      <c r="D917" s="336">
        <v>43885.0</v>
      </c>
      <c r="E917" s="157" t="s">
        <v>600</v>
      </c>
      <c r="F917" s="160">
        <v>75760.53</v>
      </c>
      <c r="G917" s="160">
        <v>12121.68</v>
      </c>
      <c r="H917" s="160">
        <f t="shared" ref="H917:H950" si="30">F917+G917</f>
        <v>87882.21</v>
      </c>
      <c r="I917" s="172"/>
      <c r="J917" s="169"/>
      <c r="K917" s="172"/>
      <c r="L917" s="172">
        <f>+'FACUS$'!$H917-'FACUS$'!$I917-'FACUS$'!$K917</f>
        <v>87882.21</v>
      </c>
      <c r="M917" s="162" t="s">
        <v>116</v>
      </c>
      <c r="N917" s="337" t="s">
        <v>554</v>
      </c>
      <c r="O917" s="338">
        <v>43900.0</v>
      </c>
      <c r="P917" s="164">
        <f t="array" ref="P917">XLOOKUP('FACUS$'!$B917,'perfil de pagos'!$A$4:$A$46,'perfil de pagos'!$C$4:$C$46+'FACUS$'!$D917)</f>
        <v>43895</v>
      </c>
      <c r="Q917" s="165">
        <f t="shared" si="2"/>
        <v>0</v>
      </c>
      <c r="R917" s="167" t="s">
        <v>7724</v>
      </c>
      <c r="S917" s="167" t="s">
        <v>910</v>
      </c>
      <c r="T917" s="167">
        <v>19.8095</v>
      </c>
      <c r="U917" s="334" t="s">
        <v>7271</v>
      </c>
      <c r="V917" s="168">
        <f t="shared" si="3"/>
        <v>87882.21</v>
      </c>
      <c r="W917" s="168">
        <f t="shared" si="4"/>
        <v>0</v>
      </c>
      <c r="X917" s="168">
        <f t="shared" si="5"/>
        <v>0</v>
      </c>
      <c r="Y917" s="168">
        <f t="shared" si="6"/>
        <v>0</v>
      </c>
      <c r="Z917" s="168">
        <f t="shared" si="7"/>
        <v>0</v>
      </c>
      <c r="AA917" s="168">
        <f t="shared" si="8"/>
        <v>0</v>
      </c>
      <c r="AB917" s="168">
        <f t="shared" si="9"/>
        <v>0</v>
      </c>
    </row>
    <row r="918" ht="14.25" customHeight="1">
      <c r="A918" s="157" t="s">
        <v>7725</v>
      </c>
      <c r="B918" s="169" t="s">
        <v>18</v>
      </c>
      <c r="C918" s="169" t="s">
        <v>1314</v>
      </c>
      <c r="D918" s="336">
        <v>43885.0</v>
      </c>
      <c r="E918" s="157" t="s">
        <v>600</v>
      </c>
      <c r="F918" s="160">
        <v>8909.75</v>
      </c>
      <c r="G918" s="160">
        <v>1425.56</v>
      </c>
      <c r="H918" s="160">
        <f t="shared" si="30"/>
        <v>10335.31</v>
      </c>
      <c r="I918" s="172"/>
      <c r="J918" s="169"/>
      <c r="K918" s="172"/>
      <c r="L918" s="172">
        <f>+'FACUS$'!$H918-'FACUS$'!$I918-'FACUS$'!$K918</f>
        <v>10335.31</v>
      </c>
      <c r="M918" s="162" t="s">
        <v>586</v>
      </c>
      <c r="N918" s="337" t="s">
        <v>554</v>
      </c>
      <c r="O918" s="338">
        <v>43910.0</v>
      </c>
      <c r="P918" s="164">
        <f t="array" ref="P918">XLOOKUP('FACUS$'!$B918,'perfil de pagos'!$A$4:$A$46,'perfil de pagos'!$C$4:$C$46+'FACUS$'!$D918)</f>
        <v>43895</v>
      </c>
      <c r="Q918" s="165">
        <f t="shared" si="2"/>
        <v>0</v>
      </c>
      <c r="R918" s="167"/>
      <c r="S918" s="167" t="s">
        <v>910</v>
      </c>
      <c r="T918" s="167">
        <v>18.9138</v>
      </c>
      <c r="U918" s="334" t="s">
        <v>7271</v>
      </c>
      <c r="V918" s="168">
        <f t="shared" si="3"/>
        <v>10335.31</v>
      </c>
      <c r="W918" s="168">
        <f t="shared" si="4"/>
        <v>0</v>
      </c>
      <c r="X918" s="168">
        <f t="shared" si="5"/>
        <v>0</v>
      </c>
      <c r="Y918" s="168">
        <f t="shared" si="6"/>
        <v>0</v>
      </c>
      <c r="Z918" s="168">
        <f t="shared" si="7"/>
        <v>0</v>
      </c>
      <c r="AA918" s="168">
        <f t="shared" si="8"/>
        <v>0</v>
      </c>
      <c r="AB918" s="168">
        <f t="shared" si="9"/>
        <v>0</v>
      </c>
    </row>
    <row r="919" ht="14.25" customHeight="1">
      <c r="A919" s="157" t="s">
        <v>7726</v>
      </c>
      <c r="B919" s="169" t="s">
        <v>127</v>
      </c>
      <c r="C919" s="169"/>
      <c r="D919" s="336"/>
      <c r="E919" s="157"/>
      <c r="F919" s="160"/>
      <c r="G919" s="160"/>
      <c r="H919" s="160">
        <f t="shared" si="30"/>
        <v>0</v>
      </c>
      <c r="I919" s="172"/>
      <c r="J919" s="169"/>
      <c r="K919" s="172"/>
      <c r="L919" s="172">
        <f>+'FACUS$'!$H919-'FACUS$'!$I919-'FACUS$'!$K919</f>
        <v>0</v>
      </c>
      <c r="M919" s="162" t="s">
        <v>127</v>
      </c>
      <c r="N919" s="337" t="s">
        <v>127</v>
      </c>
      <c r="O919" s="338"/>
      <c r="P919" s="164" t="str">
        <f t="array" ref="P919">XLOOKUP('FACUS$'!$B919,'perfil de pagos'!$A$4:$A$46,'perfil de pagos'!$C$4:$C$46+'FACUS$'!$D919)</f>
        <v>#N/A</v>
      </c>
      <c r="Q919" s="165" t="str">
        <f t="shared" si="2"/>
        <v>N/A</v>
      </c>
      <c r="R919" s="167"/>
      <c r="S919" s="167"/>
      <c r="T919" s="167"/>
      <c r="U919" s="334" t="s">
        <v>7271</v>
      </c>
      <c r="V919" s="168">
        <f t="shared" si="3"/>
        <v>0</v>
      </c>
      <c r="W919" s="168">
        <f t="shared" si="4"/>
        <v>0</v>
      </c>
      <c r="X919" s="168">
        <f t="shared" si="5"/>
        <v>0</v>
      </c>
      <c r="Y919" s="168">
        <f t="shared" si="6"/>
        <v>0</v>
      </c>
      <c r="Z919" s="168">
        <f t="shared" si="7"/>
        <v>0</v>
      </c>
      <c r="AA919" s="168">
        <f t="shared" si="8"/>
        <v>0</v>
      </c>
      <c r="AB919" s="168">
        <f t="shared" si="9"/>
        <v>0</v>
      </c>
    </row>
    <row r="920" ht="14.25" customHeight="1">
      <c r="A920" s="157" t="s">
        <v>7727</v>
      </c>
      <c r="B920" s="169" t="s">
        <v>29</v>
      </c>
      <c r="C920" s="169" t="s">
        <v>7728</v>
      </c>
      <c r="D920" s="336">
        <v>43886.0</v>
      </c>
      <c r="E920" s="157" t="s">
        <v>600</v>
      </c>
      <c r="F920" s="160">
        <v>6142.5</v>
      </c>
      <c r="G920" s="160">
        <v>982.8</v>
      </c>
      <c r="H920" s="160">
        <f t="shared" si="30"/>
        <v>7125.3</v>
      </c>
      <c r="I920" s="172"/>
      <c r="J920" s="169"/>
      <c r="K920" s="172"/>
      <c r="L920" s="172">
        <f>+'FACUS$'!$H920-'FACUS$'!$I920-'FACUS$'!$K920</f>
        <v>7125.3</v>
      </c>
      <c r="M920" s="162" t="s">
        <v>1087</v>
      </c>
      <c r="N920" s="337" t="s">
        <v>554</v>
      </c>
      <c r="O920" s="338">
        <v>43908.0</v>
      </c>
      <c r="P920" s="164">
        <f t="array" ref="P920">XLOOKUP('FACUS$'!$B920,'perfil de pagos'!$A$4:$A$46,'perfil de pagos'!$C$4:$C$46+'FACUS$'!$D920)</f>
        <v>43896</v>
      </c>
      <c r="Q920" s="165">
        <f t="shared" si="2"/>
        <v>0</v>
      </c>
      <c r="R920" s="167"/>
      <c r="S920" s="167"/>
      <c r="T920" s="167">
        <v>19.1197</v>
      </c>
      <c r="U920" s="334" t="s">
        <v>7271</v>
      </c>
      <c r="V920" s="168">
        <f t="shared" si="3"/>
        <v>7125.3</v>
      </c>
      <c r="W920" s="168">
        <f t="shared" si="4"/>
        <v>0</v>
      </c>
      <c r="X920" s="168">
        <f t="shared" si="5"/>
        <v>0</v>
      </c>
      <c r="Y920" s="168">
        <f t="shared" si="6"/>
        <v>0</v>
      </c>
      <c r="Z920" s="168">
        <f t="shared" si="7"/>
        <v>0</v>
      </c>
      <c r="AA920" s="168">
        <f t="shared" si="8"/>
        <v>0</v>
      </c>
      <c r="AB920" s="168">
        <f t="shared" si="9"/>
        <v>0</v>
      </c>
    </row>
    <row r="921" ht="14.25" customHeight="1">
      <c r="A921" s="157" t="s">
        <v>7729</v>
      </c>
      <c r="B921" s="169" t="s">
        <v>29</v>
      </c>
      <c r="C921" s="169" t="s">
        <v>7730</v>
      </c>
      <c r="D921" s="336">
        <v>43888.0</v>
      </c>
      <c r="E921" s="157" t="s">
        <v>600</v>
      </c>
      <c r="F921" s="160">
        <v>6800.0</v>
      </c>
      <c r="G921" s="160">
        <v>1088.0</v>
      </c>
      <c r="H921" s="160">
        <f t="shared" si="30"/>
        <v>7888</v>
      </c>
      <c r="I921" s="172"/>
      <c r="J921" s="169"/>
      <c r="K921" s="172"/>
      <c r="L921" s="172">
        <f>+'FACUS$'!$H921-'FACUS$'!$I921-'FACUS$'!$K921</f>
        <v>7888</v>
      </c>
      <c r="M921" s="162" t="s">
        <v>7509</v>
      </c>
      <c r="N921" s="337" t="s">
        <v>127</v>
      </c>
      <c r="O921" s="338"/>
      <c r="P921" s="164">
        <f t="array" ref="P921">XLOOKUP('FACUS$'!$B921,'perfil de pagos'!$A$4:$A$46,'perfil de pagos'!$C$4:$C$46+'FACUS$'!$D921)</f>
        <v>43898</v>
      </c>
      <c r="Q921" s="165" t="str">
        <f t="shared" si="2"/>
        <v>N/A</v>
      </c>
      <c r="R921" s="167"/>
      <c r="S921" s="167"/>
      <c r="T921" s="167">
        <v>19.1585</v>
      </c>
      <c r="U921" s="334" t="s">
        <v>7271</v>
      </c>
      <c r="V921" s="168">
        <f t="shared" si="3"/>
        <v>0</v>
      </c>
      <c r="W921" s="168">
        <f t="shared" si="4"/>
        <v>0</v>
      </c>
      <c r="X921" s="168">
        <f t="shared" si="5"/>
        <v>0</v>
      </c>
      <c r="Y921" s="168">
        <f t="shared" si="6"/>
        <v>0</v>
      </c>
      <c r="Z921" s="168">
        <f t="shared" si="7"/>
        <v>0</v>
      </c>
      <c r="AA921" s="168">
        <f t="shared" si="8"/>
        <v>0</v>
      </c>
      <c r="AB921" s="168">
        <f t="shared" si="9"/>
        <v>7888</v>
      </c>
    </row>
    <row r="922" ht="14.25" customHeight="1">
      <c r="A922" s="157" t="s">
        <v>7731</v>
      </c>
      <c r="B922" s="169" t="s">
        <v>29</v>
      </c>
      <c r="C922" s="169" t="s">
        <v>7732</v>
      </c>
      <c r="D922" s="336">
        <v>43888.0</v>
      </c>
      <c r="E922" s="157" t="s">
        <v>600</v>
      </c>
      <c r="F922" s="160">
        <v>3400.0</v>
      </c>
      <c r="G922" s="160">
        <v>544.0</v>
      </c>
      <c r="H922" s="160">
        <f t="shared" si="30"/>
        <v>3944</v>
      </c>
      <c r="I922" s="172"/>
      <c r="J922" s="169"/>
      <c r="K922" s="172"/>
      <c r="L922" s="172">
        <f>+'FACUS$'!$H922-'FACUS$'!$I922-'FACUS$'!$K922</f>
        <v>3944</v>
      </c>
      <c r="M922" s="162" t="s">
        <v>7509</v>
      </c>
      <c r="N922" s="337" t="s">
        <v>127</v>
      </c>
      <c r="O922" s="338"/>
      <c r="P922" s="164">
        <f t="array" ref="P922">XLOOKUP('FACUS$'!$B922,'perfil de pagos'!$A$4:$A$46,'perfil de pagos'!$C$4:$C$46+'FACUS$'!$D922)</f>
        <v>43898</v>
      </c>
      <c r="Q922" s="165" t="str">
        <f t="shared" si="2"/>
        <v>N/A</v>
      </c>
      <c r="R922" s="167"/>
      <c r="S922" s="167"/>
      <c r="T922" s="167">
        <v>19.1585</v>
      </c>
      <c r="U922" s="334" t="s">
        <v>7271</v>
      </c>
      <c r="V922" s="168">
        <f t="shared" si="3"/>
        <v>0</v>
      </c>
      <c r="W922" s="168">
        <f t="shared" si="4"/>
        <v>0</v>
      </c>
      <c r="X922" s="168">
        <f t="shared" si="5"/>
        <v>0</v>
      </c>
      <c r="Y922" s="168">
        <f t="shared" si="6"/>
        <v>0</v>
      </c>
      <c r="Z922" s="168">
        <f t="shared" si="7"/>
        <v>0</v>
      </c>
      <c r="AA922" s="168">
        <f t="shared" si="8"/>
        <v>0</v>
      </c>
      <c r="AB922" s="168">
        <f t="shared" si="9"/>
        <v>3944</v>
      </c>
    </row>
    <row r="923" ht="14.25" customHeight="1">
      <c r="A923" s="157" t="s">
        <v>7733</v>
      </c>
      <c r="B923" s="169" t="s">
        <v>29</v>
      </c>
      <c r="C923" s="169" t="s">
        <v>7734</v>
      </c>
      <c r="D923" s="336">
        <v>43888.0</v>
      </c>
      <c r="E923" s="157" t="s">
        <v>600</v>
      </c>
      <c r="F923" s="160">
        <v>1500.0</v>
      </c>
      <c r="G923" s="160">
        <v>240.0</v>
      </c>
      <c r="H923" s="160">
        <f t="shared" si="30"/>
        <v>1740</v>
      </c>
      <c r="I923" s="172"/>
      <c r="J923" s="169"/>
      <c r="K923" s="172"/>
      <c r="L923" s="172">
        <f>+'FACUS$'!$H923-'FACUS$'!$I923-'FACUS$'!$K923</f>
        <v>1740</v>
      </c>
      <c r="M923" s="162" t="s">
        <v>712</v>
      </c>
      <c r="N923" s="337" t="s">
        <v>127</v>
      </c>
      <c r="O923" s="338"/>
      <c r="P923" s="164">
        <f t="array" ref="P923">XLOOKUP('FACUS$'!$B923,'perfil de pagos'!$A$4:$A$46,'perfil de pagos'!$C$4:$C$46+'FACUS$'!$D923)</f>
        <v>43898</v>
      </c>
      <c r="Q923" s="165" t="str">
        <f t="shared" si="2"/>
        <v>N/A</v>
      </c>
      <c r="R923" s="167"/>
      <c r="S923" s="167"/>
      <c r="T923" s="167">
        <v>19.1585</v>
      </c>
      <c r="U923" s="334" t="s">
        <v>7271</v>
      </c>
      <c r="V923" s="168">
        <f t="shared" si="3"/>
        <v>0</v>
      </c>
      <c r="W923" s="168">
        <f t="shared" si="4"/>
        <v>0</v>
      </c>
      <c r="X923" s="168">
        <f t="shared" si="5"/>
        <v>0</v>
      </c>
      <c r="Y923" s="168">
        <f t="shared" si="6"/>
        <v>0</v>
      </c>
      <c r="Z923" s="168">
        <f t="shared" si="7"/>
        <v>0</v>
      </c>
      <c r="AA923" s="168">
        <f t="shared" si="8"/>
        <v>0</v>
      </c>
      <c r="AB923" s="168">
        <f t="shared" si="9"/>
        <v>1740</v>
      </c>
    </row>
    <row r="924" ht="14.25" customHeight="1">
      <c r="A924" s="157" t="s">
        <v>7735</v>
      </c>
      <c r="B924" s="169" t="s">
        <v>29</v>
      </c>
      <c r="C924" s="169" t="s">
        <v>7736</v>
      </c>
      <c r="D924" s="336">
        <v>43888.0</v>
      </c>
      <c r="E924" s="157" t="s">
        <v>600</v>
      </c>
      <c r="F924" s="160">
        <v>7800.0</v>
      </c>
      <c r="G924" s="160">
        <v>1248.0</v>
      </c>
      <c r="H924" s="160">
        <f t="shared" si="30"/>
        <v>9048</v>
      </c>
      <c r="I924" s="172"/>
      <c r="J924" s="169"/>
      <c r="K924" s="172"/>
      <c r="L924" s="172">
        <f>+'FACUS$'!$H924-'FACUS$'!$I924-'FACUS$'!$K924</f>
        <v>9048</v>
      </c>
      <c r="M924" s="162" t="s">
        <v>1087</v>
      </c>
      <c r="N924" s="337" t="s">
        <v>127</v>
      </c>
      <c r="O924" s="338"/>
      <c r="P924" s="164">
        <f t="array" ref="P924">XLOOKUP('FACUS$'!$B924,'perfil de pagos'!$A$4:$A$46,'perfil de pagos'!$C$4:$C$46+'FACUS$'!$D924)</f>
        <v>43898</v>
      </c>
      <c r="Q924" s="165" t="str">
        <f t="shared" si="2"/>
        <v>N/A</v>
      </c>
      <c r="R924" s="167"/>
      <c r="S924" s="167"/>
      <c r="T924" s="167">
        <v>19.1585</v>
      </c>
      <c r="U924" s="334" t="s">
        <v>7271</v>
      </c>
      <c r="V924" s="168">
        <f t="shared" si="3"/>
        <v>0</v>
      </c>
      <c r="W924" s="168">
        <f t="shared" si="4"/>
        <v>0</v>
      </c>
      <c r="X924" s="168">
        <f t="shared" si="5"/>
        <v>0</v>
      </c>
      <c r="Y924" s="168">
        <f t="shared" si="6"/>
        <v>0</v>
      </c>
      <c r="Z924" s="168">
        <f t="shared" si="7"/>
        <v>0</v>
      </c>
      <c r="AA924" s="168">
        <f t="shared" si="8"/>
        <v>0</v>
      </c>
      <c r="AB924" s="168">
        <f t="shared" si="9"/>
        <v>9048</v>
      </c>
    </row>
    <row r="925" ht="14.25" customHeight="1">
      <c r="A925" s="157" t="s">
        <v>7737</v>
      </c>
      <c r="B925" s="169" t="s">
        <v>29</v>
      </c>
      <c r="C925" s="169" t="s">
        <v>7738</v>
      </c>
      <c r="D925" s="336">
        <v>43888.0</v>
      </c>
      <c r="E925" s="157" t="s">
        <v>600</v>
      </c>
      <c r="F925" s="160">
        <v>3900.0</v>
      </c>
      <c r="G925" s="160">
        <v>624.0</v>
      </c>
      <c r="H925" s="160">
        <f t="shared" si="30"/>
        <v>4524</v>
      </c>
      <c r="I925" s="172"/>
      <c r="J925" s="169"/>
      <c r="K925" s="172"/>
      <c r="L925" s="172">
        <f>+'FACUS$'!$H925-'FACUS$'!$I925-'FACUS$'!$K925</f>
        <v>4524</v>
      </c>
      <c r="M925" s="162" t="s">
        <v>1087</v>
      </c>
      <c r="N925" s="337" t="s">
        <v>127</v>
      </c>
      <c r="O925" s="338"/>
      <c r="P925" s="164">
        <f t="array" ref="P925">XLOOKUP('FACUS$'!$B925,'perfil de pagos'!$A$4:$A$46,'perfil de pagos'!$C$4:$C$46+'FACUS$'!$D925)</f>
        <v>43898</v>
      </c>
      <c r="Q925" s="165" t="str">
        <f t="shared" si="2"/>
        <v>N/A</v>
      </c>
      <c r="R925" s="167"/>
      <c r="S925" s="167"/>
      <c r="T925" s="167">
        <v>19.1585</v>
      </c>
      <c r="U925" s="334" t="s">
        <v>7271</v>
      </c>
      <c r="V925" s="168">
        <f t="shared" si="3"/>
        <v>0</v>
      </c>
      <c r="W925" s="168">
        <f t="shared" si="4"/>
        <v>0</v>
      </c>
      <c r="X925" s="168">
        <f t="shared" si="5"/>
        <v>0</v>
      </c>
      <c r="Y925" s="168">
        <f t="shared" si="6"/>
        <v>0</v>
      </c>
      <c r="Z925" s="168">
        <f t="shared" si="7"/>
        <v>0</v>
      </c>
      <c r="AA925" s="168">
        <f t="shared" si="8"/>
        <v>0</v>
      </c>
      <c r="AB925" s="168">
        <f t="shared" si="9"/>
        <v>4524</v>
      </c>
    </row>
    <row r="926" ht="14.25" customHeight="1">
      <c r="A926" s="157" t="s">
        <v>7739</v>
      </c>
      <c r="B926" s="169" t="s">
        <v>29</v>
      </c>
      <c r="C926" s="169" t="s">
        <v>7730</v>
      </c>
      <c r="D926" s="336">
        <v>43892.0</v>
      </c>
      <c r="E926" s="157" t="s">
        <v>600</v>
      </c>
      <c r="F926" s="160">
        <v>7140.0</v>
      </c>
      <c r="G926" s="160">
        <v>1142.4</v>
      </c>
      <c r="H926" s="160">
        <f t="shared" si="30"/>
        <v>8282.4</v>
      </c>
      <c r="I926" s="172"/>
      <c r="J926" s="169"/>
      <c r="K926" s="172"/>
      <c r="L926" s="172">
        <f>+'FACUS$'!$H926-'FACUS$'!$I926-'FACUS$'!$K926</f>
        <v>8282.4</v>
      </c>
      <c r="M926" s="162" t="s">
        <v>7509</v>
      </c>
      <c r="N926" s="337" t="s">
        <v>554</v>
      </c>
      <c r="O926" s="338">
        <v>43908.0</v>
      </c>
      <c r="P926" s="164">
        <f t="array" ref="P926">XLOOKUP('FACUS$'!$B926,'perfil de pagos'!$A$4:$A$46,'perfil de pagos'!$C$4:$C$46+'FACUS$'!$D926)</f>
        <v>43902</v>
      </c>
      <c r="Q926" s="165">
        <f t="shared" si="2"/>
        <v>0</v>
      </c>
      <c r="R926" s="167"/>
      <c r="S926" s="167"/>
      <c r="T926" s="167">
        <v>19.776</v>
      </c>
      <c r="U926" s="334" t="s">
        <v>7271</v>
      </c>
      <c r="V926" s="168">
        <f t="shared" si="3"/>
        <v>8282.4</v>
      </c>
      <c r="W926" s="168">
        <f t="shared" si="4"/>
        <v>0</v>
      </c>
      <c r="X926" s="168">
        <f t="shared" si="5"/>
        <v>0</v>
      </c>
      <c r="Y926" s="168">
        <f t="shared" si="6"/>
        <v>0</v>
      </c>
      <c r="Z926" s="168">
        <f t="shared" si="7"/>
        <v>0</v>
      </c>
      <c r="AA926" s="168">
        <f t="shared" si="8"/>
        <v>0</v>
      </c>
      <c r="AB926" s="168">
        <f t="shared" si="9"/>
        <v>0</v>
      </c>
    </row>
    <row r="927" ht="14.25" customHeight="1">
      <c r="A927" s="157" t="s">
        <v>7740</v>
      </c>
      <c r="B927" s="169" t="s">
        <v>29</v>
      </c>
      <c r="C927" s="169" t="s">
        <v>7732</v>
      </c>
      <c r="D927" s="336">
        <v>43892.0</v>
      </c>
      <c r="E927" s="157" t="s">
        <v>600</v>
      </c>
      <c r="F927" s="160">
        <v>3570.0</v>
      </c>
      <c r="G927" s="160">
        <v>571.2</v>
      </c>
      <c r="H927" s="160">
        <f t="shared" si="30"/>
        <v>4141.2</v>
      </c>
      <c r="I927" s="172"/>
      <c r="J927" s="169"/>
      <c r="K927" s="172"/>
      <c r="L927" s="172">
        <f>+'FACUS$'!$H927-'FACUS$'!$I927-'FACUS$'!$K927</f>
        <v>4141.2</v>
      </c>
      <c r="M927" s="162" t="s">
        <v>7509</v>
      </c>
      <c r="N927" s="337" t="s">
        <v>554</v>
      </c>
      <c r="O927" s="338">
        <v>43908.0</v>
      </c>
      <c r="P927" s="164">
        <f t="array" ref="P927">XLOOKUP('FACUS$'!$B927,'perfil de pagos'!$A$4:$A$46,'perfil de pagos'!$C$4:$C$46+'FACUS$'!$D927)</f>
        <v>43902</v>
      </c>
      <c r="Q927" s="165">
        <f t="shared" si="2"/>
        <v>0</v>
      </c>
      <c r="R927" s="167"/>
      <c r="S927" s="167"/>
      <c r="T927" s="167">
        <v>19.776</v>
      </c>
      <c r="U927" s="334" t="s">
        <v>7271</v>
      </c>
      <c r="V927" s="168">
        <f t="shared" si="3"/>
        <v>4141.2</v>
      </c>
      <c r="W927" s="168">
        <f t="shared" si="4"/>
        <v>0</v>
      </c>
      <c r="X927" s="168">
        <f t="shared" si="5"/>
        <v>0</v>
      </c>
      <c r="Y927" s="168">
        <f t="shared" si="6"/>
        <v>0</v>
      </c>
      <c r="Z927" s="168">
        <f t="shared" si="7"/>
        <v>0</v>
      </c>
      <c r="AA927" s="168">
        <f t="shared" si="8"/>
        <v>0</v>
      </c>
      <c r="AB927" s="168">
        <f t="shared" si="9"/>
        <v>0</v>
      </c>
    </row>
    <row r="928" ht="14.25" customHeight="1">
      <c r="A928" s="157" t="s">
        <v>7741</v>
      </c>
      <c r="B928" s="169" t="s">
        <v>29</v>
      </c>
      <c r="C928" s="169" t="s">
        <v>7734</v>
      </c>
      <c r="D928" s="336">
        <v>43892.0</v>
      </c>
      <c r="E928" s="157" t="s">
        <v>600</v>
      </c>
      <c r="F928" s="160">
        <v>1575.0</v>
      </c>
      <c r="G928" s="160">
        <v>252.0</v>
      </c>
      <c r="H928" s="160">
        <f t="shared" si="30"/>
        <v>1827</v>
      </c>
      <c r="I928" s="172"/>
      <c r="J928" s="169"/>
      <c r="K928" s="172"/>
      <c r="L928" s="172">
        <f>+'FACUS$'!$H928-'FACUS$'!$I928-'FACUS$'!$K928</f>
        <v>1827</v>
      </c>
      <c r="M928" s="162" t="s">
        <v>712</v>
      </c>
      <c r="N928" s="337" t="s">
        <v>554</v>
      </c>
      <c r="O928" s="338">
        <v>43908.0</v>
      </c>
      <c r="P928" s="164">
        <f t="array" ref="P928">XLOOKUP('FACUS$'!$B928,'perfil de pagos'!$A$4:$A$46,'perfil de pagos'!$C$4:$C$46+'FACUS$'!$D928)</f>
        <v>43902</v>
      </c>
      <c r="Q928" s="165">
        <f t="shared" si="2"/>
        <v>0</v>
      </c>
      <c r="R928" s="167"/>
      <c r="S928" s="167"/>
      <c r="T928" s="167">
        <v>19.776</v>
      </c>
      <c r="U928" s="334" t="s">
        <v>7271</v>
      </c>
      <c r="V928" s="168">
        <f t="shared" si="3"/>
        <v>1827</v>
      </c>
      <c r="W928" s="168">
        <f t="shared" si="4"/>
        <v>0</v>
      </c>
      <c r="X928" s="168">
        <f t="shared" si="5"/>
        <v>0</v>
      </c>
      <c r="Y928" s="168">
        <f t="shared" si="6"/>
        <v>0</v>
      </c>
      <c r="Z928" s="168">
        <f t="shared" si="7"/>
        <v>0</v>
      </c>
      <c r="AA928" s="168">
        <f t="shared" si="8"/>
        <v>0</v>
      </c>
      <c r="AB928" s="168">
        <f t="shared" si="9"/>
        <v>0</v>
      </c>
    </row>
    <row r="929" ht="14.25" customHeight="1">
      <c r="A929" s="157" t="s">
        <v>7742</v>
      </c>
      <c r="B929" s="169" t="s">
        <v>29</v>
      </c>
      <c r="C929" s="169" t="s">
        <v>7736</v>
      </c>
      <c r="D929" s="336">
        <v>43892.0</v>
      </c>
      <c r="E929" s="157" t="s">
        <v>600</v>
      </c>
      <c r="F929" s="160">
        <v>8190.0</v>
      </c>
      <c r="G929" s="160">
        <v>1310.4</v>
      </c>
      <c r="H929" s="160">
        <f t="shared" si="30"/>
        <v>9500.4</v>
      </c>
      <c r="I929" s="172"/>
      <c r="J929" s="169"/>
      <c r="K929" s="172"/>
      <c r="L929" s="172">
        <f>+'FACUS$'!$H929-'FACUS$'!$I929-'FACUS$'!$K929</f>
        <v>9500.4</v>
      </c>
      <c r="M929" s="162" t="s">
        <v>1087</v>
      </c>
      <c r="N929" s="337" t="s">
        <v>554</v>
      </c>
      <c r="O929" s="338" t="s">
        <v>7743</v>
      </c>
      <c r="P929" s="164">
        <f t="array" ref="P929">XLOOKUP('FACUS$'!$B929,'perfil de pagos'!$A$4:$A$46,'perfil de pagos'!$C$4:$C$46+'FACUS$'!$D929)</f>
        <v>43902</v>
      </c>
      <c r="Q929" s="165">
        <f t="shared" si="2"/>
        <v>0</v>
      </c>
      <c r="R929" s="167"/>
      <c r="S929" s="167"/>
      <c r="T929" s="167">
        <v>19.776</v>
      </c>
      <c r="U929" s="334" t="s">
        <v>7271</v>
      </c>
      <c r="V929" s="168">
        <f t="shared" si="3"/>
        <v>9500.4</v>
      </c>
      <c r="W929" s="168">
        <f t="shared" si="4"/>
        <v>0</v>
      </c>
      <c r="X929" s="168">
        <f t="shared" si="5"/>
        <v>0</v>
      </c>
      <c r="Y929" s="168">
        <f t="shared" si="6"/>
        <v>0</v>
      </c>
      <c r="Z929" s="168">
        <f t="shared" si="7"/>
        <v>0</v>
      </c>
      <c r="AA929" s="168">
        <f t="shared" si="8"/>
        <v>0</v>
      </c>
      <c r="AB929" s="168">
        <f t="shared" si="9"/>
        <v>0</v>
      </c>
    </row>
    <row r="930" ht="14.25" customHeight="1">
      <c r="A930" s="157" t="s">
        <v>7744</v>
      </c>
      <c r="B930" s="169" t="s">
        <v>29</v>
      </c>
      <c r="C930" s="169" t="s">
        <v>7738</v>
      </c>
      <c r="D930" s="336">
        <v>43892.0</v>
      </c>
      <c r="E930" s="157" t="s">
        <v>600</v>
      </c>
      <c r="F930" s="160">
        <v>4095.0</v>
      </c>
      <c r="G930" s="160">
        <v>655.2</v>
      </c>
      <c r="H930" s="160">
        <f t="shared" si="30"/>
        <v>4750.2</v>
      </c>
      <c r="I930" s="172"/>
      <c r="J930" s="169"/>
      <c r="K930" s="172"/>
      <c r="L930" s="172">
        <f>+'FACUS$'!$H930-'FACUS$'!$I930-'FACUS$'!$K930</f>
        <v>4750.2</v>
      </c>
      <c r="M930" s="162" t="s">
        <v>1087</v>
      </c>
      <c r="N930" s="337" t="s">
        <v>554</v>
      </c>
      <c r="O930" s="338">
        <v>43908.0</v>
      </c>
      <c r="P930" s="164">
        <f t="array" ref="P930">XLOOKUP('FACUS$'!$B930,'perfil de pagos'!$A$4:$A$46,'perfil de pagos'!$C$4:$C$46+'FACUS$'!$D930)</f>
        <v>43902</v>
      </c>
      <c r="Q930" s="165">
        <f t="shared" si="2"/>
        <v>0</v>
      </c>
      <c r="R930" s="167"/>
      <c r="S930" s="167"/>
      <c r="T930" s="167">
        <v>19.776</v>
      </c>
      <c r="U930" s="334" t="s">
        <v>7271</v>
      </c>
      <c r="V930" s="168">
        <f t="shared" si="3"/>
        <v>4750.2</v>
      </c>
      <c r="W930" s="168">
        <f t="shared" si="4"/>
        <v>0</v>
      </c>
      <c r="X930" s="168">
        <f t="shared" si="5"/>
        <v>0</v>
      </c>
      <c r="Y930" s="168">
        <f t="shared" si="6"/>
        <v>0</v>
      </c>
      <c r="Z930" s="168">
        <f t="shared" si="7"/>
        <v>0</v>
      </c>
      <c r="AA930" s="168">
        <f t="shared" si="8"/>
        <v>0</v>
      </c>
      <c r="AB930" s="168">
        <f t="shared" si="9"/>
        <v>0</v>
      </c>
    </row>
    <row r="931" ht="14.25" customHeight="1">
      <c r="A931" s="157" t="s">
        <v>7745</v>
      </c>
      <c r="B931" s="169" t="s">
        <v>43</v>
      </c>
      <c r="C931" s="169" t="s">
        <v>1342</v>
      </c>
      <c r="D931" s="336">
        <v>43894.0</v>
      </c>
      <c r="E931" s="157" t="s">
        <v>600</v>
      </c>
      <c r="F931" s="160">
        <v>43886.49</v>
      </c>
      <c r="G931" s="160">
        <v>7021.84</v>
      </c>
      <c r="H931" s="160">
        <f t="shared" si="30"/>
        <v>50908.33</v>
      </c>
      <c r="I931" s="172"/>
      <c r="J931" s="169"/>
      <c r="K931" s="172"/>
      <c r="L931" s="172">
        <f>+'FACUS$'!$H931-'FACUS$'!$I931-'FACUS$'!$K931</f>
        <v>50908.33</v>
      </c>
      <c r="M931" s="162" t="s">
        <v>43</v>
      </c>
      <c r="N931" s="337" t="s">
        <v>554</v>
      </c>
      <c r="O931" s="338">
        <v>43903.0</v>
      </c>
      <c r="P931" s="164">
        <f t="array" ref="P931">XLOOKUP('FACUS$'!$B931,'perfil de pagos'!$A$4:$A$46,'perfil de pagos'!$C$4:$C$46+'FACUS$'!$D931)</f>
        <v>43919</v>
      </c>
      <c r="Q931" s="165">
        <f t="shared" si="2"/>
        <v>0</v>
      </c>
      <c r="R931" s="167"/>
      <c r="S931" s="167" t="s">
        <v>910</v>
      </c>
      <c r="T931" s="167">
        <v>19.2837</v>
      </c>
      <c r="U931" s="334" t="s">
        <v>7271</v>
      </c>
      <c r="V931" s="168">
        <f t="shared" si="3"/>
        <v>50908.33</v>
      </c>
      <c r="W931" s="168">
        <f t="shared" si="4"/>
        <v>0</v>
      </c>
      <c r="X931" s="168">
        <f t="shared" si="5"/>
        <v>0</v>
      </c>
      <c r="Y931" s="168">
        <f t="shared" si="6"/>
        <v>0</v>
      </c>
      <c r="Z931" s="168">
        <f t="shared" si="7"/>
        <v>0</v>
      </c>
      <c r="AA931" s="168">
        <f t="shared" si="8"/>
        <v>0</v>
      </c>
      <c r="AB931" s="168">
        <f t="shared" si="9"/>
        <v>0</v>
      </c>
    </row>
    <row r="932" ht="14.25" customHeight="1">
      <c r="A932" s="157" t="s">
        <v>7746</v>
      </c>
      <c r="B932" s="169" t="s">
        <v>30</v>
      </c>
      <c r="C932" s="169" t="s">
        <v>1342</v>
      </c>
      <c r="D932" s="336">
        <v>43895.0</v>
      </c>
      <c r="E932" s="157" t="s">
        <v>600</v>
      </c>
      <c r="F932" s="160">
        <v>7848.77</v>
      </c>
      <c r="G932" s="160">
        <v>1255.8</v>
      </c>
      <c r="H932" s="160">
        <f t="shared" si="30"/>
        <v>9104.57</v>
      </c>
      <c r="I932" s="172"/>
      <c r="J932" s="169"/>
      <c r="K932" s="172"/>
      <c r="L932" s="172">
        <f>+'FACUS$'!$H932-'FACUS$'!$I932-'FACUS$'!$K932</f>
        <v>9104.57</v>
      </c>
      <c r="M932" s="162" t="s">
        <v>7415</v>
      </c>
      <c r="N932" s="337" t="s">
        <v>127</v>
      </c>
      <c r="O932" s="338">
        <v>45063.0</v>
      </c>
      <c r="P932" s="164">
        <f t="array" ref="P932">XLOOKUP('FACUS$'!$B932,'perfil de pagos'!$A$4:$A$46,'perfil de pagos'!$C$4:$C$46+'FACUS$'!$D932)</f>
        <v>43905</v>
      </c>
      <c r="Q932" s="165" t="str">
        <f t="shared" si="2"/>
        <v>N/A</v>
      </c>
      <c r="R932" s="220" t="s">
        <v>7747</v>
      </c>
      <c r="S932" s="167"/>
      <c r="T932" s="167">
        <v>19.5335</v>
      </c>
      <c r="U932" s="334" t="s">
        <v>7271</v>
      </c>
      <c r="V932" s="168">
        <f t="shared" si="3"/>
        <v>0</v>
      </c>
      <c r="W932" s="168">
        <f t="shared" si="4"/>
        <v>0</v>
      </c>
      <c r="X932" s="168">
        <f t="shared" si="5"/>
        <v>0</v>
      </c>
      <c r="Y932" s="168">
        <f t="shared" si="6"/>
        <v>0</v>
      </c>
      <c r="Z932" s="168">
        <f t="shared" si="7"/>
        <v>0</v>
      </c>
      <c r="AA932" s="168">
        <f t="shared" si="8"/>
        <v>0</v>
      </c>
      <c r="AB932" s="168">
        <f t="shared" si="9"/>
        <v>9104.57</v>
      </c>
    </row>
    <row r="933" ht="14.25" customHeight="1">
      <c r="A933" s="157" t="s">
        <v>7748</v>
      </c>
      <c r="B933" s="169" t="s">
        <v>41</v>
      </c>
      <c r="C933" s="169" t="s">
        <v>1342</v>
      </c>
      <c r="D933" s="336">
        <v>43895.0</v>
      </c>
      <c r="E933" s="157" t="s">
        <v>600</v>
      </c>
      <c r="F933" s="160">
        <v>12852.03</v>
      </c>
      <c r="G933" s="160">
        <v>2056.32</v>
      </c>
      <c r="H933" s="160">
        <f t="shared" si="30"/>
        <v>14908.35</v>
      </c>
      <c r="I933" s="172"/>
      <c r="J933" s="169"/>
      <c r="K933" s="172"/>
      <c r="L933" s="172">
        <f>+'FACUS$'!$H933-'FACUS$'!$I933-'FACUS$'!$K933</f>
        <v>14908.35</v>
      </c>
      <c r="M933" s="162" t="s">
        <v>875</v>
      </c>
      <c r="N933" s="337" t="s">
        <v>554</v>
      </c>
      <c r="O933" s="338">
        <v>43966.0</v>
      </c>
      <c r="P933" s="164">
        <f t="array" ref="P933">XLOOKUP('FACUS$'!$B933,'perfil de pagos'!$A$4:$A$46,'perfil de pagos'!$C$4:$C$46+'FACUS$'!$D933)</f>
        <v>43905</v>
      </c>
      <c r="Q933" s="165">
        <f t="shared" si="2"/>
        <v>0</v>
      </c>
      <c r="R933" s="167"/>
      <c r="S933" s="220" t="s">
        <v>910</v>
      </c>
      <c r="T933" s="167">
        <v>19.5335</v>
      </c>
      <c r="U933" s="334" t="s">
        <v>7271</v>
      </c>
      <c r="V933" s="168">
        <f t="shared" si="3"/>
        <v>14908.35</v>
      </c>
      <c r="W933" s="168">
        <f t="shared" si="4"/>
        <v>0</v>
      </c>
      <c r="X933" s="168">
        <f t="shared" si="5"/>
        <v>0</v>
      </c>
      <c r="Y933" s="168">
        <f t="shared" si="6"/>
        <v>0</v>
      </c>
      <c r="Z933" s="168">
        <f t="shared" si="7"/>
        <v>0</v>
      </c>
      <c r="AA933" s="168">
        <f t="shared" si="8"/>
        <v>0</v>
      </c>
      <c r="AB933" s="168">
        <f t="shared" si="9"/>
        <v>0</v>
      </c>
    </row>
    <row r="934" ht="14.25" customHeight="1">
      <c r="A934" s="157" t="s">
        <v>7749</v>
      </c>
      <c r="B934" s="169" t="s">
        <v>33</v>
      </c>
      <c r="C934" s="169" t="s">
        <v>1342</v>
      </c>
      <c r="D934" s="336">
        <v>43895.0</v>
      </c>
      <c r="E934" s="157" t="s">
        <v>600</v>
      </c>
      <c r="F934" s="160">
        <v>41524.84</v>
      </c>
      <c r="G934" s="160">
        <v>6643.97</v>
      </c>
      <c r="H934" s="160">
        <f t="shared" si="30"/>
        <v>48168.81</v>
      </c>
      <c r="I934" s="172"/>
      <c r="J934" s="169"/>
      <c r="K934" s="172"/>
      <c r="L934" s="172">
        <f>+'FACUS$'!$H934-'FACUS$'!$I934-'FACUS$'!$K934</f>
        <v>48168.81</v>
      </c>
      <c r="M934" s="162" t="s">
        <v>958</v>
      </c>
      <c r="N934" s="337" t="s">
        <v>554</v>
      </c>
      <c r="O934" s="338">
        <v>43907.0</v>
      </c>
      <c r="P934" s="164">
        <f t="array" ref="P934">XLOOKUP('FACUS$'!$B934,'perfil de pagos'!$A$4:$A$46,'perfil de pagos'!$C$4:$C$46+'FACUS$'!$D934)</f>
        <v>43905</v>
      </c>
      <c r="Q934" s="165">
        <f t="shared" si="2"/>
        <v>0</v>
      </c>
      <c r="R934" s="167"/>
      <c r="S934" s="167"/>
      <c r="T934" s="167">
        <v>19.5335</v>
      </c>
      <c r="U934" s="334" t="s">
        <v>7271</v>
      </c>
      <c r="V934" s="168">
        <f t="shared" si="3"/>
        <v>48168.81</v>
      </c>
      <c r="W934" s="168">
        <f t="shared" si="4"/>
        <v>0</v>
      </c>
      <c r="X934" s="168">
        <f t="shared" si="5"/>
        <v>0</v>
      </c>
      <c r="Y934" s="168">
        <f t="shared" si="6"/>
        <v>0</v>
      </c>
      <c r="Z934" s="168">
        <f t="shared" si="7"/>
        <v>0</v>
      </c>
      <c r="AA934" s="168">
        <f t="shared" si="8"/>
        <v>0</v>
      </c>
      <c r="AB934" s="168">
        <f t="shared" si="9"/>
        <v>0</v>
      </c>
    </row>
    <row r="935" ht="14.25" customHeight="1">
      <c r="A935" s="157" t="s">
        <v>7750</v>
      </c>
      <c r="B935" s="169" t="s">
        <v>35</v>
      </c>
      <c r="C935" s="169" t="s">
        <v>1342</v>
      </c>
      <c r="D935" s="336">
        <v>43895.0</v>
      </c>
      <c r="E935" s="157" t="s">
        <v>600</v>
      </c>
      <c r="F935" s="160">
        <v>16887.92</v>
      </c>
      <c r="G935" s="160">
        <v>2702.07</v>
      </c>
      <c r="H935" s="160">
        <f t="shared" si="30"/>
        <v>19589.99</v>
      </c>
      <c r="I935" s="172"/>
      <c r="J935" s="169"/>
      <c r="K935" s="172"/>
      <c r="L935" s="172">
        <f>+'FACUS$'!$H935-'FACUS$'!$I935-'FACUS$'!$K935</f>
        <v>19589.99</v>
      </c>
      <c r="M935" s="162" t="s">
        <v>276</v>
      </c>
      <c r="N935" s="337" t="s">
        <v>554</v>
      </c>
      <c r="O935" s="338">
        <v>43929.0</v>
      </c>
      <c r="P935" s="164">
        <f t="array" ref="P935">XLOOKUP('FACUS$'!$B935,'perfil de pagos'!$A$4:$A$46,'perfil de pagos'!$C$4:$C$46+'FACUS$'!$D935)</f>
        <v>43905</v>
      </c>
      <c r="Q935" s="165">
        <f t="shared" si="2"/>
        <v>0</v>
      </c>
      <c r="R935" s="167"/>
      <c r="S935" s="167" t="s">
        <v>910</v>
      </c>
      <c r="T935" s="167">
        <v>19.5335</v>
      </c>
      <c r="U935" s="334" t="s">
        <v>7271</v>
      </c>
      <c r="V935" s="168">
        <f t="shared" si="3"/>
        <v>19589.99</v>
      </c>
      <c r="W935" s="168">
        <f t="shared" si="4"/>
        <v>0</v>
      </c>
      <c r="X935" s="168">
        <f t="shared" si="5"/>
        <v>0</v>
      </c>
      <c r="Y935" s="168">
        <f t="shared" si="6"/>
        <v>0</v>
      </c>
      <c r="Z935" s="168">
        <f t="shared" si="7"/>
        <v>0</v>
      </c>
      <c r="AA935" s="168">
        <f t="shared" si="8"/>
        <v>0</v>
      </c>
      <c r="AB935" s="168">
        <f t="shared" si="9"/>
        <v>0</v>
      </c>
    </row>
    <row r="936" ht="14.25" customHeight="1">
      <c r="A936" s="157" t="s">
        <v>7751</v>
      </c>
      <c r="B936" s="169" t="s">
        <v>36</v>
      </c>
      <c r="C936" s="169" t="s">
        <v>1342</v>
      </c>
      <c r="D936" s="336">
        <v>43895.0</v>
      </c>
      <c r="E936" s="157" t="s">
        <v>600</v>
      </c>
      <c r="F936" s="160">
        <v>2543.48</v>
      </c>
      <c r="G936" s="160">
        <v>406.96</v>
      </c>
      <c r="H936" s="160">
        <f t="shared" si="30"/>
        <v>2950.44</v>
      </c>
      <c r="I936" s="172"/>
      <c r="J936" s="169"/>
      <c r="K936" s="172"/>
      <c r="L936" s="172">
        <f>+'FACUS$'!$H936-'FACUS$'!$I936-'FACUS$'!$K936</f>
        <v>2950.44</v>
      </c>
      <c r="M936" s="162" t="s">
        <v>278</v>
      </c>
      <c r="N936" s="337" t="s">
        <v>554</v>
      </c>
      <c r="O936" s="338">
        <v>43976.0</v>
      </c>
      <c r="P936" s="164">
        <f t="array" ref="P936">XLOOKUP('FACUS$'!$B936,'perfil de pagos'!$A$4:$A$46,'perfil de pagos'!$C$4:$C$46+'FACUS$'!$D936)</f>
        <v>43905</v>
      </c>
      <c r="Q936" s="165">
        <f t="shared" si="2"/>
        <v>0</v>
      </c>
      <c r="R936" s="167" t="s">
        <v>7752</v>
      </c>
      <c r="S936" s="220" t="s">
        <v>910</v>
      </c>
      <c r="T936" s="167">
        <v>19.5335</v>
      </c>
      <c r="U936" s="334" t="s">
        <v>7271</v>
      </c>
      <c r="V936" s="168">
        <f t="shared" si="3"/>
        <v>2950.44</v>
      </c>
      <c r="W936" s="168">
        <f t="shared" si="4"/>
        <v>0</v>
      </c>
      <c r="X936" s="168">
        <f t="shared" si="5"/>
        <v>0</v>
      </c>
      <c r="Y936" s="168">
        <f t="shared" si="6"/>
        <v>0</v>
      </c>
      <c r="Z936" s="168">
        <f t="shared" si="7"/>
        <v>0</v>
      </c>
      <c r="AA936" s="168">
        <f t="shared" si="8"/>
        <v>0</v>
      </c>
      <c r="AB936" s="168">
        <f t="shared" si="9"/>
        <v>0</v>
      </c>
    </row>
    <row r="937" ht="14.25" customHeight="1">
      <c r="A937" s="157" t="s">
        <v>7753</v>
      </c>
      <c r="B937" s="169" t="s">
        <v>1127</v>
      </c>
      <c r="C937" s="169" t="s">
        <v>1342</v>
      </c>
      <c r="D937" s="336">
        <v>43895.0</v>
      </c>
      <c r="E937" s="157" t="s">
        <v>600</v>
      </c>
      <c r="F937" s="160">
        <v>5800.65</v>
      </c>
      <c r="G937" s="160">
        <v>928.1</v>
      </c>
      <c r="H937" s="160">
        <f t="shared" si="30"/>
        <v>6728.75</v>
      </c>
      <c r="I937" s="172"/>
      <c r="J937" s="169"/>
      <c r="K937" s="172"/>
      <c r="L937" s="172">
        <f>+'FACUS$'!$H937-'FACUS$'!$I937-'FACUS$'!$K937</f>
        <v>6728.75</v>
      </c>
      <c r="M937" s="162" t="s">
        <v>580</v>
      </c>
      <c r="N937" s="337" t="s">
        <v>554</v>
      </c>
      <c r="O937" s="338">
        <v>43910.0</v>
      </c>
      <c r="P937" s="164" t="str">
        <f t="array" ref="P937">XLOOKUP('FACUS$'!$B937,'perfil de pagos'!$A$4:$A$46,'perfil de pagos'!$C$4:$C$46+'FACUS$'!$D937)</f>
        <v>#N/A</v>
      </c>
      <c r="Q937" s="165">
        <f t="shared" si="2"/>
        <v>0</v>
      </c>
      <c r="R937" s="167" t="s">
        <v>7754</v>
      </c>
      <c r="S937" s="167" t="s">
        <v>910</v>
      </c>
      <c r="T937" s="167">
        <v>19.5335</v>
      </c>
      <c r="U937" s="334" t="s">
        <v>7271</v>
      </c>
      <c r="V937" s="168">
        <f t="shared" si="3"/>
        <v>6728.75</v>
      </c>
      <c r="W937" s="168">
        <f t="shared" si="4"/>
        <v>0</v>
      </c>
      <c r="X937" s="168">
        <f t="shared" si="5"/>
        <v>0</v>
      </c>
      <c r="Y937" s="168">
        <f t="shared" si="6"/>
        <v>0</v>
      </c>
      <c r="Z937" s="168">
        <f t="shared" si="7"/>
        <v>0</v>
      </c>
      <c r="AA937" s="168">
        <f t="shared" si="8"/>
        <v>0</v>
      </c>
      <c r="AB937" s="168">
        <f t="shared" si="9"/>
        <v>0</v>
      </c>
    </row>
    <row r="938" ht="14.25" customHeight="1">
      <c r="A938" s="157" t="s">
        <v>7755</v>
      </c>
      <c r="B938" s="169" t="s">
        <v>18</v>
      </c>
      <c r="C938" s="169" t="s">
        <v>7756</v>
      </c>
      <c r="D938" s="336">
        <v>43902.0</v>
      </c>
      <c r="E938" s="157" t="s">
        <v>600</v>
      </c>
      <c r="F938" s="160">
        <v>9590.37</v>
      </c>
      <c r="G938" s="160">
        <v>1534.46</v>
      </c>
      <c r="H938" s="160">
        <f t="shared" si="30"/>
        <v>11124.83</v>
      </c>
      <c r="I938" s="172"/>
      <c r="J938" s="169"/>
      <c r="K938" s="172"/>
      <c r="L938" s="172">
        <f>+'FACUS$'!$H938-'FACUS$'!$I938-'FACUS$'!$K938</f>
        <v>11124.83</v>
      </c>
      <c r="M938" s="162" t="s">
        <v>586</v>
      </c>
      <c r="N938" s="337" t="s">
        <v>554</v>
      </c>
      <c r="O938" s="338">
        <v>43980.0</v>
      </c>
      <c r="P938" s="164">
        <f t="array" ref="P938">XLOOKUP('FACUS$'!$B938,'perfil de pagos'!$A$4:$A$46,'perfil de pagos'!$C$4:$C$46+'FACUS$'!$D938)</f>
        <v>43912</v>
      </c>
      <c r="Q938" s="165">
        <f t="shared" si="2"/>
        <v>0</v>
      </c>
      <c r="R938" s="167"/>
      <c r="S938" s="220" t="s">
        <v>910</v>
      </c>
      <c r="T938" s="167">
        <v>21.213</v>
      </c>
      <c r="U938" s="334" t="s">
        <v>7271</v>
      </c>
      <c r="V938" s="168">
        <f t="shared" si="3"/>
        <v>11124.83</v>
      </c>
      <c r="W938" s="168">
        <f t="shared" si="4"/>
        <v>0</v>
      </c>
      <c r="X938" s="168">
        <f t="shared" si="5"/>
        <v>0</v>
      </c>
      <c r="Y938" s="168">
        <f t="shared" si="6"/>
        <v>0</v>
      </c>
      <c r="Z938" s="168">
        <f t="shared" si="7"/>
        <v>0</v>
      </c>
      <c r="AA938" s="168">
        <f t="shared" si="8"/>
        <v>0</v>
      </c>
      <c r="AB938" s="168">
        <f t="shared" si="9"/>
        <v>0</v>
      </c>
    </row>
    <row r="939" ht="14.25" customHeight="1">
      <c r="A939" s="157" t="s">
        <v>7757</v>
      </c>
      <c r="B939" s="169" t="s">
        <v>37</v>
      </c>
      <c r="C939" s="169" t="s">
        <v>1342</v>
      </c>
      <c r="D939" s="336">
        <v>43902.0</v>
      </c>
      <c r="E939" s="157" t="s">
        <v>600</v>
      </c>
      <c r="F939" s="160">
        <v>89846.98</v>
      </c>
      <c r="G939" s="160">
        <v>14375.52</v>
      </c>
      <c r="H939" s="160">
        <f t="shared" si="30"/>
        <v>104222.5</v>
      </c>
      <c r="I939" s="172"/>
      <c r="J939" s="169"/>
      <c r="K939" s="172"/>
      <c r="L939" s="172">
        <f>+'FACUS$'!$H939-'FACUS$'!$I939-'FACUS$'!$K939</f>
        <v>104222.5</v>
      </c>
      <c r="M939" s="162" t="s">
        <v>116</v>
      </c>
      <c r="N939" s="337" t="s">
        <v>554</v>
      </c>
      <c r="O939" s="338">
        <v>43956.0</v>
      </c>
      <c r="P939" s="164">
        <f t="array" ref="P939">XLOOKUP('FACUS$'!$B939,'perfil de pagos'!$A$4:$A$46,'perfil de pagos'!$C$4:$C$46+'FACUS$'!$D939)</f>
        <v>43912</v>
      </c>
      <c r="Q939" s="165">
        <f t="shared" si="2"/>
        <v>0</v>
      </c>
      <c r="R939" s="167" t="s">
        <v>7758</v>
      </c>
      <c r="S939" s="167" t="s">
        <v>910</v>
      </c>
      <c r="T939" s="167">
        <v>21.213</v>
      </c>
      <c r="U939" s="334" t="s">
        <v>7271</v>
      </c>
      <c r="V939" s="168">
        <f t="shared" si="3"/>
        <v>104222.5</v>
      </c>
      <c r="W939" s="168">
        <f t="shared" si="4"/>
        <v>0</v>
      </c>
      <c r="X939" s="168">
        <f t="shared" si="5"/>
        <v>0</v>
      </c>
      <c r="Y939" s="168">
        <f t="shared" si="6"/>
        <v>0</v>
      </c>
      <c r="Z939" s="168">
        <f t="shared" si="7"/>
        <v>0</v>
      </c>
      <c r="AA939" s="168">
        <f t="shared" si="8"/>
        <v>0</v>
      </c>
      <c r="AB939" s="168">
        <f t="shared" si="9"/>
        <v>0</v>
      </c>
    </row>
    <row r="940" ht="14.25" customHeight="1">
      <c r="A940" s="157" t="s">
        <v>7759</v>
      </c>
      <c r="B940" s="169" t="s">
        <v>41</v>
      </c>
      <c r="C940" s="169" t="s">
        <v>563</v>
      </c>
      <c r="D940" s="336">
        <v>43903.0</v>
      </c>
      <c r="E940" s="157" t="s">
        <v>600</v>
      </c>
      <c r="F940" s="160">
        <v>37178.65</v>
      </c>
      <c r="G940" s="160">
        <v>5948.58</v>
      </c>
      <c r="H940" s="160">
        <f t="shared" si="30"/>
        <v>43127.23</v>
      </c>
      <c r="I940" s="172"/>
      <c r="J940" s="169"/>
      <c r="K940" s="172"/>
      <c r="L940" s="172">
        <f>+'FACUS$'!$H940-'FACUS$'!$I940-'FACUS$'!$K940</f>
        <v>43127.23</v>
      </c>
      <c r="M940" s="162" t="s">
        <v>875</v>
      </c>
      <c r="N940" s="337" t="s">
        <v>554</v>
      </c>
      <c r="O940" s="338">
        <v>43950.0</v>
      </c>
      <c r="P940" s="164">
        <f t="array" ref="P940">XLOOKUP('FACUS$'!$B940,'perfil de pagos'!$A$4:$A$46,'perfil de pagos'!$C$4:$C$46+'FACUS$'!$D940)</f>
        <v>43913</v>
      </c>
      <c r="Q940" s="165">
        <f t="shared" si="2"/>
        <v>0</v>
      </c>
      <c r="R940" s="167"/>
      <c r="S940" s="167"/>
      <c r="T940" s="167">
        <v>21.213</v>
      </c>
      <c r="U940" s="334" t="s">
        <v>7271</v>
      </c>
      <c r="V940" s="168">
        <f t="shared" si="3"/>
        <v>43127.23</v>
      </c>
      <c r="W940" s="168">
        <f t="shared" si="4"/>
        <v>0</v>
      </c>
      <c r="X940" s="168">
        <f t="shared" si="5"/>
        <v>0</v>
      </c>
      <c r="Y940" s="168">
        <f t="shared" si="6"/>
        <v>0</v>
      </c>
      <c r="Z940" s="168">
        <f t="shared" si="7"/>
        <v>0</v>
      </c>
      <c r="AA940" s="168">
        <f t="shared" si="8"/>
        <v>0</v>
      </c>
      <c r="AB940" s="168">
        <f t="shared" si="9"/>
        <v>0</v>
      </c>
    </row>
    <row r="941" ht="14.25" customHeight="1">
      <c r="A941" s="157" t="s">
        <v>7760</v>
      </c>
      <c r="B941" s="169" t="s">
        <v>30</v>
      </c>
      <c r="C941" s="169" t="s">
        <v>1380</v>
      </c>
      <c r="D941" s="336">
        <v>43909.0</v>
      </c>
      <c r="E941" s="157" t="s">
        <v>600</v>
      </c>
      <c r="F941" s="160">
        <v>7046.23</v>
      </c>
      <c r="G941" s="160">
        <v>1127.4</v>
      </c>
      <c r="H941" s="160">
        <f t="shared" si="30"/>
        <v>8173.63</v>
      </c>
      <c r="I941" s="172"/>
      <c r="J941" s="169"/>
      <c r="K941" s="172"/>
      <c r="L941" s="172">
        <f>+'FACUS$'!$H941-'FACUS$'!$I941-'FACUS$'!$K941</f>
        <v>8173.63</v>
      </c>
      <c r="M941" s="162" t="s">
        <v>7415</v>
      </c>
      <c r="N941" s="337" t="s">
        <v>127</v>
      </c>
      <c r="O941" s="338">
        <v>45063.0</v>
      </c>
      <c r="P941" s="164">
        <f t="array" ref="P941">XLOOKUP('FACUS$'!$B941,'perfil de pagos'!$A$4:$A$46,'perfil de pagos'!$C$4:$C$46+'FACUS$'!$D941)</f>
        <v>43919</v>
      </c>
      <c r="Q941" s="165" t="str">
        <f t="shared" si="2"/>
        <v>N/A</v>
      </c>
      <c r="R941" s="220" t="s">
        <v>7747</v>
      </c>
      <c r="S941" s="167"/>
      <c r="T941" s="167">
        <v>23.9008</v>
      </c>
      <c r="U941" s="334" t="s">
        <v>7271</v>
      </c>
      <c r="V941" s="168">
        <f t="shared" si="3"/>
        <v>0</v>
      </c>
      <c r="W941" s="168">
        <f t="shared" si="4"/>
        <v>0</v>
      </c>
      <c r="X941" s="168">
        <f t="shared" si="5"/>
        <v>0</v>
      </c>
      <c r="Y941" s="168">
        <f t="shared" si="6"/>
        <v>0</v>
      </c>
      <c r="Z941" s="168">
        <f t="shared" si="7"/>
        <v>0</v>
      </c>
      <c r="AA941" s="168">
        <f t="shared" si="8"/>
        <v>0</v>
      </c>
      <c r="AB941" s="168">
        <f t="shared" si="9"/>
        <v>8173.63</v>
      </c>
    </row>
    <row r="942" ht="14.25" customHeight="1">
      <c r="A942" s="157" t="s">
        <v>7761</v>
      </c>
      <c r="B942" s="169" t="s">
        <v>33</v>
      </c>
      <c r="C942" s="169" t="s">
        <v>1380</v>
      </c>
      <c r="D942" s="336">
        <v>43909.0</v>
      </c>
      <c r="E942" s="157" t="s">
        <v>600</v>
      </c>
      <c r="F942" s="160">
        <v>37882.49</v>
      </c>
      <c r="G942" s="160">
        <v>6061.2</v>
      </c>
      <c r="H942" s="160">
        <f t="shared" si="30"/>
        <v>43943.69</v>
      </c>
      <c r="I942" s="172"/>
      <c r="J942" s="169"/>
      <c r="K942" s="172"/>
      <c r="L942" s="172">
        <f>+'FACUS$'!$H942-'FACUS$'!$I942-'FACUS$'!$K942</f>
        <v>43943.69</v>
      </c>
      <c r="M942" s="162" t="s">
        <v>958</v>
      </c>
      <c r="N942" s="337" t="s">
        <v>554</v>
      </c>
      <c r="O942" s="338">
        <v>43920.0</v>
      </c>
      <c r="P942" s="164">
        <f t="array" ref="P942">XLOOKUP('FACUS$'!$B942,'perfil de pagos'!$A$4:$A$46,'perfil de pagos'!$C$4:$C$46+'FACUS$'!$D942)</f>
        <v>43919</v>
      </c>
      <c r="Q942" s="165">
        <f t="shared" si="2"/>
        <v>0</v>
      </c>
      <c r="R942" s="167"/>
      <c r="S942" s="167" t="s">
        <v>910</v>
      </c>
      <c r="T942" s="167">
        <v>23.9008</v>
      </c>
      <c r="U942" s="334" t="s">
        <v>7271</v>
      </c>
      <c r="V942" s="168">
        <f t="shared" si="3"/>
        <v>43943.69</v>
      </c>
      <c r="W942" s="168">
        <f t="shared" si="4"/>
        <v>0</v>
      </c>
      <c r="X942" s="168">
        <f t="shared" si="5"/>
        <v>0</v>
      </c>
      <c r="Y942" s="168">
        <f t="shared" si="6"/>
        <v>0</v>
      </c>
      <c r="Z942" s="168">
        <f t="shared" si="7"/>
        <v>0</v>
      </c>
      <c r="AA942" s="168">
        <f t="shared" si="8"/>
        <v>0</v>
      </c>
      <c r="AB942" s="168">
        <f t="shared" si="9"/>
        <v>0</v>
      </c>
    </row>
    <row r="943" ht="14.25" customHeight="1">
      <c r="A943" s="157" t="s">
        <v>7762</v>
      </c>
      <c r="B943" s="169" t="s">
        <v>35</v>
      </c>
      <c r="C943" s="169" t="s">
        <v>1380</v>
      </c>
      <c r="D943" s="336">
        <v>43909.0</v>
      </c>
      <c r="E943" s="157" t="s">
        <v>600</v>
      </c>
      <c r="F943" s="160">
        <v>13531.58</v>
      </c>
      <c r="G943" s="160">
        <v>2165.05</v>
      </c>
      <c r="H943" s="160">
        <f t="shared" si="30"/>
        <v>15696.63</v>
      </c>
      <c r="I943" s="172"/>
      <c r="J943" s="169"/>
      <c r="K943" s="172"/>
      <c r="L943" s="172">
        <f>+'FACUS$'!$H943-'FACUS$'!$I943-'FACUS$'!$K943</f>
        <v>15696.63</v>
      </c>
      <c r="M943" s="162" t="s">
        <v>276</v>
      </c>
      <c r="N943" s="337" t="s">
        <v>554</v>
      </c>
      <c r="O943" s="338">
        <v>43938.0</v>
      </c>
      <c r="P943" s="164">
        <f t="array" ref="P943">XLOOKUP('FACUS$'!$B943,'perfil de pagos'!$A$4:$A$46,'perfil de pagos'!$C$4:$C$46+'FACUS$'!$D943)</f>
        <v>43919</v>
      </c>
      <c r="Q943" s="165">
        <f t="shared" si="2"/>
        <v>0</v>
      </c>
      <c r="R943" s="167"/>
      <c r="S943" s="220" t="s">
        <v>910</v>
      </c>
      <c r="T943" s="167">
        <v>23.9008</v>
      </c>
      <c r="U943" s="334" t="s">
        <v>7271</v>
      </c>
      <c r="V943" s="168">
        <f t="shared" si="3"/>
        <v>15696.63</v>
      </c>
      <c r="W943" s="168">
        <f t="shared" si="4"/>
        <v>0</v>
      </c>
      <c r="X943" s="168">
        <f t="shared" si="5"/>
        <v>0</v>
      </c>
      <c r="Y943" s="168">
        <f t="shared" si="6"/>
        <v>0</v>
      </c>
      <c r="Z943" s="168">
        <f t="shared" si="7"/>
        <v>0</v>
      </c>
      <c r="AA943" s="168">
        <f t="shared" si="8"/>
        <v>0</v>
      </c>
      <c r="AB943" s="168">
        <f t="shared" si="9"/>
        <v>0</v>
      </c>
    </row>
    <row r="944" ht="14.25" customHeight="1">
      <c r="A944" s="157" t="s">
        <v>7763</v>
      </c>
      <c r="B944" s="169" t="s">
        <v>36</v>
      </c>
      <c r="C944" s="169" t="s">
        <v>1380</v>
      </c>
      <c r="D944" s="336">
        <v>43909.0</v>
      </c>
      <c r="E944" s="157" t="s">
        <v>600</v>
      </c>
      <c r="F944" s="160">
        <v>2158.13</v>
      </c>
      <c r="G944" s="160">
        <v>345.3</v>
      </c>
      <c r="H944" s="160">
        <f t="shared" si="30"/>
        <v>2503.43</v>
      </c>
      <c r="I944" s="172"/>
      <c r="J944" s="169"/>
      <c r="K944" s="172"/>
      <c r="L944" s="172">
        <f>+'FACUS$'!$H944-'FACUS$'!$I944-'FACUS$'!$K944</f>
        <v>2503.43</v>
      </c>
      <c r="M944" s="162" t="s">
        <v>278</v>
      </c>
      <c r="N944" s="337" t="s">
        <v>554</v>
      </c>
      <c r="O944" s="338">
        <v>43965.0</v>
      </c>
      <c r="P944" s="164">
        <f t="array" ref="P944">XLOOKUP('FACUS$'!$B944,'perfil de pagos'!$A$4:$A$46,'perfil de pagos'!$C$4:$C$46+'FACUS$'!$D944)</f>
        <v>43919</v>
      </c>
      <c r="Q944" s="165">
        <f t="shared" si="2"/>
        <v>0</v>
      </c>
      <c r="R944" s="167" t="s">
        <v>7764</v>
      </c>
      <c r="S944" s="220" t="s">
        <v>910</v>
      </c>
      <c r="T944" s="167">
        <v>23.9008</v>
      </c>
      <c r="U944" s="334" t="s">
        <v>7271</v>
      </c>
      <c r="V944" s="168">
        <f t="shared" si="3"/>
        <v>2503.43</v>
      </c>
      <c r="W944" s="168">
        <f t="shared" si="4"/>
        <v>0</v>
      </c>
      <c r="X944" s="168">
        <f t="shared" si="5"/>
        <v>0</v>
      </c>
      <c r="Y944" s="168">
        <f t="shared" si="6"/>
        <v>0</v>
      </c>
      <c r="Z944" s="168">
        <f t="shared" si="7"/>
        <v>0</v>
      </c>
      <c r="AA944" s="168">
        <f t="shared" si="8"/>
        <v>0</v>
      </c>
      <c r="AB944" s="168">
        <f t="shared" si="9"/>
        <v>0</v>
      </c>
    </row>
    <row r="945" ht="14.25" customHeight="1">
      <c r="A945" s="157" t="s">
        <v>7765</v>
      </c>
      <c r="B945" s="169" t="s">
        <v>1127</v>
      </c>
      <c r="C945" s="169" t="s">
        <v>1380</v>
      </c>
      <c r="D945" s="336">
        <v>43909.0</v>
      </c>
      <c r="E945" s="157" t="s">
        <v>600</v>
      </c>
      <c r="F945" s="160">
        <v>18037.51</v>
      </c>
      <c r="G945" s="160">
        <v>2886.0</v>
      </c>
      <c r="H945" s="160">
        <f t="shared" si="30"/>
        <v>20923.51</v>
      </c>
      <c r="I945" s="172"/>
      <c r="J945" s="169"/>
      <c r="K945" s="172"/>
      <c r="L945" s="172">
        <f>+'FACUS$'!$H945-'FACUS$'!$I945-'FACUS$'!$K945</f>
        <v>20923.51</v>
      </c>
      <c r="M945" s="162" t="s">
        <v>580</v>
      </c>
      <c r="N945" s="337" t="s">
        <v>554</v>
      </c>
      <c r="O945" s="338">
        <v>43917.0</v>
      </c>
      <c r="P945" s="164" t="str">
        <f t="array" ref="P945">XLOOKUP('FACUS$'!$B945,'perfil de pagos'!$A$4:$A$46,'perfil de pagos'!$C$4:$C$46+'FACUS$'!$D945)</f>
        <v>#N/A</v>
      </c>
      <c r="Q945" s="165">
        <f t="shared" si="2"/>
        <v>0</v>
      </c>
      <c r="R945" s="167" t="s">
        <v>7766</v>
      </c>
      <c r="S945" s="167" t="s">
        <v>910</v>
      </c>
      <c r="T945" s="167">
        <v>23.9008</v>
      </c>
      <c r="U945" s="334" t="s">
        <v>7271</v>
      </c>
      <c r="V945" s="168">
        <f t="shared" si="3"/>
        <v>20923.51</v>
      </c>
      <c r="W945" s="168">
        <f t="shared" si="4"/>
        <v>0</v>
      </c>
      <c r="X945" s="168">
        <f t="shared" si="5"/>
        <v>0</v>
      </c>
      <c r="Y945" s="168">
        <f t="shared" si="6"/>
        <v>0</v>
      </c>
      <c r="Z945" s="168">
        <f t="shared" si="7"/>
        <v>0</v>
      </c>
      <c r="AA945" s="168">
        <f t="shared" si="8"/>
        <v>0</v>
      </c>
      <c r="AB945" s="168">
        <f t="shared" si="9"/>
        <v>0</v>
      </c>
    </row>
    <row r="946" ht="14.25" customHeight="1">
      <c r="A946" s="157" t="s">
        <v>7767</v>
      </c>
      <c r="B946" s="169" t="s">
        <v>43</v>
      </c>
      <c r="C946" s="169" t="s">
        <v>1380</v>
      </c>
      <c r="D946" s="336">
        <v>43909.0</v>
      </c>
      <c r="E946" s="157" t="s">
        <v>600</v>
      </c>
      <c r="F946" s="160">
        <v>35434.69</v>
      </c>
      <c r="G946" s="160">
        <v>5669.55</v>
      </c>
      <c r="H946" s="160">
        <f t="shared" si="30"/>
        <v>41104.24</v>
      </c>
      <c r="I946" s="172"/>
      <c r="J946" s="169"/>
      <c r="K946" s="172"/>
      <c r="L946" s="172">
        <f>+'FACUS$'!$H946-'FACUS$'!$I946-'FACUS$'!$K946</f>
        <v>41104.24</v>
      </c>
      <c r="M946" s="162" t="s">
        <v>43</v>
      </c>
      <c r="N946" s="337" t="s">
        <v>554</v>
      </c>
      <c r="O946" s="338">
        <v>43921.0</v>
      </c>
      <c r="P946" s="164">
        <f t="array" ref="P946">XLOOKUP('FACUS$'!$B946,'perfil de pagos'!$A$4:$A$46,'perfil de pagos'!$C$4:$C$46+'FACUS$'!$D946)</f>
        <v>43934</v>
      </c>
      <c r="Q946" s="165">
        <f t="shared" si="2"/>
        <v>0</v>
      </c>
      <c r="R946" s="167"/>
      <c r="S946" s="167" t="s">
        <v>910</v>
      </c>
      <c r="T946" s="167">
        <v>23.9008</v>
      </c>
      <c r="U946" s="334" t="s">
        <v>7271</v>
      </c>
      <c r="V946" s="168">
        <f t="shared" si="3"/>
        <v>41104.24</v>
      </c>
      <c r="W946" s="168">
        <f t="shared" si="4"/>
        <v>0</v>
      </c>
      <c r="X946" s="168">
        <f t="shared" si="5"/>
        <v>0</v>
      </c>
      <c r="Y946" s="168">
        <f t="shared" si="6"/>
        <v>0</v>
      </c>
      <c r="Z946" s="168">
        <f t="shared" si="7"/>
        <v>0</v>
      </c>
      <c r="AA946" s="168">
        <f t="shared" si="8"/>
        <v>0</v>
      </c>
      <c r="AB946" s="168">
        <f t="shared" si="9"/>
        <v>0</v>
      </c>
    </row>
    <row r="947" ht="14.25" customHeight="1">
      <c r="A947" s="157" t="s">
        <v>7768</v>
      </c>
      <c r="B947" s="169" t="s">
        <v>37</v>
      </c>
      <c r="C947" s="169" t="s">
        <v>1380</v>
      </c>
      <c r="D947" s="336">
        <v>43917.0</v>
      </c>
      <c r="E947" s="157" t="s">
        <v>600</v>
      </c>
      <c r="F947" s="160">
        <v>84327.76</v>
      </c>
      <c r="G947" s="160">
        <v>13492.44</v>
      </c>
      <c r="H947" s="160">
        <f t="shared" si="30"/>
        <v>97820.2</v>
      </c>
      <c r="I947" s="172"/>
      <c r="J947" s="169"/>
      <c r="K947" s="172"/>
      <c r="L947" s="172">
        <f>+'FACUS$'!$H947-'FACUS$'!$I947-'FACUS$'!$K947</f>
        <v>97820.2</v>
      </c>
      <c r="M947" s="162" t="s">
        <v>116</v>
      </c>
      <c r="N947" s="337" t="s">
        <v>554</v>
      </c>
      <c r="O947" s="338">
        <v>43956.0</v>
      </c>
      <c r="P947" s="164">
        <f t="array" ref="P947">XLOOKUP('FACUS$'!$B947,'perfil de pagos'!$A$4:$A$46,'perfil de pagos'!$C$4:$C$46+'FACUS$'!$D947)</f>
        <v>43927</v>
      </c>
      <c r="Q947" s="165">
        <f t="shared" si="2"/>
        <v>0</v>
      </c>
      <c r="R947" s="167"/>
      <c r="S947" s="167" t="s">
        <v>910</v>
      </c>
      <c r="T947" s="167">
        <v>23.097</v>
      </c>
      <c r="U947" s="334" t="s">
        <v>7271</v>
      </c>
      <c r="V947" s="168">
        <f t="shared" si="3"/>
        <v>97820.2</v>
      </c>
      <c r="W947" s="168">
        <f t="shared" si="4"/>
        <v>0</v>
      </c>
      <c r="X947" s="168">
        <f t="shared" si="5"/>
        <v>0</v>
      </c>
      <c r="Y947" s="168">
        <f t="shared" si="6"/>
        <v>0</v>
      </c>
      <c r="Z947" s="168">
        <f t="shared" si="7"/>
        <v>0</v>
      </c>
      <c r="AA947" s="168">
        <f t="shared" si="8"/>
        <v>0</v>
      </c>
      <c r="AB947" s="168">
        <f t="shared" si="9"/>
        <v>0</v>
      </c>
    </row>
    <row r="948" ht="14.25" customHeight="1">
      <c r="A948" s="157" t="s">
        <v>7769</v>
      </c>
      <c r="B948" s="169" t="s">
        <v>18</v>
      </c>
      <c r="C948" s="169" t="s">
        <v>1380</v>
      </c>
      <c r="D948" s="336">
        <v>43917.0</v>
      </c>
      <c r="E948" s="157" t="s">
        <v>600</v>
      </c>
      <c r="F948" s="160">
        <v>9258.58</v>
      </c>
      <c r="G948" s="160">
        <v>1481.37</v>
      </c>
      <c r="H948" s="160">
        <f t="shared" si="30"/>
        <v>10739.95</v>
      </c>
      <c r="I948" s="172"/>
      <c r="J948" s="169"/>
      <c r="K948" s="172"/>
      <c r="L948" s="172">
        <f>+'FACUS$'!$H948-'FACUS$'!$I948-'FACUS$'!$K948</f>
        <v>10739.95</v>
      </c>
      <c r="M948" s="162" t="s">
        <v>586</v>
      </c>
      <c r="N948" s="337" t="s">
        <v>554</v>
      </c>
      <c r="O948" s="338">
        <v>43980.0</v>
      </c>
      <c r="P948" s="164">
        <f t="array" ref="P948">XLOOKUP('FACUS$'!$B948,'perfil de pagos'!$A$4:$A$46,'perfil de pagos'!$C$4:$C$46+'FACUS$'!$D948)</f>
        <v>43927</v>
      </c>
      <c r="Q948" s="165">
        <f t="shared" si="2"/>
        <v>0</v>
      </c>
      <c r="R948" s="167"/>
      <c r="S948" s="220" t="s">
        <v>910</v>
      </c>
      <c r="T948" s="167">
        <v>23.097</v>
      </c>
      <c r="U948" s="334" t="s">
        <v>7271</v>
      </c>
      <c r="V948" s="168">
        <f t="shared" si="3"/>
        <v>10739.95</v>
      </c>
      <c r="W948" s="168">
        <f t="shared" si="4"/>
        <v>0</v>
      </c>
      <c r="X948" s="168">
        <f t="shared" si="5"/>
        <v>0</v>
      </c>
      <c r="Y948" s="168">
        <f t="shared" si="6"/>
        <v>0</v>
      </c>
      <c r="Z948" s="168">
        <f t="shared" si="7"/>
        <v>0</v>
      </c>
      <c r="AA948" s="168">
        <f t="shared" si="8"/>
        <v>0</v>
      </c>
      <c r="AB948" s="168">
        <f t="shared" si="9"/>
        <v>0</v>
      </c>
    </row>
    <row r="949" ht="14.25" customHeight="1">
      <c r="A949" s="157" t="s">
        <v>7770</v>
      </c>
      <c r="B949" s="169" t="s">
        <v>43</v>
      </c>
      <c r="C949" s="169" t="s">
        <v>1396</v>
      </c>
      <c r="D949" s="336">
        <v>43923.0</v>
      </c>
      <c r="E949" s="157" t="s">
        <v>600</v>
      </c>
      <c r="F949" s="160">
        <v>27248.98</v>
      </c>
      <c r="G949" s="160">
        <v>4359.84</v>
      </c>
      <c r="H949" s="160">
        <f t="shared" si="30"/>
        <v>31608.82</v>
      </c>
      <c r="I949" s="172"/>
      <c r="J949" s="169"/>
      <c r="K949" s="172"/>
      <c r="L949" s="172">
        <f>+'FACUS$'!$H949-'FACUS$'!$I949-'FACUS$'!$K949</f>
        <v>31608.82</v>
      </c>
      <c r="M949" s="162" t="s">
        <v>43</v>
      </c>
      <c r="N949" s="337" t="s">
        <v>554</v>
      </c>
      <c r="O949" s="338">
        <v>43929.0</v>
      </c>
      <c r="P949" s="164">
        <f t="array" ref="P949">XLOOKUP('FACUS$'!$B949,'perfil de pagos'!$A$4:$A$46,'perfil de pagos'!$C$4:$C$46+'FACUS$'!$D949)</f>
        <v>43948</v>
      </c>
      <c r="Q949" s="165">
        <f t="shared" si="2"/>
        <v>0</v>
      </c>
      <c r="R949" s="167"/>
      <c r="S949" s="220" t="s">
        <v>910</v>
      </c>
      <c r="T949" s="167">
        <v>24.4918</v>
      </c>
      <c r="U949" s="334" t="s">
        <v>7271</v>
      </c>
      <c r="V949" s="168">
        <f t="shared" si="3"/>
        <v>31608.82</v>
      </c>
      <c r="W949" s="168">
        <f t="shared" si="4"/>
        <v>0</v>
      </c>
      <c r="X949" s="168">
        <f t="shared" si="5"/>
        <v>0</v>
      </c>
      <c r="Y949" s="168">
        <f t="shared" si="6"/>
        <v>0</v>
      </c>
      <c r="Z949" s="168">
        <f t="shared" si="7"/>
        <v>0</v>
      </c>
      <c r="AA949" s="168">
        <f t="shared" si="8"/>
        <v>0</v>
      </c>
      <c r="AB949" s="168">
        <f t="shared" si="9"/>
        <v>0</v>
      </c>
    </row>
    <row r="950" ht="14.25" customHeight="1">
      <c r="A950" s="157" t="s">
        <v>7771</v>
      </c>
      <c r="B950" s="169" t="s">
        <v>1127</v>
      </c>
      <c r="C950" s="169" t="s">
        <v>1396</v>
      </c>
      <c r="D950" s="336">
        <v>43923.0</v>
      </c>
      <c r="E950" s="157" t="s">
        <v>600</v>
      </c>
      <c r="F950" s="160">
        <v>9539.86</v>
      </c>
      <c r="G950" s="160">
        <v>1526.38</v>
      </c>
      <c r="H950" s="160">
        <f t="shared" si="30"/>
        <v>11066.24</v>
      </c>
      <c r="I950" s="172"/>
      <c r="J950" s="169"/>
      <c r="K950" s="172"/>
      <c r="L950" s="172">
        <f>+'FACUS$'!$H950-'FACUS$'!$I950-'FACUS$'!$K950</f>
        <v>11066.24</v>
      </c>
      <c r="M950" s="162" t="s">
        <v>580</v>
      </c>
      <c r="N950" s="337" t="s">
        <v>554</v>
      </c>
      <c r="O950" s="338">
        <v>43937.0</v>
      </c>
      <c r="P950" s="164" t="str">
        <f t="array" ref="P950">XLOOKUP('FACUS$'!$B950,'perfil de pagos'!$A$4:$A$46,'perfil de pagos'!$C$4:$C$46+'FACUS$'!$D950)</f>
        <v>#N/A</v>
      </c>
      <c r="Q950" s="165">
        <f t="shared" si="2"/>
        <v>0</v>
      </c>
      <c r="R950" s="167" t="s">
        <v>7772</v>
      </c>
      <c r="S950" s="220" t="s">
        <v>910</v>
      </c>
      <c r="T950" s="167">
        <v>24.4918</v>
      </c>
      <c r="U950" s="334" t="s">
        <v>7271</v>
      </c>
      <c r="V950" s="168">
        <f t="shared" si="3"/>
        <v>11066.24</v>
      </c>
      <c r="W950" s="168">
        <f t="shared" si="4"/>
        <v>0</v>
      </c>
      <c r="X950" s="168">
        <f t="shared" si="5"/>
        <v>0</v>
      </c>
      <c r="Y950" s="168">
        <f t="shared" si="6"/>
        <v>0</v>
      </c>
      <c r="Z950" s="168">
        <f t="shared" si="7"/>
        <v>0</v>
      </c>
      <c r="AA950" s="168">
        <f t="shared" si="8"/>
        <v>0</v>
      </c>
      <c r="AB950" s="168">
        <f t="shared" si="9"/>
        <v>0</v>
      </c>
    </row>
    <row r="951" ht="14.25" customHeight="1">
      <c r="A951" s="157" t="s">
        <v>7773</v>
      </c>
      <c r="B951" s="169" t="s">
        <v>36</v>
      </c>
      <c r="C951" s="169" t="s">
        <v>1396</v>
      </c>
      <c r="D951" s="336">
        <v>43923.0</v>
      </c>
      <c r="E951" s="157" t="s">
        <v>600</v>
      </c>
      <c r="F951" s="160">
        <v>2663.98</v>
      </c>
      <c r="G951" s="160">
        <v>426.24</v>
      </c>
      <c r="H951" s="160">
        <f>F951+G951-2574.31</f>
        <v>515.91</v>
      </c>
      <c r="I951" s="172"/>
      <c r="J951" s="169"/>
      <c r="K951" s="172"/>
      <c r="L951" s="172">
        <f>+'FACUS$'!$H951-'FACUS$'!$I951-'FACUS$'!$K951</f>
        <v>515.91</v>
      </c>
      <c r="M951" s="162" t="s">
        <v>278</v>
      </c>
      <c r="N951" s="337" t="s">
        <v>554</v>
      </c>
      <c r="O951" s="338">
        <v>43983.0</v>
      </c>
      <c r="P951" s="164">
        <f t="array" ref="P951">XLOOKUP('FACUS$'!$B951,'perfil de pagos'!$A$4:$A$46,'perfil de pagos'!$C$4:$C$46+'FACUS$'!$D951)</f>
        <v>43933</v>
      </c>
      <c r="Q951" s="165">
        <f t="shared" si="2"/>
        <v>0</v>
      </c>
      <c r="R951" s="167" t="s">
        <v>7774</v>
      </c>
      <c r="S951" s="220" t="s">
        <v>910</v>
      </c>
      <c r="T951" s="167">
        <v>24.4918</v>
      </c>
      <c r="U951" s="334" t="s">
        <v>7271</v>
      </c>
      <c r="V951" s="168">
        <f t="shared" si="3"/>
        <v>515.91</v>
      </c>
      <c r="W951" s="168">
        <f t="shared" si="4"/>
        <v>0</v>
      </c>
      <c r="X951" s="168">
        <f t="shared" si="5"/>
        <v>0</v>
      </c>
      <c r="Y951" s="168">
        <f t="shared" si="6"/>
        <v>0</v>
      </c>
      <c r="Z951" s="168">
        <f t="shared" si="7"/>
        <v>0</v>
      </c>
      <c r="AA951" s="168">
        <f t="shared" si="8"/>
        <v>0</v>
      </c>
      <c r="AB951" s="168">
        <f t="shared" si="9"/>
        <v>0</v>
      </c>
    </row>
    <row r="952" ht="14.25" customHeight="1">
      <c r="A952" s="157" t="s">
        <v>7775</v>
      </c>
      <c r="B952" s="169" t="s">
        <v>35</v>
      </c>
      <c r="C952" s="169" t="s">
        <v>1396</v>
      </c>
      <c r="D952" s="336">
        <v>43923.0</v>
      </c>
      <c r="E952" s="157" t="s">
        <v>600</v>
      </c>
      <c r="F952" s="160">
        <v>8830.6</v>
      </c>
      <c r="G952" s="160">
        <v>1412.9</v>
      </c>
      <c r="H952" s="160">
        <f t="shared" ref="H952:H1073" si="31">F952+G952</f>
        <v>10243.5</v>
      </c>
      <c r="I952" s="172"/>
      <c r="J952" s="169"/>
      <c r="K952" s="172"/>
      <c r="L952" s="172">
        <f>+'FACUS$'!$H952-'FACUS$'!$I952-'FACUS$'!$K952</f>
        <v>10243.5</v>
      </c>
      <c r="M952" s="162" t="s">
        <v>276</v>
      </c>
      <c r="N952" s="337" t="s">
        <v>554</v>
      </c>
      <c r="O952" s="338">
        <v>43966.0</v>
      </c>
      <c r="P952" s="164">
        <f t="array" ref="P952">XLOOKUP('FACUS$'!$B952,'perfil de pagos'!$A$4:$A$46,'perfil de pagos'!$C$4:$C$46+'FACUS$'!$D952)</f>
        <v>43933</v>
      </c>
      <c r="Q952" s="165">
        <f t="shared" si="2"/>
        <v>0</v>
      </c>
      <c r="R952" s="167"/>
      <c r="S952" s="220" t="s">
        <v>910</v>
      </c>
      <c r="T952" s="167">
        <v>24.4918</v>
      </c>
      <c r="U952" s="334" t="s">
        <v>7271</v>
      </c>
      <c r="V952" s="168">
        <f t="shared" si="3"/>
        <v>10243.5</v>
      </c>
      <c r="W952" s="168">
        <f t="shared" si="4"/>
        <v>0</v>
      </c>
      <c r="X952" s="168">
        <f t="shared" si="5"/>
        <v>0</v>
      </c>
      <c r="Y952" s="168">
        <f t="shared" si="6"/>
        <v>0</v>
      </c>
      <c r="Z952" s="168">
        <f t="shared" si="7"/>
        <v>0</v>
      </c>
      <c r="AA952" s="168">
        <f t="shared" si="8"/>
        <v>0</v>
      </c>
      <c r="AB952" s="168">
        <f t="shared" si="9"/>
        <v>0</v>
      </c>
    </row>
    <row r="953" ht="14.25" customHeight="1">
      <c r="A953" s="157" t="s">
        <v>7776</v>
      </c>
      <c r="B953" s="169" t="s">
        <v>33</v>
      </c>
      <c r="C953" s="169" t="s">
        <v>1396</v>
      </c>
      <c r="D953" s="336">
        <v>43923.0</v>
      </c>
      <c r="E953" s="157" t="s">
        <v>600</v>
      </c>
      <c r="F953" s="160">
        <v>41830.12</v>
      </c>
      <c r="G953" s="160">
        <v>6692.82</v>
      </c>
      <c r="H953" s="160">
        <f t="shared" si="31"/>
        <v>48522.94</v>
      </c>
      <c r="I953" s="172"/>
      <c r="J953" s="169"/>
      <c r="K953" s="172"/>
      <c r="L953" s="172">
        <f>+'FACUS$'!$H953-'FACUS$'!$I953-'FACUS$'!$K953</f>
        <v>48522.94</v>
      </c>
      <c r="M953" s="162" t="s">
        <v>958</v>
      </c>
      <c r="N953" s="337" t="s">
        <v>554</v>
      </c>
      <c r="O953" s="338">
        <v>43929.0</v>
      </c>
      <c r="P953" s="164">
        <f t="array" ref="P953">XLOOKUP('FACUS$'!$B953,'perfil de pagos'!$A$4:$A$46,'perfil de pagos'!$C$4:$C$46+'FACUS$'!$D953)</f>
        <v>43933</v>
      </c>
      <c r="Q953" s="165">
        <f t="shared" si="2"/>
        <v>0</v>
      </c>
      <c r="R953" s="167"/>
      <c r="S953" s="220" t="s">
        <v>910</v>
      </c>
      <c r="T953" s="167">
        <v>24.4918</v>
      </c>
      <c r="U953" s="334" t="s">
        <v>7271</v>
      </c>
      <c r="V953" s="168">
        <f t="shared" si="3"/>
        <v>48522.94</v>
      </c>
      <c r="W953" s="168">
        <f t="shared" si="4"/>
        <v>0</v>
      </c>
      <c r="X953" s="168">
        <f t="shared" si="5"/>
        <v>0</v>
      </c>
      <c r="Y953" s="168">
        <f t="shared" si="6"/>
        <v>0</v>
      </c>
      <c r="Z953" s="168">
        <f t="shared" si="7"/>
        <v>0</v>
      </c>
      <c r="AA953" s="168">
        <f t="shared" si="8"/>
        <v>0</v>
      </c>
      <c r="AB953" s="168">
        <f t="shared" si="9"/>
        <v>0</v>
      </c>
    </row>
    <row r="954" ht="14.25" customHeight="1">
      <c r="A954" s="157" t="s">
        <v>7777</v>
      </c>
      <c r="B954" s="169" t="s">
        <v>30</v>
      </c>
      <c r="C954" s="169" t="s">
        <v>1396</v>
      </c>
      <c r="D954" s="336">
        <v>43923.0</v>
      </c>
      <c r="E954" s="157" t="s">
        <v>600</v>
      </c>
      <c r="F954" s="160">
        <v>7261.17</v>
      </c>
      <c r="G954" s="160">
        <v>1161.79</v>
      </c>
      <c r="H954" s="160">
        <f t="shared" si="31"/>
        <v>8422.96</v>
      </c>
      <c r="I954" s="172"/>
      <c r="J954" s="169"/>
      <c r="K954" s="172"/>
      <c r="L954" s="172">
        <f>+'FACUS$'!$H954-'FACUS$'!$I954-'FACUS$'!$K954</f>
        <v>8422.96</v>
      </c>
      <c r="M954" s="162" t="s">
        <v>7415</v>
      </c>
      <c r="N954" s="337" t="s">
        <v>127</v>
      </c>
      <c r="O954" s="338">
        <v>45063.0</v>
      </c>
      <c r="P954" s="164">
        <f t="array" ref="P954">XLOOKUP('FACUS$'!$B954,'perfil de pagos'!$A$4:$A$46,'perfil de pagos'!$C$4:$C$46+'FACUS$'!$D954)</f>
        <v>43933</v>
      </c>
      <c r="Q954" s="165" t="str">
        <f t="shared" si="2"/>
        <v>N/A</v>
      </c>
      <c r="R954" s="220" t="s">
        <v>7747</v>
      </c>
      <c r="S954" s="167"/>
      <c r="T954" s="167">
        <v>24.4918</v>
      </c>
      <c r="U954" s="334" t="s">
        <v>7271</v>
      </c>
      <c r="V954" s="168">
        <f t="shared" si="3"/>
        <v>0</v>
      </c>
      <c r="W954" s="168">
        <f t="shared" si="4"/>
        <v>0</v>
      </c>
      <c r="X954" s="168">
        <f t="shared" si="5"/>
        <v>0</v>
      </c>
      <c r="Y954" s="168">
        <f t="shared" si="6"/>
        <v>0</v>
      </c>
      <c r="Z954" s="168">
        <f t="shared" si="7"/>
        <v>0</v>
      </c>
      <c r="AA954" s="168">
        <f t="shared" si="8"/>
        <v>0</v>
      </c>
      <c r="AB954" s="168">
        <f t="shared" si="9"/>
        <v>8422.96</v>
      </c>
    </row>
    <row r="955" ht="14.25" customHeight="1">
      <c r="A955" s="157" t="s">
        <v>7778</v>
      </c>
      <c r="B955" s="169" t="s">
        <v>37</v>
      </c>
      <c r="C955" s="169" t="s">
        <v>1396</v>
      </c>
      <c r="D955" s="336">
        <v>43929.0</v>
      </c>
      <c r="E955" s="157" t="s">
        <v>600</v>
      </c>
      <c r="F955" s="160">
        <v>96583.9</v>
      </c>
      <c r="G955" s="160">
        <v>15453.42</v>
      </c>
      <c r="H955" s="160">
        <f t="shared" si="31"/>
        <v>112037.32</v>
      </c>
      <c r="I955" s="172"/>
      <c r="J955" s="169"/>
      <c r="K955" s="172"/>
      <c r="L955" s="172">
        <f>+'FACUS$'!$H955-'FACUS$'!$I955-'FACUS$'!$K955</f>
        <v>112037.32</v>
      </c>
      <c r="M955" s="162" t="s">
        <v>116</v>
      </c>
      <c r="N955" s="337" t="s">
        <v>554</v>
      </c>
      <c r="O955" s="338">
        <v>43941.0</v>
      </c>
      <c r="P955" s="164">
        <f t="array" ref="P955">XLOOKUP('FACUS$'!$B955,'perfil de pagos'!$A$4:$A$46,'perfil de pagos'!$C$4:$C$46+'FACUS$'!$D955)</f>
        <v>43939</v>
      </c>
      <c r="Q955" s="165">
        <f t="shared" si="2"/>
        <v>0</v>
      </c>
      <c r="R955" s="167" t="s">
        <v>7779</v>
      </c>
      <c r="S955" s="167" t="s">
        <v>910</v>
      </c>
      <c r="T955" s="167">
        <v>24.0388</v>
      </c>
      <c r="U955" s="334" t="s">
        <v>7271</v>
      </c>
      <c r="V955" s="168">
        <f t="shared" si="3"/>
        <v>112037.32</v>
      </c>
      <c r="W955" s="168">
        <f t="shared" si="4"/>
        <v>0</v>
      </c>
      <c r="X955" s="168">
        <f t="shared" si="5"/>
        <v>0</v>
      </c>
      <c r="Y955" s="168">
        <f t="shared" si="6"/>
        <v>0</v>
      </c>
      <c r="Z955" s="168">
        <f t="shared" si="7"/>
        <v>0</v>
      </c>
      <c r="AA955" s="168">
        <f t="shared" si="8"/>
        <v>0</v>
      </c>
      <c r="AB955" s="168">
        <f t="shared" si="9"/>
        <v>0</v>
      </c>
    </row>
    <row r="956" ht="14.25" customHeight="1">
      <c r="A956" s="157" t="s">
        <v>7780</v>
      </c>
      <c r="B956" s="169" t="s">
        <v>18</v>
      </c>
      <c r="C956" s="169" t="s">
        <v>1396</v>
      </c>
      <c r="D956" s="336">
        <v>43929.0</v>
      </c>
      <c r="E956" s="157" t="s">
        <v>600</v>
      </c>
      <c r="F956" s="160">
        <v>9744.52</v>
      </c>
      <c r="G956" s="160">
        <v>1559.12</v>
      </c>
      <c r="H956" s="160">
        <f t="shared" si="31"/>
        <v>11303.64</v>
      </c>
      <c r="I956" s="172"/>
      <c r="J956" s="169"/>
      <c r="K956" s="172"/>
      <c r="L956" s="172">
        <f>+'FACUS$'!$H956-'FACUS$'!$I956-'FACUS$'!$K956</f>
        <v>11303.64</v>
      </c>
      <c r="M956" s="162" t="s">
        <v>586</v>
      </c>
      <c r="N956" s="337" t="s">
        <v>554</v>
      </c>
      <c r="O956" s="338">
        <v>43980.0</v>
      </c>
      <c r="P956" s="164">
        <f t="array" ref="P956">XLOOKUP('FACUS$'!$B956,'perfil de pagos'!$A$4:$A$46,'perfil de pagos'!$C$4:$C$46+'FACUS$'!$D956)</f>
        <v>43939</v>
      </c>
      <c r="Q956" s="165">
        <f t="shared" si="2"/>
        <v>0</v>
      </c>
      <c r="R956" s="167"/>
      <c r="S956" s="220" t="s">
        <v>910</v>
      </c>
      <c r="T956" s="167">
        <v>24.0388</v>
      </c>
      <c r="U956" s="334" t="s">
        <v>7271</v>
      </c>
      <c r="V956" s="168">
        <f t="shared" si="3"/>
        <v>11303.64</v>
      </c>
      <c r="W956" s="168">
        <f t="shared" si="4"/>
        <v>0</v>
      </c>
      <c r="X956" s="168">
        <f t="shared" si="5"/>
        <v>0</v>
      </c>
      <c r="Y956" s="168">
        <f t="shared" si="6"/>
        <v>0</v>
      </c>
      <c r="Z956" s="168">
        <f t="shared" si="7"/>
        <v>0</v>
      </c>
      <c r="AA956" s="168">
        <f t="shared" si="8"/>
        <v>0</v>
      </c>
      <c r="AB956" s="168">
        <f t="shared" si="9"/>
        <v>0</v>
      </c>
    </row>
    <row r="957" ht="14.25" customHeight="1">
      <c r="A957" s="157" t="s">
        <v>7781</v>
      </c>
      <c r="B957" s="169" t="s">
        <v>29</v>
      </c>
      <c r="C957" s="169" t="s">
        <v>7782</v>
      </c>
      <c r="D957" s="336">
        <v>43936.0</v>
      </c>
      <c r="E957" s="157" t="s">
        <v>600</v>
      </c>
      <c r="F957" s="160">
        <v>1785.0</v>
      </c>
      <c r="G957" s="160">
        <v>285.6</v>
      </c>
      <c r="H957" s="160">
        <f t="shared" si="31"/>
        <v>2070.6</v>
      </c>
      <c r="I957" s="172"/>
      <c r="J957" s="169"/>
      <c r="K957" s="172"/>
      <c r="L957" s="172">
        <f>+'FACUS$'!$H957-'FACUS$'!$I957-'FACUS$'!$K957</f>
        <v>2070.6</v>
      </c>
      <c r="M957" s="162" t="s">
        <v>7509</v>
      </c>
      <c r="N957" s="337" t="s">
        <v>554</v>
      </c>
      <c r="O957" s="338">
        <v>43963.0</v>
      </c>
      <c r="P957" s="164">
        <f t="array" ref="P957">XLOOKUP('FACUS$'!$B957,'perfil de pagos'!$A$4:$A$46,'perfil de pagos'!$C$4:$C$46+'FACUS$'!$D957)</f>
        <v>43946</v>
      </c>
      <c r="Q957" s="165">
        <f t="shared" si="2"/>
        <v>0</v>
      </c>
      <c r="R957" s="167"/>
      <c r="S957" s="167"/>
      <c r="T957" s="167">
        <v>23.5645</v>
      </c>
      <c r="U957" s="334" t="s">
        <v>7271</v>
      </c>
      <c r="V957" s="168">
        <f t="shared" si="3"/>
        <v>2070.6</v>
      </c>
      <c r="W957" s="168">
        <f t="shared" si="4"/>
        <v>0</v>
      </c>
      <c r="X957" s="168">
        <f t="shared" si="5"/>
        <v>0</v>
      </c>
      <c r="Y957" s="168">
        <f t="shared" si="6"/>
        <v>0</v>
      </c>
      <c r="Z957" s="168">
        <f t="shared" si="7"/>
        <v>0</v>
      </c>
      <c r="AA957" s="168">
        <f t="shared" si="8"/>
        <v>0</v>
      </c>
      <c r="AB957" s="168">
        <f t="shared" si="9"/>
        <v>0</v>
      </c>
    </row>
    <row r="958" ht="14.25" customHeight="1">
      <c r="A958" s="157" t="s">
        <v>7783</v>
      </c>
      <c r="B958" s="169" t="s">
        <v>29</v>
      </c>
      <c r="C958" s="169" t="s">
        <v>7784</v>
      </c>
      <c r="D958" s="336">
        <v>43936.0</v>
      </c>
      <c r="E958" s="157" t="s">
        <v>600</v>
      </c>
      <c r="F958" s="160">
        <v>2047.5</v>
      </c>
      <c r="G958" s="160">
        <v>327.6</v>
      </c>
      <c r="H958" s="160">
        <f t="shared" si="31"/>
        <v>2375.1</v>
      </c>
      <c r="I958" s="172"/>
      <c r="J958" s="169"/>
      <c r="K958" s="172"/>
      <c r="L958" s="172">
        <f>+'FACUS$'!$H958-'FACUS$'!$I958-'FACUS$'!$K958</f>
        <v>2375.1</v>
      </c>
      <c r="M958" s="162" t="s">
        <v>1087</v>
      </c>
      <c r="N958" s="337" t="s">
        <v>127</v>
      </c>
      <c r="O958" s="338"/>
      <c r="P958" s="164">
        <f t="array" ref="P958">XLOOKUP('FACUS$'!$B958,'perfil de pagos'!$A$4:$A$46,'perfil de pagos'!$C$4:$C$46+'FACUS$'!$D958)</f>
        <v>43946</v>
      </c>
      <c r="Q958" s="165" t="str">
        <f t="shared" si="2"/>
        <v>N/A</v>
      </c>
      <c r="R958" s="167" t="s">
        <v>7785</v>
      </c>
      <c r="S958" s="167"/>
      <c r="T958" s="167">
        <v>23.5645</v>
      </c>
      <c r="U958" s="334" t="s">
        <v>7271</v>
      </c>
      <c r="V958" s="168">
        <f t="shared" si="3"/>
        <v>0</v>
      </c>
      <c r="W958" s="168">
        <f t="shared" si="4"/>
        <v>0</v>
      </c>
      <c r="X958" s="168">
        <f t="shared" si="5"/>
        <v>0</v>
      </c>
      <c r="Y958" s="168">
        <f t="shared" si="6"/>
        <v>0</v>
      </c>
      <c r="Z958" s="168">
        <f t="shared" si="7"/>
        <v>0</v>
      </c>
      <c r="AA958" s="168">
        <f t="shared" si="8"/>
        <v>0</v>
      </c>
      <c r="AB958" s="168">
        <f t="shared" si="9"/>
        <v>2375.1</v>
      </c>
    </row>
    <row r="959" ht="14.25" customHeight="1">
      <c r="A959" s="157" t="s">
        <v>7786</v>
      </c>
      <c r="B959" s="169" t="s">
        <v>29</v>
      </c>
      <c r="C959" s="169" t="s">
        <v>7787</v>
      </c>
      <c r="D959" s="336">
        <v>43936.0</v>
      </c>
      <c r="E959" s="157" t="s">
        <v>600</v>
      </c>
      <c r="F959" s="160">
        <v>2047.5</v>
      </c>
      <c r="G959" s="160">
        <v>327.6</v>
      </c>
      <c r="H959" s="160">
        <f t="shared" si="31"/>
        <v>2375.1</v>
      </c>
      <c r="I959" s="172"/>
      <c r="J959" s="169"/>
      <c r="K959" s="172"/>
      <c r="L959" s="172">
        <f>+'FACUS$'!$H959-'FACUS$'!$I959-'FACUS$'!$K959</f>
        <v>2375.1</v>
      </c>
      <c r="M959" s="162" t="s">
        <v>1087</v>
      </c>
      <c r="N959" s="337" t="s">
        <v>554</v>
      </c>
      <c r="O959" s="338">
        <v>43963.0</v>
      </c>
      <c r="P959" s="164">
        <f t="array" ref="P959">XLOOKUP('FACUS$'!$B959,'perfil de pagos'!$A$4:$A$46,'perfil de pagos'!$C$4:$C$46+'FACUS$'!$D959)</f>
        <v>43946</v>
      </c>
      <c r="Q959" s="165">
        <f t="shared" si="2"/>
        <v>0</v>
      </c>
      <c r="R959" s="167"/>
      <c r="S959" s="167"/>
      <c r="T959" s="167">
        <v>23.5645</v>
      </c>
      <c r="U959" s="334" t="s">
        <v>7271</v>
      </c>
      <c r="V959" s="168">
        <f t="shared" si="3"/>
        <v>2375.1</v>
      </c>
      <c r="W959" s="168">
        <f t="shared" si="4"/>
        <v>0</v>
      </c>
      <c r="X959" s="168">
        <f t="shared" si="5"/>
        <v>0</v>
      </c>
      <c r="Y959" s="168">
        <f t="shared" si="6"/>
        <v>0</v>
      </c>
      <c r="Z959" s="168">
        <f t="shared" si="7"/>
        <v>0</v>
      </c>
      <c r="AA959" s="168">
        <f t="shared" si="8"/>
        <v>0</v>
      </c>
      <c r="AB959" s="168">
        <f t="shared" si="9"/>
        <v>0</v>
      </c>
    </row>
    <row r="960" ht="14.25" customHeight="1">
      <c r="A960" s="157" t="s">
        <v>7788</v>
      </c>
      <c r="B960" s="169" t="s">
        <v>30</v>
      </c>
      <c r="C960" s="169" t="s">
        <v>1444</v>
      </c>
      <c r="D960" s="336">
        <v>43937.0</v>
      </c>
      <c r="E960" s="157" t="s">
        <v>600</v>
      </c>
      <c r="F960" s="160">
        <v>301.41</v>
      </c>
      <c r="G960" s="160">
        <v>48.23</v>
      </c>
      <c r="H960" s="160">
        <f t="shared" si="31"/>
        <v>349.64</v>
      </c>
      <c r="I960" s="172"/>
      <c r="J960" s="169"/>
      <c r="K960" s="172"/>
      <c r="L960" s="172">
        <f>+'FACUS$'!$H960-'FACUS$'!$I960-'FACUS$'!$K960</f>
        <v>349.64</v>
      </c>
      <c r="M960" s="162" t="s">
        <v>7415</v>
      </c>
      <c r="N960" s="337" t="s">
        <v>127</v>
      </c>
      <c r="O960" s="338">
        <v>45063.0</v>
      </c>
      <c r="P960" s="164">
        <f t="array" ref="P960">XLOOKUP('FACUS$'!$B960,'perfil de pagos'!$A$4:$A$46,'perfil de pagos'!$C$4:$C$46+'FACUS$'!$D960)</f>
        <v>43947</v>
      </c>
      <c r="Q960" s="165" t="str">
        <f t="shared" si="2"/>
        <v>N/A</v>
      </c>
      <c r="R960" s="220" t="s">
        <v>7747</v>
      </c>
      <c r="S960" s="167"/>
      <c r="T960" s="167">
        <v>24.1155</v>
      </c>
      <c r="U960" s="334" t="s">
        <v>7271</v>
      </c>
      <c r="V960" s="168">
        <f t="shared" si="3"/>
        <v>0</v>
      </c>
      <c r="W960" s="168">
        <f t="shared" si="4"/>
        <v>0</v>
      </c>
      <c r="X960" s="168">
        <f t="shared" si="5"/>
        <v>0</v>
      </c>
      <c r="Y960" s="168">
        <f t="shared" si="6"/>
        <v>0</v>
      </c>
      <c r="Z960" s="168">
        <f t="shared" si="7"/>
        <v>0</v>
      </c>
      <c r="AA960" s="168">
        <f t="shared" si="8"/>
        <v>0</v>
      </c>
      <c r="AB960" s="168">
        <f t="shared" si="9"/>
        <v>349.64</v>
      </c>
    </row>
    <row r="961" ht="14.25" customHeight="1">
      <c r="A961" s="157" t="s">
        <v>7789</v>
      </c>
      <c r="B961" s="169" t="s">
        <v>33</v>
      </c>
      <c r="C961" s="169" t="s">
        <v>1444</v>
      </c>
      <c r="D961" s="336">
        <v>43937.0</v>
      </c>
      <c r="E961" s="157" t="s">
        <v>600</v>
      </c>
      <c r="F961" s="160">
        <v>30224.75</v>
      </c>
      <c r="G961" s="160">
        <v>4835.96</v>
      </c>
      <c r="H961" s="160">
        <f t="shared" si="31"/>
        <v>35060.71</v>
      </c>
      <c r="I961" s="172"/>
      <c r="J961" s="169"/>
      <c r="K961" s="172"/>
      <c r="L961" s="172">
        <f>+'FACUS$'!$H961-'FACUS$'!$I961-'FACUS$'!$K961</f>
        <v>35060.71</v>
      </c>
      <c r="M961" s="162" t="s">
        <v>958</v>
      </c>
      <c r="N961" s="337" t="s">
        <v>554</v>
      </c>
      <c r="O961" s="338">
        <v>43945.0</v>
      </c>
      <c r="P961" s="164">
        <f t="array" ref="P961">XLOOKUP('FACUS$'!$B961,'perfil de pagos'!$A$4:$A$46,'perfil de pagos'!$C$4:$C$46+'FACUS$'!$D961)</f>
        <v>43947</v>
      </c>
      <c r="Q961" s="165">
        <f t="shared" si="2"/>
        <v>0</v>
      </c>
      <c r="R961" s="167"/>
      <c r="S961" s="220" t="s">
        <v>910</v>
      </c>
      <c r="T961" s="167">
        <v>24.1155</v>
      </c>
      <c r="U961" s="334" t="s">
        <v>7271</v>
      </c>
      <c r="V961" s="168">
        <f t="shared" si="3"/>
        <v>35060.71</v>
      </c>
      <c r="W961" s="168">
        <f t="shared" si="4"/>
        <v>0</v>
      </c>
      <c r="X961" s="168">
        <f t="shared" si="5"/>
        <v>0</v>
      </c>
      <c r="Y961" s="168">
        <f t="shared" si="6"/>
        <v>0</v>
      </c>
      <c r="Z961" s="168">
        <f t="shared" si="7"/>
        <v>0</v>
      </c>
      <c r="AA961" s="168">
        <f t="shared" si="8"/>
        <v>0</v>
      </c>
      <c r="AB961" s="168">
        <f t="shared" si="9"/>
        <v>0</v>
      </c>
    </row>
    <row r="962" ht="14.25" customHeight="1">
      <c r="A962" s="157" t="s">
        <v>7790</v>
      </c>
      <c r="B962" s="169" t="s">
        <v>35</v>
      </c>
      <c r="C962" s="169" t="s">
        <v>1444</v>
      </c>
      <c r="D962" s="336">
        <v>43937.0</v>
      </c>
      <c r="E962" s="157" t="s">
        <v>600</v>
      </c>
      <c r="F962" s="160">
        <v>6585.46</v>
      </c>
      <c r="G962" s="160">
        <v>1053.67</v>
      </c>
      <c r="H962" s="160">
        <f t="shared" si="31"/>
        <v>7639.13</v>
      </c>
      <c r="I962" s="172"/>
      <c r="J962" s="169"/>
      <c r="K962" s="172"/>
      <c r="L962" s="172">
        <f>+'FACUS$'!$H962-'FACUS$'!$I962-'FACUS$'!$K962</f>
        <v>7639.13</v>
      </c>
      <c r="M962" s="162" t="s">
        <v>276</v>
      </c>
      <c r="N962" s="337" t="s">
        <v>554</v>
      </c>
      <c r="O962" s="338">
        <v>44071.0</v>
      </c>
      <c r="P962" s="164">
        <f t="array" ref="P962">XLOOKUP('FACUS$'!$B962,'perfil de pagos'!$A$4:$A$46,'perfil de pagos'!$C$4:$C$46+'FACUS$'!$D962)</f>
        <v>43947</v>
      </c>
      <c r="Q962" s="165">
        <f t="shared" si="2"/>
        <v>0</v>
      </c>
      <c r="R962" s="167" t="s">
        <v>7791</v>
      </c>
      <c r="S962" s="220" t="s">
        <v>910</v>
      </c>
      <c r="T962" s="167">
        <v>24.1155</v>
      </c>
      <c r="U962" s="334" t="s">
        <v>7271</v>
      </c>
      <c r="V962" s="168">
        <f t="shared" si="3"/>
        <v>7639.13</v>
      </c>
      <c r="W962" s="168">
        <f t="shared" si="4"/>
        <v>0</v>
      </c>
      <c r="X962" s="168">
        <f t="shared" si="5"/>
        <v>0</v>
      </c>
      <c r="Y962" s="168">
        <f t="shared" si="6"/>
        <v>0</v>
      </c>
      <c r="Z962" s="168">
        <f t="shared" si="7"/>
        <v>0</v>
      </c>
      <c r="AA962" s="168">
        <f t="shared" si="8"/>
        <v>0</v>
      </c>
      <c r="AB962" s="168">
        <f t="shared" si="9"/>
        <v>0</v>
      </c>
    </row>
    <row r="963" ht="14.25" customHeight="1">
      <c r="A963" s="157" t="s">
        <v>7792</v>
      </c>
      <c r="B963" s="169" t="s">
        <v>36</v>
      </c>
      <c r="C963" s="169" t="s">
        <v>1444</v>
      </c>
      <c r="D963" s="336">
        <v>43937.0</v>
      </c>
      <c r="E963" s="157" t="s">
        <v>600</v>
      </c>
      <c r="F963" s="160">
        <v>1439.74</v>
      </c>
      <c r="G963" s="160">
        <v>230.36</v>
      </c>
      <c r="H963" s="160">
        <f t="shared" si="31"/>
        <v>1670.1</v>
      </c>
      <c r="I963" s="172"/>
      <c r="J963" s="169"/>
      <c r="K963" s="172"/>
      <c r="L963" s="172">
        <f>+'FACUS$'!$H963-'FACUS$'!$I963-'FACUS$'!$K963</f>
        <v>1670.1</v>
      </c>
      <c r="M963" s="162" t="s">
        <v>278</v>
      </c>
      <c r="N963" s="337" t="s">
        <v>554</v>
      </c>
      <c r="O963" s="338">
        <v>43993.0</v>
      </c>
      <c r="P963" s="164">
        <f t="array" ref="P963">XLOOKUP('FACUS$'!$B963,'perfil de pagos'!$A$4:$A$46,'perfil de pagos'!$C$4:$C$46+'FACUS$'!$D963)</f>
        <v>43947</v>
      </c>
      <c r="Q963" s="165">
        <f t="shared" si="2"/>
        <v>0</v>
      </c>
      <c r="R963" s="220" t="s">
        <v>7793</v>
      </c>
      <c r="S963" s="220" t="s">
        <v>910</v>
      </c>
      <c r="T963" s="167">
        <v>24.1155</v>
      </c>
      <c r="U963" s="334" t="s">
        <v>7271</v>
      </c>
      <c r="V963" s="168">
        <f t="shared" si="3"/>
        <v>1670.1</v>
      </c>
      <c r="W963" s="168">
        <f t="shared" si="4"/>
        <v>0</v>
      </c>
      <c r="X963" s="168">
        <f t="shared" si="5"/>
        <v>0</v>
      </c>
      <c r="Y963" s="168">
        <f t="shared" si="6"/>
        <v>0</v>
      </c>
      <c r="Z963" s="168">
        <f t="shared" si="7"/>
        <v>0</v>
      </c>
      <c r="AA963" s="168">
        <f t="shared" si="8"/>
        <v>0</v>
      </c>
      <c r="AB963" s="168">
        <f t="shared" si="9"/>
        <v>0</v>
      </c>
    </row>
    <row r="964" ht="14.25" customHeight="1">
      <c r="A964" s="157" t="s">
        <v>7794</v>
      </c>
      <c r="B964" s="169" t="s">
        <v>1127</v>
      </c>
      <c r="C964" s="169" t="s">
        <v>1444</v>
      </c>
      <c r="D964" s="336">
        <v>43937.0</v>
      </c>
      <c r="E964" s="157" t="s">
        <v>600</v>
      </c>
      <c r="F964" s="160">
        <v>60.33</v>
      </c>
      <c r="G964" s="160">
        <v>9.65</v>
      </c>
      <c r="H964" s="160">
        <f t="shared" si="31"/>
        <v>69.98</v>
      </c>
      <c r="I964" s="172"/>
      <c r="J964" s="169"/>
      <c r="K964" s="172"/>
      <c r="L964" s="172">
        <f>+'FACUS$'!$H964-'FACUS$'!$I964-'FACUS$'!$K964</f>
        <v>69.98</v>
      </c>
      <c r="M964" s="162" t="s">
        <v>580</v>
      </c>
      <c r="N964" s="337" t="s">
        <v>554</v>
      </c>
      <c r="O964" s="338">
        <v>43951.0</v>
      </c>
      <c r="P964" s="164" t="str">
        <f t="array" ref="P964">XLOOKUP('FACUS$'!$B964,'perfil de pagos'!$A$4:$A$46,'perfil de pagos'!$C$4:$C$46+'FACUS$'!$D964)</f>
        <v>#N/A</v>
      </c>
      <c r="Q964" s="165">
        <f t="shared" si="2"/>
        <v>0</v>
      </c>
      <c r="R964" s="167" t="s">
        <v>7795</v>
      </c>
      <c r="S964" s="220" t="s">
        <v>910</v>
      </c>
      <c r="T964" s="167">
        <v>24.1155</v>
      </c>
      <c r="U964" s="334" t="s">
        <v>7271</v>
      </c>
      <c r="V964" s="168">
        <f t="shared" si="3"/>
        <v>69.98</v>
      </c>
      <c r="W964" s="168">
        <f t="shared" si="4"/>
        <v>0</v>
      </c>
      <c r="X964" s="168">
        <f t="shared" si="5"/>
        <v>0</v>
      </c>
      <c r="Y964" s="168">
        <f t="shared" si="6"/>
        <v>0</v>
      </c>
      <c r="Z964" s="168">
        <f t="shared" si="7"/>
        <v>0</v>
      </c>
      <c r="AA964" s="168">
        <f t="shared" si="8"/>
        <v>0</v>
      </c>
      <c r="AB964" s="168">
        <f t="shared" si="9"/>
        <v>0</v>
      </c>
    </row>
    <row r="965" ht="14.25" customHeight="1">
      <c r="A965" s="157" t="s">
        <v>7796</v>
      </c>
      <c r="B965" s="169" t="s">
        <v>43</v>
      </c>
      <c r="C965" s="169" t="s">
        <v>1444</v>
      </c>
      <c r="D965" s="336">
        <v>43937.0</v>
      </c>
      <c r="E965" s="157" t="s">
        <v>600</v>
      </c>
      <c r="F965" s="160">
        <v>6121.0</v>
      </c>
      <c r="G965" s="160">
        <v>979.36</v>
      </c>
      <c r="H965" s="160">
        <f t="shared" si="31"/>
        <v>7100.36</v>
      </c>
      <c r="I965" s="172"/>
      <c r="J965" s="169"/>
      <c r="K965" s="172"/>
      <c r="L965" s="172">
        <f>+'FACUS$'!$H965-'FACUS$'!$I965-'FACUS$'!$K965</f>
        <v>7100.36</v>
      </c>
      <c r="M965" s="162" t="s">
        <v>43</v>
      </c>
      <c r="N965" s="337" t="s">
        <v>554</v>
      </c>
      <c r="O965" s="338">
        <v>43951.0</v>
      </c>
      <c r="P965" s="164">
        <f t="array" ref="P965">XLOOKUP('FACUS$'!$B965,'perfil de pagos'!$A$4:$A$46,'perfil de pagos'!$C$4:$C$46+'FACUS$'!$D965)</f>
        <v>43962</v>
      </c>
      <c r="Q965" s="165">
        <f t="shared" si="2"/>
        <v>0</v>
      </c>
      <c r="R965" s="167"/>
      <c r="S965" s="220" t="s">
        <v>910</v>
      </c>
      <c r="T965" s="167">
        <v>24.1155</v>
      </c>
      <c r="U965" s="334" t="s">
        <v>7271</v>
      </c>
      <c r="V965" s="168">
        <f t="shared" si="3"/>
        <v>7100.36</v>
      </c>
      <c r="W965" s="168">
        <f t="shared" si="4"/>
        <v>0</v>
      </c>
      <c r="X965" s="168">
        <f t="shared" si="5"/>
        <v>0</v>
      </c>
      <c r="Y965" s="168">
        <f t="shared" si="6"/>
        <v>0</v>
      </c>
      <c r="Z965" s="168">
        <f t="shared" si="7"/>
        <v>0</v>
      </c>
      <c r="AA965" s="168">
        <f t="shared" si="8"/>
        <v>0</v>
      </c>
      <c r="AB965" s="168">
        <f t="shared" si="9"/>
        <v>0</v>
      </c>
    </row>
    <row r="966" ht="14.25" customHeight="1">
      <c r="A966" s="157" t="s">
        <v>7797</v>
      </c>
      <c r="B966" s="169" t="s">
        <v>29</v>
      </c>
      <c r="C966" s="169" t="s">
        <v>7798</v>
      </c>
      <c r="D966" s="336">
        <v>43938.0</v>
      </c>
      <c r="E966" s="157" t="s">
        <v>600</v>
      </c>
      <c r="F966" s="160">
        <v>15000.0</v>
      </c>
      <c r="G966" s="160">
        <v>2400.0</v>
      </c>
      <c r="H966" s="160">
        <f t="shared" si="31"/>
        <v>17400</v>
      </c>
      <c r="I966" s="172"/>
      <c r="J966" s="169"/>
      <c r="K966" s="172"/>
      <c r="L966" s="172">
        <f>+'FACUS$'!$H966-'FACUS$'!$I966-'FACUS$'!$K966</f>
        <v>17400</v>
      </c>
      <c r="M966" s="162" t="s">
        <v>7509</v>
      </c>
      <c r="N966" s="337" t="s">
        <v>127</v>
      </c>
      <c r="O966" s="338"/>
      <c r="P966" s="164">
        <f t="array" ref="P966">XLOOKUP('FACUS$'!$B966,'perfil de pagos'!$A$4:$A$46,'perfil de pagos'!$C$4:$C$46+'FACUS$'!$D966)</f>
        <v>43948</v>
      </c>
      <c r="Q966" s="165" t="str">
        <f t="shared" si="2"/>
        <v>N/A</v>
      </c>
      <c r="R966" s="167"/>
      <c r="S966" s="167"/>
      <c r="T966" s="167">
        <v>24.2098</v>
      </c>
      <c r="U966" s="334" t="s">
        <v>7271</v>
      </c>
      <c r="V966" s="168">
        <f t="shared" si="3"/>
        <v>0</v>
      </c>
      <c r="W966" s="168">
        <f t="shared" si="4"/>
        <v>0</v>
      </c>
      <c r="X966" s="168">
        <f t="shared" si="5"/>
        <v>0</v>
      </c>
      <c r="Y966" s="168">
        <f t="shared" si="6"/>
        <v>0</v>
      </c>
      <c r="Z966" s="168">
        <f t="shared" si="7"/>
        <v>0</v>
      </c>
      <c r="AA966" s="168">
        <f t="shared" si="8"/>
        <v>0</v>
      </c>
      <c r="AB966" s="168">
        <f t="shared" si="9"/>
        <v>17400</v>
      </c>
    </row>
    <row r="967" ht="14.25" customHeight="1">
      <c r="A967" s="157" t="s">
        <v>7799</v>
      </c>
      <c r="B967" s="169" t="s">
        <v>29</v>
      </c>
      <c r="C967" s="169" t="s">
        <v>7800</v>
      </c>
      <c r="D967" s="336">
        <v>43938.0</v>
      </c>
      <c r="E967" s="157" t="s">
        <v>600</v>
      </c>
      <c r="F967" s="160">
        <v>2500.0</v>
      </c>
      <c r="G967" s="160">
        <v>400.0</v>
      </c>
      <c r="H967" s="160">
        <f t="shared" si="31"/>
        <v>2900</v>
      </c>
      <c r="I967" s="172"/>
      <c r="J967" s="169"/>
      <c r="K967" s="172"/>
      <c r="L967" s="172">
        <f>+'FACUS$'!$H967-'FACUS$'!$I967-'FACUS$'!$K967</f>
        <v>2900</v>
      </c>
      <c r="M967" s="162" t="s">
        <v>7509</v>
      </c>
      <c r="N967" s="337" t="s">
        <v>127</v>
      </c>
      <c r="O967" s="338"/>
      <c r="P967" s="164">
        <f t="array" ref="P967">XLOOKUP('FACUS$'!$B967,'perfil de pagos'!$A$4:$A$46,'perfil de pagos'!$C$4:$C$46+'FACUS$'!$D967)</f>
        <v>43948</v>
      </c>
      <c r="Q967" s="165" t="str">
        <f t="shared" si="2"/>
        <v>N/A</v>
      </c>
      <c r="R967" s="167"/>
      <c r="S967" s="167"/>
      <c r="T967" s="167">
        <v>24.2098</v>
      </c>
      <c r="U967" s="334" t="s">
        <v>7271</v>
      </c>
      <c r="V967" s="168">
        <f t="shared" si="3"/>
        <v>0</v>
      </c>
      <c r="W967" s="168">
        <f t="shared" si="4"/>
        <v>0</v>
      </c>
      <c r="X967" s="168">
        <f t="shared" si="5"/>
        <v>0</v>
      </c>
      <c r="Y967" s="168">
        <f t="shared" si="6"/>
        <v>0</v>
      </c>
      <c r="Z967" s="168">
        <f t="shared" si="7"/>
        <v>0</v>
      </c>
      <c r="AA967" s="168">
        <f t="shared" si="8"/>
        <v>0</v>
      </c>
      <c r="AB967" s="168">
        <f t="shared" si="9"/>
        <v>2900</v>
      </c>
    </row>
    <row r="968" ht="14.25" customHeight="1">
      <c r="A968" s="157" t="s">
        <v>7801</v>
      </c>
      <c r="B968" s="169" t="s">
        <v>29</v>
      </c>
      <c r="C968" s="169" t="s">
        <v>7802</v>
      </c>
      <c r="D968" s="336">
        <v>43938.0</v>
      </c>
      <c r="E968" s="157" t="s">
        <v>600</v>
      </c>
      <c r="F968" s="160">
        <v>15000.0</v>
      </c>
      <c r="G968" s="160">
        <v>2400.0</v>
      </c>
      <c r="H968" s="160">
        <f t="shared" si="31"/>
        <v>17400</v>
      </c>
      <c r="I968" s="172"/>
      <c r="J968" s="169"/>
      <c r="K968" s="172"/>
      <c r="L968" s="172">
        <f>+'FACUS$'!$H968-'FACUS$'!$I968-'FACUS$'!$K968</f>
        <v>17400</v>
      </c>
      <c r="M968" s="162" t="s">
        <v>7509</v>
      </c>
      <c r="N968" s="337" t="s">
        <v>127</v>
      </c>
      <c r="O968" s="338"/>
      <c r="P968" s="164">
        <f t="array" ref="P968">XLOOKUP('FACUS$'!$B968,'perfil de pagos'!$A$4:$A$46,'perfil de pagos'!$C$4:$C$46+'FACUS$'!$D968)</f>
        <v>43948</v>
      </c>
      <c r="Q968" s="165" t="str">
        <f t="shared" si="2"/>
        <v>N/A</v>
      </c>
      <c r="R968" s="167"/>
      <c r="S968" s="167"/>
      <c r="T968" s="167">
        <v>24.2098</v>
      </c>
      <c r="U968" s="334" t="s">
        <v>7271</v>
      </c>
      <c r="V968" s="168">
        <f t="shared" si="3"/>
        <v>0</v>
      </c>
      <c r="W968" s="168">
        <f t="shared" si="4"/>
        <v>0</v>
      </c>
      <c r="X968" s="168">
        <f t="shared" si="5"/>
        <v>0</v>
      </c>
      <c r="Y968" s="168">
        <f t="shared" si="6"/>
        <v>0</v>
      </c>
      <c r="Z968" s="168">
        <f t="shared" si="7"/>
        <v>0</v>
      </c>
      <c r="AA968" s="168">
        <f t="shared" si="8"/>
        <v>0</v>
      </c>
      <c r="AB968" s="168">
        <f t="shared" si="9"/>
        <v>17400</v>
      </c>
    </row>
    <row r="969" ht="14.25" customHeight="1">
      <c r="A969" s="157" t="s">
        <v>7803</v>
      </c>
      <c r="B969" s="169" t="s">
        <v>29</v>
      </c>
      <c r="C969" s="169" t="s">
        <v>7804</v>
      </c>
      <c r="D969" s="336">
        <v>43938.0</v>
      </c>
      <c r="E969" s="157" t="s">
        <v>600</v>
      </c>
      <c r="F969" s="160">
        <v>2500.0</v>
      </c>
      <c r="G969" s="160">
        <v>400.0</v>
      </c>
      <c r="H969" s="160">
        <f t="shared" si="31"/>
        <v>2900</v>
      </c>
      <c r="I969" s="172"/>
      <c r="J969" s="169"/>
      <c r="K969" s="172"/>
      <c r="L969" s="172">
        <f>+'FACUS$'!$H969-'FACUS$'!$I969-'FACUS$'!$K969</f>
        <v>2900</v>
      </c>
      <c r="M969" s="162" t="s">
        <v>7509</v>
      </c>
      <c r="N969" s="337" t="s">
        <v>127</v>
      </c>
      <c r="O969" s="338"/>
      <c r="P969" s="164">
        <f t="array" ref="P969">XLOOKUP('FACUS$'!$B969,'perfil de pagos'!$A$4:$A$46,'perfil de pagos'!$C$4:$C$46+'FACUS$'!$D969)</f>
        <v>43948</v>
      </c>
      <c r="Q969" s="165" t="str">
        <f t="shared" si="2"/>
        <v>N/A</v>
      </c>
      <c r="R969" s="167"/>
      <c r="S969" s="167"/>
      <c r="T969" s="167">
        <v>24.2098</v>
      </c>
      <c r="U969" s="334" t="s">
        <v>7271</v>
      </c>
      <c r="V969" s="168">
        <f t="shared" si="3"/>
        <v>0</v>
      </c>
      <c r="W969" s="168">
        <f t="shared" si="4"/>
        <v>0</v>
      </c>
      <c r="X969" s="168">
        <f t="shared" si="5"/>
        <v>0</v>
      </c>
      <c r="Y969" s="168">
        <f t="shared" si="6"/>
        <v>0</v>
      </c>
      <c r="Z969" s="168">
        <f t="shared" si="7"/>
        <v>0</v>
      </c>
      <c r="AA969" s="168">
        <f t="shared" si="8"/>
        <v>0</v>
      </c>
      <c r="AB969" s="168">
        <f t="shared" si="9"/>
        <v>2900</v>
      </c>
    </row>
    <row r="970" ht="14.25" customHeight="1">
      <c r="A970" s="157" t="s">
        <v>7805</v>
      </c>
      <c r="B970" s="169" t="s">
        <v>29</v>
      </c>
      <c r="C970" s="169" t="s">
        <v>7800</v>
      </c>
      <c r="D970" s="336">
        <v>43943.0</v>
      </c>
      <c r="E970" s="157" t="s">
        <v>600</v>
      </c>
      <c r="F970" s="160">
        <v>15000.0</v>
      </c>
      <c r="G970" s="160">
        <v>2400.0</v>
      </c>
      <c r="H970" s="160">
        <f t="shared" si="31"/>
        <v>17400</v>
      </c>
      <c r="I970" s="172"/>
      <c r="J970" s="169"/>
      <c r="K970" s="172"/>
      <c r="L970" s="172">
        <f>+'FACUS$'!$H970-'FACUS$'!$I970-'FACUS$'!$K970</f>
        <v>17400</v>
      </c>
      <c r="M970" s="162" t="s">
        <v>7509</v>
      </c>
      <c r="N970" s="337" t="s">
        <v>554</v>
      </c>
      <c r="O970" s="338">
        <v>43963.0</v>
      </c>
      <c r="P970" s="164">
        <f t="array" ref="P970">XLOOKUP('FACUS$'!$B970,'perfil de pagos'!$A$4:$A$46,'perfil de pagos'!$C$4:$C$46+'FACUS$'!$D970)</f>
        <v>43953</v>
      </c>
      <c r="Q970" s="165">
        <f t="shared" si="2"/>
        <v>0</v>
      </c>
      <c r="R970" s="167"/>
      <c r="S970" s="167"/>
      <c r="T970" s="167">
        <v>24.4248</v>
      </c>
      <c r="U970" s="334" t="s">
        <v>7271</v>
      </c>
      <c r="V970" s="168">
        <f t="shared" si="3"/>
        <v>17400</v>
      </c>
      <c r="W970" s="168">
        <f t="shared" si="4"/>
        <v>0</v>
      </c>
      <c r="X970" s="168">
        <f t="shared" si="5"/>
        <v>0</v>
      </c>
      <c r="Y970" s="168">
        <f t="shared" si="6"/>
        <v>0</v>
      </c>
      <c r="Z970" s="168">
        <f t="shared" si="7"/>
        <v>0</v>
      </c>
      <c r="AA970" s="168">
        <f t="shared" si="8"/>
        <v>0</v>
      </c>
      <c r="AB970" s="168">
        <f t="shared" si="9"/>
        <v>0</v>
      </c>
    </row>
    <row r="971" ht="14.25" customHeight="1">
      <c r="A971" s="157" t="s">
        <v>7806</v>
      </c>
      <c r="B971" s="169" t="s">
        <v>29</v>
      </c>
      <c r="C971" s="169" t="s">
        <v>7798</v>
      </c>
      <c r="D971" s="336">
        <v>43943.0</v>
      </c>
      <c r="E971" s="157" t="s">
        <v>600</v>
      </c>
      <c r="F971" s="160">
        <v>2500.0</v>
      </c>
      <c r="G971" s="160">
        <v>400.0</v>
      </c>
      <c r="H971" s="160">
        <f t="shared" si="31"/>
        <v>2900</v>
      </c>
      <c r="I971" s="172"/>
      <c r="J971" s="169"/>
      <c r="K971" s="172"/>
      <c r="L971" s="172">
        <f>+'FACUS$'!$H971-'FACUS$'!$I971-'FACUS$'!$K971</f>
        <v>2900</v>
      </c>
      <c r="M971" s="162" t="s">
        <v>7509</v>
      </c>
      <c r="N971" s="337" t="s">
        <v>554</v>
      </c>
      <c r="O971" s="338">
        <v>43963.0</v>
      </c>
      <c r="P971" s="164">
        <f t="array" ref="P971">XLOOKUP('FACUS$'!$B971,'perfil de pagos'!$A$4:$A$46,'perfil de pagos'!$C$4:$C$46+'FACUS$'!$D971)</f>
        <v>43953</v>
      </c>
      <c r="Q971" s="165">
        <f t="shared" si="2"/>
        <v>0</v>
      </c>
      <c r="R971" s="167"/>
      <c r="S971" s="167"/>
      <c r="T971" s="167">
        <v>24.4248</v>
      </c>
      <c r="U971" s="334" t="s">
        <v>7271</v>
      </c>
      <c r="V971" s="168">
        <f t="shared" si="3"/>
        <v>2900</v>
      </c>
      <c r="W971" s="168">
        <f t="shared" si="4"/>
        <v>0</v>
      </c>
      <c r="X971" s="168">
        <f t="shared" si="5"/>
        <v>0</v>
      </c>
      <c r="Y971" s="168">
        <f t="shared" si="6"/>
        <v>0</v>
      </c>
      <c r="Z971" s="168">
        <f t="shared" si="7"/>
        <v>0</v>
      </c>
      <c r="AA971" s="168">
        <f t="shared" si="8"/>
        <v>0</v>
      </c>
      <c r="AB971" s="168">
        <f t="shared" si="9"/>
        <v>0</v>
      </c>
    </row>
    <row r="972" ht="14.25" customHeight="1">
      <c r="A972" s="157" t="s">
        <v>7807</v>
      </c>
      <c r="B972" s="169" t="s">
        <v>29</v>
      </c>
      <c r="C972" s="169" t="s">
        <v>7804</v>
      </c>
      <c r="D972" s="336">
        <v>43943.0</v>
      </c>
      <c r="E972" s="157" t="s">
        <v>600</v>
      </c>
      <c r="F972" s="160">
        <v>15000.0</v>
      </c>
      <c r="G972" s="160">
        <v>2400.0</v>
      </c>
      <c r="H972" s="160">
        <f t="shared" si="31"/>
        <v>17400</v>
      </c>
      <c r="I972" s="172"/>
      <c r="J972" s="169"/>
      <c r="K972" s="172"/>
      <c r="L972" s="172">
        <f>+'FACUS$'!$H972-'FACUS$'!$I972-'FACUS$'!$K972</f>
        <v>17400</v>
      </c>
      <c r="M972" s="162" t="s">
        <v>7509</v>
      </c>
      <c r="N972" s="337" t="s">
        <v>554</v>
      </c>
      <c r="O972" s="338">
        <v>43971.0</v>
      </c>
      <c r="P972" s="164">
        <f t="array" ref="P972">XLOOKUP('FACUS$'!$B972,'perfil de pagos'!$A$4:$A$46,'perfil de pagos'!$C$4:$C$46+'FACUS$'!$D972)</f>
        <v>43953</v>
      </c>
      <c r="Q972" s="165">
        <f t="shared" si="2"/>
        <v>0</v>
      </c>
      <c r="R972" s="167"/>
      <c r="S972" s="167"/>
      <c r="T972" s="167">
        <v>24.4248</v>
      </c>
      <c r="U972" s="334" t="s">
        <v>7271</v>
      </c>
      <c r="V972" s="168">
        <f t="shared" si="3"/>
        <v>17400</v>
      </c>
      <c r="W972" s="168">
        <f t="shared" si="4"/>
        <v>0</v>
      </c>
      <c r="X972" s="168">
        <f t="shared" si="5"/>
        <v>0</v>
      </c>
      <c r="Y972" s="168">
        <f t="shared" si="6"/>
        <v>0</v>
      </c>
      <c r="Z972" s="168">
        <f t="shared" si="7"/>
        <v>0</v>
      </c>
      <c r="AA972" s="168">
        <f t="shared" si="8"/>
        <v>0</v>
      </c>
      <c r="AB972" s="168">
        <f t="shared" si="9"/>
        <v>0</v>
      </c>
    </row>
    <row r="973" ht="14.25" customHeight="1">
      <c r="A973" s="157" t="s">
        <v>7808</v>
      </c>
      <c r="B973" s="169" t="s">
        <v>29</v>
      </c>
      <c r="C973" s="169" t="s">
        <v>7802</v>
      </c>
      <c r="D973" s="336">
        <v>43943.0</v>
      </c>
      <c r="E973" s="157" t="s">
        <v>600</v>
      </c>
      <c r="F973" s="160">
        <v>2500.0</v>
      </c>
      <c r="G973" s="160">
        <v>400.0</v>
      </c>
      <c r="H973" s="160">
        <f t="shared" si="31"/>
        <v>2900</v>
      </c>
      <c r="I973" s="172"/>
      <c r="J973" s="169"/>
      <c r="K973" s="172"/>
      <c r="L973" s="172">
        <f>+'FACUS$'!$H973-'FACUS$'!$I973-'FACUS$'!$K973</f>
        <v>2900</v>
      </c>
      <c r="M973" s="162" t="s">
        <v>7509</v>
      </c>
      <c r="N973" s="337" t="s">
        <v>554</v>
      </c>
      <c r="O973" s="338">
        <v>43971.0</v>
      </c>
      <c r="P973" s="164">
        <f t="array" ref="P973">XLOOKUP('FACUS$'!$B973,'perfil de pagos'!$A$4:$A$46,'perfil de pagos'!$C$4:$C$46+'FACUS$'!$D973)</f>
        <v>43953</v>
      </c>
      <c r="Q973" s="165">
        <f t="shared" si="2"/>
        <v>0</v>
      </c>
      <c r="R973" s="167"/>
      <c r="S973" s="167"/>
      <c r="T973" s="167">
        <v>24.4248</v>
      </c>
      <c r="U973" s="334" t="s">
        <v>7271</v>
      </c>
      <c r="V973" s="168">
        <f t="shared" si="3"/>
        <v>2900</v>
      </c>
      <c r="W973" s="168">
        <f t="shared" si="4"/>
        <v>0</v>
      </c>
      <c r="X973" s="168">
        <f t="shared" si="5"/>
        <v>0</v>
      </c>
      <c r="Y973" s="168">
        <f t="shared" si="6"/>
        <v>0</v>
      </c>
      <c r="Z973" s="168">
        <f t="shared" si="7"/>
        <v>0</v>
      </c>
      <c r="AA973" s="168">
        <f t="shared" si="8"/>
        <v>0</v>
      </c>
      <c r="AB973" s="168">
        <f t="shared" si="9"/>
        <v>0</v>
      </c>
    </row>
    <row r="974" ht="14.25" customHeight="1">
      <c r="A974" s="157" t="s">
        <v>7809</v>
      </c>
      <c r="B974" s="169" t="s">
        <v>18</v>
      </c>
      <c r="C974" s="169" t="s">
        <v>1444</v>
      </c>
      <c r="D974" s="336">
        <v>43943.0</v>
      </c>
      <c r="E974" s="157" t="s">
        <v>600</v>
      </c>
      <c r="F974" s="160">
        <v>7375.23</v>
      </c>
      <c r="G974" s="160">
        <v>1180.04</v>
      </c>
      <c r="H974" s="160">
        <f t="shared" si="31"/>
        <v>8555.27</v>
      </c>
      <c r="I974" s="172"/>
      <c r="J974" s="169"/>
      <c r="K974" s="172"/>
      <c r="L974" s="172">
        <f>+'FACUS$'!$H974-'FACUS$'!$I974-'FACUS$'!$K974</f>
        <v>8555.27</v>
      </c>
      <c r="M974" s="162" t="s">
        <v>586</v>
      </c>
      <c r="N974" s="337" t="s">
        <v>554</v>
      </c>
      <c r="O974" s="338">
        <v>43993.0</v>
      </c>
      <c r="P974" s="164">
        <f t="array" ref="P974">XLOOKUP('FACUS$'!$B974,'perfil de pagos'!$A$4:$A$46,'perfil de pagos'!$C$4:$C$46+'FACUS$'!$D974)</f>
        <v>43953</v>
      </c>
      <c r="Q974" s="165">
        <f t="shared" si="2"/>
        <v>0</v>
      </c>
      <c r="R974" s="167"/>
      <c r="S974" s="220" t="s">
        <v>910</v>
      </c>
      <c r="T974" s="167">
        <v>24.4248</v>
      </c>
      <c r="U974" s="334" t="s">
        <v>7271</v>
      </c>
      <c r="V974" s="168">
        <f t="shared" si="3"/>
        <v>8555.27</v>
      </c>
      <c r="W974" s="168">
        <f t="shared" si="4"/>
        <v>0</v>
      </c>
      <c r="X974" s="168">
        <f t="shared" si="5"/>
        <v>0</v>
      </c>
      <c r="Y974" s="168">
        <f t="shared" si="6"/>
        <v>0</v>
      </c>
      <c r="Z974" s="168">
        <f t="shared" si="7"/>
        <v>0</v>
      </c>
      <c r="AA974" s="168">
        <f t="shared" si="8"/>
        <v>0</v>
      </c>
      <c r="AB974" s="168">
        <f t="shared" si="9"/>
        <v>0</v>
      </c>
    </row>
    <row r="975" ht="14.25" customHeight="1">
      <c r="A975" s="157" t="s">
        <v>7810</v>
      </c>
      <c r="B975" s="169" t="s">
        <v>37</v>
      </c>
      <c r="C975" s="169" t="s">
        <v>1444</v>
      </c>
      <c r="D975" s="336">
        <v>43943.0</v>
      </c>
      <c r="E975" s="157" t="s">
        <v>600</v>
      </c>
      <c r="F975" s="160">
        <v>86777.8</v>
      </c>
      <c r="G975" s="160">
        <v>13884.45</v>
      </c>
      <c r="H975" s="160">
        <f t="shared" si="31"/>
        <v>100662.25</v>
      </c>
      <c r="I975" s="172"/>
      <c r="J975" s="169"/>
      <c r="K975" s="172"/>
      <c r="L975" s="172">
        <f>+'FACUS$'!$H975-'FACUS$'!$I975-'FACUS$'!$K975</f>
        <v>100662.25</v>
      </c>
      <c r="M975" s="162" t="s">
        <v>116</v>
      </c>
      <c r="N975" s="337" t="s">
        <v>554</v>
      </c>
      <c r="O975" s="338">
        <v>43962.0</v>
      </c>
      <c r="P975" s="164">
        <f t="array" ref="P975">XLOOKUP('FACUS$'!$B975,'perfil de pagos'!$A$4:$A$46,'perfil de pagos'!$C$4:$C$46+'FACUS$'!$D975)</f>
        <v>43953</v>
      </c>
      <c r="Q975" s="165">
        <f t="shared" si="2"/>
        <v>0</v>
      </c>
      <c r="R975" s="167" t="s">
        <v>7811</v>
      </c>
      <c r="S975" s="220" t="s">
        <v>910</v>
      </c>
      <c r="T975" s="167">
        <v>24.4248</v>
      </c>
      <c r="U975" s="334" t="s">
        <v>7271</v>
      </c>
      <c r="V975" s="168">
        <f t="shared" si="3"/>
        <v>100662.25</v>
      </c>
      <c r="W975" s="168">
        <f t="shared" si="4"/>
        <v>0</v>
      </c>
      <c r="X975" s="168">
        <f t="shared" si="5"/>
        <v>0</v>
      </c>
      <c r="Y975" s="168">
        <f t="shared" si="6"/>
        <v>0</v>
      </c>
      <c r="Z975" s="168">
        <f t="shared" si="7"/>
        <v>0</v>
      </c>
      <c r="AA975" s="168">
        <f t="shared" si="8"/>
        <v>0</v>
      </c>
      <c r="AB975" s="168">
        <f t="shared" si="9"/>
        <v>0</v>
      </c>
    </row>
    <row r="976" ht="14.25" customHeight="1">
      <c r="A976" s="157" t="s">
        <v>7812</v>
      </c>
      <c r="B976" s="169" t="s">
        <v>41</v>
      </c>
      <c r="C976" s="169" t="s">
        <v>1444</v>
      </c>
      <c r="D976" s="336">
        <v>43945.0</v>
      </c>
      <c r="E976" s="157" t="s">
        <v>600</v>
      </c>
      <c r="F976" s="160">
        <v>4936.9</v>
      </c>
      <c r="G976" s="160">
        <v>789.9</v>
      </c>
      <c r="H976" s="160">
        <f t="shared" si="31"/>
        <v>5726.8</v>
      </c>
      <c r="I976" s="172"/>
      <c r="J976" s="169"/>
      <c r="K976" s="172"/>
      <c r="L976" s="172">
        <f>+'FACUS$'!$H976-'FACUS$'!$I976-'FACUS$'!$K976</f>
        <v>5726.8</v>
      </c>
      <c r="M976" s="162" t="s">
        <v>875</v>
      </c>
      <c r="N976" s="337" t="s">
        <v>554</v>
      </c>
      <c r="O976" s="338">
        <v>43984.0</v>
      </c>
      <c r="P976" s="164">
        <f t="array" ref="P976">XLOOKUP('FACUS$'!$B976,'perfil de pagos'!$A$4:$A$46,'perfil de pagos'!$C$4:$C$46+'FACUS$'!$D976)</f>
        <v>43955</v>
      </c>
      <c r="Q976" s="165">
        <f t="shared" si="2"/>
        <v>0</v>
      </c>
      <c r="R976" s="167"/>
      <c r="S976" s="220" t="s">
        <v>910</v>
      </c>
      <c r="T976" s="365">
        <v>24.623</v>
      </c>
      <c r="U976" s="334" t="s">
        <v>7271</v>
      </c>
      <c r="V976" s="168">
        <f t="shared" si="3"/>
        <v>5726.8</v>
      </c>
      <c r="W976" s="168">
        <f t="shared" si="4"/>
        <v>0</v>
      </c>
      <c r="X976" s="168">
        <f t="shared" si="5"/>
        <v>0</v>
      </c>
      <c r="Y976" s="168">
        <f t="shared" si="6"/>
        <v>0</v>
      </c>
      <c r="Z976" s="168">
        <f t="shared" si="7"/>
        <v>0</v>
      </c>
      <c r="AA976" s="168">
        <f t="shared" si="8"/>
        <v>0</v>
      </c>
      <c r="AB976" s="168">
        <f t="shared" si="9"/>
        <v>0</v>
      </c>
    </row>
    <row r="977" ht="14.25" customHeight="1">
      <c r="A977" s="157" t="s">
        <v>7813</v>
      </c>
      <c r="B977" s="169" t="s">
        <v>30</v>
      </c>
      <c r="C977" s="169" t="s">
        <v>7814</v>
      </c>
      <c r="D977" s="336">
        <v>43945.0</v>
      </c>
      <c r="E977" s="157" t="s">
        <v>600</v>
      </c>
      <c r="F977" s="160">
        <v>3000.0</v>
      </c>
      <c r="G977" s="160">
        <v>480.0</v>
      </c>
      <c r="H977" s="160">
        <f t="shared" si="31"/>
        <v>3480</v>
      </c>
      <c r="I977" s="172"/>
      <c r="J977" s="169"/>
      <c r="K977" s="172"/>
      <c r="L977" s="172">
        <f>+'FACUS$'!$H977-'FACUS$'!$I977-'FACUS$'!$K977</f>
        <v>3480</v>
      </c>
      <c r="M977" s="162" t="s">
        <v>7415</v>
      </c>
      <c r="N977" s="337" t="s">
        <v>554</v>
      </c>
      <c r="O977" s="338">
        <v>44085.0</v>
      </c>
      <c r="P977" s="164">
        <f t="array" ref="P977">XLOOKUP('FACUS$'!$B977,'perfil de pagos'!$A$4:$A$46,'perfil de pagos'!$C$4:$C$46+'FACUS$'!$D977)</f>
        <v>43955</v>
      </c>
      <c r="Q977" s="165">
        <f t="shared" si="2"/>
        <v>0</v>
      </c>
      <c r="R977" s="220" t="s">
        <v>7747</v>
      </c>
      <c r="S977" s="167"/>
      <c r="T977" s="365">
        <v>24.623</v>
      </c>
      <c r="U977" s="334" t="s">
        <v>7271</v>
      </c>
      <c r="V977" s="168">
        <f t="shared" si="3"/>
        <v>3480</v>
      </c>
      <c r="W977" s="168">
        <f t="shared" si="4"/>
        <v>0</v>
      </c>
      <c r="X977" s="168">
        <f t="shared" si="5"/>
        <v>0</v>
      </c>
      <c r="Y977" s="168">
        <f t="shared" si="6"/>
        <v>0</v>
      </c>
      <c r="Z977" s="168">
        <f t="shared" si="7"/>
        <v>0</v>
      </c>
      <c r="AA977" s="168">
        <f t="shared" si="8"/>
        <v>0</v>
      </c>
      <c r="AB977" s="168">
        <f t="shared" si="9"/>
        <v>0</v>
      </c>
    </row>
    <row r="978" ht="14.25" customHeight="1">
      <c r="A978" s="157" t="s">
        <v>7815</v>
      </c>
      <c r="B978" s="169" t="s">
        <v>30</v>
      </c>
      <c r="C978" s="169" t="s">
        <v>7816</v>
      </c>
      <c r="D978" s="336">
        <v>43945.0</v>
      </c>
      <c r="E978" s="157" t="s">
        <v>600</v>
      </c>
      <c r="F978" s="160">
        <v>3000.0</v>
      </c>
      <c r="G978" s="160">
        <v>480.0</v>
      </c>
      <c r="H978" s="160">
        <f t="shared" si="31"/>
        <v>3480</v>
      </c>
      <c r="I978" s="172"/>
      <c r="J978" s="169"/>
      <c r="K978" s="172"/>
      <c r="L978" s="172">
        <f>+'FACUS$'!$H978-'FACUS$'!$I978-'FACUS$'!$K978</f>
        <v>3480</v>
      </c>
      <c r="M978" s="162" t="s">
        <v>7415</v>
      </c>
      <c r="N978" s="337" t="s">
        <v>127</v>
      </c>
      <c r="O978" s="338">
        <v>45063.0</v>
      </c>
      <c r="P978" s="164">
        <f t="array" ref="P978">XLOOKUP('FACUS$'!$B978,'perfil de pagos'!$A$4:$A$46,'perfil de pagos'!$C$4:$C$46+'FACUS$'!$D978)</f>
        <v>43955</v>
      </c>
      <c r="Q978" s="165" t="str">
        <f t="shared" si="2"/>
        <v>N/A</v>
      </c>
      <c r="R978" s="220" t="s">
        <v>7747</v>
      </c>
      <c r="S978" s="167"/>
      <c r="T978" s="365">
        <v>24.623</v>
      </c>
      <c r="U978" s="334" t="s">
        <v>7271</v>
      </c>
      <c r="V978" s="168">
        <f t="shared" si="3"/>
        <v>0</v>
      </c>
      <c r="W978" s="168">
        <f t="shared" si="4"/>
        <v>0</v>
      </c>
      <c r="X978" s="168">
        <f t="shared" si="5"/>
        <v>0</v>
      </c>
      <c r="Y978" s="168">
        <f t="shared" si="6"/>
        <v>0</v>
      </c>
      <c r="Z978" s="168">
        <f t="shared" si="7"/>
        <v>0</v>
      </c>
      <c r="AA978" s="168">
        <f t="shared" si="8"/>
        <v>0</v>
      </c>
      <c r="AB978" s="168">
        <f t="shared" si="9"/>
        <v>3480</v>
      </c>
    </row>
    <row r="979" ht="14.25" customHeight="1">
      <c r="A979" s="157" t="s">
        <v>7817</v>
      </c>
      <c r="B979" s="169" t="s">
        <v>37</v>
      </c>
      <c r="C979" s="169" t="s">
        <v>1456</v>
      </c>
      <c r="D979" s="336">
        <v>43949.0</v>
      </c>
      <c r="E979" s="157" t="s">
        <v>600</v>
      </c>
      <c r="F979" s="160">
        <v>1287.92</v>
      </c>
      <c r="G979" s="160">
        <v>206.07</v>
      </c>
      <c r="H979" s="160">
        <f t="shared" si="31"/>
        <v>1493.99</v>
      </c>
      <c r="I979" s="172"/>
      <c r="J979" s="169"/>
      <c r="K979" s="172"/>
      <c r="L979" s="172">
        <f>+'FACUS$'!$H979-'FACUS$'!$I979-'FACUS$'!$K979</f>
        <v>1493.99</v>
      </c>
      <c r="M979" s="162" t="s">
        <v>116</v>
      </c>
      <c r="N979" s="337" t="s">
        <v>554</v>
      </c>
      <c r="O979" s="338">
        <v>43969.0</v>
      </c>
      <c r="P979" s="164">
        <f t="array" ref="P979">XLOOKUP('FACUS$'!$B979,'perfil de pagos'!$A$4:$A$46,'perfil de pagos'!$C$4:$C$46+'FACUS$'!$D979)</f>
        <v>43959</v>
      </c>
      <c r="Q979" s="165">
        <f t="shared" si="2"/>
        <v>0</v>
      </c>
      <c r="R979" s="167" t="s">
        <v>7818</v>
      </c>
      <c r="S979" s="167" t="s">
        <v>910</v>
      </c>
      <c r="T979" s="167">
        <v>24.8492</v>
      </c>
      <c r="U979" s="334" t="s">
        <v>7271</v>
      </c>
      <c r="V979" s="168">
        <f t="shared" si="3"/>
        <v>1493.99</v>
      </c>
      <c r="W979" s="168">
        <f t="shared" si="4"/>
        <v>0</v>
      </c>
      <c r="X979" s="168">
        <f t="shared" si="5"/>
        <v>0</v>
      </c>
      <c r="Y979" s="168">
        <f t="shared" si="6"/>
        <v>0</v>
      </c>
      <c r="Z979" s="168">
        <f t="shared" si="7"/>
        <v>0</v>
      </c>
      <c r="AA979" s="168">
        <f t="shared" si="8"/>
        <v>0</v>
      </c>
      <c r="AB979" s="168">
        <f t="shared" si="9"/>
        <v>0</v>
      </c>
    </row>
    <row r="980" ht="14.25" customHeight="1">
      <c r="A980" s="157" t="s">
        <v>7819</v>
      </c>
      <c r="B980" s="169" t="s">
        <v>18</v>
      </c>
      <c r="C980" s="169" t="s">
        <v>1456</v>
      </c>
      <c r="D980" s="336">
        <v>43949.0</v>
      </c>
      <c r="E980" s="157" t="s">
        <v>600</v>
      </c>
      <c r="F980" s="160">
        <v>129.34</v>
      </c>
      <c r="G980" s="160">
        <v>20.69</v>
      </c>
      <c r="H980" s="160">
        <f t="shared" si="31"/>
        <v>150.03</v>
      </c>
      <c r="I980" s="172"/>
      <c r="J980" s="169"/>
      <c r="K980" s="172"/>
      <c r="L980" s="172">
        <f>+'FACUS$'!$H980-'FACUS$'!$I980-'FACUS$'!$K980</f>
        <v>150.03</v>
      </c>
      <c r="M980" s="162" t="s">
        <v>586</v>
      </c>
      <c r="N980" s="337" t="s">
        <v>554</v>
      </c>
      <c r="O980" s="338">
        <v>43993.0</v>
      </c>
      <c r="P980" s="164">
        <f t="array" ref="P980">XLOOKUP('FACUS$'!$B980,'perfil de pagos'!$A$4:$A$46,'perfil de pagos'!$C$4:$C$46+'FACUS$'!$D980)</f>
        <v>43959</v>
      </c>
      <c r="Q980" s="165">
        <f t="shared" si="2"/>
        <v>0</v>
      </c>
      <c r="R980" s="167"/>
      <c r="S980" s="220" t="s">
        <v>910</v>
      </c>
      <c r="T980" s="167">
        <v>24.8492</v>
      </c>
      <c r="U980" s="334" t="s">
        <v>7271</v>
      </c>
      <c r="V980" s="168">
        <f t="shared" si="3"/>
        <v>150.03</v>
      </c>
      <c r="W980" s="168">
        <f t="shared" si="4"/>
        <v>0</v>
      </c>
      <c r="X980" s="168">
        <f t="shared" si="5"/>
        <v>0</v>
      </c>
      <c r="Y980" s="168">
        <f t="shared" si="6"/>
        <v>0</v>
      </c>
      <c r="Z980" s="168">
        <f t="shared" si="7"/>
        <v>0</v>
      </c>
      <c r="AA980" s="168">
        <f t="shared" si="8"/>
        <v>0</v>
      </c>
      <c r="AB980" s="168">
        <f t="shared" si="9"/>
        <v>0</v>
      </c>
    </row>
    <row r="981" ht="14.25" customHeight="1">
      <c r="A981" s="157" t="s">
        <v>7820</v>
      </c>
      <c r="B981" s="169" t="s">
        <v>33</v>
      </c>
      <c r="C981" s="169" t="s">
        <v>1477</v>
      </c>
      <c r="D981" s="336">
        <v>43955.0</v>
      </c>
      <c r="E981" s="157" t="s">
        <v>600</v>
      </c>
      <c r="F981" s="160">
        <v>33471.61</v>
      </c>
      <c r="G981" s="160">
        <v>5355.46</v>
      </c>
      <c r="H981" s="160">
        <f t="shared" si="31"/>
        <v>38827.07</v>
      </c>
      <c r="I981" s="172"/>
      <c r="J981" s="169"/>
      <c r="K981" s="172"/>
      <c r="L981" s="172">
        <f>+'FACUS$'!$H981-'FACUS$'!$I981-'FACUS$'!$K981</f>
        <v>38827.07</v>
      </c>
      <c r="M981" s="162" t="s">
        <v>958</v>
      </c>
      <c r="N981" s="337" t="s">
        <v>554</v>
      </c>
      <c r="O981" s="338">
        <v>43966.0</v>
      </c>
      <c r="P981" s="164">
        <f t="array" ref="P981">XLOOKUP('FACUS$'!$B981,'perfil de pagos'!$A$4:$A$46,'perfil de pagos'!$C$4:$C$46+'FACUS$'!$D981)</f>
        <v>43965</v>
      </c>
      <c r="Q981" s="165">
        <f t="shared" si="2"/>
        <v>0</v>
      </c>
      <c r="R981" s="167"/>
      <c r="S981" s="220" t="s">
        <v>910</v>
      </c>
      <c r="T981" s="167">
        <v>23.9283</v>
      </c>
      <c r="U981" s="334" t="s">
        <v>7271</v>
      </c>
      <c r="V981" s="168">
        <f t="shared" si="3"/>
        <v>38827.07</v>
      </c>
      <c r="W981" s="168">
        <f t="shared" si="4"/>
        <v>0</v>
      </c>
      <c r="X981" s="168">
        <f t="shared" si="5"/>
        <v>0</v>
      </c>
      <c r="Y981" s="168">
        <f t="shared" si="6"/>
        <v>0</v>
      </c>
      <c r="Z981" s="168">
        <f t="shared" si="7"/>
        <v>0</v>
      </c>
      <c r="AA981" s="168">
        <f t="shared" si="8"/>
        <v>0</v>
      </c>
      <c r="AB981" s="168">
        <f t="shared" si="9"/>
        <v>0</v>
      </c>
    </row>
    <row r="982" ht="14.25" customHeight="1">
      <c r="A982" s="157" t="s">
        <v>7821</v>
      </c>
      <c r="B982" s="169" t="s">
        <v>35</v>
      </c>
      <c r="C982" s="169" t="s">
        <v>1477</v>
      </c>
      <c r="D982" s="336">
        <v>43955.0</v>
      </c>
      <c r="E982" s="157" t="s">
        <v>600</v>
      </c>
      <c r="F982" s="160">
        <v>5752.58</v>
      </c>
      <c r="G982" s="160">
        <v>920.41</v>
      </c>
      <c r="H982" s="160">
        <f t="shared" si="31"/>
        <v>6672.99</v>
      </c>
      <c r="I982" s="172"/>
      <c r="J982" s="169"/>
      <c r="K982" s="172"/>
      <c r="L982" s="172">
        <f>+'FACUS$'!$H982-'FACUS$'!$I982-'FACUS$'!$K982</f>
        <v>6672.99</v>
      </c>
      <c r="M982" s="162" t="s">
        <v>276</v>
      </c>
      <c r="N982" s="337" t="s">
        <v>554</v>
      </c>
      <c r="O982" s="338">
        <v>44092.0</v>
      </c>
      <c r="P982" s="164">
        <f t="array" ref="P982">XLOOKUP('FACUS$'!$B982,'perfil de pagos'!$A$4:$A$46,'perfil de pagos'!$C$4:$C$46+'FACUS$'!$D982)</f>
        <v>43965</v>
      </c>
      <c r="Q982" s="165">
        <f t="shared" si="2"/>
        <v>0</v>
      </c>
      <c r="R982" s="220" t="s">
        <v>7822</v>
      </c>
      <c r="S982" s="167" t="s">
        <v>910</v>
      </c>
      <c r="T982" s="167">
        <v>23.9283</v>
      </c>
      <c r="U982" s="334" t="s">
        <v>7271</v>
      </c>
      <c r="V982" s="168">
        <f t="shared" si="3"/>
        <v>6672.99</v>
      </c>
      <c r="W982" s="168">
        <f t="shared" si="4"/>
        <v>0</v>
      </c>
      <c r="X982" s="168">
        <f t="shared" si="5"/>
        <v>0</v>
      </c>
      <c r="Y982" s="168">
        <f t="shared" si="6"/>
        <v>0</v>
      </c>
      <c r="Z982" s="168">
        <f t="shared" si="7"/>
        <v>0</v>
      </c>
      <c r="AA982" s="168">
        <f t="shared" si="8"/>
        <v>0</v>
      </c>
      <c r="AB982" s="168">
        <f t="shared" si="9"/>
        <v>0</v>
      </c>
    </row>
    <row r="983" ht="14.25" customHeight="1">
      <c r="A983" s="157" t="s">
        <v>7823</v>
      </c>
      <c r="B983" s="169" t="s">
        <v>36</v>
      </c>
      <c r="C983" s="169" t="s">
        <v>1477</v>
      </c>
      <c r="D983" s="336">
        <v>43955.0</v>
      </c>
      <c r="E983" s="157" t="s">
        <v>600</v>
      </c>
      <c r="F983" s="160">
        <v>1920.36</v>
      </c>
      <c r="G983" s="160">
        <v>307.26</v>
      </c>
      <c r="H983" s="160">
        <f t="shared" si="31"/>
        <v>2227.62</v>
      </c>
      <c r="I983" s="172"/>
      <c r="J983" s="169"/>
      <c r="K983" s="172"/>
      <c r="L983" s="172">
        <f>+'FACUS$'!$H983-'FACUS$'!$I983-'FACUS$'!$K983</f>
        <v>2227.62</v>
      </c>
      <c r="M983" s="162" t="s">
        <v>278</v>
      </c>
      <c r="N983" s="337" t="s">
        <v>554</v>
      </c>
      <c r="O983" s="338">
        <v>43997.0</v>
      </c>
      <c r="P983" s="164">
        <f t="array" ref="P983">XLOOKUP('FACUS$'!$B983,'perfil de pagos'!$A$4:$A$46,'perfil de pagos'!$C$4:$C$46+'FACUS$'!$D983)</f>
        <v>43965</v>
      </c>
      <c r="Q983" s="165">
        <f t="shared" si="2"/>
        <v>0</v>
      </c>
      <c r="R983" s="167" t="s">
        <v>7824</v>
      </c>
      <c r="S983" s="220" t="s">
        <v>910</v>
      </c>
      <c r="T983" s="167">
        <v>23.9283</v>
      </c>
      <c r="U983" s="334" t="s">
        <v>7271</v>
      </c>
      <c r="V983" s="168">
        <f t="shared" si="3"/>
        <v>2227.62</v>
      </c>
      <c r="W983" s="168">
        <f t="shared" si="4"/>
        <v>0</v>
      </c>
      <c r="X983" s="168">
        <f t="shared" si="5"/>
        <v>0</v>
      </c>
      <c r="Y983" s="168">
        <f t="shared" si="6"/>
        <v>0</v>
      </c>
      <c r="Z983" s="168">
        <f t="shared" si="7"/>
        <v>0</v>
      </c>
      <c r="AA983" s="168">
        <f t="shared" si="8"/>
        <v>0</v>
      </c>
      <c r="AB983" s="168">
        <f t="shared" si="9"/>
        <v>0</v>
      </c>
    </row>
    <row r="984" ht="14.25" customHeight="1">
      <c r="A984" s="157" t="s">
        <v>7825</v>
      </c>
      <c r="B984" s="169" t="s">
        <v>1127</v>
      </c>
      <c r="C984" s="169" t="s">
        <v>7826</v>
      </c>
      <c r="D984" s="336">
        <v>43955.0</v>
      </c>
      <c r="E984" s="157" t="s">
        <v>600</v>
      </c>
      <c r="F984" s="160">
        <v>201514.04</v>
      </c>
      <c r="G984" s="160">
        <v>32242.25</v>
      </c>
      <c r="H984" s="160">
        <f t="shared" si="31"/>
        <v>233756.29</v>
      </c>
      <c r="I984" s="172"/>
      <c r="J984" s="169"/>
      <c r="K984" s="172"/>
      <c r="L984" s="172">
        <f>+'FACUS$'!$H984-'FACUS$'!$I984-'FACUS$'!$K984</f>
        <v>233756.29</v>
      </c>
      <c r="M984" s="162" t="s">
        <v>580</v>
      </c>
      <c r="N984" s="337" t="s">
        <v>554</v>
      </c>
      <c r="O984" s="338">
        <v>43973.0</v>
      </c>
      <c r="P984" s="164" t="str">
        <f t="array" ref="P984">XLOOKUP('FACUS$'!$B984,'perfil de pagos'!$A$4:$A$46,'perfil de pagos'!$C$4:$C$46+'FACUS$'!$D984)</f>
        <v>#N/A</v>
      </c>
      <c r="Q984" s="165">
        <f t="shared" si="2"/>
        <v>0</v>
      </c>
      <c r="R984" s="167" t="s">
        <v>7827</v>
      </c>
      <c r="S984" s="220" t="s">
        <v>910</v>
      </c>
      <c r="T984" s="167">
        <v>23.9283</v>
      </c>
      <c r="U984" s="334" t="s">
        <v>7271</v>
      </c>
      <c r="V984" s="168">
        <f t="shared" si="3"/>
        <v>233756.29</v>
      </c>
      <c r="W984" s="168">
        <f t="shared" si="4"/>
        <v>0</v>
      </c>
      <c r="X984" s="168">
        <f t="shared" si="5"/>
        <v>0</v>
      </c>
      <c r="Y984" s="168">
        <f t="shared" si="6"/>
        <v>0</v>
      </c>
      <c r="Z984" s="168">
        <f t="shared" si="7"/>
        <v>0</v>
      </c>
      <c r="AA984" s="168">
        <f t="shared" si="8"/>
        <v>0</v>
      </c>
      <c r="AB984" s="168">
        <f t="shared" si="9"/>
        <v>0</v>
      </c>
    </row>
    <row r="985" ht="14.25" customHeight="1">
      <c r="A985" s="157" t="s">
        <v>7828</v>
      </c>
      <c r="B985" s="169" t="s">
        <v>41</v>
      </c>
      <c r="C985" s="169" t="s">
        <v>1477</v>
      </c>
      <c r="D985" s="336">
        <v>43956.0</v>
      </c>
      <c r="E985" s="157" t="s">
        <v>600</v>
      </c>
      <c r="F985" s="160">
        <v>12064.41</v>
      </c>
      <c r="G985" s="160">
        <v>1930.31</v>
      </c>
      <c r="H985" s="160">
        <f t="shared" si="31"/>
        <v>13994.72</v>
      </c>
      <c r="I985" s="172"/>
      <c r="J985" s="169"/>
      <c r="K985" s="172"/>
      <c r="L985" s="172">
        <f>+'FACUS$'!$H985-'FACUS$'!$I985-'FACUS$'!$K985</f>
        <v>13994.72</v>
      </c>
      <c r="M985" s="162" t="s">
        <v>875</v>
      </c>
      <c r="N985" s="337" t="s">
        <v>554</v>
      </c>
      <c r="O985" s="338">
        <v>43984.0</v>
      </c>
      <c r="P985" s="164">
        <f t="array" ref="P985">XLOOKUP('FACUS$'!$B985,'perfil de pagos'!$A$4:$A$46,'perfil de pagos'!$C$4:$C$46+'FACUS$'!$D985)</f>
        <v>43966</v>
      </c>
      <c r="Q985" s="165">
        <f t="shared" si="2"/>
        <v>0</v>
      </c>
      <c r="R985" s="167"/>
      <c r="S985" s="220" t="s">
        <v>910</v>
      </c>
      <c r="T985" s="167">
        <v>24.3812</v>
      </c>
      <c r="U985" s="334" t="s">
        <v>7271</v>
      </c>
      <c r="V985" s="168">
        <f t="shared" si="3"/>
        <v>13994.72</v>
      </c>
      <c r="W985" s="168">
        <f t="shared" si="4"/>
        <v>0</v>
      </c>
      <c r="X985" s="168">
        <f t="shared" si="5"/>
        <v>0</v>
      </c>
      <c r="Y985" s="168">
        <f t="shared" si="6"/>
        <v>0</v>
      </c>
      <c r="Z985" s="168">
        <f t="shared" si="7"/>
        <v>0</v>
      </c>
      <c r="AA985" s="168">
        <f t="shared" si="8"/>
        <v>0</v>
      </c>
      <c r="AB985" s="168">
        <f t="shared" si="9"/>
        <v>0</v>
      </c>
    </row>
    <row r="986" ht="14.25" customHeight="1">
      <c r="A986" s="157" t="s">
        <v>7829</v>
      </c>
      <c r="B986" s="169" t="s">
        <v>37</v>
      </c>
      <c r="C986" s="169" t="s">
        <v>1477</v>
      </c>
      <c r="D986" s="336">
        <v>43956.0</v>
      </c>
      <c r="E986" s="157" t="s">
        <v>600</v>
      </c>
      <c r="F986" s="160">
        <v>96559.51</v>
      </c>
      <c r="G986" s="160">
        <v>15449.52</v>
      </c>
      <c r="H986" s="160">
        <f t="shared" si="31"/>
        <v>112009.03</v>
      </c>
      <c r="I986" s="172"/>
      <c r="J986" s="169"/>
      <c r="K986" s="172"/>
      <c r="L986" s="172">
        <f>+'FACUS$'!$H986-'FACUS$'!$I986-'FACUS$'!$K986</f>
        <v>112009.03</v>
      </c>
      <c r="M986" s="162" t="s">
        <v>116</v>
      </c>
      <c r="N986" s="337" t="s">
        <v>554</v>
      </c>
      <c r="O986" s="338">
        <v>43969.0</v>
      </c>
      <c r="P986" s="164">
        <f t="array" ref="P986">XLOOKUP('FACUS$'!$B986,'perfil de pagos'!$A$4:$A$46,'perfil de pagos'!$C$4:$C$46+'FACUS$'!$D986)</f>
        <v>43966</v>
      </c>
      <c r="Q986" s="165">
        <f t="shared" si="2"/>
        <v>0</v>
      </c>
      <c r="R986" s="167" t="s">
        <v>7818</v>
      </c>
      <c r="S986" s="167" t="s">
        <v>910</v>
      </c>
      <c r="T986" s="167">
        <v>24.3812</v>
      </c>
      <c r="U986" s="334" t="s">
        <v>7271</v>
      </c>
      <c r="V986" s="168">
        <f t="shared" si="3"/>
        <v>112009.03</v>
      </c>
      <c r="W986" s="168">
        <f t="shared" si="4"/>
        <v>0</v>
      </c>
      <c r="X986" s="168">
        <f t="shared" si="5"/>
        <v>0</v>
      </c>
      <c r="Y986" s="168">
        <f t="shared" si="6"/>
        <v>0</v>
      </c>
      <c r="Z986" s="168">
        <f t="shared" si="7"/>
        <v>0</v>
      </c>
      <c r="AA986" s="168">
        <f t="shared" si="8"/>
        <v>0</v>
      </c>
      <c r="AB986" s="168">
        <f t="shared" si="9"/>
        <v>0</v>
      </c>
    </row>
    <row r="987" ht="14.25" customHeight="1">
      <c r="A987" s="157" t="s">
        <v>7830</v>
      </c>
      <c r="B987" s="169" t="s">
        <v>18</v>
      </c>
      <c r="C987" s="169" t="s">
        <v>1477</v>
      </c>
      <c r="D987" s="336">
        <v>43956.0</v>
      </c>
      <c r="E987" s="157" t="s">
        <v>600</v>
      </c>
      <c r="F987" s="160">
        <v>8689.86</v>
      </c>
      <c r="G987" s="160">
        <v>1390.38</v>
      </c>
      <c r="H987" s="160">
        <f t="shared" si="31"/>
        <v>10080.24</v>
      </c>
      <c r="I987" s="172"/>
      <c r="J987" s="169"/>
      <c r="K987" s="172"/>
      <c r="L987" s="172">
        <f>+'FACUS$'!$H987-'FACUS$'!$I987-'FACUS$'!$K987</f>
        <v>10080.24</v>
      </c>
      <c r="M987" s="162" t="s">
        <v>586</v>
      </c>
      <c r="N987" s="337" t="s">
        <v>554</v>
      </c>
      <c r="O987" s="338">
        <v>43993.0</v>
      </c>
      <c r="P987" s="164">
        <f t="array" ref="P987">XLOOKUP('FACUS$'!$B987,'perfil de pagos'!$A$4:$A$46,'perfil de pagos'!$C$4:$C$46+'FACUS$'!$D987)</f>
        <v>43966</v>
      </c>
      <c r="Q987" s="165">
        <f t="shared" si="2"/>
        <v>0</v>
      </c>
      <c r="R987" s="167"/>
      <c r="S987" s="220" t="s">
        <v>910</v>
      </c>
      <c r="T987" s="167">
        <v>24.3812</v>
      </c>
      <c r="U987" s="334" t="s">
        <v>7271</v>
      </c>
      <c r="V987" s="168">
        <f t="shared" si="3"/>
        <v>10080.24</v>
      </c>
      <c r="W987" s="168">
        <f t="shared" si="4"/>
        <v>0</v>
      </c>
      <c r="X987" s="168">
        <f t="shared" si="5"/>
        <v>0</v>
      </c>
      <c r="Y987" s="168">
        <f t="shared" si="6"/>
        <v>0</v>
      </c>
      <c r="Z987" s="168">
        <f t="shared" si="7"/>
        <v>0</v>
      </c>
      <c r="AA987" s="168">
        <f t="shared" si="8"/>
        <v>0</v>
      </c>
      <c r="AB987" s="168">
        <f t="shared" si="9"/>
        <v>0</v>
      </c>
    </row>
    <row r="988" ht="14.25" customHeight="1">
      <c r="A988" s="157" t="s">
        <v>7831</v>
      </c>
      <c r="B988" s="169" t="s">
        <v>30</v>
      </c>
      <c r="C988" s="169" t="s">
        <v>7832</v>
      </c>
      <c r="D988" s="336">
        <v>43956.0</v>
      </c>
      <c r="E988" s="157" t="s">
        <v>600</v>
      </c>
      <c r="F988" s="160">
        <v>3000.0</v>
      </c>
      <c r="G988" s="160">
        <v>480.0</v>
      </c>
      <c r="H988" s="160">
        <f t="shared" si="31"/>
        <v>3480</v>
      </c>
      <c r="I988" s="172"/>
      <c r="J988" s="169"/>
      <c r="K988" s="172"/>
      <c r="L988" s="172">
        <f>+'FACUS$'!$H988-'FACUS$'!$I988-'FACUS$'!$K988</f>
        <v>3480</v>
      </c>
      <c r="M988" s="162" t="s">
        <v>7415</v>
      </c>
      <c r="N988" s="337" t="s">
        <v>127</v>
      </c>
      <c r="O988" s="338">
        <v>45063.0</v>
      </c>
      <c r="P988" s="164">
        <f t="array" ref="P988">XLOOKUP('FACUS$'!$B988,'perfil de pagos'!$A$4:$A$46,'perfil de pagos'!$C$4:$C$46+'FACUS$'!$D988)</f>
        <v>43966</v>
      </c>
      <c r="Q988" s="165" t="str">
        <f t="shared" si="2"/>
        <v>N/A</v>
      </c>
      <c r="R988" s="220" t="s">
        <v>7747</v>
      </c>
      <c r="S988" s="167"/>
      <c r="T988" s="167">
        <v>24.3812</v>
      </c>
      <c r="U988" s="334" t="s">
        <v>7271</v>
      </c>
      <c r="V988" s="168">
        <f t="shared" si="3"/>
        <v>0</v>
      </c>
      <c r="W988" s="168">
        <f t="shared" si="4"/>
        <v>0</v>
      </c>
      <c r="X988" s="168">
        <f t="shared" si="5"/>
        <v>0</v>
      </c>
      <c r="Y988" s="168">
        <f t="shared" si="6"/>
        <v>0</v>
      </c>
      <c r="Z988" s="168">
        <f t="shared" si="7"/>
        <v>0</v>
      </c>
      <c r="AA988" s="168">
        <f t="shared" si="8"/>
        <v>0</v>
      </c>
      <c r="AB988" s="168">
        <f t="shared" si="9"/>
        <v>3480</v>
      </c>
    </row>
    <row r="989" ht="14.25" customHeight="1">
      <c r="A989" s="157" t="s">
        <v>7833</v>
      </c>
      <c r="B989" s="169" t="s">
        <v>29</v>
      </c>
      <c r="C989" s="169" t="s">
        <v>7834</v>
      </c>
      <c r="D989" s="336">
        <v>43956.0</v>
      </c>
      <c r="E989" s="157" t="s">
        <v>600</v>
      </c>
      <c r="F989" s="160">
        <v>15000.0</v>
      </c>
      <c r="G989" s="160">
        <v>2400.0</v>
      </c>
      <c r="H989" s="160">
        <f t="shared" si="31"/>
        <v>17400</v>
      </c>
      <c r="I989" s="172"/>
      <c r="J989" s="169"/>
      <c r="K989" s="172"/>
      <c r="L989" s="172">
        <f>+'FACUS$'!$H989-'FACUS$'!$I989-'FACUS$'!$K989</f>
        <v>17400</v>
      </c>
      <c r="M989" s="162" t="s">
        <v>7509</v>
      </c>
      <c r="N989" s="337" t="s">
        <v>554</v>
      </c>
      <c r="O989" s="338">
        <v>43971.0</v>
      </c>
      <c r="P989" s="164">
        <f t="array" ref="P989">XLOOKUP('FACUS$'!$B989,'perfil de pagos'!$A$4:$A$46,'perfil de pagos'!$C$4:$C$46+'FACUS$'!$D989)</f>
        <v>43966</v>
      </c>
      <c r="Q989" s="165">
        <f t="shared" si="2"/>
        <v>0</v>
      </c>
      <c r="R989" s="167"/>
      <c r="S989" s="167"/>
      <c r="T989" s="167">
        <v>24.3812</v>
      </c>
      <c r="U989" s="334" t="s">
        <v>7271</v>
      </c>
      <c r="V989" s="168">
        <f t="shared" si="3"/>
        <v>17400</v>
      </c>
      <c r="W989" s="168">
        <f t="shared" si="4"/>
        <v>0</v>
      </c>
      <c r="X989" s="168">
        <f t="shared" si="5"/>
        <v>0</v>
      </c>
      <c r="Y989" s="168">
        <f t="shared" si="6"/>
        <v>0</v>
      </c>
      <c r="Z989" s="168">
        <f t="shared" si="7"/>
        <v>0</v>
      </c>
      <c r="AA989" s="168">
        <f t="shared" si="8"/>
        <v>0</v>
      </c>
      <c r="AB989" s="168">
        <f t="shared" si="9"/>
        <v>0</v>
      </c>
    </row>
    <row r="990" ht="14.25" customHeight="1">
      <c r="A990" s="157" t="s">
        <v>7835</v>
      </c>
      <c r="B990" s="169" t="s">
        <v>29</v>
      </c>
      <c r="C990" s="169" t="s">
        <v>7836</v>
      </c>
      <c r="D990" s="336">
        <v>43956.0</v>
      </c>
      <c r="E990" s="157" t="s">
        <v>600</v>
      </c>
      <c r="F990" s="160">
        <v>2500.0</v>
      </c>
      <c r="G990" s="160">
        <v>400.0</v>
      </c>
      <c r="H990" s="160">
        <f t="shared" si="31"/>
        <v>2900</v>
      </c>
      <c r="I990" s="172"/>
      <c r="J990" s="169"/>
      <c r="K990" s="172"/>
      <c r="L990" s="172">
        <f>+'FACUS$'!$H990-'FACUS$'!$I990-'FACUS$'!$K990</f>
        <v>2900</v>
      </c>
      <c r="M990" s="162" t="s">
        <v>7509</v>
      </c>
      <c r="N990" s="337" t="s">
        <v>554</v>
      </c>
      <c r="O990" s="338">
        <v>43979.0</v>
      </c>
      <c r="P990" s="164">
        <f t="array" ref="P990">XLOOKUP('FACUS$'!$B990,'perfil de pagos'!$A$4:$A$46,'perfil de pagos'!$C$4:$C$46+'FACUS$'!$D990)</f>
        <v>43966</v>
      </c>
      <c r="Q990" s="165">
        <f t="shared" si="2"/>
        <v>0</v>
      </c>
      <c r="R990" s="167"/>
      <c r="S990" s="167"/>
      <c r="T990" s="167">
        <v>24.3812</v>
      </c>
      <c r="U990" s="334" t="s">
        <v>7271</v>
      </c>
      <c r="V990" s="168">
        <f t="shared" si="3"/>
        <v>2900</v>
      </c>
      <c r="W990" s="168">
        <f t="shared" si="4"/>
        <v>0</v>
      </c>
      <c r="X990" s="168">
        <f t="shared" si="5"/>
        <v>0</v>
      </c>
      <c r="Y990" s="168">
        <f t="shared" si="6"/>
        <v>0</v>
      </c>
      <c r="Z990" s="168">
        <f t="shared" si="7"/>
        <v>0</v>
      </c>
      <c r="AA990" s="168">
        <f t="shared" si="8"/>
        <v>0</v>
      </c>
      <c r="AB990" s="168">
        <f t="shared" si="9"/>
        <v>0</v>
      </c>
    </row>
    <row r="991" ht="14.25" customHeight="1">
      <c r="A991" s="157" t="s">
        <v>7837</v>
      </c>
      <c r="B991" s="169" t="s">
        <v>37</v>
      </c>
      <c r="C991" s="169" t="s">
        <v>7838</v>
      </c>
      <c r="D991" s="336">
        <v>43958.0</v>
      </c>
      <c r="E991" s="157" t="s">
        <v>600</v>
      </c>
      <c r="F991" s="160">
        <v>38283.62</v>
      </c>
      <c r="G991" s="160">
        <v>6125.38</v>
      </c>
      <c r="H991" s="160">
        <f t="shared" si="31"/>
        <v>44409</v>
      </c>
      <c r="I991" s="172"/>
      <c r="J991" s="169"/>
      <c r="K991" s="172"/>
      <c r="L991" s="172">
        <f>+'FACUS$'!$H991-'FACUS$'!$I991-'FACUS$'!$K991</f>
        <v>44409</v>
      </c>
      <c r="M991" s="162" t="s">
        <v>116</v>
      </c>
      <c r="N991" s="337" t="s">
        <v>127</v>
      </c>
      <c r="O991" s="338"/>
      <c r="P991" s="164">
        <f t="array" ref="P991">XLOOKUP('FACUS$'!$B991,'perfil de pagos'!$A$4:$A$46,'perfil de pagos'!$C$4:$C$46+'FACUS$'!$D991)</f>
        <v>43968</v>
      </c>
      <c r="Q991" s="165" t="str">
        <f t="shared" si="2"/>
        <v>N/A</v>
      </c>
      <c r="R991" s="167"/>
      <c r="S991" s="167"/>
      <c r="T991" s="167">
        <v>24.2942</v>
      </c>
      <c r="U991" s="334" t="s">
        <v>7271</v>
      </c>
      <c r="V991" s="168">
        <f t="shared" si="3"/>
        <v>0</v>
      </c>
      <c r="W991" s="168">
        <f t="shared" si="4"/>
        <v>0</v>
      </c>
      <c r="X991" s="168">
        <f t="shared" si="5"/>
        <v>0</v>
      </c>
      <c r="Y991" s="168">
        <f t="shared" si="6"/>
        <v>0</v>
      </c>
      <c r="Z991" s="168">
        <f t="shared" si="7"/>
        <v>0</v>
      </c>
      <c r="AA991" s="168">
        <f t="shared" si="8"/>
        <v>0</v>
      </c>
      <c r="AB991" s="168">
        <f t="shared" si="9"/>
        <v>44409</v>
      </c>
    </row>
    <row r="992" ht="14.25" customHeight="1">
      <c r="A992" s="157" t="s">
        <v>7839</v>
      </c>
      <c r="B992" s="169" t="s">
        <v>29</v>
      </c>
      <c r="C992" s="169" t="s">
        <v>7840</v>
      </c>
      <c r="D992" s="336">
        <v>43963.0</v>
      </c>
      <c r="E992" s="157" t="s">
        <v>600</v>
      </c>
      <c r="F992" s="160">
        <v>1785.0</v>
      </c>
      <c r="G992" s="160">
        <v>285.6</v>
      </c>
      <c r="H992" s="160">
        <f t="shared" si="31"/>
        <v>2070.6</v>
      </c>
      <c r="I992" s="172"/>
      <c r="J992" s="169"/>
      <c r="K992" s="172"/>
      <c r="L992" s="172">
        <f>+'FACUS$'!$H992-'FACUS$'!$I992-'FACUS$'!$K992</f>
        <v>2070.6</v>
      </c>
      <c r="M992" s="162" t="s">
        <v>7509</v>
      </c>
      <c r="N992" s="337" t="s">
        <v>554</v>
      </c>
      <c r="O992" s="338">
        <v>43979.0</v>
      </c>
      <c r="P992" s="164">
        <f t="array" ref="P992">XLOOKUP('FACUS$'!$B992,'perfil de pagos'!$A$4:$A$46,'perfil de pagos'!$C$4:$C$46+'FACUS$'!$D992)</f>
        <v>43973</v>
      </c>
      <c r="Q992" s="165">
        <f t="shared" si="2"/>
        <v>0</v>
      </c>
      <c r="R992" s="167"/>
      <c r="S992" s="167"/>
      <c r="T992" s="167">
        <v>23.8693</v>
      </c>
      <c r="U992" s="334" t="s">
        <v>7271</v>
      </c>
      <c r="V992" s="168">
        <f t="shared" si="3"/>
        <v>2070.6</v>
      </c>
      <c r="W992" s="168">
        <f t="shared" si="4"/>
        <v>0</v>
      </c>
      <c r="X992" s="168">
        <f t="shared" si="5"/>
        <v>0</v>
      </c>
      <c r="Y992" s="168">
        <f t="shared" si="6"/>
        <v>0</v>
      </c>
      <c r="Z992" s="168">
        <f t="shared" si="7"/>
        <v>0</v>
      </c>
      <c r="AA992" s="168">
        <f t="shared" si="8"/>
        <v>0</v>
      </c>
      <c r="AB992" s="168">
        <f t="shared" si="9"/>
        <v>0</v>
      </c>
    </row>
    <row r="993" ht="14.25" customHeight="1">
      <c r="A993" s="157" t="s">
        <v>7841</v>
      </c>
      <c r="B993" s="169" t="s">
        <v>29</v>
      </c>
      <c r="C993" s="169" t="s">
        <v>7842</v>
      </c>
      <c r="D993" s="336">
        <v>43963.0</v>
      </c>
      <c r="E993" s="157" t="s">
        <v>600</v>
      </c>
      <c r="F993" s="160">
        <v>2047.5</v>
      </c>
      <c r="G993" s="160">
        <v>327.6</v>
      </c>
      <c r="H993" s="160">
        <f t="shared" si="31"/>
        <v>2375.1</v>
      </c>
      <c r="I993" s="172"/>
      <c r="J993" s="169"/>
      <c r="K993" s="172"/>
      <c r="L993" s="172">
        <f>+'FACUS$'!$H993-'FACUS$'!$I993-'FACUS$'!$K993</f>
        <v>2375.1</v>
      </c>
      <c r="M993" s="162" t="s">
        <v>1087</v>
      </c>
      <c r="N993" s="337" t="s">
        <v>554</v>
      </c>
      <c r="O993" s="338">
        <v>43979.0</v>
      </c>
      <c r="P993" s="164">
        <f t="array" ref="P993">XLOOKUP('FACUS$'!$B993,'perfil de pagos'!$A$4:$A$46,'perfil de pagos'!$C$4:$C$46+'FACUS$'!$D993)</f>
        <v>43973</v>
      </c>
      <c r="Q993" s="165">
        <f t="shared" si="2"/>
        <v>0</v>
      </c>
      <c r="R993" s="167"/>
      <c r="S993" s="167"/>
      <c r="T993" s="167">
        <v>23.8693</v>
      </c>
      <c r="U993" s="334" t="s">
        <v>7271</v>
      </c>
      <c r="V993" s="168">
        <f t="shared" si="3"/>
        <v>2375.1</v>
      </c>
      <c r="W993" s="168">
        <f t="shared" si="4"/>
        <v>0</v>
      </c>
      <c r="X993" s="168">
        <f t="shared" si="5"/>
        <v>0</v>
      </c>
      <c r="Y993" s="168">
        <f t="shared" si="6"/>
        <v>0</v>
      </c>
      <c r="Z993" s="168">
        <f t="shared" si="7"/>
        <v>0</v>
      </c>
      <c r="AA993" s="168">
        <f t="shared" si="8"/>
        <v>0</v>
      </c>
      <c r="AB993" s="168">
        <f t="shared" si="9"/>
        <v>0</v>
      </c>
    </row>
    <row r="994" ht="14.25" customHeight="1">
      <c r="A994" s="157" t="s">
        <v>7843</v>
      </c>
      <c r="B994" s="169" t="s">
        <v>37</v>
      </c>
      <c r="C994" s="169" t="s">
        <v>7844</v>
      </c>
      <c r="D994" s="336">
        <v>43963.0</v>
      </c>
      <c r="E994" s="157" t="s">
        <v>600</v>
      </c>
      <c r="F994" s="160">
        <v>29684.86</v>
      </c>
      <c r="G994" s="160">
        <v>4749.58</v>
      </c>
      <c r="H994" s="160">
        <f t="shared" si="31"/>
        <v>34434.44</v>
      </c>
      <c r="I994" s="172"/>
      <c r="J994" s="169"/>
      <c r="K994" s="172"/>
      <c r="L994" s="172">
        <f>+'FACUS$'!$H994-'FACUS$'!$I994-'FACUS$'!$K994</f>
        <v>34434.44</v>
      </c>
      <c r="M994" s="162" t="s">
        <v>116</v>
      </c>
      <c r="N994" s="337" t="s">
        <v>554</v>
      </c>
      <c r="O994" s="338">
        <v>43984.0</v>
      </c>
      <c r="P994" s="164">
        <f t="array" ref="P994">XLOOKUP('FACUS$'!$B994,'perfil de pagos'!$A$4:$A$46,'perfil de pagos'!$C$4:$C$46+'FACUS$'!$D994)</f>
        <v>43973</v>
      </c>
      <c r="Q994" s="165">
        <f t="shared" si="2"/>
        <v>0</v>
      </c>
      <c r="R994" s="167"/>
      <c r="S994" s="220" t="s">
        <v>910</v>
      </c>
      <c r="T994" s="167">
        <v>23.8693</v>
      </c>
      <c r="U994" s="334" t="s">
        <v>7271</v>
      </c>
      <c r="V994" s="168">
        <f t="shared" si="3"/>
        <v>34434.44</v>
      </c>
      <c r="W994" s="168">
        <f t="shared" si="4"/>
        <v>0</v>
      </c>
      <c r="X994" s="168">
        <f t="shared" si="5"/>
        <v>0</v>
      </c>
      <c r="Y994" s="168">
        <f t="shared" si="6"/>
        <v>0</v>
      </c>
      <c r="Z994" s="168">
        <f t="shared" si="7"/>
        <v>0</v>
      </c>
      <c r="AA994" s="168">
        <f t="shared" si="8"/>
        <v>0</v>
      </c>
      <c r="AB994" s="168">
        <f t="shared" si="9"/>
        <v>0</v>
      </c>
    </row>
    <row r="995" ht="14.25" customHeight="1">
      <c r="A995" s="157" t="s">
        <v>7845</v>
      </c>
      <c r="B995" s="169" t="s">
        <v>37</v>
      </c>
      <c r="C995" s="169" t="s">
        <v>7838</v>
      </c>
      <c r="D995" s="336">
        <v>43963.0</v>
      </c>
      <c r="E995" s="157" t="s">
        <v>600</v>
      </c>
      <c r="F995" s="160">
        <v>38283.62</v>
      </c>
      <c r="G995" s="160">
        <v>6125.38</v>
      </c>
      <c r="H995" s="160">
        <f t="shared" si="31"/>
        <v>44409</v>
      </c>
      <c r="I995" s="172"/>
      <c r="J995" s="169"/>
      <c r="K995" s="172"/>
      <c r="L995" s="172">
        <f>+'FACUS$'!$H995-'FACUS$'!$I995-'FACUS$'!$K995</f>
        <v>44409</v>
      </c>
      <c r="M995" s="162" t="s">
        <v>116</v>
      </c>
      <c r="N995" s="337" t="s">
        <v>554</v>
      </c>
      <c r="O995" s="338">
        <v>43990.0</v>
      </c>
      <c r="P995" s="164">
        <f t="array" ref="P995">XLOOKUP('FACUS$'!$B995,'perfil de pagos'!$A$4:$A$46,'perfil de pagos'!$C$4:$C$46+'FACUS$'!$D995)</f>
        <v>43973</v>
      </c>
      <c r="Q995" s="165">
        <f t="shared" si="2"/>
        <v>0</v>
      </c>
      <c r="R995" s="167" t="s">
        <v>7846</v>
      </c>
      <c r="S995" s="220" t="s">
        <v>910</v>
      </c>
      <c r="T995" s="167">
        <v>23.8693</v>
      </c>
      <c r="U995" s="334" t="s">
        <v>7271</v>
      </c>
      <c r="V995" s="168">
        <f t="shared" si="3"/>
        <v>44409</v>
      </c>
      <c r="W995" s="168">
        <f t="shared" si="4"/>
        <v>0</v>
      </c>
      <c r="X995" s="168">
        <f t="shared" si="5"/>
        <v>0</v>
      </c>
      <c r="Y995" s="168">
        <f t="shared" si="6"/>
        <v>0</v>
      </c>
      <c r="Z995" s="168">
        <f t="shared" si="7"/>
        <v>0</v>
      </c>
      <c r="AA995" s="168">
        <f t="shared" si="8"/>
        <v>0</v>
      </c>
      <c r="AB995" s="168">
        <f t="shared" si="9"/>
        <v>0</v>
      </c>
    </row>
    <row r="996" ht="14.25" customHeight="1">
      <c r="A996" s="157" t="s">
        <v>7847</v>
      </c>
      <c r="B996" s="169" t="s">
        <v>36</v>
      </c>
      <c r="C996" s="169" t="s">
        <v>7848</v>
      </c>
      <c r="D996" s="336">
        <v>43963.0</v>
      </c>
      <c r="E996" s="157" t="s">
        <v>600</v>
      </c>
      <c r="F996" s="160">
        <v>1226.5</v>
      </c>
      <c r="G996" s="160">
        <v>196.24</v>
      </c>
      <c r="H996" s="160">
        <f t="shared" si="31"/>
        <v>1422.74</v>
      </c>
      <c r="I996" s="172"/>
      <c r="J996" s="169"/>
      <c r="K996" s="172"/>
      <c r="L996" s="172">
        <f>+'FACUS$'!$H996-'FACUS$'!$I996-'FACUS$'!$K996</f>
        <v>1422.74</v>
      </c>
      <c r="M996" s="162" t="s">
        <v>278</v>
      </c>
      <c r="N996" s="337" t="s">
        <v>554</v>
      </c>
      <c r="O996" s="338">
        <v>44194.0</v>
      </c>
      <c r="P996" s="164">
        <f t="array" ref="P996">XLOOKUP('FACUS$'!$B996,'perfil de pagos'!$A$4:$A$46,'perfil de pagos'!$C$4:$C$46+'FACUS$'!$D996)</f>
        <v>43973</v>
      </c>
      <c r="Q996" s="165">
        <f t="shared" si="2"/>
        <v>0</v>
      </c>
      <c r="R996" s="167" t="s">
        <v>7849</v>
      </c>
      <c r="S996" s="167"/>
      <c r="T996" s="167">
        <v>23.8693</v>
      </c>
      <c r="U996" s="334" t="s">
        <v>7271</v>
      </c>
      <c r="V996" s="168">
        <f t="shared" si="3"/>
        <v>1422.74</v>
      </c>
      <c r="W996" s="168">
        <f t="shared" si="4"/>
        <v>0</v>
      </c>
      <c r="X996" s="168">
        <f t="shared" si="5"/>
        <v>0</v>
      </c>
      <c r="Y996" s="168">
        <f t="shared" si="6"/>
        <v>0</v>
      </c>
      <c r="Z996" s="168">
        <f t="shared" si="7"/>
        <v>0</v>
      </c>
      <c r="AA996" s="168">
        <f t="shared" si="8"/>
        <v>0</v>
      </c>
      <c r="AB996" s="168">
        <f t="shared" si="9"/>
        <v>0</v>
      </c>
    </row>
    <row r="997" ht="14.25" customHeight="1">
      <c r="A997" s="157" t="s">
        <v>7850</v>
      </c>
      <c r="B997" s="169" t="s">
        <v>36</v>
      </c>
      <c r="C997" s="169" t="s">
        <v>7851</v>
      </c>
      <c r="D997" s="336">
        <v>43963.0</v>
      </c>
      <c r="E997" s="157" t="s">
        <v>600</v>
      </c>
      <c r="F997" s="160">
        <v>1226.5</v>
      </c>
      <c r="G997" s="160">
        <v>196.24</v>
      </c>
      <c r="H997" s="160">
        <f t="shared" si="31"/>
        <v>1422.74</v>
      </c>
      <c r="I997" s="172"/>
      <c r="J997" s="169"/>
      <c r="K997" s="172"/>
      <c r="L997" s="172">
        <f>+'FACUS$'!$H997-'FACUS$'!$I997-'FACUS$'!$K997</f>
        <v>1422.74</v>
      </c>
      <c r="M997" s="162" t="s">
        <v>278</v>
      </c>
      <c r="N997" s="337" t="s">
        <v>554</v>
      </c>
      <c r="O997" s="338">
        <v>44193.0</v>
      </c>
      <c r="P997" s="164">
        <f t="array" ref="P997">XLOOKUP('FACUS$'!$B997,'perfil de pagos'!$A$4:$A$46,'perfil de pagos'!$C$4:$C$46+'FACUS$'!$D997)</f>
        <v>43973</v>
      </c>
      <c r="Q997" s="165">
        <f t="shared" si="2"/>
        <v>0</v>
      </c>
      <c r="R997" s="167" t="s">
        <v>7852</v>
      </c>
      <c r="S997" s="220" t="s">
        <v>910</v>
      </c>
      <c r="T997" s="167">
        <v>23.8693</v>
      </c>
      <c r="U997" s="334" t="s">
        <v>7271</v>
      </c>
      <c r="V997" s="168">
        <f t="shared" si="3"/>
        <v>1422.74</v>
      </c>
      <c r="W997" s="168">
        <f t="shared" si="4"/>
        <v>0</v>
      </c>
      <c r="X997" s="168">
        <f t="shared" si="5"/>
        <v>0</v>
      </c>
      <c r="Y997" s="168">
        <f t="shared" si="6"/>
        <v>0</v>
      </c>
      <c r="Z997" s="168">
        <f t="shared" si="7"/>
        <v>0</v>
      </c>
      <c r="AA997" s="168">
        <f t="shared" si="8"/>
        <v>0</v>
      </c>
      <c r="AB997" s="168">
        <f t="shared" si="9"/>
        <v>0</v>
      </c>
    </row>
    <row r="998" ht="14.25" customHeight="1">
      <c r="A998" s="157" t="s">
        <v>7853</v>
      </c>
      <c r="B998" s="169" t="s">
        <v>36</v>
      </c>
      <c r="C998" s="169" t="s">
        <v>7854</v>
      </c>
      <c r="D998" s="336">
        <v>43963.0</v>
      </c>
      <c r="E998" s="157" t="s">
        <v>600</v>
      </c>
      <c r="F998" s="160">
        <v>1226.5</v>
      </c>
      <c r="G998" s="160">
        <v>196.24</v>
      </c>
      <c r="H998" s="160">
        <f t="shared" si="31"/>
        <v>1422.74</v>
      </c>
      <c r="I998" s="172"/>
      <c r="J998" s="169"/>
      <c r="K998" s="172"/>
      <c r="L998" s="172">
        <f>+'FACUS$'!$H998-'FACUS$'!$I998-'FACUS$'!$K998</f>
        <v>1422.74</v>
      </c>
      <c r="M998" s="162" t="s">
        <v>278</v>
      </c>
      <c r="N998" s="337" t="s">
        <v>554</v>
      </c>
      <c r="O998" s="338">
        <v>44193.0</v>
      </c>
      <c r="P998" s="164">
        <f t="array" ref="P998">XLOOKUP('FACUS$'!$B998,'perfil de pagos'!$A$4:$A$46,'perfil de pagos'!$C$4:$C$46+'FACUS$'!$D998)</f>
        <v>43973</v>
      </c>
      <c r="Q998" s="165">
        <f t="shared" si="2"/>
        <v>0</v>
      </c>
      <c r="R998" s="167" t="s">
        <v>7852</v>
      </c>
      <c r="S998" s="220" t="s">
        <v>910</v>
      </c>
      <c r="T998" s="167">
        <v>23.8693</v>
      </c>
      <c r="U998" s="334" t="s">
        <v>7271</v>
      </c>
      <c r="V998" s="168">
        <f t="shared" si="3"/>
        <v>1422.74</v>
      </c>
      <c r="W998" s="168">
        <f t="shared" si="4"/>
        <v>0</v>
      </c>
      <c r="X998" s="168">
        <f t="shared" si="5"/>
        <v>0</v>
      </c>
      <c r="Y998" s="168">
        <f t="shared" si="6"/>
        <v>0</v>
      </c>
      <c r="Z998" s="168">
        <f t="shared" si="7"/>
        <v>0</v>
      </c>
      <c r="AA998" s="168">
        <f t="shared" si="8"/>
        <v>0</v>
      </c>
      <c r="AB998" s="168">
        <f t="shared" si="9"/>
        <v>0</v>
      </c>
    </row>
    <row r="999" ht="14.25" customHeight="1">
      <c r="A999" s="157" t="s">
        <v>7855</v>
      </c>
      <c r="B999" s="169" t="s">
        <v>36</v>
      </c>
      <c r="C999" s="169" t="s">
        <v>7856</v>
      </c>
      <c r="D999" s="336">
        <v>43963.0</v>
      </c>
      <c r="E999" s="157" t="s">
        <v>600</v>
      </c>
      <c r="F999" s="160">
        <v>1226.5</v>
      </c>
      <c r="G999" s="160">
        <v>196.24</v>
      </c>
      <c r="H999" s="160">
        <f t="shared" si="31"/>
        <v>1422.74</v>
      </c>
      <c r="I999" s="172"/>
      <c r="J999" s="169"/>
      <c r="K999" s="172"/>
      <c r="L999" s="172">
        <f>+'FACUS$'!$H999-'FACUS$'!$I999-'FACUS$'!$K999</f>
        <v>1422.74</v>
      </c>
      <c r="M999" s="162" t="s">
        <v>278</v>
      </c>
      <c r="N999" s="337" t="s">
        <v>554</v>
      </c>
      <c r="O999" s="338">
        <v>44169.0</v>
      </c>
      <c r="P999" s="164">
        <f t="array" ref="P999">XLOOKUP('FACUS$'!$B999,'perfil de pagos'!$A$4:$A$46,'perfil de pagos'!$C$4:$C$46+'FACUS$'!$D999)</f>
        <v>43973</v>
      </c>
      <c r="Q999" s="165">
        <f t="shared" si="2"/>
        <v>0</v>
      </c>
      <c r="R999" s="167" t="s">
        <v>7857</v>
      </c>
      <c r="S999" s="220" t="s">
        <v>910</v>
      </c>
      <c r="T999" s="167">
        <v>23.8693</v>
      </c>
      <c r="U999" s="334" t="s">
        <v>7271</v>
      </c>
      <c r="V999" s="168">
        <f t="shared" si="3"/>
        <v>1422.74</v>
      </c>
      <c r="W999" s="168">
        <f t="shared" si="4"/>
        <v>0</v>
      </c>
      <c r="X999" s="168">
        <f t="shared" si="5"/>
        <v>0</v>
      </c>
      <c r="Y999" s="168">
        <f t="shared" si="6"/>
        <v>0</v>
      </c>
      <c r="Z999" s="168">
        <f t="shared" si="7"/>
        <v>0</v>
      </c>
      <c r="AA999" s="168">
        <f t="shared" si="8"/>
        <v>0</v>
      </c>
      <c r="AB999" s="168">
        <f t="shared" si="9"/>
        <v>0</v>
      </c>
    </row>
    <row r="1000" ht="14.25" customHeight="1">
      <c r="A1000" s="157" t="s">
        <v>7858</v>
      </c>
      <c r="B1000" s="169" t="s">
        <v>33</v>
      </c>
      <c r="C1000" s="169" t="s">
        <v>1514</v>
      </c>
      <c r="D1000" s="336">
        <v>43969.0</v>
      </c>
      <c r="E1000" s="157" t="s">
        <v>600</v>
      </c>
      <c r="F1000" s="160">
        <v>22956.64</v>
      </c>
      <c r="G1000" s="160">
        <v>3673.06</v>
      </c>
      <c r="H1000" s="160">
        <f t="shared" si="31"/>
        <v>26629.7</v>
      </c>
      <c r="I1000" s="172"/>
      <c r="J1000" s="169"/>
      <c r="K1000" s="172"/>
      <c r="L1000" s="172">
        <f>+'FACUS$'!$H1000-'FACUS$'!$I1000-'FACUS$'!$K1000</f>
        <v>26629.7</v>
      </c>
      <c r="M1000" s="162" t="s">
        <v>958</v>
      </c>
      <c r="N1000" s="337" t="s">
        <v>554</v>
      </c>
      <c r="O1000" s="338">
        <v>43994.0</v>
      </c>
      <c r="P1000" s="164">
        <f t="array" ref="P1000">XLOOKUP('FACUS$'!$B1000,'perfil de pagos'!$A$4:$A$46,'perfil de pagos'!$C$4:$C$46+'FACUS$'!$D1000)</f>
        <v>43979</v>
      </c>
      <c r="Q1000" s="165">
        <f t="shared" si="2"/>
        <v>0</v>
      </c>
      <c r="R1000" s="167"/>
      <c r="S1000" s="220" t="s">
        <v>910</v>
      </c>
      <c r="T1000" s="365">
        <v>23.958</v>
      </c>
      <c r="U1000" s="334" t="s">
        <v>7271</v>
      </c>
      <c r="V1000" s="168">
        <f t="shared" si="3"/>
        <v>26629.7</v>
      </c>
      <c r="W1000" s="168">
        <f t="shared" si="4"/>
        <v>0</v>
      </c>
      <c r="X1000" s="168">
        <f t="shared" si="5"/>
        <v>0</v>
      </c>
      <c r="Y1000" s="168">
        <f t="shared" si="6"/>
        <v>0</v>
      </c>
      <c r="Z1000" s="168">
        <f t="shared" si="7"/>
        <v>0</v>
      </c>
      <c r="AA1000" s="168">
        <f t="shared" si="8"/>
        <v>0</v>
      </c>
      <c r="AB1000" s="168">
        <f t="shared" si="9"/>
        <v>0</v>
      </c>
    </row>
    <row r="1001" ht="14.25" customHeight="1">
      <c r="A1001" s="157" t="s">
        <v>7859</v>
      </c>
      <c r="B1001" s="169" t="s">
        <v>35</v>
      </c>
      <c r="C1001" s="169" t="s">
        <v>1514</v>
      </c>
      <c r="D1001" s="336">
        <v>43969.0</v>
      </c>
      <c r="E1001" s="157" t="s">
        <v>600</v>
      </c>
      <c r="F1001" s="160">
        <v>4409.43</v>
      </c>
      <c r="G1001" s="160">
        <v>705.51</v>
      </c>
      <c r="H1001" s="160">
        <f t="shared" si="31"/>
        <v>5114.94</v>
      </c>
      <c r="I1001" s="172"/>
      <c r="J1001" s="169"/>
      <c r="K1001" s="172"/>
      <c r="L1001" s="172">
        <f>+'FACUS$'!$H1001-'FACUS$'!$I1001-'FACUS$'!$K1001</f>
        <v>5114.94</v>
      </c>
      <c r="M1001" s="162" t="s">
        <v>276</v>
      </c>
      <c r="N1001" s="337" t="s">
        <v>554</v>
      </c>
      <c r="O1001" s="338">
        <v>44092.0</v>
      </c>
      <c r="P1001" s="164">
        <f t="array" ref="P1001">XLOOKUP('FACUS$'!$B1001,'perfil de pagos'!$A$4:$A$46,'perfil de pagos'!$C$4:$C$46+'FACUS$'!$D1001)</f>
        <v>43979</v>
      </c>
      <c r="Q1001" s="165">
        <f t="shared" si="2"/>
        <v>0</v>
      </c>
      <c r="R1001" s="167" t="s">
        <v>7860</v>
      </c>
      <c r="S1001" s="167" t="s">
        <v>910</v>
      </c>
      <c r="T1001" s="365">
        <v>23.958</v>
      </c>
      <c r="U1001" s="334" t="s">
        <v>7271</v>
      </c>
      <c r="V1001" s="168">
        <f t="shared" si="3"/>
        <v>5114.94</v>
      </c>
      <c r="W1001" s="168">
        <f t="shared" si="4"/>
        <v>0</v>
      </c>
      <c r="X1001" s="168">
        <f t="shared" si="5"/>
        <v>0</v>
      </c>
      <c r="Y1001" s="168">
        <f t="shared" si="6"/>
        <v>0</v>
      </c>
      <c r="Z1001" s="168">
        <f t="shared" si="7"/>
        <v>0</v>
      </c>
      <c r="AA1001" s="168">
        <f t="shared" si="8"/>
        <v>0</v>
      </c>
      <c r="AB1001" s="168">
        <f t="shared" si="9"/>
        <v>0</v>
      </c>
    </row>
    <row r="1002" ht="14.25" customHeight="1">
      <c r="A1002" s="157" t="s">
        <v>7861</v>
      </c>
      <c r="B1002" s="169" t="s">
        <v>36</v>
      </c>
      <c r="C1002" s="169" t="s">
        <v>1514</v>
      </c>
      <c r="D1002" s="336">
        <v>43969.0</v>
      </c>
      <c r="E1002" s="157" t="s">
        <v>600</v>
      </c>
      <c r="F1002" s="160">
        <v>1374.82</v>
      </c>
      <c r="G1002" s="160">
        <v>219.97</v>
      </c>
      <c r="H1002" s="160">
        <f t="shared" si="31"/>
        <v>1594.79</v>
      </c>
      <c r="I1002" s="172"/>
      <c r="J1002" s="169"/>
      <c r="K1002" s="172"/>
      <c r="L1002" s="172">
        <f>+'FACUS$'!$H1002-'FACUS$'!$I1002-'FACUS$'!$K1002</f>
        <v>1594.79</v>
      </c>
      <c r="M1002" s="162" t="s">
        <v>278</v>
      </c>
      <c r="N1002" s="337" t="s">
        <v>554</v>
      </c>
      <c r="O1002" s="338">
        <v>44032.0</v>
      </c>
      <c r="P1002" s="164">
        <f t="array" ref="P1002">XLOOKUP('FACUS$'!$B1002,'perfil de pagos'!$A$4:$A$46,'perfil de pagos'!$C$4:$C$46+'FACUS$'!$D1002)</f>
        <v>43979</v>
      </c>
      <c r="Q1002" s="165">
        <f t="shared" si="2"/>
        <v>0</v>
      </c>
      <c r="R1002" s="167" t="s">
        <v>7862</v>
      </c>
      <c r="S1002" s="220" t="s">
        <v>910</v>
      </c>
      <c r="T1002" s="365">
        <v>23.958</v>
      </c>
      <c r="U1002" s="334" t="s">
        <v>7271</v>
      </c>
      <c r="V1002" s="168">
        <f t="shared" si="3"/>
        <v>1594.79</v>
      </c>
      <c r="W1002" s="168">
        <f t="shared" si="4"/>
        <v>0</v>
      </c>
      <c r="X1002" s="168">
        <f t="shared" si="5"/>
        <v>0</v>
      </c>
      <c r="Y1002" s="168">
        <f t="shared" si="6"/>
        <v>0</v>
      </c>
      <c r="Z1002" s="168">
        <f t="shared" si="7"/>
        <v>0</v>
      </c>
      <c r="AA1002" s="168">
        <f t="shared" si="8"/>
        <v>0</v>
      </c>
      <c r="AB1002" s="168">
        <f t="shared" si="9"/>
        <v>0</v>
      </c>
    </row>
    <row r="1003" ht="14.25" customHeight="1">
      <c r="A1003" s="157" t="s">
        <v>7863</v>
      </c>
      <c r="B1003" s="169" t="s">
        <v>127</v>
      </c>
      <c r="C1003" s="169"/>
      <c r="D1003" s="336">
        <v>43969.0</v>
      </c>
      <c r="E1003" s="157" t="s">
        <v>600</v>
      </c>
      <c r="F1003" s="160"/>
      <c r="G1003" s="160"/>
      <c r="H1003" s="160">
        <f t="shared" si="31"/>
        <v>0</v>
      </c>
      <c r="I1003" s="172"/>
      <c r="J1003" s="169"/>
      <c r="K1003" s="172"/>
      <c r="L1003" s="172">
        <f>+'FACUS$'!$H1003-'FACUS$'!$I1003-'FACUS$'!$K1003</f>
        <v>0</v>
      </c>
      <c r="M1003" s="162"/>
      <c r="N1003" s="337" t="s">
        <v>127</v>
      </c>
      <c r="O1003" s="338"/>
      <c r="P1003" s="164" t="str">
        <f t="array" ref="P1003">XLOOKUP('FACUS$'!$B1003,'perfil de pagos'!$A$4:$A$46,'perfil de pagos'!$C$4:$C$46+'FACUS$'!$D1003)</f>
        <v>#N/A</v>
      </c>
      <c r="Q1003" s="165" t="str">
        <f t="shared" si="2"/>
        <v>N/A</v>
      </c>
      <c r="R1003" s="167" t="s">
        <v>7864</v>
      </c>
      <c r="S1003" s="167"/>
      <c r="T1003" s="365"/>
      <c r="U1003" s="334" t="s">
        <v>7271</v>
      </c>
      <c r="V1003" s="168">
        <f t="shared" si="3"/>
        <v>0</v>
      </c>
      <c r="W1003" s="168">
        <f t="shared" si="4"/>
        <v>0</v>
      </c>
      <c r="X1003" s="168">
        <f t="shared" si="5"/>
        <v>0</v>
      </c>
      <c r="Y1003" s="168">
        <f t="shared" si="6"/>
        <v>0</v>
      </c>
      <c r="Z1003" s="168">
        <f t="shared" si="7"/>
        <v>0</v>
      </c>
      <c r="AA1003" s="168">
        <f t="shared" si="8"/>
        <v>0</v>
      </c>
      <c r="AB1003" s="168">
        <f t="shared" si="9"/>
        <v>0</v>
      </c>
    </row>
    <row r="1004" ht="14.25" customHeight="1">
      <c r="A1004" s="157" t="s">
        <v>7865</v>
      </c>
      <c r="B1004" s="169" t="s">
        <v>37</v>
      </c>
      <c r="C1004" s="169" t="s">
        <v>1514</v>
      </c>
      <c r="D1004" s="336">
        <v>43970.0</v>
      </c>
      <c r="E1004" s="157" t="s">
        <v>600</v>
      </c>
      <c r="F1004" s="160">
        <v>80643.72</v>
      </c>
      <c r="G1004" s="160">
        <v>12903.0</v>
      </c>
      <c r="H1004" s="160">
        <f t="shared" si="31"/>
        <v>93546.72</v>
      </c>
      <c r="I1004" s="172"/>
      <c r="J1004" s="169"/>
      <c r="K1004" s="172"/>
      <c r="L1004" s="172">
        <f>+'FACUS$'!$H1004-'FACUS$'!$I1004-'FACUS$'!$K1004</f>
        <v>93546.72</v>
      </c>
      <c r="M1004" s="162" t="s">
        <v>116</v>
      </c>
      <c r="N1004" s="337" t="s">
        <v>554</v>
      </c>
      <c r="O1004" s="338">
        <v>43984.0</v>
      </c>
      <c r="P1004" s="164">
        <f t="array" ref="P1004">XLOOKUP('FACUS$'!$B1004,'perfil de pagos'!$A$4:$A$46,'perfil de pagos'!$C$4:$C$46+'FACUS$'!$D1004)</f>
        <v>43980</v>
      </c>
      <c r="Q1004" s="165">
        <f t="shared" si="2"/>
        <v>0</v>
      </c>
      <c r="R1004" s="167" t="s">
        <v>7866</v>
      </c>
      <c r="S1004" s="220" t="s">
        <v>910</v>
      </c>
      <c r="T1004" s="167">
        <v>23.6032</v>
      </c>
      <c r="U1004" s="334" t="s">
        <v>7271</v>
      </c>
      <c r="V1004" s="168">
        <f t="shared" si="3"/>
        <v>93546.72</v>
      </c>
      <c r="W1004" s="168">
        <f t="shared" si="4"/>
        <v>0</v>
      </c>
      <c r="X1004" s="168">
        <f t="shared" si="5"/>
        <v>0</v>
      </c>
      <c r="Y1004" s="168">
        <f t="shared" si="6"/>
        <v>0</v>
      </c>
      <c r="Z1004" s="168">
        <f t="shared" si="7"/>
        <v>0</v>
      </c>
      <c r="AA1004" s="168">
        <f t="shared" si="8"/>
        <v>0</v>
      </c>
      <c r="AB1004" s="168">
        <f t="shared" si="9"/>
        <v>0</v>
      </c>
    </row>
    <row r="1005" ht="14.25" customHeight="1">
      <c r="A1005" s="157" t="s">
        <v>7867</v>
      </c>
      <c r="B1005" s="169" t="s">
        <v>41</v>
      </c>
      <c r="C1005" s="169" t="s">
        <v>1514</v>
      </c>
      <c r="D1005" s="336">
        <v>43971.0</v>
      </c>
      <c r="E1005" s="157" t="s">
        <v>600</v>
      </c>
      <c r="F1005" s="160">
        <v>6429.01</v>
      </c>
      <c r="G1005" s="160">
        <v>1028.64</v>
      </c>
      <c r="H1005" s="160">
        <f t="shared" si="31"/>
        <v>7457.65</v>
      </c>
      <c r="I1005" s="172"/>
      <c r="J1005" s="169"/>
      <c r="K1005" s="172"/>
      <c r="L1005" s="172">
        <f>+'FACUS$'!$H1005-'FACUS$'!$I1005-'FACUS$'!$K1005</f>
        <v>7457.65</v>
      </c>
      <c r="M1005" s="162" t="s">
        <v>875</v>
      </c>
      <c r="N1005" s="337" t="s">
        <v>554</v>
      </c>
      <c r="O1005" s="338">
        <v>44062.0</v>
      </c>
      <c r="P1005" s="164">
        <f t="array" ref="P1005">XLOOKUP('FACUS$'!$B1005,'perfil de pagos'!$A$4:$A$46,'perfil de pagos'!$C$4:$C$46+'FACUS$'!$D1005)</f>
        <v>43981</v>
      </c>
      <c r="Q1005" s="165">
        <f t="shared" si="2"/>
        <v>0</v>
      </c>
      <c r="R1005" s="167"/>
      <c r="S1005" s="167"/>
      <c r="T1005" s="167">
        <v>23.6023</v>
      </c>
      <c r="U1005" s="334" t="s">
        <v>7271</v>
      </c>
      <c r="V1005" s="168">
        <f t="shared" si="3"/>
        <v>7457.65</v>
      </c>
      <c r="W1005" s="168">
        <f t="shared" si="4"/>
        <v>0</v>
      </c>
      <c r="X1005" s="168">
        <f t="shared" si="5"/>
        <v>0</v>
      </c>
      <c r="Y1005" s="168">
        <f t="shared" si="6"/>
        <v>0</v>
      </c>
      <c r="Z1005" s="168">
        <f t="shared" si="7"/>
        <v>0</v>
      </c>
      <c r="AA1005" s="168">
        <f t="shared" si="8"/>
        <v>0</v>
      </c>
      <c r="AB1005" s="168">
        <f t="shared" si="9"/>
        <v>0</v>
      </c>
    </row>
    <row r="1006" ht="14.25" customHeight="1">
      <c r="A1006" s="157" t="s">
        <v>7868</v>
      </c>
      <c r="B1006" s="169" t="s">
        <v>18</v>
      </c>
      <c r="C1006" s="169" t="s">
        <v>1514</v>
      </c>
      <c r="D1006" s="336">
        <v>43971.0</v>
      </c>
      <c r="E1006" s="157" t="s">
        <v>600</v>
      </c>
      <c r="F1006" s="160">
        <v>6855.56</v>
      </c>
      <c r="G1006" s="160">
        <v>1096.89</v>
      </c>
      <c r="H1006" s="160">
        <f t="shared" si="31"/>
        <v>7952.45</v>
      </c>
      <c r="I1006" s="172"/>
      <c r="J1006" s="169"/>
      <c r="K1006" s="172"/>
      <c r="L1006" s="172">
        <f>+'FACUS$'!$H1006-'FACUS$'!$I1006-'FACUS$'!$K1006</f>
        <v>7952.45</v>
      </c>
      <c r="M1006" s="162" t="s">
        <v>586</v>
      </c>
      <c r="N1006" s="337" t="s">
        <v>554</v>
      </c>
      <c r="O1006" s="338">
        <v>43993.0</v>
      </c>
      <c r="P1006" s="164">
        <f t="array" ref="P1006">XLOOKUP('FACUS$'!$B1006,'perfil de pagos'!$A$4:$A$46,'perfil de pagos'!$C$4:$C$46+'FACUS$'!$D1006)</f>
        <v>43981</v>
      </c>
      <c r="Q1006" s="165">
        <f t="shared" si="2"/>
        <v>0</v>
      </c>
      <c r="R1006" s="167"/>
      <c r="S1006" s="220" t="s">
        <v>910</v>
      </c>
      <c r="T1006" s="167">
        <v>23.6023</v>
      </c>
      <c r="U1006" s="334" t="s">
        <v>7271</v>
      </c>
      <c r="V1006" s="168">
        <f t="shared" si="3"/>
        <v>7952.45</v>
      </c>
      <c r="W1006" s="168">
        <f t="shared" si="4"/>
        <v>0</v>
      </c>
      <c r="X1006" s="168">
        <f t="shared" si="5"/>
        <v>0</v>
      </c>
      <c r="Y1006" s="168">
        <f t="shared" si="6"/>
        <v>0</v>
      </c>
      <c r="Z1006" s="168">
        <f t="shared" si="7"/>
        <v>0</v>
      </c>
      <c r="AA1006" s="168">
        <f t="shared" si="8"/>
        <v>0</v>
      </c>
      <c r="AB1006" s="168">
        <f t="shared" si="9"/>
        <v>0</v>
      </c>
    </row>
    <row r="1007" ht="14.25" customHeight="1">
      <c r="A1007" s="157" t="s">
        <v>7869</v>
      </c>
      <c r="B1007" s="169" t="s">
        <v>29</v>
      </c>
      <c r="C1007" s="169" t="s">
        <v>7870</v>
      </c>
      <c r="D1007" s="336">
        <v>43977.0</v>
      </c>
      <c r="E1007" s="157" t="s">
        <v>600</v>
      </c>
      <c r="F1007" s="160">
        <v>7500.0</v>
      </c>
      <c r="G1007" s="160">
        <v>1200.0</v>
      </c>
      <c r="H1007" s="160">
        <f t="shared" si="31"/>
        <v>8700</v>
      </c>
      <c r="I1007" s="172"/>
      <c r="J1007" s="169"/>
      <c r="K1007" s="172"/>
      <c r="L1007" s="172">
        <f>+'FACUS$'!$H1007-'FACUS$'!$I1007-'FACUS$'!$K1007</f>
        <v>8700</v>
      </c>
      <c r="M1007" s="162" t="s">
        <v>712</v>
      </c>
      <c r="N1007" s="337" t="s">
        <v>554</v>
      </c>
      <c r="O1007" s="338">
        <v>44005.0</v>
      </c>
      <c r="P1007" s="164">
        <f t="array" ref="P1007">XLOOKUP('FACUS$'!$B1007,'perfil de pagos'!$A$4:$A$46,'perfil de pagos'!$C$4:$C$46+'FACUS$'!$D1007)</f>
        <v>43987</v>
      </c>
      <c r="Q1007" s="165">
        <f t="shared" si="2"/>
        <v>0</v>
      </c>
      <c r="R1007" s="167"/>
      <c r="S1007" s="167"/>
      <c r="T1007" s="365">
        <v>22.563</v>
      </c>
      <c r="U1007" s="334" t="s">
        <v>7271</v>
      </c>
      <c r="V1007" s="168">
        <f t="shared" si="3"/>
        <v>8700</v>
      </c>
      <c r="W1007" s="168">
        <f t="shared" si="4"/>
        <v>0</v>
      </c>
      <c r="X1007" s="168">
        <f t="shared" si="5"/>
        <v>0</v>
      </c>
      <c r="Y1007" s="168">
        <f t="shared" si="6"/>
        <v>0</v>
      </c>
      <c r="Z1007" s="168">
        <f t="shared" si="7"/>
        <v>0</v>
      </c>
      <c r="AA1007" s="168">
        <f t="shared" si="8"/>
        <v>0</v>
      </c>
      <c r="AB1007" s="168">
        <f t="shared" si="9"/>
        <v>0</v>
      </c>
    </row>
    <row r="1008" ht="14.25" customHeight="1">
      <c r="A1008" s="157" t="s">
        <v>7871</v>
      </c>
      <c r="B1008" s="169" t="s">
        <v>29</v>
      </c>
      <c r="C1008" s="169" t="s">
        <v>7872</v>
      </c>
      <c r="D1008" s="336">
        <v>43977.0</v>
      </c>
      <c r="E1008" s="157" t="s">
        <v>600</v>
      </c>
      <c r="F1008" s="160">
        <v>22500.0</v>
      </c>
      <c r="G1008" s="160">
        <v>3600.0</v>
      </c>
      <c r="H1008" s="160">
        <f t="shared" si="31"/>
        <v>26100</v>
      </c>
      <c r="I1008" s="172"/>
      <c r="J1008" s="169"/>
      <c r="K1008" s="172"/>
      <c r="L1008" s="172">
        <f>+'FACUS$'!$H1008-'FACUS$'!$I1008-'FACUS$'!$K1008</f>
        <v>26100</v>
      </c>
      <c r="M1008" s="162" t="s">
        <v>7509</v>
      </c>
      <c r="N1008" s="337" t="s">
        <v>554</v>
      </c>
      <c r="O1008" s="338">
        <v>44005.0</v>
      </c>
      <c r="P1008" s="164">
        <f t="array" ref="P1008">XLOOKUP('FACUS$'!$B1008,'perfil de pagos'!$A$4:$A$46,'perfil de pagos'!$C$4:$C$46+'FACUS$'!$D1008)</f>
        <v>43987</v>
      </c>
      <c r="Q1008" s="165">
        <f t="shared" si="2"/>
        <v>0</v>
      </c>
      <c r="R1008" s="167"/>
      <c r="S1008" s="167"/>
      <c r="T1008" s="365">
        <v>22.563</v>
      </c>
      <c r="U1008" s="334" t="s">
        <v>7271</v>
      </c>
      <c r="V1008" s="168">
        <f t="shared" si="3"/>
        <v>26100</v>
      </c>
      <c r="W1008" s="168">
        <f t="shared" si="4"/>
        <v>0</v>
      </c>
      <c r="X1008" s="168">
        <f t="shared" si="5"/>
        <v>0</v>
      </c>
      <c r="Y1008" s="168">
        <f t="shared" si="6"/>
        <v>0</v>
      </c>
      <c r="Z1008" s="168">
        <f t="shared" si="7"/>
        <v>0</v>
      </c>
      <c r="AA1008" s="168">
        <f t="shared" si="8"/>
        <v>0</v>
      </c>
      <c r="AB1008" s="168">
        <f t="shared" si="9"/>
        <v>0</v>
      </c>
    </row>
    <row r="1009" ht="14.25" customHeight="1">
      <c r="A1009" s="157" t="s">
        <v>7873</v>
      </c>
      <c r="B1009" s="169" t="s">
        <v>29</v>
      </c>
      <c r="C1009" s="169" t="s">
        <v>7874</v>
      </c>
      <c r="D1009" s="336">
        <v>43977.0</v>
      </c>
      <c r="E1009" s="157" t="s">
        <v>600</v>
      </c>
      <c r="F1009" s="160">
        <v>21000.0</v>
      </c>
      <c r="G1009" s="160">
        <v>3360.0</v>
      </c>
      <c r="H1009" s="160">
        <f t="shared" si="31"/>
        <v>24360</v>
      </c>
      <c r="I1009" s="172"/>
      <c r="J1009" s="169"/>
      <c r="K1009" s="172"/>
      <c r="L1009" s="172">
        <f>+'FACUS$'!$H1009-'FACUS$'!$I1009-'FACUS$'!$K1009</f>
        <v>24360</v>
      </c>
      <c r="M1009" s="162" t="s">
        <v>1087</v>
      </c>
      <c r="N1009" s="337" t="s">
        <v>554</v>
      </c>
      <c r="O1009" s="338">
        <v>44005.0</v>
      </c>
      <c r="P1009" s="164">
        <f t="array" ref="P1009">XLOOKUP('FACUS$'!$B1009,'perfil de pagos'!$A$4:$A$46,'perfil de pagos'!$C$4:$C$46+'FACUS$'!$D1009)</f>
        <v>43987</v>
      </c>
      <c r="Q1009" s="165">
        <f t="shared" si="2"/>
        <v>0</v>
      </c>
      <c r="R1009" s="167"/>
      <c r="S1009" s="167"/>
      <c r="T1009" s="365">
        <v>22.563</v>
      </c>
      <c r="U1009" s="334" t="s">
        <v>7271</v>
      </c>
      <c r="V1009" s="168">
        <f t="shared" si="3"/>
        <v>24360</v>
      </c>
      <c r="W1009" s="168">
        <f t="shared" si="4"/>
        <v>0</v>
      </c>
      <c r="X1009" s="168">
        <f t="shared" si="5"/>
        <v>0</v>
      </c>
      <c r="Y1009" s="168">
        <f t="shared" si="6"/>
        <v>0</v>
      </c>
      <c r="Z1009" s="168">
        <f t="shared" si="7"/>
        <v>0</v>
      </c>
      <c r="AA1009" s="168">
        <f t="shared" si="8"/>
        <v>0</v>
      </c>
      <c r="AB1009" s="168">
        <f t="shared" si="9"/>
        <v>0</v>
      </c>
    </row>
    <row r="1010" ht="14.25" customHeight="1">
      <c r="A1010" s="157" t="s">
        <v>7875</v>
      </c>
      <c r="B1010" s="169" t="s">
        <v>33</v>
      </c>
      <c r="C1010" s="169" t="s">
        <v>1534</v>
      </c>
      <c r="D1010" s="336">
        <v>43984.0</v>
      </c>
      <c r="E1010" s="157" t="s">
        <v>600</v>
      </c>
      <c r="F1010" s="160">
        <v>29899.33</v>
      </c>
      <c r="G1010" s="160">
        <v>4783.89</v>
      </c>
      <c r="H1010" s="160">
        <f t="shared" si="31"/>
        <v>34683.22</v>
      </c>
      <c r="I1010" s="172"/>
      <c r="J1010" s="169"/>
      <c r="K1010" s="172"/>
      <c r="L1010" s="172">
        <f>+'FACUS$'!$H1010-'FACUS$'!$I1010-'FACUS$'!$K1010</f>
        <v>34683.22</v>
      </c>
      <c r="M1010" s="162" t="s">
        <v>958</v>
      </c>
      <c r="N1010" s="337" t="s">
        <v>554</v>
      </c>
      <c r="O1010" s="338">
        <v>44008.0</v>
      </c>
      <c r="P1010" s="164">
        <f t="array" ref="P1010">XLOOKUP('FACUS$'!$B1010,'perfil de pagos'!$A$4:$A$46,'perfil de pagos'!$C$4:$C$46+'FACUS$'!$D1010)</f>
        <v>43994</v>
      </c>
      <c r="Q1010" s="165">
        <f t="shared" si="2"/>
        <v>0</v>
      </c>
      <c r="R1010" s="167"/>
      <c r="S1010" s="167"/>
      <c r="T1010" s="167">
        <v>22.0168</v>
      </c>
      <c r="U1010" s="334" t="s">
        <v>7271</v>
      </c>
      <c r="V1010" s="168">
        <f t="shared" si="3"/>
        <v>34683.22</v>
      </c>
      <c r="W1010" s="168">
        <f t="shared" si="4"/>
        <v>0</v>
      </c>
      <c r="X1010" s="168">
        <f t="shared" si="5"/>
        <v>0</v>
      </c>
      <c r="Y1010" s="168">
        <f t="shared" si="6"/>
        <v>0</v>
      </c>
      <c r="Z1010" s="168">
        <f t="shared" si="7"/>
        <v>0</v>
      </c>
      <c r="AA1010" s="168">
        <f t="shared" si="8"/>
        <v>0</v>
      </c>
      <c r="AB1010" s="168">
        <f t="shared" si="9"/>
        <v>0</v>
      </c>
    </row>
    <row r="1011" ht="14.25" customHeight="1">
      <c r="A1011" s="157" t="s">
        <v>7876</v>
      </c>
      <c r="B1011" s="169" t="s">
        <v>36</v>
      </c>
      <c r="C1011" s="169" t="s">
        <v>1534</v>
      </c>
      <c r="D1011" s="336">
        <v>43984.0</v>
      </c>
      <c r="E1011" s="157" t="s">
        <v>600</v>
      </c>
      <c r="F1011" s="160">
        <v>2461.52</v>
      </c>
      <c r="G1011" s="160">
        <v>393.84</v>
      </c>
      <c r="H1011" s="160">
        <f t="shared" si="31"/>
        <v>2855.36</v>
      </c>
      <c r="I1011" s="172"/>
      <c r="J1011" s="169"/>
      <c r="K1011" s="172"/>
      <c r="L1011" s="172">
        <f>+'FACUS$'!$H1011-'FACUS$'!$I1011-'FACUS$'!$K1011</f>
        <v>2855.36</v>
      </c>
      <c r="M1011" s="162" t="s">
        <v>278</v>
      </c>
      <c r="N1011" s="337" t="s">
        <v>554</v>
      </c>
      <c r="O1011" s="338">
        <v>44043.0</v>
      </c>
      <c r="P1011" s="164">
        <f t="array" ref="P1011">XLOOKUP('FACUS$'!$B1011,'perfil de pagos'!$A$4:$A$46,'perfil de pagos'!$C$4:$C$46+'FACUS$'!$D1011)</f>
        <v>43994</v>
      </c>
      <c r="Q1011" s="165">
        <f t="shared" si="2"/>
        <v>0</v>
      </c>
      <c r="R1011" s="167" t="s">
        <v>7877</v>
      </c>
      <c r="S1011" s="220" t="s">
        <v>910</v>
      </c>
      <c r="T1011" s="167">
        <v>22.0168</v>
      </c>
      <c r="U1011" s="334" t="s">
        <v>7271</v>
      </c>
      <c r="V1011" s="168">
        <f t="shared" si="3"/>
        <v>2855.36</v>
      </c>
      <c r="W1011" s="168">
        <f t="shared" si="4"/>
        <v>0</v>
      </c>
      <c r="X1011" s="168">
        <f t="shared" si="5"/>
        <v>0</v>
      </c>
      <c r="Y1011" s="168">
        <f t="shared" si="6"/>
        <v>0</v>
      </c>
      <c r="Z1011" s="168">
        <f t="shared" si="7"/>
        <v>0</v>
      </c>
      <c r="AA1011" s="168">
        <f t="shared" si="8"/>
        <v>0</v>
      </c>
      <c r="AB1011" s="168">
        <f t="shared" si="9"/>
        <v>0</v>
      </c>
    </row>
    <row r="1012" ht="14.25" customHeight="1">
      <c r="A1012" s="157" t="s">
        <v>7878</v>
      </c>
      <c r="B1012" s="169" t="s">
        <v>1127</v>
      </c>
      <c r="C1012" s="169" t="s">
        <v>1534</v>
      </c>
      <c r="D1012" s="336">
        <v>43984.0</v>
      </c>
      <c r="E1012" s="157" t="s">
        <v>600</v>
      </c>
      <c r="F1012" s="160">
        <v>74.51</v>
      </c>
      <c r="G1012" s="160">
        <v>11.92</v>
      </c>
      <c r="H1012" s="160">
        <f t="shared" si="31"/>
        <v>86.43</v>
      </c>
      <c r="I1012" s="172"/>
      <c r="J1012" s="169"/>
      <c r="K1012" s="172"/>
      <c r="L1012" s="172">
        <f>+'FACUS$'!$H1012-'FACUS$'!$I1012-'FACUS$'!$K1012</f>
        <v>86.43</v>
      </c>
      <c r="M1012" s="162" t="s">
        <v>580</v>
      </c>
      <c r="N1012" s="337" t="s">
        <v>554</v>
      </c>
      <c r="O1012" s="338">
        <v>43998.0</v>
      </c>
      <c r="P1012" s="164" t="str">
        <f t="array" ref="P1012">XLOOKUP('FACUS$'!$B1012,'perfil de pagos'!$A$4:$A$46,'perfil de pagos'!$C$4:$C$46+'FACUS$'!$D1012)</f>
        <v>#N/A</v>
      </c>
      <c r="Q1012" s="165">
        <f t="shared" si="2"/>
        <v>0</v>
      </c>
      <c r="R1012" s="167" t="s">
        <v>7879</v>
      </c>
      <c r="S1012" s="220" t="s">
        <v>910</v>
      </c>
      <c r="T1012" s="167">
        <v>22.0168</v>
      </c>
      <c r="U1012" s="334" t="s">
        <v>7271</v>
      </c>
      <c r="V1012" s="168">
        <f t="shared" si="3"/>
        <v>86.43</v>
      </c>
      <c r="W1012" s="168">
        <f t="shared" si="4"/>
        <v>0</v>
      </c>
      <c r="X1012" s="168">
        <f t="shared" si="5"/>
        <v>0</v>
      </c>
      <c r="Y1012" s="168">
        <f t="shared" si="6"/>
        <v>0</v>
      </c>
      <c r="Z1012" s="168">
        <f t="shared" si="7"/>
        <v>0</v>
      </c>
      <c r="AA1012" s="168">
        <f t="shared" si="8"/>
        <v>0</v>
      </c>
      <c r="AB1012" s="168">
        <f t="shared" si="9"/>
        <v>0</v>
      </c>
    </row>
    <row r="1013" ht="14.25" customHeight="1">
      <c r="A1013" s="157" t="s">
        <v>7880</v>
      </c>
      <c r="B1013" s="169" t="s">
        <v>41</v>
      </c>
      <c r="C1013" s="169" t="s">
        <v>7881</v>
      </c>
      <c r="D1013" s="336">
        <v>43984.0</v>
      </c>
      <c r="E1013" s="157" t="s">
        <v>600</v>
      </c>
      <c r="F1013" s="160">
        <v>10487.73</v>
      </c>
      <c r="G1013" s="160">
        <v>1678.04</v>
      </c>
      <c r="H1013" s="160">
        <f t="shared" si="31"/>
        <v>12165.77</v>
      </c>
      <c r="I1013" s="172"/>
      <c r="J1013" s="169"/>
      <c r="K1013" s="172"/>
      <c r="L1013" s="172">
        <f>+'FACUS$'!$H1013-'FACUS$'!$I1013-'FACUS$'!$K1013</f>
        <v>12165.77</v>
      </c>
      <c r="M1013" s="162" t="s">
        <v>875</v>
      </c>
      <c r="N1013" s="337" t="s">
        <v>554</v>
      </c>
      <c r="O1013" s="338">
        <v>44062.0</v>
      </c>
      <c r="P1013" s="164">
        <f t="array" ref="P1013">XLOOKUP('FACUS$'!$B1013,'perfil de pagos'!$A$4:$A$46,'perfil de pagos'!$C$4:$C$46+'FACUS$'!$D1013)</f>
        <v>43994</v>
      </c>
      <c r="Q1013" s="165">
        <f t="shared" si="2"/>
        <v>0</v>
      </c>
      <c r="R1013" s="167"/>
      <c r="S1013" s="167"/>
      <c r="T1013" s="167">
        <v>22.0168</v>
      </c>
      <c r="U1013" s="334" t="s">
        <v>7271</v>
      </c>
      <c r="V1013" s="168">
        <f t="shared" si="3"/>
        <v>12165.77</v>
      </c>
      <c r="W1013" s="168">
        <f t="shared" si="4"/>
        <v>0</v>
      </c>
      <c r="X1013" s="168">
        <f t="shared" si="5"/>
        <v>0</v>
      </c>
      <c r="Y1013" s="168">
        <f t="shared" si="6"/>
        <v>0</v>
      </c>
      <c r="Z1013" s="168">
        <f t="shared" si="7"/>
        <v>0</v>
      </c>
      <c r="AA1013" s="168">
        <f t="shared" si="8"/>
        <v>0</v>
      </c>
      <c r="AB1013" s="168">
        <f t="shared" si="9"/>
        <v>0</v>
      </c>
    </row>
    <row r="1014" ht="14.25" customHeight="1">
      <c r="A1014" s="157" t="s">
        <v>7882</v>
      </c>
      <c r="B1014" s="169" t="s">
        <v>18</v>
      </c>
      <c r="C1014" s="169" t="s">
        <v>1534</v>
      </c>
      <c r="D1014" s="336">
        <v>43990.0</v>
      </c>
      <c r="E1014" s="157" t="s">
        <v>600</v>
      </c>
      <c r="F1014" s="160">
        <v>6.36</v>
      </c>
      <c r="G1014" s="160">
        <v>1.02</v>
      </c>
      <c r="H1014" s="160">
        <f t="shared" si="31"/>
        <v>7.38</v>
      </c>
      <c r="I1014" s="172"/>
      <c r="J1014" s="169"/>
      <c r="K1014" s="172"/>
      <c r="L1014" s="172">
        <f>+'FACUS$'!$H1014-'FACUS$'!$I1014-'FACUS$'!$K1014</f>
        <v>7.38</v>
      </c>
      <c r="M1014" s="162" t="s">
        <v>586</v>
      </c>
      <c r="N1014" s="337" t="s">
        <v>127</v>
      </c>
      <c r="O1014" s="338"/>
      <c r="P1014" s="164">
        <f t="array" ref="P1014">XLOOKUP('FACUS$'!$B1014,'perfil de pagos'!$A$4:$A$46,'perfil de pagos'!$C$4:$C$46+'FACUS$'!$D1014)</f>
        <v>44000</v>
      </c>
      <c r="Q1014" s="165" t="str">
        <f t="shared" si="2"/>
        <v>N/A</v>
      </c>
      <c r="R1014" s="167"/>
      <c r="S1014" s="167"/>
      <c r="T1014" s="167">
        <v>21.5837</v>
      </c>
      <c r="U1014" s="334" t="s">
        <v>7271</v>
      </c>
      <c r="V1014" s="168">
        <f t="shared" si="3"/>
        <v>0</v>
      </c>
      <c r="W1014" s="168">
        <f t="shared" si="4"/>
        <v>0</v>
      </c>
      <c r="X1014" s="168">
        <f t="shared" si="5"/>
        <v>0</v>
      </c>
      <c r="Y1014" s="168">
        <f t="shared" si="6"/>
        <v>0</v>
      </c>
      <c r="Z1014" s="168">
        <f t="shared" si="7"/>
        <v>0</v>
      </c>
      <c r="AA1014" s="168">
        <f t="shared" si="8"/>
        <v>0</v>
      </c>
      <c r="AB1014" s="168">
        <f t="shared" si="9"/>
        <v>7.38</v>
      </c>
    </row>
    <row r="1015" ht="14.25" customHeight="1">
      <c r="A1015" s="157" t="s">
        <v>7883</v>
      </c>
      <c r="B1015" s="169" t="s">
        <v>37</v>
      </c>
      <c r="C1015" s="169" t="s">
        <v>1534</v>
      </c>
      <c r="D1015" s="336">
        <v>43990.0</v>
      </c>
      <c r="E1015" s="157" t="s">
        <v>600</v>
      </c>
      <c r="F1015" s="160">
        <v>94396.95</v>
      </c>
      <c r="G1015" s="160">
        <v>15103.51</v>
      </c>
      <c r="H1015" s="160">
        <f t="shared" si="31"/>
        <v>109500.46</v>
      </c>
      <c r="I1015" s="172"/>
      <c r="J1015" s="169"/>
      <c r="K1015" s="172"/>
      <c r="L1015" s="172">
        <f>+'FACUS$'!$H1015-'FACUS$'!$I1015-'FACUS$'!$K1015</f>
        <v>109500.46</v>
      </c>
      <c r="M1015" s="162" t="s">
        <v>116</v>
      </c>
      <c r="N1015" s="337" t="s">
        <v>554</v>
      </c>
      <c r="O1015" s="338">
        <v>44014.0</v>
      </c>
      <c r="P1015" s="164">
        <f t="array" ref="P1015">XLOOKUP('FACUS$'!$B1015,'perfil de pagos'!$A$4:$A$46,'perfil de pagos'!$C$4:$C$46+'FACUS$'!$D1015)</f>
        <v>44000</v>
      </c>
      <c r="Q1015" s="165">
        <f t="shared" si="2"/>
        <v>0</v>
      </c>
      <c r="R1015" s="167" t="s">
        <v>7884</v>
      </c>
      <c r="S1015" s="167" t="s">
        <v>910</v>
      </c>
      <c r="T1015" s="167">
        <v>21.5837</v>
      </c>
      <c r="U1015" s="334" t="s">
        <v>7271</v>
      </c>
      <c r="V1015" s="168">
        <f t="shared" si="3"/>
        <v>109500.46</v>
      </c>
      <c r="W1015" s="168">
        <f t="shared" si="4"/>
        <v>0</v>
      </c>
      <c r="X1015" s="168">
        <f t="shared" si="5"/>
        <v>0</v>
      </c>
      <c r="Y1015" s="168">
        <f t="shared" si="6"/>
        <v>0</v>
      </c>
      <c r="Z1015" s="168">
        <f t="shared" si="7"/>
        <v>0</v>
      </c>
      <c r="AA1015" s="168">
        <f t="shared" si="8"/>
        <v>0</v>
      </c>
      <c r="AB1015" s="168">
        <f t="shared" si="9"/>
        <v>0</v>
      </c>
    </row>
    <row r="1016" ht="14.25" customHeight="1">
      <c r="A1016" s="157" t="s">
        <v>7885</v>
      </c>
      <c r="B1016" s="169" t="s">
        <v>18</v>
      </c>
      <c r="C1016" s="169" t="s">
        <v>1534</v>
      </c>
      <c r="D1016" s="336">
        <v>43990.0</v>
      </c>
      <c r="E1016" s="157" t="s">
        <v>600</v>
      </c>
      <c r="F1016" s="160">
        <v>6.36</v>
      </c>
      <c r="G1016" s="160">
        <v>1.02</v>
      </c>
      <c r="H1016" s="160">
        <f t="shared" si="31"/>
        <v>7.38</v>
      </c>
      <c r="I1016" s="172"/>
      <c r="J1016" s="169"/>
      <c r="K1016" s="172"/>
      <c r="L1016" s="172">
        <f>+'FACUS$'!$H1016-'FACUS$'!$I1016-'FACUS$'!$K1016</f>
        <v>7.38</v>
      </c>
      <c r="M1016" s="162" t="s">
        <v>586</v>
      </c>
      <c r="N1016" s="337" t="s">
        <v>127</v>
      </c>
      <c r="O1016" s="338"/>
      <c r="P1016" s="164">
        <f t="array" ref="P1016">XLOOKUP('FACUS$'!$B1016,'perfil de pagos'!$A$4:$A$46,'perfil de pagos'!$C$4:$C$46+'FACUS$'!$D1016)</f>
        <v>44000</v>
      </c>
      <c r="Q1016" s="165" t="str">
        <f t="shared" si="2"/>
        <v>N/A</v>
      </c>
      <c r="R1016" s="167"/>
      <c r="S1016" s="167"/>
      <c r="T1016" s="167"/>
      <c r="U1016" s="334" t="s">
        <v>7271</v>
      </c>
      <c r="V1016" s="168">
        <f t="shared" si="3"/>
        <v>0</v>
      </c>
      <c r="W1016" s="168">
        <f t="shared" si="4"/>
        <v>0</v>
      </c>
      <c r="X1016" s="168">
        <f t="shared" si="5"/>
        <v>0</v>
      </c>
      <c r="Y1016" s="168">
        <f t="shared" si="6"/>
        <v>0</v>
      </c>
      <c r="Z1016" s="168">
        <f t="shared" si="7"/>
        <v>0</v>
      </c>
      <c r="AA1016" s="168">
        <f t="shared" si="8"/>
        <v>0</v>
      </c>
      <c r="AB1016" s="168">
        <f t="shared" si="9"/>
        <v>7.38</v>
      </c>
    </row>
    <row r="1017" ht="14.25" customHeight="1">
      <c r="A1017" s="157" t="s">
        <v>7886</v>
      </c>
      <c r="B1017" s="169" t="s">
        <v>18</v>
      </c>
      <c r="C1017" s="169" t="s">
        <v>1534</v>
      </c>
      <c r="D1017" s="336">
        <v>43991.0</v>
      </c>
      <c r="E1017" s="157" t="s">
        <v>600</v>
      </c>
      <c r="F1017" s="160">
        <v>7582.57</v>
      </c>
      <c r="G1017" s="160">
        <v>1213.21</v>
      </c>
      <c r="H1017" s="160">
        <f t="shared" si="31"/>
        <v>8795.78</v>
      </c>
      <c r="I1017" s="172"/>
      <c r="J1017" s="169"/>
      <c r="K1017" s="172"/>
      <c r="L1017" s="172">
        <f>+'FACUS$'!$H1017-'FACUS$'!$I1017-'FACUS$'!$K1017</f>
        <v>8795.78</v>
      </c>
      <c r="M1017" s="162" t="s">
        <v>586</v>
      </c>
      <c r="N1017" s="337" t="s">
        <v>554</v>
      </c>
      <c r="O1017" s="338">
        <v>44005.0</v>
      </c>
      <c r="P1017" s="164">
        <f t="array" ref="P1017">XLOOKUP('FACUS$'!$B1017,'perfil de pagos'!$A$4:$A$46,'perfil de pagos'!$C$4:$C$46+'FACUS$'!$D1017)</f>
        <v>44001</v>
      </c>
      <c r="Q1017" s="165">
        <f t="shared" si="2"/>
        <v>0</v>
      </c>
      <c r="R1017" s="167"/>
      <c r="S1017" s="220" t="s">
        <v>910</v>
      </c>
      <c r="T1017" s="167"/>
      <c r="U1017" s="334" t="s">
        <v>7271</v>
      </c>
      <c r="V1017" s="168">
        <f t="shared" si="3"/>
        <v>8795.78</v>
      </c>
      <c r="W1017" s="168">
        <f t="shared" si="4"/>
        <v>0</v>
      </c>
      <c r="X1017" s="168">
        <f t="shared" si="5"/>
        <v>0</v>
      </c>
      <c r="Y1017" s="168">
        <f t="shared" si="6"/>
        <v>0</v>
      </c>
      <c r="Z1017" s="168">
        <f t="shared" si="7"/>
        <v>0</v>
      </c>
      <c r="AA1017" s="168">
        <f t="shared" si="8"/>
        <v>0</v>
      </c>
      <c r="AB1017" s="168">
        <f t="shared" si="9"/>
        <v>0</v>
      </c>
    </row>
    <row r="1018" ht="14.25" customHeight="1">
      <c r="A1018" s="157" t="s">
        <v>7887</v>
      </c>
      <c r="B1018" s="169" t="s">
        <v>30</v>
      </c>
      <c r="C1018" s="169" t="s">
        <v>7888</v>
      </c>
      <c r="D1018" s="336">
        <v>43993.0</v>
      </c>
      <c r="E1018" s="157" t="s">
        <v>600</v>
      </c>
      <c r="F1018" s="160">
        <v>3000.0</v>
      </c>
      <c r="G1018" s="160">
        <v>480.0</v>
      </c>
      <c r="H1018" s="160">
        <f t="shared" si="31"/>
        <v>3480</v>
      </c>
      <c r="I1018" s="172"/>
      <c r="J1018" s="169"/>
      <c r="K1018" s="172"/>
      <c r="L1018" s="172">
        <f>+'FACUS$'!$H1018-'FACUS$'!$I1018-'FACUS$'!$K1018</f>
        <v>3480</v>
      </c>
      <c r="M1018" s="162" t="s">
        <v>7415</v>
      </c>
      <c r="N1018" s="337" t="s">
        <v>127</v>
      </c>
      <c r="O1018" s="338">
        <v>45063.0</v>
      </c>
      <c r="P1018" s="164">
        <f t="array" ref="P1018">XLOOKUP('FACUS$'!$B1018,'perfil de pagos'!$A$4:$A$46,'perfil de pagos'!$C$4:$C$46+'FACUS$'!$D1018)</f>
        <v>44003</v>
      </c>
      <c r="Q1018" s="165" t="str">
        <f t="shared" si="2"/>
        <v>N/A</v>
      </c>
      <c r="R1018" s="220" t="s">
        <v>7747</v>
      </c>
      <c r="S1018" s="167"/>
      <c r="T1018" s="167"/>
      <c r="U1018" s="334" t="s">
        <v>7271</v>
      </c>
      <c r="V1018" s="168">
        <f t="shared" si="3"/>
        <v>0</v>
      </c>
      <c r="W1018" s="168">
        <f t="shared" si="4"/>
        <v>0</v>
      </c>
      <c r="X1018" s="168">
        <f t="shared" si="5"/>
        <v>0</v>
      </c>
      <c r="Y1018" s="168">
        <f t="shared" si="6"/>
        <v>0</v>
      </c>
      <c r="Z1018" s="168">
        <f t="shared" si="7"/>
        <v>0</v>
      </c>
      <c r="AA1018" s="168">
        <f t="shared" si="8"/>
        <v>0</v>
      </c>
      <c r="AB1018" s="168">
        <f t="shared" si="9"/>
        <v>3480</v>
      </c>
    </row>
    <row r="1019" ht="14.25" customHeight="1">
      <c r="A1019" s="157" t="s">
        <v>7889</v>
      </c>
      <c r="B1019" s="169" t="s">
        <v>37</v>
      </c>
      <c r="C1019" s="169" t="s">
        <v>1577</v>
      </c>
      <c r="D1019" s="336">
        <v>43997.0</v>
      </c>
      <c r="E1019" s="157" t="s">
        <v>600</v>
      </c>
      <c r="F1019" s="160">
        <v>26664.65</v>
      </c>
      <c r="G1019" s="160">
        <v>4266.34</v>
      </c>
      <c r="H1019" s="160">
        <f t="shared" si="31"/>
        <v>30930.99</v>
      </c>
      <c r="I1019" s="172"/>
      <c r="J1019" s="169"/>
      <c r="K1019" s="172"/>
      <c r="L1019" s="172">
        <f>+'FACUS$'!$H1019-'FACUS$'!$I1019-'FACUS$'!$K1019</f>
        <v>30930.99</v>
      </c>
      <c r="M1019" s="162" t="s">
        <v>116</v>
      </c>
      <c r="N1019" s="337" t="s">
        <v>554</v>
      </c>
      <c r="O1019" s="338">
        <v>44081.0</v>
      </c>
      <c r="P1019" s="164">
        <f t="array" ref="P1019">XLOOKUP('FACUS$'!$B1019,'perfil de pagos'!$A$4:$A$46,'perfil de pagos'!$C$4:$C$46+'FACUS$'!$D1019)</f>
        <v>44007</v>
      </c>
      <c r="Q1019" s="165">
        <f t="shared" si="2"/>
        <v>0</v>
      </c>
      <c r="R1019" s="220" t="s">
        <v>7890</v>
      </c>
      <c r="S1019" s="167" t="s">
        <v>910</v>
      </c>
      <c r="T1019" s="167"/>
      <c r="U1019" s="334" t="s">
        <v>7271</v>
      </c>
      <c r="V1019" s="168">
        <f t="shared" si="3"/>
        <v>30930.99</v>
      </c>
      <c r="W1019" s="168">
        <f t="shared" si="4"/>
        <v>0</v>
      </c>
      <c r="X1019" s="168">
        <f t="shared" si="5"/>
        <v>0</v>
      </c>
      <c r="Y1019" s="168">
        <f t="shared" si="6"/>
        <v>0</v>
      </c>
      <c r="Z1019" s="168">
        <f t="shared" si="7"/>
        <v>0</v>
      </c>
      <c r="AA1019" s="168">
        <f t="shared" si="8"/>
        <v>0</v>
      </c>
      <c r="AB1019" s="168">
        <f t="shared" si="9"/>
        <v>0</v>
      </c>
    </row>
    <row r="1020" ht="14.25" customHeight="1">
      <c r="A1020" s="157" t="s">
        <v>7891</v>
      </c>
      <c r="B1020" s="169" t="s">
        <v>36</v>
      </c>
      <c r="C1020" s="169" t="s">
        <v>7892</v>
      </c>
      <c r="D1020" s="336">
        <v>43997.0</v>
      </c>
      <c r="E1020" s="157" t="s">
        <v>600</v>
      </c>
      <c r="F1020" s="160">
        <v>1226.5</v>
      </c>
      <c r="G1020" s="160">
        <v>196.24</v>
      </c>
      <c r="H1020" s="160">
        <f t="shared" si="31"/>
        <v>1422.74</v>
      </c>
      <c r="I1020" s="172"/>
      <c r="J1020" s="169"/>
      <c r="K1020" s="172"/>
      <c r="L1020" s="172">
        <f>+'FACUS$'!$H1020-'FACUS$'!$I1020-'FACUS$'!$K1020</f>
        <v>1422.74</v>
      </c>
      <c r="M1020" s="162" t="s">
        <v>278</v>
      </c>
      <c r="N1020" s="337" t="s">
        <v>554</v>
      </c>
      <c r="O1020" s="338">
        <v>44169.0</v>
      </c>
      <c r="P1020" s="164">
        <f t="array" ref="P1020">XLOOKUP('FACUS$'!$B1020,'perfil de pagos'!$A$4:$A$46,'perfil de pagos'!$C$4:$C$46+'FACUS$'!$D1020)</f>
        <v>44007</v>
      </c>
      <c r="Q1020" s="165">
        <f t="shared" si="2"/>
        <v>0</v>
      </c>
      <c r="R1020" s="167" t="s">
        <v>7857</v>
      </c>
      <c r="S1020" s="220" t="s">
        <v>910</v>
      </c>
      <c r="T1020" s="167"/>
      <c r="U1020" s="334" t="s">
        <v>7271</v>
      </c>
      <c r="V1020" s="168">
        <f t="shared" si="3"/>
        <v>1422.74</v>
      </c>
      <c r="W1020" s="168">
        <f t="shared" si="4"/>
        <v>0</v>
      </c>
      <c r="X1020" s="168">
        <f t="shared" si="5"/>
        <v>0</v>
      </c>
      <c r="Y1020" s="168">
        <f t="shared" si="6"/>
        <v>0</v>
      </c>
      <c r="Z1020" s="168">
        <f t="shared" si="7"/>
        <v>0</v>
      </c>
      <c r="AA1020" s="168">
        <f t="shared" si="8"/>
        <v>0</v>
      </c>
      <c r="AB1020" s="168">
        <f t="shared" si="9"/>
        <v>0</v>
      </c>
    </row>
    <row r="1021" ht="14.25" customHeight="1">
      <c r="A1021" s="157" t="s">
        <v>7893</v>
      </c>
      <c r="B1021" s="169" t="s">
        <v>36</v>
      </c>
      <c r="C1021" s="169" t="s">
        <v>1586</v>
      </c>
      <c r="D1021" s="336">
        <v>43999.0</v>
      </c>
      <c r="E1021" s="157" t="s">
        <v>600</v>
      </c>
      <c r="F1021" s="160">
        <v>2069.32</v>
      </c>
      <c r="G1021" s="160">
        <v>331.09</v>
      </c>
      <c r="H1021" s="160">
        <f t="shared" si="31"/>
        <v>2400.41</v>
      </c>
      <c r="I1021" s="172"/>
      <c r="J1021" s="169"/>
      <c r="K1021" s="172"/>
      <c r="L1021" s="172">
        <f>+'FACUS$'!$H1021-'FACUS$'!$I1021-'FACUS$'!$K1021</f>
        <v>2400.41</v>
      </c>
      <c r="M1021" s="162" t="s">
        <v>278</v>
      </c>
      <c r="N1021" s="337" t="s">
        <v>554</v>
      </c>
      <c r="O1021" s="338">
        <v>44032.0</v>
      </c>
      <c r="P1021" s="164">
        <f t="array" ref="P1021">XLOOKUP('FACUS$'!$B1021,'perfil de pagos'!$A$4:$A$46,'perfil de pagos'!$C$4:$C$46+'FACUS$'!$D1021)</f>
        <v>44009</v>
      </c>
      <c r="Q1021" s="165">
        <f t="shared" si="2"/>
        <v>0</v>
      </c>
      <c r="R1021" s="167" t="s">
        <v>7894</v>
      </c>
      <c r="S1021" s="220" t="s">
        <v>910</v>
      </c>
      <c r="T1021" s="167"/>
      <c r="U1021" s="334" t="s">
        <v>7271</v>
      </c>
      <c r="V1021" s="168">
        <f t="shared" si="3"/>
        <v>2400.41</v>
      </c>
      <c r="W1021" s="168">
        <f t="shared" si="4"/>
        <v>0</v>
      </c>
      <c r="X1021" s="168">
        <f t="shared" si="5"/>
        <v>0</v>
      </c>
      <c r="Y1021" s="168">
        <f t="shared" si="6"/>
        <v>0</v>
      </c>
      <c r="Z1021" s="168">
        <f t="shared" si="7"/>
        <v>0</v>
      </c>
      <c r="AA1021" s="168">
        <f t="shared" si="8"/>
        <v>0</v>
      </c>
      <c r="AB1021" s="168">
        <f t="shared" si="9"/>
        <v>0</v>
      </c>
    </row>
    <row r="1022" ht="14.25" customHeight="1">
      <c r="A1022" s="157" t="s">
        <v>7895</v>
      </c>
      <c r="B1022" s="169" t="s">
        <v>1127</v>
      </c>
      <c r="C1022" s="169" t="s">
        <v>7896</v>
      </c>
      <c r="D1022" s="336">
        <v>43999.0</v>
      </c>
      <c r="E1022" s="157" t="s">
        <v>600</v>
      </c>
      <c r="F1022" s="160">
        <v>409.5</v>
      </c>
      <c r="G1022" s="160">
        <v>65.52</v>
      </c>
      <c r="H1022" s="160">
        <f t="shared" si="31"/>
        <v>475.02</v>
      </c>
      <c r="I1022" s="172"/>
      <c r="J1022" s="169"/>
      <c r="K1022" s="172"/>
      <c r="L1022" s="172">
        <f>+'FACUS$'!$H1022-'FACUS$'!$I1022-'FACUS$'!$K1022</f>
        <v>475.02</v>
      </c>
      <c r="M1022" s="162" t="s">
        <v>580</v>
      </c>
      <c r="N1022" s="337" t="s">
        <v>554</v>
      </c>
      <c r="O1022" s="338">
        <v>44011.0</v>
      </c>
      <c r="P1022" s="164" t="str">
        <f t="array" ref="P1022">XLOOKUP('FACUS$'!$B1022,'perfil de pagos'!$A$4:$A$46,'perfil de pagos'!$C$4:$C$46+'FACUS$'!$D1022)</f>
        <v>#N/A</v>
      </c>
      <c r="Q1022" s="165">
        <f t="shared" si="2"/>
        <v>0</v>
      </c>
      <c r="R1022" s="167"/>
      <c r="S1022" s="167"/>
      <c r="T1022" s="167"/>
      <c r="U1022" s="334" t="s">
        <v>7271</v>
      </c>
      <c r="V1022" s="168">
        <f t="shared" si="3"/>
        <v>475.02</v>
      </c>
      <c r="W1022" s="168">
        <f t="shared" si="4"/>
        <v>0</v>
      </c>
      <c r="X1022" s="168">
        <f t="shared" si="5"/>
        <v>0</v>
      </c>
      <c r="Y1022" s="168">
        <f t="shared" si="6"/>
        <v>0</v>
      </c>
      <c r="Z1022" s="168">
        <f t="shared" si="7"/>
        <v>0</v>
      </c>
      <c r="AA1022" s="168">
        <f t="shared" si="8"/>
        <v>0</v>
      </c>
      <c r="AB1022" s="168">
        <f t="shared" si="9"/>
        <v>0</v>
      </c>
    </row>
    <row r="1023" ht="14.25" customHeight="1">
      <c r="A1023" s="157" t="s">
        <v>7897</v>
      </c>
      <c r="B1023" s="169" t="s">
        <v>41</v>
      </c>
      <c r="C1023" s="169" t="s">
        <v>1586</v>
      </c>
      <c r="D1023" s="336">
        <v>44000.0</v>
      </c>
      <c r="E1023" s="157" t="s">
        <v>600</v>
      </c>
      <c r="F1023" s="160">
        <v>12785.11</v>
      </c>
      <c r="G1023" s="160">
        <v>2045.62</v>
      </c>
      <c r="H1023" s="160">
        <f t="shared" si="31"/>
        <v>14830.73</v>
      </c>
      <c r="I1023" s="172"/>
      <c r="J1023" s="169"/>
      <c r="K1023" s="172"/>
      <c r="L1023" s="172">
        <f>+'FACUS$'!$H1023-'FACUS$'!$I1023-'FACUS$'!$K1023</f>
        <v>14830.73</v>
      </c>
      <c r="M1023" s="162" t="s">
        <v>875</v>
      </c>
      <c r="N1023" s="337" t="s">
        <v>554</v>
      </c>
      <c r="O1023" s="338">
        <v>44062.0</v>
      </c>
      <c r="P1023" s="164">
        <f t="array" ref="P1023">XLOOKUP('FACUS$'!$B1023,'perfil de pagos'!$A$4:$A$46,'perfil de pagos'!$C$4:$C$46+'FACUS$'!$D1023)</f>
        <v>44010</v>
      </c>
      <c r="Q1023" s="165">
        <f t="shared" si="2"/>
        <v>0</v>
      </c>
      <c r="R1023" s="167"/>
      <c r="S1023" s="167"/>
      <c r="T1023" s="167"/>
      <c r="U1023" s="334" t="s">
        <v>7271</v>
      </c>
      <c r="V1023" s="168">
        <f t="shared" si="3"/>
        <v>14830.73</v>
      </c>
      <c r="W1023" s="168">
        <f t="shared" si="4"/>
        <v>0</v>
      </c>
      <c r="X1023" s="168">
        <f t="shared" si="5"/>
        <v>0</v>
      </c>
      <c r="Y1023" s="168">
        <f t="shared" si="6"/>
        <v>0</v>
      </c>
      <c r="Z1023" s="168">
        <f t="shared" si="7"/>
        <v>0</v>
      </c>
      <c r="AA1023" s="168">
        <f t="shared" si="8"/>
        <v>0</v>
      </c>
      <c r="AB1023" s="168">
        <f t="shared" si="9"/>
        <v>0</v>
      </c>
    </row>
    <row r="1024" ht="14.25" customHeight="1">
      <c r="A1024" s="157" t="s">
        <v>7898</v>
      </c>
      <c r="B1024" s="169" t="s">
        <v>37</v>
      </c>
      <c r="C1024" s="169" t="s">
        <v>1586</v>
      </c>
      <c r="D1024" s="336">
        <v>44000.0</v>
      </c>
      <c r="E1024" s="157" t="s">
        <v>600</v>
      </c>
      <c r="F1024" s="160">
        <v>83920.66</v>
      </c>
      <c r="G1024" s="160">
        <v>13427.31</v>
      </c>
      <c r="H1024" s="160">
        <f t="shared" si="31"/>
        <v>97347.97</v>
      </c>
      <c r="I1024" s="172"/>
      <c r="J1024" s="169"/>
      <c r="K1024" s="172"/>
      <c r="L1024" s="172">
        <f>+'FACUS$'!$H1024-'FACUS$'!$I1024-'FACUS$'!$K1024</f>
        <v>97347.97</v>
      </c>
      <c r="M1024" s="162" t="s">
        <v>116</v>
      </c>
      <c r="N1024" s="337" t="s">
        <v>554</v>
      </c>
      <c r="O1024" s="338">
        <v>44018.0</v>
      </c>
      <c r="P1024" s="164">
        <f t="array" ref="P1024">XLOOKUP('FACUS$'!$B1024,'perfil de pagos'!$A$4:$A$46,'perfil de pagos'!$C$4:$C$46+'FACUS$'!$D1024)</f>
        <v>44010</v>
      </c>
      <c r="Q1024" s="165">
        <f t="shared" si="2"/>
        <v>0</v>
      </c>
      <c r="R1024" s="167" t="s">
        <v>7899</v>
      </c>
      <c r="S1024" s="167" t="s">
        <v>910</v>
      </c>
      <c r="T1024" s="167"/>
      <c r="U1024" s="334" t="s">
        <v>7271</v>
      </c>
      <c r="V1024" s="168">
        <f t="shared" si="3"/>
        <v>97347.97</v>
      </c>
      <c r="W1024" s="168">
        <f t="shared" si="4"/>
        <v>0</v>
      </c>
      <c r="X1024" s="168">
        <f t="shared" si="5"/>
        <v>0</v>
      </c>
      <c r="Y1024" s="168">
        <f t="shared" si="6"/>
        <v>0</v>
      </c>
      <c r="Z1024" s="168">
        <f t="shared" si="7"/>
        <v>0</v>
      </c>
      <c r="AA1024" s="168">
        <f t="shared" si="8"/>
        <v>0</v>
      </c>
      <c r="AB1024" s="168">
        <f t="shared" si="9"/>
        <v>0</v>
      </c>
    </row>
    <row r="1025" ht="14.25" customHeight="1">
      <c r="A1025" s="157" t="s">
        <v>7900</v>
      </c>
      <c r="B1025" s="169" t="s">
        <v>29</v>
      </c>
      <c r="C1025" s="169" t="s">
        <v>1586</v>
      </c>
      <c r="D1025" s="336">
        <v>44000.0</v>
      </c>
      <c r="E1025" s="157" t="s">
        <v>600</v>
      </c>
      <c r="F1025" s="160">
        <v>6777.64</v>
      </c>
      <c r="G1025" s="160">
        <v>1084.42</v>
      </c>
      <c r="H1025" s="160">
        <f t="shared" si="31"/>
        <v>7862.06</v>
      </c>
      <c r="I1025" s="172"/>
      <c r="J1025" s="169"/>
      <c r="K1025" s="172"/>
      <c r="L1025" s="172">
        <f>+'FACUS$'!$H1025-'FACUS$'!$I1025-'FACUS$'!$K1025</f>
        <v>7862.06</v>
      </c>
      <c r="M1025" s="162" t="s">
        <v>130</v>
      </c>
      <c r="N1025" s="337" t="s">
        <v>127</v>
      </c>
      <c r="O1025" s="338"/>
      <c r="P1025" s="164">
        <f t="array" ref="P1025">XLOOKUP('FACUS$'!$B1025,'perfil de pagos'!$A$4:$A$46,'perfil de pagos'!$C$4:$C$46+'FACUS$'!$D1025)</f>
        <v>44010</v>
      </c>
      <c r="Q1025" s="165" t="str">
        <f t="shared" si="2"/>
        <v>N/A</v>
      </c>
      <c r="R1025" s="167" t="s">
        <v>7901</v>
      </c>
      <c r="S1025" s="167"/>
      <c r="T1025" s="167"/>
      <c r="U1025" s="334" t="s">
        <v>7271</v>
      </c>
      <c r="V1025" s="168">
        <f t="shared" si="3"/>
        <v>0</v>
      </c>
      <c r="W1025" s="168">
        <f t="shared" si="4"/>
        <v>0</v>
      </c>
      <c r="X1025" s="168">
        <f t="shared" si="5"/>
        <v>0</v>
      </c>
      <c r="Y1025" s="168">
        <f t="shared" si="6"/>
        <v>0</v>
      </c>
      <c r="Z1025" s="168">
        <f t="shared" si="7"/>
        <v>0</v>
      </c>
      <c r="AA1025" s="168">
        <f t="shared" si="8"/>
        <v>0</v>
      </c>
      <c r="AB1025" s="168">
        <f t="shared" si="9"/>
        <v>7862.06</v>
      </c>
    </row>
    <row r="1026" ht="14.25" customHeight="1">
      <c r="A1026" s="157" t="s">
        <v>7902</v>
      </c>
      <c r="B1026" s="169" t="s">
        <v>18</v>
      </c>
      <c r="C1026" s="169" t="s">
        <v>1586</v>
      </c>
      <c r="D1026" s="336">
        <v>44011.0</v>
      </c>
      <c r="E1026" s="157" t="s">
        <v>600</v>
      </c>
      <c r="F1026" s="160">
        <v>6777.64</v>
      </c>
      <c r="G1026" s="160">
        <v>1084.42</v>
      </c>
      <c r="H1026" s="160">
        <f t="shared" si="31"/>
        <v>7862.06</v>
      </c>
      <c r="I1026" s="172"/>
      <c r="J1026" s="169"/>
      <c r="K1026" s="172"/>
      <c r="L1026" s="172">
        <f>+'FACUS$'!$H1026-'FACUS$'!$I1026-'FACUS$'!$K1026</f>
        <v>7862.06</v>
      </c>
      <c r="M1026" s="162" t="s">
        <v>586</v>
      </c>
      <c r="N1026" s="337" t="s">
        <v>554</v>
      </c>
      <c r="O1026" s="338">
        <v>44012.0</v>
      </c>
      <c r="P1026" s="164">
        <f t="array" ref="P1026">XLOOKUP('FACUS$'!$B1026,'perfil de pagos'!$A$4:$A$46,'perfil de pagos'!$C$4:$C$46+'FACUS$'!$D1026)</f>
        <v>44021</v>
      </c>
      <c r="Q1026" s="165">
        <f t="shared" si="2"/>
        <v>0</v>
      </c>
      <c r="R1026" s="167"/>
      <c r="S1026" s="167" t="s">
        <v>910</v>
      </c>
      <c r="T1026" s="167"/>
      <c r="U1026" s="334" t="s">
        <v>7271</v>
      </c>
      <c r="V1026" s="168">
        <f t="shared" si="3"/>
        <v>7862.06</v>
      </c>
      <c r="W1026" s="168">
        <f t="shared" si="4"/>
        <v>0</v>
      </c>
      <c r="X1026" s="168">
        <f t="shared" si="5"/>
        <v>0</v>
      </c>
      <c r="Y1026" s="168">
        <f t="shared" si="6"/>
        <v>0</v>
      </c>
      <c r="Z1026" s="168">
        <f t="shared" si="7"/>
        <v>0</v>
      </c>
      <c r="AA1026" s="168">
        <f t="shared" si="8"/>
        <v>0</v>
      </c>
      <c r="AB1026" s="168">
        <f t="shared" si="9"/>
        <v>0</v>
      </c>
    </row>
    <row r="1027" ht="14.25" customHeight="1">
      <c r="A1027" s="157" t="s">
        <v>7903</v>
      </c>
      <c r="B1027" s="169" t="s">
        <v>29</v>
      </c>
      <c r="C1027" s="169" t="s">
        <v>7904</v>
      </c>
      <c r="D1027" s="336">
        <v>44011.0</v>
      </c>
      <c r="E1027" s="157" t="s">
        <v>600</v>
      </c>
      <c r="F1027" s="160">
        <v>1785.0</v>
      </c>
      <c r="G1027" s="160">
        <v>285.6</v>
      </c>
      <c r="H1027" s="160">
        <f t="shared" si="31"/>
        <v>2070.6</v>
      </c>
      <c r="I1027" s="172"/>
      <c r="J1027" s="169"/>
      <c r="K1027" s="172"/>
      <c r="L1027" s="172">
        <f>+'FACUS$'!$H1027-'FACUS$'!$I1027-'FACUS$'!$K1027</f>
        <v>2070.6</v>
      </c>
      <c r="M1027" s="162" t="s">
        <v>1087</v>
      </c>
      <c r="N1027" s="337" t="s">
        <v>554</v>
      </c>
      <c r="O1027" s="338">
        <v>44034.0</v>
      </c>
      <c r="P1027" s="164">
        <f t="array" ref="P1027">XLOOKUP('FACUS$'!$B1027,'perfil de pagos'!$A$4:$A$46,'perfil de pagos'!$C$4:$C$46+'FACUS$'!$D1027)</f>
        <v>44021</v>
      </c>
      <c r="Q1027" s="165">
        <f t="shared" si="2"/>
        <v>0</v>
      </c>
      <c r="R1027" s="167"/>
      <c r="S1027" s="167"/>
      <c r="T1027" s="167"/>
      <c r="U1027" s="334" t="s">
        <v>7271</v>
      </c>
      <c r="V1027" s="168">
        <f t="shared" si="3"/>
        <v>2070.6</v>
      </c>
      <c r="W1027" s="168">
        <f t="shared" si="4"/>
        <v>0</v>
      </c>
      <c r="X1027" s="168">
        <f t="shared" si="5"/>
        <v>0</v>
      </c>
      <c r="Y1027" s="168">
        <f t="shared" si="6"/>
        <v>0</v>
      </c>
      <c r="Z1027" s="168">
        <f t="shared" si="7"/>
        <v>0</v>
      </c>
      <c r="AA1027" s="168">
        <f t="shared" si="8"/>
        <v>0</v>
      </c>
      <c r="AB1027" s="168">
        <f t="shared" si="9"/>
        <v>0</v>
      </c>
    </row>
    <row r="1028" ht="14.25" customHeight="1">
      <c r="A1028" s="157" t="s">
        <v>7905</v>
      </c>
      <c r="B1028" s="169" t="s">
        <v>43</v>
      </c>
      <c r="C1028" s="169" t="s">
        <v>1711</v>
      </c>
      <c r="D1028" s="336">
        <v>44015.0</v>
      </c>
      <c r="E1028" s="157" t="s">
        <v>600</v>
      </c>
      <c r="F1028" s="160">
        <v>8373.79</v>
      </c>
      <c r="G1028" s="160">
        <v>1339.81</v>
      </c>
      <c r="H1028" s="160">
        <f t="shared" si="31"/>
        <v>9713.6</v>
      </c>
      <c r="I1028" s="172"/>
      <c r="J1028" s="169"/>
      <c r="K1028" s="172"/>
      <c r="L1028" s="172">
        <f>+'FACUS$'!$H1028-'FACUS$'!$I1028-'FACUS$'!$K1028</f>
        <v>9713.6</v>
      </c>
      <c r="M1028" s="162" t="s">
        <v>43</v>
      </c>
      <c r="N1028" s="337" t="s">
        <v>554</v>
      </c>
      <c r="O1028" s="338">
        <v>44036.0</v>
      </c>
      <c r="P1028" s="164">
        <f t="array" ref="P1028">XLOOKUP('FACUS$'!$B1028,'perfil de pagos'!$A$4:$A$46,'perfil de pagos'!$C$4:$C$46+'FACUS$'!$D1028)</f>
        <v>44040</v>
      </c>
      <c r="Q1028" s="165">
        <f t="shared" si="2"/>
        <v>0</v>
      </c>
      <c r="R1028" s="167"/>
      <c r="S1028" s="167" t="s">
        <v>910</v>
      </c>
      <c r="T1028" s="167"/>
      <c r="U1028" s="334" t="s">
        <v>7271</v>
      </c>
      <c r="V1028" s="168">
        <f t="shared" si="3"/>
        <v>9713.6</v>
      </c>
      <c r="W1028" s="168">
        <f t="shared" si="4"/>
        <v>0</v>
      </c>
      <c r="X1028" s="168">
        <f t="shared" si="5"/>
        <v>0</v>
      </c>
      <c r="Y1028" s="168">
        <f t="shared" si="6"/>
        <v>0</v>
      </c>
      <c r="Z1028" s="168">
        <f t="shared" si="7"/>
        <v>0</v>
      </c>
      <c r="AA1028" s="168">
        <f t="shared" si="8"/>
        <v>0</v>
      </c>
      <c r="AB1028" s="168">
        <f t="shared" si="9"/>
        <v>0</v>
      </c>
    </row>
    <row r="1029" ht="14.25" customHeight="1">
      <c r="A1029" s="157" t="s">
        <v>7906</v>
      </c>
      <c r="B1029" s="169" t="s">
        <v>36</v>
      </c>
      <c r="C1029" s="169" t="s">
        <v>1711</v>
      </c>
      <c r="D1029" s="336">
        <v>44015.0</v>
      </c>
      <c r="E1029" s="157" t="s">
        <v>600</v>
      </c>
      <c r="F1029" s="160">
        <v>2340.39</v>
      </c>
      <c r="G1029" s="160">
        <v>374.46</v>
      </c>
      <c r="H1029" s="160">
        <f t="shared" si="31"/>
        <v>2714.85</v>
      </c>
      <c r="I1029" s="172"/>
      <c r="J1029" s="169"/>
      <c r="K1029" s="172"/>
      <c r="L1029" s="172">
        <f>+'FACUS$'!$H1029-'FACUS$'!$I1029-'FACUS$'!$K1029</f>
        <v>2714.85</v>
      </c>
      <c r="M1029" s="162" t="s">
        <v>278</v>
      </c>
      <c r="N1029" s="337" t="s">
        <v>554</v>
      </c>
      <c r="O1029" s="338">
        <v>44043.0</v>
      </c>
      <c r="P1029" s="164">
        <f t="array" ref="P1029">XLOOKUP('FACUS$'!$B1029,'perfil de pagos'!$A$4:$A$46,'perfil de pagos'!$C$4:$C$46+'FACUS$'!$D1029)</f>
        <v>44025</v>
      </c>
      <c r="Q1029" s="165">
        <f t="shared" si="2"/>
        <v>0</v>
      </c>
      <c r="R1029" s="167" t="s">
        <v>7907</v>
      </c>
      <c r="S1029" s="220" t="s">
        <v>910</v>
      </c>
      <c r="T1029" s="167"/>
      <c r="U1029" s="334" t="s">
        <v>7271</v>
      </c>
      <c r="V1029" s="168">
        <f t="shared" si="3"/>
        <v>2714.85</v>
      </c>
      <c r="W1029" s="168">
        <f t="shared" si="4"/>
        <v>0</v>
      </c>
      <c r="X1029" s="168">
        <f t="shared" si="5"/>
        <v>0</v>
      </c>
      <c r="Y1029" s="168">
        <f t="shared" si="6"/>
        <v>0</v>
      </c>
      <c r="Z1029" s="168">
        <f t="shared" si="7"/>
        <v>0</v>
      </c>
      <c r="AA1029" s="168">
        <f t="shared" si="8"/>
        <v>0</v>
      </c>
      <c r="AB1029" s="168">
        <f t="shared" si="9"/>
        <v>0</v>
      </c>
    </row>
    <row r="1030" ht="14.25" customHeight="1">
      <c r="A1030" s="157" t="s">
        <v>7908</v>
      </c>
      <c r="B1030" s="169" t="s">
        <v>1127</v>
      </c>
      <c r="C1030" s="169" t="s">
        <v>1711</v>
      </c>
      <c r="D1030" s="336">
        <v>44015.0</v>
      </c>
      <c r="E1030" s="157" t="s">
        <v>600</v>
      </c>
      <c r="F1030" s="160">
        <v>922.68</v>
      </c>
      <c r="G1030" s="160">
        <v>147.63</v>
      </c>
      <c r="H1030" s="160">
        <f t="shared" si="31"/>
        <v>1070.31</v>
      </c>
      <c r="I1030" s="172"/>
      <c r="J1030" s="169"/>
      <c r="K1030" s="172"/>
      <c r="L1030" s="172">
        <f>+'FACUS$'!$H1030-'FACUS$'!$I1030-'FACUS$'!$K1030</f>
        <v>1070.31</v>
      </c>
      <c r="M1030" s="162" t="s">
        <v>580</v>
      </c>
      <c r="N1030" s="337" t="s">
        <v>554</v>
      </c>
      <c r="O1030" s="338">
        <v>44028.0</v>
      </c>
      <c r="P1030" s="164" t="str">
        <f t="array" ref="P1030">XLOOKUP('FACUS$'!$B1030,'perfil de pagos'!$A$4:$A$46,'perfil de pagos'!$C$4:$C$46+'FACUS$'!$D1030)</f>
        <v>#N/A</v>
      </c>
      <c r="Q1030" s="165">
        <f t="shared" si="2"/>
        <v>0</v>
      </c>
      <c r="R1030" s="167"/>
      <c r="S1030" s="167"/>
      <c r="T1030" s="167"/>
      <c r="U1030" s="334" t="s">
        <v>7271</v>
      </c>
      <c r="V1030" s="168">
        <f t="shared" si="3"/>
        <v>1070.31</v>
      </c>
      <c r="W1030" s="168">
        <f t="shared" si="4"/>
        <v>0</v>
      </c>
      <c r="X1030" s="168">
        <f t="shared" si="5"/>
        <v>0</v>
      </c>
      <c r="Y1030" s="168">
        <f t="shared" si="6"/>
        <v>0</v>
      </c>
      <c r="Z1030" s="168">
        <f t="shared" si="7"/>
        <v>0</v>
      </c>
      <c r="AA1030" s="168">
        <f t="shared" si="8"/>
        <v>0</v>
      </c>
      <c r="AB1030" s="168">
        <f t="shared" si="9"/>
        <v>0</v>
      </c>
    </row>
    <row r="1031" ht="14.25" customHeight="1">
      <c r="A1031" s="157" t="s">
        <v>7909</v>
      </c>
      <c r="B1031" s="169" t="s">
        <v>37</v>
      </c>
      <c r="C1031" s="169" t="s">
        <v>1811</v>
      </c>
      <c r="D1031" s="336">
        <v>44029.0</v>
      </c>
      <c r="E1031" s="157" t="s">
        <v>600</v>
      </c>
      <c r="F1031" s="160">
        <v>32438.08</v>
      </c>
      <c r="G1031" s="160">
        <v>5190.09</v>
      </c>
      <c r="H1031" s="160">
        <f t="shared" si="31"/>
        <v>37628.17</v>
      </c>
      <c r="I1031" s="172"/>
      <c r="J1031" s="169"/>
      <c r="K1031" s="172"/>
      <c r="L1031" s="172">
        <f>+'FACUS$'!$H1031-'FACUS$'!$I1031-'FACUS$'!$K1031</f>
        <v>37628.17</v>
      </c>
      <c r="M1031" s="162" t="s">
        <v>116</v>
      </c>
      <c r="N1031" s="337" t="s">
        <v>554</v>
      </c>
      <c r="O1031" s="338">
        <v>44088.0</v>
      </c>
      <c r="P1031" s="164">
        <f t="array" ref="P1031">XLOOKUP('FACUS$'!$B1031,'perfil de pagos'!$A$4:$A$46,'perfil de pagos'!$C$4:$C$46+'FACUS$'!$D1031)</f>
        <v>44039</v>
      </c>
      <c r="Q1031" s="165">
        <f t="shared" si="2"/>
        <v>0</v>
      </c>
      <c r="R1031" s="167" t="s">
        <v>7910</v>
      </c>
      <c r="S1031" s="220" t="s">
        <v>910</v>
      </c>
      <c r="T1031" s="167"/>
      <c r="U1031" s="334" t="s">
        <v>7271</v>
      </c>
      <c r="V1031" s="168">
        <f t="shared" si="3"/>
        <v>37628.17</v>
      </c>
      <c r="W1031" s="168">
        <f t="shared" si="4"/>
        <v>0</v>
      </c>
      <c r="X1031" s="168">
        <f t="shared" si="5"/>
        <v>0</v>
      </c>
      <c r="Y1031" s="168">
        <f t="shared" si="6"/>
        <v>0</v>
      </c>
      <c r="Z1031" s="168">
        <f t="shared" si="7"/>
        <v>0</v>
      </c>
      <c r="AA1031" s="168">
        <f t="shared" si="8"/>
        <v>0</v>
      </c>
      <c r="AB1031" s="168">
        <f t="shared" si="9"/>
        <v>0</v>
      </c>
    </row>
    <row r="1032" ht="14.25" customHeight="1">
      <c r="A1032" s="157" t="s">
        <v>7911</v>
      </c>
      <c r="B1032" s="169" t="s">
        <v>7912</v>
      </c>
      <c r="C1032" s="169" t="s">
        <v>7913</v>
      </c>
      <c r="D1032" s="336">
        <v>44029.0</v>
      </c>
      <c r="E1032" s="157" t="s">
        <v>600</v>
      </c>
      <c r="F1032" s="160">
        <v>1226.5</v>
      </c>
      <c r="G1032" s="160">
        <v>196.24</v>
      </c>
      <c r="H1032" s="160">
        <f t="shared" si="31"/>
        <v>1422.74</v>
      </c>
      <c r="I1032" s="172"/>
      <c r="J1032" s="169"/>
      <c r="K1032" s="172"/>
      <c r="L1032" s="172">
        <f>+'FACUS$'!$H1032-'FACUS$'!$I1032-'FACUS$'!$K1032</f>
        <v>1422.74</v>
      </c>
      <c r="M1032" s="162" t="s">
        <v>982</v>
      </c>
      <c r="N1032" s="337" t="s">
        <v>127</v>
      </c>
      <c r="O1032" s="338"/>
      <c r="P1032" s="164" t="str">
        <f t="array" ref="P1032">XLOOKUP('FACUS$'!$B1032,'perfil de pagos'!$A$4:$A$46,'perfil de pagos'!$C$4:$C$46+'FACUS$'!$D1032)</f>
        <v>#N/A</v>
      </c>
      <c r="Q1032" s="165" t="str">
        <f t="shared" si="2"/>
        <v>N/A</v>
      </c>
      <c r="R1032" s="167" t="s">
        <v>7914</v>
      </c>
      <c r="S1032" s="167"/>
      <c r="T1032" s="167"/>
      <c r="U1032" s="334" t="s">
        <v>7271</v>
      </c>
      <c r="V1032" s="168">
        <f t="shared" si="3"/>
        <v>0</v>
      </c>
      <c r="W1032" s="168">
        <f t="shared" si="4"/>
        <v>0</v>
      </c>
      <c r="X1032" s="168">
        <f t="shared" si="5"/>
        <v>0</v>
      </c>
      <c r="Y1032" s="168">
        <f t="shared" si="6"/>
        <v>0</v>
      </c>
      <c r="Z1032" s="168">
        <f t="shared" si="7"/>
        <v>0</v>
      </c>
      <c r="AA1032" s="168">
        <f t="shared" si="8"/>
        <v>0</v>
      </c>
      <c r="AB1032" s="168">
        <f t="shared" si="9"/>
        <v>1422.74</v>
      </c>
    </row>
    <row r="1033" ht="14.25" customHeight="1">
      <c r="A1033" s="157" t="s">
        <v>7915</v>
      </c>
      <c r="B1033" s="169" t="s">
        <v>30</v>
      </c>
      <c r="C1033" s="169" t="s">
        <v>7916</v>
      </c>
      <c r="D1033" s="336">
        <v>44029.0</v>
      </c>
      <c r="E1033" s="157" t="s">
        <v>600</v>
      </c>
      <c r="F1033" s="160">
        <v>3000.0</v>
      </c>
      <c r="G1033" s="160">
        <v>480.0</v>
      </c>
      <c r="H1033" s="160">
        <f t="shared" si="31"/>
        <v>3480</v>
      </c>
      <c r="I1033" s="172"/>
      <c r="J1033" s="169"/>
      <c r="K1033" s="172"/>
      <c r="L1033" s="172">
        <f>+'FACUS$'!$H1033-'FACUS$'!$I1033-'FACUS$'!$K1033</f>
        <v>3480</v>
      </c>
      <c r="M1033" s="162" t="s">
        <v>7415</v>
      </c>
      <c r="N1033" s="337" t="s">
        <v>127</v>
      </c>
      <c r="O1033" s="338">
        <v>45063.0</v>
      </c>
      <c r="P1033" s="164">
        <f t="array" ref="P1033">XLOOKUP('FACUS$'!$B1033,'perfil de pagos'!$A$4:$A$46,'perfil de pagos'!$C$4:$C$46+'FACUS$'!$D1033)</f>
        <v>44039</v>
      </c>
      <c r="Q1033" s="165" t="str">
        <f t="shared" si="2"/>
        <v>N/A</v>
      </c>
      <c r="R1033" s="220" t="s">
        <v>7747</v>
      </c>
      <c r="S1033" s="167"/>
      <c r="T1033" s="167"/>
      <c r="U1033" s="334" t="s">
        <v>7271</v>
      </c>
      <c r="V1033" s="168">
        <f t="shared" si="3"/>
        <v>0</v>
      </c>
      <c r="W1033" s="168">
        <f t="shared" si="4"/>
        <v>0</v>
      </c>
      <c r="X1033" s="168">
        <f t="shared" si="5"/>
        <v>0</v>
      </c>
      <c r="Y1033" s="168">
        <f t="shared" si="6"/>
        <v>0</v>
      </c>
      <c r="Z1033" s="168">
        <f t="shared" si="7"/>
        <v>0</v>
      </c>
      <c r="AA1033" s="168">
        <f t="shared" si="8"/>
        <v>0</v>
      </c>
      <c r="AB1033" s="168">
        <f t="shared" si="9"/>
        <v>3480</v>
      </c>
    </row>
    <row r="1034" ht="14.25" customHeight="1">
      <c r="A1034" s="157" t="s">
        <v>7917</v>
      </c>
      <c r="B1034" s="169" t="s">
        <v>41</v>
      </c>
      <c r="C1034" s="169" t="s">
        <v>1711</v>
      </c>
      <c r="D1034" s="336">
        <v>44029.0</v>
      </c>
      <c r="E1034" s="157" t="s">
        <v>600</v>
      </c>
      <c r="F1034" s="160">
        <v>16298.59</v>
      </c>
      <c r="G1034" s="160">
        <v>2607.77</v>
      </c>
      <c r="H1034" s="160">
        <f t="shared" si="31"/>
        <v>18906.36</v>
      </c>
      <c r="I1034" s="172"/>
      <c r="J1034" s="169"/>
      <c r="K1034" s="172"/>
      <c r="L1034" s="172">
        <f>+'FACUS$'!$H1034-'FACUS$'!$I1034-'FACUS$'!$K1034</f>
        <v>18906.36</v>
      </c>
      <c r="M1034" s="162" t="s">
        <v>875</v>
      </c>
      <c r="N1034" s="337" t="s">
        <v>554</v>
      </c>
      <c r="O1034" s="338">
        <v>44113.0</v>
      </c>
      <c r="P1034" s="164">
        <f t="array" ref="P1034">XLOOKUP('FACUS$'!$B1034,'perfil de pagos'!$A$4:$A$46,'perfil de pagos'!$C$4:$C$46+'FACUS$'!$D1034)</f>
        <v>44039</v>
      </c>
      <c r="Q1034" s="165">
        <f t="shared" si="2"/>
        <v>0</v>
      </c>
      <c r="R1034" s="167"/>
      <c r="S1034" s="167"/>
      <c r="T1034" s="167"/>
      <c r="U1034" s="334" t="s">
        <v>7271</v>
      </c>
      <c r="V1034" s="168">
        <f t="shared" si="3"/>
        <v>18906.36</v>
      </c>
      <c r="W1034" s="168">
        <f t="shared" si="4"/>
        <v>0</v>
      </c>
      <c r="X1034" s="168">
        <f t="shared" si="5"/>
        <v>0</v>
      </c>
      <c r="Y1034" s="168">
        <f t="shared" si="6"/>
        <v>0</v>
      </c>
      <c r="Z1034" s="168">
        <f t="shared" si="7"/>
        <v>0</v>
      </c>
      <c r="AA1034" s="168">
        <f t="shared" si="8"/>
        <v>0</v>
      </c>
      <c r="AB1034" s="168">
        <f t="shared" si="9"/>
        <v>0</v>
      </c>
    </row>
    <row r="1035" ht="14.25" customHeight="1">
      <c r="A1035" s="157" t="s">
        <v>7918</v>
      </c>
      <c r="B1035" s="169" t="s">
        <v>36</v>
      </c>
      <c r="C1035" s="169" t="s">
        <v>7913</v>
      </c>
      <c r="D1035" s="336">
        <v>44029.0</v>
      </c>
      <c r="E1035" s="157" t="s">
        <v>600</v>
      </c>
      <c r="F1035" s="160">
        <v>1226.5</v>
      </c>
      <c r="G1035" s="160">
        <v>196.24</v>
      </c>
      <c r="H1035" s="160">
        <f t="shared" si="31"/>
        <v>1422.74</v>
      </c>
      <c r="I1035" s="172"/>
      <c r="J1035" s="169"/>
      <c r="K1035" s="172"/>
      <c r="L1035" s="172">
        <f>+'FACUS$'!$H1035-'FACUS$'!$I1035-'FACUS$'!$K1035</f>
        <v>1422.74</v>
      </c>
      <c r="M1035" s="162" t="s">
        <v>278</v>
      </c>
      <c r="N1035" s="337" t="s">
        <v>554</v>
      </c>
      <c r="O1035" s="338">
        <v>44169.0</v>
      </c>
      <c r="P1035" s="164">
        <f t="array" ref="P1035">XLOOKUP('FACUS$'!$B1035,'perfil de pagos'!$A$4:$A$46,'perfil de pagos'!$C$4:$C$46+'FACUS$'!$D1035)</f>
        <v>44039</v>
      </c>
      <c r="Q1035" s="165">
        <f t="shared" si="2"/>
        <v>0</v>
      </c>
      <c r="R1035" s="167" t="s">
        <v>7919</v>
      </c>
      <c r="S1035" s="220" t="s">
        <v>910</v>
      </c>
      <c r="T1035" s="167"/>
      <c r="U1035" s="334" t="s">
        <v>7271</v>
      </c>
      <c r="V1035" s="168">
        <f t="shared" si="3"/>
        <v>1422.74</v>
      </c>
      <c r="W1035" s="168">
        <f t="shared" si="4"/>
        <v>0</v>
      </c>
      <c r="X1035" s="168">
        <f t="shared" si="5"/>
        <v>0</v>
      </c>
      <c r="Y1035" s="168">
        <f t="shared" si="6"/>
        <v>0</v>
      </c>
      <c r="Z1035" s="168">
        <f t="shared" si="7"/>
        <v>0</v>
      </c>
      <c r="AA1035" s="168">
        <f t="shared" si="8"/>
        <v>0</v>
      </c>
      <c r="AB1035" s="168">
        <f t="shared" si="9"/>
        <v>0</v>
      </c>
    </row>
    <row r="1036" ht="14.25" customHeight="1">
      <c r="A1036" s="157" t="s">
        <v>7920</v>
      </c>
      <c r="B1036" s="169" t="s">
        <v>37</v>
      </c>
      <c r="C1036" s="169" t="s">
        <v>1711</v>
      </c>
      <c r="D1036" s="336">
        <v>44032.0</v>
      </c>
      <c r="E1036" s="157" t="s">
        <v>600</v>
      </c>
      <c r="F1036" s="160">
        <v>84749.21</v>
      </c>
      <c r="G1036" s="160">
        <v>13559.87</v>
      </c>
      <c r="H1036" s="160">
        <f t="shared" si="31"/>
        <v>98309.08</v>
      </c>
      <c r="I1036" s="172"/>
      <c r="J1036" s="169"/>
      <c r="K1036" s="172"/>
      <c r="L1036" s="172">
        <f>+'FACUS$'!$H1036-'FACUS$'!$I1036-'FACUS$'!$K1036</f>
        <v>98309.08</v>
      </c>
      <c r="M1036" s="162" t="s">
        <v>116</v>
      </c>
      <c r="N1036" s="337" t="s">
        <v>554</v>
      </c>
      <c r="O1036" s="338">
        <v>44067.0</v>
      </c>
      <c r="P1036" s="164">
        <f t="array" ref="P1036">XLOOKUP('FACUS$'!$B1036,'perfil de pagos'!$A$4:$A$46,'perfil de pagos'!$C$4:$C$46+'FACUS$'!$D1036)</f>
        <v>44042</v>
      </c>
      <c r="Q1036" s="165">
        <f t="shared" si="2"/>
        <v>0</v>
      </c>
      <c r="R1036" s="167" t="s">
        <v>7921</v>
      </c>
      <c r="S1036" s="220" t="s">
        <v>910</v>
      </c>
      <c r="T1036" s="167"/>
      <c r="U1036" s="334" t="s">
        <v>7271</v>
      </c>
      <c r="V1036" s="168">
        <f t="shared" si="3"/>
        <v>98309.08</v>
      </c>
      <c r="W1036" s="168">
        <f t="shared" si="4"/>
        <v>0</v>
      </c>
      <c r="X1036" s="168">
        <f t="shared" si="5"/>
        <v>0</v>
      </c>
      <c r="Y1036" s="168">
        <f t="shared" si="6"/>
        <v>0</v>
      </c>
      <c r="Z1036" s="168">
        <f t="shared" si="7"/>
        <v>0</v>
      </c>
      <c r="AA1036" s="168">
        <f t="shared" si="8"/>
        <v>0</v>
      </c>
      <c r="AB1036" s="168">
        <f t="shared" si="9"/>
        <v>0</v>
      </c>
    </row>
    <row r="1037" ht="14.25" customHeight="1">
      <c r="A1037" s="157" t="s">
        <v>7922</v>
      </c>
      <c r="B1037" s="169" t="s">
        <v>18</v>
      </c>
      <c r="C1037" s="169" t="s">
        <v>1711</v>
      </c>
      <c r="D1037" s="336">
        <v>44033.0</v>
      </c>
      <c r="E1037" s="157" t="s">
        <v>600</v>
      </c>
      <c r="F1037" s="160">
        <v>1416.38</v>
      </c>
      <c r="G1037" s="160">
        <v>226.62</v>
      </c>
      <c r="H1037" s="160">
        <f t="shared" si="31"/>
        <v>1643</v>
      </c>
      <c r="I1037" s="172"/>
      <c r="J1037" s="169"/>
      <c r="K1037" s="172"/>
      <c r="L1037" s="172">
        <f>+'FACUS$'!$H1037-'FACUS$'!$I1037-'FACUS$'!$K1037</f>
        <v>1643</v>
      </c>
      <c r="M1037" s="162" t="s">
        <v>586</v>
      </c>
      <c r="N1037" s="337" t="s">
        <v>554</v>
      </c>
      <c r="O1037" s="338">
        <v>44081.0</v>
      </c>
      <c r="P1037" s="164">
        <f t="array" ref="P1037">XLOOKUP('FACUS$'!$B1037,'perfil de pagos'!$A$4:$A$46,'perfil de pagos'!$C$4:$C$46+'FACUS$'!$D1037)</f>
        <v>44043</v>
      </c>
      <c r="Q1037" s="165">
        <f t="shared" si="2"/>
        <v>0</v>
      </c>
      <c r="R1037" s="167"/>
      <c r="S1037" s="167" t="s">
        <v>910</v>
      </c>
      <c r="T1037" s="167"/>
      <c r="U1037" s="334" t="s">
        <v>7271</v>
      </c>
      <c r="V1037" s="168">
        <f t="shared" si="3"/>
        <v>1643</v>
      </c>
      <c r="W1037" s="168">
        <f t="shared" si="4"/>
        <v>0</v>
      </c>
      <c r="X1037" s="168">
        <f t="shared" si="5"/>
        <v>0</v>
      </c>
      <c r="Y1037" s="168">
        <f t="shared" si="6"/>
        <v>0</v>
      </c>
      <c r="Z1037" s="168">
        <f t="shared" si="7"/>
        <v>0</v>
      </c>
      <c r="AA1037" s="168">
        <f t="shared" si="8"/>
        <v>0</v>
      </c>
      <c r="AB1037" s="168">
        <f t="shared" si="9"/>
        <v>0</v>
      </c>
    </row>
    <row r="1038" ht="14.25" customHeight="1">
      <c r="A1038" s="157" t="s">
        <v>1867</v>
      </c>
      <c r="B1038" s="169" t="s">
        <v>41</v>
      </c>
      <c r="C1038" s="169" t="s">
        <v>1950</v>
      </c>
      <c r="D1038" s="336">
        <v>44034.0</v>
      </c>
      <c r="E1038" s="157" t="s">
        <v>600</v>
      </c>
      <c r="F1038" s="160">
        <v>21983.78</v>
      </c>
      <c r="G1038" s="160">
        <v>3517.4</v>
      </c>
      <c r="H1038" s="160">
        <f t="shared" si="31"/>
        <v>25501.18</v>
      </c>
      <c r="I1038" s="172"/>
      <c r="J1038" s="169"/>
      <c r="K1038" s="172"/>
      <c r="L1038" s="172">
        <f>+'FACUS$'!$H1038-'FACUS$'!$I1038-'FACUS$'!$K1038</f>
        <v>25501.18</v>
      </c>
      <c r="M1038" s="162" t="s">
        <v>875</v>
      </c>
      <c r="N1038" s="337" t="s">
        <v>554</v>
      </c>
      <c r="O1038" s="338">
        <v>44113.0</v>
      </c>
      <c r="P1038" s="164">
        <f t="array" ref="P1038">XLOOKUP('FACUS$'!$B1038,'perfil de pagos'!$A$4:$A$46,'perfil de pagos'!$C$4:$C$46+'FACUS$'!$D1038)</f>
        <v>44044</v>
      </c>
      <c r="Q1038" s="165">
        <f t="shared" si="2"/>
        <v>0</v>
      </c>
      <c r="R1038" s="167"/>
      <c r="S1038" s="167"/>
      <c r="T1038" s="167"/>
      <c r="U1038" s="334" t="s">
        <v>7271</v>
      </c>
      <c r="V1038" s="168">
        <f t="shared" si="3"/>
        <v>25501.18</v>
      </c>
      <c r="W1038" s="168">
        <f t="shared" si="4"/>
        <v>0</v>
      </c>
      <c r="X1038" s="168">
        <f t="shared" si="5"/>
        <v>0</v>
      </c>
      <c r="Y1038" s="168">
        <f t="shared" si="6"/>
        <v>0</v>
      </c>
      <c r="Z1038" s="168">
        <f t="shared" si="7"/>
        <v>0</v>
      </c>
      <c r="AA1038" s="168">
        <f t="shared" si="8"/>
        <v>0</v>
      </c>
      <c r="AB1038" s="168">
        <f t="shared" si="9"/>
        <v>0</v>
      </c>
    </row>
    <row r="1039" ht="14.25" customHeight="1">
      <c r="A1039" s="157" t="s">
        <v>7923</v>
      </c>
      <c r="B1039" s="169" t="s">
        <v>36</v>
      </c>
      <c r="C1039" s="169" t="s">
        <v>1950</v>
      </c>
      <c r="D1039" s="336">
        <v>44034.0</v>
      </c>
      <c r="E1039" s="157" t="s">
        <v>600</v>
      </c>
      <c r="F1039" s="160">
        <v>2038.27</v>
      </c>
      <c r="G1039" s="160">
        <v>326.12</v>
      </c>
      <c r="H1039" s="160">
        <f t="shared" si="31"/>
        <v>2364.39</v>
      </c>
      <c r="I1039" s="172"/>
      <c r="J1039" s="169"/>
      <c r="K1039" s="172"/>
      <c r="L1039" s="172">
        <f>+'FACUS$'!$H1039-'FACUS$'!$I1039-'FACUS$'!$K1039</f>
        <v>2364.39</v>
      </c>
      <c r="M1039" s="162" t="s">
        <v>278</v>
      </c>
      <c r="N1039" s="337" t="s">
        <v>554</v>
      </c>
      <c r="O1039" s="338">
        <v>44043.0</v>
      </c>
      <c r="P1039" s="164">
        <f t="array" ref="P1039">XLOOKUP('FACUS$'!$B1039,'perfil de pagos'!$A$4:$A$46,'perfil de pagos'!$C$4:$C$46+'FACUS$'!$D1039)</f>
        <v>44044</v>
      </c>
      <c r="Q1039" s="165">
        <f t="shared" si="2"/>
        <v>0</v>
      </c>
      <c r="R1039" s="167" t="s">
        <v>7924</v>
      </c>
      <c r="S1039" s="220" t="s">
        <v>910</v>
      </c>
      <c r="T1039" s="167"/>
      <c r="U1039" s="334" t="s">
        <v>7271</v>
      </c>
      <c r="V1039" s="168">
        <f t="shared" si="3"/>
        <v>2364.39</v>
      </c>
      <c r="W1039" s="168">
        <f t="shared" si="4"/>
        <v>0</v>
      </c>
      <c r="X1039" s="168">
        <f t="shared" si="5"/>
        <v>0</v>
      </c>
      <c r="Y1039" s="168">
        <f t="shared" si="6"/>
        <v>0</v>
      </c>
      <c r="Z1039" s="168">
        <f t="shared" si="7"/>
        <v>0</v>
      </c>
      <c r="AA1039" s="168">
        <f t="shared" si="8"/>
        <v>0</v>
      </c>
      <c r="AB1039" s="168">
        <f t="shared" si="9"/>
        <v>0</v>
      </c>
    </row>
    <row r="1040" ht="14.25" customHeight="1">
      <c r="A1040" s="157" t="s">
        <v>7925</v>
      </c>
      <c r="B1040" s="169" t="s">
        <v>43</v>
      </c>
      <c r="C1040" s="169" t="s">
        <v>1950</v>
      </c>
      <c r="D1040" s="336">
        <v>44034.0</v>
      </c>
      <c r="E1040" s="157" t="s">
        <v>600</v>
      </c>
      <c r="F1040" s="160">
        <v>13700.56</v>
      </c>
      <c r="G1040" s="160">
        <v>2192.09</v>
      </c>
      <c r="H1040" s="160">
        <f t="shared" si="31"/>
        <v>15892.65</v>
      </c>
      <c r="I1040" s="172"/>
      <c r="J1040" s="169"/>
      <c r="K1040" s="172"/>
      <c r="L1040" s="172">
        <f>+'FACUS$'!$H1040-'FACUS$'!$I1040-'FACUS$'!$K1040</f>
        <v>15892.65</v>
      </c>
      <c r="M1040" s="162" t="s">
        <v>43</v>
      </c>
      <c r="N1040" s="337" t="s">
        <v>554</v>
      </c>
      <c r="O1040" s="338">
        <v>44064.0</v>
      </c>
      <c r="P1040" s="164">
        <f t="array" ref="P1040">XLOOKUP('FACUS$'!$B1040,'perfil de pagos'!$A$4:$A$46,'perfil de pagos'!$C$4:$C$46+'FACUS$'!$D1040)</f>
        <v>44059</v>
      </c>
      <c r="Q1040" s="165">
        <f t="shared" si="2"/>
        <v>0</v>
      </c>
      <c r="R1040" s="167"/>
      <c r="S1040" s="220" t="s">
        <v>910</v>
      </c>
      <c r="T1040" s="167"/>
      <c r="U1040" s="334" t="s">
        <v>7271</v>
      </c>
      <c r="V1040" s="168">
        <f t="shared" si="3"/>
        <v>15892.65</v>
      </c>
      <c r="W1040" s="168">
        <f t="shared" si="4"/>
        <v>0</v>
      </c>
      <c r="X1040" s="168">
        <f t="shared" si="5"/>
        <v>0</v>
      </c>
      <c r="Y1040" s="168">
        <f t="shared" si="6"/>
        <v>0</v>
      </c>
      <c r="Z1040" s="168">
        <f t="shared" si="7"/>
        <v>0</v>
      </c>
      <c r="AA1040" s="168">
        <f t="shared" si="8"/>
        <v>0</v>
      </c>
      <c r="AB1040" s="168">
        <f t="shared" si="9"/>
        <v>0</v>
      </c>
    </row>
    <row r="1041" ht="14.25" customHeight="1">
      <c r="A1041" s="157" t="s">
        <v>7926</v>
      </c>
      <c r="B1041" s="169" t="s">
        <v>37</v>
      </c>
      <c r="C1041" s="169" t="s">
        <v>1950</v>
      </c>
      <c r="D1041" s="336">
        <v>44039.0</v>
      </c>
      <c r="E1041" s="157" t="s">
        <v>600</v>
      </c>
      <c r="F1041" s="160">
        <v>78479.28</v>
      </c>
      <c r="G1041" s="160">
        <v>12556.68</v>
      </c>
      <c r="H1041" s="160">
        <f t="shared" si="31"/>
        <v>91035.96</v>
      </c>
      <c r="I1041" s="172"/>
      <c r="J1041" s="169"/>
      <c r="K1041" s="172"/>
      <c r="L1041" s="172">
        <f>+'FACUS$'!$H1041-'FACUS$'!$I1041-'FACUS$'!$K1041</f>
        <v>91035.96</v>
      </c>
      <c r="M1041" s="162" t="s">
        <v>116</v>
      </c>
      <c r="N1041" s="337" t="s">
        <v>554</v>
      </c>
      <c r="O1041" s="338">
        <v>44067.0</v>
      </c>
      <c r="P1041" s="164">
        <f t="array" ref="P1041">XLOOKUP('FACUS$'!$B1041,'perfil de pagos'!$A$4:$A$46,'perfil de pagos'!$C$4:$C$46+'FACUS$'!$D1041)</f>
        <v>44049</v>
      </c>
      <c r="Q1041" s="165">
        <f t="shared" si="2"/>
        <v>0</v>
      </c>
      <c r="R1041" s="167"/>
      <c r="S1041" s="220" t="s">
        <v>910</v>
      </c>
      <c r="T1041" s="167"/>
      <c r="U1041" s="334" t="s">
        <v>7271</v>
      </c>
      <c r="V1041" s="168">
        <f t="shared" si="3"/>
        <v>91035.96</v>
      </c>
      <c r="W1041" s="168">
        <f t="shared" si="4"/>
        <v>0</v>
      </c>
      <c r="X1041" s="168">
        <f t="shared" si="5"/>
        <v>0</v>
      </c>
      <c r="Y1041" s="168">
        <f t="shared" si="6"/>
        <v>0</v>
      </c>
      <c r="Z1041" s="168">
        <f t="shared" si="7"/>
        <v>0</v>
      </c>
      <c r="AA1041" s="168">
        <f t="shared" si="8"/>
        <v>0</v>
      </c>
      <c r="AB1041" s="168">
        <f t="shared" si="9"/>
        <v>0</v>
      </c>
    </row>
    <row r="1042" ht="14.25" customHeight="1">
      <c r="A1042" s="157" t="s">
        <v>7927</v>
      </c>
      <c r="B1042" s="169" t="s">
        <v>43</v>
      </c>
      <c r="C1042" s="169" t="s">
        <v>2023</v>
      </c>
      <c r="D1042" s="336">
        <v>44049.0</v>
      </c>
      <c r="E1042" s="157" t="s">
        <v>600</v>
      </c>
      <c r="F1042" s="160">
        <v>17880.19</v>
      </c>
      <c r="G1042" s="160">
        <v>2860.83</v>
      </c>
      <c r="H1042" s="160">
        <f t="shared" si="31"/>
        <v>20741.02</v>
      </c>
      <c r="I1042" s="172"/>
      <c r="J1042" s="169"/>
      <c r="K1042" s="172"/>
      <c r="L1042" s="172">
        <f>+'FACUS$'!$H1042-'FACUS$'!$I1042-'FACUS$'!$K1042</f>
        <v>20741.02</v>
      </c>
      <c r="M1042" s="162" t="s">
        <v>43</v>
      </c>
      <c r="N1042" s="337" t="s">
        <v>554</v>
      </c>
      <c r="O1042" s="338">
        <v>44064.0</v>
      </c>
      <c r="P1042" s="164">
        <f t="array" ref="P1042">XLOOKUP('FACUS$'!$B1042,'perfil de pagos'!$A$4:$A$46,'perfil de pagos'!$C$4:$C$46+'FACUS$'!$D1042)</f>
        <v>44074</v>
      </c>
      <c r="Q1042" s="165">
        <f t="shared" si="2"/>
        <v>0</v>
      </c>
      <c r="R1042" s="167"/>
      <c r="S1042" s="220" t="s">
        <v>910</v>
      </c>
      <c r="T1042" s="167"/>
      <c r="U1042" s="334" t="s">
        <v>7271</v>
      </c>
      <c r="V1042" s="168">
        <f t="shared" si="3"/>
        <v>20741.02</v>
      </c>
      <c r="W1042" s="168">
        <f t="shared" si="4"/>
        <v>0</v>
      </c>
      <c r="X1042" s="168">
        <f t="shared" si="5"/>
        <v>0</v>
      </c>
      <c r="Y1042" s="168">
        <f t="shared" si="6"/>
        <v>0</v>
      </c>
      <c r="Z1042" s="168">
        <f t="shared" si="7"/>
        <v>0</v>
      </c>
      <c r="AA1042" s="168">
        <f t="shared" si="8"/>
        <v>0</v>
      </c>
      <c r="AB1042" s="168">
        <f t="shared" si="9"/>
        <v>0</v>
      </c>
    </row>
    <row r="1043" ht="14.25" customHeight="1">
      <c r="A1043" s="157" t="s">
        <v>7928</v>
      </c>
      <c r="B1043" s="169" t="s">
        <v>36</v>
      </c>
      <c r="C1043" s="169" t="s">
        <v>2023</v>
      </c>
      <c r="D1043" s="336">
        <v>44049.0</v>
      </c>
      <c r="E1043" s="157" t="s">
        <v>600</v>
      </c>
      <c r="F1043" s="160">
        <v>2128.87</v>
      </c>
      <c r="G1043" s="160">
        <v>340.62</v>
      </c>
      <c r="H1043" s="160">
        <f t="shared" si="31"/>
        <v>2469.49</v>
      </c>
      <c r="I1043" s="172"/>
      <c r="J1043" s="169"/>
      <c r="K1043" s="172"/>
      <c r="L1043" s="172">
        <f>+'FACUS$'!$H1043-'FACUS$'!$I1043-'FACUS$'!$K1043</f>
        <v>2469.49</v>
      </c>
      <c r="M1043" s="162" t="s">
        <v>278</v>
      </c>
      <c r="N1043" s="337" t="s">
        <v>554</v>
      </c>
      <c r="O1043" s="338">
        <v>44078.0</v>
      </c>
      <c r="P1043" s="164">
        <f t="array" ref="P1043">XLOOKUP('FACUS$'!$B1043,'perfil de pagos'!$A$4:$A$46,'perfil de pagos'!$C$4:$C$46+'FACUS$'!$D1043)</f>
        <v>44059</v>
      </c>
      <c r="Q1043" s="165">
        <f t="shared" si="2"/>
        <v>0</v>
      </c>
      <c r="R1043" s="220" t="s">
        <v>7929</v>
      </c>
      <c r="S1043" s="220" t="s">
        <v>910</v>
      </c>
      <c r="T1043" s="167"/>
      <c r="U1043" s="334" t="s">
        <v>7271</v>
      </c>
      <c r="V1043" s="168">
        <f t="shared" si="3"/>
        <v>2469.49</v>
      </c>
      <c r="W1043" s="168">
        <f t="shared" si="4"/>
        <v>0</v>
      </c>
      <c r="X1043" s="168">
        <f t="shared" si="5"/>
        <v>0</v>
      </c>
      <c r="Y1043" s="168">
        <f t="shared" si="6"/>
        <v>0</v>
      </c>
      <c r="Z1043" s="168">
        <f t="shared" si="7"/>
        <v>0</v>
      </c>
      <c r="AA1043" s="168">
        <f t="shared" si="8"/>
        <v>0</v>
      </c>
      <c r="AB1043" s="168">
        <f t="shared" si="9"/>
        <v>0</v>
      </c>
    </row>
    <row r="1044" ht="14.25" customHeight="1">
      <c r="A1044" s="157" t="s">
        <v>7930</v>
      </c>
      <c r="B1044" s="169" t="s">
        <v>37</v>
      </c>
      <c r="C1044" s="169" t="s">
        <v>2023</v>
      </c>
      <c r="D1044" s="336">
        <v>44060.0</v>
      </c>
      <c r="E1044" s="157" t="s">
        <v>600</v>
      </c>
      <c r="F1044" s="160">
        <v>84754.88</v>
      </c>
      <c r="G1044" s="160">
        <v>13560.78</v>
      </c>
      <c r="H1044" s="160">
        <f t="shared" si="31"/>
        <v>98315.66</v>
      </c>
      <c r="I1044" s="172"/>
      <c r="J1044" s="169"/>
      <c r="K1044" s="172"/>
      <c r="L1044" s="172">
        <f>+'FACUS$'!$H1044-'FACUS$'!$I1044-'FACUS$'!$K1044</f>
        <v>98315.66</v>
      </c>
      <c r="M1044" s="162" t="s">
        <v>116</v>
      </c>
      <c r="N1044" s="337" t="s">
        <v>554</v>
      </c>
      <c r="O1044" s="338">
        <v>44081.0</v>
      </c>
      <c r="P1044" s="164">
        <f t="array" ref="P1044">XLOOKUP('FACUS$'!$B1044,'perfil de pagos'!$A$4:$A$46,'perfil de pagos'!$C$4:$C$46+'FACUS$'!$D1044)</f>
        <v>44070</v>
      </c>
      <c r="Q1044" s="165">
        <f t="shared" si="2"/>
        <v>0</v>
      </c>
      <c r="R1044" s="220" t="s">
        <v>7890</v>
      </c>
      <c r="S1044" s="167" t="s">
        <v>910</v>
      </c>
      <c r="T1044" s="167"/>
      <c r="U1044" s="334" t="s">
        <v>7271</v>
      </c>
      <c r="V1044" s="168">
        <f t="shared" si="3"/>
        <v>98315.66</v>
      </c>
      <c r="W1044" s="168">
        <f t="shared" si="4"/>
        <v>0</v>
      </c>
      <c r="X1044" s="168">
        <f t="shared" si="5"/>
        <v>0</v>
      </c>
      <c r="Y1044" s="168">
        <f t="shared" si="6"/>
        <v>0</v>
      </c>
      <c r="Z1044" s="168">
        <f t="shared" si="7"/>
        <v>0</v>
      </c>
      <c r="AA1044" s="168">
        <f t="shared" si="8"/>
        <v>0</v>
      </c>
      <c r="AB1044" s="168">
        <f t="shared" si="9"/>
        <v>0</v>
      </c>
    </row>
    <row r="1045" ht="14.25" customHeight="1">
      <c r="A1045" s="157" t="s">
        <v>7931</v>
      </c>
      <c r="B1045" s="169" t="s">
        <v>41</v>
      </c>
      <c r="C1045" s="169" t="s">
        <v>2023</v>
      </c>
      <c r="D1045" s="336">
        <v>44061.0</v>
      </c>
      <c r="E1045" s="157" t="s">
        <v>600</v>
      </c>
      <c r="F1045" s="160">
        <v>28613.22</v>
      </c>
      <c r="G1045" s="160">
        <v>4578.12</v>
      </c>
      <c r="H1045" s="160">
        <f t="shared" si="31"/>
        <v>33191.34</v>
      </c>
      <c r="I1045" s="172"/>
      <c r="J1045" s="169"/>
      <c r="K1045" s="172"/>
      <c r="L1045" s="172">
        <f>+'FACUS$'!$H1045-'FACUS$'!$I1045-'FACUS$'!$K1045</f>
        <v>33191.34</v>
      </c>
      <c r="M1045" s="162" t="s">
        <v>875</v>
      </c>
      <c r="N1045" s="337" t="s">
        <v>554</v>
      </c>
      <c r="O1045" s="338">
        <v>44120.0</v>
      </c>
      <c r="P1045" s="164">
        <f t="array" ref="P1045">XLOOKUP('FACUS$'!$B1045,'perfil de pagos'!$A$4:$A$46,'perfil de pagos'!$C$4:$C$46+'FACUS$'!$D1045)</f>
        <v>44071</v>
      </c>
      <c r="Q1045" s="165">
        <f t="shared" si="2"/>
        <v>0</v>
      </c>
      <c r="R1045" s="167"/>
      <c r="S1045" s="167"/>
      <c r="T1045" s="167"/>
      <c r="U1045" s="334" t="s">
        <v>7271</v>
      </c>
      <c r="V1045" s="168">
        <f t="shared" si="3"/>
        <v>33191.34</v>
      </c>
      <c r="W1045" s="168">
        <f t="shared" si="4"/>
        <v>0</v>
      </c>
      <c r="X1045" s="168">
        <f t="shared" si="5"/>
        <v>0</v>
      </c>
      <c r="Y1045" s="168">
        <f t="shared" si="6"/>
        <v>0</v>
      </c>
      <c r="Z1045" s="168">
        <f t="shared" si="7"/>
        <v>0</v>
      </c>
      <c r="AA1045" s="168">
        <f t="shared" si="8"/>
        <v>0</v>
      </c>
      <c r="AB1045" s="168">
        <f t="shared" si="9"/>
        <v>0</v>
      </c>
    </row>
    <row r="1046" ht="14.25" customHeight="1">
      <c r="A1046" s="157" t="s">
        <v>7932</v>
      </c>
      <c r="B1046" s="169" t="s">
        <v>127</v>
      </c>
      <c r="C1046" s="169"/>
      <c r="D1046" s="336"/>
      <c r="E1046" s="157"/>
      <c r="F1046" s="160"/>
      <c r="G1046" s="160"/>
      <c r="H1046" s="160">
        <f t="shared" si="31"/>
        <v>0</v>
      </c>
      <c r="I1046" s="172"/>
      <c r="J1046" s="169"/>
      <c r="K1046" s="172"/>
      <c r="L1046" s="172">
        <f>+'FACUS$'!$H1046-'FACUS$'!$I1046-'FACUS$'!$K1046</f>
        <v>0</v>
      </c>
      <c r="M1046" s="162"/>
      <c r="N1046" s="337" t="s">
        <v>127</v>
      </c>
      <c r="O1046" s="338"/>
      <c r="P1046" s="164" t="str">
        <f t="array" ref="P1046">XLOOKUP('FACUS$'!$B1046,'perfil de pagos'!$A$4:$A$46,'perfil de pagos'!$C$4:$C$46+'FACUS$'!$D1046)</f>
        <v>#N/A</v>
      </c>
      <c r="Q1046" s="165" t="str">
        <f t="shared" si="2"/>
        <v>N/A</v>
      </c>
      <c r="R1046" s="167"/>
      <c r="S1046" s="167"/>
      <c r="T1046" s="167"/>
      <c r="U1046" s="334" t="s">
        <v>7271</v>
      </c>
      <c r="V1046" s="168">
        <f t="shared" si="3"/>
        <v>0</v>
      </c>
      <c r="W1046" s="168">
        <f t="shared" si="4"/>
        <v>0</v>
      </c>
      <c r="X1046" s="168">
        <f t="shared" si="5"/>
        <v>0</v>
      </c>
      <c r="Y1046" s="168">
        <f t="shared" si="6"/>
        <v>0</v>
      </c>
      <c r="Z1046" s="168">
        <f t="shared" si="7"/>
        <v>0</v>
      </c>
      <c r="AA1046" s="168">
        <f t="shared" si="8"/>
        <v>0</v>
      </c>
      <c r="AB1046" s="168">
        <f t="shared" si="9"/>
        <v>0</v>
      </c>
    </row>
    <row r="1047" ht="14.25" customHeight="1">
      <c r="A1047" s="157" t="s">
        <v>7933</v>
      </c>
      <c r="B1047" s="169" t="s">
        <v>127</v>
      </c>
      <c r="C1047" s="169"/>
      <c r="D1047" s="336"/>
      <c r="E1047" s="157"/>
      <c r="F1047" s="160"/>
      <c r="G1047" s="160"/>
      <c r="H1047" s="160">
        <f t="shared" si="31"/>
        <v>0</v>
      </c>
      <c r="I1047" s="172"/>
      <c r="J1047" s="169"/>
      <c r="K1047" s="172"/>
      <c r="L1047" s="172">
        <f>+'FACUS$'!$H1047-'FACUS$'!$I1047-'FACUS$'!$K1047</f>
        <v>0</v>
      </c>
      <c r="M1047" s="162"/>
      <c r="N1047" s="337" t="s">
        <v>127</v>
      </c>
      <c r="O1047" s="338"/>
      <c r="P1047" s="164" t="str">
        <f t="array" ref="P1047">XLOOKUP('FACUS$'!$B1047,'perfil de pagos'!$A$4:$A$46,'perfil de pagos'!$C$4:$C$46+'FACUS$'!$D1047)</f>
        <v>#N/A</v>
      </c>
      <c r="Q1047" s="165" t="str">
        <f t="shared" si="2"/>
        <v>N/A</v>
      </c>
      <c r="R1047" s="167"/>
      <c r="S1047" s="167"/>
      <c r="T1047" s="167"/>
      <c r="U1047" s="334" t="s">
        <v>7271</v>
      </c>
      <c r="V1047" s="168">
        <f t="shared" si="3"/>
        <v>0</v>
      </c>
      <c r="W1047" s="168">
        <f t="shared" si="4"/>
        <v>0</v>
      </c>
      <c r="X1047" s="168">
        <f t="shared" si="5"/>
        <v>0</v>
      </c>
      <c r="Y1047" s="168">
        <f t="shared" si="6"/>
        <v>0</v>
      </c>
      <c r="Z1047" s="168">
        <f t="shared" si="7"/>
        <v>0</v>
      </c>
      <c r="AA1047" s="168">
        <f t="shared" si="8"/>
        <v>0</v>
      </c>
      <c r="AB1047" s="168">
        <f t="shared" si="9"/>
        <v>0</v>
      </c>
    </row>
    <row r="1048" ht="14.25" customHeight="1">
      <c r="A1048" s="157" t="s">
        <v>7934</v>
      </c>
      <c r="B1048" s="169" t="s">
        <v>18</v>
      </c>
      <c r="C1048" s="169" t="s">
        <v>1950</v>
      </c>
      <c r="D1048" s="336">
        <v>44064.0</v>
      </c>
      <c r="E1048" s="157" t="s">
        <v>600</v>
      </c>
      <c r="F1048" s="160">
        <v>8353.4</v>
      </c>
      <c r="G1048" s="160">
        <v>1336.54</v>
      </c>
      <c r="H1048" s="160">
        <f t="shared" si="31"/>
        <v>9689.94</v>
      </c>
      <c r="I1048" s="172"/>
      <c r="J1048" s="169"/>
      <c r="K1048" s="172"/>
      <c r="L1048" s="172">
        <f>+'FACUS$'!$H1048-'FACUS$'!$I1048-'FACUS$'!$K1048</f>
        <v>9689.94</v>
      </c>
      <c r="M1048" s="162" t="s">
        <v>586</v>
      </c>
      <c r="N1048" s="337" t="s">
        <v>554</v>
      </c>
      <c r="O1048" s="338">
        <v>44081.0</v>
      </c>
      <c r="P1048" s="164">
        <f t="array" ref="P1048">XLOOKUP('FACUS$'!$B1048,'perfil de pagos'!$A$4:$A$46,'perfil de pagos'!$C$4:$C$46+'FACUS$'!$D1048)</f>
        <v>44074</v>
      </c>
      <c r="Q1048" s="165">
        <f t="shared" si="2"/>
        <v>0</v>
      </c>
      <c r="R1048" s="167"/>
      <c r="S1048" s="167" t="s">
        <v>910</v>
      </c>
      <c r="T1048" s="167"/>
      <c r="U1048" s="334" t="s">
        <v>7271</v>
      </c>
      <c r="V1048" s="168">
        <f t="shared" si="3"/>
        <v>9689.94</v>
      </c>
      <c r="W1048" s="168">
        <f t="shared" si="4"/>
        <v>0</v>
      </c>
      <c r="X1048" s="168">
        <f t="shared" si="5"/>
        <v>0</v>
      </c>
      <c r="Y1048" s="168">
        <f t="shared" si="6"/>
        <v>0</v>
      </c>
      <c r="Z1048" s="168">
        <f t="shared" si="7"/>
        <v>0</v>
      </c>
      <c r="AA1048" s="168">
        <f t="shared" si="8"/>
        <v>0</v>
      </c>
      <c r="AB1048" s="168">
        <f t="shared" si="9"/>
        <v>0</v>
      </c>
    </row>
    <row r="1049" ht="14.25" customHeight="1">
      <c r="A1049" s="157" t="s">
        <v>7935</v>
      </c>
      <c r="B1049" s="169" t="s">
        <v>18</v>
      </c>
      <c r="C1049" s="169" t="s">
        <v>2023</v>
      </c>
      <c r="D1049" s="336">
        <v>44064.0</v>
      </c>
      <c r="E1049" s="157" t="s">
        <v>600</v>
      </c>
      <c r="F1049" s="160">
        <v>9504.81</v>
      </c>
      <c r="G1049" s="160">
        <v>1520.77</v>
      </c>
      <c r="H1049" s="160">
        <f t="shared" si="31"/>
        <v>11025.58</v>
      </c>
      <c r="I1049" s="172"/>
      <c r="J1049" s="169"/>
      <c r="K1049" s="172"/>
      <c r="L1049" s="172">
        <f>+'FACUS$'!$H1049-'FACUS$'!$I1049-'FACUS$'!$K1049</f>
        <v>11025.58</v>
      </c>
      <c r="M1049" s="162" t="s">
        <v>586</v>
      </c>
      <c r="N1049" s="337" t="s">
        <v>554</v>
      </c>
      <c r="O1049" s="338">
        <v>44081.0</v>
      </c>
      <c r="P1049" s="164">
        <f t="array" ref="P1049">XLOOKUP('FACUS$'!$B1049,'perfil de pagos'!$A$4:$A$46,'perfil de pagos'!$C$4:$C$46+'FACUS$'!$D1049)</f>
        <v>44074</v>
      </c>
      <c r="Q1049" s="165">
        <f t="shared" si="2"/>
        <v>0</v>
      </c>
      <c r="R1049" s="167"/>
      <c r="S1049" s="167" t="s">
        <v>910</v>
      </c>
      <c r="T1049" s="167"/>
      <c r="U1049" s="334" t="s">
        <v>7271</v>
      </c>
      <c r="V1049" s="168">
        <f t="shared" si="3"/>
        <v>11025.58</v>
      </c>
      <c r="W1049" s="168">
        <f t="shared" si="4"/>
        <v>0</v>
      </c>
      <c r="X1049" s="168">
        <f t="shared" si="5"/>
        <v>0</v>
      </c>
      <c r="Y1049" s="168">
        <f t="shared" si="6"/>
        <v>0</v>
      </c>
      <c r="Z1049" s="168">
        <f t="shared" si="7"/>
        <v>0</v>
      </c>
      <c r="AA1049" s="168">
        <f t="shared" si="8"/>
        <v>0</v>
      </c>
      <c r="AB1049" s="168">
        <f t="shared" si="9"/>
        <v>0</v>
      </c>
    </row>
    <row r="1050" ht="14.25" customHeight="1">
      <c r="A1050" s="157" t="s">
        <v>7936</v>
      </c>
      <c r="B1050" s="169" t="s">
        <v>30</v>
      </c>
      <c r="C1050" s="169" t="s">
        <v>7937</v>
      </c>
      <c r="D1050" s="336">
        <v>44064.0</v>
      </c>
      <c r="E1050" s="157" t="s">
        <v>600</v>
      </c>
      <c r="F1050" s="160">
        <v>3000.0</v>
      </c>
      <c r="G1050" s="160">
        <v>480.0</v>
      </c>
      <c r="H1050" s="160">
        <f t="shared" si="31"/>
        <v>3480</v>
      </c>
      <c r="I1050" s="172"/>
      <c r="J1050" s="169"/>
      <c r="K1050" s="172"/>
      <c r="L1050" s="172">
        <f>+'FACUS$'!$H1050-'FACUS$'!$I1050-'FACUS$'!$K1050</f>
        <v>3480</v>
      </c>
      <c r="M1050" s="162" t="s">
        <v>7415</v>
      </c>
      <c r="N1050" s="337" t="s">
        <v>127</v>
      </c>
      <c r="O1050" s="338">
        <v>45063.0</v>
      </c>
      <c r="P1050" s="164">
        <f t="array" ref="P1050">XLOOKUP('FACUS$'!$B1050,'perfil de pagos'!$A$4:$A$46,'perfil de pagos'!$C$4:$C$46+'FACUS$'!$D1050)</f>
        <v>44074</v>
      </c>
      <c r="Q1050" s="165" t="str">
        <f t="shared" si="2"/>
        <v>N/A</v>
      </c>
      <c r="R1050" s="220" t="s">
        <v>7747</v>
      </c>
      <c r="S1050" s="167"/>
      <c r="T1050" s="167"/>
      <c r="U1050" s="334" t="s">
        <v>7271</v>
      </c>
      <c r="V1050" s="168">
        <f t="shared" si="3"/>
        <v>0</v>
      </c>
      <c r="W1050" s="168">
        <f t="shared" si="4"/>
        <v>0</v>
      </c>
      <c r="X1050" s="168">
        <f t="shared" si="5"/>
        <v>0</v>
      </c>
      <c r="Y1050" s="168">
        <f t="shared" si="6"/>
        <v>0</v>
      </c>
      <c r="Z1050" s="168">
        <f t="shared" si="7"/>
        <v>0</v>
      </c>
      <c r="AA1050" s="168">
        <f t="shared" si="8"/>
        <v>0</v>
      </c>
      <c r="AB1050" s="168">
        <f t="shared" si="9"/>
        <v>3480</v>
      </c>
    </row>
    <row r="1051" ht="14.25" customHeight="1">
      <c r="A1051" s="157" t="s">
        <v>7938</v>
      </c>
      <c r="B1051" s="169" t="s">
        <v>36</v>
      </c>
      <c r="C1051" s="169" t="s">
        <v>7939</v>
      </c>
      <c r="D1051" s="336">
        <v>44064.0</v>
      </c>
      <c r="E1051" s="157" t="s">
        <v>600</v>
      </c>
      <c r="F1051" s="160">
        <v>1226.5</v>
      </c>
      <c r="G1051" s="160">
        <v>196.24</v>
      </c>
      <c r="H1051" s="160">
        <f t="shared" si="31"/>
        <v>1422.74</v>
      </c>
      <c r="I1051" s="172"/>
      <c r="J1051" s="169"/>
      <c r="K1051" s="172"/>
      <c r="L1051" s="172">
        <f>+'FACUS$'!$H1051-'FACUS$'!$I1051-'FACUS$'!$K1051</f>
        <v>1422.74</v>
      </c>
      <c r="M1051" s="162" t="s">
        <v>278</v>
      </c>
      <c r="N1051" s="337" t="s">
        <v>554</v>
      </c>
      <c r="O1051" s="338">
        <v>44169.0</v>
      </c>
      <c r="P1051" s="164">
        <f t="array" ref="P1051">XLOOKUP('FACUS$'!$B1051,'perfil de pagos'!$A$4:$A$46,'perfil de pagos'!$C$4:$C$46+'FACUS$'!$D1051)</f>
        <v>44074</v>
      </c>
      <c r="Q1051" s="165">
        <f t="shared" si="2"/>
        <v>0</v>
      </c>
      <c r="R1051" s="167" t="s">
        <v>7857</v>
      </c>
      <c r="S1051" s="220" t="s">
        <v>910</v>
      </c>
      <c r="T1051" s="167"/>
      <c r="U1051" s="334" t="s">
        <v>7271</v>
      </c>
      <c r="V1051" s="168">
        <f t="shared" si="3"/>
        <v>1422.74</v>
      </c>
      <c r="W1051" s="168">
        <f t="shared" si="4"/>
        <v>0</v>
      </c>
      <c r="X1051" s="168">
        <f t="shared" si="5"/>
        <v>0</v>
      </c>
      <c r="Y1051" s="168">
        <f t="shared" si="6"/>
        <v>0</v>
      </c>
      <c r="Z1051" s="168">
        <f t="shared" si="7"/>
        <v>0</v>
      </c>
      <c r="AA1051" s="168">
        <f t="shared" si="8"/>
        <v>0</v>
      </c>
      <c r="AB1051" s="168">
        <f t="shared" si="9"/>
        <v>0</v>
      </c>
    </row>
    <row r="1052" ht="14.25" customHeight="1">
      <c r="A1052" s="157" t="s">
        <v>7940</v>
      </c>
      <c r="B1052" s="169" t="s">
        <v>43</v>
      </c>
      <c r="C1052" s="169" t="s">
        <v>2040</v>
      </c>
      <c r="D1052" s="336">
        <v>44067.0</v>
      </c>
      <c r="E1052" s="157" t="s">
        <v>600</v>
      </c>
      <c r="F1052" s="160">
        <v>20059.65</v>
      </c>
      <c r="G1052" s="160">
        <v>3209.54</v>
      </c>
      <c r="H1052" s="160">
        <f t="shared" si="31"/>
        <v>23269.19</v>
      </c>
      <c r="I1052" s="172"/>
      <c r="J1052" s="169"/>
      <c r="K1052" s="172"/>
      <c r="L1052" s="172">
        <f>+'FACUS$'!$H1052-'FACUS$'!$I1052-'FACUS$'!$K1052</f>
        <v>23269.19</v>
      </c>
      <c r="M1052" s="162" t="s">
        <v>43</v>
      </c>
      <c r="N1052" s="337" t="s">
        <v>554</v>
      </c>
      <c r="O1052" s="338">
        <v>44085.0</v>
      </c>
      <c r="P1052" s="164">
        <f t="array" ref="P1052">XLOOKUP('FACUS$'!$B1052,'perfil de pagos'!$A$4:$A$46,'perfil de pagos'!$C$4:$C$46+'FACUS$'!$D1052)</f>
        <v>44092</v>
      </c>
      <c r="Q1052" s="165">
        <f t="shared" si="2"/>
        <v>0</v>
      </c>
      <c r="R1052" s="167"/>
      <c r="S1052" s="167" t="s">
        <v>910</v>
      </c>
      <c r="T1052" s="167"/>
      <c r="U1052" s="334" t="s">
        <v>7271</v>
      </c>
      <c r="V1052" s="168">
        <f t="shared" si="3"/>
        <v>23269.19</v>
      </c>
      <c r="W1052" s="168">
        <f t="shared" si="4"/>
        <v>0</v>
      </c>
      <c r="X1052" s="168">
        <f t="shared" si="5"/>
        <v>0</v>
      </c>
      <c r="Y1052" s="168">
        <f t="shared" si="6"/>
        <v>0</v>
      </c>
      <c r="Z1052" s="168">
        <f t="shared" si="7"/>
        <v>0</v>
      </c>
      <c r="AA1052" s="168">
        <f t="shared" si="8"/>
        <v>0</v>
      </c>
      <c r="AB1052" s="168">
        <f t="shared" si="9"/>
        <v>0</v>
      </c>
    </row>
    <row r="1053" ht="14.25" customHeight="1">
      <c r="A1053" s="157" t="s">
        <v>7941</v>
      </c>
      <c r="B1053" s="169" t="s">
        <v>36</v>
      </c>
      <c r="C1053" s="169" t="s">
        <v>7942</v>
      </c>
      <c r="D1053" s="336">
        <v>44067.0</v>
      </c>
      <c r="E1053" s="157" t="s">
        <v>600</v>
      </c>
      <c r="F1053" s="160">
        <v>2526.4</v>
      </c>
      <c r="G1053" s="160">
        <v>404.22</v>
      </c>
      <c r="H1053" s="160">
        <f t="shared" si="31"/>
        <v>2930.62</v>
      </c>
      <c r="I1053" s="172"/>
      <c r="J1053" s="169"/>
      <c r="K1053" s="172"/>
      <c r="L1053" s="172">
        <f>+'FACUS$'!$H1053-'FACUS$'!$I1053-'FACUS$'!$K1053</f>
        <v>2930.62</v>
      </c>
      <c r="M1053" s="162" t="s">
        <v>278</v>
      </c>
      <c r="N1053" s="337" t="s">
        <v>554</v>
      </c>
      <c r="O1053" s="338">
        <v>44081.0</v>
      </c>
      <c r="P1053" s="164">
        <f t="array" ref="P1053">XLOOKUP('FACUS$'!$B1053,'perfil de pagos'!$A$4:$A$46,'perfil de pagos'!$C$4:$C$46+'FACUS$'!$D1053)</f>
        <v>44077</v>
      </c>
      <c r="Q1053" s="165">
        <f t="shared" si="2"/>
        <v>0</v>
      </c>
      <c r="R1053" s="220" t="s">
        <v>7943</v>
      </c>
      <c r="S1053" s="220" t="s">
        <v>910</v>
      </c>
      <c r="T1053" s="167"/>
      <c r="U1053" s="334" t="s">
        <v>7271</v>
      </c>
      <c r="V1053" s="168">
        <f t="shared" si="3"/>
        <v>2930.62</v>
      </c>
      <c r="W1053" s="168">
        <f t="shared" si="4"/>
        <v>0</v>
      </c>
      <c r="X1053" s="168">
        <f t="shared" si="5"/>
        <v>0</v>
      </c>
      <c r="Y1053" s="168">
        <f t="shared" si="6"/>
        <v>0</v>
      </c>
      <c r="Z1053" s="168">
        <f t="shared" si="7"/>
        <v>0</v>
      </c>
      <c r="AA1053" s="168">
        <f t="shared" si="8"/>
        <v>0</v>
      </c>
      <c r="AB1053" s="168">
        <f t="shared" si="9"/>
        <v>0</v>
      </c>
    </row>
    <row r="1054" ht="14.25" customHeight="1">
      <c r="A1054" s="157" t="s">
        <v>7944</v>
      </c>
      <c r="B1054" s="169" t="s">
        <v>18</v>
      </c>
      <c r="C1054" s="169" t="s">
        <v>2040</v>
      </c>
      <c r="D1054" s="336">
        <v>44068.0</v>
      </c>
      <c r="E1054" s="157" t="s">
        <v>600</v>
      </c>
      <c r="F1054" s="160">
        <v>10574.78</v>
      </c>
      <c r="G1054" s="160">
        <v>1691.96</v>
      </c>
      <c r="H1054" s="160">
        <f t="shared" si="31"/>
        <v>12266.74</v>
      </c>
      <c r="I1054" s="172"/>
      <c r="J1054" s="169"/>
      <c r="K1054" s="172"/>
      <c r="L1054" s="172">
        <f>+'FACUS$'!$H1054-'FACUS$'!$I1054-'FACUS$'!$K1054</f>
        <v>12266.74</v>
      </c>
      <c r="M1054" s="162" t="s">
        <v>586</v>
      </c>
      <c r="N1054" s="337" t="s">
        <v>554</v>
      </c>
      <c r="O1054" s="338">
        <v>44081.0</v>
      </c>
      <c r="P1054" s="164">
        <f t="array" ref="P1054">XLOOKUP('FACUS$'!$B1054,'perfil de pagos'!$A$4:$A$46,'perfil de pagos'!$C$4:$C$46+'FACUS$'!$D1054)</f>
        <v>44078</v>
      </c>
      <c r="Q1054" s="165">
        <f t="shared" si="2"/>
        <v>0</v>
      </c>
      <c r="R1054" s="167"/>
      <c r="S1054" s="167" t="s">
        <v>910</v>
      </c>
      <c r="T1054" s="167"/>
      <c r="U1054" s="334" t="s">
        <v>7271</v>
      </c>
      <c r="V1054" s="168">
        <f t="shared" si="3"/>
        <v>12266.74</v>
      </c>
      <c r="W1054" s="168">
        <f t="shared" si="4"/>
        <v>0</v>
      </c>
      <c r="X1054" s="168">
        <f t="shared" si="5"/>
        <v>0</v>
      </c>
      <c r="Y1054" s="168">
        <f t="shared" si="6"/>
        <v>0</v>
      </c>
      <c r="Z1054" s="168">
        <f t="shared" si="7"/>
        <v>0</v>
      </c>
      <c r="AA1054" s="168">
        <f t="shared" si="8"/>
        <v>0</v>
      </c>
      <c r="AB1054" s="168">
        <f t="shared" si="9"/>
        <v>0</v>
      </c>
    </row>
    <row r="1055" ht="14.25" customHeight="1">
      <c r="A1055" s="157" t="s">
        <v>7945</v>
      </c>
      <c r="B1055" s="169" t="s">
        <v>37</v>
      </c>
      <c r="C1055" s="169" t="s">
        <v>2040</v>
      </c>
      <c r="D1055" s="336">
        <v>44068.0</v>
      </c>
      <c r="E1055" s="157" t="s">
        <v>600</v>
      </c>
      <c r="F1055" s="160">
        <v>73414.58</v>
      </c>
      <c r="G1055" s="160">
        <v>11746.33</v>
      </c>
      <c r="H1055" s="160">
        <f t="shared" si="31"/>
        <v>85160.91</v>
      </c>
      <c r="I1055" s="172"/>
      <c r="J1055" s="169"/>
      <c r="K1055" s="172"/>
      <c r="L1055" s="172">
        <f>+'FACUS$'!$H1055-'FACUS$'!$I1055-'FACUS$'!$K1055</f>
        <v>85160.91</v>
      </c>
      <c r="M1055" s="162" t="s">
        <v>116</v>
      </c>
      <c r="N1055" s="337" t="s">
        <v>554</v>
      </c>
      <c r="O1055" s="338">
        <v>44088.0</v>
      </c>
      <c r="P1055" s="164">
        <f t="array" ref="P1055">XLOOKUP('FACUS$'!$B1055,'perfil de pagos'!$A$4:$A$46,'perfil de pagos'!$C$4:$C$46+'FACUS$'!$D1055)</f>
        <v>44078</v>
      </c>
      <c r="Q1055" s="165">
        <f t="shared" si="2"/>
        <v>0</v>
      </c>
      <c r="R1055" s="167" t="s">
        <v>7910</v>
      </c>
      <c r="S1055" s="220" t="s">
        <v>910</v>
      </c>
      <c r="T1055" s="167"/>
      <c r="U1055" s="334" t="s">
        <v>7271</v>
      </c>
      <c r="V1055" s="168">
        <f t="shared" si="3"/>
        <v>85160.91</v>
      </c>
      <c r="W1055" s="168">
        <f t="shared" si="4"/>
        <v>0</v>
      </c>
      <c r="X1055" s="168">
        <f t="shared" si="5"/>
        <v>0</v>
      </c>
      <c r="Y1055" s="168">
        <f t="shared" si="6"/>
        <v>0</v>
      </c>
      <c r="Z1055" s="168">
        <f t="shared" si="7"/>
        <v>0</v>
      </c>
      <c r="AA1055" s="168">
        <f t="shared" si="8"/>
        <v>0</v>
      </c>
      <c r="AB1055" s="168">
        <f t="shared" si="9"/>
        <v>0</v>
      </c>
    </row>
    <row r="1056" ht="14.25" customHeight="1">
      <c r="A1056" s="157" t="s">
        <v>7946</v>
      </c>
      <c r="B1056" s="169" t="s">
        <v>41</v>
      </c>
      <c r="C1056" s="169" t="s">
        <v>2040</v>
      </c>
      <c r="D1056" s="336">
        <v>44070.0</v>
      </c>
      <c r="E1056" s="157" t="s">
        <v>600</v>
      </c>
      <c r="F1056" s="160">
        <v>17107.79</v>
      </c>
      <c r="G1056" s="160">
        <v>2737.25</v>
      </c>
      <c r="H1056" s="160">
        <f t="shared" si="31"/>
        <v>19845.04</v>
      </c>
      <c r="I1056" s="172"/>
      <c r="J1056" s="169"/>
      <c r="K1056" s="172"/>
      <c r="L1056" s="172">
        <f>+'FACUS$'!$H1056-'FACUS$'!$I1056-'FACUS$'!$K1056</f>
        <v>19845.04</v>
      </c>
      <c r="M1056" s="162" t="s">
        <v>875</v>
      </c>
      <c r="N1056" s="337" t="s">
        <v>554</v>
      </c>
      <c r="O1056" s="338">
        <v>44120.0</v>
      </c>
      <c r="P1056" s="164">
        <f t="array" ref="P1056">XLOOKUP('FACUS$'!$B1056,'perfil de pagos'!$A$4:$A$46,'perfil de pagos'!$C$4:$C$46+'FACUS$'!$D1056)</f>
        <v>44080</v>
      </c>
      <c r="Q1056" s="165">
        <f t="shared" si="2"/>
        <v>0</v>
      </c>
      <c r="R1056" s="167"/>
      <c r="S1056" s="167"/>
      <c r="T1056" s="167"/>
      <c r="U1056" s="334" t="s">
        <v>7271</v>
      </c>
      <c r="V1056" s="168">
        <f t="shared" si="3"/>
        <v>19845.04</v>
      </c>
      <c r="W1056" s="168">
        <f t="shared" si="4"/>
        <v>0</v>
      </c>
      <c r="X1056" s="168">
        <f t="shared" si="5"/>
        <v>0</v>
      </c>
      <c r="Y1056" s="168">
        <f t="shared" si="6"/>
        <v>0</v>
      </c>
      <c r="Z1056" s="168">
        <f t="shared" si="7"/>
        <v>0</v>
      </c>
      <c r="AA1056" s="168">
        <f t="shared" si="8"/>
        <v>0</v>
      </c>
      <c r="AB1056" s="168">
        <f t="shared" si="9"/>
        <v>0</v>
      </c>
    </row>
    <row r="1057" ht="14.25" customHeight="1">
      <c r="A1057" s="157" t="s">
        <v>7947</v>
      </c>
      <c r="B1057" s="169" t="s">
        <v>43</v>
      </c>
      <c r="C1057" s="169" t="s">
        <v>2059</v>
      </c>
      <c r="D1057" s="336">
        <v>44076.0</v>
      </c>
      <c r="E1057" s="157" t="s">
        <v>600</v>
      </c>
      <c r="F1057" s="160">
        <v>27040.51</v>
      </c>
      <c r="G1057" s="160">
        <v>4326.48</v>
      </c>
      <c r="H1057" s="160">
        <f t="shared" si="31"/>
        <v>31366.99</v>
      </c>
      <c r="I1057" s="172"/>
      <c r="J1057" s="169"/>
      <c r="K1057" s="172"/>
      <c r="L1057" s="172">
        <f>+'FACUS$'!$H1057-'FACUS$'!$I1057-'FACUS$'!$K1057</f>
        <v>31366.99</v>
      </c>
      <c r="M1057" s="162" t="s">
        <v>43</v>
      </c>
      <c r="N1057" s="337" t="s">
        <v>554</v>
      </c>
      <c r="O1057" s="338">
        <v>44085.0</v>
      </c>
      <c r="P1057" s="164">
        <f t="array" ref="P1057">XLOOKUP('FACUS$'!$B1057,'perfil de pagos'!$A$4:$A$46,'perfil de pagos'!$C$4:$C$46+'FACUS$'!$D1057)</f>
        <v>44101</v>
      </c>
      <c r="Q1057" s="165">
        <f t="shared" si="2"/>
        <v>0</v>
      </c>
      <c r="R1057" s="167"/>
      <c r="S1057" s="167" t="s">
        <v>910</v>
      </c>
      <c r="T1057" s="167"/>
      <c r="U1057" s="334" t="s">
        <v>7271</v>
      </c>
      <c r="V1057" s="168">
        <f t="shared" si="3"/>
        <v>31366.99</v>
      </c>
      <c r="W1057" s="168">
        <f t="shared" si="4"/>
        <v>0</v>
      </c>
      <c r="X1057" s="168">
        <f t="shared" si="5"/>
        <v>0</v>
      </c>
      <c r="Y1057" s="168">
        <f t="shared" si="6"/>
        <v>0</v>
      </c>
      <c r="Z1057" s="168">
        <f t="shared" si="7"/>
        <v>0</v>
      </c>
      <c r="AA1057" s="168">
        <f t="shared" si="8"/>
        <v>0</v>
      </c>
      <c r="AB1057" s="168">
        <f t="shared" si="9"/>
        <v>0</v>
      </c>
    </row>
    <row r="1058" ht="14.25" customHeight="1">
      <c r="A1058" s="157" t="s">
        <v>7948</v>
      </c>
      <c r="B1058" s="169" t="s">
        <v>36</v>
      </c>
      <c r="C1058" s="169" t="s">
        <v>2059</v>
      </c>
      <c r="D1058" s="336">
        <v>44076.0</v>
      </c>
      <c r="E1058" s="157" t="s">
        <v>600</v>
      </c>
      <c r="F1058" s="160">
        <v>2779.19</v>
      </c>
      <c r="G1058" s="160">
        <v>444.67</v>
      </c>
      <c r="H1058" s="160">
        <f t="shared" si="31"/>
        <v>3223.86</v>
      </c>
      <c r="I1058" s="172"/>
      <c r="J1058" s="169"/>
      <c r="K1058" s="172"/>
      <c r="L1058" s="172">
        <f>+'FACUS$'!$H1058-'FACUS$'!$I1058-'FACUS$'!$K1058</f>
        <v>3223.86</v>
      </c>
      <c r="M1058" s="162" t="s">
        <v>278</v>
      </c>
      <c r="N1058" s="337" t="s">
        <v>554</v>
      </c>
      <c r="O1058" s="338">
        <v>44089.0</v>
      </c>
      <c r="P1058" s="164">
        <f t="array" ref="P1058">XLOOKUP('FACUS$'!$B1058,'perfil de pagos'!$A$4:$A$46,'perfil de pagos'!$C$4:$C$46+'FACUS$'!$D1058)</f>
        <v>44086</v>
      </c>
      <c r="Q1058" s="165">
        <f t="shared" si="2"/>
        <v>0</v>
      </c>
      <c r="R1058" s="167" t="s">
        <v>7949</v>
      </c>
      <c r="S1058" s="220" t="s">
        <v>910</v>
      </c>
      <c r="T1058" s="167"/>
      <c r="U1058" s="334" t="s">
        <v>7271</v>
      </c>
      <c r="V1058" s="168">
        <f t="shared" si="3"/>
        <v>3223.86</v>
      </c>
      <c r="W1058" s="168">
        <f t="shared" si="4"/>
        <v>0</v>
      </c>
      <c r="X1058" s="168">
        <f t="shared" si="5"/>
        <v>0</v>
      </c>
      <c r="Y1058" s="168">
        <f t="shared" si="6"/>
        <v>0</v>
      </c>
      <c r="Z1058" s="168">
        <f t="shared" si="7"/>
        <v>0</v>
      </c>
      <c r="AA1058" s="168">
        <f t="shared" si="8"/>
        <v>0</v>
      </c>
      <c r="AB1058" s="168">
        <f t="shared" si="9"/>
        <v>0</v>
      </c>
    </row>
    <row r="1059" ht="14.25" customHeight="1">
      <c r="A1059" s="157" t="s">
        <v>7950</v>
      </c>
      <c r="B1059" s="169" t="s">
        <v>35</v>
      </c>
      <c r="C1059" s="169" t="s">
        <v>2059</v>
      </c>
      <c r="D1059" s="336">
        <v>44076.0</v>
      </c>
      <c r="E1059" s="157" t="s">
        <v>600</v>
      </c>
      <c r="F1059" s="160"/>
      <c r="G1059" s="160"/>
      <c r="H1059" s="160">
        <f t="shared" si="31"/>
        <v>0</v>
      </c>
      <c r="I1059" s="172"/>
      <c r="J1059" s="169"/>
      <c r="K1059" s="172"/>
      <c r="L1059" s="172">
        <f>+'FACUS$'!$H1059-'FACUS$'!$I1059-'FACUS$'!$K1059</f>
        <v>0</v>
      </c>
      <c r="M1059" s="162"/>
      <c r="N1059" s="337" t="s">
        <v>127</v>
      </c>
      <c r="O1059" s="338"/>
      <c r="P1059" s="164">
        <f t="array" ref="P1059">XLOOKUP('FACUS$'!$B1059,'perfil de pagos'!$A$4:$A$46,'perfil de pagos'!$C$4:$C$46+'FACUS$'!$D1059)</f>
        <v>44086</v>
      </c>
      <c r="Q1059" s="165" t="str">
        <f t="shared" si="2"/>
        <v>N/A</v>
      </c>
      <c r="R1059" s="167"/>
      <c r="S1059" s="167"/>
      <c r="T1059" s="167"/>
      <c r="U1059" s="334" t="s">
        <v>7271</v>
      </c>
      <c r="V1059" s="168">
        <f t="shared" si="3"/>
        <v>0</v>
      </c>
      <c r="W1059" s="168">
        <f t="shared" si="4"/>
        <v>0</v>
      </c>
      <c r="X1059" s="168">
        <f t="shared" si="5"/>
        <v>0</v>
      </c>
      <c r="Y1059" s="168">
        <f t="shared" si="6"/>
        <v>0</v>
      </c>
      <c r="Z1059" s="168">
        <f t="shared" si="7"/>
        <v>0</v>
      </c>
      <c r="AA1059" s="168">
        <f t="shared" si="8"/>
        <v>0</v>
      </c>
      <c r="AB1059" s="168">
        <f t="shared" si="9"/>
        <v>0</v>
      </c>
    </row>
    <row r="1060" ht="14.25" customHeight="1">
      <c r="A1060" s="157" t="s">
        <v>7951</v>
      </c>
      <c r="B1060" s="169" t="s">
        <v>35</v>
      </c>
      <c r="C1060" s="169" t="s">
        <v>2059</v>
      </c>
      <c r="D1060" s="336">
        <v>44076.0</v>
      </c>
      <c r="E1060" s="157" t="s">
        <v>600</v>
      </c>
      <c r="F1060" s="160">
        <v>2392.61</v>
      </c>
      <c r="G1060" s="160">
        <v>382.82</v>
      </c>
      <c r="H1060" s="160">
        <f t="shared" si="31"/>
        <v>2775.43</v>
      </c>
      <c r="I1060" s="172"/>
      <c r="J1060" s="169"/>
      <c r="K1060" s="172"/>
      <c r="L1060" s="172">
        <f>+'FACUS$'!$H1060-'FACUS$'!$I1060-'FACUS$'!$K1060</f>
        <v>2775.43</v>
      </c>
      <c r="M1060" s="162" t="s">
        <v>276</v>
      </c>
      <c r="N1060" s="337" t="s">
        <v>554</v>
      </c>
      <c r="O1060" s="338">
        <v>44106.0</v>
      </c>
      <c r="P1060" s="164">
        <f t="array" ref="P1060">XLOOKUP('FACUS$'!$B1060,'perfil de pagos'!$A$4:$A$46,'perfil de pagos'!$C$4:$C$46+'FACUS$'!$D1060)</f>
        <v>44086</v>
      </c>
      <c r="Q1060" s="165">
        <f t="shared" si="2"/>
        <v>0</v>
      </c>
      <c r="R1060" s="167"/>
      <c r="S1060" s="167" t="s">
        <v>910</v>
      </c>
      <c r="T1060" s="167"/>
      <c r="U1060" s="334" t="s">
        <v>7271</v>
      </c>
      <c r="V1060" s="168">
        <f t="shared" si="3"/>
        <v>2775.43</v>
      </c>
      <c r="W1060" s="168">
        <f t="shared" si="4"/>
        <v>0</v>
      </c>
      <c r="X1060" s="168">
        <f t="shared" si="5"/>
        <v>0</v>
      </c>
      <c r="Y1060" s="168">
        <f t="shared" si="6"/>
        <v>0</v>
      </c>
      <c r="Z1060" s="168">
        <f t="shared" si="7"/>
        <v>0</v>
      </c>
      <c r="AA1060" s="168">
        <f t="shared" si="8"/>
        <v>0</v>
      </c>
      <c r="AB1060" s="168">
        <f t="shared" si="9"/>
        <v>0</v>
      </c>
    </row>
    <row r="1061" ht="14.25" customHeight="1">
      <c r="A1061" s="157" t="s">
        <v>7952</v>
      </c>
      <c r="B1061" s="169" t="s">
        <v>1127</v>
      </c>
      <c r="C1061" s="169" t="s">
        <v>7953</v>
      </c>
      <c r="D1061" s="336">
        <v>44076.0</v>
      </c>
      <c r="E1061" s="157" t="s">
        <v>600</v>
      </c>
      <c r="F1061" s="160">
        <v>339725.91</v>
      </c>
      <c r="G1061" s="160">
        <v>54356.15</v>
      </c>
      <c r="H1061" s="160">
        <f t="shared" si="31"/>
        <v>394082.06</v>
      </c>
      <c r="I1061" s="172"/>
      <c r="J1061" s="169"/>
      <c r="K1061" s="172"/>
      <c r="L1061" s="172">
        <f>+'FACUS$'!$H1061-'FACUS$'!$I1061-'FACUS$'!$K1061</f>
        <v>394082.06</v>
      </c>
      <c r="M1061" s="162" t="s">
        <v>580</v>
      </c>
      <c r="N1061" s="337" t="s">
        <v>554</v>
      </c>
      <c r="O1061" s="338">
        <v>44091.0</v>
      </c>
      <c r="P1061" s="164" t="str">
        <f t="array" ref="P1061">XLOOKUP('FACUS$'!$B1061,'perfil de pagos'!$A$4:$A$46,'perfil de pagos'!$C$4:$C$46+'FACUS$'!$D1061)</f>
        <v>#N/A</v>
      </c>
      <c r="Q1061" s="165">
        <f t="shared" si="2"/>
        <v>0</v>
      </c>
      <c r="R1061" s="167"/>
      <c r="S1061" s="167" t="s">
        <v>910</v>
      </c>
      <c r="T1061" s="167"/>
      <c r="U1061" s="334" t="s">
        <v>7271</v>
      </c>
      <c r="V1061" s="168">
        <f t="shared" si="3"/>
        <v>394082.06</v>
      </c>
      <c r="W1061" s="168">
        <f t="shared" si="4"/>
        <v>0</v>
      </c>
      <c r="X1061" s="168">
        <f t="shared" si="5"/>
        <v>0</v>
      </c>
      <c r="Y1061" s="168">
        <f t="shared" si="6"/>
        <v>0</v>
      </c>
      <c r="Z1061" s="168">
        <f t="shared" si="7"/>
        <v>0</v>
      </c>
      <c r="AA1061" s="168">
        <f t="shared" si="8"/>
        <v>0</v>
      </c>
      <c r="AB1061" s="168">
        <f t="shared" si="9"/>
        <v>0</v>
      </c>
    </row>
    <row r="1062" ht="14.25" customHeight="1">
      <c r="A1062" s="157" t="s">
        <v>7954</v>
      </c>
      <c r="B1062" s="169" t="s">
        <v>33</v>
      </c>
      <c r="C1062" s="169" t="s">
        <v>7955</v>
      </c>
      <c r="D1062" s="336">
        <v>44078.0</v>
      </c>
      <c r="E1062" s="157" t="s">
        <v>600</v>
      </c>
      <c r="F1062" s="160">
        <v>1400.0</v>
      </c>
      <c r="G1062" s="160">
        <v>224.0</v>
      </c>
      <c r="H1062" s="160">
        <f t="shared" si="31"/>
        <v>1624</v>
      </c>
      <c r="I1062" s="172"/>
      <c r="J1062" s="169"/>
      <c r="K1062" s="172"/>
      <c r="L1062" s="172">
        <f>+'FACUS$'!$H1062-'FACUS$'!$I1062-'FACUS$'!$K1062</f>
        <v>1624</v>
      </c>
      <c r="M1062" s="162" t="s">
        <v>958</v>
      </c>
      <c r="N1062" s="337" t="s">
        <v>554</v>
      </c>
      <c r="O1062" s="338">
        <v>44077.0</v>
      </c>
      <c r="P1062" s="164">
        <f t="array" ref="P1062">XLOOKUP('FACUS$'!$B1062,'perfil de pagos'!$A$4:$A$46,'perfil de pagos'!$C$4:$C$46+'FACUS$'!$D1062)</f>
        <v>44088</v>
      </c>
      <c r="Q1062" s="165">
        <f t="shared" si="2"/>
        <v>0</v>
      </c>
      <c r="R1062" s="167"/>
      <c r="S1062" s="167"/>
      <c r="T1062" s="167"/>
      <c r="U1062" s="334" t="s">
        <v>7271</v>
      </c>
      <c r="V1062" s="168">
        <f t="shared" si="3"/>
        <v>1624</v>
      </c>
      <c r="W1062" s="168">
        <f t="shared" si="4"/>
        <v>0</v>
      </c>
      <c r="X1062" s="168">
        <f t="shared" si="5"/>
        <v>0</v>
      </c>
      <c r="Y1062" s="168">
        <f t="shared" si="6"/>
        <v>0</v>
      </c>
      <c r="Z1062" s="168">
        <f t="shared" si="7"/>
        <v>0</v>
      </c>
      <c r="AA1062" s="168">
        <f t="shared" si="8"/>
        <v>0</v>
      </c>
      <c r="AB1062" s="168">
        <f t="shared" si="9"/>
        <v>0</v>
      </c>
    </row>
    <row r="1063" ht="14.25" customHeight="1">
      <c r="A1063" s="157" t="s">
        <v>7956</v>
      </c>
      <c r="B1063" s="169" t="s">
        <v>41</v>
      </c>
      <c r="C1063" s="169" t="s">
        <v>2059</v>
      </c>
      <c r="D1063" s="336">
        <v>44078.0</v>
      </c>
      <c r="E1063" s="157" t="s">
        <v>600</v>
      </c>
      <c r="F1063" s="160">
        <v>24018.1</v>
      </c>
      <c r="G1063" s="160">
        <v>3842.9</v>
      </c>
      <c r="H1063" s="160">
        <f t="shared" si="31"/>
        <v>27861</v>
      </c>
      <c r="I1063" s="172"/>
      <c r="J1063" s="169"/>
      <c r="K1063" s="172"/>
      <c r="L1063" s="172">
        <f>+'FACUS$'!$H1063-'FACUS$'!$I1063-'FACUS$'!$K1063</f>
        <v>27861</v>
      </c>
      <c r="M1063" s="162" t="s">
        <v>875</v>
      </c>
      <c r="N1063" s="337" t="s">
        <v>554</v>
      </c>
      <c r="O1063" s="338">
        <v>44141.0</v>
      </c>
      <c r="P1063" s="164">
        <f t="array" ref="P1063">XLOOKUP('FACUS$'!$B1063,'perfil de pagos'!$A$4:$A$46,'perfil de pagos'!$C$4:$C$46+'FACUS$'!$D1063)</f>
        <v>44088</v>
      </c>
      <c r="Q1063" s="165">
        <f t="shared" si="2"/>
        <v>0</v>
      </c>
      <c r="R1063" s="167"/>
      <c r="S1063" s="167"/>
      <c r="T1063" s="167"/>
      <c r="U1063" s="334" t="s">
        <v>7271</v>
      </c>
      <c r="V1063" s="168">
        <f t="shared" si="3"/>
        <v>27861</v>
      </c>
      <c r="W1063" s="168">
        <f t="shared" si="4"/>
        <v>0</v>
      </c>
      <c r="X1063" s="168">
        <f t="shared" si="5"/>
        <v>0</v>
      </c>
      <c r="Y1063" s="168">
        <f t="shared" si="6"/>
        <v>0</v>
      </c>
      <c r="Z1063" s="168">
        <f t="shared" si="7"/>
        <v>0</v>
      </c>
      <c r="AA1063" s="168">
        <f t="shared" si="8"/>
        <v>0</v>
      </c>
      <c r="AB1063" s="168">
        <f t="shared" si="9"/>
        <v>0</v>
      </c>
    </row>
    <row r="1064" ht="14.25" customHeight="1">
      <c r="A1064" s="157" t="s">
        <v>7957</v>
      </c>
      <c r="B1064" s="169" t="s">
        <v>37</v>
      </c>
      <c r="C1064" s="169" t="s">
        <v>2059</v>
      </c>
      <c r="D1064" s="336">
        <v>44082.0</v>
      </c>
      <c r="E1064" s="157" t="s">
        <v>600</v>
      </c>
      <c r="F1064" s="160">
        <v>93310.48</v>
      </c>
      <c r="G1064" s="160">
        <v>14929.68</v>
      </c>
      <c r="H1064" s="160">
        <f t="shared" si="31"/>
        <v>108240.16</v>
      </c>
      <c r="I1064" s="172"/>
      <c r="J1064" s="169"/>
      <c r="K1064" s="172"/>
      <c r="L1064" s="172">
        <f>+'FACUS$'!$H1064-'FACUS$'!$I1064-'FACUS$'!$K1064</f>
        <v>108240.16</v>
      </c>
      <c r="M1064" s="162" t="s">
        <v>116</v>
      </c>
      <c r="N1064" s="337" t="s">
        <v>554</v>
      </c>
      <c r="O1064" s="338">
        <v>44102.0</v>
      </c>
      <c r="P1064" s="164">
        <f t="array" ref="P1064">XLOOKUP('FACUS$'!$B1064,'perfil de pagos'!$A$4:$A$46,'perfil de pagos'!$C$4:$C$46+'FACUS$'!$D1064)</f>
        <v>44092</v>
      </c>
      <c r="Q1064" s="165">
        <f t="shared" si="2"/>
        <v>0</v>
      </c>
      <c r="R1064" s="167" t="s">
        <v>7958</v>
      </c>
      <c r="S1064" s="167" t="s">
        <v>910</v>
      </c>
      <c r="T1064" s="167"/>
      <c r="U1064" s="334" t="s">
        <v>7271</v>
      </c>
      <c r="V1064" s="168">
        <f t="shared" si="3"/>
        <v>108240.16</v>
      </c>
      <c r="W1064" s="168">
        <f t="shared" si="4"/>
        <v>0</v>
      </c>
      <c r="X1064" s="168">
        <f t="shared" si="5"/>
        <v>0</v>
      </c>
      <c r="Y1064" s="168">
        <f t="shared" si="6"/>
        <v>0</v>
      </c>
      <c r="Z1064" s="168">
        <f t="shared" si="7"/>
        <v>0</v>
      </c>
      <c r="AA1064" s="168">
        <f t="shared" si="8"/>
        <v>0</v>
      </c>
      <c r="AB1064" s="168">
        <f t="shared" si="9"/>
        <v>0</v>
      </c>
    </row>
    <row r="1065" ht="14.25" customHeight="1">
      <c r="A1065" s="157" t="s">
        <v>7959</v>
      </c>
      <c r="B1065" s="169" t="s">
        <v>20</v>
      </c>
      <c r="C1065" s="169" t="s">
        <v>2059</v>
      </c>
      <c r="D1065" s="336">
        <v>44082.0</v>
      </c>
      <c r="E1065" s="157" t="s">
        <v>600</v>
      </c>
      <c r="F1065" s="160">
        <v>476.65</v>
      </c>
      <c r="G1065" s="160">
        <v>76.26</v>
      </c>
      <c r="H1065" s="160">
        <f t="shared" si="31"/>
        <v>552.91</v>
      </c>
      <c r="I1065" s="172"/>
      <c r="J1065" s="169"/>
      <c r="K1065" s="172"/>
      <c r="L1065" s="172">
        <f>+'FACUS$'!$H1065-'FACUS$'!$I1065-'FACUS$'!$K1065</f>
        <v>552.91</v>
      </c>
      <c r="M1065" s="162" t="s">
        <v>732</v>
      </c>
      <c r="N1065" s="337" t="s">
        <v>554</v>
      </c>
      <c r="O1065" s="338">
        <v>44106.0</v>
      </c>
      <c r="P1065" s="164">
        <f t="array" ref="P1065">XLOOKUP('FACUS$'!$B1065,'perfil de pagos'!$A$4:$A$46,'perfil de pagos'!$C$4:$C$46+'FACUS$'!$D1065)</f>
        <v>44092</v>
      </c>
      <c r="Q1065" s="165">
        <f t="shared" si="2"/>
        <v>0</v>
      </c>
      <c r="R1065" s="167"/>
      <c r="S1065" s="167" t="s">
        <v>910</v>
      </c>
      <c r="T1065" s="167"/>
      <c r="U1065" s="334" t="s">
        <v>7271</v>
      </c>
      <c r="V1065" s="168">
        <f t="shared" si="3"/>
        <v>552.91</v>
      </c>
      <c r="W1065" s="168">
        <f t="shared" si="4"/>
        <v>0</v>
      </c>
      <c r="X1065" s="168">
        <f t="shared" si="5"/>
        <v>0</v>
      </c>
      <c r="Y1065" s="168">
        <f t="shared" si="6"/>
        <v>0</v>
      </c>
      <c r="Z1065" s="168">
        <f t="shared" si="7"/>
        <v>0</v>
      </c>
      <c r="AA1065" s="168">
        <f t="shared" si="8"/>
        <v>0</v>
      </c>
      <c r="AB1065" s="168">
        <f t="shared" si="9"/>
        <v>0</v>
      </c>
    </row>
    <row r="1066" ht="14.25" customHeight="1">
      <c r="A1066" s="157" t="s">
        <v>7960</v>
      </c>
      <c r="B1066" s="169" t="s">
        <v>18</v>
      </c>
      <c r="C1066" s="169" t="s">
        <v>2059</v>
      </c>
      <c r="D1066" s="336">
        <v>44082.0</v>
      </c>
      <c r="E1066" s="157" t="s">
        <v>600</v>
      </c>
      <c r="F1066" s="160">
        <v>10142.02</v>
      </c>
      <c r="G1066" s="160">
        <v>1622.72</v>
      </c>
      <c r="H1066" s="160">
        <f t="shared" si="31"/>
        <v>11764.74</v>
      </c>
      <c r="I1066" s="172"/>
      <c r="J1066" s="169"/>
      <c r="K1066" s="172"/>
      <c r="L1066" s="172">
        <f>+'FACUS$'!$H1066-'FACUS$'!$I1066-'FACUS$'!$K1066</f>
        <v>11764.74</v>
      </c>
      <c r="M1066" s="162" t="s">
        <v>586</v>
      </c>
      <c r="N1066" s="337" t="s">
        <v>127</v>
      </c>
      <c r="O1066" s="338"/>
      <c r="P1066" s="164">
        <f t="array" ref="P1066">XLOOKUP('FACUS$'!$B1066,'perfil de pagos'!$A$4:$A$46,'perfil de pagos'!$C$4:$C$46+'FACUS$'!$D1066)</f>
        <v>44092</v>
      </c>
      <c r="Q1066" s="165" t="str">
        <f t="shared" si="2"/>
        <v>N/A</v>
      </c>
      <c r="R1066" s="167"/>
      <c r="S1066" s="167"/>
      <c r="T1066" s="167"/>
      <c r="U1066" s="334" t="s">
        <v>7271</v>
      </c>
      <c r="V1066" s="168">
        <f t="shared" si="3"/>
        <v>0</v>
      </c>
      <c r="W1066" s="168">
        <f t="shared" si="4"/>
        <v>0</v>
      </c>
      <c r="X1066" s="168">
        <f t="shared" si="5"/>
        <v>0</v>
      </c>
      <c r="Y1066" s="168">
        <f t="shared" si="6"/>
        <v>0</v>
      </c>
      <c r="Z1066" s="168">
        <f t="shared" si="7"/>
        <v>0</v>
      </c>
      <c r="AA1066" s="168">
        <f t="shared" si="8"/>
        <v>0</v>
      </c>
      <c r="AB1066" s="168">
        <f t="shared" si="9"/>
        <v>11764.74</v>
      </c>
    </row>
    <row r="1067" ht="14.25" customHeight="1">
      <c r="A1067" s="157" t="s">
        <v>7961</v>
      </c>
      <c r="B1067" s="169" t="s">
        <v>38</v>
      </c>
      <c r="C1067" s="169" t="s">
        <v>2059</v>
      </c>
      <c r="D1067" s="336">
        <v>44082.0</v>
      </c>
      <c r="E1067" s="157" t="s">
        <v>600</v>
      </c>
      <c r="F1067" s="160">
        <v>1251.92</v>
      </c>
      <c r="G1067" s="160">
        <v>200.31</v>
      </c>
      <c r="H1067" s="160">
        <f t="shared" si="31"/>
        <v>1452.23</v>
      </c>
      <c r="I1067" s="172"/>
      <c r="J1067" s="169"/>
      <c r="K1067" s="172"/>
      <c r="L1067" s="172">
        <f>+'FACUS$'!$H1067-'FACUS$'!$I1067-'FACUS$'!$K1067</f>
        <v>1452.23</v>
      </c>
      <c r="M1067" s="162" t="s">
        <v>145</v>
      </c>
      <c r="N1067" s="337" t="s">
        <v>554</v>
      </c>
      <c r="O1067" s="338">
        <v>44116.0</v>
      </c>
      <c r="P1067" s="164">
        <f t="array" ref="P1067">XLOOKUP('FACUS$'!$B1067,'perfil de pagos'!$A$4:$A$46,'perfil de pagos'!$C$4:$C$46+'FACUS$'!$D1067)</f>
        <v>44112</v>
      </c>
      <c r="Q1067" s="165">
        <f t="shared" si="2"/>
        <v>0</v>
      </c>
      <c r="R1067" s="220" t="s">
        <v>7962</v>
      </c>
      <c r="S1067" s="220" t="s">
        <v>910</v>
      </c>
      <c r="T1067" s="167"/>
      <c r="U1067" s="334" t="s">
        <v>7271</v>
      </c>
      <c r="V1067" s="168">
        <f t="shared" si="3"/>
        <v>1452.23</v>
      </c>
      <c r="W1067" s="168">
        <f t="shared" si="4"/>
        <v>0</v>
      </c>
      <c r="X1067" s="168">
        <f t="shared" si="5"/>
        <v>0</v>
      </c>
      <c r="Y1067" s="168">
        <f t="shared" si="6"/>
        <v>0</v>
      </c>
      <c r="Z1067" s="168">
        <f t="shared" si="7"/>
        <v>0</v>
      </c>
      <c r="AA1067" s="168">
        <f t="shared" si="8"/>
        <v>0</v>
      </c>
      <c r="AB1067" s="168">
        <f t="shared" si="9"/>
        <v>0</v>
      </c>
    </row>
    <row r="1068" ht="14.25" customHeight="1">
      <c r="A1068" s="157" t="s">
        <v>7963</v>
      </c>
      <c r="B1068" s="169" t="s">
        <v>18</v>
      </c>
      <c r="C1068" s="169" t="s">
        <v>2059</v>
      </c>
      <c r="D1068" s="336">
        <v>44082.0</v>
      </c>
      <c r="E1068" s="157" t="s">
        <v>600</v>
      </c>
      <c r="F1068" s="160">
        <v>10142.02</v>
      </c>
      <c r="G1068" s="160">
        <v>1622.72</v>
      </c>
      <c r="H1068" s="160">
        <f t="shared" si="31"/>
        <v>11764.74</v>
      </c>
      <c r="I1068" s="172"/>
      <c r="J1068" s="169"/>
      <c r="K1068" s="172"/>
      <c r="L1068" s="172">
        <f>+'FACUS$'!$H1068-'FACUS$'!$I1068-'FACUS$'!$K1068</f>
        <v>11764.74</v>
      </c>
      <c r="M1068" s="162" t="s">
        <v>586</v>
      </c>
      <c r="N1068" s="337" t="s">
        <v>554</v>
      </c>
      <c r="O1068" s="338">
        <v>44106.0</v>
      </c>
      <c r="P1068" s="164">
        <f t="array" ref="P1068">XLOOKUP('FACUS$'!$B1068,'perfil de pagos'!$A$4:$A$46,'perfil de pagos'!$C$4:$C$46+'FACUS$'!$D1068)</f>
        <v>44092</v>
      </c>
      <c r="Q1068" s="165">
        <f t="shared" si="2"/>
        <v>0</v>
      </c>
      <c r="R1068" s="167" t="s">
        <v>7964</v>
      </c>
      <c r="S1068" s="167" t="s">
        <v>910</v>
      </c>
      <c r="T1068" s="167"/>
      <c r="U1068" s="334" t="s">
        <v>7271</v>
      </c>
      <c r="V1068" s="168">
        <f t="shared" si="3"/>
        <v>11764.74</v>
      </c>
      <c r="W1068" s="168">
        <f t="shared" si="4"/>
        <v>0</v>
      </c>
      <c r="X1068" s="168">
        <f t="shared" si="5"/>
        <v>0</v>
      </c>
      <c r="Y1068" s="168">
        <f t="shared" si="6"/>
        <v>0</v>
      </c>
      <c r="Z1068" s="168">
        <f t="shared" si="7"/>
        <v>0</v>
      </c>
      <c r="AA1068" s="168">
        <f t="shared" si="8"/>
        <v>0</v>
      </c>
      <c r="AB1068" s="168">
        <f t="shared" si="9"/>
        <v>0</v>
      </c>
    </row>
    <row r="1069" ht="14.25" customHeight="1">
      <c r="A1069" s="157" t="s">
        <v>7965</v>
      </c>
      <c r="B1069" s="169" t="s">
        <v>30</v>
      </c>
      <c r="C1069" s="169" t="s">
        <v>7966</v>
      </c>
      <c r="D1069" s="336">
        <v>44091.0</v>
      </c>
      <c r="E1069" s="157" t="s">
        <v>600</v>
      </c>
      <c r="F1069" s="160">
        <v>12087.98</v>
      </c>
      <c r="G1069" s="160">
        <v>1934.08</v>
      </c>
      <c r="H1069" s="160">
        <f t="shared" si="31"/>
        <v>14022.06</v>
      </c>
      <c r="I1069" s="172"/>
      <c r="J1069" s="169"/>
      <c r="K1069" s="172"/>
      <c r="L1069" s="172">
        <f>+'FACUS$'!$H1069-'FACUS$'!$I1069-'FACUS$'!$K1069</f>
        <v>14022.06</v>
      </c>
      <c r="M1069" s="162" t="s">
        <v>7415</v>
      </c>
      <c r="N1069" s="337" t="s">
        <v>127</v>
      </c>
      <c r="O1069" s="338">
        <v>45063.0</v>
      </c>
      <c r="P1069" s="164">
        <f t="array" ref="P1069">XLOOKUP('FACUS$'!$B1069,'perfil de pagos'!$A$4:$A$46,'perfil de pagos'!$C$4:$C$46+'FACUS$'!$D1069)</f>
        <v>44101</v>
      </c>
      <c r="Q1069" s="165" t="str">
        <f t="shared" si="2"/>
        <v>N/A</v>
      </c>
      <c r="R1069" s="220" t="s">
        <v>7747</v>
      </c>
      <c r="S1069" s="167"/>
      <c r="T1069" s="167"/>
      <c r="U1069" s="334" t="s">
        <v>7271</v>
      </c>
      <c r="V1069" s="168">
        <f t="shared" si="3"/>
        <v>0</v>
      </c>
      <c r="W1069" s="168">
        <f t="shared" si="4"/>
        <v>0</v>
      </c>
      <c r="X1069" s="168">
        <f t="shared" si="5"/>
        <v>0</v>
      </c>
      <c r="Y1069" s="168">
        <f t="shared" si="6"/>
        <v>0</v>
      </c>
      <c r="Z1069" s="168">
        <f t="shared" si="7"/>
        <v>0</v>
      </c>
      <c r="AA1069" s="168">
        <f t="shared" si="8"/>
        <v>0</v>
      </c>
      <c r="AB1069" s="168">
        <f t="shared" si="9"/>
        <v>14022.06</v>
      </c>
    </row>
    <row r="1070" ht="14.25" customHeight="1">
      <c r="A1070" s="157" t="s">
        <v>7967</v>
      </c>
      <c r="B1070" s="169" t="s">
        <v>43</v>
      </c>
      <c r="C1070" s="169" t="s">
        <v>2100</v>
      </c>
      <c r="D1070" s="336">
        <v>44091.0</v>
      </c>
      <c r="E1070" s="157" t="s">
        <v>600</v>
      </c>
      <c r="F1070" s="160">
        <v>24367.34</v>
      </c>
      <c r="G1070" s="160">
        <v>3898.77</v>
      </c>
      <c r="H1070" s="160">
        <f t="shared" si="31"/>
        <v>28266.11</v>
      </c>
      <c r="I1070" s="172"/>
      <c r="J1070" s="169"/>
      <c r="K1070" s="172"/>
      <c r="L1070" s="172">
        <f>+'FACUS$'!$H1070-'FACUS$'!$I1070-'FACUS$'!$K1070</f>
        <v>28266.11</v>
      </c>
      <c r="M1070" s="162" t="s">
        <v>43</v>
      </c>
      <c r="N1070" s="337" t="s">
        <v>554</v>
      </c>
      <c r="O1070" s="338">
        <v>44099.0</v>
      </c>
      <c r="P1070" s="164">
        <f t="array" ref="P1070">XLOOKUP('FACUS$'!$B1070,'perfil de pagos'!$A$4:$A$46,'perfil de pagos'!$C$4:$C$46+'FACUS$'!$D1070)</f>
        <v>44116</v>
      </c>
      <c r="Q1070" s="165">
        <f t="shared" si="2"/>
        <v>0</v>
      </c>
      <c r="R1070" s="167"/>
      <c r="S1070" s="167" t="s">
        <v>910</v>
      </c>
      <c r="T1070" s="167"/>
      <c r="U1070" s="334" t="s">
        <v>7271</v>
      </c>
      <c r="V1070" s="168">
        <f t="shared" si="3"/>
        <v>28266.11</v>
      </c>
      <c r="W1070" s="168">
        <f t="shared" si="4"/>
        <v>0</v>
      </c>
      <c r="X1070" s="168">
        <f t="shared" si="5"/>
        <v>0</v>
      </c>
      <c r="Y1070" s="168">
        <f t="shared" si="6"/>
        <v>0</v>
      </c>
      <c r="Z1070" s="168">
        <f t="shared" si="7"/>
        <v>0</v>
      </c>
      <c r="AA1070" s="168">
        <f t="shared" si="8"/>
        <v>0</v>
      </c>
      <c r="AB1070" s="168">
        <f t="shared" si="9"/>
        <v>0</v>
      </c>
    </row>
    <row r="1071" ht="14.25" customHeight="1">
      <c r="A1071" s="157" t="s">
        <v>7968</v>
      </c>
      <c r="B1071" s="169" t="s">
        <v>1127</v>
      </c>
      <c r="C1071" s="169" t="s">
        <v>2100</v>
      </c>
      <c r="D1071" s="336">
        <v>44091.0</v>
      </c>
      <c r="E1071" s="157" t="s">
        <v>600</v>
      </c>
      <c r="F1071" s="160">
        <v>183.07</v>
      </c>
      <c r="G1071" s="160">
        <v>29.29</v>
      </c>
      <c r="H1071" s="160">
        <f t="shared" si="31"/>
        <v>212.36</v>
      </c>
      <c r="I1071" s="172"/>
      <c r="J1071" s="169"/>
      <c r="K1071" s="172"/>
      <c r="L1071" s="172">
        <f>+'FACUS$'!$H1071-'FACUS$'!$I1071-'FACUS$'!$K1071</f>
        <v>212.36</v>
      </c>
      <c r="M1071" s="162" t="s">
        <v>580</v>
      </c>
      <c r="N1071" s="337" t="s">
        <v>554</v>
      </c>
      <c r="O1071" s="338">
        <v>44099.0</v>
      </c>
      <c r="P1071" s="164" t="str">
        <f t="array" ref="P1071">XLOOKUP('FACUS$'!$B1071,'perfil de pagos'!$A$4:$A$46,'perfil de pagos'!$C$4:$C$46+'FACUS$'!$D1071)</f>
        <v>#N/A</v>
      </c>
      <c r="Q1071" s="165">
        <f t="shared" si="2"/>
        <v>0</v>
      </c>
      <c r="R1071" s="167"/>
      <c r="S1071" s="167" t="s">
        <v>910</v>
      </c>
      <c r="T1071" s="167"/>
      <c r="U1071" s="334" t="s">
        <v>7271</v>
      </c>
      <c r="V1071" s="168">
        <f t="shared" si="3"/>
        <v>212.36</v>
      </c>
      <c r="W1071" s="168">
        <f t="shared" si="4"/>
        <v>0</v>
      </c>
      <c r="X1071" s="168">
        <f t="shared" si="5"/>
        <v>0</v>
      </c>
      <c r="Y1071" s="168">
        <f t="shared" si="6"/>
        <v>0</v>
      </c>
      <c r="Z1071" s="168">
        <f t="shared" si="7"/>
        <v>0</v>
      </c>
      <c r="AA1071" s="168">
        <f t="shared" si="8"/>
        <v>0</v>
      </c>
      <c r="AB1071" s="168">
        <f t="shared" si="9"/>
        <v>0</v>
      </c>
    </row>
    <row r="1072" ht="14.25" customHeight="1">
      <c r="A1072" s="157" t="s">
        <v>7969</v>
      </c>
      <c r="B1072" s="169" t="s">
        <v>36</v>
      </c>
      <c r="C1072" s="169" t="s">
        <v>2100</v>
      </c>
      <c r="D1072" s="336">
        <v>44091.0</v>
      </c>
      <c r="E1072" s="157" t="s">
        <v>600</v>
      </c>
      <c r="F1072" s="160">
        <v>2013.83</v>
      </c>
      <c r="G1072" s="160">
        <v>322.21</v>
      </c>
      <c r="H1072" s="160">
        <f t="shared" si="31"/>
        <v>2336.04</v>
      </c>
      <c r="I1072" s="172"/>
      <c r="J1072" s="169"/>
      <c r="K1072" s="172"/>
      <c r="L1072" s="172">
        <f>+'FACUS$'!$H1072-'FACUS$'!$I1072-'FACUS$'!$K1072</f>
        <v>2336.04</v>
      </c>
      <c r="M1072" s="162" t="s">
        <v>278</v>
      </c>
      <c r="N1072" s="337" t="s">
        <v>554</v>
      </c>
      <c r="O1072" s="338">
        <v>44145.0</v>
      </c>
      <c r="P1072" s="164">
        <f t="array" ref="P1072">XLOOKUP('FACUS$'!$B1072,'perfil de pagos'!$A$4:$A$46,'perfil de pagos'!$C$4:$C$46+'FACUS$'!$D1072)</f>
        <v>44101</v>
      </c>
      <c r="Q1072" s="165">
        <f t="shared" si="2"/>
        <v>0</v>
      </c>
      <c r="R1072" s="220" t="s">
        <v>7970</v>
      </c>
      <c r="S1072" s="220" t="s">
        <v>910</v>
      </c>
      <c r="T1072" s="167"/>
      <c r="U1072" s="334" t="s">
        <v>7271</v>
      </c>
      <c r="V1072" s="168">
        <f t="shared" si="3"/>
        <v>2336.04</v>
      </c>
      <c r="W1072" s="168">
        <f t="shared" si="4"/>
        <v>0</v>
      </c>
      <c r="X1072" s="168">
        <f t="shared" si="5"/>
        <v>0</v>
      </c>
      <c r="Y1072" s="168">
        <f t="shared" si="6"/>
        <v>0</v>
      </c>
      <c r="Z1072" s="168">
        <f t="shared" si="7"/>
        <v>0</v>
      </c>
      <c r="AA1072" s="168">
        <f t="shared" si="8"/>
        <v>0</v>
      </c>
      <c r="AB1072" s="168">
        <f t="shared" si="9"/>
        <v>0</v>
      </c>
    </row>
    <row r="1073" ht="14.25" customHeight="1">
      <c r="A1073" s="157" t="s">
        <v>7971</v>
      </c>
      <c r="B1073" s="169" t="s">
        <v>35</v>
      </c>
      <c r="C1073" s="169" t="s">
        <v>2100</v>
      </c>
      <c r="D1073" s="336">
        <v>44091.0</v>
      </c>
      <c r="E1073" s="157" t="s">
        <v>600</v>
      </c>
      <c r="F1073" s="160">
        <v>5747.45</v>
      </c>
      <c r="G1073" s="160">
        <v>919.59</v>
      </c>
      <c r="H1073" s="160">
        <f t="shared" si="31"/>
        <v>6667.04</v>
      </c>
      <c r="I1073" s="172"/>
      <c r="J1073" s="169"/>
      <c r="K1073" s="172"/>
      <c r="L1073" s="172">
        <f>+'FACUS$'!$H1073-'FACUS$'!$I1073-'FACUS$'!$K1073</f>
        <v>6667.04</v>
      </c>
      <c r="M1073" s="162" t="s">
        <v>276</v>
      </c>
      <c r="N1073" s="337" t="s">
        <v>554</v>
      </c>
      <c r="O1073" s="338">
        <v>44106.0</v>
      </c>
      <c r="P1073" s="164">
        <f t="array" ref="P1073">XLOOKUP('FACUS$'!$B1073,'perfil de pagos'!$A$4:$A$46,'perfil de pagos'!$C$4:$C$46+'FACUS$'!$D1073)</f>
        <v>44101</v>
      </c>
      <c r="Q1073" s="165">
        <f t="shared" si="2"/>
        <v>0</v>
      </c>
      <c r="R1073" s="167"/>
      <c r="S1073" s="167" t="s">
        <v>910</v>
      </c>
      <c r="T1073" s="167"/>
      <c r="U1073" s="334" t="s">
        <v>7271</v>
      </c>
      <c r="V1073" s="168">
        <f t="shared" si="3"/>
        <v>6667.04</v>
      </c>
      <c r="W1073" s="168">
        <f t="shared" si="4"/>
        <v>0</v>
      </c>
      <c r="X1073" s="168">
        <f t="shared" si="5"/>
        <v>0</v>
      </c>
      <c r="Y1073" s="168">
        <f t="shared" si="6"/>
        <v>0</v>
      </c>
      <c r="Z1073" s="168">
        <f t="shared" si="7"/>
        <v>0</v>
      </c>
      <c r="AA1073" s="168">
        <f t="shared" si="8"/>
        <v>0</v>
      </c>
      <c r="AB1073" s="168">
        <f t="shared" si="9"/>
        <v>0</v>
      </c>
    </row>
    <row r="1074" ht="14.25" customHeight="1">
      <c r="A1074" s="157" t="s">
        <v>7972</v>
      </c>
      <c r="B1074" s="169" t="s">
        <v>37</v>
      </c>
      <c r="C1074" s="169" t="s">
        <v>2100</v>
      </c>
      <c r="D1074" s="336">
        <v>44095.0</v>
      </c>
      <c r="E1074" s="157" t="s">
        <v>600</v>
      </c>
      <c r="F1074" s="160">
        <v>76880.56</v>
      </c>
      <c r="G1074" s="160">
        <v>12300.89</v>
      </c>
      <c r="H1074" s="160">
        <f>F1074+G1074-15041.74</f>
        <v>74139.71</v>
      </c>
      <c r="I1074" s="172"/>
      <c r="J1074" s="169"/>
      <c r="K1074" s="172"/>
      <c r="L1074" s="172">
        <f>+'FACUS$'!$H1074-'FACUS$'!$I1074-'FACUS$'!$K1074</f>
        <v>74139.71</v>
      </c>
      <c r="M1074" s="162" t="s">
        <v>116</v>
      </c>
      <c r="N1074" s="337" t="s">
        <v>554</v>
      </c>
      <c r="O1074" s="338">
        <v>44123.0</v>
      </c>
      <c r="P1074" s="164">
        <f t="array" ref="P1074">XLOOKUP('FACUS$'!$B1074,'perfil de pagos'!$A$4:$A$46,'perfil de pagos'!$C$4:$C$46+'FACUS$'!$D1074)</f>
        <v>44105</v>
      </c>
      <c r="Q1074" s="165">
        <f t="shared" si="2"/>
        <v>0</v>
      </c>
      <c r="R1074" s="220" t="s">
        <v>7973</v>
      </c>
      <c r="S1074" s="220" t="s">
        <v>910</v>
      </c>
      <c r="T1074" s="167"/>
      <c r="U1074" s="334" t="s">
        <v>7271</v>
      </c>
      <c r="V1074" s="168">
        <f t="shared" si="3"/>
        <v>74139.71</v>
      </c>
      <c r="W1074" s="168">
        <f t="shared" si="4"/>
        <v>0</v>
      </c>
      <c r="X1074" s="168">
        <f t="shared" si="5"/>
        <v>0</v>
      </c>
      <c r="Y1074" s="168">
        <f t="shared" si="6"/>
        <v>0</v>
      </c>
      <c r="Z1074" s="168">
        <f t="shared" si="7"/>
        <v>0</v>
      </c>
      <c r="AA1074" s="168">
        <f t="shared" si="8"/>
        <v>0</v>
      </c>
      <c r="AB1074" s="168">
        <f t="shared" si="9"/>
        <v>0</v>
      </c>
    </row>
    <row r="1075" ht="14.25" customHeight="1">
      <c r="A1075" s="157" t="s">
        <v>7974</v>
      </c>
      <c r="B1075" s="169" t="s">
        <v>18</v>
      </c>
      <c r="C1075" s="169" t="s">
        <v>2100</v>
      </c>
      <c r="D1075" s="336">
        <v>44095.0</v>
      </c>
      <c r="E1075" s="157" t="s">
        <v>600</v>
      </c>
      <c r="F1075" s="160">
        <v>9395.68</v>
      </c>
      <c r="G1075" s="160">
        <v>1503.31</v>
      </c>
      <c r="H1075" s="160">
        <f t="shared" ref="H1075:H1076" si="32">F1075+G1075</f>
        <v>10898.99</v>
      </c>
      <c r="I1075" s="172"/>
      <c r="J1075" s="169"/>
      <c r="K1075" s="172"/>
      <c r="L1075" s="172">
        <f>+'FACUS$'!$H1075-'FACUS$'!$I1075-'FACUS$'!$K1075</f>
        <v>10898.99</v>
      </c>
      <c r="M1075" s="162" t="s">
        <v>586</v>
      </c>
      <c r="N1075" s="337" t="s">
        <v>554</v>
      </c>
      <c r="O1075" s="338">
        <v>44106.0</v>
      </c>
      <c r="P1075" s="164">
        <f t="array" ref="P1075">XLOOKUP('FACUS$'!$B1075,'perfil de pagos'!$A$4:$A$46,'perfil de pagos'!$C$4:$C$46+'FACUS$'!$D1075)</f>
        <v>44105</v>
      </c>
      <c r="Q1075" s="165">
        <f t="shared" si="2"/>
        <v>0</v>
      </c>
      <c r="R1075" s="167"/>
      <c r="S1075" s="167" t="s">
        <v>910</v>
      </c>
      <c r="T1075" s="167"/>
      <c r="U1075" s="334" t="s">
        <v>7271</v>
      </c>
      <c r="V1075" s="168">
        <f t="shared" si="3"/>
        <v>10898.99</v>
      </c>
      <c r="W1075" s="168">
        <f t="shared" si="4"/>
        <v>0</v>
      </c>
      <c r="X1075" s="168">
        <f t="shared" si="5"/>
        <v>0</v>
      </c>
      <c r="Y1075" s="168">
        <f t="shared" si="6"/>
        <v>0</v>
      </c>
      <c r="Z1075" s="168">
        <f t="shared" si="7"/>
        <v>0</v>
      </c>
      <c r="AA1075" s="168">
        <f t="shared" si="8"/>
        <v>0</v>
      </c>
      <c r="AB1075" s="168">
        <f t="shared" si="9"/>
        <v>0</v>
      </c>
    </row>
    <row r="1076" ht="14.25" customHeight="1">
      <c r="A1076" s="157" t="s">
        <v>7975</v>
      </c>
      <c r="B1076" s="169" t="s">
        <v>20</v>
      </c>
      <c r="C1076" s="169" t="s">
        <v>2100</v>
      </c>
      <c r="D1076" s="336">
        <v>44095.0</v>
      </c>
      <c r="E1076" s="157" t="s">
        <v>600</v>
      </c>
      <c r="F1076" s="160">
        <v>857.37</v>
      </c>
      <c r="G1076" s="160">
        <v>137.18</v>
      </c>
      <c r="H1076" s="160">
        <f t="shared" si="32"/>
        <v>994.55</v>
      </c>
      <c r="I1076" s="172"/>
      <c r="J1076" s="169"/>
      <c r="K1076" s="172"/>
      <c r="L1076" s="172">
        <f>+'FACUS$'!$H1076-'FACUS$'!$I1076-'FACUS$'!$K1076</f>
        <v>994.55</v>
      </c>
      <c r="M1076" s="162" t="s">
        <v>732</v>
      </c>
      <c r="N1076" s="337" t="s">
        <v>127</v>
      </c>
      <c r="O1076" s="338"/>
      <c r="P1076" s="164">
        <f t="array" ref="P1076">XLOOKUP('FACUS$'!$B1076,'perfil de pagos'!$A$4:$A$46,'perfil de pagos'!$C$4:$C$46+'FACUS$'!$D1076)</f>
        <v>44105</v>
      </c>
      <c r="Q1076" s="165" t="str">
        <f t="shared" si="2"/>
        <v>N/A</v>
      </c>
      <c r="R1076" s="167"/>
      <c r="S1076" s="167"/>
      <c r="T1076" s="167"/>
      <c r="U1076" s="334" t="s">
        <v>7271</v>
      </c>
      <c r="V1076" s="168">
        <f t="shared" si="3"/>
        <v>0</v>
      </c>
      <c r="W1076" s="168">
        <f t="shared" si="4"/>
        <v>0</v>
      </c>
      <c r="X1076" s="168">
        <f t="shared" si="5"/>
        <v>0</v>
      </c>
      <c r="Y1076" s="168">
        <f t="shared" si="6"/>
        <v>0</v>
      </c>
      <c r="Z1076" s="168">
        <f t="shared" si="7"/>
        <v>0</v>
      </c>
      <c r="AA1076" s="168">
        <f t="shared" si="8"/>
        <v>0</v>
      </c>
      <c r="AB1076" s="168">
        <f t="shared" si="9"/>
        <v>994.55</v>
      </c>
    </row>
    <row r="1077" ht="14.25" customHeight="1">
      <c r="A1077" s="157" t="s">
        <v>7976</v>
      </c>
      <c r="B1077" s="169" t="s">
        <v>38</v>
      </c>
      <c r="C1077" s="169" t="s">
        <v>2100</v>
      </c>
      <c r="D1077" s="336">
        <v>44095.0</v>
      </c>
      <c r="E1077" s="157" t="s">
        <v>600</v>
      </c>
      <c r="F1077" s="160">
        <v>8957.39</v>
      </c>
      <c r="G1077" s="160">
        <v>1433.18</v>
      </c>
      <c r="H1077" s="160">
        <f>F1077+G1077-156.43-'NCUS$'!H23</f>
        <v>8560.55</v>
      </c>
      <c r="I1077" s="172"/>
      <c r="J1077" s="169"/>
      <c r="K1077" s="172"/>
      <c r="L1077" s="172">
        <f>+'FACUS$'!$H1077-'FACUS$'!$I1077-'FACUS$'!$K1077</f>
        <v>8560.55</v>
      </c>
      <c r="M1077" s="162" t="s">
        <v>145</v>
      </c>
      <c r="N1077" s="337" t="s">
        <v>554</v>
      </c>
      <c r="O1077" s="338">
        <v>44147.0</v>
      </c>
      <c r="P1077" s="164">
        <f t="array" ref="P1077">XLOOKUP('FACUS$'!$B1077,'perfil de pagos'!$A$4:$A$46,'perfil de pagos'!$C$4:$C$46+'FACUS$'!$D1077)</f>
        <v>44125</v>
      </c>
      <c r="Q1077" s="165">
        <f t="shared" si="2"/>
        <v>0</v>
      </c>
      <c r="R1077" s="167" t="s">
        <v>7977</v>
      </c>
      <c r="S1077" s="167" t="s">
        <v>910</v>
      </c>
      <c r="T1077" s="167"/>
      <c r="U1077" s="334" t="s">
        <v>7271</v>
      </c>
      <c r="V1077" s="168">
        <f t="shared" si="3"/>
        <v>8560.55</v>
      </c>
      <c r="W1077" s="168">
        <f t="shared" si="4"/>
        <v>0</v>
      </c>
      <c r="X1077" s="168">
        <f t="shared" si="5"/>
        <v>0</v>
      </c>
      <c r="Y1077" s="168">
        <f t="shared" si="6"/>
        <v>0</v>
      </c>
      <c r="Z1077" s="168">
        <f t="shared" si="7"/>
        <v>0</v>
      </c>
      <c r="AA1077" s="168">
        <f t="shared" si="8"/>
        <v>0</v>
      </c>
      <c r="AB1077" s="168">
        <f t="shared" si="9"/>
        <v>0</v>
      </c>
    </row>
    <row r="1078" ht="14.25" customHeight="1">
      <c r="A1078" s="157" t="s">
        <v>7978</v>
      </c>
      <c r="B1078" s="169" t="s">
        <v>20</v>
      </c>
      <c r="C1078" s="169" t="s">
        <v>2100</v>
      </c>
      <c r="D1078" s="336">
        <v>44096.0</v>
      </c>
      <c r="E1078" s="157" t="s">
        <v>600</v>
      </c>
      <c r="F1078" s="160">
        <v>923.42</v>
      </c>
      <c r="G1078" s="160">
        <v>147.75</v>
      </c>
      <c r="H1078" s="160">
        <f t="shared" ref="H1078:H1100" si="33">F1078+G1078</f>
        <v>1071.17</v>
      </c>
      <c r="I1078" s="172"/>
      <c r="J1078" s="169"/>
      <c r="K1078" s="172"/>
      <c r="L1078" s="172">
        <f>+'FACUS$'!$H1078-'FACUS$'!$I1078-'FACUS$'!$K1078</f>
        <v>1071.17</v>
      </c>
      <c r="M1078" s="162" t="s">
        <v>732</v>
      </c>
      <c r="N1078" s="337" t="s">
        <v>554</v>
      </c>
      <c r="O1078" s="338">
        <v>44106.0</v>
      </c>
      <c r="P1078" s="164">
        <f t="array" ref="P1078">XLOOKUP('FACUS$'!$B1078,'perfil de pagos'!$A$4:$A$46,'perfil de pagos'!$C$4:$C$46+'FACUS$'!$D1078)</f>
        <v>44106</v>
      </c>
      <c r="Q1078" s="165">
        <f t="shared" si="2"/>
        <v>0</v>
      </c>
      <c r="R1078" s="167"/>
      <c r="S1078" s="167" t="s">
        <v>910</v>
      </c>
      <c r="T1078" s="167"/>
      <c r="U1078" s="334" t="s">
        <v>7271</v>
      </c>
      <c r="V1078" s="168">
        <f t="shared" si="3"/>
        <v>1071.17</v>
      </c>
      <c r="W1078" s="168">
        <f t="shared" si="4"/>
        <v>0</v>
      </c>
      <c r="X1078" s="168">
        <f t="shared" si="5"/>
        <v>0</v>
      </c>
      <c r="Y1078" s="168">
        <f t="shared" si="6"/>
        <v>0</v>
      </c>
      <c r="Z1078" s="168">
        <f t="shared" si="7"/>
        <v>0</v>
      </c>
      <c r="AA1078" s="168">
        <f t="shared" si="8"/>
        <v>0</v>
      </c>
      <c r="AB1078" s="168">
        <f t="shared" si="9"/>
        <v>0</v>
      </c>
    </row>
    <row r="1079" ht="14.25" customHeight="1">
      <c r="A1079" s="157" t="s">
        <v>7979</v>
      </c>
      <c r="B1079" s="169" t="s">
        <v>41</v>
      </c>
      <c r="C1079" s="169" t="s">
        <v>2100</v>
      </c>
      <c r="D1079" s="336">
        <v>44104.0</v>
      </c>
      <c r="E1079" s="157" t="s">
        <v>600</v>
      </c>
      <c r="F1079" s="160">
        <v>17849.2</v>
      </c>
      <c r="G1079" s="160">
        <v>2855.87</v>
      </c>
      <c r="H1079" s="160">
        <f t="shared" si="33"/>
        <v>20705.07</v>
      </c>
      <c r="I1079" s="172"/>
      <c r="J1079" s="169"/>
      <c r="K1079" s="172"/>
      <c r="L1079" s="172">
        <f>+'FACUS$'!$H1079-'FACUS$'!$I1079-'FACUS$'!$K1079</f>
        <v>20705.07</v>
      </c>
      <c r="M1079" s="162" t="s">
        <v>875</v>
      </c>
      <c r="N1079" s="337" t="s">
        <v>554</v>
      </c>
      <c r="O1079" s="338">
        <v>44155.0</v>
      </c>
      <c r="P1079" s="164">
        <f t="array" ref="P1079">XLOOKUP('FACUS$'!$B1079,'perfil de pagos'!$A$4:$A$46,'perfil de pagos'!$C$4:$C$46+'FACUS$'!$D1079)</f>
        <v>44114</v>
      </c>
      <c r="Q1079" s="165">
        <f t="shared" si="2"/>
        <v>0</v>
      </c>
      <c r="R1079" s="167"/>
      <c r="S1079" s="167"/>
      <c r="T1079" s="167"/>
      <c r="U1079" s="334" t="s">
        <v>7271</v>
      </c>
      <c r="V1079" s="168">
        <f t="shared" si="3"/>
        <v>20705.07</v>
      </c>
      <c r="W1079" s="168">
        <f t="shared" si="4"/>
        <v>0</v>
      </c>
      <c r="X1079" s="168">
        <f t="shared" si="5"/>
        <v>0</v>
      </c>
      <c r="Y1079" s="168">
        <f t="shared" si="6"/>
        <v>0</v>
      </c>
      <c r="Z1079" s="168">
        <f t="shared" si="7"/>
        <v>0</v>
      </c>
      <c r="AA1079" s="168">
        <f t="shared" si="8"/>
        <v>0</v>
      </c>
      <c r="AB1079" s="168">
        <f t="shared" si="9"/>
        <v>0</v>
      </c>
    </row>
    <row r="1080" ht="14.25" customHeight="1">
      <c r="A1080" s="157" t="s">
        <v>7980</v>
      </c>
      <c r="B1080" s="169" t="s">
        <v>43</v>
      </c>
      <c r="C1080" s="169" t="s">
        <v>2116</v>
      </c>
      <c r="D1080" s="336">
        <v>44106.0</v>
      </c>
      <c r="E1080" s="157" t="s">
        <v>600</v>
      </c>
      <c r="F1080" s="160">
        <v>36221.08</v>
      </c>
      <c r="G1080" s="160">
        <v>5795.37</v>
      </c>
      <c r="H1080" s="160">
        <f t="shared" si="33"/>
        <v>42016.45</v>
      </c>
      <c r="I1080" s="172"/>
      <c r="J1080" s="169"/>
      <c r="K1080" s="172"/>
      <c r="L1080" s="172">
        <f>+'FACUS$'!$H1080-'FACUS$'!$I1080-'FACUS$'!$K1080</f>
        <v>42016.45</v>
      </c>
      <c r="M1080" s="162" t="s">
        <v>43</v>
      </c>
      <c r="N1080" s="337" t="s">
        <v>554</v>
      </c>
      <c r="O1080" s="338">
        <v>44113.0</v>
      </c>
      <c r="P1080" s="164">
        <f t="array" ref="P1080">XLOOKUP('FACUS$'!$B1080,'perfil de pagos'!$A$4:$A$46,'perfil de pagos'!$C$4:$C$46+'FACUS$'!$D1080)</f>
        <v>44131</v>
      </c>
      <c r="Q1080" s="165">
        <f t="shared" si="2"/>
        <v>0</v>
      </c>
      <c r="R1080" s="167"/>
      <c r="S1080" s="167" t="s">
        <v>910</v>
      </c>
      <c r="T1080" s="167"/>
      <c r="U1080" s="334" t="s">
        <v>7271</v>
      </c>
      <c r="V1080" s="168">
        <f t="shared" si="3"/>
        <v>42016.45</v>
      </c>
      <c r="W1080" s="168">
        <f t="shared" si="4"/>
        <v>0</v>
      </c>
      <c r="X1080" s="168">
        <f t="shared" si="5"/>
        <v>0</v>
      </c>
      <c r="Y1080" s="168">
        <f t="shared" si="6"/>
        <v>0</v>
      </c>
      <c r="Z1080" s="168">
        <f t="shared" si="7"/>
        <v>0</v>
      </c>
      <c r="AA1080" s="168">
        <f t="shared" si="8"/>
        <v>0</v>
      </c>
      <c r="AB1080" s="168">
        <f t="shared" si="9"/>
        <v>0</v>
      </c>
    </row>
    <row r="1081" ht="14.25" customHeight="1">
      <c r="A1081" s="157" t="s">
        <v>7981</v>
      </c>
      <c r="B1081" s="169" t="s">
        <v>1127</v>
      </c>
      <c r="C1081" s="169" t="s">
        <v>2116</v>
      </c>
      <c r="D1081" s="336">
        <v>44106.0</v>
      </c>
      <c r="E1081" s="157" t="s">
        <v>600</v>
      </c>
      <c r="F1081" s="160">
        <v>199.43</v>
      </c>
      <c r="G1081" s="160">
        <v>31.91</v>
      </c>
      <c r="H1081" s="160">
        <f t="shared" si="33"/>
        <v>231.34</v>
      </c>
      <c r="I1081" s="172"/>
      <c r="J1081" s="169"/>
      <c r="K1081" s="172"/>
      <c r="L1081" s="172">
        <f>+'FACUS$'!$H1081-'FACUS$'!$I1081-'FACUS$'!$K1081</f>
        <v>231.34</v>
      </c>
      <c r="M1081" s="162" t="s">
        <v>580</v>
      </c>
      <c r="N1081" s="337" t="s">
        <v>554</v>
      </c>
      <c r="O1081" s="338">
        <v>44126.0</v>
      </c>
      <c r="P1081" s="164" t="str">
        <f t="array" ref="P1081">XLOOKUP('FACUS$'!$B1081,'perfil de pagos'!$A$4:$A$46,'perfil de pagos'!$C$4:$C$46+'FACUS$'!$D1081)</f>
        <v>#N/A</v>
      </c>
      <c r="Q1081" s="165">
        <f t="shared" si="2"/>
        <v>0</v>
      </c>
      <c r="R1081" s="167"/>
      <c r="S1081" s="167"/>
      <c r="T1081" s="167"/>
      <c r="U1081" s="334" t="s">
        <v>7271</v>
      </c>
      <c r="V1081" s="168">
        <f t="shared" si="3"/>
        <v>231.34</v>
      </c>
      <c r="W1081" s="168">
        <f t="shared" si="4"/>
        <v>0</v>
      </c>
      <c r="X1081" s="168">
        <f t="shared" si="5"/>
        <v>0</v>
      </c>
      <c r="Y1081" s="168">
        <f t="shared" si="6"/>
        <v>0</v>
      </c>
      <c r="Z1081" s="168">
        <f t="shared" si="7"/>
        <v>0</v>
      </c>
      <c r="AA1081" s="168">
        <f t="shared" si="8"/>
        <v>0</v>
      </c>
      <c r="AB1081" s="168">
        <f t="shared" si="9"/>
        <v>0</v>
      </c>
    </row>
    <row r="1082" ht="14.25" customHeight="1">
      <c r="A1082" s="157" t="s">
        <v>7982</v>
      </c>
      <c r="B1082" s="169" t="s">
        <v>36</v>
      </c>
      <c r="C1082" s="169" t="s">
        <v>2116</v>
      </c>
      <c r="D1082" s="336">
        <v>44106.0</v>
      </c>
      <c r="E1082" s="157" t="s">
        <v>600</v>
      </c>
      <c r="F1082" s="160">
        <v>2543.96</v>
      </c>
      <c r="G1082" s="160">
        <v>407.03</v>
      </c>
      <c r="H1082" s="160">
        <f t="shared" si="33"/>
        <v>2950.99</v>
      </c>
      <c r="I1082" s="172"/>
      <c r="J1082" s="169"/>
      <c r="K1082" s="172"/>
      <c r="L1082" s="172">
        <f>+'FACUS$'!$H1082-'FACUS$'!$I1082-'FACUS$'!$K1082</f>
        <v>2950.99</v>
      </c>
      <c r="M1082" s="162" t="s">
        <v>278</v>
      </c>
      <c r="N1082" s="337" t="s">
        <v>554</v>
      </c>
      <c r="O1082" s="338">
        <v>44118.0</v>
      </c>
      <c r="P1082" s="164">
        <f t="array" ref="P1082">XLOOKUP('FACUS$'!$B1082,'perfil de pagos'!$A$4:$A$46,'perfil de pagos'!$C$4:$C$46+'FACUS$'!$D1082)</f>
        <v>44116</v>
      </c>
      <c r="Q1082" s="165">
        <f t="shared" si="2"/>
        <v>0</v>
      </c>
      <c r="R1082" s="167" t="s">
        <v>7983</v>
      </c>
      <c r="S1082" s="220" t="s">
        <v>910</v>
      </c>
      <c r="T1082" s="167"/>
      <c r="U1082" s="334" t="s">
        <v>7271</v>
      </c>
      <c r="V1082" s="168">
        <f t="shared" si="3"/>
        <v>2950.99</v>
      </c>
      <c r="W1082" s="168">
        <f t="shared" si="4"/>
        <v>0</v>
      </c>
      <c r="X1082" s="168">
        <f t="shared" si="5"/>
        <v>0</v>
      </c>
      <c r="Y1082" s="168">
        <f t="shared" si="6"/>
        <v>0</v>
      </c>
      <c r="Z1082" s="168">
        <f t="shared" si="7"/>
        <v>0</v>
      </c>
      <c r="AA1082" s="168">
        <f t="shared" si="8"/>
        <v>0</v>
      </c>
      <c r="AB1082" s="168">
        <f t="shared" si="9"/>
        <v>0</v>
      </c>
    </row>
    <row r="1083" ht="14.25" customHeight="1">
      <c r="A1083" s="157" t="s">
        <v>7984</v>
      </c>
      <c r="B1083" s="169" t="s">
        <v>35</v>
      </c>
      <c r="C1083" s="169" t="s">
        <v>2116</v>
      </c>
      <c r="D1083" s="336">
        <v>44106.0</v>
      </c>
      <c r="E1083" s="157" t="s">
        <v>600</v>
      </c>
      <c r="F1083" s="160">
        <v>9325.6</v>
      </c>
      <c r="G1083" s="160">
        <v>1492.1</v>
      </c>
      <c r="H1083" s="160">
        <f t="shared" si="33"/>
        <v>10817.7</v>
      </c>
      <c r="I1083" s="172"/>
      <c r="J1083" s="169"/>
      <c r="K1083" s="172"/>
      <c r="L1083" s="172">
        <f>+'FACUS$'!$H1083-'FACUS$'!$I1083-'FACUS$'!$K1083</f>
        <v>10817.7</v>
      </c>
      <c r="M1083" s="162" t="s">
        <v>276</v>
      </c>
      <c r="N1083" s="337" t="s">
        <v>554</v>
      </c>
      <c r="O1083" s="338">
        <v>44120.0</v>
      </c>
      <c r="P1083" s="164">
        <f t="array" ref="P1083">XLOOKUP('FACUS$'!$B1083,'perfil de pagos'!$A$4:$A$46,'perfil de pagos'!$C$4:$C$46+'FACUS$'!$D1083)</f>
        <v>44116</v>
      </c>
      <c r="Q1083" s="165">
        <f t="shared" si="2"/>
        <v>0</v>
      </c>
      <c r="R1083" s="167"/>
      <c r="S1083" s="167" t="s">
        <v>910</v>
      </c>
      <c r="T1083" s="167"/>
      <c r="U1083" s="334" t="s">
        <v>7271</v>
      </c>
      <c r="V1083" s="168">
        <f t="shared" si="3"/>
        <v>10817.7</v>
      </c>
      <c r="W1083" s="168">
        <f t="shared" si="4"/>
        <v>0</v>
      </c>
      <c r="X1083" s="168">
        <f t="shared" si="5"/>
        <v>0</v>
      </c>
      <c r="Y1083" s="168">
        <f t="shared" si="6"/>
        <v>0</v>
      </c>
      <c r="Z1083" s="168">
        <f t="shared" si="7"/>
        <v>0</v>
      </c>
      <c r="AA1083" s="168">
        <f t="shared" si="8"/>
        <v>0</v>
      </c>
      <c r="AB1083" s="168">
        <f t="shared" si="9"/>
        <v>0</v>
      </c>
    </row>
    <row r="1084" ht="14.25" customHeight="1">
      <c r="A1084" s="157" t="s">
        <v>7985</v>
      </c>
      <c r="B1084" s="169" t="s">
        <v>18</v>
      </c>
      <c r="C1084" s="169" t="s">
        <v>2116</v>
      </c>
      <c r="D1084" s="336">
        <v>44111.0</v>
      </c>
      <c r="E1084" s="157" t="s">
        <v>600</v>
      </c>
      <c r="F1084" s="160">
        <v>10008.45</v>
      </c>
      <c r="G1084" s="160">
        <v>1601.35</v>
      </c>
      <c r="H1084" s="160">
        <f t="shared" si="33"/>
        <v>11609.8</v>
      </c>
      <c r="I1084" s="172"/>
      <c r="J1084" s="169"/>
      <c r="K1084" s="172"/>
      <c r="L1084" s="172">
        <f>+'FACUS$'!$H1084-'FACUS$'!$I1084-'FACUS$'!$K1084</f>
        <v>11609.8</v>
      </c>
      <c r="M1084" s="162" t="s">
        <v>586</v>
      </c>
      <c r="N1084" s="337" t="s">
        <v>554</v>
      </c>
      <c r="O1084" s="338">
        <v>44159.0</v>
      </c>
      <c r="P1084" s="164">
        <f t="array" ref="P1084">XLOOKUP('FACUS$'!$B1084,'perfil de pagos'!$A$4:$A$46,'perfil de pagos'!$C$4:$C$46+'FACUS$'!$D1084)</f>
        <v>44121</v>
      </c>
      <c r="Q1084" s="165">
        <f t="shared" si="2"/>
        <v>0</v>
      </c>
      <c r="R1084" s="167"/>
      <c r="S1084" s="167" t="s">
        <v>910</v>
      </c>
      <c r="T1084" s="167"/>
      <c r="U1084" s="334" t="s">
        <v>7271</v>
      </c>
      <c r="V1084" s="168">
        <f t="shared" si="3"/>
        <v>11609.8</v>
      </c>
      <c r="W1084" s="168">
        <f t="shared" si="4"/>
        <v>0</v>
      </c>
      <c r="X1084" s="168">
        <f t="shared" si="5"/>
        <v>0</v>
      </c>
      <c r="Y1084" s="168">
        <f t="shared" si="6"/>
        <v>0</v>
      </c>
      <c r="Z1084" s="168">
        <f t="shared" si="7"/>
        <v>0</v>
      </c>
      <c r="AA1084" s="168">
        <f t="shared" si="8"/>
        <v>0</v>
      </c>
      <c r="AB1084" s="168">
        <f t="shared" si="9"/>
        <v>0</v>
      </c>
    </row>
    <row r="1085" ht="14.25" customHeight="1">
      <c r="A1085" s="157" t="s">
        <v>7986</v>
      </c>
      <c r="B1085" s="169" t="s">
        <v>20</v>
      </c>
      <c r="C1085" s="169" t="s">
        <v>2116</v>
      </c>
      <c r="D1085" s="336">
        <v>44111.0</v>
      </c>
      <c r="E1085" s="157" t="s">
        <v>600</v>
      </c>
      <c r="F1085" s="160">
        <v>9433.6</v>
      </c>
      <c r="G1085" s="160">
        <v>1509.38</v>
      </c>
      <c r="H1085" s="160">
        <f t="shared" si="33"/>
        <v>10942.98</v>
      </c>
      <c r="I1085" s="172"/>
      <c r="J1085" s="169"/>
      <c r="K1085" s="172"/>
      <c r="L1085" s="172">
        <f>+'FACUS$'!$H1085-'FACUS$'!$I1085-'FACUS$'!$K1085</f>
        <v>10942.98</v>
      </c>
      <c r="M1085" s="162" t="s">
        <v>732</v>
      </c>
      <c r="N1085" s="337" t="s">
        <v>554</v>
      </c>
      <c r="O1085" s="338">
        <v>44159.0</v>
      </c>
      <c r="P1085" s="164">
        <f t="array" ref="P1085">XLOOKUP('FACUS$'!$B1085,'perfil de pagos'!$A$4:$A$46,'perfil de pagos'!$C$4:$C$46+'FACUS$'!$D1085)</f>
        <v>44121</v>
      </c>
      <c r="Q1085" s="165">
        <f t="shared" si="2"/>
        <v>0</v>
      </c>
      <c r="R1085" s="167"/>
      <c r="S1085" s="167" t="s">
        <v>910</v>
      </c>
      <c r="T1085" s="167"/>
      <c r="U1085" s="334" t="s">
        <v>7271</v>
      </c>
      <c r="V1085" s="168">
        <f t="shared" si="3"/>
        <v>10942.98</v>
      </c>
      <c r="W1085" s="168">
        <f t="shared" si="4"/>
        <v>0</v>
      </c>
      <c r="X1085" s="168">
        <f t="shared" si="5"/>
        <v>0</v>
      </c>
      <c r="Y1085" s="168">
        <f t="shared" si="6"/>
        <v>0</v>
      </c>
      <c r="Z1085" s="168">
        <f t="shared" si="7"/>
        <v>0</v>
      </c>
      <c r="AA1085" s="168">
        <f t="shared" si="8"/>
        <v>0</v>
      </c>
      <c r="AB1085" s="168">
        <f t="shared" si="9"/>
        <v>0</v>
      </c>
    </row>
    <row r="1086" ht="14.25" customHeight="1">
      <c r="A1086" s="157" t="s">
        <v>7987</v>
      </c>
      <c r="B1086" s="169" t="s">
        <v>37</v>
      </c>
      <c r="C1086" s="169" t="s">
        <v>2116</v>
      </c>
      <c r="D1086" s="336">
        <v>44111.0</v>
      </c>
      <c r="E1086" s="157" t="s">
        <v>600</v>
      </c>
      <c r="F1086" s="160">
        <v>81808.37</v>
      </c>
      <c r="G1086" s="160">
        <v>13089.34</v>
      </c>
      <c r="H1086" s="160">
        <f t="shared" si="33"/>
        <v>94897.71</v>
      </c>
      <c r="I1086" s="172"/>
      <c r="J1086" s="169"/>
      <c r="K1086" s="172"/>
      <c r="L1086" s="172">
        <f>+'FACUS$'!$H1086-'FACUS$'!$I1086-'FACUS$'!$K1086</f>
        <v>94897.71</v>
      </c>
      <c r="M1086" s="162" t="s">
        <v>116</v>
      </c>
      <c r="N1086" s="337" t="s">
        <v>554</v>
      </c>
      <c r="O1086" s="338">
        <v>44130.0</v>
      </c>
      <c r="P1086" s="164">
        <f t="array" ref="P1086">XLOOKUP('FACUS$'!$B1086,'perfil de pagos'!$A$4:$A$46,'perfil de pagos'!$C$4:$C$46+'FACUS$'!$D1086)</f>
        <v>44121</v>
      </c>
      <c r="Q1086" s="165">
        <f t="shared" si="2"/>
        <v>0</v>
      </c>
      <c r="R1086" s="167" t="s">
        <v>7988</v>
      </c>
      <c r="S1086" s="220" t="s">
        <v>910</v>
      </c>
      <c r="T1086" s="167"/>
      <c r="U1086" s="334" t="s">
        <v>7271</v>
      </c>
      <c r="V1086" s="168">
        <f t="shared" si="3"/>
        <v>94897.71</v>
      </c>
      <c r="W1086" s="168">
        <f t="shared" si="4"/>
        <v>0</v>
      </c>
      <c r="X1086" s="168">
        <f t="shared" si="5"/>
        <v>0</v>
      </c>
      <c r="Y1086" s="168">
        <f t="shared" si="6"/>
        <v>0</v>
      </c>
      <c r="Z1086" s="168">
        <f t="shared" si="7"/>
        <v>0</v>
      </c>
      <c r="AA1086" s="168">
        <f t="shared" si="8"/>
        <v>0</v>
      </c>
      <c r="AB1086" s="168">
        <f t="shared" si="9"/>
        <v>0</v>
      </c>
    </row>
    <row r="1087" ht="14.25" customHeight="1">
      <c r="A1087" s="157" t="s">
        <v>7989</v>
      </c>
      <c r="B1087" s="169" t="s">
        <v>41</v>
      </c>
      <c r="C1087" s="169" t="s">
        <v>2116</v>
      </c>
      <c r="D1087" s="336">
        <v>44111.0</v>
      </c>
      <c r="E1087" s="157" t="s">
        <v>600</v>
      </c>
      <c r="F1087" s="160">
        <v>36010.92</v>
      </c>
      <c r="G1087" s="160">
        <v>5761.75</v>
      </c>
      <c r="H1087" s="160">
        <f t="shared" si="33"/>
        <v>41772.67</v>
      </c>
      <c r="I1087" s="172"/>
      <c r="J1087" s="169"/>
      <c r="K1087" s="172"/>
      <c r="L1087" s="172">
        <f>+'FACUS$'!$H1087-'FACUS$'!$I1087-'FACUS$'!$K1087</f>
        <v>41772.67</v>
      </c>
      <c r="M1087" s="162" t="s">
        <v>875</v>
      </c>
      <c r="N1087" s="337" t="s">
        <v>554</v>
      </c>
      <c r="O1087" s="338">
        <v>44169.0</v>
      </c>
      <c r="P1087" s="164">
        <f t="array" ref="P1087">XLOOKUP('FACUS$'!$B1087,'perfil de pagos'!$A$4:$A$46,'perfil de pagos'!$C$4:$C$46+'FACUS$'!$D1087)</f>
        <v>44121</v>
      </c>
      <c r="Q1087" s="165">
        <f t="shared" si="2"/>
        <v>0</v>
      </c>
      <c r="R1087" s="167"/>
      <c r="S1087" s="167"/>
      <c r="T1087" s="167"/>
      <c r="U1087" s="334" t="s">
        <v>7271</v>
      </c>
      <c r="V1087" s="168">
        <f t="shared" si="3"/>
        <v>41772.67</v>
      </c>
      <c r="W1087" s="168">
        <f t="shared" si="4"/>
        <v>0</v>
      </c>
      <c r="X1087" s="168">
        <f t="shared" si="5"/>
        <v>0</v>
      </c>
      <c r="Y1087" s="168">
        <f t="shared" si="6"/>
        <v>0</v>
      </c>
      <c r="Z1087" s="168">
        <f t="shared" si="7"/>
        <v>0</v>
      </c>
      <c r="AA1087" s="168">
        <f t="shared" si="8"/>
        <v>0</v>
      </c>
      <c r="AB1087" s="168">
        <f t="shared" si="9"/>
        <v>0</v>
      </c>
    </row>
    <row r="1088" ht="14.25" customHeight="1">
      <c r="A1088" s="157" t="s">
        <v>7990</v>
      </c>
      <c r="B1088" s="169" t="s">
        <v>36</v>
      </c>
      <c r="C1088" s="169" t="s">
        <v>7991</v>
      </c>
      <c r="D1088" s="336">
        <v>44112.0</v>
      </c>
      <c r="E1088" s="157" t="s">
        <v>600</v>
      </c>
      <c r="F1088" s="160">
        <v>1226.5</v>
      </c>
      <c r="G1088" s="160">
        <v>196.24</v>
      </c>
      <c r="H1088" s="160">
        <f t="shared" si="33"/>
        <v>1422.74</v>
      </c>
      <c r="I1088" s="172"/>
      <c r="J1088" s="169"/>
      <c r="K1088" s="172"/>
      <c r="L1088" s="172">
        <f>+'FACUS$'!$H1088-'FACUS$'!$I1088-'FACUS$'!$K1088</f>
        <v>1422.74</v>
      </c>
      <c r="M1088" s="162" t="s">
        <v>278</v>
      </c>
      <c r="N1088" s="337" t="s">
        <v>554</v>
      </c>
      <c r="O1088" s="338">
        <v>44169.0</v>
      </c>
      <c r="P1088" s="164">
        <f t="array" ref="P1088">XLOOKUP('FACUS$'!$B1088,'perfil de pagos'!$A$4:$A$46,'perfil de pagos'!$C$4:$C$46+'FACUS$'!$D1088)</f>
        <v>44122</v>
      </c>
      <c r="Q1088" s="165">
        <f t="shared" si="2"/>
        <v>0</v>
      </c>
      <c r="R1088" s="167" t="s">
        <v>7857</v>
      </c>
      <c r="S1088" s="220" t="s">
        <v>910</v>
      </c>
      <c r="T1088" s="167"/>
      <c r="U1088" s="334" t="s">
        <v>7271</v>
      </c>
      <c r="V1088" s="168">
        <f t="shared" si="3"/>
        <v>1422.74</v>
      </c>
      <c r="W1088" s="168">
        <f t="shared" si="4"/>
        <v>0</v>
      </c>
      <c r="X1088" s="168">
        <f t="shared" si="5"/>
        <v>0</v>
      </c>
      <c r="Y1088" s="168">
        <f t="shared" si="6"/>
        <v>0</v>
      </c>
      <c r="Z1088" s="168">
        <f t="shared" si="7"/>
        <v>0</v>
      </c>
      <c r="AA1088" s="168">
        <f t="shared" si="8"/>
        <v>0</v>
      </c>
      <c r="AB1088" s="168">
        <f t="shared" si="9"/>
        <v>0</v>
      </c>
    </row>
    <row r="1089" ht="14.25" customHeight="1">
      <c r="A1089" s="157" t="s">
        <v>7992</v>
      </c>
      <c r="B1089" s="169" t="s">
        <v>36</v>
      </c>
      <c r="C1089" s="169" t="s">
        <v>7993</v>
      </c>
      <c r="D1089" s="336">
        <v>44112.0</v>
      </c>
      <c r="E1089" s="157" t="s">
        <v>600</v>
      </c>
      <c r="F1089" s="160">
        <v>1226.5</v>
      </c>
      <c r="G1089" s="160">
        <v>196.24</v>
      </c>
      <c r="H1089" s="160">
        <f t="shared" si="33"/>
        <v>1422.74</v>
      </c>
      <c r="I1089" s="172"/>
      <c r="J1089" s="169"/>
      <c r="K1089" s="172"/>
      <c r="L1089" s="172">
        <f>+'FACUS$'!$H1089-'FACUS$'!$I1089-'FACUS$'!$K1089</f>
        <v>1422.74</v>
      </c>
      <c r="M1089" s="162" t="s">
        <v>278</v>
      </c>
      <c r="N1089" s="337" t="s">
        <v>554</v>
      </c>
      <c r="O1089" s="338">
        <v>44169.0</v>
      </c>
      <c r="P1089" s="164">
        <f t="array" ref="P1089">XLOOKUP('FACUS$'!$B1089,'perfil de pagos'!$A$4:$A$46,'perfil de pagos'!$C$4:$C$46+'FACUS$'!$D1089)</f>
        <v>44122</v>
      </c>
      <c r="Q1089" s="165">
        <f t="shared" si="2"/>
        <v>0</v>
      </c>
      <c r="R1089" s="167" t="s">
        <v>7857</v>
      </c>
      <c r="S1089" s="220" t="s">
        <v>910</v>
      </c>
      <c r="T1089" s="167"/>
      <c r="U1089" s="334" t="s">
        <v>7271</v>
      </c>
      <c r="V1089" s="168">
        <f t="shared" si="3"/>
        <v>1422.74</v>
      </c>
      <c r="W1089" s="168">
        <f t="shared" si="4"/>
        <v>0</v>
      </c>
      <c r="X1089" s="168">
        <f t="shared" si="5"/>
        <v>0</v>
      </c>
      <c r="Y1089" s="168">
        <f t="shared" si="6"/>
        <v>0</v>
      </c>
      <c r="Z1089" s="168">
        <f t="shared" si="7"/>
        <v>0</v>
      </c>
      <c r="AA1089" s="168">
        <f t="shared" si="8"/>
        <v>0</v>
      </c>
      <c r="AB1089" s="168">
        <f t="shared" si="9"/>
        <v>0</v>
      </c>
    </row>
    <row r="1090" ht="14.25" customHeight="1">
      <c r="A1090" s="157" t="s">
        <v>7994</v>
      </c>
      <c r="B1090" s="169" t="s">
        <v>30</v>
      </c>
      <c r="C1090" s="169" t="s">
        <v>7995</v>
      </c>
      <c r="D1090" s="336">
        <v>44112.0</v>
      </c>
      <c r="E1090" s="157" t="s">
        <v>600</v>
      </c>
      <c r="F1090" s="160">
        <v>3000.0</v>
      </c>
      <c r="G1090" s="160">
        <v>480.0</v>
      </c>
      <c r="H1090" s="160">
        <f t="shared" si="33"/>
        <v>3480</v>
      </c>
      <c r="I1090" s="172"/>
      <c r="J1090" s="169"/>
      <c r="K1090" s="172"/>
      <c r="L1090" s="172">
        <f>+'FACUS$'!$H1090-'FACUS$'!$I1090-'FACUS$'!$K1090</f>
        <v>3480</v>
      </c>
      <c r="M1090" s="162" t="s">
        <v>7415</v>
      </c>
      <c r="N1090" s="337" t="s">
        <v>127</v>
      </c>
      <c r="O1090" s="338">
        <v>45063.0</v>
      </c>
      <c r="P1090" s="164">
        <f t="array" ref="P1090">XLOOKUP('FACUS$'!$B1090,'perfil de pagos'!$A$4:$A$46,'perfil de pagos'!$C$4:$C$46+'FACUS$'!$D1090)</f>
        <v>44122</v>
      </c>
      <c r="Q1090" s="165" t="str">
        <f t="shared" si="2"/>
        <v>N/A</v>
      </c>
      <c r="R1090" s="220" t="s">
        <v>7747</v>
      </c>
      <c r="S1090" s="167"/>
      <c r="T1090" s="167"/>
      <c r="U1090" s="334" t="s">
        <v>7271</v>
      </c>
      <c r="V1090" s="168">
        <f t="shared" si="3"/>
        <v>0</v>
      </c>
      <c r="W1090" s="168">
        <f t="shared" si="4"/>
        <v>0</v>
      </c>
      <c r="X1090" s="168">
        <f t="shared" si="5"/>
        <v>0</v>
      </c>
      <c r="Y1090" s="168">
        <f t="shared" si="6"/>
        <v>0</v>
      </c>
      <c r="Z1090" s="168">
        <f t="shared" si="7"/>
        <v>0</v>
      </c>
      <c r="AA1090" s="168">
        <f t="shared" si="8"/>
        <v>0</v>
      </c>
      <c r="AB1090" s="168">
        <f t="shared" si="9"/>
        <v>3480</v>
      </c>
    </row>
    <row r="1091" ht="14.25" customHeight="1">
      <c r="A1091" s="157" t="s">
        <v>7996</v>
      </c>
      <c r="B1091" s="169" t="s">
        <v>1127</v>
      </c>
      <c r="C1091" s="366" t="s">
        <v>7997</v>
      </c>
      <c r="D1091" s="336">
        <v>44112.0</v>
      </c>
      <c r="E1091" s="157" t="s">
        <v>600</v>
      </c>
      <c r="F1091" s="160">
        <v>59268.01</v>
      </c>
      <c r="G1091" s="160">
        <v>9482.88</v>
      </c>
      <c r="H1091" s="160">
        <f t="shared" si="33"/>
        <v>68750.89</v>
      </c>
      <c r="I1091" s="172"/>
      <c r="J1091" s="169"/>
      <c r="K1091" s="172"/>
      <c r="L1091" s="172">
        <f>+'FACUS$'!$H1091-'FACUS$'!$I1091-'FACUS$'!$K1091</f>
        <v>68750.89</v>
      </c>
      <c r="M1091" s="162" t="s">
        <v>580</v>
      </c>
      <c r="N1091" s="337" t="s">
        <v>554</v>
      </c>
      <c r="O1091" s="338">
        <v>44126.0</v>
      </c>
      <c r="P1091" s="164" t="str">
        <f t="array" ref="P1091">XLOOKUP('FACUS$'!$B1091,'perfil de pagos'!$A$4:$A$46,'perfil de pagos'!$C$4:$C$46+'FACUS$'!$D1091)</f>
        <v>#N/A</v>
      </c>
      <c r="Q1091" s="165">
        <f t="shared" si="2"/>
        <v>0</v>
      </c>
      <c r="R1091" s="167"/>
      <c r="S1091" s="167"/>
      <c r="T1091" s="167"/>
      <c r="U1091" s="334" t="s">
        <v>7271</v>
      </c>
      <c r="V1091" s="168">
        <f t="shared" si="3"/>
        <v>68750.89</v>
      </c>
      <c r="W1091" s="168">
        <f t="shared" si="4"/>
        <v>0</v>
      </c>
      <c r="X1091" s="168">
        <f t="shared" si="5"/>
        <v>0</v>
      </c>
      <c r="Y1091" s="168">
        <f t="shared" si="6"/>
        <v>0</v>
      </c>
      <c r="Z1091" s="168">
        <f t="shared" si="7"/>
        <v>0</v>
      </c>
      <c r="AA1091" s="168">
        <f t="shared" si="8"/>
        <v>0</v>
      </c>
      <c r="AB1091" s="168">
        <f t="shared" si="9"/>
        <v>0</v>
      </c>
    </row>
    <row r="1092" ht="14.25" customHeight="1">
      <c r="A1092" s="157" t="s">
        <v>7998</v>
      </c>
      <c r="B1092" s="169" t="s">
        <v>33</v>
      </c>
      <c r="C1092" s="169" t="s">
        <v>2116</v>
      </c>
      <c r="D1092" s="336">
        <v>44117.0</v>
      </c>
      <c r="E1092" s="157" t="s">
        <v>600</v>
      </c>
      <c r="F1092" s="160">
        <v>25736.21</v>
      </c>
      <c r="G1092" s="160">
        <v>4117.79</v>
      </c>
      <c r="H1092" s="160">
        <f t="shared" si="33"/>
        <v>29854</v>
      </c>
      <c r="I1092" s="172"/>
      <c r="J1092" s="169"/>
      <c r="K1092" s="172"/>
      <c r="L1092" s="172">
        <f>+'FACUS$'!$H1092-'FACUS$'!$I1092-'FACUS$'!$K1092</f>
        <v>29854</v>
      </c>
      <c r="M1092" s="162" t="s">
        <v>958</v>
      </c>
      <c r="N1092" s="337" t="s">
        <v>554</v>
      </c>
      <c r="O1092" s="338">
        <v>44134.0</v>
      </c>
      <c r="P1092" s="164">
        <f t="array" ref="P1092">XLOOKUP('FACUS$'!$B1092,'perfil de pagos'!$A$4:$A$46,'perfil de pagos'!$C$4:$C$46+'FACUS$'!$D1092)</f>
        <v>44127</v>
      </c>
      <c r="Q1092" s="165">
        <f t="shared" si="2"/>
        <v>0</v>
      </c>
      <c r="R1092" s="167"/>
      <c r="S1092" s="167"/>
      <c r="T1092" s="167"/>
      <c r="U1092" s="334" t="s">
        <v>7271</v>
      </c>
      <c r="V1092" s="168">
        <f t="shared" si="3"/>
        <v>29854</v>
      </c>
      <c r="W1092" s="168">
        <f t="shared" si="4"/>
        <v>0</v>
      </c>
      <c r="X1092" s="168">
        <f t="shared" si="5"/>
        <v>0</v>
      </c>
      <c r="Y1092" s="168">
        <f t="shared" si="6"/>
        <v>0</v>
      </c>
      <c r="Z1092" s="168">
        <f t="shared" si="7"/>
        <v>0</v>
      </c>
      <c r="AA1092" s="168">
        <f t="shared" si="8"/>
        <v>0</v>
      </c>
      <c r="AB1092" s="168">
        <f t="shared" si="9"/>
        <v>0</v>
      </c>
    </row>
    <row r="1093" ht="14.25" customHeight="1">
      <c r="A1093" s="157" t="s">
        <v>7999</v>
      </c>
      <c r="B1093" s="169" t="s">
        <v>127</v>
      </c>
      <c r="C1093" s="169"/>
      <c r="D1093" s="336"/>
      <c r="E1093" s="157"/>
      <c r="F1093" s="160"/>
      <c r="G1093" s="160"/>
      <c r="H1093" s="160">
        <f t="shared" si="33"/>
        <v>0</v>
      </c>
      <c r="I1093" s="172"/>
      <c r="J1093" s="169"/>
      <c r="K1093" s="172"/>
      <c r="L1093" s="172">
        <f>+'FACUS$'!$H1093-'FACUS$'!$I1093-'FACUS$'!$K1093</f>
        <v>0</v>
      </c>
      <c r="M1093" s="162" t="s">
        <v>127</v>
      </c>
      <c r="N1093" s="337" t="s">
        <v>127</v>
      </c>
      <c r="O1093" s="338"/>
      <c r="P1093" s="164" t="str">
        <f t="array" ref="P1093">XLOOKUP('FACUS$'!$B1093,'perfil de pagos'!$A$4:$A$46,'perfil de pagos'!$C$4:$C$46+'FACUS$'!$D1093)</f>
        <v>#N/A</v>
      </c>
      <c r="Q1093" s="165" t="str">
        <f t="shared" si="2"/>
        <v>N/A</v>
      </c>
      <c r="R1093" s="167"/>
      <c r="S1093" s="167"/>
      <c r="T1093" s="167"/>
      <c r="U1093" s="334" t="s">
        <v>7271</v>
      </c>
      <c r="V1093" s="168">
        <f t="shared" si="3"/>
        <v>0</v>
      </c>
      <c r="W1093" s="168">
        <f t="shared" si="4"/>
        <v>0</v>
      </c>
      <c r="X1093" s="168">
        <f t="shared" si="5"/>
        <v>0</v>
      </c>
      <c r="Y1093" s="168">
        <f t="shared" si="6"/>
        <v>0</v>
      </c>
      <c r="Z1093" s="168">
        <f t="shared" si="7"/>
        <v>0</v>
      </c>
      <c r="AA1093" s="168">
        <f t="shared" si="8"/>
        <v>0</v>
      </c>
      <c r="AB1093" s="168">
        <f t="shared" si="9"/>
        <v>0</v>
      </c>
    </row>
    <row r="1094" ht="14.25" customHeight="1">
      <c r="A1094" s="157" t="s">
        <v>8000</v>
      </c>
      <c r="B1094" s="169" t="s">
        <v>33</v>
      </c>
      <c r="C1094" s="169" t="s">
        <v>2100</v>
      </c>
      <c r="D1094" s="336">
        <v>44117.0</v>
      </c>
      <c r="E1094" s="157" t="s">
        <v>600</v>
      </c>
      <c r="F1094" s="160">
        <v>17363.94</v>
      </c>
      <c r="G1094" s="160">
        <v>2778.23</v>
      </c>
      <c r="H1094" s="160">
        <f t="shared" si="33"/>
        <v>20142.17</v>
      </c>
      <c r="I1094" s="172"/>
      <c r="J1094" s="169"/>
      <c r="K1094" s="172"/>
      <c r="L1094" s="172">
        <f>+'FACUS$'!$H1094-'FACUS$'!$I1094-'FACUS$'!$K1094</f>
        <v>20142.17</v>
      </c>
      <c r="M1094" s="162" t="s">
        <v>958</v>
      </c>
      <c r="N1094" s="337" t="s">
        <v>554</v>
      </c>
      <c r="O1094" s="338">
        <v>44127.0</v>
      </c>
      <c r="P1094" s="164">
        <f t="array" ref="P1094">XLOOKUP('FACUS$'!$B1094,'perfil de pagos'!$A$4:$A$46,'perfil de pagos'!$C$4:$C$46+'FACUS$'!$D1094)</f>
        <v>44127</v>
      </c>
      <c r="Q1094" s="165">
        <f t="shared" si="2"/>
        <v>0</v>
      </c>
      <c r="R1094" s="167"/>
      <c r="S1094" s="167"/>
      <c r="T1094" s="167"/>
      <c r="U1094" s="334" t="s">
        <v>7271</v>
      </c>
      <c r="V1094" s="168">
        <f t="shared" si="3"/>
        <v>20142.17</v>
      </c>
      <c r="W1094" s="168">
        <f t="shared" si="4"/>
        <v>0</v>
      </c>
      <c r="X1094" s="168">
        <f t="shared" si="5"/>
        <v>0</v>
      </c>
      <c r="Y1094" s="168">
        <f t="shared" si="6"/>
        <v>0</v>
      </c>
      <c r="Z1094" s="168">
        <f t="shared" si="7"/>
        <v>0</v>
      </c>
      <c r="AA1094" s="168">
        <f t="shared" si="8"/>
        <v>0</v>
      </c>
      <c r="AB1094" s="168">
        <f t="shared" si="9"/>
        <v>0</v>
      </c>
    </row>
    <row r="1095" ht="14.25" customHeight="1">
      <c r="A1095" s="157" t="s">
        <v>8001</v>
      </c>
      <c r="B1095" s="169" t="s">
        <v>43</v>
      </c>
      <c r="C1095" s="169" t="s">
        <v>2166</v>
      </c>
      <c r="D1095" s="336">
        <v>44123.0</v>
      </c>
      <c r="E1095" s="157" t="s">
        <v>600</v>
      </c>
      <c r="F1095" s="160">
        <v>43638.5</v>
      </c>
      <c r="G1095" s="160">
        <v>6982.16</v>
      </c>
      <c r="H1095" s="160">
        <f t="shared" si="33"/>
        <v>50620.66</v>
      </c>
      <c r="I1095" s="172"/>
      <c r="J1095" s="169"/>
      <c r="K1095" s="172"/>
      <c r="L1095" s="172">
        <f>+'FACUS$'!$H1095-'FACUS$'!$I1095-'FACUS$'!$K1095</f>
        <v>50620.66</v>
      </c>
      <c r="M1095" s="162" t="s">
        <v>43</v>
      </c>
      <c r="N1095" s="337" t="s">
        <v>554</v>
      </c>
      <c r="O1095" s="338">
        <v>44134.0</v>
      </c>
      <c r="P1095" s="164">
        <f t="array" ref="P1095">XLOOKUP('FACUS$'!$B1095,'perfil de pagos'!$A$4:$A$46,'perfil de pagos'!$C$4:$C$46+'FACUS$'!$D1095)</f>
        <v>44148</v>
      </c>
      <c r="Q1095" s="165">
        <f t="shared" si="2"/>
        <v>0</v>
      </c>
      <c r="R1095" s="167"/>
      <c r="S1095" s="167" t="s">
        <v>910</v>
      </c>
      <c r="T1095" s="167"/>
      <c r="U1095" s="334" t="s">
        <v>7271</v>
      </c>
      <c r="V1095" s="168">
        <f t="shared" si="3"/>
        <v>50620.66</v>
      </c>
      <c r="W1095" s="168">
        <f t="shared" si="4"/>
        <v>0</v>
      </c>
      <c r="X1095" s="168">
        <f t="shared" si="5"/>
        <v>0</v>
      </c>
      <c r="Y1095" s="168">
        <f t="shared" si="6"/>
        <v>0</v>
      </c>
      <c r="Z1095" s="168">
        <f t="shared" si="7"/>
        <v>0</v>
      </c>
      <c r="AA1095" s="168">
        <f t="shared" si="8"/>
        <v>0</v>
      </c>
      <c r="AB1095" s="168">
        <f t="shared" si="9"/>
        <v>0</v>
      </c>
    </row>
    <row r="1096" ht="14.25" customHeight="1">
      <c r="A1096" s="157" t="s">
        <v>8002</v>
      </c>
      <c r="B1096" s="169" t="s">
        <v>1127</v>
      </c>
      <c r="C1096" s="169" t="s">
        <v>8003</v>
      </c>
      <c r="D1096" s="336">
        <v>44123.0</v>
      </c>
      <c r="E1096" s="157" t="s">
        <v>600</v>
      </c>
      <c r="F1096" s="160">
        <v>1586.5</v>
      </c>
      <c r="G1096" s="160">
        <v>253.84</v>
      </c>
      <c r="H1096" s="160">
        <f t="shared" si="33"/>
        <v>1840.34</v>
      </c>
      <c r="I1096" s="172"/>
      <c r="J1096" s="169"/>
      <c r="K1096" s="172"/>
      <c r="L1096" s="172">
        <f>+'FACUS$'!$H1096-'FACUS$'!$I1096-'FACUS$'!$K1096</f>
        <v>1840.34</v>
      </c>
      <c r="M1096" s="162" t="s">
        <v>580</v>
      </c>
      <c r="N1096" s="337" t="s">
        <v>554</v>
      </c>
      <c r="O1096" s="338">
        <v>44147.0</v>
      </c>
      <c r="P1096" s="164" t="str">
        <f t="array" ref="P1096">XLOOKUP('FACUS$'!$B1096,'perfil de pagos'!$A$4:$A$46,'perfil de pagos'!$C$4:$C$46+'FACUS$'!$D1096)</f>
        <v>#N/A</v>
      </c>
      <c r="Q1096" s="165">
        <f t="shared" si="2"/>
        <v>0</v>
      </c>
      <c r="R1096" s="167"/>
      <c r="S1096" s="167"/>
      <c r="T1096" s="167"/>
      <c r="U1096" s="334" t="s">
        <v>7271</v>
      </c>
      <c r="V1096" s="168">
        <f t="shared" si="3"/>
        <v>1840.34</v>
      </c>
      <c r="W1096" s="168">
        <f t="shared" si="4"/>
        <v>0</v>
      </c>
      <c r="X1096" s="168">
        <f t="shared" si="5"/>
        <v>0</v>
      </c>
      <c r="Y1096" s="168">
        <f t="shared" si="6"/>
        <v>0</v>
      </c>
      <c r="Z1096" s="168">
        <f t="shared" si="7"/>
        <v>0</v>
      </c>
      <c r="AA1096" s="168">
        <f t="shared" si="8"/>
        <v>0</v>
      </c>
      <c r="AB1096" s="168">
        <f t="shared" si="9"/>
        <v>0</v>
      </c>
    </row>
    <row r="1097" ht="14.25" customHeight="1">
      <c r="A1097" s="157" t="s">
        <v>8004</v>
      </c>
      <c r="B1097" s="169" t="s">
        <v>36</v>
      </c>
      <c r="C1097" s="169" t="s">
        <v>8003</v>
      </c>
      <c r="D1097" s="336">
        <v>44123.0</v>
      </c>
      <c r="E1097" s="157" t="s">
        <v>600</v>
      </c>
      <c r="F1097" s="160">
        <v>2299.21</v>
      </c>
      <c r="G1097" s="160">
        <v>367.87</v>
      </c>
      <c r="H1097" s="160">
        <f t="shared" si="33"/>
        <v>2667.08</v>
      </c>
      <c r="I1097" s="172"/>
      <c r="J1097" s="169"/>
      <c r="K1097" s="172"/>
      <c r="L1097" s="172">
        <f>+'FACUS$'!$H1097-'FACUS$'!$I1097-'FACUS$'!$K1097</f>
        <v>2667.08</v>
      </c>
      <c r="M1097" s="162" t="s">
        <v>278</v>
      </c>
      <c r="N1097" s="337" t="s">
        <v>554</v>
      </c>
      <c r="O1097" s="338">
        <v>44145.0</v>
      </c>
      <c r="P1097" s="164">
        <f t="array" ref="P1097">XLOOKUP('FACUS$'!$B1097,'perfil de pagos'!$A$4:$A$46,'perfil de pagos'!$C$4:$C$46+'FACUS$'!$D1097)</f>
        <v>44133</v>
      </c>
      <c r="Q1097" s="165">
        <f t="shared" si="2"/>
        <v>0</v>
      </c>
      <c r="R1097" s="167" t="s">
        <v>8005</v>
      </c>
      <c r="S1097" s="220" t="s">
        <v>910</v>
      </c>
      <c r="T1097" s="167"/>
      <c r="U1097" s="334" t="s">
        <v>7271</v>
      </c>
      <c r="V1097" s="168">
        <f t="shared" si="3"/>
        <v>2667.08</v>
      </c>
      <c r="W1097" s="168">
        <f t="shared" si="4"/>
        <v>0</v>
      </c>
      <c r="X1097" s="168">
        <f t="shared" si="5"/>
        <v>0</v>
      </c>
      <c r="Y1097" s="168">
        <f t="shared" si="6"/>
        <v>0</v>
      </c>
      <c r="Z1097" s="168">
        <f t="shared" si="7"/>
        <v>0</v>
      </c>
      <c r="AA1097" s="168">
        <f t="shared" si="8"/>
        <v>0</v>
      </c>
      <c r="AB1097" s="168">
        <f t="shared" si="9"/>
        <v>0</v>
      </c>
    </row>
    <row r="1098" ht="14.25" customHeight="1">
      <c r="A1098" s="157" t="s">
        <v>8006</v>
      </c>
      <c r="B1098" s="169" t="s">
        <v>35</v>
      </c>
      <c r="C1098" s="169"/>
      <c r="D1098" s="336"/>
      <c r="E1098" s="157"/>
      <c r="F1098" s="160"/>
      <c r="G1098" s="160"/>
      <c r="H1098" s="160">
        <f t="shared" si="33"/>
        <v>0</v>
      </c>
      <c r="I1098" s="172"/>
      <c r="J1098" s="169"/>
      <c r="K1098" s="172"/>
      <c r="L1098" s="172">
        <f>+'FACUS$'!$H1098-'FACUS$'!$I1098-'FACUS$'!$K1098</f>
        <v>0</v>
      </c>
      <c r="M1098" s="162"/>
      <c r="N1098" s="337" t="s">
        <v>127</v>
      </c>
      <c r="O1098" s="338"/>
      <c r="P1098" s="164">
        <f t="array" ref="P1098">XLOOKUP('FACUS$'!$B1098,'perfil de pagos'!$A$4:$A$46,'perfil de pagos'!$C$4:$C$46+'FACUS$'!$D1098)</f>
        <v>10</v>
      </c>
      <c r="Q1098" s="165" t="str">
        <f t="shared" si="2"/>
        <v>N/A</v>
      </c>
      <c r="R1098" s="167"/>
      <c r="S1098" s="167"/>
      <c r="T1098" s="167"/>
      <c r="U1098" s="334" t="s">
        <v>7271</v>
      </c>
      <c r="V1098" s="168">
        <f t="shared" si="3"/>
        <v>0</v>
      </c>
      <c r="W1098" s="168">
        <f t="shared" si="4"/>
        <v>0</v>
      </c>
      <c r="X1098" s="168">
        <f t="shared" si="5"/>
        <v>0</v>
      </c>
      <c r="Y1098" s="168">
        <f t="shared" si="6"/>
        <v>0</v>
      </c>
      <c r="Z1098" s="168">
        <f t="shared" si="7"/>
        <v>0</v>
      </c>
      <c r="AA1098" s="168">
        <f t="shared" si="8"/>
        <v>0</v>
      </c>
      <c r="AB1098" s="168">
        <f t="shared" si="9"/>
        <v>0</v>
      </c>
    </row>
    <row r="1099" ht="14.25" customHeight="1">
      <c r="A1099" s="157" t="s">
        <v>8007</v>
      </c>
      <c r="B1099" s="169" t="s">
        <v>33</v>
      </c>
      <c r="C1099" s="169" t="s">
        <v>2166</v>
      </c>
      <c r="D1099" s="336">
        <v>44123.0</v>
      </c>
      <c r="E1099" s="157" t="s">
        <v>600</v>
      </c>
      <c r="F1099" s="160">
        <v>34827.72</v>
      </c>
      <c r="G1099" s="160">
        <v>5572.44</v>
      </c>
      <c r="H1099" s="160">
        <f t="shared" si="33"/>
        <v>40400.16</v>
      </c>
      <c r="I1099" s="172"/>
      <c r="J1099" s="169"/>
      <c r="K1099" s="172"/>
      <c r="L1099" s="172">
        <f>+'FACUS$'!$H1099-'FACUS$'!$I1099-'FACUS$'!$K1099</f>
        <v>40400.16</v>
      </c>
      <c r="M1099" s="162" t="s">
        <v>958</v>
      </c>
      <c r="N1099" s="337" t="s">
        <v>554</v>
      </c>
      <c r="O1099" s="338">
        <v>44141.0</v>
      </c>
      <c r="P1099" s="164">
        <f t="array" ref="P1099">XLOOKUP('FACUS$'!$B1099,'perfil de pagos'!$A$4:$A$46,'perfil de pagos'!$C$4:$C$46+'FACUS$'!$D1099)</f>
        <v>44133</v>
      </c>
      <c r="Q1099" s="165">
        <f t="shared" si="2"/>
        <v>0</v>
      </c>
      <c r="R1099" s="167"/>
      <c r="S1099" s="167"/>
      <c r="T1099" s="167"/>
      <c r="U1099" s="334" t="s">
        <v>7271</v>
      </c>
      <c r="V1099" s="168">
        <f t="shared" si="3"/>
        <v>40400.16</v>
      </c>
      <c r="W1099" s="168">
        <f t="shared" si="4"/>
        <v>0</v>
      </c>
      <c r="X1099" s="168">
        <f t="shared" si="5"/>
        <v>0</v>
      </c>
      <c r="Y1099" s="168">
        <f t="shared" si="6"/>
        <v>0</v>
      </c>
      <c r="Z1099" s="168">
        <f t="shared" si="7"/>
        <v>0</v>
      </c>
      <c r="AA1099" s="168">
        <f t="shared" si="8"/>
        <v>0</v>
      </c>
      <c r="AB1099" s="168">
        <f t="shared" si="9"/>
        <v>0</v>
      </c>
    </row>
    <row r="1100" ht="14.25" customHeight="1">
      <c r="A1100" s="157" t="s">
        <v>8008</v>
      </c>
      <c r="B1100" s="169" t="s">
        <v>35</v>
      </c>
      <c r="C1100" s="169" t="s">
        <v>8003</v>
      </c>
      <c r="D1100" s="336">
        <v>44123.0</v>
      </c>
      <c r="E1100" s="157" t="s">
        <v>600</v>
      </c>
      <c r="F1100" s="160">
        <v>11269.53</v>
      </c>
      <c r="G1100" s="160">
        <v>1803.12</v>
      </c>
      <c r="H1100" s="160">
        <f t="shared" si="33"/>
        <v>13072.65</v>
      </c>
      <c r="I1100" s="172"/>
      <c r="J1100" s="169"/>
      <c r="K1100" s="172"/>
      <c r="L1100" s="172">
        <f>+'FACUS$'!$H1100-'FACUS$'!$I1100-'FACUS$'!$K1100</f>
        <v>13072.65</v>
      </c>
      <c r="M1100" s="162" t="s">
        <v>276</v>
      </c>
      <c r="N1100" s="337" t="s">
        <v>554</v>
      </c>
      <c r="O1100" s="338">
        <v>44140.0</v>
      </c>
      <c r="P1100" s="164">
        <f t="array" ref="P1100">XLOOKUP('FACUS$'!$B1100,'perfil de pagos'!$A$4:$A$46,'perfil de pagos'!$C$4:$C$46+'FACUS$'!$D1100)</f>
        <v>44133</v>
      </c>
      <c r="Q1100" s="165">
        <f t="shared" si="2"/>
        <v>0</v>
      </c>
      <c r="R1100" s="167"/>
      <c r="S1100" s="167" t="s">
        <v>910</v>
      </c>
      <c r="T1100" s="167"/>
      <c r="U1100" s="334" t="s">
        <v>7271</v>
      </c>
      <c r="V1100" s="168">
        <f t="shared" si="3"/>
        <v>13072.65</v>
      </c>
      <c r="W1100" s="168">
        <f t="shared" si="4"/>
        <v>0</v>
      </c>
      <c r="X1100" s="168">
        <f t="shared" si="5"/>
        <v>0</v>
      </c>
      <c r="Y1100" s="168">
        <f t="shared" si="6"/>
        <v>0</v>
      </c>
      <c r="Z1100" s="168">
        <f t="shared" si="7"/>
        <v>0</v>
      </c>
      <c r="AA1100" s="168">
        <f t="shared" si="8"/>
        <v>0</v>
      </c>
      <c r="AB1100" s="168">
        <f t="shared" si="9"/>
        <v>0</v>
      </c>
    </row>
    <row r="1101" ht="14.25" customHeight="1">
      <c r="A1101" s="157" t="s">
        <v>8009</v>
      </c>
      <c r="B1101" s="169" t="s">
        <v>41</v>
      </c>
      <c r="C1101" s="169" t="s">
        <v>2166</v>
      </c>
      <c r="D1101" s="336">
        <v>44126.0</v>
      </c>
      <c r="E1101" s="157" t="s">
        <v>600</v>
      </c>
      <c r="F1101" s="160">
        <v>46343.52</v>
      </c>
      <c r="G1101" s="160">
        <v>7414.96</v>
      </c>
      <c r="H1101" s="160">
        <f>F1101+G1101-38000</f>
        <v>15758.48</v>
      </c>
      <c r="I1101" s="172"/>
      <c r="J1101" s="169"/>
      <c r="K1101" s="172"/>
      <c r="L1101" s="172">
        <f>+'FACUS$'!$H1101-'FACUS$'!$I1101-'FACUS$'!$K1101</f>
        <v>15758.48</v>
      </c>
      <c r="M1101" s="162" t="s">
        <v>875</v>
      </c>
      <c r="N1101" s="337" t="s">
        <v>554</v>
      </c>
      <c r="O1101" s="338">
        <v>44225.0</v>
      </c>
      <c r="P1101" s="164">
        <f t="array" ref="P1101">XLOOKUP('FACUS$'!$B1101,'perfil de pagos'!$A$4:$A$46,'perfil de pagos'!$C$4:$C$46+'FACUS$'!$D1101)</f>
        <v>44136</v>
      </c>
      <c r="Q1101" s="165">
        <f t="shared" si="2"/>
        <v>0</v>
      </c>
      <c r="R1101" s="167"/>
      <c r="S1101" s="167" t="s">
        <v>910</v>
      </c>
      <c r="T1101" s="167"/>
      <c r="U1101" s="334" t="s">
        <v>7271</v>
      </c>
      <c r="V1101" s="168">
        <f t="shared" si="3"/>
        <v>15758.48</v>
      </c>
      <c r="W1101" s="168">
        <f t="shared" si="4"/>
        <v>0</v>
      </c>
      <c r="X1101" s="168">
        <f t="shared" si="5"/>
        <v>0</v>
      </c>
      <c r="Y1101" s="168">
        <f t="shared" si="6"/>
        <v>0</v>
      </c>
      <c r="Z1101" s="168">
        <f t="shared" si="7"/>
        <v>0</v>
      </c>
      <c r="AA1101" s="168">
        <f t="shared" si="8"/>
        <v>0</v>
      </c>
      <c r="AB1101" s="168">
        <f t="shared" si="9"/>
        <v>0</v>
      </c>
    </row>
    <row r="1102" ht="14.25" customHeight="1">
      <c r="A1102" s="157" t="s">
        <v>8010</v>
      </c>
      <c r="B1102" s="169" t="s">
        <v>50</v>
      </c>
      <c r="C1102" s="169" t="s">
        <v>2166</v>
      </c>
      <c r="D1102" s="336">
        <v>44127.0</v>
      </c>
      <c r="E1102" s="157" t="s">
        <v>600</v>
      </c>
      <c r="F1102" s="160">
        <v>2309.29</v>
      </c>
      <c r="G1102" s="160">
        <v>369.49</v>
      </c>
      <c r="H1102" s="160">
        <f>F1102+G1102-'NCUS$'!H25</f>
        <v>510.88</v>
      </c>
      <c r="I1102" s="172"/>
      <c r="J1102" s="169"/>
      <c r="K1102" s="172"/>
      <c r="L1102" s="172">
        <f>+'FACUS$'!$H1102-'FACUS$'!$I1102-'FACUS$'!$K1102</f>
        <v>510.88</v>
      </c>
      <c r="M1102" s="162" t="s">
        <v>570</v>
      </c>
      <c r="N1102" s="337" t="s">
        <v>554</v>
      </c>
      <c r="O1102" s="338">
        <v>44145.0</v>
      </c>
      <c r="P1102" s="164">
        <f t="array" ref="P1102">XLOOKUP('FACUS$'!$B1102,'perfil de pagos'!$A$4:$A$46,'perfil de pagos'!$C$4:$C$46+'FACUS$'!$D1102)</f>
        <v>44137</v>
      </c>
      <c r="Q1102" s="165">
        <f t="shared" si="2"/>
        <v>0</v>
      </c>
      <c r="R1102" s="167" t="s">
        <v>8011</v>
      </c>
      <c r="S1102" s="220" t="s">
        <v>910</v>
      </c>
      <c r="T1102" s="167"/>
      <c r="U1102" s="334" t="s">
        <v>7271</v>
      </c>
      <c r="V1102" s="168">
        <f t="shared" si="3"/>
        <v>510.88</v>
      </c>
      <c r="W1102" s="168">
        <f t="shared" si="4"/>
        <v>0</v>
      </c>
      <c r="X1102" s="168">
        <f t="shared" si="5"/>
        <v>0</v>
      </c>
      <c r="Y1102" s="168">
        <f t="shared" si="6"/>
        <v>0</v>
      </c>
      <c r="Z1102" s="168">
        <f t="shared" si="7"/>
        <v>0</v>
      </c>
      <c r="AA1102" s="168">
        <f t="shared" si="8"/>
        <v>0</v>
      </c>
      <c r="AB1102" s="168">
        <f t="shared" si="9"/>
        <v>0</v>
      </c>
    </row>
    <row r="1103" ht="14.25" customHeight="1">
      <c r="A1103" s="157" t="s">
        <v>8012</v>
      </c>
      <c r="B1103" s="169" t="s">
        <v>18</v>
      </c>
      <c r="C1103" s="169" t="s">
        <v>2166</v>
      </c>
      <c r="D1103" s="336">
        <v>44130.0</v>
      </c>
      <c r="E1103" s="157" t="s">
        <v>600</v>
      </c>
      <c r="F1103" s="160">
        <v>8444.96</v>
      </c>
      <c r="G1103" s="160">
        <v>1351.19</v>
      </c>
      <c r="H1103" s="160">
        <f t="shared" ref="H1103:H1112" si="34">F1103+G1103</f>
        <v>9796.15</v>
      </c>
      <c r="I1103" s="172"/>
      <c r="J1103" s="169"/>
      <c r="K1103" s="172"/>
      <c r="L1103" s="172">
        <f>+'FACUS$'!$H1103-'FACUS$'!$I1103-'FACUS$'!$K1103</f>
        <v>9796.15</v>
      </c>
      <c r="M1103" s="162" t="s">
        <v>586</v>
      </c>
      <c r="N1103" s="337" t="s">
        <v>554</v>
      </c>
      <c r="O1103" s="338">
        <v>44159.0</v>
      </c>
      <c r="P1103" s="164">
        <f t="array" ref="P1103">XLOOKUP('FACUS$'!$B1103,'perfil de pagos'!$A$4:$A$46,'perfil de pagos'!$C$4:$C$46+'FACUS$'!$D1103)</f>
        <v>44140</v>
      </c>
      <c r="Q1103" s="165">
        <f t="shared" si="2"/>
        <v>0</v>
      </c>
      <c r="R1103" s="167"/>
      <c r="S1103" s="167" t="s">
        <v>910</v>
      </c>
      <c r="T1103" s="167"/>
      <c r="U1103" s="334" t="s">
        <v>7271</v>
      </c>
      <c r="V1103" s="168">
        <f t="shared" si="3"/>
        <v>9796.15</v>
      </c>
      <c r="W1103" s="168">
        <f t="shared" si="4"/>
        <v>0</v>
      </c>
      <c r="X1103" s="168">
        <f t="shared" si="5"/>
        <v>0</v>
      </c>
      <c r="Y1103" s="168">
        <f t="shared" si="6"/>
        <v>0</v>
      </c>
      <c r="Z1103" s="168">
        <f t="shared" si="7"/>
        <v>0</v>
      </c>
      <c r="AA1103" s="168">
        <f t="shared" si="8"/>
        <v>0</v>
      </c>
      <c r="AB1103" s="168">
        <f t="shared" si="9"/>
        <v>0</v>
      </c>
    </row>
    <row r="1104" ht="14.25" customHeight="1">
      <c r="A1104" s="157" t="s">
        <v>8013</v>
      </c>
      <c r="B1104" s="169" t="s">
        <v>20</v>
      </c>
      <c r="C1104" s="169" t="s">
        <v>2166</v>
      </c>
      <c r="D1104" s="336">
        <v>44130.0</v>
      </c>
      <c r="E1104" s="157" t="s">
        <v>600</v>
      </c>
      <c r="F1104" s="160">
        <v>10492.42</v>
      </c>
      <c r="G1104" s="160">
        <v>1678.79</v>
      </c>
      <c r="H1104" s="160">
        <f t="shared" si="34"/>
        <v>12171.21</v>
      </c>
      <c r="I1104" s="172"/>
      <c r="J1104" s="169"/>
      <c r="K1104" s="172"/>
      <c r="L1104" s="172">
        <f>+'FACUS$'!$H1104-'FACUS$'!$I1104-'FACUS$'!$K1104</f>
        <v>12171.21</v>
      </c>
      <c r="M1104" s="162" t="s">
        <v>732</v>
      </c>
      <c r="N1104" s="337" t="s">
        <v>554</v>
      </c>
      <c r="O1104" s="338">
        <v>44159.0</v>
      </c>
      <c r="P1104" s="164">
        <f t="array" ref="P1104">XLOOKUP('FACUS$'!$B1104,'perfil de pagos'!$A$4:$A$46,'perfil de pagos'!$C$4:$C$46+'FACUS$'!$D1104)</f>
        <v>44140</v>
      </c>
      <c r="Q1104" s="165">
        <f t="shared" si="2"/>
        <v>0</v>
      </c>
      <c r="R1104" s="167"/>
      <c r="S1104" s="167" t="s">
        <v>910</v>
      </c>
      <c r="T1104" s="167"/>
      <c r="U1104" s="334" t="s">
        <v>7271</v>
      </c>
      <c r="V1104" s="168">
        <f t="shared" si="3"/>
        <v>12171.21</v>
      </c>
      <c r="W1104" s="168">
        <f t="shared" si="4"/>
        <v>0</v>
      </c>
      <c r="X1104" s="168">
        <f t="shared" si="5"/>
        <v>0</v>
      </c>
      <c r="Y1104" s="168">
        <f t="shared" si="6"/>
        <v>0</v>
      </c>
      <c r="Z1104" s="168">
        <f t="shared" si="7"/>
        <v>0</v>
      </c>
      <c r="AA1104" s="168">
        <f t="shared" si="8"/>
        <v>0</v>
      </c>
      <c r="AB1104" s="168">
        <f t="shared" si="9"/>
        <v>0</v>
      </c>
    </row>
    <row r="1105" ht="14.25" customHeight="1">
      <c r="A1105" s="157" t="s">
        <v>8014</v>
      </c>
      <c r="B1105" s="169" t="s">
        <v>37</v>
      </c>
      <c r="C1105" s="169" t="s">
        <v>2166</v>
      </c>
      <c r="D1105" s="336">
        <v>44131.0</v>
      </c>
      <c r="E1105" s="157" t="s">
        <v>600</v>
      </c>
      <c r="F1105" s="160">
        <v>72962.7</v>
      </c>
      <c r="G1105" s="160">
        <v>11674.03</v>
      </c>
      <c r="H1105" s="160">
        <f t="shared" si="34"/>
        <v>84636.73</v>
      </c>
      <c r="I1105" s="172"/>
      <c r="J1105" s="169"/>
      <c r="K1105" s="172"/>
      <c r="L1105" s="172">
        <f>+'FACUS$'!$H1105-'FACUS$'!$I1105-'FACUS$'!$K1105</f>
        <v>84636.73</v>
      </c>
      <c r="M1105" s="162" t="s">
        <v>116</v>
      </c>
      <c r="N1105" s="337" t="s">
        <v>554</v>
      </c>
      <c r="O1105" s="338">
        <v>44158.0</v>
      </c>
      <c r="P1105" s="164">
        <f t="array" ref="P1105">XLOOKUP('FACUS$'!$B1105,'perfil de pagos'!$A$4:$A$46,'perfil de pagos'!$C$4:$C$46+'FACUS$'!$D1105)</f>
        <v>44141</v>
      </c>
      <c r="Q1105" s="165">
        <f t="shared" si="2"/>
        <v>0</v>
      </c>
      <c r="R1105" s="167" t="s">
        <v>8015</v>
      </c>
      <c r="S1105" s="220" t="s">
        <v>910</v>
      </c>
      <c r="T1105" s="167"/>
      <c r="U1105" s="334" t="s">
        <v>7271</v>
      </c>
      <c r="V1105" s="168">
        <f t="shared" si="3"/>
        <v>84636.73</v>
      </c>
      <c r="W1105" s="168">
        <f t="shared" si="4"/>
        <v>0</v>
      </c>
      <c r="X1105" s="168">
        <f t="shared" si="5"/>
        <v>0</v>
      </c>
      <c r="Y1105" s="168">
        <f t="shared" si="6"/>
        <v>0</v>
      </c>
      <c r="Z1105" s="168">
        <f t="shared" si="7"/>
        <v>0</v>
      </c>
      <c r="AA1105" s="168">
        <f t="shared" si="8"/>
        <v>0</v>
      </c>
      <c r="AB1105" s="168">
        <f t="shared" si="9"/>
        <v>0</v>
      </c>
    </row>
    <row r="1106" ht="14.25" customHeight="1">
      <c r="A1106" s="157" t="s">
        <v>8016</v>
      </c>
      <c r="B1106" s="169" t="s">
        <v>38</v>
      </c>
      <c r="C1106" s="169" t="s">
        <v>2166</v>
      </c>
      <c r="D1106" s="336">
        <v>44131.0</v>
      </c>
      <c r="E1106" s="157" t="s">
        <v>600</v>
      </c>
      <c r="F1106" s="160">
        <v>5119.8</v>
      </c>
      <c r="G1106" s="364">
        <v>819.17</v>
      </c>
      <c r="H1106" s="160">
        <f t="shared" si="34"/>
        <v>5938.97</v>
      </c>
      <c r="I1106" s="172"/>
      <c r="J1106" s="169"/>
      <c r="K1106" s="172"/>
      <c r="L1106" s="172">
        <f>+'FACUS$'!$H1106-'FACUS$'!$I1106-'FACUS$'!$K1106</f>
        <v>5938.97</v>
      </c>
      <c r="M1106" s="162" t="s">
        <v>145</v>
      </c>
      <c r="N1106" s="337" t="s">
        <v>554</v>
      </c>
      <c r="O1106" s="338">
        <v>44162.0</v>
      </c>
      <c r="P1106" s="164">
        <f t="array" ref="P1106">XLOOKUP('FACUS$'!$B1106,'perfil de pagos'!$A$4:$A$46,'perfil de pagos'!$C$4:$C$46+'FACUS$'!$D1106)</f>
        <v>44161</v>
      </c>
      <c r="Q1106" s="165">
        <f t="shared" si="2"/>
        <v>0</v>
      </c>
      <c r="R1106" s="167" t="s">
        <v>8017</v>
      </c>
      <c r="S1106" s="167" t="s">
        <v>910</v>
      </c>
      <c r="T1106" s="167"/>
      <c r="U1106" s="334" t="s">
        <v>7271</v>
      </c>
      <c r="V1106" s="168">
        <f t="shared" si="3"/>
        <v>5938.97</v>
      </c>
      <c r="W1106" s="168">
        <f t="shared" si="4"/>
        <v>0</v>
      </c>
      <c r="X1106" s="168">
        <f t="shared" si="5"/>
        <v>0</v>
      </c>
      <c r="Y1106" s="168">
        <f t="shared" si="6"/>
        <v>0</v>
      </c>
      <c r="Z1106" s="168">
        <f t="shared" si="7"/>
        <v>0</v>
      </c>
      <c r="AA1106" s="168">
        <f t="shared" si="8"/>
        <v>0</v>
      </c>
      <c r="AB1106" s="168">
        <f t="shared" si="9"/>
        <v>0</v>
      </c>
    </row>
    <row r="1107" ht="14.25" customHeight="1">
      <c r="A1107" s="157" t="s">
        <v>8018</v>
      </c>
      <c r="B1107" s="169" t="s">
        <v>50</v>
      </c>
      <c r="C1107" s="169" t="s">
        <v>2143</v>
      </c>
      <c r="D1107" s="336">
        <v>44134.0</v>
      </c>
      <c r="E1107" s="157" t="s">
        <v>600</v>
      </c>
      <c r="F1107" s="160">
        <v>1281.67</v>
      </c>
      <c r="G1107" s="160">
        <v>205.07</v>
      </c>
      <c r="H1107" s="160">
        <f t="shared" si="34"/>
        <v>1486.74</v>
      </c>
      <c r="I1107" s="172"/>
      <c r="J1107" s="169"/>
      <c r="K1107" s="172"/>
      <c r="L1107" s="172">
        <f>+'FACUS$'!$H1107-'FACUS$'!$I1107-'FACUS$'!$K1107</f>
        <v>1486.74</v>
      </c>
      <c r="M1107" s="162" t="s">
        <v>570</v>
      </c>
      <c r="N1107" s="337" t="s">
        <v>554</v>
      </c>
      <c r="O1107" s="338">
        <v>44145.0</v>
      </c>
      <c r="P1107" s="164">
        <f t="array" ref="P1107">XLOOKUP('FACUS$'!$B1107,'perfil de pagos'!$A$4:$A$46,'perfil de pagos'!$C$4:$C$46+'FACUS$'!$D1107)</f>
        <v>44144</v>
      </c>
      <c r="Q1107" s="165">
        <f t="shared" si="2"/>
        <v>0</v>
      </c>
      <c r="R1107" s="167"/>
      <c r="S1107" s="220" t="s">
        <v>910</v>
      </c>
      <c r="T1107" s="167"/>
      <c r="U1107" s="334" t="s">
        <v>7271</v>
      </c>
      <c r="V1107" s="168">
        <f t="shared" si="3"/>
        <v>1486.74</v>
      </c>
      <c r="W1107" s="168">
        <f t="shared" si="4"/>
        <v>0</v>
      </c>
      <c r="X1107" s="168">
        <f t="shared" si="5"/>
        <v>0</v>
      </c>
      <c r="Y1107" s="168">
        <f t="shared" si="6"/>
        <v>0</v>
      </c>
      <c r="Z1107" s="168">
        <f t="shared" si="7"/>
        <v>0</v>
      </c>
      <c r="AA1107" s="168">
        <f t="shared" si="8"/>
        <v>0</v>
      </c>
      <c r="AB1107" s="168">
        <f t="shared" si="9"/>
        <v>0</v>
      </c>
    </row>
    <row r="1108" ht="14.25" customHeight="1">
      <c r="A1108" s="157" t="s">
        <v>8019</v>
      </c>
      <c r="B1108" s="169" t="s">
        <v>33</v>
      </c>
      <c r="C1108" s="169" t="s">
        <v>8020</v>
      </c>
      <c r="D1108" s="336">
        <v>44134.0</v>
      </c>
      <c r="E1108" s="157" t="s">
        <v>600</v>
      </c>
      <c r="F1108" s="160">
        <v>570.0</v>
      </c>
      <c r="G1108" s="160">
        <v>91.2</v>
      </c>
      <c r="H1108" s="160">
        <f t="shared" si="34"/>
        <v>661.2</v>
      </c>
      <c r="I1108" s="172"/>
      <c r="J1108" s="169"/>
      <c r="K1108" s="172"/>
      <c r="L1108" s="172">
        <f>+'FACUS$'!$H1108-'FACUS$'!$I1108-'FACUS$'!$K1108</f>
        <v>661.2</v>
      </c>
      <c r="M1108" s="162" t="s">
        <v>958</v>
      </c>
      <c r="N1108" s="337" t="s">
        <v>554</v>
      </c>
      <c r="O1108" s="338">
        <v>44148.0</v>
      </c>
      <c r="P1108" s="164">
        <f t="array" ref="P1108">XLOOKUP('FACUS$'!$B1108,'perfil de pagos'!$A$4:$A$46,'perfil de pagos'!$C$4:$C$46+'FACUS$'!$D1108)</f>
        <v>44144</v>
      </c>
      <c r="Q1108" s="165">
        <f t="shared" si="2"/>
        <v>0</v>
      </c>
      <c r="R1108" s="167"/>
      <c r="S1108" s="167"/>
      <c r="T1108" s="167"/>
      <c r="U1108" s="334" t="s">
        <v>7271</v>
      </c>
      <c r="V1108" s="168">
        <f t="shared" si="3"/>
        <v>661.2</v>
      </c>
      <c r="W1108" s="168">
        <f t="shared" si="4"/>
        <v>0</v>
      </c>
      <c r="X1108" s="168">
        <f t="shared" si="5"/>
        <v>0</v>
      </c>
      <c r="Y1108" s="168">
        <f t="shared" si="6"/>
        <v>0</v>
      </c>
      <c r="Z1108" s="168">
        <f t="shared" si="7"/>
        <v>0</v>
      </c>
      <c r="AA1108" s="168">
        <f t="shared" si="8"/>
        <v>0</v>
      </c>
      <c r="AB1108" s="168">
        <f t="shared" si="9"/>
        <v>0</v>
      </c>
    </row>
    <row r="1109" ht="14.25" customHeight="1">
      <c r="A1109" s="157" t="s">
        <v>8021</v>
      </c>
      <c r="B1109" s="169" t="s">
        <v>43</v>
      </c>
      <c r="C1109" s="169" t="s">
        <v>2200</v>
      </c>
      <c r="D1109" s="336">
        <v>44139.0</v>
      </c>
      <c r="E1109" s="157" t="s">
        <v>600</v>
      </c>
      <c r="F1109" s="160">
        <v>54983.55</v>
      </c>
      <c r="G1109" s="160">
        <v>8797.37</v>
      </c>
      <c r="H1109" s="160">
        <f t="shared" si="34"/>
        <v>63780.92</v>
      </c>
      <c r="I1109" s="172"/>
      <c r="J1109" s="169"/>
      <c r="K1109" s="172"/>
      <c r="L1109" s="172">
        <f>+'FACUS$'!$H1109-'FACUS$'!$I1109-'FACUS$'!$K1109</f>
        <v>63780.92</v>
      </c>
      <c r="M1109" s="162" t="s">
        <v>43</v>
      </c>
      <c r="N1109" s="337" t="s">
        <v>554</v>
      </c>
      <c r="O1109" s="338">
        <v>44148.0</v>
      </c>
      <c r="P1109" s="164">
        <f t="array" ref="P1109">XLOOKUP('FACUS$'!$B1109,'perfil de pagos'!$A$4:$A$46,'perfil de pagos'!$C$4:$C$46+'FACUS$'!$D1109)</f>
        <v>44164</v>
      </c>
      <c r="Q1109" s="165">
        <f t="shared" si="2"/>
        <v>0</v>
      </c>
      <c r="R1109" s="167"/>
      <c r="S1109" s="167" t="s">
        <v>910</v>
      </c>
      <c r="T1109" s="167"/>
      <c r="U1109" s="334" t="s">
        <v>7271</v>
      </c>
      <c r="V1109" s="168">
        <f t="shared" si="3"/>
        <v>63780.92</v>
      </c>
      <c r="W1109" s="168">
        <f t="shared" si="4"/>
        <v>0</v>
      </c>
      <c r="X1109" s="168">
        <f t="shared" si="5"/>
        <v>0</v>
      </c>
      <c r="Y1109" s="168">
        <f t="shared" si="6"/>
        <v>0</v>
      </c>
      <c r="Z1109" s="168">
        <f t="shared" si="7"/>
        <v>0</v>
      </c>
      <c r="AA1109" s="168">
        <f t="shared" si="8"/>
        <v>0</v>
      </c>
      <c r="AB1109" s="168">
        <f t="shared" si="9"/>
        <v>0</v>
      </c>
    </row>
    <row r="1110" ht="14.25" customHeight="1">
      <c r="A1110" s="157" t="s">
        <v>8022</v>
      </c>
      <c r="B1110" s="169" t="s">
        <v>1127</v>
      </c>
      <c r="C1110" s="169" t="s">
        <v>2200</v>
      </c>
      <c r="D1110" s="336">
        <v>44139.0</v>
      </c>
      <c r="E1110" s="157" t="s">
        <v>600</v>
      </c>
      <c r="F1110" s="160">
        <v>4954.82</v>
      </c>
      <c r="G1110" s="160">
        <v>792.77</v>
      </c>
      <c r="H1110" s="160">
        <f t="shared" si="34"/>
        <v>5747.59</v>
      </c>
      <c r="I1110" s="172"/>
      <c r="J1110" s="169"/>
      <c r="K1110" s="172"/>
      <c r="L1110" s="172">
        <f>+'FACUS$'!$H1110-'FACUS$'!$I1110-'FACUS$'!$K1110</f>
        <v>5747.59</v>
      </c>
      <c r="M1110" s="162" t="s">
        <v>580</v>
      </c>
      <c r="N1110" s="337" t="s">
        <v>554</v>
      </c>
      <c r="O1110" s="338">
        <v>44154.0</v>
      </c>
      <c r="P1110" s="164" t="str">
        <f t="array" ref="P1110">XLOOKUP('FACUS$'!$B1110,'perfil de pagos'!$A$4:$A$46,'perfil de pagos'!$C$4:$C$46+'FACUS$'!$D1110)</f>
        <v>#N/A</v>
      </c>
      <c r="Q1110" s="165">
        <f t="shared" si="2"/>
        <v>0</v>
      </c>
      <c r="R1110" s="167"/>
      <c r="S1110" s="167"/>
      <c r="T1110" s="167"/>
      <c r="U1110" s="334" t="s">
        <v>7271</v>
      </c>
      <c r="V1110" s="168">
        <f t="shared" si="3"/>
        <v>5747.59</v>
      </c>
      <c r="W1110" s="168">
        <f t="shared" si="4"/>
        <v>0</v>
      </c>
      <c r="X1110" s="168">
        <f t="shared" si="5"/>
        <v>0</v>
      </c>
      <c r="Y1110" s="168">
        <f t="shared" si="6"/>
        <v>0</v>
      </c>
      <c r="Z1110" s="168">
        <f t="shared" si="7"/>
        <v>0</v>
      </c>
      <c r="AA1110" s="168">
        <f t="shared" si="8"/>
        <v>0</v>
      </c>
      <c r="AB1110" s="168">
        <f t="shared" si="9"/>
        <v>0</v>
      </c>
    </row>
    <row r="1111" ht="14.25" customHeight="1">
      <c r="A1111" s="157" t="s">
        <v>8023</v>
      </c>
      <c r="B1111" s="169" t="s">
        <v>36</v>
      </c>
      <c r="C1111" s="169" t="s">
        <v>2200</v>
      </c>
      <c r="D1111" s="336">
        <v>44139.0</v>
      </c>
      <c r="E1111" s="157" t="s">
        <v>600</v>
      </c>
      <c r="F1111" s="160">
        <v>3757.69</v>
      </c>
      <c r="G1111" s="160">
        <v>601.23</v>
      </c>
      <c r="H1111" s="160">
        <f t="shared" si="34"/>
        <v>4358.92</v>
      </c>
      <c r="I1111" s="172"/>
      <c r="J1111" s="169"/>
      <c r="K1111" s="172"/>
      <c r="L1111" s="172">
        <f>+'FACUS$'!$H1111-'FACUS$'!$I1111-'FACUS$'!$K1111</f>
        <v>4358.92</v>
      </c>
      <c r="M1111" s="162" t="s">
        <v>278</v>
      </c>
      <c r="N1111" s="337" t="s">
        <v>554</v>
      </c>
      <c r="O1111" s="338">
        <v>44179.0</v>
      </c>
      <c r="P1111" s="164">
        <f t="array" ref="P1111">XLOOKUP('FACUS$'!$B1111,'perfil de pagos'!$A$4:$A$46,'perfil de pagos'!$C$4:$C$46+'FACUS$'!$D1111)</f>
        <v>44149</v>
      </c>
      <c r="Q1111" s="165">
        <f t="shared" si="2"/>
        <v>0</v>
      </c>
      <c r="R1111" s="167" t="s">
        <v>8024</v>
      </c>
      <c r="S1111" s="220" t="s">
        <v>910</v>
      </c>
      <c r="T1111" s="167"/>
      <c r="U1111" s="334" t="s">
        <v>7271</v>
      </c>
      <c r="V1111" s="168">
        <f t="shared" si="3"/>
        <v>4358.92</v>
      </c>
      <c r="W1111" s="168">
        <f t="shared" si="4"/>
        <v>0</v>
      </c>
      <c r="X1111" s="168">
        <f t="shared" si="5"/>
        <v>0</v>
      </c>
      <c r="Y1111" s="168">
        <f t="shared" si="6"/>
        <v>0</v>
      </c>
      <c r="Z1111" s="168">
        <f t="shared" si="7"/>
        <v>0</v>
      </c>
      <c r="AA1111" s="168">
        <f t="shared" si="8"/>
        <v>0</v>
      </c>
      <c r="AB1111" s="168">
        <f t="shared" si="9"/>
        <v>0</v>
      </c>
    </row>
    <row r="1112" ht="14.25" customHeight="1">
      <c r="A1112" s="157" t="s">
        <v>8025</v>
      </c>
      <c r="B1112" s="169" t="s">
        <v>35</v>
      </c>
      <c r="C1112" s="169" t="s">
        <v>2200</v>
      </c>
      <c r="D1112" s="336">
        <v>44139.0</v>
      </c>
      <c r="E1112" s="157" t="s">
        <v>600</v>
      </c>
      <c r="F1112" s="160">
        <v>19215.45</v>
      </c>
      <c r="G1112" s="160">
        <v>3074.47</v>
      </c>
      <c r="H1112" s="160">
        <f t="shared" si="34"/>
        <v>22289.92</v>
      </c>
      <c r="I1112" s="172"/>
      <c r="J1112" s="169"/>
      <c r="K1112" s="172"/>
      <c r="L1112" s="172">
        <f>+'FACUS$'!$H1112-'FACUS$'!$I1112-'FACUS$'!$K1112</f>
        <v>22289.92</v>
      </c>
      <c r="M1112" s="162" t="s">
        <v>276</v>
      </c>
      <c r="N1112" s="337" t="s">
        <v>554</v>
      </c>
      <c r="O1112" s="338">
        <v>44154.0</v>
      </c>
      <c r="P1112" s="164">
        <f t="array" ref="P1112">XLOOKUP('FACUS$'!$B1112,'perfil de pagos'!$A$4:$A$46,'perfil de pagos'!$C$4:$C$46+'FACUS$'!$D1112)</f>
        <v>44149</v>
      </c>
      <c r="Q1112" s="165">
        <f t="shared" si="2"/>
        <v>0</v>
      </c>
      <c r="R1112" s="167"/>
      <c r="S1112" s="167" t="s">
        <v>910</v>
      </c>
      <c r="T1112" s="167"/>
      <c r="U1112" s="334" t="s">
        <v>7271</v>
      </c>
      <c r="V1112" s="168">
        <f t="shared" si="3"/>
        <v>22289.92</v>
      </c>
      <c r="W1112" s="168">
        <f t="shared" si="4"/>
        <v>0</v>
      </c>
      <c r="X1112" s="168">
        <f t="shared" si="5"/>
        <v>0</v>
      </c>
      <c r="Y1112" s="168">
        <f t="shared" si="6"/>
        <v>0</v>
      </c>
      <c r="Z1112" s="168">
        <f t="shared" si="7"/>
        <v>0</v>
      </c>
      <c r="AA1112" s="168">
        <f t="shared" si="8"/>
        <v>0</v>
      </c>
      <c r="AB1112" s="168">
        <f t="shared" si="9"/>
        <v>0</v>
      </c>
    </row>
    <row r="1113" ht="14.25" customHeight="1">
      <c r="A1113" s="157" t="s">
        <v>8026</v>
      </c>
      <c r="B1113" s="169" t="s">
        <v>41</v>
      </c>
      <c r="C1113" s="169" t="s">
        <v>2200</v>
      </c>
      <c r="D1113" s="336">
        <v>44140.0</v>
      </c>
      <c r="E1113" s="157" t="s">
        <v>600</v>
      </c>
      <c r="F1113" s="160">
        <v>46343.52</v>
      </c>
      <c r="G1113" s="160">
        <v>7414.96</v>
      </c>
      <c r="H1113" s="160">
        <f>F1113+G1113-3583.46</f>
        <v>50175.02</v>
      </c>
      <c r="I1113" s="172"/>
      <c r="J1113" s="169"/>
      <c r="K1113" s="172"/>
      <c r="L1113" s="172">
        <f>+'FACUS$'!$H1113-'FACUS$'!$I1113-'FACUS$'!$K1113</f>
        <v>50175.02</v>
      </c>
      <c r="M1113" s="162" t="s">
        <v>875</v>
      </c>
      <c r="N1113" s="337" t="s">
        <v>554</v>
      </c>
      <c r="O1113" s="338">
        <v>44245.0</v>
      </c>
      <c r="P1113" s="164">
        <f t="array" ref="P1113">XLOOKUP('FACUS$'!$B1113,'perfil de pagos'!$A$4:$A$46,'perfil de pagos'!$C$4:$C$46+'FACUS$'!$D1113)</f>
        <v>44150</v>
      </c>
      <c r="Q1113" s="165">
        <f t="shared" si="2"/>
        <v>0</v>
      </c>
      <c r="R1113" s="167" t="s">
        <v>8027</v>
      </c>
      <c r="S1113" s="167" t="s">
        <v>910</v>
      </c>
      <c r="T1113" s="167"/>
      <c r="U1113" s="334" t="s">
        <v>7271</v>
      </c>
      <c r="V1113" s="168">
        <f t="shared" si="3"/>
        <v>50175.02</v>
      </c>
      <c r="W1113" s="168">
        <f t="shared" si="4"/>
        <v>0</v>
      </c>
      <c r="X1113" s="168">
        <f t="shared" si="5"/>
        <v>0</v>
      </c>
      <c r="Y1113" s="168">
        <f t="shared" si="6"/>
        <v>0</v>
      </c>
      <c r="Z1113" s="168">
        <f t="shared" si="7"/>
        <v>0</v>
      </c>
      <c r="AA1113" s="168">
        <f t="shared" si="8"/>
        <v>0</v>
      </c>
      <c r="AB1113" s="168">
        <f t="shared" si="9"/>
        <v>0</v>
      </c>
    </row>
    <row r="1114" ht="14.25" customHeight="1">
      <c r="A1114" s="157" t="s">
        <v>8028</v>
      </c>
      <c r="B1114" s="169" t="s">
        <v>50</v>
      </c>
      <c r="C1114" s="169" t="s">
        <v>2180</v>
      </c>
      <c r="D1114" s="336">
        <v>44140.0</v>
      </c>
      <c r="E1114" s="157" t="s">
        <v>600</v>
      </c>
      <c r="F1114" s="160">
        <v>10602.9</v>
      </c>
      <c r="G1114" s="160">
        <v>1696.46</v>
      </c>
      <c r="H1114" s="160">
        <f t="shared" ref="H1114:H1136" si="35">F1114+G1114</f>
        <v>12299.36</v>
      </c>
      <c r="I1114" s="172"/>
      <c r="J1114" s="169"/>
      <c r="K1114" s="172"/>
      <c r="L1114" s="172">
        <f>+'FACUS$'!$H1114-'FACUS$'!$I1114-'FACUS$'!$K1114</f>
        <v>12299.36</v>
      </c>
      <c r="M1114" s="162" t="s">
        <v>570</v>
      </c>
      <c r="N1114" s="337" t="s">
        <v>554</v>
      </c>
      <c r="O1114" s="338">
        <v>44155.0</v>
      </c>
      <c r="P1114" s="164">
        <f t="array" ref="P1114">XLOOKUP('FACUS$'!$B1114,'perfil de pagos'!$A$4:$A$46,'perfil de pagos'!$C$4:$C$46+'FACUS$'!$D1114)</f>
        <v>44150</v>
      </c>
      <c r="Q1114" s="165">
        <f t="shared" si="2"/>
        <v>0</v>
      </c>
      <c r="R1114" s="167"/>
      <c r="S1114" s="220" t="s">
        <v>910</v>
      </c>
      <c r="T1114" s="167"/>
      <c r="U1114" s="334" t="s">
        <v>7271</v>
      </c>
      <c r="V1114" s="168">
        <f t="shared" si="3"/>
        <v>12299.36</v>
      </c>
      <c r="W1114" s="168">
        <f t="shared" si="4"/>
        <v>0</v>
      </c>
      <c r="X1114" s="168">
        <f t="shared" si="5"/>
        <v>0</v>
      </c>
      <c r="Y1114" s="168">
        <f t="shared" si="6"/>
        <v>0</v>
      </c>
      <c r="Z1114" s="168">
        <f t="shared" si="7"/>
        <v>0</v>
      </c>
      <c r="AA1114" s="168">
        <f t="shared" si="8"/>
        <v>0</v>
      </c>
      <c r="AB1114" s="168">
        <f t="shared" si="9"/>
        <v>0</v>
      </c>
    </row>
    <row r="1115" ht="14.25" customHeight="1">
      <c r="A1115" s="157" t="s">
        <v>8029</v>
      </c>
      <c r="B1115" s="169" t="s">
        <v>50</v>
      </c>
      <c r="C1115" s="169" t="s">
        <v>2200</v>
      </c>
      <c r="D1115" s="336">
        <v>44140.0</v>
      </c>
      <c r="E1115" s="157" t="s">
        <v>600</v>
      </c>
      <c r="F1115" s="160">
        <v>2309.29</v>
      </c>
      <c r="G1115" s="160">
        <v>369.49</v>
      </c>
      <c r="H1115" s="160">
        <f t="shared" si="35"/>
        <v>2678.78</v>
      </c>
      <c r="I1115" s="172"/>
      <c r="J1115" s="169"/>
      <c r="K1115" s="172"/>
      <c r="L1115" s="172">
        <f>+'FACUS$'!$H1115-'FACUS$'!$I1115-'FACUS$'!$K1115</f>
        <v>2678.78</v>
      </c>
      <c r="M1115" s="162" t="s">
        <v>570</v>
      </c>
      <c r="N1115" s="337" t="s">
        <v>127</v>
      </c>
      <c r="O1115" s="338"/>
      <c r="P1115" s="164">
        <f t="array" ref="P1115">XLOOKUP('FACUS$'!$B1115,'perfil de pagos'!$A$4:$A$46,'perfil de pagos'!$C$4:$C$46+'FACUS$'!$D1115)</f>
        <v>44150</v>
      </c>
      <c r="Q1115" s="165" t="str">
        <f t="shared" si="2"/>
        <v>N/A</v>
      </c>
      <c r="R1115" s="167" t="s">
        <v>8030</v>
      </c>
      <c r="S1115" s="167"/>
      <c r="T1115" s="167"/>
      <c r="U1115" s="334" t="s">
        <v>7271</v>
      </c>
      <c r="V1115" s="168">
        <f t="shared" si="3"/>
        <v>0</v>
      </c>
      <c r="W1115" s="168">
        <f t="shared" si="4"/>
        <v>0</v>
      </c>
      <c r="X1115" s="168">
        <f t="shared" si="5"/>
        <v>0</v>
      </c>
      <c r="Y1115" s="168">
        <f t="shared" si="6"/>
        <v>0</v>
      </c>
      <c r="Z1115" s="168">
        <f t="shared" si="7"/>
        <v>0</v>
      </c>
      <c r="AA1115" s="168">
        <f t="shared" si="8"/>
        <v>0</v>
      </c>
      <c r="AB1115" s="168">
        <f t="shared" si="9"/>
        <v>2678.78</v>
      </c>
    </row>
    <row r="1116" ht="14.25" customHeight="1">
      <c r="A1116" s="157" t="s">
        <v>8031</v>
      </c>
      <c r="B1116" s="169" t="s">
        <v>18</v>
      </c>
      <c r="C1116" s="169" t="s">
        <v>2200</v>
      </c>
      <c r="D1116" s="336">
        <v>44140.0</v>
      </c>
      <c r="E1116" s="157" t="s">
        <v>600</v>
      </c>
      <c r="F1116" s="160">
        <v>9750.5</v>
      </c>
      <c r="G1116" s="160">
        <v>1560.08</v>
      </c>
      <c r="H1116" s="160">
        <f t="shared" si="35"/>
        <v>11310.58</v>
      </c>
      <c r="I1116" s="172"/>
      <c r="J1116" s="169"/>
      <c r="K1116" s="172"/>
      <c r="L1116" s="172">
        <f>+'FACUS$'!$H1116-'FACUS$'!$I1116-'FACUS$'!$K1116</f>
        <v>11310.58</v>
      </c>
      <c r="M1116" s="162" t="s">
        <v>586</v>
      </c>
      <c r="N1116" s="337" t="s">
        <v>554</v>
      </c>
      <c r="O1116" s="338">
        <v>44159.0</v>
      </c>
      <c r="P1116" s="164">
        <f t="array" ref="P1116">XLOOKUP('FACUS$'!$B1116,'perfil de pagos'!$A$4:$A$46,'perfil de pagos'!$C$4:$C$46+'FACUS$'!$D1116)</f>
        <v>44150</v>
      </c>
      <c r="Q1116" s="165">
        <f t="shared" si="2"/>
        <v>0</v>
      </c>
      <c r="R1116" s="167"/>
      <c r="S1116" s="167" t="s">
        <v>910</v>
      </c>
      <c r="T1116" s="167"/>
      <c r="U1116" s="334" t="s">
        <v>7271</v>
      </c>
      <c r="V1116" s="168">
        <f t="shared" si="3"/>
        <v>11310.58</v>
      </c>
      <c r="W1116" s="168">
        <f t="shared" si="4"/>
        <v>0</v>
      </c>
      <c r="X1116" s="168">
        <f t="shared" si="5"/>
        <v>0</v>
      </c>
      <c r="Y1116" s="168">
        <f t="shared" si="6"/>
        <v>0</v>
      </c>
      <c r="Z1116" s="168">
        <f t="shared" si="7"/>
        <v>0</v>
      </c>
      <c r="AA1116" s="168">
        <f t="shared" si="8"/>
        <v>0</v>
      </c>
      <c r="AB1116" s="168">
        <f t="shared" si="9"/>
        <v>0</v>
      </c>
    </row>
    <row r="1117" ht="14.25" customHeight="1">
      <c r="A1117" s="157" t="s">
        <v>8032</v>
      </c>
      <c r="B1117" s="169" t="s">
        <v>20</v>
      </c>
      <c r="C1117" s="169" t="s">
        <v>2200</v>
      </c>
      <c r="D1117" s="336">
        <v>44140.0</v>
      </c>
      <c r="E1117" s="157" t="s">
        <v>600</v>
      </c>
      <c r="F1117" s="160">
        <v>11328.95</v>
      </c>
      <c r="G1117" s="160">
        <v>1812.63</v>
      </c>
      <c r="H1117" s="160">
        <f t="shared" si="35"/>
        <v>13141.58</v>
      </c>
      <c r="I1117" s="172"/>
      <c r="J1117" s="169"/>
      <c r="K1117" s="172"/>
      <c r="L1117" s="172">
        <f>+'FACUS$'!$H1117-'FACUS$'!$I1117-'FACUS$'!$K1117</f>
        <v>13141.58</v>
      </c>
      <c r="M1117" s="162" t="s">
        <v>732</v>
      </c>
      <c r="N1117" s="337" t="s">
        <v>554</v>
      </c>
      <c r="O1117" s="338">
        <v>44159.0</v>
      </c>
      <c r="P1117" s="164">
        <f t="array" ref="P1117">XLOOKUP('FACUS$'!$B1117,'perfil de pagos'!$A$4:$A$46,'perfil de pagos'!$C$4:$C$46+'FACUS$'!$D1117)</f>
        <v>44150</v>
      </c>
      <c r="Q1117" s="165">
        <f t="shared" si="2"/>
        <v>0</v>
      </c>
      <c r="R1117" s="167"/>
      <c r="S1117" s="167" t="s">
        <v>910</v>
      </c>
      <c r="T1117" s="167"/>
      <c r="U1117" s="334" t="s">
        <v>7271</v>
      </c>
      <c r="V1117" s="168">
        <f t="shared" si="3"/>
        <v>13141.58</v>
      </c>
      <c r="W1117" s="168">
        <f t="shared" si="4"/>
        <v>0</v>
      </c>
      <c r="X1117" s="168">
        <f t="shared" si="5"/>
        <v>0</v>
      </c>
      <c r="Y1117" s="168">
        <f t="shared" si="6"/>
        <v>0</v>
      </c>
      <c r="Z1117" s="168">
        <f t="shared" si="7"/>
        <v>0</v>
      </c>
      <c r="AA1117" s="168">
        <f t="shared" si="8"/>
        <v>0</v>
      </c>
      <c r="AB1117" s="168">
        <f t="shared" si="9"/>
        <v>0</v>
      </c>
    </row>
    <row r="1118" ht="14.25" customHeight="1">
      <c r="A1118" s="157" t="s">
        <v>8033</v>
      </c>
      <c r="B1118" s="169" t="s">
        <v>37</v>
      </c>
      <c r="C1118" s="169" t="s">
        <v>8034</v>
      </c>
      <c r="D1118" s="336">
        <v>44140.0</v>
      </c>
      <c r="E1118" s="157" t="s">
        <v>600</v>
      </c>
      <c r="F1118" s="160">
        <v>85409.88</v>
      </c>
      <c r="G1118" s="160">
        <v>13665.58</v>
      </c>
      <c r="H1118" s="160">
        <f t="shared" si="35"/>
        <v>99075.46</v>
      </c>
      <c r="I1118" s="172"/>
      <c r="J1118" s="169"/>
      <c r="K1118" s="172"/>
      <c r="L1118" s="172">
        <f>+'FACUS$'!$H1118-'FACUS$'!$I1118-'FACUS$'!$K1118</f>
        <v>99075.46</v>
      </c>
      <c r="M1118" s="162" t="s">
        <v>116</v>
      </c>
      <c r="N1118" s="337" t="s">
        <v>554</v>
      </c>
      <c r="O1118" s="338">
        <v>44158.0</v>
      </c>
      <c r="P1118" s="164">
        <f t="array" ref="P1118">XLOOKUP('FACUS$'!$B1118,'perfil de pagos'!$A$4:$A$46,'perfil de pagos'!$C$4:$C$46+'FACUS$'!$D1118)</f>
        <v>44150</v>
      </c>
      <c r="Q1118" s="165">
        <f t="shared" si="2"/>
        <v>0</v>
      </c>
      <c r="R1118" s="167" t="s">
        <v>8015</v>
      </c>
      <c r="S1118" s="220" t="s">
        <v>910</v>
      </c>
      <c r="T1118" s="167"/>
      <c r="U1118" s="334" t="s">
        <v>7271</v>
      </c>
      <c r="V1118" s="168">
        <f t="shared" si="3"/>
        <v>99075.46</v>
      </c>
      <c r="W1118" s="168">
        <f t="shared" si="4"/>
        <v>0</v>
      </c>
      <c r="X1118" s="168">
        <f t="shared" si="5"/>
        <v>0</v>
      </c>
      <c r="Y1118" s="168">
        <f t="shared" si="6"/>
        <v>0</v>
      </c>
      <c r="Z1118" s="168">
        <f t="shared" si="7"/>
        <v>0</v>
      </c>
      <c r="AA1118" s="168">
        <f t="shared" si="8"/>
        <v>0</v>
      </c>
      <c r="AB1118" s="168">
        <f t="shared" si="9"/>
        <v>0</v>
      </c>
    </row>
    <row r="1119" ht="14.25" customHeight="1">
      <c r="A1119" s="157" t="s">
        <v>8035</v>
      </c>
      <c r="B1119" s="169" t="s">
        <v>38</v>
      </c>
      <c r="C1119" s="169" t="s">
        <v>2200</v>
      </c>
      <c r="D1119" s="336">
        <v>44140.0</v>
      </c>
      <c r="E1119" s="157" t="s">
        <v>600</v>
      </c>
      <c r="F1119" s="160">
        <v>1353.19</v>
      </c>
      <c r="G1119" s="160">
        <v>216.51</v>
      </c>
      <c r="H1119" s="160">
        <f t="shared" si="35"/>
        <v>1569.7</v>
      </c>
      <c r="I1119" s="172"/>
      <c r="J1119" s="169"/>
      <c r="K1119" s="172"/>
      <c r="L1119" s="172">
        <f>+'FACUS$'!$H1119-'FACUS$'!$I1119-'FACUS$'!$K1119</f>
        <v>1569.7</v>
      </c>
      <c r="M1119" s="162" t="s">
        <v>145</v>
      </c>
      <c r="N1119" s="337" t="s">
        <v>554</v>
      </c>
      <c r="O1119" s="338">
        <v>44166.0</v>
      </c>
      <c r="P1119" s="164">
        <f t="array" ref="P1119">XLOOKUP('FACUS$'!$B1119,'perfil de pagos'!$A$4:$A$46,'perfil de pagos'!$C$4:$C$46+'FACUS$'!$D1119)</f>
        <v>44170</v>
      </c>
      <c r="Q1119" s="165">
        <f t="shared" si="2"/>
        <v>0</v>
      </c>
      <c r="R1119" s="167" t="s">
        <v>8036</v>
      </c>
      <c r="S1119" s="167" t="s">
        <v>910</v>
      </c>
      <c r="T1119" s="167"/>
      <c r="U1119" s="334" t="s">
        <v>7271</v>
      </c>
      <c r="V1119" s="168">
        <f t="shared" si="3"/>
        <v>1569.7</v>
      </c>
      <c r="W1119" s="168">
        <f t="shared" si="4"/>
        <v>0</v>
      </c>
      <c r="X1119" s="168">
        <f t="shared" si="5"/>
        <v>0</v>
      </c>
      <c r="Y1119" s="168">
        <f t="shared" si="6"/>
        <v>0</v>
      </c>
      <c r="Z1119" s="168">
        <f t="shared" si="7"/>
        <v>0</v>
      </c>
      <c r="AA1119" s="168">
        <f t="shared" si="8"/>
        <v>0</v>
      </c>
      <c r="AB1119" s="168">
        <f t="shared" si="9"/>
        <v>0</v>
      </c>
    </row>
    <row r="1120" ht="14.25" customHeight="1">
      <c r="A1120" s="157" t="s">
        <v>8037</v>
      </c>
      <c r="B1120" s="169" t="s">
        <v>1127</v>
      </c>
      <c r="C1120" s="367" t="s">
        <v>8038</v>
      </c>
      <c r="D1120" s="336">
        <v>44140.0</v>
      </c>
      <c r="E1120" s="157" t="s">
        <v>600</v>
      </c>
      <c r="F1120" s="160">
        <v>54695.68</v>
      </c>
      <c r="G1120" s="160">
        <v>8751.31</v>
      </c>
      <c r="H1120" s="160">
        <f t="shared" si="35"/>
        <v>63446.99</v>
      </c>
      <c r="I1120" s="172"/>
      <c r="J1120" s="169"/>
      <c r="K1120" s="172"/>
      <c r="L1120" s="172">
        <f>+'FACUS$'!$H1120-'FACUS$'!$I1120-'FACUS$'!$K1120</f>
        <v>63446.99</v>
      </c>
      <c r="M1120" s="162" t="s">
        <v>580</v>
      </c>
      <c r="N1120" s="337" t="s">
        <v>554</v>
      </c>
      <c r="O1120" s="338">
        <v>44154.0</v>
      </c>
      <c r="P1120" s="164" t="str">
        <f t="array" ref="P1120">XLOOKUP('FACUS$'!$B1120,'perfil de pagos'!$A$4:$A$46,'perfil de pagos'!$C$4:$C$46+'FACUS$'!$D1120)</f>
        <v>#N/A</v>
      </c>
      <c r="Q1120" s="165">
        <f t="shared" si="2"/>
        <v>0</v>
      </c>
      <c r="R1120" s="167"/>
      <c r="S1120" s="167"/>
      <c r="T1120" s="167"/>
      <c r="U1120" s="334" t="s">
        <v>7271</v>
      </c>
      <c r="V1120" s="168">
        <f t="shared" si="3"/>
        <v>63446.99</v>
      </c>
      <c r="W1120" s="168">
        <f t="shared" si="4"/>
        <v>0</v>
      </c>
      <c r="X1120" s="168">
        <f t="shared" si="5"/>
        <v>0</v>
      </c>
      <c r="Y1120" s="168">
        <f t="shared" si="6"/>
        <v>0</v>
      </c>
      <c r="Z1120" s="168">
        <f t="shared" si="7"/>
        <v>0</v>
      </c>
      <c r="AA1120" s="168">
        <f t="shared" si="8"/>
        <v>0</v>
      </c>
      <c r="AB1120" s="168">
        <f t="shared" si="9"/>
        <v>0</v>
      </c>
    </row>
    <row r="1121" ht="14.25" customHeight="1">
      <c r="A1121" s="157" t="s">
        <v>8039</v>
      </c>
      <c r="B1121" s="169" t="s">
        <v>33</v>
      </c>
      <c r="C1121" s="169" t="s">
        <v>2200</v>
      </c>
      <c r="D1121" s="336">
        <v>44145.0</v>
      </c>
      <c r="E1121" s="157" t="s">
        <v>600</v>
      </c>
      <c r="F1121" s="160">
        <v>45444.01</v>
      </c>
      <c r="G1121" s="160">
        <v>7271.04</v>
      </c>
      <c r="H1121" s="160">
        <f t="shared" si="35"/>
        <v>52715.05</v>
      </c>
      <c r="I1121" s="172"/>
      <c r="J1121" s="169"/>
      <c r="K1121" s="172"/>
      <c r="L1121" s="172">
        <f>+'FACUS$'!$H1121-'FACUS$'!$I1121-'FACUS$'!$K1121</f>
        <v>52715.05</v>
      </c>
      <c r="M1121" s="162" t="s">
        <v>958</v>
      </c>
      <c r="N1121" s="337" t="s">
        <v>127</v>
      </c>
      <c r="O1121" s="338"/>
      <c r="P1121" s="164">
        <f t="array" ref="P1121">XLOOKUP('FACUS$'!$B1121,'perfil de pagos'!$A$4:$A$46,'perfil de pagos'!$C$4:$C$46+'FACUS$'!$D1121)</f>
        <v>44155</v>
      </c>
      <c r="Q1121" s="165" t="str">
        <f t="shared" si="2"/>
        <v>N/A</v>
      </c>
      <c r="R1121" s="167"/>
      <c r="S1121" s="167"/>
      <c r="T1121" s="167"/>
      <c r="U1121" s="334" t="s">
        <v>7271</v>
      </c>
      <c r="V1121" s="168">
        <f t="shared" si="3"/>
        <v>0</v>
      </c>
      <c r="W1121" s="168">
        <f t="shared" si="4"/>
        <v>0</v>
      </c>
      <c r="X1121" s="168">
        <f t="shared" si="5"/>
        <v>0</v>
      </c>
      <c r="Y1121" s="168">
        <f t="shared" si="6"/>
        <v>0</v>
      </c>
      <c r="Z1121" s="168">
        <f t="shared" si="7"/>
        <v>0</v>
      </c>
      <c r="AA1121" s="168">
        <f t="shared" si="8"/>
        <v>0</v>
      </c>
      <c r="AB1121" s="168">
        <f t="shared" si="9"/>
        <v>52715.05</v>
      </c>
    </row>
    <row r="1122" ht="14.25" customHeight="1">
      <c r="A1122" s="157" t="s">
        <v>8040</v>
      </c>
      <c r="B1122" s="169" t="s">
        <v>50</v>
      </c>
      <c r="C1122" s="169" t="s">
        <v>2200</v>
      </c>
      <c r="D1122" s="336">
        <v>44146.0</v>
      </c>
      <c r="E1122" s="157" t="s">
        <v>600</v>
      </c>
      <c r="F1122" s="160">
        <v>17715.0</v>
      </c>
      <c r="G1122" s="160">
        <v>2834.4</v>
      </c>
      <c r="H1122" s="160">
        <f t="shared" si="35"/>
        <v>20549.4</v>
      </c>
      <c r="I1122" s="172"/>
      <c r="J1122" s="169"/>
      <c r="K1122" s="172"/>
      <c r="L1122" s="172">
        <f>+'FACUS$'!$H1122-'FACUS$'!$I1122-'FACUS$'!$K1122</f>
        <v>20549.4</v>
      </c>
      <c r="M1122" s="162" t="s">
        <v>570</v>
      </c>
      <c r="N1122" s="337" t="s">
        <v>554</v>
      </c>
      <c r="O1122" s="338">
        <v>44155.0</v>
      </c>
      <c r="P1122" s="164">
        <f t="array" ref="P1122">XLOOKUP('FACUS$'!$B1122,'perfil de pagos'!$A$4:$A$46,'perfil de pagos'!$C$4:$C$46+'FACUS$'!$D1122)</f>
        <v>44156</v>
      </c>
      <c r="Q1122" s="165">
        <f t="shared" si="2"/>
        <v>0</v>
      </c>
      <c r="R1122" s="167"/>
      <c r="S1122" s="220" t="s">
        <v>910</v>
      </c>
      <c r="T1122" s="167"/>
      <c r="U1122" s="334" t="s">
        <v>7271</v>
      </c>
      <c r="V1122" s="168">
        <f t="shared" si="3"/>
        <v>20549.4</v>
      </c>
      <c r="W1122" s="168">
        <f t="shared" si="4"/>
        <v>0</v>
      </c>
      <c r="X1122" s="168">
        <f t="shared" si="5"/>
        <v>0</v>
      </c>
      <c r="Y1122" s="168">
        <f t="shared" si="6"/>
        <v>0</v>
      </c>
      <c r="Z1122" s="168">
        <f t="shared" si="7"/>
        <v>0</v>
      </c>
      <c r="AA1122" s="168">
        <f t="shared" si="8"/>
        <v>0</v>
      </c>
      <c r="AB1122" s="168">
        <f t="shared" si="9"/>
        <v>0</v>
      </c>
    </row>
    <row r="1123" ht="14.25" customHeight="1">
      <c r="A1123" s="157" t="s">
        <v>8041</v>
      </c>
      <c r="B1123" s="169" t="s">
        <v>33</v>
      </c>
      <c r="C1123" s="169" t="s">
        <v>2200</v>
      </c>
      <c r="D1123" s="336">
        <v>44152.0</v>
      </c>
      <c r="E1123" s="157" t="s">
        <v>600</v>
      </c>
      <c r="F1123" s="160">
        <v>45444.01</v>
      </c>
      <c r="G1123" s="160">
        <v>7271.04</v>
      </c>
      <c r="H1123" s="160">
        <f t="shared" si="35"/>
        <v>52715.05</v>
      </c>
      <c r="I1123" s="172"/>
      <c r="J1123" s="169"/>
      <c r="K1123" s="172"/>
      <c r="L1123" s="172">
        <f>+'FACUS$'!$H1123-'FACUS$'!$I1123-'FACUS$'!$K1123</f>
        <v>52715.05</v>
      </c>
      <c r="M1123" s="162" t="s">
        <v>958</v>
      </c>
      <c r="N1123" s="337" t="s">
        <v>554</v>
      </c>
      <c r="O1123" s="338">
        <v>44162.0</v>
      </c>
      <c r="P1123" s="164">
        <f t="array" ref="P1123">XLOOKUP('FACUS$'!$B1123,'perfil de pagos'!$A$4:$A$46,'perfil de pagos'!$C$4:$C$46+'FACUS$'!$D1123)</f>
        <v>44162</v>
      </c>
      <c r="Q1123" s="165">
        <f t="shared" si="2"/>
        <v>0</v>
      </c>
      <c r="R1123" s="167"/>
      <c r="S1123" s="167"/>
      <c r="T1123" s="167"/>
      <c r="U1123" s="334" t="s">
        <v>7271</v>
      </c>
      <c r="V1123" s="168">
        <f t="shared" si="3"/>
        <v>52715.05</v>
      </c>
      <c r="W1123" s="168">
        <f t="shared" si="4"/>
        <v>0</v>
      </c>
      <c r="X1123" s="168">
        <f t="shared" si="5"/>
        <v>0</v>
      </c>
      <c r="Y1123" s="168">
        <f t="shared" si="6"/>
        <v>0</v>
      </c>
      <c r="Z1123" s="168">
        <f t="shared" si="7"/>
        <v>0</v>
      </c>
      <c r="AA1123" s="168">
        <f t="shared" si="8"/>
        <v>0</v>
      </c>
      <c r="AB1123" s="168">
        <f t="shared" si="9"/>
        <v>0</v>
      </c>
    </row>
    <row r="1124" ht="14.25" customHeight="1">
      <c r="A1124" s="157" t="s">
        <v>8042</v>
      </c>
      <c r="B1124" s="169" t="s">
        <v>43</v>
      </c>
      <c r="C1124" s="169" t="s">
        <v>2228</v>
      </c>
      <c r="D1124" s="336">
        <v>44154.0</v>
      </c>
      <c r="E1124" s="157" t="s">
        <v>600</v>
      </c>
      <c r="F1124" s="160">
        <v>53606.85</v>
      </c>
      <c r="G1124" s="160">
        <v>8577.1</v>
      </c>
      <c r="H1124" s="160">
        <f t="shared" si="35"/>
        <v>62183.95</v>
      </c>
      <c r="I1124" s="172"/>
      <c r="J1124" s="169"/>
      <c r="K1124" s="172"/>
      <c r="L1124" s="172">
        <f>+'FACUS$'!$H1124-'FACUS$'!$I1124-'FACUS$'!$K1124</f>
        <v>62183.95</v>
      </c>
      <c r="M1124" s="162" t="s">
        <v>43</v>
      </c>
      <c r="N1124" s="337" t="s">
        <v>554</v>
      </c>
      <c r="O1124" s="338">
        <v>44183.0</v>
      </c>
      <c r="P1124" s="164">
        <f t="array" ref="P1124">XLOOKUP('FACUS$'!$B1124,'perfil de pagos'!$A$4:$A$46,'perfil de pagos'!$C$4:$C$46+'FACUS$'!$D1124)</f>
        <v>44179</v>
      </c>
      <c r="Q1124" s="165">
        <f t="shared" si="2"/>
        <v>0</v>
      </c>
      <c r="R1124" s="167"/>
      <c r="S1124" s="167" t="s">
        <v>910</v>
      </c>
      <c r="T1124" s="167"/>
      <c r="U1124" s="334" t="s">
        <v>7271</v>
      </c>
      <c r="V1124" s="168">
        <f t="shared" si="3"/>
        <v>62183.95</v>
      </c>
      <c r="W1124" s="168">
        <f t="shared" si="4"/>
        <v>0</v>
      </c>
      <c r="X1124" s="168">
        <f t="shared" si="5"/>
        <v>0</v>
      </c>
      <c r="Y1124" s="168">
        <f t="shared" si="6"/>
        <v>0</v>
      </c>
      <c r="Z1124" s="168">
        <f t="shared" si="7"/>
        <v>0</v>
      </c>
      <c r="AA1124" s="168">
        <f t="shared" si="8"/>
        <v>0</v>
      </c>
      <c r="AB1124" s="168">
        <f t="shared" si="9"/>
        <v>0</v>
      </c>
    </row>
    <row r="1125" ht="14.25" customHeight="1">
      <c r="A1125" s="157" t="s">
        <v>8043</v>
      </c>
      <c r="B1125" s="169" t="s">
        <v>1127</v>
      </c>
      <c r="C1125" s="169" t="s">
        <v>2228</v>
      </c>
      <c r="D1125" s="336">
        <v>44154.0</v>
      </c>
      <c r="E1125" s="157" t="s">
        <v>600</v>
      </c>
      <c r="F1125" s="160">
        <v>2569.69</v>
      </c>
      <c r="G1125" s="160">
        <v>411.15</v>
      </c>
      <c r="H1125" s="160">
        <f t="shared" si="35"/>
        <v>2980.84</v>
      </c>
      <c r="I1125" s="172"/>
      <c r="J1125" s="169"/>
      <c r="K1125" s="172"/>
      <c r="L1125" s="172">
        <f>+'FACUS$'!$H1125-'FACUS$'!$I1125-'FACUS$'!$K1125</f>
        <v>2980.84</v>
      </c>
      <c r="M1125" s="162" t="s">
        <v>580</v>
      </c>
      <c r="N1125" s="337" t="s">
        <v>554</v>
      </c>
      <c r="O1125" s="338">
        <v>44161.0</v>
      </c>
      <c r="P1125" s="164" t="str">
        <f t="array" ref="P1125">XLOOKUP('FACUS$'!$B1125,'perfil de pagos'!$A$4:$A$46,'perfil de pagos'!$C$4:$C$46+'FACUS$'!$D1125)</f>
        <v>#N/A</v>
      </c>
      <c r="Q1125" s="165">
        <f t="shared" si="2"/>
        <v>0</v>
      </c>
      <c r="R1125" s="167"/>
      <c r="S1125" s="167"/>
      <c r="T1125" s="167"/>
      <c r="U1125" s="334" t="s">
        <v>7271</v>
      </c>
      <c r="V1125" s="168">
        <f t="shared" si="3"/>
        <v>2980.84</v>
      </c>
      <c r="W1125" s="168">
        <f t="shared" si="4"/>
        <v>0</v>
      </c>
      <c r="X1125" s="168">
        <f t="shared" si="5"/>
        <v>0</v>
      </c>
      <c r="Y1125" s="168">
        <f t="shared" si="6"/>
        <v>0</v>
      </c>
      <c r="Z1125" s="168">
        <f t="shared" si="7"/>
        <v>0</v>
      </c>
      <c r="AA1125" s="168">
        <f t="shared" si="8"/>
        <v>0</v>
      </c>
      <c r="AB1125" s="168">
        <f t="shared" si="9"/>
        <v>0</v>
      </c>
    </row>
    <row r="1126" ht="14.25" customHeight="1">
      <c r="A1126" s="157" t="s">
        <v>8044</v>
      </c>
      <c r="B1126" s="169" t="s">
        <v>36</v>
      </c>
      <c r="C1126" s="169" t="s">
        <v>2228</v>
      </c>
      <c r="D1126" s="336">
        <v>44154.0</v>
      </c>
      <c r="E1126" s="157" t="s">
        <v>600</v>
      </c>
      <c r="F1126" s="160">
        <v>3231.51</v>
      </c>
      <c r="G1126" s="160">
        <v>517.04</v>
      </c>
      <c r="H1126" s="160">
        <f t="shared" si="35"/>
        <v>3748.55</v>
      </c>
      <c r="I1126" s="172"/>
      <c r="J1126" s="169"/>
      <c r="K1126" s="172"/>
      <c r="L1126" s="172">
        <f>+'FACUS$'!$H1126-'FACUS$'!$I1126-'FACUS$'!$K1126</f>
        <v>3748.55</v>
      </c>
      <c r="M1126" s="162" t="s">
        <v>278</v>
      </c>
      <c r="N1126" s="337" t="s">
        <v>554</v>
      </c>
      <c r="O1126" s="338">
        <v>44172.0</v>
      </c>
      <c r="P1126" s="164">
        <f t="array" ref="P1126">XLOOKUP('FACUS$'!$B1126,'perfil de pagos'!$A$4:$A$46,'perfil de pagos'!$C$4:$C$46+'FACUS$'!$D1126)</f>
        <v>44164</v>
      </c>
      <c r="Q1126" s="165">
        <f t="shared" si="2"/>
        <v>0</v>
      </c>
      <c r="R1126" s="167" t="s">
        <v>8045</v>
      </c>
      <c r="S1126" s="220" t="s">
        <v>910</v>
      </c>
      <c r="T1126" s="167"/>
      <c r="U1126" s="334" t="s">
        <v>7271</v>
      </c>
      <c r="V1126" s="168">
        <f t="shared" si="3"/>
        <v>3748.55</v>
      </c>
      <c r="W1126" s="168">
        <f t="shared" si="4"/>
        <v>0</v>
      </c>
      <c r="X1126" s="168">
        <f t="shared" si="5"/>
        <v>0</v>
      </c>
      <c r="Y1126" s="168">
        <f t="shared" si="6"/>
        <v>0</v>
      </c>
      <c r="Z1126" s="168">
        <f t="shared" si="7"/>
        <v>0</v>
      </c>
      <c r="AA1126" s="168">
        <f t="shared" si="8"/>
        <v>0</v>
      </c>
      <c r="AB1126" s="168">
        <f t="shared" si="9"/>
        <v>0</v>
      </c>
    </row>
    <row r="1127" ht="14.25" customHeight="1">
      <c r="A1127" s="157" t="s">
        <v>8046</v>
      </c>
      <c r="B1127" s="169" t="s">
        <v>35</v>
      </c>
      <c r="C1127" s="169" t="s">
        <v>2228</v>
      </c>
      <c r="D1127" s="336">
        <v>44154.0</v>
      </c>
      <c r="E1127" s="157" t="s">
        <v>600</v>
      </c>
      <c r="F1127" s="160">
        <v>19787.57</v>
      </c>
      <c r="G1127" s="160">
        <v>3166.01</v>
      </c>
      <c r="H1127" s="160">
        <f t="shared" si="35"/>
        <v>22953.58</v>
      </c>
      <c r="I1127" s="172"/>
      <c r="J1127" s="169"/>
      <c r="K1127" s="172"/>
      <c r="L1127" s="172">
        <f>+'FACUS$'!$H1127-'FACUS$'!$I1127-'FACUS$'!$K1127</f>
        <v>22953.58</v>
      </c>
      <c r="M1127" s="162" t="s">
        <v>276</v>
      </c>
      <c r="N1127" s="337" t="s">
        <v>554</v>
      </c>
      <c r="O1127" s="338">
        <v>44169.0</v>
      </c>
      <c r="P1127" s="164">
        <f t="array" ref="P1127">XLOOKUP('FACUS$'!$B1127,'perfil de pagos'!$A$4:$A$46,'perfil de pagos'!$C$4:$C$46+'FACUS$'!$D1127)</f>
        <v>44164</v>
      </c>
      <c r="Q1127" s="165">
        <f t="shared" si="2"/>
        <v>0</v>
      </c>
      <c r="R1127" s="167"/>
      <c r="S1127" s="220" t="s">
        <v>910</v>
      </c>
      <c r="T1127" s="167"/>
      <c r="U1127" s="334" t="s">
        <v>7271</v>
      </c>
      <c r="V1127" s="168">
        <f t="shared" si="3"/>
        <v>22953.58</v>
      </c>
      <c r="W1127" s="168">
        <f t="shared" si="4"/>
        <v>0</v>
      </c>
      <c r="X1127" s="168">
        <f t="shared" si="5"/>
        <v>0</v>
      </c>
      <c r="Y1127" s="168">
        <f t="shared" si="6"/>
        <v>0</v>
      </c>
      <c r="Z1127" s="168">
        <f t="shared" si="7"/>
        <v>0</v>
      </c>
      <c r="AA1127" s="168">
        <f t="shared" si="8"/>
        <v>0</v>
      </c>
      <c r="AB1127" s="168">
        <f t="shared" si="9"/>
        <v>0</v>
      </c>
    </row>
    <row r="1128" ht="14.25" customHeight="1">
      <c r="A1128" s="157" t="s">
        <v>8047</v>
      </c>
      <c r="B1128" s="169" t="s">
        <v>33</v>
      </c>
      <c r="C1128" s="169" t="s">
        <v>2228</v>
      </c>
      <c r="D1128" s="336">
        <v>44154.0</v>
      </c>
      <c r="E1128" s="157" t="s">
        <v>600</v>
      </c>
      <c r="F1128" s="160">
        <v>39185.57</v>
      </c>
      <c r="G1128" s="160">
        <v>6269.69</v>
      </c>
      <c r="H1128" s="160">
        <f t="shared" si="35"/>
        <v>45455.26</v>
      </c>
      <c r="I1128" s="172"/>
      <c r="J1128" s="169"/>
      <c r="K1128" s="172"/>
      <c r="L1128" s="172">
        <f>+'FACUS$'!$H1128-'FACUS$'!$I1128-'FACUS$'!$K1128</f>
        <v>45455.26</v>
      </c>
      <c r="M1128" s="162" t="s">
        <v>958</v>
      </c>
      <c r="N1128" s="337" t="s">
        <v>554</v>
      </c>
      <c r="O1128" s="338">
        <v>44172.0</v>
      </c>
      <c r="P1128" s="164">
        <f t="array" ref="P1128">XLOOKUP('FACUS$'!$B1128,'perfil de pagos'!$A$4:$A$46,'perfil de pagos'!$C$4:$C$46+'FACUS$'!$D1128)</f>
        <v>44164</v>
      </c>
      <c r="Q1128" s="165">
        <f t="shared" si="2"/>
        <v>0</v>
      </c>
      <c r="R1128" s="167"/>
      <c r="S1128" s="167" t="s">
        <v>910</v>
      </c>
      <c r="T1128" s="167"/>
      <c r="U1128" s="334" t="s">
        <v>7271</v>
      </c>
      <c r="V1128" s="168">
        <f t="shared" si="3"/>
        <v>45455.26</v>
      </c>
      <c r="W1128" s="168">
        <f t="shared" si="4"/>
        <v>0</v>
      </c>
      <c r="X1128" s="168">
        <f t="shared" si="5"/>
        <v>0</v>
      </c>
      <c r="Y1128" s="168">
        <f t="shared" si="6"/>
        <v>0</v>
      </c>
      <c r="Z1128" s="168">
        <f t="shared" si="7"/>
        <v>0</v>
      </c>
      <c r="AA1128" s="168">
        <f t="shared" si="8"/>
        <v>0</v>
      </c>
      <c r="AB1128" s="168">
        <f t="shared" si="9"/>
        <v>0</v>
      </c>
    </row>
    <row r="1129" ht="14.25" customHeight="1">
      <c r="A1129" s="157" t="s">
        <v>8048</v>
      </c>
      <c r="B1129" s="169" t="s">
        <v>50</v>
      </c>
      <c r="C1129" s="169" t="s">
        <v>2215</v>
      </c>
      <c r="D1129" s="336">
        <v>44154.0</v>
      </c>
      <c r="E1129" s="157" t="s">
        <v>600</v>
      </c>
      <c r="F1129" s="160">
        <v>11399.78</v>
      </c>
      <c r="G1129" s="160">
        <v>1823.96</v>
      </c>
      <c r="H1129" s="160">
        <f t="shared" si="35"/>
        <v>13223.74</v>
      </c>
      <c r="I1129" s="172"/>
      <c r="J1129" s="169"/>
      <c r="K1129" s="172"/>
      <c r="L1129" s="172">
        <f>+'FACUS$'!$H1129-'FACUS$'!$I1129-'FACUS$'!$K1129</f>
        <v>13223.74</v>
      </c>
      <c r="M1129" s="162" t="s">
        <v>570</v>
      </c>
      <c r="N1129" s="337" t="s">
        <v>554</v>
      </c>
      <c r="O1129" s="338">
        <v>44218.0</v>
      </c>
      <c r="P1129" s="164">
        <f t="array" ref="P1129">XLOOKUP('FACUS$'!$B1129,'perfil de pagos'!$A$4:$A$46,'perfil de pagos'!$C$4:$C$46+'FACUS$'!$D1129)</f>
        <v>44164</v>
      </c>
      <c r="Q1129" s="165">
        <f t="shared" si="2"/>
        <v>0</v>
      </c>
      <c r="R1129" s="167"/>
      <c r="S1129" s="167"/>
      <c r="T1129" s="167"/>
      <c r="U1129" s="334" t="s">
        <v>7271</v>
      </c>
      <c r="V1129" s="168">
        <f t="shared" si="3"/>
        <v>13223.74</v>
      </c>
      <c r="W1129" s="168">
        <f t="shared" si="4"/>
        <v>0</v>
      </c>
      <c r="X1129" s="168">
        <f t="shared" si="5"/>
        <v>0</v>
      </c>
      <c r="Y1129" s="168">
        <f t="shared" si="6"/>
        <v>0</v>
      </c>
      <c r="Z1129" s="168">
        <f t="shared" si="7"/>
        <v>0</v>
      </c>
      <c r="AA1129" s="168">
        <f t="shared" si="8"/>
        <v>0</v>
      </c>
      <c r="AB1129" s="168">
        <f t="shared" si="9"/>
        <v>0</v>
      </c>
    </row>
    <row r="1130" ht="14.25" customHeight="1">
      <c r="A1130" s="157" t="s">
        <v>8049</v>
      </c>
      <c r="B1130" s="169" t="s">
        <v>50</v>
      </c>
      <c r="C1130" s="169" t="s">
        <v>2228</v>
      </c>
      <c r="D1130" s="336">
        <v>44154.0</v>
      </c>
      <c r="E1130" s="157" t="s">
        <v>600</v>
      </c>
      <c r="F1130" s="160">
        <v>18941.96</v>
      </c>
      <c r="G1130" s="160">
        <v>3030.71</v>
      </c>
      <c r="H1130" s="160">
        <f t="shared" si="35"/>
        <v>21972.67</v>
      </c>
      <c r="I1130" s="172"/>
      <c r="J1130" s="169"/>
      <c r="K1130" s="172"/>
      <c r="L1130" s="172">
        <f>+'FACUS$'!$H1130-'FACUS$'!$I1130-'FACUS$'!$K1130</f>
        <v>21972.67</v>
      </c>
      <c r="M1130" s="162" t="s">
        <v>570</v>
      </c>
      <c r="N1130" s="337" t="s">
        <v>554</v>
      </c>
      <c r="O1130" s="338">
        <v>44218.0</v>
      </c>
      <c r="P1130" s="164">
        <f t="array" ref="P1130">XLOOKUP('FACUS$'!$B1130,'perfil de pagos'!$A$4:$A$46,'perfil de pagos'!$C$4:$C$46+'FACUS$'!$D1130)</f>
        <v>44164</v>
      </c>
      <c r="Q1130" s="165">
        <f t="shared" si="2"/>
        <v>0</v>
      </c>
      <c r="R1130" s="167"/>
      <c r="S1130" s="167"/>
      <c r="T1130" s="167"/>
      <c r="U1130" s="334" t="s">
        <v>7271</v>
      </c>
      <c r="V1130" s="168">
        <f t="shared" si="3"/>
        <v>21972.67</v>
      </c>
      <c r="W1130" s="168">
        <f t="shared" si="4"/>
        <v>0</v>
      </c>
      <c r="X1130" s="168">
        <f t="shared" si="5"/>
        <v>0</v>
      </c>
      <c r="Y1130" s="168">
        <f t="shared" si="6"/>
        <v>0</v>
      </c>
      <c r="Z1130" s="168">
        <f t="shared" si="7"/>
        <v>0</v>
      </c>
      <c r="AA1130" s="168">
        <f t="shared" si="8"/>
        <v>0</v>
      </c>
      <c r="AB1130" s="168">
        <f t="shared" si="9"/>
        <v>0</v>
      </c>
    </row>
    <row r="1131" ht="14.25" customHeight="1">
      <c r="A1131" s="157" t="s">
        <v>8050</v>
      </c>
      <c r="B1131" s="169" t="s">
        <v>38</v>
      </c>
      <c r="C1131" s="169" t="s">
        <v>2228</v>
      </c>
      <c r="D1131" s="336">
        <v>44154.0</v>
      </c>
      <c r="E1131" s="157" t="s">
        <v>600</v>
      </c>
      <c r="F1131" s="160">
        <v>7766.03</v>
      </c>
      <c r="G1131" s="160">
        <v>1242.56</v>
      </c>
      <c r="H1131" s="160">
        <f t="shared" si="35"/>
        <v>9008.59</v>
      </c>
      <c r="I1131" s="172"/>
      <c r="J1131" s="169"/>
      <c r="K1131" s="172"/>
      <c r="L1131" s="172">
        <f>+'FACUS$'!$H1131-'FACUS$'!$I1131-'FACUS$'!$K1131</f>
        <v>9008.59</v>
      </c>
      <c r="M1131" s="162" t="s">
        <v>145</v>
      </c>
      <c r="N1131" s="337" t="s">
        <v>554</v>
      </c>
      <c r="O1131" s="338">
        <v>44187.0</v>
      </c>
      <c r="P1131" s="164">
        <f t="array" ref="P1131">XLOOKUP('FACUS$'!$B1131,'perfil de pagos'!$A$4:$A$46,'perfil de pagos'!$C$4:$C$46+'FACUS$'!$D1131)</f>
        <v>44184</v>
      </c>
      <c r="Q1131" s="165">
        <f t="shared" si="2"/>
        <v>0</v>
      </c>
      <c r="R1131" s="167" t="s">
        <v>8051</v>
      </c>
      <c r="S1131" s="167" t="s">
        <v>910</v>
      </c>
      <c r="T1131" s="167"/>
      <c r="U1131" s="334" t="s">
        <v>7271</v>
      </c>
      <c r="V1131" s="168">
        <f t="shared" si="3"/>
        <v>9008.59</v>
      </c>
      <c r="W1131" s="168">
        <f t="shared" si="4"/>
        <v>0</v>
      </c>
      <c r="X1131" s="168">
        <f t="shared" si="5"/>
        <v>0</v>
      </c>
      <c r="Y1131" s="168">
        <f t="shared" si="6"/>
        <v>0</v>
      </c>
      <c r="Z1131" s="168">
        <f t="shared" si="7"/>
        <v>0</v>
      </c>
      <c r="AA1131" s="168">
        <f t="shared" si="8"/>
        <v>0</v>
      </c>
      <c r="AB1131" s="168">
        <f t="shared" si="9"/>
        <v>0</v>
      </c>
    </row>
    <row r="1132" ht="14.25" customHeight="1">
      <c r="A1132" s="157" t="s">
        <v>8052</v>
      </c>
      <c r="B1132" s="169" t="s">
        <v>37</v>
      </c>
      <c r="C1132" s="169" t="s">
        <v>2228</v>
      </c>
      <c r="D1132" s="336">
        <v>44154.0</v>
      </c>
      <c r="E1132" s="157" t="s">
        <v>600</v>
      </c>
      <c r="F1132" s="160">
        <v>57626.13</v>
      </c>
      <c r="G1132" s="160">
        <v>9220.18</v>
      </c>
      <c r="H1132" s="160">
        <f t="shared" si="35"/>
        <v>66846.31</v>
      </c>
      <c r="I1132" s="172"/>
      <c r="J1132" s="169"/>
      <c r="K1132" s="172"/>
      <c r="L1132" s="172">
        <f>+'FACUS$'!$H1132-'FACUS$'!$I1132-'FACUS$'!$K1132</f>
        <v>66846.31</v>
      </c>
      <c r="M1132" s="162" t="s">
        <v>116</v>
      </c>
      <c r="N1132" s="337" t="s">
        <v>554</v>
      </c>
      <c r="O1132" s="338">
        <v>44179.0</v>
      </c>
      <c r="P1132" s="164">
        <f t="array" ref="P1132">XLOOKUP('FACUS$'!$B1132,'perfil de pagos'!$A$4:$A$46,'perfil de pagos'!$C$4:$C$46+'FACUS$'!$D1132)</f>
        <v>44164</v>
      </c>
      <c r="Q1132" s="165">
        <f t="shared" si="2"/>
        <v>0</v>
      </c>
      <c r="R1132" s="167" t="s">
        <v>8053</v>
      </c>
      <c r="S1132" s="220" t="s">
        <v>910</v>
      </c>
      <c r="T1132" s="167"/>
      <c r="U1132" s="334" t="s">
        <v>7271</v>
      </c>
      <c r="V1132" s="168">
        <f t="shared" si="3"/>
        <v>66846.31</v>
      </c>
      <c r="W1132" s="168">
        <f t="shared" si="4"/>
        <v>0</v>
      </c>
      <c r="X1132" s="168">
        <f t="shared" si="5"/>
        <v>0</v>
      </c>
      <c r="Y1132" s="168">
        <f t="shared" si="6"/>
        <v>0</v>
      </c>
      <c r="Z1132" s="168">
        <f t="shared" si="7"/>
        <v>0</v>
      </c>
      <c r="AA1132" s="168">
        <f t="shared" si="8"/>
        <v>0</v>
      </c>
      <c r="AB1132" s="168">
        <f t="shared" si="9"/>
        <v>0</v>
      </c>
    </row>
    <row r="1133" ht="14.25" customHeight="1">
      <c r="A1133" s="157" t="s">
        <v>8054</v>
      </c>
      <c r="B1133" s="169" t="s">
        <v>20</v>
      </c>
      <c r="C1133" s="169" t="s">
        <v>2228</v>
      </c>
      <c r="D1133" s="336">
        <v>44154.0</v>
      </c>
      <c r="E1133" s="157" t="s">
        <v>600</v>
      </c>
      <c r="F1133" s="160">
        <v>3643.06</v>
      </c>
      <c r="G1133" s="160">
        <v>582.89</v>
      </c>
      <c r="H1133" s="160">
        <f t="shared" si="35"/>
        <v>4225.95</v>
      </c>
      <c r="I1133" s="172"/>
      <c r="J1133" s="169"/>
      <c r="K1133" s="172"/>
      <c r="L1133" s="172">
        <f>+'FACUS$'!$H1133-'FACUS$'!$I1133-'FACUS$'!$K1133</f>
        <v>4225.95</v>
      </c>
      <c r="M1133" s="162" t="s">
        <v>732</v>
      </c>
      <c r="N1133" s="337" t="s">
        <v>554</v>
      </c>
      <c r="O1133" s="338">
        <v>44168.0</v>
      </c>
      <c r="P1133" s="164">
        <f t="array" ref="P1133">XLOOKUP('FACUS$'!$B1133,'perfil de pagos'!$A$4:$A$46,'perfil de pagos'!$C$4:$C$46+'FACUS$'!$D1133)</f>
        <v>44164</v>
      </c>
      <c r="Q1133" s="165">
        <f t="shared" si="2"/>
        <v>0</v>
      </c>
      <c r="R1133" s="167"/>
      <c r="S1133" s="220" t="s">
        <v>910</v>
      </c>
      <c r="T1133" s="167"/>
      <c r="U1133" s="334" t="s">
        <v>7271</v>
      </c>
      <c r="V1133" s="168">
        <f t="shared" si="3"/>
        <v>4225.95</v>
      </c>
      <c r="W1133" s="168">
        <f t="shared" si="4"/>
        <v>0</v>
      </c>
      <c r="X1133" s="168">
        <f t="shared" si="5"/>
        <v>0</v>
      </c>
      <c r="Y1133" s="168">
        <f t="shared" si="6"/>
        <v>0</v>
      </c>
      <c r="Z1133" s="168">
        <f t="shared" si="7"/>
        <v>0</v>
      </c>
      <c r="AA1133" s="168">
        <f t="shared" si="8"/>
        <v>0</v>
      </c>
      <c r="AB1133" s="168">
        <f t="shared" si="9"/>
        <v>0</v>
      </c>
    </row>
    <row r="1134" ht="14.25" customHeight="1">
      <c r="A1134" s="157" t="s">
        <v>8055</v>
      </c>
      <c r="B1134" s="169" t="s">
        <v>18</v>
      </c>
      <c r="C1134" s="169" t="s">
        <v>2228</v>
      </c>
      <c r="D1134" s="336">
        <v>44154.0</v>
      </c>
      <c r="E1134" s="157" t="s">
        <v>600</v>
      </c>
      <c r="F1134" s="160">
        <v>2727.93</v>
      </c>
      <c r="G1134" s="160">
        <v>436.47</v>
      </c>
      <c r="H1134" s="160">
        <f t="shared" si="35"/>
        <v>3164.4</v>
      </c>
      <c r="I1134" s="172"/>
      <c r="J1134" s="169"/>
      <c r="K1134" s="172"/>
      <c r="L1134" s="172">
        <f>+'FACUS$'!$H1134-'FACUS$'!$I1134-'FACUS$'!$K1134</f>
        <v>3164.4</v>
      </c>
      <c r="M1134" s="162" t="s">
        <v>586</v>
      </c>
      <c r="N1134" s="337" t="s">
        <v>554</v>
      </c>
      <c r="O1134" s="338">
        <v>44168.0</v>
      </c>
      <c r="P1134" s="164">
        <f t="array" ref="P1134">XLOOKUP('FACUS$'!$B1134,'perfil de pagos'!$A$4:$A$46,'perfil de pagos'!$C$4:$C$46+'FACUS$'!$D1134)</f>
        <v>44164</v>
      </c>
      <c r="Q1134" s="165">
        <f t="shared" si="2"/>
        <v>0</v>
      </c>
      <c r="R1134" s="167"/>
      <c r="S1134" s="220" t="s">
        <v>910</v>
      </c>
      <c r="T1134" s="167"/>
      <c r="U1134" s="334" t="s">
        <v>7271</v>
      </c>
      <c r="V1134" s="168">
        <f t="shared" si="3"/>
        <v>3164.4</v>
      </c>
      <c r="W1134" s="168">
        <f t="shared" si="4"/>
        <v>0</v>
      </c>
      <c r="X1134" s="168">
        <f t="shared" si="5"/>
        <v>0</v>
      </c>
      <c r="Y1134" s="168">
        <f t="shared" si="6"/>
        <v>0</v>
      </c>
      <c r="Z1134" s="168">
        <f t="shared" si="7"/>
        <v>0</v>
      </c>
      <c r="AA1134" s="168">
        <f t="shared" si="8"/>
        <v>0</v>
      </c>
      <c r="AB1134" s="168">
        <f t="shared" si="9"/>
        <v>0</v>
      </c>
    </row>
    <row r="1135" ht="14.25" customHeight="1">
      <c r="A1135" s="157" t="s">
        <v>2237</v>
      </c>
      <c r="B1135" s="169" t="s">
        <v>37</v>
      </c>
      <c r="C1135" s="169" t="s">
        <v>2238</v>
      </c>
      <c r="D1135" s="336">
        <v>44160.0</v>
      </c>
      <c r="E1135" s="157" t="s">
        <v>600</v>
      </c>
      <c r="F1135" s="160">
        <v>20281.84</v>
      </c>
      <c r="G1135" s="160">
        <v>3245.09</v>
      </c>
      <c r="H1135" s="160">
        <f t="shared" si="35"/>
        <v>23526.93</v>
      </c>
      <c r="I1135" s="172"/>
      <c r="J1135" s="169"/>
      <c r="K1135" s="172"/>
      <c r="L1135" s="172">
        <f>+'FACUS$'!$H1135-'FACUS$'!$I1135-'FACUS$'!$K1135</f>
        <v>23526.93</v>
      </c>
      <c r="M1135" s="162" t="s">
        <v>116</v>
      </c>
      <c r="N1135" s="337" t="s">
        <v>127</v>
      </c>
      <c r="O1135" s="338"/>
      <c r="P1135" s="164">
        <f t="array" ref="P1135">XLOOKUP('FACUS$'!$B1135,'perfil de pagos'!$A$4:$A$46,'perfil de pagos'!$C$4:$C$46+'FACUS$'!$D1135)</f>
        <v>44170</v>
      </c>
      <c r="Q1135" s="165" t="str">
        <f t="shared" si="2"/>
        <v>N/A</v>
      </c>
      <c r="R1135" s="167"/>
      <c r="S1135" s="167"/>
      <c r="T1135" s="167"/>
      <c r="U1135" s="334" t="s">
        <v>7271</v>
      </c>
      <c r="V1135" s="168">
        <f t="shared" si="3"/>
        <v>0</v>
      </c>
      <c r="W1135" s="168">
        <f t="shared" si="4"/>
        <v>0</v>
      </c>
      <c r="X1135" s="168">
        <f t="shared" si="5"/>
        <v>0</v>
      </c>
      <c r="Y1135" s="168">
        <f t="shared" si="6"/>
        <v>0</v>
      </c>
      <c r="Z1135" s="168">
        <f t="shared" si="7"/>
        <v>0</v>
      </c>
      <c r="AA1135" s="168">
        <f t="shared" si="8"/>
        <v>0</v>
      </c>
      <c r="AB1135" s="168">
        <f t="shared" si="9"/>
        <v>23526.93</v>
      </c>
    </row>
    <row r="1136" ht="14.25" customHeight="1">
      <c r="A1136" s="157" t="s">
        <v>8056</v>
      </c>
      <c r="B1136" s="169" t="s">
        <v>41</v>
      </c>
      <c r="C1136" s="169" t="s">
        <v>2228</v>
      </c>
      <c r="D1136" s="336">
        <v>44162.0</v>
      </c>
      <c r="E1136" s="157" t="s">
        <v>600</v>
      </c>
      <c r="F1136" s="160">
        <v>47112.11</v>
      </c>
      <c r="G1136" s="160">
        <v>7537.94</v>
      </c>
      <c r="H1136" s="160">
        <f t="shared" si="35"/>
        <v>54650.05</v>
      </c>
      <c r="I1136" s="172"/>
      <c r="J1136" s="169"/>
      <c r="K1136" s="172"/>
      <c r="L1136" s="172">
        <f>+'FACUS$'!$H1136-'FACUS$'!$I1136-'FACUS$'!$K1136</f>
        <v>54650.05</v>
      </c>
      <c r="M1136" s="162" t="s">
        <v>875</v>
      </c>
      <c r="N1136" s="337" t="s">
        <v>554</v>
      </c>
      <c r="O1136" s="338">
        <v>44284.0</v>
      </c>
      <c r="P1136" s="164">
        <f t="array" ref="P1136">XLOOKUP('FACUS$'!$B1136,'perfil de pagos'!$A$4:$A$46,'perfil de pagos'!$C$4:$C$46+'FACUS$'!$D1136)</f>
        <v>44172</v>
      </c>
      <c r="Q1136" s="165">
        <f t="shared" si="2"/>
        <v>0</v>
      </c>
      <c r="R1136" s="167"/>
      <c r="S1136" s="167"/>
      <c r="T1136" s="167"/>
      <c r="U1136" s="334" t="s">
        <v>7271</v>
      </c>
      <c r="V1136" s="168">
        <f t="shared" si="3"/>
        <v>54650.05</v>
      </c>
      <c r="W1136" s="168">
        <f t="shared" si="4"/>
        <v>0</v>
      </c>
      <c r="X1136" s="168">
        <f t="shared" si="5"/>
        <v>0</v>
      </c>
      <c r="Y1136" s="168">
        <f t="shared" si="6"/>
        <v>0</v>
      </c>
      <c r="Z1136" s="168">
        <f t="shared" si="7"/>
        <v>0</v>
      </c>
      <c r="AA1136" s="168">
        <f t="shared" si="8"/>
        <v>0</v>
      </c>
      <c r="AB1136" s="168">
        <f t="shared" si="9"/>
        <v>0</v>
      </c>
    </row>
    <row r="1137" ht="14.25" customHeight="1">
      <c r="A1137" s="157" t="s">
        <v>8057</v>
      </c>
      <c r="B1137" s="169" t="s">
        <v>37</v>
      </c>
      <c r="C1137" s="169" t="s">
        <v>8058</v>
      </c>
      <c r="D1137" s="336">
        <v>44166.0</v>
      </c>
      <c r="E1137" s="157" t="s">
        <v>600</v>
      </c>
      <c r="F1137" s="160">
        <v>21153.23</v>
      </c>
      <c r="G1137" s="160">
        <v>3384.52</v>
      </c>
      <c r="H1137" s="160">
        <v>24537.75</v>
      </c>
      <c r="I1137" s="172"/>
      <c r="J1137" s="169"/>
      <c r="K1137" s="172"/>
      <c r="L1137" s="172">
        <f>+'FACUS$'!$H1137-'FACUS$'!$I1137-'FACUS$'!$K1137</f>
        <v>24537.75</v>
      </c>
      <c r="M1137" s="162" t="s">
        <v>116</v>
      </c>
      <c r="N1137" s="337" t="s">
        <v>554</v>
      </c>
      <c r="O1137" s="338">
        <v>44294.0</v>
      </c>
      <c r="P1137" s="164">
        <f t="array" ref="P1137">XLOOKUP('FACUS$'!$B1137,'perfil de pagos'!$A$4:$A$46,'perfil de pagos'!$C$4:$C$46+'FACUS$'!$D1137)</f>
        <v>44176</v>
      </c>
      <c r="Q1137" s="165">
        <f t="shared" si="2"/>
        <v>0</v>
      </c>
      <c r="R1137" s="167" t="s">
        <v>8059</v>
      </c>
      <c r="S1137" s="167"/>
      <c r="T1137" s="167"/>
      <c r="U1137" s="334" t="s">
        <v>7271</v>
      </c>
      <c r="V1137" s="168">
        <f t="shared" si="3"/>
        <v>24537.75</v>
      </c>
      <c r="W1137" s="168">
        <f t="shared" si="4"/>
        <v>0</v>
      </c>
      <c r="X1137" s="168">
        <f t="shared" si="5"/>
        <v>0</v>
      </c>
      <c r="Y1137" s="168">
        <f t="shared" si="6"/>
        <v>0</v>
      </c>
      <c r="Z1137" s="168">
        <f t="shared" si="7"/>
        <v>0</v>
      </c>
      <c r="AA1137" s="168">
        <f t="shared" si="8"/>
        <v>0</v>
      </c>
      <c r="AB1137" s="168">
        <f t="shared" si="9"/>
        <v>0</v>
      </c>
    </row>
    <row r="1138" ht="14.25" customHeight="1">
      <c r="A1138" s="157" t="s">
        <v>8060</v>
      </c>
      <c r="B1138" s="169" t="s">
        <v>127</v>
      </c>
      <c r="C1138" s="169"/>
      <c r="D1138" s="336"/>
      <c r="E1138" s="157"/>
      <c r="F1138" s="160"/>
      <c r="G1138" s="160"/>
      <c r="H1138" s="160">
        <f t="shared" ref="H1138:H1168" si="36">F1138+G1138</f>
        <v>0</v>
      </c>
      <c r="I1138" s="172"/>
      <c r="J1138" s="169"/>
      <c r="K1138" s="172"/>
      <c r="L1138" s="172">
        <f>+'FACUS$'!$H1138-'FACUS$'!$I1138-'FACUS$'!$K1138</f>
        <v>0</v>
      </c>
      <c r="M1138" s="162"/>
      <c r="N1138" s="337" t="s">
        <v>127</v>
      </c>
      <c r="O1138" s="338"/>
      <c r="P1138" s="164" t="str">
        <f t="array" ref="P1138">XLOOKUP('FACUS$'!$B1138,'perfil de pagos'!$A$4:$A$46,'perfil de pagos'!$C$4:$C$46+'FACUS$'!$D1138)</f>
        <v>#N/A</v>
      </c>
      <c r="Q1138" s="165" t="str">
        <f t="shared" si="2"/>
        <v>N/A</v>
      </c>
      <c r="R1138" s="167"/>
      <c r="S1138" s="167"/>
      <c r="T1138" s="167"/>
      <c r="U1138" s="334" t="s">
        <v>7271</v>
      </c>
      <c r="V1138" s="168">
        <f t="shared" si="3"/>
        <v>0</v>
      </c>
      <c r="W1138" s="168">
        <f t="shared" si="4"/>
        <v>0</v>
      </c>
      <c r="X1138" s="168">
        <f t="shared" si="5"/>
        <v>0</v>
      </c>
      <c r="Y1138" s="168">
        <f t="shared" si="6"/>
        <v>0</v>
      </c>
      <c r="Z1138" s="168">
        <f t="shared" si="7"/>
        <v>0</v>
      </c>
      <c r="AA1138" s="168">
        <f t="shared" si="8"/>
        <v>0</v>
      </c>
      <c r="AB1138" s="168">
        <f t="shared" si="9"/>
        <v>0</v>
      </c>
    </row>
    <row r="1139" ht="14.25" customHeight="1">
      <c r="A1139" s="157" t="s">
        <v>8061</v>
      </c>
      <c r="B1139" s="169" t="s">
        <v>36</v>
      </c>
      <c r="C1139" s="169" t="s">
        <v>8062</v>
      </c>
      <c r="D1139" s="336">
        <v>44166.0</v>
      </c>
      <c r="E1139" s="157" t="s">
        <v>600</v>
      </c>
      <c r="F1139" s="160">
        <v>1226.5</v>
      </c>
      <c r="G1139" s="160">
        <v>196.24</v>
      </c>
      <c r="H1139" s="160">
        <f t="shared" si="36"/>
        <v>1422.74</v>
      </c>
      <c r="I1139" s="172"/>
      <c r="J1139" s="169"/>
      <c r="K1139" s="172"/>
      <c r="L1139" s="172">
        <f>+'FACUS$'!$H1139-'FACUS$'!$I1139-'FACUS$'!$K1139</f>
        <v>1422.74</v>
      </c>
      <c r="M1139" s="162" t="s">
        <v>278</v>
      </c>
      <c r="N1139" s="337" t="s">
        <v>554</v>
      </c>
      <c r="O1139" s="338">
        <v>44194.0</v>
      </c>
      <c r="P1139" s="164">
        <f t="array" ref="P1139">XLOOKUP('FACUS$'!$B1139,'perfil de pagos'!$A$4:$A$46,'perfil de pagos'!$C$4:$C$46+'FACUS$'!$D1139)</f>
        <v>44176</v>
      </c>
      <c r="Q1139" s="165">
        <f t="shared" si="2"/>
        <v>0</v>
      </c>
      <c r="R1139" s="167" t="s">
        <v>8063</v>
      </c>
      <c r="S1139" s="167"/>
      <c r="T1139" s="167"/>
      <c r="U1139" s="334" t="s">
        <v>7271</v>
      </c>
      <c r="V1139" s="168">
        <f t="shared" si="3"/>
        <v>1422.74</v>
      </c>
      <c r="W1139" s="168">
        <f t="shared" si="4"/>
        <v>0</v>
      </c>
      <c r="X1139" s="168">
        <f t="shared" si="5"/>
        <v>0</v>
      </c>
      <c r="Y1139" s="168">
        <f t="shared" si="6"/>
        <v>0</v>
      </c>
      <c r="Z1139" s="168">
        <f t="shared" si="7"/>
        <v>0</v>
      </c>
      <c r="AA1139" s="168">
        <f t="shared" si="8"/>
        <v>0</v>
      </c>
      <c r="AB1139" s="168">
        <f t="shared" si="9"/>
        <v>0</v>
      </c>
    </row>
    <row r="1140" ht="14.25" customHeight="1">
      <c r="A1140" s="157" t="s">
        <v>8064</v>
      </c>
      <c r="B1140" s="169" t="s">
        <v>36</v>
      </c>
      <c r="C1140" s="169" t="s">
        <v>8065</v>
      </c>
      <c r="D1140" s="336">
        <v>44166.0</v>
      </c>
      <c r="E1140" s="157" t="s">
        <v>600</v>
      </c>
      <c r="F1140" s="160">
        <v>1226.5</v>
      </c>
      <c r="G1140" s="160">
        <v>196.24</v>
      </c>
      <c r="H1140" s="160">
        <f t="shared" si="36"/>
        <v>1422.74</v>
      </c>
      <c r="I1140" s="172"/>
      <c r="J1140" s="169"/>
      <c r="K1140" s="172"/>
      <c r="L1140" s="172">
        <f>+'FACUS$'!$H1140-'FACUS$'!$I1140-'FACUS$'!$K1140</f>
        <v>1422.74</v>
      </c>
      <c r="M1140" s="162" t="s">
        <v>278</v>
      </c>
      <c r="N1140" s="337" t="s">
        <v>554</v>
      </c>
      <c r="O1140" s="338">
        <v>44194.0</v>
      </c>
      <c r="P1140" s="164">
        <f t="array" ref="P1140">XLOOKUP('FACUS$'!$B1140,'perfil de pagos'!$A$4:$A$46,'perfil de pagos'!$C$4:$C$46+'FACUS$'!$D1140)</f>
        <v>44176</v>
      </c>
      <c r="Q1140" s="165">
        <f t="shared" si="2"/>
        <v>0</v>
      </c>
      <c r="R1140" s="167" t="s">
        <v>8066</v>
      </c>
      <c r="S1140" s="167"/>
      <c r="T1140" s="167"/>
      <c r="U1140" s="334" t="s">
        <v>7271</v>
      </c>
      <c r="V1140" s="168">
        <f t="shared" si="3"/>
        <v>1422.74</v>
      </c>
      <c r="W1140" s="168">
        <f t="shared" si="4"/>
        <v>0</v>
      </c>
      <c r="X1140" s="168">
        <f t="shared" si="5"/>
        <v>0</v>
      </c>
      <c r="Y1140" s="168">
        <f t="shared" si="6"/>
        <v>0</v>
      </c>
      <c r="Z1140" s="168">
        <f t="shared" si="7"/>
        <v>0</v>
      </c>
      <c r="AA1140" s="168">
        <f t="shared" si="8"/>
        <v>0</v>
      </c>
      <c r="AB1140" s="168">
        <f t="shared" si="9"/>
        <v>0</v>
      </c>
    </row>
    <row r="1141" ht="14.25" customHeight="1">
      <c r="A1141" s="157" t="s">
        <v>8067</v>
      </c>
      <c r="B1141" s="169" t="s">
        <v>30</v>
      </c>
      <c r="C1141" s="169" t="s">
        <v>8068</v>
      </c>
      <c r="D1141" s="336">
        <v>44166.0</v>
      </c>
      <c r="E1141" s="157" t="s">
        <v>600</v>
      </c>
      <c r="F1141" s="160">
        <v>3000.0</v>
      </c>
      <c r="G1141" s="160">
        <v>480.0</v>
      </c>
      <c r="H1141" s="160">
        <f t="shared" si="36"/>
        <v>3480</v>
      </c>
      <c r="I1141" s="172"/>
      <c r="J1141" s="169"/>
      <c r="K1141" s="172"/>
      <c r="L1141" s="172">
        <f>+'FACUS$'!$H1141-'FACUS$'!$I1141-'FACUS$'!$K1141</f>
        <v>3480</v>
      </c>
      <c r="M1141" s="162" t="s">
        <v>7415</v>
      </c>
      <c r="N1141" s="337" t="s">
        <v>127</v>
      </c>
      <c r="O1141" s="338">
        <v>45063.0</v>
      </c>
      <c r="P1141" s="164">
        <f t="array" ref="P1141">XLOOKUP('FACUS$'!$B1141,'perfil de pagos'!$A$4:$A$46,'perfil de pagos'!$C$4:$C$46+'FACUS$'!$D1141)</f>
        <v>44176</v>
      </c>
      <c r="Q1141" s="165" t="str">
        <f t="shared" si="2"/>
        <v>N/A</v>
      </c>
      <c r="R1141" s="220" t="s">
        <v>7747</v>
      </c>
      <c r="S1141" s="167"/>
      <c r="T1141" s="167"/>
      <c r="U1141" s="334" t="s">
        <v>7271</v>
      </c>
      <c r="V1141" s="168">
        <f t="shared" si="3"/>
        <v>0</v>
      </c>
      <c r="W1141" s="168">
        <f t="shared" si="4"/>
        <v>0</v>
      </c>
      <c r="X1141" s="168">
        <f t="shared" si="5"/>
        <v>0</v>
      </c>
      <c r="Y1141" s="168">
        <f t="shared" si="6"/>
        <v>0</v>
      </c>
      <c r="Z1141" s="168">
        <f t="shared" si="7"/>
        <v>0</v>
      </c>
      <c r="AA1141" s="168">
        <f t="shared" si="8"/>
        <v>0</v>
      </c>
      <c r="AB1141" s="168">
        <f t="shared" si="9"/>
        <v>3480</v>
      </c>
    </row>
    <row r="1142" ht="14.25" customHeight="1">
      <c r="A1142" s="157" t="s">
        <v>8069</v>
      </c>
      <c r="B1142" s="169" t="s">
        <v>30</v>
      </c>
      <c r="C1142" s="169" t="s">
        <v>8070</v>
      </c>
      <c r="D1142" s="336">
        <v>44166.0</v>
      </c>
      <c r="E1142" s="157" t="s">
        <v>600</v>
      </c>
      <c r="F1142" s="160">
        <v>3000.0</v>
      </c>
      <c r="G1142" s="160">
        <v>480.0</v>
      </c>
      <c r="H1142" s="160">
        <f t="shared" si="36"/>
        <v>3480</v>
      </c>
      <c r="I1142" s="172"/>
      <c r="J1142" s="169"/>
      <c r="K1142" s="172"/>
      <c r="L1142" s="172">
        <f>+'FACUS$'!$H1142-'FACUS$'!$I1142-'FACUS$'!$K1142</f>
        <v>3480</v>
      </c>
      <c r="M1142" s="162" t="s">
        <v>7415</v>
      </c>
      <c r="N1142" s="337" t="s">
        <v>127</v>
      </c>
      <c r="O1142" s="338">
        <v>45063.0</v>
      </c>
      <c r="P1142" s="164">
        <f t="array" ref="P1142">XLOOKUP('FACUS$'!$B1142,'perfil de pagos'!$A$4:$A$46,'perfil de pagos'!$C$4:$C$46+'FACUS$'!$D1142)</f>
        <v>44176</v>
      </c>
      <c r="Q1142" s="165" t="str">
        <f t="shared" si="2"/>
        <v>N/A</v>
      </c>
      <c r="R1142" s="220" t="s">
        <v>7747</v>
      </c>
      <c r="S1142" s="167"/>
      <c r="T1142" s="167"/>
      <c r="U1142" s="334" t="s">
        <v>7271</v>
      </c>
      <c r="V1142" s="168">
        <f t="shared" si="3"/>
        <v>0</v>
      </c>
      <c r="W1142" s="168">
        <f t="shared" si="4"/>
        <v>0</v>
      </c>
      <c r="X1142" s="168">
        <f t="shared" si="5"/>
        <v>0</v>
      </c>
      <c r="Y1142" s="168">
        <f t="shared" si="6"/>
        <v>0</v>
      </c>
      <c r="Z1142" s="168">
        <f t="shared" si="7"/>
        <v>0</v>
      </c>
      <c r="AA1142" s="168">
        <f t="shared" si="8"/>
        <v>0</v>
      </c>
      <c r="AB1142" s="168">
        <f t="shared" si="9"/>
        <v>3480</v>
      </c>
    </row>
    <row r="1143" ht="14.25" customHeight="1">
      <c r="A1143" s="157" t="s">
        <v>8071</v>
      </c>
      <c r="B1143" s="169" t="s">
        <v>43</v>
      </c>
      <c r="C1143" s="169" t="s">
        <v>2253</v>
      </c>
      <c r="D1143" s="336">
        <v>44166.0</v>
      </c>
      <c r="E1143" s="157" t="s">
        <v>600</v>
      </c>
      <c r="F1143" s="160">
        <v>62752.45</v>
      </c>
      <c r="G1143" s="160">
        <v>10040.39</v>
      </c>
      <c r="H1143" s="160">
        <f t="shared" si="36"/>
        <v>72792.84</v>
      </c>
      <c r="I1143" s="172"/>
      <c r="J1143" s="169"/>
      <c r="K1143" s="172"/>
      <c r="L1143" s="172">
        <f>+'FACUS$'!$H1143-'FACUS$'!$I1143-'FACUS$'!$K1143</f>
        <v>72792.84</v>
      </c>
      <c r="M1143" s="162" t="s">
        <v>43</v>
      </c>
      <c r="N1143" s="337" t="s">
        <v>554</v>
      </c>
      <c r="O1143" s="338">
        <v>44183.0</v>
      </c>
      <c r="P1143" s="164">
        <f t="array" ref="P1143">XLOOKUP('FACUS$'!$B1143,'perfil de pagos'!$A$4:$A$46,'perfil de pagos'!$C$4:$C$46+'FACUS$'!$D1143)</f>
        <v>44191</v>
      </c>
      <c r="Q1143" s="165">
        <f t="shared" si="2"/>
        <v>0</v>
      </c>
      <c r="R1143" s="167"/>
      <c r="S1143" s="167" t="s">
        <v>910</v>
      </c>
      <c r="T1143" s="167"/>
      <c r="U1143" s="334" t="s">
        <v>7271</v>
      </c>
      <c r="V1143" s="168">
        <f t="shared" si="3"/>
        <v>72792.84</v>
      </c>
      <c r="W1143" s="168">
        <f t="shared" si="4"/>
        <v>0</v>
      </c>
      <c r="X1143" s="168">
        <f t="shared" si="5"/>
        <v>0</v>
      </c>
      <c r="Y1143" s="168">
        <f t="shared" si="6"/>
        <v>0</v>
      </c>
      <c r="Z1143" s="168">
        <f t="shared" si="7"/>
        <v>0</v>
      </c>
      <c r="AA1143" s="168">
        <f t="shared" si="8"/>
        <v>0</v>
      </c>
      <c r="AB1143" s="168">
        <f t="shared" si="9"/>
        <v>0</v>
      </c>
    </row>
    <row r="1144" ht="14.25" customHeight="1">
      <c r="A1144" s="157" t="s">
        <v>8072</v>
      </c>
      <c r="B1144" s="169" t="s">
        <v>1127</v>
      </c>
      <c r="C1144" s="169" t="s">
        <v>2253</v>
      </c>
      <c r="D1144" s="336">
        <v>44166.0</v>
      </c>
      <c r="E1144" s="157" t="s">
        <v>600</v>
      </c>
      <c r="F1144" s="160">
        <v>3611.71</v>
      </c>
      <c r="G1144" s="160">
        <v>577.87</v>
      </c>
      <c r="H1144" s="160">
        <f t="shared" si="36"/>
        <v>4189.58</v>
      </c>
      <c r="I1144" s="172"/>
      <c r="J1144" s="169"/>
      <c r="K1144" s="172"/>
      <c r="L1144" s="172">
        <f>+'FACUS$'!$H1144-'FACUS$'!$I1144-'FACUS$'!$K1144</f>
        <v>4189.58</v>
      </c>
      <c r="M1144" s="162" t="s">
        <v>580</v>
      </c>
      <c r="N1144" s="337" t="s">
        <v>127</v>
      </c>
      <c r="O1144" s="338"/>
      <c r="P1144" s="164" t="str">
        <f t="array" ref="P1144">XLOOKUP('FACUS$'!$B1144,'perfil de pagos'!$A$4:$A$46,'perfil de pagos'!$C$4:$C$46+'FACUS$'!$D1144)</f>
        <v>#N/A</v>
      </c>
      <c r="Q1144" s="165" t="str">
        <f t="shared" si="2"/>
        <v>N/A</v>
      </c>
      <c r="R1144" s="167"/>
      <c r="S1144" s="167"/>
      <c r="T1144" s="167"/>
      <c r="U1144" s="334" t="s">
        <v>7271</v>
      </c>
      <c r="V1144" s="168">
        <f t="shared" si="3"/>
        <v>0</v>
      </c>
      <c r="W1144" s="168">
        <f t="shared" si="4"/>
        <v>0</v>
      </c>
      <c r="X1144" s="168">
        <f t="shared" si="5"/>
        <v>0</v>
      </c>
      <c r="Y1144" s="168">
        <f t="shared" si="6"/>
        <v>0</v>
      </c>
      <c r="Z1144" s="168">
        <f t="shared" si="7"/>
        <v>0</v>
      </c>
      <c r="AA1144" s="168">
        <f t="shared" si="8"/>
        <v>0</v>
      </c>
      <c r="AB1144" s="168">
        <f t="shared" si="9"/>
        <v>4189.58</v>
      </c>
    </row>
    <row r="1145" ht="14.25" customHeight="1">
      <c r="A1145" s="157" t="s">
        <v>8073</v>
      </c>
      <c r="B1145" s="169" t="s">
        <v>1127</v>
      </c>
      <c r="C1145" s="169" t="s">
        <v>2253</v>
      </c>
      <c r="D1145" s="336">
        <v>44166.0</v>
      </c>
      <c r="E1145" s="157" t="s">
        <v>600</v>
      </c>
      <c r="F1145" s="160">
        <v>3611.71</v>
      </c>
      <c r="G1145" s="160">
        <v>577.87</v>
      </c>
      <c r="H1145" s="160">
        <f t="shared" si="36"/>
        <v>4189.58</v>
      </c>
      <c r="I1145" s="172"/>
      <c r="J1145" s="169"/>
      <c r="K1145" s="172"/>
      <c r="L1145" s="172">
        <f>+'FACUS$'!$H1145-'FACUS$'!$I1145-'FACUS$'!$K1145</f>
        <v>4189.58</v>
      </c>
      <c r="M1145" s="162" t="s">
        <v>580</v>
      </c>
      <c r="N1145" s="337" t="s">
        <v>554</v>
      </c>
      <c r="O1145" s="338">
        <v>44175.0</v>
      </c>
      <c r="P1145" s="164" t="str">
        <f t="array" ref="P1145">XLOOKUP('FACUS$'!$B1145,'perfil de pagos'!$A$4:$A$46,'perfil de pagos'!$C$4:$C$46+'FACUS$'!$D1145)</f>
        <v>#N/A</v>
      </c>
      <c r="Q1145" s="165">
        <f t="shared" si="2"/>
        <v>0</v>
      </c>
      <c r="R1145" s="167"/>
      <c r="S1145" s="167"/>
      <c r="T1145" s="167"/>
      <c r="U1145" s="334" t="s">
        <v>7271</v>
      </c>
      <c r="V1145" s="168">
        <f t="shared" si="3"/>
        <v>4189.58</v>
      </c>
      <c r="W1145" s="168">
        <f t="shared" si="4"/>
        <v>0</v>
      </c>
      <c r="X1145" s="168">
        <f t="shared" si="5"/>
        <v>0</v>
      </c>
      <c r="Y1145" s="168">
        <f t="shared" si="6"/>
        <v>0</v>
      </c>
      <c r="Z1145" s="168">
        <f t="shared" si="7"/>
        <v>0</v>
      </c>
      <c r="AA1145" s="168">
        <f t="shared" si="8"/>
        <v>0</v>
      </c>
      <c r="AB1145" s="168">
        <f t="shared" si="9"/>
        <v>0</v>
      </c>
    </row>
    <row r="1146" ht="14.25" customHeight="1">
      <c r="A1146" s="157" t="s">
        <v>8074</v>
      </c>
      <c r="B1146" s="169" t="s">
        <v>36</v>
      </c>
      <c r="C1146" s="169" t="s">
        <v>2253</v>
      </c>
      <c r="D1146" s="336">
        <v>44166.0</v>
      </c>
      <c r="E1146" s="157" t="s">
        <v>600</v>
      </c>
      <c r="F1146" s="160">
        <v>3220.83</v>
      </c>
      <c r="G1146" s="160">
        <v>515.33</v>
      </c>
      <c r="H1146" s="160">
        <f t="shared" si="36"/>
        <v>3736.16</v>
      </c>
      <c r="I1146" s="172"/>
      <c r="J1146" s="169"/>
      <c r="K1146" s="172"/>
      <c r="L1146" s="172">
        <f>+'FACUS$'!$H1146-'FACUS$'!$I1146-'FACUS$'!$K1146</f>
        <v>3736.16</v>
      </c>
      <c r="M1146" s="162" t="s">
        <v>278</v>
      </c>
      <c r="N1146" s="337" t="s">
        <v>554</v>
      </c>
      <c r="O1146" s="338">
        <v>44221.0</v>
      </c>
      <c r="P1146" s="164">
        <f t="array" ref="P1146">XLOOKUP('FACUS$'!$B1146,'perfil de pagos'!$A$4:$A$46,'perfil de pagos'!$C$4:$C$46+'FACUS$'!$D1146)</f>
        <v>44176</v>
      </c>
      <c r="Q1146" s="165">
        <f t="shared" si="2"/>
        <v>0</v>
      </c>
      <c r="R1146" s="220" t="s">
        <v>8075</v>
      </c>
      <c r="S1146" s="167"/>
      <c r="T1146" s="167"/>
      <c r="U1146" s="334" t="s">
        <v>7271</v>
      </c>
      <c r="V1146" s="168">
        <f t="shared" si="3"/>
        <v>3736.16</v>
      </c>
      <c r="W1146" s="168">
        <f t="shared" si="4"/>
        <v>0</v>
      </c>
      <c r="X1146" s="168">
        <f t="shared" si="5"/>
        <v>0</v>
      </c>
      <c r="Y1146" s="168">
        <f t="shared" si="6"/>
        <v>0</v>
      </c>
      <c r="Z1146" s="168">
        <f t="shared" si="7"/>
        <v>0</v>
      </c>
      <c r="AA1146" s="168">
        <f t="shared" si="8"/>
        <v>0</v>
      </c>
      <c r="AB1146" s="168">
        <f t="shared" si="9"/>
        <v>0</v>
      </c>
    </row>
    <row r="1147" ht="14.25" customHeight="1">
      <c r="A1147" s="157" t="s">
        <v>8076</v>
      </c>
      <c r="B1147" s="169" t="s">
        <v>35</v>
      </c>
      <c r="C1147" s="169" t="s">
        <v>2253</v>
      </c>
      <c r="D1147" s="336">
        <v>44166.0</v>
      </c>
      <c r="E1147" s="157" t="s">
        <v>600</v>
      </c>
      <c r="F1147" s="160">
        <v>14789.91</v>
      </c>
      <c r="G1147" s="160">
        <v>2366.39</v>
      </c>
      <c r="H1147" s="160">
        <f t="shared" si="36"/>
        <v>17156.3</v>
      </c>
      <c r="I1147" s="172"/>
      <c r="J1147" s="169"/>
      <c r="K1147" s="172"/>
      <c r="L1147" s="172">
        <f>+'FACUS$'!$H1147-'FACUS$'!$I1147-'FACUS$'!$K1147</f>
        <v>17156.3</v>
      </c>
      <c r="M1147" s="162" t="s">
        <v>276</v>
      </c>
      <c r="N1147" s="337" t="s">
        <v>127</v>
      </c>
      <c r="O1147" s="338"/>
      <c r="P1147" s="164">
        <f t="array" ref="P1147">XLOOKUP('FACUS$'!$B1147,'perfil de pagos'!$A$4:$A$46,'perfil de pagos'!$C$4:$C$46+'FACUS$'!$D1147)</f>
        <v>44176</v>
      </c>
      <c r="Q1147" s="165" t="str">
        <f t="shared" si="2"/>
        <v>N/A</v>
      </c>
      <c r="R1147" s="167"/>
      <c r="S1147" s="167"/>
      <c r="T1147" s="167"/>
      <c r="U1147" s="334" t="s">
        <v>7271</v>
      </c>
      <c r="V1147" s="168">
        <f t="shared" si="3"/>
        <v>0</v>
      </c>
      <c r="W1147" s="168">
        <f t="shared" si="4"/>
        <v>0</v>
      </c>
      <c r="X1147" s="168">
        <f t="shared" si="5"/>
        <v>0</v>
      </c>
      <c r="Y1147" s="168">
        <f t="shared" si="6"/>
        <v>0</v>
      </c>
      <c r="Z1147" s="168">
        <f t="shared" si="7"/>
        <v>0</v>
      </c>
      <c r="AA1147" s="168">
        <f t="shared" si="8"/>
        <v>0</v>
      </c>
      <c r="AB1147" s="168">
        <f t="shared" si="9"/>
        <v>17156.3</v>
      </c>
    </row>
    <row r="1148" ht="14.25" customHeight="1">
      <c r="A1148" s="157" t="s">
        <v>8077</v>
      </c>
      <c r="B1148" s="169" t="s">
        <v>33</v>
      </c>
      <c r="C1148" s="169" t="s">
        <v>2253</v>
      </c>
      <c r="D1148" s="336">
        <v>44166.0</v>
      </c>
      <c r="E1148" s="157" t="s">
        <v>600</v>
      </c>
      <c r="F1148" s="160">
        <v>48857.54</v>
      </c>
      <c r="G1148" s="160">
        <v>7817.21</v>
      </c>
      <c r="H1148" s="160">
        <f t="shared" si="36"/>
        <v>56674.75</v>
      </c>
      <c r="I1148" s="172"/>
      <c r="J1148" s="169"/>
      <c r="K1148" s="172"/>
      <c r="L1148" s="172">
        <f>+'FACUS$'!$H1148-'FACUS$'!$I1148-'FACUS$'!$K1148</f>
        <v>56674.75</v>
      </c>
      <c r="M1148" s="162" t="s">
        <v>958</v>
      </c>
      <c r="N1148" s="337" t="s">
        <v>554</v>
      </c>
      <c r="O1148" s="338">
        <v>44176.0</v>
      </c>
      <c r="P1148" s="164">
        <f t="array" ref="P1148">XLOOKUP('FACUS$'!$B1148,'perfil de pagos'!$A$4:$A$46,'perfil de pagos'!$C$4:$C$46+'FACUS$'!$D1148)</f>
        <v>44176</v>
      </c>
      <c r="Q1148" s="165">
        <f t="shared" si="2"/>
        <v>0</v>
      </c>
      <c r="R1148" s="167"/>
      <c r="S1148" s="167" t="s">
        <v>910</v>
      </c>
      <c r="T1148" s="220"/>
      <c r="U1148" s="334" t="s">
        <v>7271</v>
      </c>
      <c r="V1148" s="168">
        <f t="shared" si="3"/>
        <v>56674.75</v>
      </c>
      <c r="W1148" s="168">
        <f t="shared" si="4"/>
        <v>0</v>
      </c>
      <c r="X1148" s="168">
        <f t="shared" si="5"/>
        <v>0</v>
      </c>
      <c r="Y1148" s="168">
        <f t="shared" si="6"/>
        <v>0</v>
      </c>
      <c r="Z1148" s="168">
        <f t="shared" si="7"/>
        <v>0</v>
      </c>
      <c r="AA1148" s="168">
        <f t="shared" si="8"/>
        <v>0</v>
      </c>
      <c r="AB1148" s="168">
        <f t="shared" si="9"/>
        <v>0</v>
      </c>
    </row>
    <row r="1149" ht="14.25" customHeight="1">
      <c r="A1149" s="157" t="s">
        <v>8078</v>
      </c>
      <c r="B1149" s="169" t="s">
        <v>35</v>
      </c>
      <c r="C1149" s="169" t="s">
        <v>2253</v>
      </c>
      <c r="D1149" s="336">
        <v>44167.0</v>
      </c>
      <c r="E1149" s="157" t="s">
        <v>600</v>
      </c>
      <c r="F1149" s="160">
        <v>14789.91</v>
      </c>
      <c r="G1149" s="160">
        <v>2366.39</v>
      </c>
      <c r="H1149" s="160">
        <f t="shared" si="36"/>
        <v>17156.3</v>
      </c>
      <c r="I1149" s="172"/>
      <c r="J1149" s="169"/>
      <c r="K1149" s="172"/>
      <c r="L1149" s="172">
        <f>+'FACUS$'!$H1149-'FACUS$'!$I1149-'FACUS$'!$K1149</f>
        <v>17156.3</v>
      </c>
      <c r="M1149" s="162" t="s">
        <v>276</v>
      </c>
      <c r="N1149" s="337" t="s">
        <v>554</v>
      </c>
      <c r="O1149" s="338">
        <v>44207.0</v>
      </c>
      <c r="P1149" s="164">
        <f t="array" ref="P1149">XLOOKUP('FACUS$'!$B1149,'perfil de pagos'!$A$4:$A$46,'perfil de pagos'!$C$4:$C$46+'FACUS$'!$D1149)</f>
        <v>44177</v>
      </c>
      <c r="Q1149" s="165">
        <f t="shared" si="2"/>
        <v>0</v>
      </c>
      <c r="R1149" s="167"/>
      <c r="S1149" s="167" t="s">
        <v>910</v>
      </c>
      <c r="T1149" s="167"/>
      <c r="U1149" s="334" t="s">
        <v>7271</v>
      </c>
      <c r="V1149" s="168">
        <f t="shared" si="3"/>
        <v>17156.3</v>
      </c>
      <c r="W1149" s="168">
        <f t="shared" si="4"/>
        <v>0</v>
      </c>
      <c r="X1149" s="168">
        <f t="shared" si="5"/>
        <v>0</v>
      </c>
      <c r="Y1149" s="168">
        <f t="shared" si="6"/>
        <v>0</v>
      </c>
      <c r="Z1149" s="168">
        <f t="shared" si="7"/>
        <v>0</v>
      </c>
      <c r="AA1149" s="168">
        <f t="shared" si="8"/>
        <v>0</v>
      </c>
      <c r="AB1149" s="168">
        <f t="shared" si="9"/>
        <v>0</v>
      </c>
    </row>
    <row r="1150" ht="14.25" customHeight="1">
      <c r="A1150" s="157" t="s">
        <v>8079</v>
      </c>
      <c r="B1150" s="169" t="s">
        <v>1127</v>
      </c>
      <c r="C1150" s="169" t="s">
        <v>2253</v>
      </c>
      <c r="D1150" s="336">
        <v>44168.0</v>
      </c>
      <c r="E1150" s="157" t="s">
        <v>600</v>
      </c>
      <c r="F1150" s="160">
        <v>3611.71</v>
      </c>
      <c r="G1150" s="160">
        <v>577.87</v>
      </c>
      <c r="H1150" s="160">
        <f t="shared" si="36"/>
        <v>4189.58</v>
      </c>
      <c r="I1150" s="172"/>
      <c r="J1150" s="169"/>
      <c r="K1150" s="172"/>
      <c r="L1150" s="172">
        <f>+'FACUS$'!$H1150-'FACUS$'!$I1150-'FACUS$'!$K1150</f>
        <v>4189.58</v>
      </c>
      <c r="M1150" s="162" t="s">
        <v>580</v>
      </c>
      <c r="N1150" s="337" t="s">
        <v>127</v>
      </c>
      <c r="O1150" s="338"/>
      <c r="P1150" s="164" t="str">
        <f t="array" ref="P1150">XLOOKUP('FACUS$'!$B1150,'perfil de pagos'!$A$4:$A$46,'perfil de pagos'!$C$4:$C$46+'FACUS$'!$D1150)</f>
        <v>#N/A</v>
      </c>
      <c r="Q1150" s="165" t="str">
        <f t="shared" si="2"/>
        <v>N/A</v>
      </c>
      <c r="R1150" s="167"/>
      <c r="S1150" s="167"/>
      <c r="T1150" s="167"/>
      <c r="U1150" s="334" t="s">
        <v>7271</v>
      </c>
      <c r="V1150" s="168">
        <f t="shared" si="3"/>
        <v>0</v>
      </c>
      <c r="W1150" s="168">
        <f t="shared" si="4"/>
        <v>0</v>
      </c>
      <c r="X1150" s="168">
        <f t="shared" si="5"/>
        <v>0</v>
      </c>
      <c r="Y1150" s="168">
        <f t="shared" si="6"/>
        <v>0</v>
      </c>
      <c r="Z1150" s="168">
        <f t="shared" si="7"/>
        <v>0</v>
      </c>
      <c r="AA1150" s="168">
        <f t="shared" si="8"/>
        <v>0</v>
      </c>
      <c r="AB1150" s="168">
        <f t="shared" si="9"/>
        <v>4189.58</v>
      </c>
    </row>
    <row r="1151" ht="14.25" customHeight="1">
      <c r="A1151" s="157" t="s">
        <v>8080</v>
      </c>
      <c r="B1151" s="169" t="s">
        <v>1127</v>
      </c>
      <c r="C1151" s="366" t="s">
        <v>8081</v>
      </c>
      <c r="D1151" s="336">
        <v>44168.0</v>
      </c>
      <c r="E1151" s="157" t="s">
        <v>600</v>
      </c>
      <c r="F1151" s="160">
        <v>56038.79</v>
      </c>
      <c r="G1151" s="160">
        <v>8966.21</v>
      </c>
      <c r="H1151" s="160">
        <f t="shared" si="36"/>
        <v>65005</v>
      </c>
      <c r="I1151" s="172"/>
      <c r="J1151" s="169"/>
      <c r="K1151" s="172"/>
      <c r="L1151" s="172">
        <f>+'FACUS$'!$H1151-'FACUS$'!$I1151-'FACUS$'!$K1151</f>
        <v>65005</v>
      </c>
      <c r="M1151" s="162" t="s">
        <v>580</v>
      </c>
      <c r="N1151" s="337" t="s">
        <v>554</v>
      </c>
      <c r="O1151" s="338">
        <v>44183.0</v>
      </c>
      <c r="P1151" s="164" t="str">
        <f t="array" ref="P1151">XLOOKUP('FACUS$'!$B1151,'perfil de pagos'!$A$4:$A$46,'perfil de pagos'!$C$4:$C$46+'FACUS$'!$D1151)</f>
        <v>#N/A</v>
      </c>
      <c r="Q1151" s="165">
        <f t="shared" si="2"/>
        <v>0</v>
      </c>
      <c r="R1151" s="167"/>
      <c r="S1151" s="167"/>
      <c r="T1151" s="167"/>
      <c r="U1151" s="334" t="s">
        <v>7271</v>
      </c>
      <c r="V1151" s="168">
        <f t="shared" si="3"/>
        <v>65005</v>
      </c>
      <c r="W1151" s="168">
        <f t="shared" si="4"/>
        <v>0</v>
      </c>
      <c r="X1151" s="168">
        <f t="shared" si="5"/>
        <v>0</v>
      </c>
      <c r="Y1151" s="168">
        <f t="shared" si="6"/>
        <v>0</v>
      </c>
      <c r="Z1151" s="168">
        <f t="shared" si="7"/>
        <v>0</v>
      </c>
      <c r="AA1151" s="168">
        <f t="shared" si="8"/>
        <v>0</v>
      </c>
      <c r="AB1151" s="168">
        <f t="shared" si="9"/>
        <v>0</v>
      </c>
    </row>
    <row r="1152" ht="14.25" customHeight="1">
      <c r="A1152" s="157" t="s">
        <v>8082</v>
      </c>
      <c r="B1152" s="169" t="s">
        <v>21</v>
      </c>
      <c r="C1152" s="169" t="s">
        <v>2166</v>
      </c>
      <c r="D1152" s="336">
        <v>44172.0</v>
      </c>
      <c r="E1152" s="157" t="s">
        <v>600</v>
      </c>
      <c r="F1152" s="160">
        <v>344.51</v>
      </c>
      <c r="G1152" s="160">
        <v>55.12</v>
      </c>
      <c r="H1152" s="160">
        <f t="shared" si="36"/>
        <v>399.63</v>
      </c>
      <c r="I1152" s="172"/>
      <c r="J1152" s="169"/>
      <c r="K1152" s="172"/>
      <c r="L1152" s="172">
        <f>+'FACUS$'!$H1152-'FACUS$'!$I1152-'FACUS$'!$K1152</f>
        <v>399.63</v>
      </c>
      <c r="M1152" s="162" t="s">
        <v>2263</v>
      </c>
      <c r="N1152" s="337" t="s">
        <v>127</v>
      </c>
      <c r="O1152" s="338"/>
      <c r="P1152" s="164">
        <f t="array" ref="P1152">XLOOKUP('FACUS$'!$B1152,'perfil de pagos'!$A$4:$A$46,'perfil de pagos'!$C$4:$C$46+'FACUS$'!$D1152)</f>
        <v>44182</v>
      </c>
      <c r="Q1152" s="165" t="str">
        <f t="shared" si="2"/>
        <v>N/A</v>
      </c>
      <c r="R1152" s="167"/>
      <c r="S1152" s="167"/>
      <c r="T1152" s="167"/>
      <c r="U1152" s="334" t="s">
        <v>7271</v>
      </c>
      <c r="V1152" s="168">
        <f t="shared" si="3"/>
        <v>0</v>
      </c>
      <c r="W1152" s="168">
        <f t="shared" si="4"/>
        <v>0</v>
      </c>
      <c r="X1152" s="168">
        <f t="shared" si="5"/>
        <v>0</v>
      </c>
      <c r="Y1152" s="168">
        <f t="shared" si="6"/>
        <v>0</v>
      </c>
      <c r="Z1152" s="168">
        <f t="shared" si="7"/>
        <v>0</v>
      </c>
      <c r="AA1152" s="168">
        <f t="shared" si="8"/>
        <v>0</v>
      </c>
      <c r="AB1152" s="168">
        <f t="shared" si="9"/>
        <v>399.63</v>
      </c>
    </row>
    <row r="1153" ht="14.25" customHeight="1">
      <c r="A1153" s="157" t="s">
        <v>8083</v>
      </c>
      <c r="B1153" s="169" t="s">
        <v>21</v>
      </c>
      <c r="C1153" s="169" t="s">
        <v>2166</v>
      </c>
      <c r="D1153" s="336">
        <v>44172.0</v>
      </c>
      <c r="E1153" s="157" t="s">
        <v>600</v>
      </c>
      <c r="F1153" s="160">
        <v>326.53</v>
      </c>
      <c r="G1153" s="160">
        <v>52.24</v>
      </c>
      <c r="H1153" s="160">
        <f t="shared" si="36"/>
        <v>378.77</v>
      </c>
      <c r="I1153" s="172"/>
      <c r="J1153" s="169"/>
      <c r="K1153" s="172"/>
      <c r="L1153" s="172">
        <f>+'FACUS$'!$H1153-'FACUS$'!$I1153-'FACUS$'!$K1153</f>
        <v>378.77</v>
      </c>
      <c r="M1153" s="162" t="s">
        <v>2263</v>
      </c>
      <c r="N1153" s="337" t="s">
        <v>127</v>
      </c>
      <c r="O1153" s="338"/>
      <c r="P1153" s="164">
        <f t="array" ref="P1153">XLOOKUP('FACUS$'!$B1153,'perfil de pagos'!$A$4:$A$46,'perfil de pagos'!$C$4:$C$46+'FACUS$'!$D1153)</f>
        <v>44182</v>
      </c>
      <c r="Q1153" s="165" t="str">
        <f t="shared" si="2"/>
        <v>N/A</v>
      </c>
      <c r="R1153" s="167"/>
      <c r="S1153" s="167"/>
      <c r="T1153" s="167"/>
      <c r="U1153" s="334" t="s">
        <v>7271</v>
      </c>
      <c r="V1153" s="168">
        <f t="shared" si="3"/>
        <v>0</v>
      </c>
      <c r="W1153" s="168">
        <f t="shared" si="4"/>
        <v>0</v>
      </c>
      <c r="X1153" s="168">
        <f t="shared" si="5"/>
        <v>0</v>
      </c>
      <c r="Y1153" s="168">
        <f t="shared" si="6"/>
        <v>0</v>
      </c>
      <c r="Z1153" s="168">
        <f t="shared" si="7"/>
        <v>0</v>
      </c>
      <c r="AA1153" s="168">
        <f t="shared" si="8"/>
        <v>0</v>
      </c>
      <c r="AB1153" s="168">
        <f t="shared" si="9"/>
        <v>378.77</v>
      </c>
    </row>
    <row r="1154" ht="14.25" customHeight="1">
      <c r="A1154" s="157" t="s">
        <v>8084</v>
      </c>
      <c r="B1154" s="169" t="s">
        <v>43</v>
      </c>
      <c r="C1154" s="169" t="s">
        <v>2200</v>
      </c>
      <c r="D1154" s="336">
        <v>44172.0</v>
      </c>
      <c r="E1154" s="157" t="s">
        <v>600</v>
      </c>
      <c r="F1154" s="160">
        <v>54983.55</v>
      </c>
      <c r="G1154" s="160">
        <v>8797.37</v>
      </c>
      <c r="H1154" s="160">
        <f t="shared" si="36"/>
        <v>63780.92</v>
      </c>
      <c r="I1154" s="172"/>
      <c r="J1154" s="169"/>
      <c r="K1154" s="172"/>
      <c r="L1154" s="172">
        <f>+'FACUS$'!$H1154-'FACUS$'!$I1154-'FACUS$'!$K1154</f>
        <v>63780.92</v>
      </c>
      <c r="M1154" s="162" t="s">
        <v>43</v>
      </c>
      <c r="N1154" s="337" t="s">
        <v>127</v>
      </c>
      <c r="O1154" s="338"/>
      <c r="P1154" s="164">
        <f t="array" ref="P1154">XLOOKUP('FACUS$'!$B1154,'perfil de pagos'!$A$4:$A$46,'perfil de pagos'!$C$4:$C$46+'FACUS$'!$D1154)</f>
        <v>44197</v>
      </c>
      <c r="Q1154" s="165" t="str">
        <f t="shared" si="2"/>
        <v>N/A</v>
      </c>
      <c r="R1154" s="167"/>
      <c r="S1154" s="167"/>
      <c r="T1154" s="167"/>
      <c r="U1154" s="334" t="s">
        <v>7271</v>
      </c>
      <c r="V1154" s="168">
        <f t="shared" si="3"/>
        <v>0</v>
      </c>
      <c r="W1154" s="168">
        <f t="shared" si="4"/>
        <v>0</v>
      </c>
      <c r="X1154" s="168">
        <f t="shared" si="5"/>
        <v>0</v>
      </c>
      <c r="Y1154" s="168">
        <f t="shared" si="6"/>
        <v>0</v>
      </c>
      <c r="Z1154" s="168">
        <f t="shared" si="7"/>
        <v>0</v>
      </c>
      <c r="AA1154" s="168">
        <f t="shared" si="8"/>
        <v>0</v>
      </c>
      <c r="AB1154" s="168">
        <f t="shared" si="9"/>
        <v>63780.92</v>
      </c>
    </row>
    <row r="1155" ht="14.25" customHeight="1">
      <c r="A1155" s="157" t="s">
        <v>8085</v>
      </c>
      <c r="B1155" s="169" t="s">
        <v>21</v>
      </c>
      <c r="C1155" s="169" t="s">
        <v>2166</v>
      </c>
      <c r="D1155" s="336">
        <v>44172.0</v>
      </c>
      <c r="E1155" s="157" t="s">
        <v>600</v>
      </c>
      <c r="F1155" s="160">
        <v>326.53</v>
      </c>
      <c r="G1155" s="160">
        <v>52.24</v>
      </c>
      <c r="H1155" s="160">
        <f t="shared" si="36"/>
        <v>378.77</v>
      </c>
      <c r="I1155" s="172"/>
      <c r="J1155" s="169"/>
      <c r="K1155" s="172"/>
      <c r="L1155" s="172">
        <f>+'FACUS$'!$H1155-'FACUS$'!$I1155-'FACUS$'!$K1155</f>
        <v>378.77</v>
      </c>
      <c r="M1155" s="162" t="s">
        <v>2263</v>
      </c>
      <c r="N1155" s="337" t="s">
        <v>554</v>
      </c>
      <c r="O1155" s="338">
        <v>44201.0</v>
      </c>
      <c r="P1155" s="164">
        <f t="array" ref="P1155">XLOOKUP('FACUS$'!$B1155,'perfil de pagos'!$A$4:$A$46,'perfil de pagos'!$C$4:$C$46+'FACUS$'!$D1155)</f>
        <v>44182</v>
      </c>
      <c r="Q1155" s="165">
        <f t="shared" si="2"/>
        <v>0</v>
      </c>
      <c r="R1155" s="167" t="s">
        <v>8086</v>
      </c>
      <c r="S1155" s="167"/>
      <c r="T1155" s="167"/>
      <c r="U1155" s="334" t="s">
        <v>7271</v>
      </c>
      <c r="V1155" s="168">
        <f t="shared" si="3"/>
        <v>378.77</v>
      </c>
      <c r="W1155" s="168">
        <f t="shared" si="4"/>
        <v>0</v>
      </c>
      <c r="X1155" s="168">
        <f t="shared" si="5"/>
        <v>0</v>
      </c>
      <c r="Y1155" s="168">
        <f t="shared" si="6"/>
        <v>0</v>
      </c>
      <c r="Z1155" s="168">
        <f t="shared" si="7"/>
        <v>0</v>
      </c>
      <c r="AA1155" s="168">
        <f t="shared" si="8"/>
        <v>0</v>
      </c>
      <c r="AB1155" s="168">
        <f t="shared" si="9"/>
        <v>0</v>
      </c>
    </row>
    <row r="1156" ht="14.25" customHeight="1">
      <c r="A1156" s="157" t="s">
        <v>8087</v>
      </c>
      <c r="B1156" s="169" t="s">
        <v>21</v>
      </c>
      <c r="C1156" s="169" t="s">
        <v>2200</v>
      </c>
      <c r="D1156" s="336">
        <v>44172.0</v>
      </c>
      <c r="E1156" s="157" t="s">
        <v>600</v>
      </c>
      <c r="F1156" s="160">
        <v>759.68</v>
      </c>
      <c r="G1156" s="160">
        <v>121.55</v>
      </c>
      <c r="H1156" s="160">
        <f t="shared" si="36"/>
        <v>881.23</v>
      </c>
      <c r="I1156" s="172"/>
      <c r="J1156" s="169"/>
      <c r="K1156" s="172"/>
      <c r="L1156" s="172">
        <f>+'FACUS$'!$H1156-'FACUS$'!$I1156-'FACUS$'!$K1156</f>
        <v>881.23</v>
      </c>
      <c r="M1156" s="162" t="s">
        <v>2263</v>
      </c>
      <c r="N1156" s="337" t="s">
        <v>554</v>
      </c>
      <c r="O1156" s="338">
        <v>44201.0</v>
      </c>
      <c r="P1156" s="164">
        <f t="array" ref="P1156">XLOOKUP('FACUS$'!$B1156,'perfil de pagos'!$A$4:$A$46,'perfil de pagos'!$C$4:$C$46+'FACUS$'!$D1156)</f>
        <v>44182</v>
      </c>
      <c r="Q1156" s="165">
        <f t="shared" si="2"/>
        <v>0</v>
      </c>
      <c r="R1156" s="167" t="s">
        <v>8086</v>
      </c>
      <c r="S1156" s="167"/>
      <c r="T1156" s="167"/>
      <c r="U1156" s="334" t="s">
        <v>7271</v>
      </c>
      <c r="V1156" s="168">
        <f t="shared" si="3"/>
        <v>881.23</v>
      </c>
      <c r="W1156" s="168">
        <f t="shared" si="4"/>
        <v>0</v>
      </c>
      <c r="X1156" s="168">
        <f t="shared" si="5"/>
        <v>0</v>
      </c>
      <c r="Y1156" s="168">
        <f t="shared" si="6"/>
        <v>0</v>
      </c>
      <c r="Z1156" s="168">
        <f t="shared" si="7"/>
        <v>0</v>
      </c>
      <c r="AA1156" s="168">
        <f t="shared" si="8"/>
        <v>0</v>
      </c>
      <c r="AB1156" s="168">
        <f t="shared" si="9"/>
        <v>0</v>
      </c>
    </row>
    <row r="1157" ht="14.25" customHeight="1">
      <c r="A1157" s="157" t="s">
        <v>8088</v>
      </c>
      <c r="B1157" s="169" t="s">
        <v>18</v>
      </c>
      <c r="C1157" s="169" t="s">
        <v>2253</v>
      </c>
      <c r="D1157" s="336">
        <v>44175.0</v>
      </c>
      <c r="E1157" s="157" t="s">
        <v>600</v>
      </c>
      <c r="F1157" s="160">
        <v>9636.92</v>
      </c>
      <c r="G1157" s="160">
        <v>1541.91</v>
      </c>
      <c r="H1157" s="160">
        <f t="shared" si="36"/>
        <v>11178.83</v>
      </c>
      <c r="I1157" s="172"/>
      <c r="J1157" s="169"/>
      <c r="K1157" s="172"/>
      <c r="L1157" s="172">
        <f>+'FACUS$'!$H1157-'FACUS$'!$I1157-'FACUS$'!$K1157</f>
        <v>11178.83</v>
      </c>
      <c r="M1157" s="162" t="s">
        <v>586</v>
      </c>
      <c r="N1157" s="337" t="s">
        <v>554</v>
      </c>
      <c r="O1157" s="338">
        <v>44182.0</v>
      </c>
      <c r="P1157" s="164">
        <f t="array" ref="P1157">XLOOKUP('FACUS$'!$B1157,'perfil de pagos'!$A$4:$A$46,'perfil de pagos'!$C$4:$C$46+'FACUS$'!$D1157)</f>
        <v>44185</v>
      </c>
      <c r="Q1157" s="165">
        <f t="shared" si="2"/>
        <v>0</v>
      </c>
      <c r="R1157" s="167"/>
      <c r="S1157" s="220" t="s">
        <v>910</v>
      </c>
      <c r="T1157" s="167"/>
      <c r="U1157" s="334" t="s">
        <v>7271</v>
      </c>
      <c r="V1157" s="168">
        <f t="shared" si="3"/>
        <v>11178.83</v>
      </c>
      <c r="W1157" s="168">
        <f t="shared" si="4"/>
        <v>0</v>
      </c>
      <c r="X1157" s="168">
        <f t="shared" si="5"/>
        <v>0</v>
      </c>
      <c r="Y1157" s="168">
        <f t="shared" si="6"/>
        <v>0</v>
      </c>
      <c r="Z1157" s="168">
        <f t="shared" si="7"/>
        <v>0</v>
      </c>
      <c r="AA1157" s="168">
        <f t="shared" si="8"/>
        <v>0</v>
      </c>
      <c r="AB1157" s="168">
        <f t="shared" si="9"/>
        <v>0</v>
      </c>
    </row>
    <row r="1158" ht="14.25" customHeight="1">
      <c r="A1158" s="157" t="s">
        <v>8089</v>
      </c>
      <c r="B1158" s="169" t="s">
        <v>20</v>
      </c>
      <c r="C1158" s="169" t="s">
        <v>2253</v>
      </c>
      <c r="D1158" s="336">
        <v>44175.0</v>
      </c>
      <c r="E1158" s="157" t="s">
        <v>600</v>
      </c>
      <c r="F1158" s="160">
        <v>13802.5</v>
      </c>
      <c r="G1158" s="160">
        <v>2208.4</v>
      </c>
      <c r="H1158" s="160">
        <f t="shared" si="36"/>
        <v>16010.9</v>
      </c>
      <c r="I1158" s="172"/>
      <c r="J1158" s="169"/>
      <c r="K1158" s="172"/>
      <c r="L1158" s="172">
        <f>+'FACUS$'!$H1158-'FACUS$'!$I1158-'FACUS$'!$K1158</f>
        <v>16010.9</v>
      </c>
      <c r="M1158" s="162" t="s">
        <v>732</v>
      </c>
      <c r="N1158" s="337" t="s">
        <v>554</v>
      </c>
      <c r="O1158" s="338">
        <v>44182.0</v>
      </c>
      <c r="P1158" s="164">
        <f t="array" ref="P1158">XLOOKUP('FACUS$'!$B1158,'perfil de pagos'!$A$4:$A$46,'perfil de pagos'!$C$4:$C$46+'FACUS$'!$D1158)</f>
        <v>44185</v>
      </c>
      <c r="Q1158" s="165">
        <f t="shared" si="2"/>
        <v>0</v>
      </c>
      <c r="R1158" s="167"/>
      <c r="S1158" s="220" t="s">
        <v>910</v>
      </c>
      <c r="T1158" s="167"/>
      <c r="U1158" s="334" t="s">
        <v>7271</v>
      </c>
      <c r="V1158" s="168">
        <f t="shared" si="3"/>
        <v>16010.9</v>
      </c>
      <c r="W1158" s="168">
        <f t="shared" si="4"/>
        <v>0</v>
      </c>
      <c r="X1158" s="168">
        <f t="shared" si="5"/>
        <v>0</v>
      </c>
      <c r="Y1158" s="168">
        <f t="shared" si="6"/>
        <v>0</v>
      </c>
      <c r="Z1158" s="168">
        <f t="shared" si="7"/>
        <v>0</v>
      </c>
      <c r="AA1158" s="168">
        <f t="shared" si="8"/>
        <v>0</v>
      </c>
      <c r="AB1158" s="168">
        <f t="shared" si="9"/>
        <v>0</v>
      </c>
    </row>
    <row r="1159" ht="14.25" customHeight="1">
      <c r="A1159" s="157" t="s">
        <v>8090</v>
      </c>
      <c r="B1159" s="169" t="s">
        <v>37</v>
      </c>
      <c r="C1159" s="169" t="s">
        <v>2253</v>
      </c>
      <c r="D1159" s="336">
        <v>44175.0</v>
      </c>
      <c r="E1159" s="157" t="s">
        <v>600</v>
      </c>
      <c r="F1159" s="160">
        <v>84472.79</v>
      </c>
      <c r="G1159" s="160">
        <v>13515.65</v>
      </c>
      <c r="H1159" s="160">
        <f t="shared" si="36"/>
        <v>97988.44</v>
      </c>
      <c r="I1159" s="172"/>
      <c r="J1159" s="169"/>
      <c r="K1159" s="172"/>
      <c r="L1159" s="172">
        <f>+'FACUS$'!$H1159-'FACUS$'!$I1159-'FACUS$'!$K1159</f>
        <v>97988.44</v>
      </c>
      <c r="M1159" s="162" t="s">
        <v>116</v>
      </c>
      <c r="N1159" s="337" t="s">
        <v>554</v>
      </c>
      <c r="O1159" s="338">
        <v>43835.0</v>
      </c>
      <c r="P1159" s="164">
        <f t="array" ref="P1159">XLOOKUP('FACUS$'!$B1159,'perfil de pagos'!$A$4:$A$46,'perfil de pagos'!$C$4:$C$46+'FACUS$'!$D1159)</f>
        <v>44185</v>
      </c>
      <c r="Q1159" s="165">
        <f t="shared" si="2"/>
        <v>0</v>
      </c>
      <c r="R1159" s="167" t="s">
        <v>8091</v>
      </c>
      <c r="S1159" s="167"/>
      <c r="T1159" s="167"/>
      <c r="U1159" s="334" t="s">
        <v>7271</v>
      </c>
      <c r="V1159" s="168">
        <f t="shared" si="3"/>
        <v>97988.44</v>
      </c>
      <c r="W1159" s="168">
        <f t="shared" si="4"/>
        <v>0</v>
      </c>
      <c r="X1159" s="168">
        <f t="shared" si="5"/>
        <v>0</v>
      </c>
      <c r="Y1159" s="168">
        <f t="shared" si="6"/>
        <v>0</v>
      </c>
      <c r="Z1159" s="168">
        <f t="shared" si="7"/>
        <v>0</v>
      </c>
      <c r="AA1159" s="168">
        <f t="shared" si="8"/>
        <v>0</v>
      </c>
      <c r="AB1159" s="168">
        <f t="shared" si="9"/>
        <v>0</v>
      </c>
    </row>
    <row r="1160" ht="14.25" customHeight="1">
      <c r="A1160" s="157" t="s">
        <v>8092</v>
      </c>
      <c r="B1160" s="169" t="s">
        <v>38</v>
      </c>
      <c r="C1160" s="169" t="s">
        <v>2253</v>
      </c>
      <c r="D1160" s="336">
        <v>44175.0</v>
      </c>
      <c r="E1160" s="157" t="s">
        <v>600</v>
      </c>
      <c r="F1160" s="160">
        <v>8391.36</v>
      </c>
      <c r="G1160" s="160">
        <v>1342.62</v>
      </c>
      <c r="H1160" s="160">
        <f t="shared" si="36"/>
        <v>9733.98</v>
      </c>
      <c r="I1160" s="172"/>
      <c r="J1160" s="169"/>
      <c r="K1160" s="172"/>
      <c r="L1160" s="172">
        <f>+'FACUS$'!$H1160-'FACUS$'!$I1160-'FACUS$'!$K1160</f>
        <v>9733.98</v>
      </c>
      <c r="M1160" s="162" t="s">
        <v>145</v>
      </c>
      <c r="N1160" s="337" t="s">
        <v>554</v>
      </c>
      <c r="O1160" s="338">
        <v>44211.0</v>
      </c>
      <c r="P1160" s="164">
        <f t="array" ref="P1160">XLOOKUP('FACUS$'!$B1160,'perfil de pagos'!$A$4:$A$46,'perfil de pagos'!$C$4:$C$46+'FACUS$'!$D1160)</f>
        <v>44205</v>
      </c>
      <c r="Q1160" s="165">
        <f t="shared" si="2"/>
        <v>0</v>
      </c>
      <c r="R1160" s="220" t="s">
        <v>8093</v>
      </c>
      <c r="S1160" s="167"/>
      <c r="T1160" s="167"/>
      <c r="U1160" s="334" t="s">
        <v>7271</v>
      </c>
      <c r="V1160" s="168">
        <f t="shared" si="3"/>
        <v>9733.98</v>
      </c>
      <c r="W1160" s="168">
        <f t="shared" si="4"/>
        <v>0</v>
      </c>
      <c r="X1160" s="168">
        <f t="shared" si="5"/>
        <v>0</v>
      </c>
      <c r="Y1160" s="168">
        <f t="shared" si="6"/>
        <v>0</v>
      </c>
      <c r="Z1160" s="168">
        <f t="shared" si="7"/>
        <v>0</v>
      </c>
      <c r="AA1160" s="168">
        <f t="shared" si="8"/>
        <v>0</v>
      </c>
      <c r="AB1160" s="168">
        <f t="shared" si="9"/>
        <v>0</v>
      </c>
    </row>
    <row r="1161" ht="14.25" customHeight="1">
      <c r="A1161" s="157" t="s">
        <v>8094</v>
      </c>
      <c r="B1161" s="169" t="s">
        <v>50</v>
      </c>
      <c r="C1161" s="169" t="s">
        <v>2253</v>
      </c>
      <c r="D1161" s="336">
        <v>44176.0</v>
      </c>
      <c r="E1161" s="157" t="s">
        <v>600</v>
      </c>
      <c r="F1161" s="160">
        <v>17412.71</v>
      </c>
      <c r="G1161" s="160">
        <v>2786.03</v>
      </c>
      <c r="H1161" s="160">
        <f t="shared" si="36"/>
        <v>20198.74</v>
      </c>
      <c r="I1161" s="172"/>
      <c r="J1161" s="169"/>
      <c r="K1161" s="172"/>
      <c r="L1161" s="172">
        <f>+'FACUS$'!$H1161-'FACUS$'!$I1161-'FACUS$'!$K1161</f>
        <v>20198.74</v>
      </c>
      <c r="M1161" s="162" t="s">
        <v>570</v>
      </c>
      <c r="N1161" s="337" t="s">
        <v>554</v>
      </c>
      <c r="O1161" s="338">
        <v>44183.0</v>
      </c>
      <c r="P1161" s="164">
        <f t="array" ref="P1161">XLOOKUP('FACUS$'!$B1161,'perfil de pagos'!$A$4:$A$46,'perfil de pagos'!$C$4:$C$46+'FACUS$'!$D1161)</f>
        <v>44186</v>
      </c>
      <c r="Q1161" s="165">
        <f t="shared" si="2"/>
        <v>0</v>
      </c>
      <c r="R1161" s="167"/>
      <c r="S1161" s="220" t="s">
        <v>910</v>
      </c>
      <c r="T1161" s="167"/>
      <c r="U1161" s="334" t="s">
        <v>7271</v>
      </c>
      <c r="V1161" s="168">
        <f t="shared" si="3"/>
        <v>20198.74</v>
      </c>
      <c r="W1161" s="168">
        <f t="shared" si="4"/>
        <v>0</v>
      </c>
      <c r="X1161" s="168">
        <f t="shared" si="5"/>
        <v>0</v>
      </c>
      <c r="Y1161" s="168">
        <f t="shared" si="6"/>
        <v>0</v>
      </c>
      <c r="Z1161" s="168">
        <f t="shared" si="7"/>
        <v>0</v>
      </c>
      <c r="AA1161" s="168">
        <f t="shared" si="8"/>
        <v>0</v>
      </c>
      <c r="AB1161" s="168">
        <f t="shared" si="9"/>
        <v>0</v>
      </c>
    </row>
    <row r="1162" ht="14.25" customHeight="1">
      <c r="A1162" s="157" t="s">
        <v>8095</v>
      </c>
      <c r="B1162" s="169" t="s">
        <v>41</v>
      </c>
      <c r="C1162" s="169" t="s">
        <v>2253</v>
      </c>
      <c r="D1162" s="336">
        <v>44176.0</v>
      </c>
      <c r="E1162" s="157" t="s">
        <v>600</v>
      </c>
      <c r="F1162" s="160">
        <v>50036.44</v>
      </c>
      <c r="G1162" s="160">
        <v>8005.83</v>
      </c>
      <c r="H1162" s="160">
        <f t="shared" si="36"/>
        <v>58042.27</v>
      </c>
      <c r="I1162" s="172"/>
      <c r="J1162" s="169"/>
      <c r="K1162" s="172"/>
      <c r="L1162" s="172">
        <f>+'FACUS$'!$H1162-'FACUS$'!$I1162-'FACUS$'!$K1162</f>
        <v>58042.27</v>
      </c>
      <c r="M1162" s="162" t="s">
        <v>875</v>
      </c>
      <c r="N1162" s="337" t="s">
        <v>554</v>
      </c>
      <c r="O1162" s="338">
        <v>44284.0</v>
      </c>
      <c r="P1162" s="164">
        <f t="array" ref="P1162">XLOOKUP('FACUS$'!$B1162,'perfil de pagos'!$A$4:$A$46,'perfil de pagos'!$C$4:$C$46+'FACUS$'!$D1162)</f>
        <v>44186</v>
      </c>
      <c r="Q1162" s="165">
        <f t="shared" si="2"/>
        <v>0</v>
      </c>
      <c r="R1162" s="167"/>
      <c r="S1162" s="167"/>
      <c r="T1162" s="167"/>
      <c r="U1162" s="334" t="s">
        <v>7271</v>
      </c>
      <c r="V1162" s="168">
        <f t="shared" si="3"/>
        <v>58042.27</v>
      </c>
      <c r="W1162" s="168">
        <f t="shared" si="4"/>
        <v>0</v>
      </c>
      <c r="X1162" s="168">
        <f t="shared" si="5"/>
        <v>0</v>
      </c>
      <c r="Y1162" s="168">
        <f t="shared" si="6"/>
        <v>0</v>
      </c>
      <c r="Z1162" s="168">
        <f t="shared" si="7"/>
        <v>0</v>
      </c>
      <c r="AA1162" s="168">
        <f t="shared" si="8"/>
        <v>0</v>
      </c>
      <c r="AB1162" s="168">
        <f t="shared" si="9"/>
        <v>0</v>
      </c>
    </row>
    <row r="1163" ht="14.25" customHeight="1">
      <c r="A1163" s="157" t="s">
        <v>8096</v>
      </c>
      <c r="B1163" s="169" t="s">
        <v>50</v>
      </c>
      <c r="C1163" s="169" t="s">
        <v>2248</v>
      </c>
      <c r="D1163" s="336">
        <v>44176.0</v>
      </c>
      <c r="E1163" s="157" t="s">
        <v>600</v>
      </c>
      <c r="F1163" s="160">
        <v>9009.0</v>
      </c>
      <c r="G1163" s="160">
        <v>1441.44</v>
      </c>
      <c r="H1163" s="160">
        <f t="shared" si="36"/>
        <v>10450.44</v>
      </c>
      <c r="I1163" s="172"/>
      <c r="J1163" s="169"/>
      <c r="K1163" s="172"/>
      <c r="L1163" s="172">
        <f>+'FACUS$'!$H1163-'FACUS$'!$I1163-'FACUS$'!$K1163</f>
        <v>10450.44</v>
      </c>
      <c r="M1163" s="162" t="s">
        <v>570</v>
      </c>
      <c r="N1163" s="337" t="s">
        <v>554</v>
      </c>
      <c r="O1163" s="338">
        <v>44183.0</v>
      </c>
      <c r="P1163" s="164">
        <f t="array" ref="P1163">XLOOKUP('FACUS$'!$B1163,'perfil de pagos'!$A$4:$A$46,'perfil de pagos'!$C$4:$C$46+'FACUS$'!$D1163)</f>
        <v>44186</v>
      </c>
      <c r="Q1163" s="165">
        <f t="shared" si="2"/>
        <v>0</v>
      </c>
      <c r="R1163" s="167"/>
      <c r="S1163" s="220" t="s">
        <v>910</v>
      </c>
      <c r="T1163" s="167"/>
      <c r="U1163" s="334" t="s">
        <v>7271</v>
      </c>
      <c r="V1163" s="168">
        <f t="shared" si="3"/>
        <v>10450.44</v>
      </c>
      <c r="W1163" s="168">
        <f t="shared" si="4"/>
        <v>0</v>
      </c>
      <c r="X1163" s="168">
        <f t="shared" si="5"/>
        <v>0</v>
      </c>
      <c r="Y1163" s="168">
        <f t="shared" si="6"/>
        <v>0</v>
      </c>
      <c r="Z1163" s="168">
        <f t="shared" si="7"/>
        <v>0</v>
      </c>
      <c r="AA1163" s="168">
        <f t="shared" si="8"/>
        <v>0</v>
      </c>
      <c r="AB1163" s="168">
        <f t="shared" si="9"/>
        <v>0</v>
      </c>
    </row>
    <row r="1164" ht="14.25" customHeight="1">
      <c r="A1164" s="157" t="s">
        <v>8097</v>
      </c>
      <c r="B1164" s="169" t="s">
        <v>43</v>
      </c>
      <c r="C1164" s="169" t="s">
        <v>2342</v>
      </c>
      <c r="D1164" s="336">
        <v>44186.0</v>
      </c>
      <c r="E1164" s="157" t="s">
        <v>600</v>
      </c>
      <c r="F1164" s="160">
        <v>57237.98</v>
      </c>
      <c r="G1164" s="160">
        <v>9158.08</v>
      </c>
      <c r="H1164" s="160">
        <f t="shared" si="36"/>
        <v>66396.06</v>
      </c>
      <c r="I1164" s="172"/>
      <c r="J1164" s="169"/>
      <c r="K1164" s="172"/>
      <c r="L1164" s="172">
        <f>+'FACUS$'!$H1164-'FACUS$'!$I1164-'FACUS$'!$K1164</f>
        <v>66396.06</v>
      </c>
      <c r="M1164" s="162" t="s">
        <v>43</v>
      </c>
      <c r="N1164" s="337" t="s">
        <v>554</v>
      </c>
      <c r="O1164" s="338">
        <v>44189.0</v>
      </c>
      <c r="P1164" s="164">
        <f t="array" ref="P1164">XLOOKUP('FACUS$'!$B1164,'perfil de pagos'!$A$4:$A$46,'perfil de pagos'!$C$4:$C$46+'FACUS$'!$D1164)</f>
        <v>44211</v>
      </c>
      <c r="Q1164" s="165">
        <f t="shared" si="2"/>
        <v>0</v>
      </c>
      <c r="R1164" s="167"/>
      <c r="S1164" s="220" t="s">
        <v>910</v>
      </c>
      <c r="T1164" s="167"/>
      <c r="U1164" s="334" t="s">
        <v>7271</v>
      </c>
      <c r="V1164" s="168">
        <f t="shared" si="3"/>
        <v>66396.06</v>
      </c>
      <c r="W1164" s="168">
        <f t="shared" si="4"/>
        <v>0</v>
      </c>
      <c r="X1164" s="168">
        <f t="shared" si="5"/>
        <v>0</v>
      </c>
      <c r="Y1164" s="168">
        <f t="shared" si="6"/>
        <v>0</v>
      </c>
      <c r="Z1164" s="168">
        <f t="shared" si="7"/>
        <v>0</v>
      </c>
      <c r="AA1164" s="168">
        <f t="shared" si="8"/>
        <v>0</v>
      </c>
      <c r="AB1164" s="168">
        <f t="shared" si="9"/>
        <v>0</v>
      </c>
    </row>
    <row r="1165" ht="14.25" customHeight="1">
      <c r="A1165" s="157" t="s">
        <v>8098</v>
      </c>
      <c r="B1165" s="169" t="s">
        <v>1127</v>
      </c>
      <c r="C1165" s="169" t="s">
        <v>2342</v>
      </c>
      <c r="D1165" s="336">
        <v>44186.0</v>
      </c>
      <c r="E1165" s="157" t="s">
        <v>600</v>
      </c>
      <c r="F1165" s="160">
        <v>21453.25</v>
      </c>
      <c r="G1165" s="160">
        <v>3432.52</v>
      </c>
      <c r="H1165" s="160">
        <f t="shared" si="36"/>
        <v>24885.77</v>
      </c>
      <c r="I1165" s="172"/>
      <c r="J1165" s="169"/>
      <c r="K1165" s="172"/>
      <c r="L1165" s="172">
        <f>+'FACUS$'!$H1165-'FACUS$'!$I1165-'FACUS$'!$K1165</f>
        <v>24885.77</v>
      </c>
      <c r="M1165" s="162" t="s">
        <v>580</v>
      </c>
      <c r="N1165" s="337" t="s">
        <v>554</v>
      </c>
      <c r="O1165" s="338">
        <v>44210.0</v>
      </c>
      <c r="P1165" s="164" t="str">
        <f t="array" ref="P1165">XLOOKUP('FACUS$'!$B1165,'perfil de pagos'!$A$4:$A$46,'perfil de pagos'!$C$4:$C$46+'FACUS$'!$D1165)</f>
        <v>#N/A</v>
      </c>
      <c r="Q1165" s="165">
        <f t="shared" si="2"/>
        <v>0</v>
      </c>
      <c r="R1165" s="167"/>
      <c r="S1165" s="167"/>
      <c r="T1165" s="167"/>
      <c r="U1165" s="334" t="s">
        <v>7271</v>
      </c>
      <c r="V1165" s="168">
        <f t="shared" si="3"/>
        <v>24885.77</v>
      </c>
      <c r="W1165" s="168">
        <f t="shared" si="4"/>
        <v>0</v>
      </c>
      <c r="X1165" s="168">
        <f t="shared" si="5"/>
        <v>0</v>
      </c>
      <c r="Y1165" s="168">
        <f t="shared" si="6"/>
        <v>0</v>
      </c>
      <c r="Z1165" s="168">
        <f t="shared" si="7"/>
        <v>0</v>
      </c>
      <c r="AA1165" s="168">
        <f t="shared" si="8"/>
        <v>0</v>
      </c>
      <c r="AB1165" s="168">
        <f t="shared" si="9"/>
        <v>0</v>
      </c>
    </row>
    <row r="1166" ht="14.25" customHeight="1">
      <c r="A1166" s="157" t="s">
        <v>8099</v>
      </c>
      <c r="B1166" s="169" t="s">
        <v>36</v>
      </c>
      <c r="C1166" s="169" t="s">
        <v>2342</v>
      </c>
      <c r="D1166" s="336">
        <v>44186.0</v>
      </c>
      <c r="E1166" s="157" t="s">
        <v>600</v>
      </c>
      <c r="F1166" s="160">
        <v>3085.54</v>
      </c>
      <c r="G1166" s="160">
        <v>493.69</v>
      </c>
      <c r="H1166" s="160">
        <f t="shared" si="36"/>
        <v>3579.23</v>
      </c>
      <c r="I1166" s="172"/>
      <c r="J1166" s="169"/>
      <c r="K1166" s="172"/>
      <c r="L1166" s="172">
        <f>+'FACUS$'!$H1166-'FACUS$'!$I1166-'FACUS$'!$K1166</f>
        <v>3579.23</v>
      </c>
      <c r="M1166" s="162" t="s">
        <v>278</v>
      </c>
      <c r="N1166" s="337" t="s">
        <v>554</v>
      </c>
      <c r="O1166" s="338">
        <v>44271.0</v>
      </c>
      <c r="P1166" s="164">
        <f t="array" ref="P1166">XLOOKUP('FACUS$'!$B1166,'perfil de pagos'!$A$4:$A$46,'perfil de pagos'!$C$4:$C$46+'FACUS$'!$D1166)</f>
        <v>44196</v>
      </c>
      <c r="Q1166" s="165">
        <f t="shared" si="2"/>
        <v>0</v>
      </c>
      <c r="R1166" s="167" t="s">
        <v>8100</v>
      </c>
      <c r="S1166" s="167"/>
      <c r="T1166" s="167"/>
      <c r="U1166" s="334" t="s">
        <v>7271</v>
      </c>
      <c r="V1166" s="168">
        <f t="shared" si="3"/>
        <v>3579.23</v>
      </c>
      <c r="W1166" s="168">
        <f t="shared" si="4"/>
        <v>0</v>
      </c>
      <c r="X1166" s="168">
        <f t="shared" si="5"/>
        <v>0</v>
      </c>
      <c r="Y1166" s="168">
        <f t="shared" si="6"/>
        <v>0</v>
      </c>
      <c r="Z1166" s="168">
        <f t="shared" si="7"/>
        <v>0</v>
      </c>
      <c r="AA1166" s="168">
        <f t="shared" si="8"/>
        <v>0</v>
      </c>
      <c r="AB1166" s="168">
        <f t="shared" si="9"/>
        <v>0</v>
      </c>
    </row>
    <row r="1167" ht="14.25" customHeight="1">
      <c r="A1167" s="157" t="s">
        <v>8101</v>
      </c>
      <c r="B1167" s="169" t="s">
        <v>127</v>
      </c>
      <c r="C1167" s="169"/>
      <c r="D1167" s="336"/>
      <c r="E1167" s="157"/>
      <c r="F1167" s="160"/>
      <c r="G1167" s="160"/>
      <c r="H1167" s="160">
        <f t="shared" si="36"/>
        <v>0</v>
      </c>
      <c r="I1167" s="172"/>
      <c r="J1167" s="169"/>
      <c r="K1167" s="172"/>
      <c r="L1167" s="172">
        <f>+'FACUS$'!$H1167-'FACUS$'!$I1167-'FACUS$'!$K1167</f>
        <v>0</v>
      </c>
      <c r="M1167" s="162"/>
      <c r="N1167" s="337" t="s">
        <v>127</v>
      </c>
      <c r="O1167" s="338"/>
      <c r="P1167" s="164" t="str">
        <f t="array" ref="P1167">XLOOKUP('FACUS$'!$B1167,'perfil de pagos'!$A$4:$A$46,'perfil de pagos'!$C$4:$C$46+'FACUS$'!$D1167)</f>
        <v>#N/A</v>
      </c>
      <c r="Q1167" s="165" t="str">
        <f t="shared" si="2"/>
        <v>N/A</v>
      </c>
      <c r="R1167" s="167"/>
      <c r="S1167" s="167"/>
      <c r="T1167" s="167"/>
      <c r="U1167" s="334" t="s">
        <v>7271</v>
      </c>
      <c r="V1167" s="168">
        <f t="shared" si="3"/>
        <v>0</v>
      </c>
      <c r="W1167" s="168">
        <f t="shared" si="4"/>
        <v>0</v>
      </c>
      <c r="X1167" s="168">
        <f t="shared" si="5"/>
        <v>0</v>
      </c>
      <c r="Y1167" s="168">
        <f t="shared" si="6"/>
        <v>0</v>
      </c>
      <c r="Z1167" s="168">
        <f t="shared" si="7"/>
        <v>0</v>
      </c>
      <c r="AA1167" s="168">
        <f t="shared" si="8"/>
        <v>0</v>
      </c>
      <c r="AB1167" s="168">
        <f t="shared" si="9"/>
        <v>0</v>
      </c>
    </row>
    <row r="1168" ht="14.25" customHeight="1">
      <c r="A1168" s="157" t="s">
        <v>8102</v>
      </c>
      <c r="B1168" s="169" t="s">
        <v>35</v>
      </c>
      <c r="C1168" s="169" t="s">
        <v>2342</v>
      </c>
      <c r="D1168" s="336">
        <v>44186.0</v>
      </c>
      <c r="E1168" s="157" t="s">
        <v>600</v>
      </c>
      <c r="F1168" s="160">
        <v>16391.83</v>
      </c>
      <c r="G1168" s="160">
        <v>2622.69</v>
      </c>
      <c r="H1168" s="160">
        <f t="shared" si="36"/>
        <v>19014.52</v>
      </c>
      <c r="I1168" s="172"/>
      <c r="J1168" s="169"/>
      <c r="K1168" s="172"/>
      <c r="L1168" s="172">
        <f>+'FACUS$'!$H1168-'FACUS$'!$I1168-'FACUS$'!$K1168</f>
        <v>19014.52</v>
      </c>
      <c r="M1168" s="162" t="s">
        <v>276</v>
      </c>
      <c r="N1168" s="337" t="s">
        <v>554</v>
      </c>
      <c r="O1168" s="338">
        <v>44214.0</v>
      </c>
      <c r="P1168" s="164">
        <f t="array" ref="P1168">XLOOKUP('FACUS$'!$B1168,'perfil de pagos'!$A$4:$A$46,'perfil de pagos'!$C$4:$C$46+'FACUS$'!$D1168)</f>
        <v>44196</v>
      </c>
      <c r="Q1168" s="165">
        <f t="shared" si="2"/>
        <v>0</v>
      </c>
      <c r="R1168" s="167"/>
      <c r="S1168" s="167" t="s">
        <v>910</v>
      </c>
      <c r="T1168" s="167"/>
      <c r="U1168" s="334" t="s">
        <v>7271</v>
      </c>
      <c r="V1168" s="168">
        <f t="shared" si="3"/>
        <v>19014.52</v>
      </c>
      <c r="W1168" s="168">
        <f t="shared" si="4"/>
        <v>0</v>
      </c>
      <c r="X1168" s="168">
        <f t="shared" si="5"/>
        <v>0</v>
      </c>
      <c r="Y1168" s="168">
        <f t="shared" si="6"/>
        <v>0</v>
      </c>
      <c r="Z1168" s="168">
        <f t="shared" si="7"/>
        <v>0</v>
      </c>
      <c r="AA1168" s="168">
        <f t="shared" si="8"/>
        <v>0</v>
      </c>
      <c r="AB1168" s="168">
        <f t="shared" si="9"/>
        <v>0</v>
      </c>
    </row>
    <row r="1169" ht="14.25" customHeight="1">
      <c r="A1169" s="157" t="s">
        <v>8103</v>
      </c>
      <c r="B1169" s="169" t="s">
        <v>41</v>
      </c>
      <c r="C1169" s="169" t="s">
        <v>2342</v>
      </c>
      <c r="D1169" s="336">
        <v>44188.0</v>
      </c>
      <c r="E1169" s="157" t="s">
        <v>600</v>
      </c>
      <c r="F1169" s="160">
        <v>56772.62</v>
      </c>
      <c r="G1169" s="160">
        <v>9083.62</v>
      </c>
      <c r="H1169" s="160">
        <f>F1169+G1169-40000</f>
        <v>25856.24</v>
      </c>
      <c r="I1169" s="172"/>
      <c r="J1169" s="169"/>
      <c r="K1169" s="172"/>
      <c r="L1169" s="172">
        <f>+'FACUS$'!$H1169-'FACUS$'!$I1169-'FACUS$'!$K1169</f>
        <v>25856.24</v>
      </c>
      <c r="M1169" s="162" t="s">
        <v>875</v>
      </c>
      <c r="N1169" s="337" t="s">
        <v>554</v>
      </c>
      <c r="O1169" s="338">
        <v>44349.0</v>
      </c>
      <c r="P1169" s="164">
        <f t="array" ref="P1169">XLOOKUP('FACUS$'!$B1169,'perfil de pagos'!$A$4:$A$46,'perfil de pagos'!$C$4:$C$46+'FACUS$'!$D1169)</f>
        <v>44198</v>
      </c>
      <c r="Q1169" s="165">
        <f t="shared" si="2"/>
        <v>0</v>
      </c>
      <c r="R1169" s="220" t="s">
        <v>8104</v>
      </c>
      <c r="S1169" s="167"/>
      <c r="T1169" s="167"/>
      <c r="U1169" s="334" t="s">
        <v>7271</v>
      </c>
      <c r="V1169" s="168">
        <f t="shared" si="3"/>
        <v>25856.24</v>
      </c>
      <c r="W1169" s="168">
        <f t="shared" si="4"/>
        <v>0</v>
      </c>
      <c r="X1169" s="168">
        <f t="shared" si="5"/>
        <v>0</v>
      </c>
      <c r="Y1169" s="168">
        <f t="shared" si="6"/>
        <v>0</v>
      </c>
      <c r="Z1169" s="168">
        <f t="shared" si="7"/>
        <v>0</v>
      </c>
      <c r="AA1169" s="168">
        <f t="shared" si="8"/>
        <v>0</v>
      </c>
      <c r="AB1169" s="168">
        <f t="shared" si="9"/>
        <v>0</v>
      </c>
    </row>
    <row r="1170" ht="14.25" customHeight="1">
      <c r="A1170" s="157" t="s">
        <v>8105</v>
      </c>
      <c r="B1170" s="169" t="s">
        <v>33</v>
      </c>
      <c r="C1170" s="169" t="s">
        <v>2342</v>
      </c>
      <c r="D1170" s="336">
        <v>44188.0</v>
      </c>
      <c r="E1170" s="157" t="s">
        <v>600</v>
      </c>
      <c r="F1170" s="160">
        <v>39066.73</v>
      </c>
      <c r="G1170" s="160">
        <v>6250.68</v>
      </c>
      <c r="H1170" s="160">
        <f t="shared" ref="H1170:H1190" si="37">F1170+G1170</f>
        <v>45317.41</v>
      </c>
      <c r="I1170" s="172"/>
      <c r="J1170" s="169"/>
      <c r="K1170" s="172"/>
      <c r="L1170" s="172">
        <f>+'FACUS$'!$H1170-'FACUS$'!$I1170-'FACUS$'!$K1170</f>
        <v>45317.41</v>
      </c>
      <c r="M1170" s="162" t="s">
        <v>958</v>
      </c>
      <c r="N1170" s="337" t="s">
        <v>554</v>
      </c>
      <c r="O1170" s="338">
        <v>44215.0</v>
      </c>
      <c r="P1170" s="164">
        <f t="array" ref="P1170">XLOOKUP('FACUS$'!$B1170,'perfil de pagos'!$A$4:$A$46,'perfil de pagos'!$C$4:$C$46+'FACUS$'!$D1170)</f>
        <v>44198</v>
      </c>
      <c r="Q1170" s="165">
        <f t="shared" si="2"/>
        <v>0</v>
      </c>
      <c r="R1170" s="167"/>
      <c r="S1170" s="167"/>
      <c r="T1170" s="167"/>
      <c r="U1170" s="334" t="s">
        <v>7271</v>
      </c>
      <c r="V1170" s="168">
        <f t="shared" si="3"/>
        <v>45317.41</v>
      </c>
      <c r="W1170" s="168">
        <f t="shared" si="4"/>
        <v>0</v>
      </c>
      <c r="X1170" s="168">
        <f t="shared" si="5"/>
        <v>0</v>
      </c>
      <c r="Y1170" s="168">
        <f t="shared" si="6"/>
        <v>0</v>
      </c>
      <c r="Z1170" s="168">
        <f t="shared" si="7"/>
        <v>0</v>
      </c>
      <c r="AA1170" s="168">
        <f t="shared" si="8"/>
        <v>0</v>
      </c>
      <c r="AB1170" s="168">
        <f t="shared" si="9"/>
        <v>0</v>
      </c>
    </row>
    <row r="1171" ht="14.25" customHeight="1">
      <c r="A1171" s="157" t="s">
        <v>8106</v>
      </c>
      <c r="B1171" s="169" t="s">
        <v>50</v>
      </c>
      <c r="C1171" s="169" t="s">
        <v>2283</v>
      </c>
      <c r="D1171" s="336">
        <v>44188.0</v>
      </c>
      <c r="E1171" s="157" t="s">
        <v>600</v>
      </c>
      <c r="F1171" s="160">
        <v>8262.41</v>
      </c>
      <c r="G1171" s="160">
        <v>1321.99</v>
      </c>
      <c r="H1171" s="160">
        <f t="shared" si="37"/>
        <v>9584.4</v>
      </c>
      <c r="I1171" s="172"/>
      <c r="J1171" s="169"/>
      <c r="K1171" s="172"/>
      <c r="L1171" s="172">
        <f>+'FACUS$'!$H1171-'FACUS$'!$I1171-'FACUS$'!$K1171</f>
        <v>9584.4</v>
      </c>
      <c r="M1171" s="162" t="s">
        <v>570</v>
      </c>
      <c r="N1171" s="337" t="s">
        <v>554</v>
      </c>
      <c r="O1171" s="338">
        <v>44218.0</v>
      </c>
      <c r="P1171" s="164">
        <f t="array" ref="P1171">XLOOKUP('FACUS$'!$B1171,'perfil de pagos'!$A$4:$A$46,'perfil de pagos'!$C$4:$C$46+'FACUS$'!$D1171)</f>
        <v>44198</v>
      </c>
      <c r="Q1171" s="165">
        <f t="shared" si="2"/>
        <v>0</v>
      </c>
      <c r="R1171" s="167"/>
      <c r="S1171" s="167"/>
      <c r="T1171" s="167"/>
      <c r="U1171" s="334" t="s">
        <v>7271</v>
      </c>
      <c r="V1171" s="168">
        <f t="shared" si="3"/>
        <v>9584.4</v>
      </c>
      <c r="W1171" s="168">
        <f t="shared" si="4"/>
        <v>0</v>
      </c>
      <c r="X1171" s="168">
        <f t="shared" si="5"/>
        <v>0</v>
      </c>
      <c r="Y1171" s="168">
        <f t="shared" si="6"/>
        <v>0</v>
      </c>
      <c r="Z1171" s="168">
        <f t="shared" si="7"/>
        <v>0</v>
      </c>
      <c r="AA1171" s="168">
        <f t="shared" si="8"/>
        <v>0</v>
      </c>
      <c r="AB1171" s="168">
        <f t="shared" si="9"/>
        <v>0</v>
      </c>
    </row>
    <row r="1172" ht="14.25" customHeight="1">
      <c r="A1172" s="157" t="s">
        <v>8107</v>
      </c>
      <c r="B1172" s="169" t="s">
        <v>50</v>
      </c>
      <c r="C1172" s="169" t="s">
        <v>2342</v>
      </c>
      <c r="D1172" s="336">
        <v>44188.0</v>
      </c>
      <c r="E1172" s="157" t="s">
        <v>600</v>
      </c>
      <c r="F1172" s="160">
        <v>14853.82</v>
      </c>
      <c r="G1172" s="160">
        <v>2376.61</v>
      </c>
      <c r="H1172" s="160">
        <f t="shared" si="37"/>
        <v>17230.43</v>
      </c>
      <c r="I1172" s="172"/>
      <c r="J1172" s="169"/>
      <c r="K1172" s="172"/>
      <c r="L1172" s="172">
        <f>+'FACUS$'!$H1172-'FACUS$'!$I1172-'FACUS$'!$K1172</f>
        <v>17230.43</v>
      </c>
      <c r="M1172" s="162" t="s">
        <v>570</v>
      </c>
      <c r="N1172" s="337" t="s">
        <v>554</v>
      </c>
      <c r="O1172" s="338">
        <v>44218.0</v>
      </c>
      <c r="P1172" s="164">
        <f t="array" ref="P1172">XLOOKUP('FACUS$'!$B1172,'perfil de pagos'!$A$4:$A$46,'perfil de pagos'!$C$4:$C$46+'FACUS$'!$D1172)</f>
        <v>44198</v>
      </c>
      <c r="Q1172" s="165">
        <f t="shared" si="2"/>
        <v>0</v>
      </c>
      <c r="R1172" s="167"/>
      <c r="S1172" s="167"/>
      <c r="T1172" s="167"/>
      <c r="U1172" s="334" t="s">
        <v>7271</v>
      </c>
      <c r="V1172" s="168">
        <f t="shared" si="3"/>
        <v>17230.43</v>
      </c>
      <c r="W1172" s="168">
        <f t="shared" si="4"/>
        <v>0</v>
      </c>
      <c r="X1172" s="168">
        <f t="shared" si="5"/>
        <v>0</v>
      </c>
      <c r="Y1172" s="168">
        <f t="shared" si="6"/>
        <v>0</v>
      </c>
      <c r="Z1172" s="168">
        <f t="shared" si="7"/>
        <v>0</v>
      </c>
      <c r="AA1172" s="168">
        <f t="shared" si="8"/>
        <v>0</v>
      </c>
      <c r="AB1172" s="168">
        <f t="shared" si="9"/>
        <v>0</v>
      </c>
    </row>
    <row r="1173" ht="14.25" customHeight="1">
      <c r="A1173" s="157" t="s">
        <v>8108</v>
      </c>
      <c r="B1173" s="169" t="s">
        <v>18</v>
      </c>
      <c r="C1173" s="169" t="s">
        <v>2342</v>
      </c>
      <c r="D1173" s="336">
        <v>44188.0</v>
      </c>
      <c r="E1173" s="157" t="s">
        <v>600</v>
      </c>
      <c r="F1173" s="160">
        <v>8724.47</v>
      </c>
      <c r="G1173" s="160">
        <v>1395.92</v>
      </c>
      <c r="H1173" s="160">
        <f t="shared" si="37"/>
        <v>10120.39</v>
      </c>
      <c r="I1173" s="172"/>
      <c r="J1173" s="169"/>
      <c r="K1173" s="172"/>
      <c r="L1173" s="172">
        <f>+'FACUS$'!$H1173-'FACUS$'!$I1173-'FACUS$'!$K1173</f>
        <v>10120.39</v>
      </c>
      <c r="M1173" s="162" t="s">
        <v>586</v>
      </c>
      <c r="N1173" s="337" t="s">
        <v>554</v>
      </c>
      <c r="O1173" s="338">
        <v>44194.0</v>
      </c>
      <c r="P1173" s="164">
        <f t="array" ref="P1173">XLOOKUP('FACUS$'!$B1173,'perfil de pagos'!$A$4:$A$46,'perfil de pagos'!$C$4:$C$46+'FACUS$'!$D1173)</f>
        <v>44198</v>
      </c>
      <c r="Q1173" s="165">
        <f t="shared" si="2"/>
        <v>0</v>
      </c>
      <c r="R1173" s="167"/>
      <c r="S1173" s="167"/>
      <c r="T1173" s="167"/>
      <c r="U1173" s="334" t="s">
        <v>7271</v>
      </c>
      <c r="V1173" s="168">
        <f t="shared" si="3"/>
        <v>10120.39</v>
      </c>
      <c r="W1173" s="168">
        <f t="shared" si="4"/>
        <v>0</v>
      </c>
      <c r="X1173" s="168">
        <f t="shared" si="5"/>
        <v>0</v>
      </c>
      <c r="Y1173" s="168">
        <f t="shared" si="6"/>
        <v>0</v>
      </c>
      <c r="Z1173" s="168">
        <f t="shared" si="7"/>
        <v>0</v>
      </c>
      <c r="AA1173" s="168">
        <f t="shared" si="8"/>
        <v>0</v>
      </c>
      <c r="AB1173" s="168">
        <f t="shared" si="9"/>
        <v>0</v>
      </c>
    </row>
    <row r="1174" ht="14.25" customHeight="1">
      <c r="A1174" s="157" t="s">
        <v>8109</v>
      </c>
      <c r="B1174" s="169" t="s">
        <v>20</v>
      </c>
      <c r="C1174" s="169" t="s">
        <v>2342</v>
      </c>
      <c r="D1174" s="336">
        <v>44188.0</v>
      </c>
      <c r="E1174" s="157" t="s">
        <v>600</v>
      </c>
      <c r="F1174" s="160">
        <v>13000.47</v>
      </c>
      <c r="G1174" s="160">
        <v>2080.08</v>
      </c>
      <c r="H1174" s="160">
        <f t="shared" si="37"/>
        <v>15080.55</v>
      </c>
      <c r="I1174" s="172"/>
      <c r="J1174" s="169"/>
      <c r="K1174" s="172"/>
      <c r="L1174" s="172">
        <f>+'FACUS$'!$H1174-'FACUS$'!$I1174-'FACUS$'!$K1174</f>
        <v>15080.55</v>
      </c>
      <c r="M1174" s="162" t="s">
        <v>732</v>
      </c>
      <c r="N1174" s="337" t="s">
        <v>554</v>
      </c>
      <c r="O1174" s="338">
        <v>44194.0</v>
      </c>
      <c r="P1174" s="164">
        <f t="array" ref="P1174">XLOOKUP('FACUS$'!$B1174,'perfil de pagos'!$A$4:$A$46,'perfil de pagos'!$C$4:$C$46+'FACUS$'!$D1174)</f>
        <v>44198</v>
      </c>
      <c r="Q1174" s="165">
        <f t="shared" si="2"/>
        <v>0</v>
      </c>
      <c r="R1174" s="167"/>
      <c r="S1174" s="167"/>
      <c r="T1174" s="167"/>
      <c r="U1174" s="334" t="s">
        <v>7271</v>
      </c>
      <c r="V1174" s="168">
        <f t="shared" si="3"/>
        <v>15080.55</v>
      </c>
      <c r="W1174" s="168">
        <f t="shared" si="4"/>
        <v>0</v>
      </c>
      <c r="X1174" s="168">
        <f t="shared" si="5"/>
        <v>0</v>
      </c>
      <c r="Y1174" s="168">
        <f t="shared" si="6"/>
        <v>0</v>
      </c>
      <c r="Z1174" s="168">
        <f t="shared" si="7"/>
        <v>0</v>
      </c>
      <c r="AA1174" s="168">
        <f t="shared" si="8"/>
        <v>0</v>
      </c>
      <c r="AB1174" s="168">
        <f t="shared" si="9"/>
        <v>0</v>
      </c>
    </row>
    <row r="1175" ht="14.25" customHeight="1">
      <c r="A1175" s="157" t="s">
        <v>8110</v>
      </c>
      <c r="B1175" s="169" t="s">
        <v>37</v>
      </c>
      <c r="C1175" s="169" t="s">
        <v>2342</v>
      </c>
      <c r="D1175" s="336">
        <v>44188.0</v>
      </c>
      <c r="E1175" s="157" t="s">
        <v>600</v>
      </c>
      <c r="F1175" s="160">
        <v>79397.57</v>
      </c>
      <c r="G1175" s="160">
        <v>12703.61</v>
      </c>
      <c r="H1175" s="160">
        <f t="shared" si="37"/>
        <v>92101.18</v>
      </c>
      <c r="I1175" s="172"/>
      <c r="J1175" s="169"/>
      <c r="K1175" s="172"/>
      <c r="L1175" s="172">
        <f>+'FACUS$'!$H1175-'FACUS$'!$I1175-'FACUS$'!$K1175</f>
        <v>92101.18</v>
      </c>
      <c r="M1175" s="162" t="s">
        <v>116</v>
      </c>
      <c r="N1175" s="337" t="s">
        <v>554</v>
      </c>
      <c r="O1175" s="338">
        <v>44207.0</v>
      </c>
      <c r="P1175" s="164">
        <f t="array" ref="P1175">XLOOKUP('FACUS$'!$B1175,'perfil de pagos'!$A$4:$A$46,'perfil de pagos'!$C$4:$C$46+'FACUS$'!$D1175)</f>
        <v>44198</v>
      </c>
      <c r="Q1175" s="165">
        <f t="shared" si="2"/>
        <v>0</v>
      </c>
      <c r="R1175" s="167" t="s">
        <v>8111</v>
      </c>
      <c r="S1175" s="167"/>
      <c r="T1175" s="167"/>
      <c r="U1175" s="334" t="s">
        <v>7271</v>
      </c>
      <c r="V1175" s="168">
        <f t="shared" si="3"/>
        <v>92101.18</v>
      </c>
      <c r="W1175" s="168">
        <f t="shared" si="4"/>
        <v>0</v>
      </c>
      <c r="X1175" s="168">
        <f t="shared" si="5"/>
        <v>0</v>
      </c>
      <c r="Y1175" s="168">
        <f t="shared" si="6"/>
        <v>0</v>
      </c>
      <c r="Z1175" s="168">
        <f t="shared" si="7"/>
        <v>0</v>
      </c>
      <c r="AA1175" s="168">
        <f t="shared" si="8"/>
        <v>0</v>
      </c>
      <c r="AB1175" s="168">
        <f t="shared" si="9"/>
        <v>0</v>
      </c>
    </row>
    <row r="1176" ht="14.25" customHeight="1">
      <c r="A1176" s="157" t="s">
        <v>8112</v>
      </c>
      <c r="B1176" s="169" t="s">
        <v>38</v>
      </c>
      <c r="C1176" s="169" t="s">
        <v>2342</v>
      </c>
      <c r="D1176" s="336">
        <v>44188.0</v>
      </c>
      <c r="E1176" s="157" t="s">
        <v>600</v>
      </c>
      <c r="F1176" s="160">
        <v>7314.58</v>
      </c>
      <c r="G1176" s="160">
        <v>1170.33</v>
      </c>
      <c r="H1176" s="160">
        <f t="shared" si="37"/>
        <v>8484.91</v>
      </c>
      <c r="I1176" s="172"/>
      <c r="J1176" s="169"/>
      <c r="K1176" s="172"/>
      <c r="L1176" s="172">
        <f>+'FACUS$'!$H1176-'FACUS$'!$I1176-'FACUS$'!$K1176</f>
        <v>8484.91</v>
      </c>
      <c r="M1176" s="162" t="s">
        <v>145</v>
      </c>
      <c r="N1176" s="337" t="s">
        <v>554</v>
      </c>
      <c r="O1176" s="338">
        <v>44221.0</v>
      </c>
      <c r="P1176" s="164">
        <f t="array" ref="P1176">XLOOKUP('FACUS$'!$B1176,'perfil de pagos'!$A$4:$A$46,'perfil de pagos'!$C$4:$C$46+'FACUS$'!$D1176)</f>
        <v>44218</v>
      </c>
      <c r="Q1176" s="165">
        <f t="shared" si="2"/>
        <v>0</v>
      </c>
      <c r="R1176" s="220" t="s">
        <v>8113</v>
      </c>
      <c r="S1176" s="167"/>
      <c r="T1176" s="167"/>
      <c r="U1176" s="334" t="s">
        <v>7271</v>
      </c>
      <c r="V1176" s="168">
        <f t="shared" si="3"/>
        <v>8484.91</v>
      </c>
      <c r="W1176" s="168">
        <f t="shared" si="4"/>
        <v>0</v>
      </c>
      <c r="X1176" s="168">
        <f t="shared" si="5"/>
        <v>0</v>
      </c>
      <c r="Y1176" s="168">
        <f t="shared" si="6"/>
        <v>0</v>
      </c>
      <c r="Z1176" s="168">
        <f t="shared" si="7"/>
        <v>0</v>
      </c>
      <c r="AA1176" s="168">
        <f t="shared" si="8"/>
        <v>0</v>
      </c>
      <c r="AB1176" s="168">
        <f t="shared" si="9"/>
        <v>0</v>
      </c>
    </row>
    <row r="1177" ht="14.25" customHeight="1">
      <c r="A1177" s="157" t="s">
        <v>8114</v>
      </c>
      <c r="B1177" s="169" t="s">
        <v>43</v>
      </c>
      <c r="C1177" s="169" t="s">
        <v>8115</v>
      </c>
      <c r="D1177" s="336">
        <v>44195.0</v>
      </c>
      <c r="E1177" s="157" t="s">
        <v>600</v>
      </c>
      <c r="F1177" s="160">
        <v>77402.91</v>
      </c>
      <c r="G1177" s="160">
        <v>12384.47</v>
      </c>
      <c r="H1177" s="160">
        <f t="shared" si="37"/>
        <v>89787.38</v>
      </c>
      <c r="I1177" s="172"/>
      <c r="J1177" s="169"/>
      <c r="K1177" s="172"/>
      <c r="L1177" s="172">
        <f>+'FACUS$'!$H1177-'FACUS$'!$I1177-'FACUS$'!$K1177</f>
        <v>89787.38</v>
      </c>
      <c r="M1177" s="162" t="s">
        <v>43</v>
      </c>
      <c r="N1177" s="337" t="s">
        <v>554</v>
      </c>
      <c r="O1177" s="338">
        <v>44224.0</v>
      </c>
      <c r="P1177" s="164">
        <f t="array" ref="P1177">XLOOKUP('FACUS$'!$B1177,'perfil de pagos'!$A$4:$A$46,'perfil de pagos'!$C$4:$C$46+'FACUS$'!$D1177)</f>
        <v>44220</v>
      </c>
      <c r="Q1177" s="165">
        <f t="shared" si="2"/>
        <v>0</v>
      </c>
      <c r="R1177" s="167"/>
      <c r="S1177" s="167" t="s">
        <v>910</v>
      </c>
      <c r="T1177" s="167"/>
      <c r="U1177" s="334" t="s">
        <v>7271</v>
      </c>
      <c r="V1177" s="168">
        <f t="shared" si="3"/>
        <v>89787.38</v>
      </c>
      <c r="W1177" s="168">
        <f t="shared" si="4"/>
        <v>0</v>
      </c>
      <c r="X1177" s="168">
        <f t="shared" si="5"/>
        <v>0</v>
      </c>
      <c r="Y1177" s="168">
        <f t="shared" si="6"/>
        <v>0</v>
      </c>
      <c r="Z1177" s="168">
        <f t="shared" si="7"/>
        <v>0</v>
      </c>
      <c r="AA1177" s="168">
        <f t="shared" si="8"/>
        <v>0</v>
      </c>
      <c r="AB1177" s="168">
        <f t="shared" si="9"/>
        <v>0</v>
      </c>
    </row>
    <row r="1178" ht="14.25" customHeight="1">
      <c r="A1178" s="157" t="s">
        <v>8116</v>
      </c>
      <c r="B1178" s="169" t="s">
        <v>43</v>
      </c>
      <c r="C1178" s="169" t="s">
        <v>8117</v>
      </c>
      <c r="D1178" s="336">
        <v>44202.0</v>
      </c>
      <c r="E1178" s="157" t="s">
        <v>600</v>
      </c>
      <c r="F1178" s="160">
        <v>11658.79</v>
      </c>
      <c r="G1178" s="160">
        <v>1865.41</v>
      </c>
      <c r="H1178" s="160">
        <f t="shared" si="37"/>
        <v>13524.2</v>
      </c>
      <c r="I1178" s="172"/>
      <c r="J1178" s="169"/>
      <c r="K1178" s="172"/>
      <c r="L1178" s="172">
        <f>+'FACUS$'!$H1178-'FACUS$'!$I1178-'FACUS$'!$K1178</f>
        <v>13524.2</v>
      </c>
      <c r="M1178" s="162" t="s">
        <v>43</v>
      </c>
      <c r="N1178" s="337" t="s">
        <v>554</v>
      </c>
      <c r="O1178" s="338">
        <v>44224.0</v>
      </c>
      <c r="P1178" s="164">
        <f t="array" ref="P1178">XLOOKUP('FACUS$'!$B1178,'perfil de pagos'!$A$4:$A$46,'perfil de pagos'!$C$4:$C$46+'FACUS$'!$D1178)</f>
        <v>44227</v>
      </c>
      <c r="Q1178" s="165">
        <f t="shared" si="2"/>
        <v>0</v>
      </c>
      <c r="R1178" s="167"/>
      <c r="S1178" s="167" t="s">
        <v>910</v>
      </c>
      <c r="T1178" s="167"/>
      <c r="U1178" s="334" t="s">
        <v>7271</v>
      </c>
      <c r="V1178" s="168">
        <f t="shared" si="3"/>
        <v>13524.2</v>
      </c>
      <c r="W1178" s="168">
        <f t="shared" si="4"/>
        <v>0</v>
      </c>
      <c r="X1178" s="168">
        <f t="shared" si="5"/>
        <v>0</v>
      </c>
      <c r="Y1178" s="168">
        <f t="shared" si="6"/>
        <v>0</v>
      </c>
      <c r="Z1178" s="168">
        <f t="shared" si="7"/>
        <v>0</v>
      </c>
      <c r="AA1178" s="168">
        <f t="shared" si="8"/>
        <v>0</v>
      </c>
      <c r="AB1178" s="168">
        <f t="shared" si="9"/>
        <v>0</v>
      </c>
    </row>
    <row r="1179" ht="14.25" customHeight="1">
      <c r="A1179" s="157" t="s">
        <v>8118</v>
      </c>
      <c r="B1179" s="169" t="s">
        <v>1127</v>
      </c>
      <c r="C1179" s="169" t="s">
        <v>8119</v>
      </c>
      <c r="D1179" s="336">
        <v>44202.0</v>
      </c>
      <c r="E1179" s="157" t="s">
        <v>600</v>
      </c>
      <c r="F1179" s="160">
        <v>33751.62</v>
      </c>
      <c r="G1179" s="160">
        <v>5400.26</v>
      </c>
      <c r="H1179" s="160">
        <f t="shared" si="37"/>
        <v>39151.88</v>
      </c>
      <c r="I1179" s="172"/>
      <c r="J1179" s="169"/>
      <c r="K1179" s="172"/>
      <c r="L1179" s="172">
        <f>+'FACUS$'!$H1179-'FACUS$'!$I1179-'FACUS$'!$K1179</f>
        <v>39151.88</v>
      </c>
      <c r="M1179" s="162" t="s">
        <v>580</v>
      </c>
      <c r="N1179" s="337" t="s">
        <v>554</v>
      </c>
      <c r="O1179" s="338">
        <v>44217.0</v>
      </c>
      <c r="P1179" s="164" t="str">
        <f t="array" ref="P1179">XLOOKUP('FACUS$'!$B1179,'perfil de pagos'!$A$4:$A$46,'perfil de pagos'!$C$4:$C$46+'FACUS$'!$D1179)</f>
        <v>#N/A</v>
      </c>
      <c r="Q1179" s="165">
        <f t="shared" si="2"/>
        <v>0</v>
      </c>
      <c r="R1179" s="167"/>
      <c r="S1179" s="167"/>
      <c r="T1179" s="167"/>
      <c r="U1179" s="334" t="s">
        <v>7271</v>
      </c>
      <c r="V1179" s="168">
        <f t="shared" si="3"/>
        <v>39151.88</v>
      </c>
      <c r="W1179" s="168">
        <f t="shared" si="4"/>
        <v>0</v>
      </c>
      <c r="X1179" s="168">
        <f t="shared" si="5"/>
        <v>0</v>
      </c>
      <c r="Y1179" s="168">
        <f t="shared" si="6"/>
        <v>0</v>
      </c>
      <c r="Z1179" s="168">
        <f t="shared" si="7"/>
        <v>0</v>
      </c>
      <c r="AA1179" s="168">
        <f t="shared" si="8"/>
        <v>0</v>
      </c>
      <c r="AB1179" s="168">
        <f t="shared" si="9"/>
        <v>0</v>
      </c>
    </row>
    <row r="1180" ht="14.25" customHeight="1">
      <c r="A1180" s="157" t="s">
        <v>8120</v>
      </c>
      <c r="B1180" s="169" t="s">
        <v>36</v>
      </c>
      <c r="C1180" s="169" t="s">
        <v>8119</v>
      </c>
      <c r="D1180" s="336">
        <v>44202.0</v>
      </c>
      <c r="E1180" s="157" t="s">
        <v>600</v>
      </c>
      <c r="F1180" s="160">
        <v>2683.66</v>
      </c>
      <c r="G1180" s="160">
        <v>429.39</v>
      </c>
      <c r="H1180" s="160">
        <f t="shared" si="37"/>
        <v>3113.05</v>
      </c>
      <c r="I1180" s="172"/>
      <c r="J1180" s="169"/>
      <c r="K1180" s="172"/>
      <c r="L1180" s="172">
        <f>+'FACUS$'!$H1180-'FACUS$'!$I1180-'FACUS$'!$K1180</f>
        <v>3113.05</v>
      </c>
      <c r="M1180" s="162" t="s">
        <v>278</v>
      </c>
      <c r="N1180" s="337" t="s">
        <v>554</v>
      </c>
      <c r="O1180" s="338">
        <v>44277.0</v>
      </c>
      <c r="P1180" s="164">
        <f t="array" ref="P1180">XLOOKUP('FACUS$'!$B1180,'perfil de pagos'!$A$4:$A$46,'perfil de pagos'!$C$4:$C$46+'FACUS$'!$D1180)</f>
        <v>44212</v>
      </c>
      <c r="Q1180" s="165">
        <f t="shared" si="2"/>
        <v>0</v>
      </c>
      <c r="R1180" s="167" t="s">
        <v>8121</v>
      </c>
      <c r="S1180" s="167"/>
      <c r="T1180" s="167"/>
      <c r="U1180" s="334" t="s">
        <v>7271</v>
      </c>
      <c r="V1180" s="168">
        <f t="shared" si="3"/>
        <v>3113.05</v>
      </c>
      <c r="W1180" s="168">
        <f t="shared" si="4"/>
        <v>0</v>
      </c>
      <c r="X1180" s="168">
        <f t="shared" si="5"/>
        <v>0</v>
      </c>
      <c r="Y1180" s="168">
        <f t="shared" si="6"/>
        <v>0</v>
      </c>
      <c r="Z1180" s="168">
        <f t="shared" si="7"/>
        <v>0</v>
      </c>
      <c r="AA1180" s="168">
        <f t="shared" si="8"/>
        <v>0</v>
      </c>
      <c r="AB1180" s="168">
        <f t="shared" si="9"/>
        <v>0</v>
      </c>
    </row>
    <row r="1181" ht="14.25" customHeight="1">
      <c r="A1181" s="157" t="s">
        <v>8122</v>
      </c>
      <c r="B1181" s="169" t="s">
        <v>35</v>
      </c>
      <c r="C1181" s="169" t="s">
        <v>8119</v>
      </c>
      <c r="D1181" s="336">
        <v>44202.0</v>
      </c>
      <c r="E1181" s="157" t="s">
        <v>600</v>
      </c>
      <c r="F1181" s="160">
        <v>26503.31</v>
      </c>
      <c r="G1181" s="160">
        <v>4240.53</v>
      </c>
      <c r="H1181" s="160">
        <f t="shared" si="37"/>
        <v>30743.84</v>
      </c>
      <c r="I1181" s="172"/>
      <c r="J1181" s="169"/>
      <c r="K1181" s="172"/>
      <c r="L1181" s="172">
        <f>+'FACUS$'!$H1181-'FACUS$'!$I1181-'FACUS$'!$K1181</f>
        <v>30743.84</v>
      </c>
      <c r="M1181" s="162" t="s">
        <v>276</v>
      </c>
      <c r="N1181" s="337" t="s">
        <v>127</v>
      </c>
      <c r="O1181" s="338"/>
      <c r="P1181" s="164">
        <f t="array" ref="P1181">XLOOKUP('FACUS$'!$B1181,'perfil de pagos'!$A$4:$A$46,'perfil de pagos'!$C$4:$C$46+'FACUS$'!$D1181)</f>
        <v>44212</v>
      </c>
      <c r="Q1181" s="165" t="str">
        <f t="shared" si="2"/>
        <v>N/A</v>
      </c>
      <c r="R1181" s="167"/>
      <c r="S1181" s="167"/>
      <c r="T1181" s="167"/>
      <c r="U1181" s="334" t="s">
        <v>7271</v>
      </c>
      <c r="V1181" s="168">
        <f t="shared" si="3"/>
        <v>0</v>
      </c>
      <c r="W1181" s="168">
        <f t="shared" si="4"/>
        <v>0</v>
      </c>
      <c r="X1181" s="168">
        <f t="shared" si="5"/>
        <v>0</v>
      </c>
      <c r="Y1181" s="168">
        <f t="shared" si="6"/>
        <v>0</v>
      </c>
      <c r="Z1181" s="168">
        <f t="shared" si="7"/>
        <v>0</v>
      </c>
      <c r="AA1181" s="168">
        <f t="shared" si="8"/>
        <v>0</v>
      </c>
      <c r="AB1181" s="168">
        <f t="shared" si="9"/>
        <v>30743.84</v>
      </c>
    </row>
    <row r="1182" ht="14.25" customHeight="1">
      <c r="A1182" s="157" t="s">
        <v>8123</v>
      </c>
      <c r="B1182" s="169" t="s">
        <v>33</v>
      </c>
      <c r="C1182" s="169" t="s">
        <v>8119</v>
      </c>
      <c r="D1182" s="336">
        <v>44202.0</v>
      </c>
      <c r="E1182" s="157" t="s">
        <v>600</v>
      </c>
      <c r="F1182" s="160">
        <v>52174.23</v>
      </c>
      <c r="G1182" s="160">
        <v>8347.88</v>
      </c>
      <c r="H1182" s="160">
        <f t="shared" si="37"/>
        <v>60522.11</v>
      </c>
      <c r="I1182" s="172"/>
      <c r="J1182" s="169"/>
      <c r="K1182" s="172"/>
      <c r="L1182" s="172">
        <f>+'FACUS$'!$H1182-'FACUS$'!$I1182-'FACUS$'!$K1182</f>
        <v>60522.11</v>
      </c>
      <c r="M1182" s="162" t="s">
        <v>958</v>
      </c>
      <c r="N1182" s="337" t="s">
        <v>554</v>
      </c>
      <c r="O1182" s="338">
        <v>44215.0</v>
      </c>
      <c r="P1182" s="164">
        <f t="array" ref="P1182">XLOOKUP('FACUS$'!$B1182,'perfil de pagos'!$A$4:$A$46,'perfil de pagos'!$C$4:$C$46+'FACUS$'!$D1182)</f>
        <v>44212</v>
      </c>
      <c r="Q1182" s="165">
        <f t="shared" si="2"/>
        <v>0</v>
      </c>
      <c r="R1182" s="167"/>
      <c r="S1182" s="167"/>
      <c r="T1182" s="167"/>
      <c r="U1182" s="334" t="s">
        <v>7271</v>
      </c>
      <c r="V1182" s="168">
        <f t="shared" si="3"/>
        <v>60522.11</v>
      </c>
      <c r="W1182" s="168">
        <f t="shared" si="4"/>
        <v>0</v>
      </c>
      <c r="X1182" s="168">
        <f t="shared" si="5"/>
        <v>0</v>
      </c>
      <c r="Y1182" s="168">
        <f t="shared" si="6"/>
        <v>0</v>
      </c>
      <c r="Z1182" s="168">
        <f t="shared" si="7"/>
        <v>0</v>
      </c>
      <c r="AA1182" s="168">
        <f t="shared" si="8"/>
        <v>0</v>
      </c>
      <c r="AB1182" s="168">
        <f t="shared" si="9"/>
        <v>0</v>
      </c>
    </row>
    <row r="1183" ht="14.25" customHeight="1">
      <c r="A1183" s="157" t="s">
        <v>8124</v>
      </c>
      <c r="B1183" s="169" t="s">
        <v>50</v>
      </c>
      <c r="C1183" s="169" t="s">
        <v>8125</v>
      </c>
      <c r="D1183" s="336">
        <v>44202.0</v>
      </c>
      <c r="E1183" s="157" t="s">
        <v>600</v>
      </c>
      <c r="F1183" s="160">
        <v>5288.4</v>
      </c>
      <c r="G1183" s="364">
        <v>846.14</v>
      </c>
      <c r="H1183" s="160">
        <f t="shared" si="37"/>
        <v>6134.54</v>
      </c>
      <c r="I1183" s="172"/>
      <c r="J1183" s="169"/>
      <c r="K1183" s="172"/>
      <c r="L1183" s="172">
        <f>+'FACUS$'!$H1183-'FACUS$'!$I1183-'FACUS$'!$K1183</f>
        <v>6134.54</v>
      </c>
      <c r="M1183" s="162" t="s">
        <v>570</v>
      </c>
      <c r="N1183" s="337" t="s">
        <v>554</v>
      </c>
      <c r="O1183" s="338">
        <v>44211.0</v>
      </c>
      <c r="P1183" s="164">
        <f t="array" ref="P1183">XLOOKUP('FACUS$'!$B1183,'perfil de pagos'!$A$4:$A$46,'perfil de pagos'!$C$4:$C$46+'FACUS$'!$D1183)</f>
        <v>44212</v>
      </c>
      <c r="Q1183" s="165">
        <f t="shared" si="2"/>
        <v>0</v>
      </c>
      <c r="R1183" s="167"/>
      <c r="S1183" s="167"/>
      <c r="T1183" s="167"/>
      <c r="U1183" s="334" t="s">
        <v>7271</v>
      </c>
      <c r="V1183" s="168">
        <f t="shared" si="3"/>
        <v>6134.54</v>
      </c>
      <c r="W1183" s="168">
        <f t="shared" si="4"/>
        <v>0</v>
      </c>
      <c r="X1183" s="168">
        <f t="shared" si="5"/>
        <v>0</v>
      </c>
      <c r="Y1183" s="168">
        <f t="shared" si="6"/>
        <v>0</v>
      </c>
      <c r="Z1183" s="168">
        <f t="shared" si="7"/>
        <v>0</v>
      </c>
      <c r="AA1183" s="168">
        <f t="shared" si="8"/>
        <v>0</v>
      </c>
      <c r="AB1183" s="168">
        <f t="shared" si="9"/>
        <v>0</v>
      </c>
    </row>
    <row r="1184" ht="14.25" customHeight="1">
      <c r="A1184" s="157" t="s">
        <v>8126</v>
      </c>
      <c r="B1184" s="169" t="s">
        <v>127</v>
      </c>
      <c r="C1184" s="169"/>
      <c r="D1184" s="336"/>
      <c r="E1184" s="157"/>
      <c r="F1184" s="160"/>
      <c r="G1184" s="160"/>
      <c r="H1184" s="160">
        <f t="shared" si="37"/>
        <v>0</v>
      </c>
      <c r="I1184" s="172"/>
      <c r="J1184" s="169"/>
      <c r="K1184" s="172"/>
      <c r="L1184" s="172">
        <f>+'FACUS$'!$H1184-'FACUS$'!$I1184-'FACUS$'!$K1184</f>
        <v>0</v>
      </c>
      <c r="M1184" s="162"/>
      <c r="N1184" s="337" t="s">
        <v>127</v>
      </c>
      <c r="O1184" s="338"/>
      <c r="P1184" s="164" t="str">
        <f t="array" ref="P1184">XLOOKUP('FACUS$'!$B1184,'perfil de pagos'!$A$4:$A$46,'perfil de pagos'!$C$4:$C$46+'FACUS$'!$D1184)</f>
        <v>#N/A</v>
      </c>
      <c r="Q1184" s="165" t="str">
        <f t="shared" si="2"/>
        <v>N/A</v>
      </c>
      <c r="R1184" s="167"/>
      <c r="S1184" s="167"/>
      <c r="T1184" s="167"/>
      <c r="U1184" s="334" t="s">
        <v>7271</v>
      </c>
      <c r="V1184" s="168">
        <f t="shared" si="3"/>
        <v>0</v>
      </c>
      <c r="W1184" s="168">
        <f t="shared" si="4"/>
        <v>0</v>
      </c>
      <c r="X1184" s="168">
        <f t="shared" si="5"/>
        <v>0</v>
      </c>
      <c r="Y1184" s="168">
        <f t="shared" si="6"/>
        <v>0</v>
      </c>
      <c r="Z1184" s="168">
        <f t="shared" si="7"/>
        <v>0</v>
      </c>
      <c r="AA1184" s="168">
        <f t="shared" si="8"/>
        <v>0</v>
      </c>
      <c r="AB1184" s="168">
        <f t="shared" si="9"/>
        <v>0</v>
      </c>
    </row>
    <row r="1185" ht="14.25" customHeight="1">
      <c r="A1185" s="157" t="s">
        <v>8127</v>
      </c>
      <c r="B1185" s="169" t="s">
        <v>50</v>
      </c>
      <c r="C1185" s="169" t="s">
        <v>2347</v>
      </c>
      <c r="D1185" s="336">
        <v>44202.0</v>
      </c>
      <c r="E1185" s="157" t="s">
        <v>600</v>
      </c>
      <c r="F1185" s="160">
        <v>9530.54</v>
      </c>
      <c r="G1185" s="160">
        <v>1524.89</v>
      </c>
      <c r="H1185" s="160">
        <f t="shared" si="37"/>
        <v>11055.43</v>
      </c>
      <c r="I1185" s="172"/>
      <c r="J1185" s="169"/>
      <c r="K1185" s="172"/>
      <c r="L1185" s="172">
        <f>+'FACUS$'!$H1185-'FACUS$'!$I1185-'FACUS$'!$K1185</f>
        <v>11055.43</v>
      </c>
      <c r="M1185" s="162" t="s">
        <v>570</v>
      </c>
      <c r="N1185" s="337" t="s">
        <v>554</v>
      </c>
      <c r="O1185" s="338">
        <v>44211.0</v>
      </c>
      <c r="P1185" s="164">
        <f t="array" ref="P1185">XLOOKUP('FACUS$'!$B1185,'perfil de pagos'!$A$4:$A$46,'perfil de pagos'!$C$4:$C$46+'FACUS$'!$D1185)</f>
        <v>44212</v>
      </c>
      <c r="Q1185" s="165">
        <f t="shared" si="2"/>
        <v>0</v>
      </c>
      <c r="R1185" s="167"/>
      <c r="S1185" s="167"/>
      <c r="T1185" s="167"/>
      <c r="U1185" s="334" t="s">
        <v>7271</v>
      </c>
      <c r="V1185" s="168">
        <f t="shared" si="3"/>
        <v>11055.43</v>
      </c>
      <c r="W1185" s="168">
        <f t="shared" si="4"/>
        <v>0</v>
      </c>
      <c r="X1185" s="168">
        <f t="shared" si="5"/>
        <v>0</v>
      </c>
      <c r="Y1185" s="168">
        <f t="shared" si="6"/>
        <v>0</v>
      </c>
      <c r="Z1185" s="168">
        <f t="shared" si="7"/>
        <v>0</v>
      </c>
      <c r="AA1185" s="168">
        <f t="shared" si="8"/>
        <v>0</v>
      </c>
      <c r="AB1185" s="168">
        <f t="shared" si="9"/>
        <v>0</v>
      </c>
    </row>
    <row r="1186" ht="14.25" customHeight="1">
      <c r="A1186" s="157" t="s">
        <v>8128</v>
      </c>
      <c r="B1186" s="169" t="s">
        <v>18</v>
      </c>
      <c r="C1186" s="169" t="s">
        <v>2347</v>
      </c>
      <c r="D1186" s="336">
        <v>44202.0</v>
      </c>
      <c r="E1186" s="157" t="s">
        <v>600</v>
      </c>
      <c r="F1186" s="160">
        <v>9131.76</v>
      </c>
      <c r="G1186" s="160">
        <v>1461.08</v>
      </c>
      <c r="H1186" s="160">
        <f t="shared" si="37"/>
        <v>10592.84</v>
      </c>
      <c r="I1186" s="172"/>
      <c r="J1186" s="169"/>
      <c r="K1186" s="172"/>
      <c r="L1186" s="172">
        <f>+'FACUS$'!$H1186-'FACUS$'!$I1186-'FACUS$'!$K1186</f>
        <v>10592.84</v>
      </c>
      <c r="M1186" s="162" t="s">
        <v>586</v>
      </c>
      <c r="N1186" s="337" t="s">
        <v>554</v>
      </c>
      <c r="O1186" s="338">
        <v>44271.0</v>
      </c>
      <c r="P1186" s="164">
        <f t="array" ref="P1186">XLOOKUP('FACUS$'!$B1186,'perfil de pagos'!$A$4:$A$46,'perfil de pagos'!$C$4:$C$46+'FACUS$'!$D1186)</f>
        <v>44212</v>
      </c>
      <c r="Q1186" s="165">
        <f t="shared" si="2"/>
        <v>0</v>
      </c>
      <c r="R1186" s="167"/>
      <c r="S1186" s="167"/>
      <c r="T1186" s="167"/>
      <c r="U1186" s="334" t="s">
        <v>7271</v>
      </c>
      <c r="V1186" s="168">
        <f t="shared" si="3"/>
        <v>10592.84</v>
      </c>
      <c r="W1186" s="168">
        <f t="shared" si="4"/>
        <v>0</v>
      </c>
      <c r="X1186" s="168">
        <f t="shared" si="5"/>
        <v>0</v>
      </c>
      <c r="Y1186" s="168">
        <f t="shared" si="6"/>
        <v>0</v>
      </c>
      <c r="Z1186" s="168">
        <f t="shared" si="7"/>
        <v>0</v>
      </c>
      <c r="AA1186" s="168">
        <f t="shared" si="8"/>
        <v>0</v>
      </c>
      <c r="AB1186" s="168">
        <f t="shared" si="9"/>
        <v>0</v>
      </c>
    </row>
    <row r="1187" ht="14.25" customHeight="1">
      <c r="A1187" s="157" t="s">
        <v>8129</v>
      </c>
      <c r="B1187" s="169" t="s">
        <v>35</v>
      </c>
      <c r="C1187" s="169" t="s">
        <v>2347</v>
      </c>
      <c r="D1187" s="336">
        <v>44202.0</v>
      </c>
      <c r="E1187" s="157" t="s">
        <v>600</v>
      </c>
      <c r="F1187" s="160">
        <v>26503.31</v>
      </c>
      <c r="G1187" s="160">
        <v>4240.53</v>
      </c>
      <c r="H1187" s="160">
        <f t="shared" si="37"/>
        <v>30743.84</v>
      </c>
      <c r="I1187" s="172"/>
      <c r="J1187" s="169"/>
      <c r="K1187" s="172"/>
      <c r="L1187" s="172">
        <f>+'FACUS$'!$H1187-'FACUS$'!$I1187-'FACUS$'!$K1187</f>
        <v>30743.84</v>
      </c>
      <c r="M1187" s="162" t="s">
        <v>276</v>
      </c>
      <c r="N1187" s="337" t="s">
        <v>554</v>
      </c>
      <c r="O1187" s="338">
        <v>44230.0</v>
      </c>
      <c r="P1187" s="164">
        <f t="array" ref="P1187">XLOOKUP('FACUS$'!$B1187,'perfil de pagos'!$A$4:$A$46,'perfil de pagos'!$C$4:$C$46+'FACUS$'!$D1187)</f>
        <v>44212</v>
      </c>
      <c r="Q1187" s="165">
        <f t="shared" si="2"/>
        <v>0</v>
      </c>
      <c r="R1187" s="167"/>
      <c r="S1187" s="167" t="s">
        <v>910</v>
      </c>
      <c r="T1187" s="167"/>
      <c r="U1187" s="334" t="s">
        <v>7271</v>
      </c>
      <c r="V1187" s="168">
        <f t="shared" si="3"/>
        <v>30743.84</v>
      </c>
      <c r="W1187" s="168">
        <f t="shared" si="4"/>
        <v>0</v>
      </c>
      <c r="X1187" s="168">
        <f t="shared" si="5"/>
        <v>0</v>
      </c>
      <c r="Y1187" s="168">
        <f t="shared" si="6"/>
        <v>0</v>
      </c>
      <c r="Z1187" s="168">
        <f t="shared" si="7"/>
        <v>0</v>
      </c>
      <c r="AA1187" s="168">
        <f t="shared" si="8"/>
        <v>0</v>
      </c>
      <c r="AB1187" s="168">
        <f t="shared" si="9"/>
        <v>0</v>
      </c>
    </row>
    <row r="1188" ht="14.25" customHeight="1">
      <c r="A1188" s="157" t="s">
        <v>8130</v>
      </c>
      <c r="B1188" s="169" t="s">
        <v>20</v>
      </c>
      <c r="C1188" s="169" t="s">
        <v>2347</v>
      </c>
      <c r="D1188" s="336">
        <v>44202.0</v>
      </c>
      <c r="E1188" s="157" t="s">
        <v>600</v>
      </c>
      <c r="F1188" s="160">
        <v>18476.42</v>
      </c>
      <c r="G1188" s="160">
        <v>2956.23</v>
      </c>
      <c r="H1188" s="160">
        <f t="shared" si="37"/>
        <v>21432.65</v>
      </c>
      <c r="I1188" s="172"/>
      <c r="J1188" s="169"/>
      <c r="K1188" s="172"/>
      <c r="L1188" s="172">
        <f>+'FACUS$'!$H1188-'FACUS$'!$I1188-'FACUS$'!$K1188</f>
        <v>21432.65</v>
      </c>
      <c r="M1188" s="162" t="s">
        <v>732</v>
      </c>
      <c r="N1188" s="337" t="s">
        <v>554</v>
      </c>
      <c r="O1188" s="338">
        <v>44271.0</v>
      </c>
      <c r="P1188" s="164">
        <f t="array" ref="P1188">XLOOKUP('FACUS$'!$B1188,'perfil de pagos'!$A$4:$A$46,'perfil de pagos'!$C$4:$C$46+'FACUS$'!$D1188)</f>
        <v>44212</v>
      </c>
      <c r="Q1188" s="165">
        <f t="shared" si="2"/>
        <v>0</v>
      </c>
      <c r="R1188" s="167"/>
      <c r="S1188" s="167"/>
      <c r="T1188" s="167"/>
      <c r="U1188" s="334" t="s">
        <v>7271</v>
      </c>
      <c r="V1188" s="168">
        <f t="shared" si="3"/>
        <v>21432.65</v>
      </c>
      <c r="W1188" s="168">
        <f t="shared" si="4"/>
        <v>0</v>
      </c>
      <c r="X1188" s="168">
        <f t="shared" si="5"/>
        <v>0</v>
      </c>
      <c r="Y1188" s="168">
        <f t="shared" si="6"/>
        <v>0</v>
      </c>
      <c r="Z1188" s="168">
        <f t="shared" si="7"/>
        <v>0</v>
      </c>
      <c r="AA1188" s="168">
        <f t="shared" si="8"/>
        <v>0</v>
      </c>
      <c r="AB1188" s="168">
        <f t="shared" si="9"/>
        <v>0</v>
      </c>
    </row>
    <row r="1189" ht="14.25" customHeight="1">
      <c r="A1189" s="157" t="s">
        <v>8131</v>
      </c>
      <c r="B1189" s="169" t="s">
        <v>37</v>
      </c>
      <c r="C1189" s="169" t="s">
        <v>2347</v>
      </c>
      <c r="D1189" s="336">
        <v>44202.0</v>
      </c>
      <c r="E1189" s="157" t="s">
        <v>600</v>
      </c>
      <c r="F1189" s="160">
        <v>77553.23</v>
      </c>
      <c r="G1189" s="160">
        <v>12408.52</v>
      </c>
      <c r="H1189" s="160">
        <f t="shared" si="37"/>
        <v>89961.75</v>
      </c>
      <c r="I1189" s="172"/>
      <c r="J1189" s="169"/>
      <c r="K1189" s="172"/>
      <c r="L1189" s="172">
        <f>+'FACUS$'!$H1189-'FACUS$'!$I1189-'FACUS$'!$K1189</f>
        <v>89961.75</v>
      </c>
      <c r="M1189" s="162" t="s">
        <v>116</v>
      </c>
      <c r="N1189" s="337" t="s">
        <v>554</v>
      </c>
      <c r="O1189" s="338">
        <v>44214.0</v>
      </c>
      <c r="P1189" s="164">
        <f t="array" ref="P1189">XLOOKUP('FACUS$'!$B1189,'perfil de pagos'!$A$4:$A$46,'perfil de pagos'!$C$4:$C$46+'FACUS$'!$D1189)</f>
        <v>44212</v>
      </c>
      <c r="Q1189" s="165">
        <f t="shared" si="2"/>
        <v>0</v>
      </c>
      <c r="R1189" s="220" t="s">
        <v>8132</v>
      </c>
      <c r="S1189" s="167"/>
      <c r="T1189" s="167"/>
      <c r="U1189" s="334" t="s">
        <v>7271</v>
      </c>
      <c r="V1189" s="168">
        <f t="shared" si="3"/>
        <v>89961.75</v>
      </c>
      <c r="W1189" s="168">
        <f t="shared" si="4"/>
        <v>0</v>
      </c>
      <c r="X1189" s="168">
        <f t="shared" si="5"/>
        <v>0</v>
      </c>
      <c r="Y1189" s="168">
        <f t="shared" si="6"/>
        <v>0</v>
      </c>
      <c r="Z1189" s="168">
        <f t="shared" si="7"/>
        <v>0</v>
      </c>
      <c r="AA1189" s="168">
        <f t="shared" si="8"/>
        <v>0</v>
      </c>
      <c r="AB1189" s="168">
        <f t="shared" si="9"/>
        <v>0</v>
      </c>
    </row>
    <row r="1190" ht="14.25" customHeight="1">
      <c r="A1190" s="157" t="s">
        <v>8133</v>
      </c>
      <c r="B1190" s="169" t="s">
        <v>38</v>
      </c>
      <c r="C1190" s="169" t="s">
        <v>2347</v>
      </c>
      <c r="D1190" s="336">
        <v>44202.0</v>
      </c>
      <c r="E1190" s="157" t="s">
        <v>600</v>
      </c>
      <c r="F1190" s="160">
        <v>9169.67</v>
      </c>
      <c r="G1190" s="160">
        <v>1467.15</v>
      </c>
      <c r="H1190" s="160">
        <f t="shared" si="37"/>
        <v>10636.82</v>
      </c>
      <c r="I1190" s="172"/>
      <c r="J1190" s="169"/>
      <c r="K1190" s="172"/>
      <c r="L1190" s="172">
        <f>+'FACUS$'!$H1190-'FACUS$'!$I1190-'FACUS$'!$K1190</f>
        <v>10636.82</v>
      </c>
      <c r="M1190" s="162" t="s">
        <v>145</v>
      </c>
      <c r="N1190" s="337" t="s">
        <v>554</v>
      </c>
      <c r="O1190" s="338">
        <v>44225.0</v>
      </c>
      <c r="P1190" s="164">
        <f t="array" ref="P1190">XLOOKUP('FACUS$'!$B1190,'perfil de pagos'!$A$4:$A$46,'perfil de pagos'!$C$4:$C$46+'FACUS$'!$D1190)</f>
        <v>44232</v>
      </c>
      <c r="Q1190" s="165">
        <f t="shared" si="2"/>
        <v>0</v>
      </c>
      <c r="R1190" s="167" t="s">
        <v>8134</v>
      </c>
      <c r="S1190" s="167"/>
      <c r="T1190" s="167"/>
      <c r="U1190" s="334" t="s">
        <v>7271</v>
      </c>
      <c r="V1190" s="168">
        <f t="shared" si="3"/>
        <v>10636.82</v>
      </c>
      <c r="W1190" s="168">
        <f t="shared" si="4"/>
        <v>0</v>
      </c>
      <c r="X1190" s="168">
        <f t="shared" si="5"/>
        <v>0</v>
      </c>
      <c r="Y1190" s="168">
        <f t="shared" si="6"/>
        <v>0</v>
      </c>
      <c r="Z1190" s="168">
        <f t="shared" si="7"/>
        <v>0</v>
      </c>
      <c r="AA1190" s="168">
        <f t="shared" si="8"/>
        <v>0</v>
      </c>
      <c r="AB1190" s="168">
        <f t="shared" si="9"/>
        <v>0</v>
      </c>
    </row>
    <row r="1191" ht="14.25" customHeight="1">
      <c r="A1191" s="157" t="s">
        <v>8135</v>
      </c>
      <c r="B1191" s="169" t="s">
        <v>1127</v>
      </c>
      <c r="C1191" s="367" t="s">
        <v>8136</v>
      </c>
      <c r="D1191" s="336">
        <v>44203.0</v>
      </c>
      <c r="E1191" s="157" t="s">
        <v>600</v>
      </c>
      <c r="F1191" s="160">
        <v>4445.63</v>
      </c>
      <c r="G1191" s="160">
        <v>711.3</v>
      </c>
      <c r="H1191" s="160">
        <f>F1191+G1191-'NCUS$'!H31</f>
        <v>123.38</v>
      </c>
      <c r="I1191" s="172"/>
      <c r="J1191" s="169"/>
      <c r="K1191" s="172"/>
      <c r="L1191" s="172">
        <f>+'FACUS$'!$H1191-'FACUS$'!$I1191-'FACUS$'!$K1191</f>
        <v>123.38</v>
      </c>
      <c r="M1191" s="162" t="s">
        <v>580</v>
      </c>
      <c r="N1191" s="337" t="s">
        <v>554</v>
      </c>
      <c r="O1191" s="338">
        <v>44217.0</v>
      </c>
      <c r="P1191" s="164" t="str">
        <f t="array" ref="P1191">XLOOKUP('FACUS$'!$B1191,'perfil de pagos'!$A$4:$A$46,'perfil de pagos'!$C$4:$C$46+'FACUS$'!$D1191)</f>
        <v>#N/A</v>
      </c>
      <c r="Q1191" s="165">
        <f t="shared" si="2"/>
        <v>0</v>
      </c>
      <c r="R1191" s="167" t="s">
        <v>8137</v>
      </c>
      <c r="S1191" s="167"/>
      <c r="T1191" s="167"/>
      <c r="U1191" s="334" t="s">
        <v>7271</v>
      </c>
      <c r="V1191" s="168">
        <f t="shared" si="3"/>
        <v>123.38</v>
      </c>
      <c r="W1191" s="168">
        <f t="shared" si="4"/>
        <v>0</v>
      </c>
      <c r="X1191" s="168">
        <f t="shared" si="5"/>
        <v>0</v>
      </c>
      <c r="Y1191" s="168">
        <f t="shared" si="6"/>
        <v>0</v>
      </c>
      <c r="Z1191" s="168">
        <f t="shared" si="7"/>
        <v>0</v>
      </c>
      <c r="AA1191" s="168">
        <f t="shared" si="8"/>
        <v>0</v>
      </c>
      <c r="AB1191" s="168">
        <f t="shared" si="9"/>
        <v>0</v>
      </c>
    </row>
    <row r="1192" ht="14.25" customHeight="1">
      <c r="A1192" s="157" t="s">
        <v>8138</v>
      </c>
      <c r="B1192" s="169" t="s">
        <v>41</v>
      </c>
      <c r="C1192" s="169" t="s">
        <v>2347</v>
      </c>
      <c r="D1192" s="336">
        <v>44208.0</v>
      </c>
      <c r="E1192" s="157" t="s">
        <v>600</v>
      </c>
      <c r="F1192" s="160">
        <v>92670.92</v>
      </c>
      <c r="G1192" s="160">
        <v>14827.35</v>
      </c>
      <c r="H1192" s="160">
        <f>F1192+G1192-14000-10000-5000-60000</f>
        <v>18498.27</v>
      </c>
      <c r="I1192" s="172"/>
      <c r="J1192" s="169"/>
      <c r="K1192" s="172"/>
      <c r="L1192" s="172">
        <f>+'FACUS$'!$H1192-'FACUS$'!$I1192-'FACUS$'!$K1192</f>
        <v>18498.27</v>
      </c>
      <c r="M1192" s="162" t="s">
        <v>875</v>
      </c>
      <c r="N1192" s="337" t="s">
        <v>554</v>
      </c>
      <c r="O1192" s="338">
        <v>44475.0</v>
      </c>
      <c r="P1192" s="164">
        <f t="array" ref="P1192">XLOOKUP('FACUS$'!$B1192,'perfil de pagos'!$A$4:$A$46,'perfil de pagos'!$C$4:$C$46+'FACUS$'!$D1192)</f>
        <v>44218</v>
      </c>
      <c r="Q1192" s="165">
        <f t="shared" si="2"/>
        <v>0</v>
      </c>
      <c r="R1192" s="220" t="s">
        <v>8139</v>
      </c>
      <c r="S1192" s="167"/>
      <c r="T1192" s="167"/>
      <c r="U1192" s="334" t="s">
        <v>7271</v>
      </c>
      <c r="V1192" s="168">
        <f t="shared" si="3"/>
        <v>18498.27</v>
      </c>
      <c r="W1192" s="168">
        <f t="shared" si="4"/>
        <v>0</v>
      </c>
      <c r="X1192" s="168">
        <f t="shared" si="5"/>
        <v>0</v>
      </c>
      <c r="Y1192" s="168">
        <f t="shared" si="6"/>
        <v>0</v>
      </c>
      <c r="Z1192" s="168">
        <f t="shared" si="7"/>
        <v>0</v>
      </c>
      <c r="AA1192" s="168">
        <f t="shared" si="8"/>
        <v>0</v>
      </c>
      <c r="AB1192" s="168">
        <f t="shared" si="9"/>
        <v>0</v>
      </c>
    </row>
    <row r="1193" ht="14.25" customHeight="1">
      <c r="A1193" s="157" t="s">
        <v>8140</v>
      </c>
      <c r="B1193" s="169" t="s">
        <v>36</v>
      </c>
      <c r="C1193" s="169" t="s">
        <v>8141</v>
      </c>
      <c r="D1193" s="336">
        <v>44208.0</v>
      </c>
      <c r="E1193" s="157" t="s">
        <v>600</v>
      </c>
      <c r="F1193" s="160">
        <v>1042.52</v>
      </c>
      <c r="G1193" s="160">
        <v>166.8</v>
      </c>
      <c r="H1193" s="160">
        <f t="shared" ref="H1193:H1220" si="38">F1193+G1193</f>
        <v>1209.32</v>
      </c>
      <c r="I1193" s="172"/>
      <c r="J1193" s="169"/>
      <c r="K1193" s="172"/>
      <c r="L1193" s="172">
        <f>+'FACUS$'!$H1193-'FACUS$'!$I1193-'FACUS$'!$K1193</f>
        <v>1209.32</v>
      </c>
      <c r="M1193" s="162" t="s">
        <v>278</v>
      </c>
      <c r="N1193" s="337" t="s">
        <v>554</v>
      </c>
      <c r="O1193" s="338">
        <v>44221.0</v>
      </c>
      <c r="P1193" s="164">
        <f t="array" ref="P1193">XLOOKUP('FACUS$'!$B1193,'perfil de pagos'!$A$4:$A$46,'perfil de pagos'!$C$4:$C$46+'FACUS$'!$D1193)</f>
        <v>44218</v>
      </c>
      <c r="Q1193" s="165">
        <f t="shared" si="2"/>
        <v>0</v>
      </c>
      <c r="R1193" s="220" t="s">
        <v>8142</v>
      </c>
      <c r="S1193" s="167"/>
      <c r="T1193" s="167"/>
      <c r="U1193" s="334" t="s">
        <v>7271</v>
      </c>
      <c r="V1193" s="168">
        <f t="shared" si="3"/>
        <v>1209.32</v>
      </c>
      <c r="W1193" s="168">
        <f t="shared" si="4"/>
        <v>0</v>
      </c>
      <c r="X1193" s="168">
        <f t="shared" si="5"/>
        <v>0</v>
      </c>
      <c r="Y1193" s="168">
        <f t="shared" si="6"/>
        <v>0</v>
      </c>
      <c r="Z1193" s="168">
        <f t="shared" si="7"/>
        <v>0</v>
      </c>
      <c r="AA1193" s="168">
        <f t="shared" si="8"/>
        <v>0</v>
      </c>
      <c r="AB1193" s="168">
        <f t="shared" si="9"/>
        <v>0</v>
      </c>
    </row>
    <row r="1194" ht="14.25" customHeight="1">
      <c r="A1194" s="157" t="s">
        <v>8143</v>
      </c>
      <c r="B1194" s="169" t="s">
        <v>30</v>
      </c>
      <c r="C1194" s="169" t="s">
        <v>8144</v>
      </c>
      <c r="D1194" s="336">
        <v>44208.0</v>
      </c>
      <c r="E1194" s="157" t="s">
        <v>600</v>
      </c>
      <c r="F1194" s="160">
        <v>3000.0</v>
      </c>
      <c r="G1194" s="160">
        <v>480.0</v>
      </c>
      <c r="H1194" s="160">
        <f t="shared" si="38"/>
        <v>3480</v>
      </c>
      <c r="I1194" s="172"/>
      <c r="J1194" s="169"/>
      <c r="K1194" s="172"/>
      <c r="L1194" s="172">
        <f>+'FACUS$'!$H1194-'FACUS$'!$I1194-'FACUS$'!$K1194</f>
        <v>3480</v>
      </c>
      <c r="M1194" s="162" t="s">
        <v>7415</v>
      </c>
      <c r="N1194" s="337" t="s">
        <v>127</v>
      </c>
      <c r="O1194" s="338">
        <v>45063.0</v>
      </c>
      <c r="P1194" s="164">
        <f t="array" ref="P1194">XLOOKUP('FACUS$'!$B1194,'perfil de pagos'!$A$4:$A$46,'perfil de pagos'!$C$4:$C$46+'FACUS$'!$D1194)</f>
        <v>44218</v>
      </c>
      <c r="Q1194" s="165" t="str">
        <f t="shared" si="2"/>
        <v>N/A</v>
      </c>
      <c r="R1194" s="220" t="s">
        <v>7747</v>
      </c>
      <c r="S1194" s="167"/>
      <c r="T1194" s="167"/>
      <c r="U1194" s="334" t="s">
        <v>7271</v>
      </c>
      <c r="V1194" s="168">
        <f t="shared" si="3"/>
        <v>0</v>
      </c>
      <c r="W1194" s="168">
        <f t="shared" si="4"/>
        <v>0</v>
      </c>
      <c r="X1194" s="168">
        <f t="shared" si="5"/>
        <v>0</v>
      </c>
      <c r="Y1194" s="168">
        <f t="shared" si="6"/>
        <v>0</v>
      </c>
      <c r="Z1194" s="168">
        <f t="shared" si="7"/>
        <v>0</v>
      </c>
      <c r="AA1194" s="168">
        <f t="shared" si="8"/>
        <v>0</v>
      </c>
      <c r="AB1194" s="168">
        <f t="shared" si="9"/>
        <v>3480</v>
      </c>
    </row>
    <row r="1195" ht="14.25" customHeight="1">
      <c r="A1195" s="157" t="s">
        <v>8145</v>
      </c>
      <c r="B1195" s="169" t="s">
        <v>26</v>
      </c>
      <c r="C1195" s="169" t="s">
        <v>3368</v>
      </c>
      <c r="D1195" s="336">
        <v>44208.0</v>
      </c>
      <c r="E1195" s="157" t="s">
        <v>600</v>
      </c>
      <c r="F1195" s="160">
        <v>3353.44</v>
      </c>
      <c r="G1195" s="160">
        <v>536.55</v>
      </c>
      <c r="H1195" s="160">
        <f t="shared" si="38"/>
        <v>3889.99</v>
      </c>
      <c r="I1195" s="172"/>
      <c r="J1195" s="169"/>
      <c r="K1195" s="172"/>
      <c r="L1195" s="172">
        <f>+'FACUS$'!$H1195-'FACUS$'!$I1195-'FACUS$'!$K1195</f>
        <v>3889.99</v>
      </c>
      <c r="M1195" s="162" t="s">
        <v>2386</v>
      </c>
      <c r="N1195" s="337" t="s">
        <v>554</v>
      </c>
      <c r="O1195" s="338">
        <v>44223.0</v>
      </c>
      <c r="P1195" s="164">
        <f t="array" ref="P1195">XLOOKUP('FACUS$'!$B1195,'perfil de pagos'!$A$4:$A$46,'perfil de pagos'!$C$4:$C$46+'FACUS$'!$D1195)</f>
        <v>44238</v>
      </c>
      <c r="Q1195" s="165">
        <f t="shared" si="2"/>
        <v>0</v>
      </c>
      <c r="R1195" s="167" t="s">
        <v>8146</v>
      </c>
      <c r="S1195" s="167"/>
      <c r="T1195" s="167"/>
      <c r="U1195" s="334" t="s">
        <v>7271</v>
      </c>
      <c r="V1195" s="168">
        <f t="shared" si="3"/>
        <v>3889.99</v>
      </c>
      <c r="W1195" s="168">
        <f t="shared" si="4"/>
        <v>0</v>
      </c>
      <c r="X1195" s="168">
        <f t="shared" si="5"/>
        <v>0</v>
      </c>
      <c r="Y1195" s="168">
        <f t="shared" si="6"/>
        <v>0</v>
      </c>
      <c r="Z1195" s="168">
        <f t="shared" si="7"/>
        <v>0</v>
      </c>
      <c r="AA1195" s="168">
        <f t="shared" si="8"/>
        <v>0</v>
      </c>
      <c r="AB1195" s="168">
        <f t="shared" si="9"/>
        <v>0</v>
      </c>
    </row>
    <row r="1196" ht="14.25" customHeight="1">
      <c r="A1196" s="157" t="s">
        <v>8147</v>
      </c>
      <c r="B1196" s="169" t="s">
        <v>43</v>
      </c>
      <c r="C1196" s="243" t="s">
        <v>2407</v>
      </c>
      <c r="D1196" s="336">
        <v>44215.0</v>
      </c>
      <c r="E1196" s="157" t="s">
        <v>600</v>
      </c>
      <c r="F1196" s="160">
        <v>67835.65</v>
      </c>
      <c r="G1196" s="160">
        <v>10853.7</v>
      </c>
      <c r="H1196" s="160">
        <f t="shared" si="38"/>
        <v>78689.35</v>
      </c>
      <c r="I1196" s="172"/>
      <c r="J1196" s="169"/>
      <c r="K1196" s="172"/>
      <c r="L1196" s="172">
        <f>+'FACUS$'!$H1196-'FACUS$'!$I1196-'FACUS$'!$K1196</f>
        <v>78689.35</v>
      </c>
      <c r="M1196" s="162" t="s">
        <v>43</v>
      </c>
      <c r="N1196" s="337" t="s">
        <v>554</v>
      </c>
      <c r="O1196" s="338">
        <v>44224.0</v>
      </c>
      <c r="P1196" s="164">
        <f t="array" ref="P1196">XLOOKUP('FACUS$'!$B1196,'perfil de pagos'!$A$4:$A$46,'perfil de pagos'!$C$4:$C$46+'FACUS$'!$D1196)</f>
        <v>44240</v>
      </c>
      <c r="Q1196" s="165">
        <f t="shared" si="2"/>
        <v>0</v>
      </c>
      <c r="R1196" s="167"/>
      <c r="S1196" s="167" t="s">
        <v>910</v>
      </c>
      <c r="T1196" s="167"/>
      <c r="U1196" s="334" t="s">
        <v>7271</v>
      </c>
      <c r="V1196" s="168">
        <f t="shared" si="3"/>
        <v>78689.35</v>
      </c>
      <c r="W1196" s="168">
        <f t="shared" si="4"/>
        <v>0</v>
      </c>
      <c r="X1196" s="168">
        <f t="shared" si="5"/>
        <v>0</v>
      </c>
      <c r="Y1196" s="168">
        <f t="shared" si="6"/>
        <v>0</v>
      </c>
      <c r="Z1196" s="168">
        <f t="shared" si="7"/>
        <v>0</v>
      </c>
      <c r="AA1196" s="168">
        <f t="shared" si="8"/>
        <v>0</v>
      </c>
      <c r="AB1196" s="168">
        <f t="shared" si="9"/>
        <v>0</v>
      </c>
    </row>
    <row r="1197" ht="14.25" customHeight="1">
      <c r="A1197" s="157" t="s">
        <v>8148</v>
      </c>
      <c r="B1197" s="169" t="s">
        <v>1127</v>
      </c>
      <c r="C1197" s="243" t="s">
        <v>2407</v>
      </c>
      <c r="D1197" s="336">
        <v>44215.0</v>
      </c>
      <c r="E1197" s="157" t="s">
        <v>600</v>
      </c>
      <c r="F1197" s="160">
        <v>18936.14</v>
      </c>
      <c r="G1197" s="160">
        <v>3029.78</v>
      </c>
      <c r="H1197" s="160">
        <f t="shared" si="38"/>
        <v>21965.92</v>
      </c>
      <c r="I1197" s="172"/>
      <c r="J1197" s="169"/>
      <c r="K1197" s="172"/>
      <c r="L1197" s="172">
        <f>+'FACUS$'!$H1197-'FACUS$'!$I1197-'FACUS$'!$K1197</f>
        <v>21965.92</v>
      </c>
      <c r="M1197" s="162" t="s">
        <v>580</v>
      </c>
      <c r="N1197" s="337" t="s">
        <v>554</v>
      </c>
      <c r="O1197" s="338">
        <v>44232.0</v>
      </c>
      <c r="P1197" s="164" t="str">
        <f t="array" ref="P1197">XLOOKUP('FACUS$'!$B1197,'perfil de pagos'!$A$4:$A$46,'perfil de pagos'!$C$4:$C$46+'FACUS$'!$D1197)</f>
        <v>#N/A</v>
      </c>
      <c r="Q1197" s="165">
        <f t="shared" si="2"/>
        <v>0</v>
      </c>
      <c r="R1197" s="167"/>
      <c r="S1197" s="167"/>
      <c r="T1197" s="167"/>
      <c r="U1197" s="334" t="s">
        <v>7271</v>
      </c>
      <c r="V1197" s="168">
        <f t="shared" si="3"/>
        <v>21965.92</v>
      </c>
      <c r="W1197" s="168">
        <f t="shared" si="4"/>
        <v>0</v>
      </c>
      <c r="X1197" s="168">
        <f t="shared" si="5"/>
        <v>0</v>
      </c>
      <c r="Y1197" s="168">
        <f t="shared" si="6"/>
        <v>0</v>
      </c>
      <c r="Z1197" s="168">
        <f t="shared" si="7"/>
        <v>0</v>
      </c>
      <c r="AA1197" s="168">
        <f t="shared" si="8"/>
        <v>0</v>
      </c>
      <c r="AB1197" s="168">
        <f t="shared" si="9"/>
        <v>0</v>
      </c>
    </row>
    <row r="1198" ht="14.25" customHeight="1">
      <c r="A1198" s="157" t="s">
        <v>8149</v>
      </c>
      <c r="B1198" s="169" t="s">
        <v>36</v>
      </c>
      <c r="C1198" s="243" t="s">
        <v>2407</v>
      </c>
      <c r="D1198" s="336">
        <v>44215.0</v>
      </c>
      <c r="E1198" s="157" t="s">
        <v>600</v>
      </c>
      <c r="F1198" s="160">
        <v>1426.65</v>
      </c>
      <c r="G1198" s="160">
        <v>228.26</v>
      </c>
      <c r="H1198" s="160">
        <f t="shared" si="38"/>
        <v>1654.91</v>
      </c>
      <c r="I1198" s="172"/>
      <c r="J1198" s="169"/>
      <c r="K1198" s="172"/>
      <c r="L1198" s="172">
        <f>+'FACUS$'!$H1198-'FACUS$'!$I1198-'FACUS$'!$K1198</f>
        <v>1654.91</v>
      </c>
      <c r="M1198" s="162" t="s">
        <v>278</v>
      </c>
      <c r="N1198" s="337" t="s">
        <v>554</v>
      </c>
      <c r="O1198" s="338">
        <v>44277.0</v>
      </c>
      <c r="P1198" s="164">
        <f t="array" ref="P1198">XLOOKUP('FACUS$'!$B1198,'perfil de pagos'!$A$4:$A$46,'perfil de pagos'!$C$4:$C$46+'FACUS$'!$D1198)</f>
        <v>44225</v>
      </c>
      <c r="Q1198" s="165">
        <f t="shared" si="2"/>
        <v>0</v>
      </c>
      <c r="R1198" s="167" t="s">
        <v>8150</v>
      </c>
      <c r="S1198" s="167"/>
      <c r="T1198" s="167"/>
      <c r="U1198" s="334" t="s">
        <v>7271</v>
      </c>
      <c r="V1198" s="168">
        <f t="shared" si="3"/>
        <v>1654.91</v>
      </c>
      <c r="W1198" s="168">
        <f t="shared" si="4"/>
        <v>0</v>
      </c>
      <c r="X1198" s="168">
        <f t="shared" si="5"/>
        <v>0</v>
      </c>
      <c r="Y1198" s="168">
        <f t="shared" si="6"/>
        <v>0</v>
      </c>
      <c r="Z1198" s="168">
        <f t="shared" si="7"/>
        <v>0</v>
      </c>
      <c r="AA1198" s="168">
        <f t="shared" si="8"/>
        <v>0</v>
      </c>
      <c r="AB1198" s="168">
        <f t="shared" si="9"/>
        <v>0</v>
      </c>
    </row>
    <row r="1199" ht="14.25" customHeight="1">
      <c r="A1199" s="157" t="s">
        <v>8151</v>
      </c>
      <c r="B1199" s="169" t="s">
        <v>33</v>
      </c>
      <c r="C1199" s="243" t="s">
        <v>2407</v>
      </c>
      <c r="D1199" s="336">
        <v>44215.0</v>
      </c>
      <c r="E1199" s="157" t="s">
        <v>600</v>
      </c>
      <c r="F1199" s="160">
        <v>44822.63</v>
      </c>
      <c r="G1199" s="160">
        <v>7171.62</v>
      </c>
      <c r="H1199" s="160">
        <f t="shared" si="38"/>
        <v>51994.25</v>
      </c>
      <c r="I1199" s="172"/>
      <c r="J1199" s="169"/>
      <c r="K1199" s="172"/>
      <c r="L1199" s="172">
        <f>+'FACUS$'!$H1199-'FACUS$'!$I1199-'FACUS$'!$K1199</f>
        <v>51994.25</v>
      </c>
      <c r="M1199" s="162" t="s">
        <v>958</v>
      </c>
      <c r="N1199" s="337" t="s">
        <v>554</v>
      </c>
      <c r="O1199" s="338">
        <v>44232.0</v>
      </c>
      <c r="P1199" s="164">
        <f t="array" ref="P1199">XLOOKUP('FACUS$'!$B1199,'perfil de pagos'!$A$4:$A$46,'perfil de pagos'!$C$4:$C$46+'FACUS$'!$D1199)</f>
        <v>44225</v>
      </c>
      <c r="Q1199" s="165">
        <f t="shared" si="2"/>
        <v>0</v>
      </c>
      <c r="R1199" s="167"/>
      <c r="S1199" s="167"/>
      <c r="T1199" s="167"/>
      <c r="U1199" s="334" t="s">
        <v>7271</v>
      </c>
      <c r="V1199" s="168">
        <f t="shared" si="3"/>
        <v>51994.25</v>
      </c>
      <c r="W1199" s="168">
        <f t="shared" si="4"/>
        <v>0</v>
      </c>
      <c r="X1199" s="168">
        <f t="shared" si="5"/>
        <v>0</v>
      </c>
      <c r="Y1199" s="168">
        <f t="shared" si="6"/>
        <v>0</v>
      </c>
      <c r="Z1199" s="168">
        <f t="shared" si="7"/>
        <v>0</v>
      </c>
      <c r="AA1199" s="168">
        <f t="shared" si="8"/>
        <v>0</v>
      </c>
      <c r="AB1199" s="168">
        <f t="shared" si="9"/>
        <v>0</v>
      </c>
    </row>
    <row r="1200" ht="14.25" customHeight="1">
      <c r="A1200" s="157" t="s">
        <v>8152</v>
      </c>
      <c r="B1200" s="169" t="s">
        <v>35</v>
      </c>
      <c r="C1200" s="243" t="s">
        <v>2407</v>
      </c>
      <c r="D1200" s="336">
        <v>44215.0</v>
      </c>
      <c r="E1200" s="157" t="s">
        <v>600</v>
      </c>
      <c r="F1200" s="160">
        <v>21487.44</v>
      </c>
      <c r="G1200" s="160">
        <v>3437.99</v>
      </c>
      <c r="H1200" s="160">
        <f t="shared" si="38"/>
        <v>24925.43</v>
      </c>
      <c r="I1200" s="172"/>
      <c r="J1200" s="169"/>
      <c r="K1200" s="172"/>
      <c r="L1200" s="172">
        <f>+'FACUS$'!$H1200-'FACUS$'!$I1200-'FACUS$'!$K1200</f>
        <v>24925.43</v>
      </c>
      <c r="M1200" s="162" t="s">
        <v>276</v>
      </c>
      <c r="N1200" s="337" t="s">
        <v>554</v>
      </c>
      <c r="O1200" s="338">
        <v>44238.0</v>
      </c>
      <c r="P1200" s="164">
        <f t="array" ref="P1200">XLOOKUP('FACUS$'!$B1200,'perfil de pagos'!$A$4:$A$46,'perfil de pagos'!$C$4:$C$46+'FACUS$'!$D1200)</f>
        <v>44225</v>
      </c>
      <c r="Q1200" s="165">
        <f t="shared" si="2"/>
        <v>0</v>
      </c>
      <c r="R1200" s="167"/>
      <c r="S1200" s="167" t="s">
        <v>910</v>
      </c>
      <c r="T1200" s="167"/>
      <c r="U1200" s="334" t="s">
        <v>7271</v>
      </c>
      <c r="V1200" s="168">
        <f t="shared" si="3"/>
        <v>24925.43</v>
      </c>
      <c r="W1200" s="168">
        <f t="shared" si="4"/>
        <v>0</v>
      </c>
      <c r="X1200" s="168">
        <f t="shared" si="5"/>
        <v>0</v>
      </c>
      <c r="Y1200" s="168">
        <f t="shared" si="6"/>
        <v>0</v>
      </c>
      <c r="Z1200" s="168">
        <f t="shared" si="7"/>
        <v>0</v>
      </c>
      <c r="AA1200" s="168">
        <f t="shared" si="8"/>
        <v>0</v>
      </c>
      <c r="AB1200" s="168">
        <f t="shared" si="9"/>
        <v>0</v>
      </c>
    </row>
    <row r="1201" ht="14.25" customHeight="1">
      <c r="A1201" s="157" t="s">
        <v>8153</v>
      </c>
      <c r="B1201" s="169" t="s">
        <v>21</v>
      </c>
      <c r="C1201" s="243" t="s">
        <v>2407</v>
      </c>
      <c r="D1201" s="336">
        <v>44215.0</v>
      </c>
      <c r="E1201" s="157" t="s">
        <v>600</v>
      </c>
      <c r="F1201" s="160">
        <v>344.08</v>
      </c>
      <c r="G1201" s="364">
        <v>55.05</v>
      </c>
      <c r="H1201" s="160">
        <f t="shared" si="38"/>
        <v>399.13</v>
      </c>
      <c r="I1201" s="172"/>
      <c r="J1201" s="169"/>
      <c r="K1201" s="172"/>
      <c r="L1201" s="172">
        <f>+'FACUS$'!$H1201-'FACUS$'!$I1201-'FACUS$'!$K1201</f>
        <v>399.13</v>
      </c>
      <c r="M1201" s="162" t="s">
        <v>2263</v>
      </c>
      <c r="N1201" s="337" t="s">
        <v>554</v>
      </c>
      <c r="O1201" s="338">
        <v>44232.0</v>
      </c>
      <c r="P1201" s="164">
        <f t="array" ref="P1201">XLOOKUP('FACUS$'!$B1201,'perfil de pagos'!$A$4:$A$46,'perfil de pagos'!$C$4:$C$46+'FACUS$'!$D1201)</f>
        <v>44225</v>
      </c>
      <c r="Q1201" s="165">
        <f t="shared" si="2"/>
        <v>0</v>
      </c>
      <c r="R1201" s="167"/>
      <c r="S1201" s="167"/>
      <c r="T1201" s="167"/>
      <c r="U1201" s="334" t="s">
        <v>7271</v>
      </c>
      <c r="V1201" s="168">
        <f t="shared" si="3"/>
        <v>399.13</v>
      </c>
      <c r="W1201" s="168">
        <f t="shared" si="4"/>
        <v>0</v>
      </c>
      <c r="X1201" s="168">
        <f t="shared" si="5"/>
        <v>0</v>
      </c>
      <c r="Y1201" s="168">
        <f t="shared" si="6"/>
        <v>0</v>
      </c>
      <c r="Z1201" s="168">
        <f t="shared" si="7"/>
        <v>0</v>
      </c>
      <c r="AA1201" s="168">
        <f t="shared" si="8"/>
        <v>0</v>
      </c>
      <c r="AB1201" s="168">
        <f t="shared" si="9"/>
        <v>0</v>
      </c>
    </row>
    <row r="1202" ht="14.25" customHeight="1">
      <c r="A1202" s="157" t="s">
        <v>8154</v>
      </c>
      <c r="B1202" s="169" t="s">
        <v>18</v>
      </c>
      <c r="C1202" s="169" t="s">
        <v>2407</v>
      </c>
      <c r="D1202" s="336">
        <v>44217.0</v>
      </c>
      <c r="E1202" s="157" t="s">
        <v>600</v>
      </c>
      <c r="F1202" s="160">
        <v>7977.46</v>
      </c>
      <c r="G1202" s="160">
        <v>1276.39</v>
      </c>
      <c r="H1202" s="160">
        <f t="shared" si="38"/>
        <v>9253.85</v>
      </c>
      <c r="I1202" s="172"/>
      <c r="J1202" s="169"/>
      <c r="K1202" s="172"/>
      <c r="L1202" s="172">
        <f>+'FACUS$'!$H1202-'FACUS$'!$I1202-'FACUS$'!$K1202</f>
        <v>9253.85</v>
      </c>
      <c r="M1202" s="162" t="s">
        <v>586</v>
      </c>
      <c r="N1202" s="337" t="s">
        <v>554</v>
      </c>
      <c r="O1202" s="338">
        <v>44271.0</v>
      </c>
      <c r="P1202" s="164">
        <f t="array" ref="P1202">XLOOKUP('FACUS$'!$B1202,'perfil de pagos'!$A$4:$A$46,'perfil de pagos'!$C$4:$C$46+'FACUS$'!$D1202)</f>
        <v>44227</v>
      </c>
      <c r="Q1202" s="165">
        <f t="shared" si="2"/>
        <v>0</v>
      </c>
      <c r="R1202" s="167"/>
      <c r="S1202" s="167"/>
      <c r="T1202" s="167"/>
      <c r="U1202" s="334" t="s">
        <v>7271</v>
      </c>
      <c r="V1202" s="168">
        <f t="shared" si="3"/>
        <v>9253.85</v>
      </c>
      <c r="W1202" s="168">
        <f t="shared" si="4"/>
        <v>0</v>
      </c>
      <c r="X1202" s="168">
        <f t="shared" si="5"/>
        <v>0</v>
      </c>
      <c r="Y1202" s="168">
        <f t="shared" si="6"/>
        <v>0</v>
      </c>
      <c r="Z1202" s="168">
        <f t="shared" si="7"/>
        <v>0</v>
      </c>
      <c r="AA1202" s="168">
        <f t="shared" si="8"/>
        <v>0</v>
      </c>
      <c r="AB1202" s="168">
        <f t="shared" si="9"/>
        <v>0</v>
      </c>
    </row>
    <row r="1203" ht="14.25" customHeight="1">
      <c r="A1203" s="157" t="s">
        <v>8155</v>
      </c>
      <c r="B1203" s="169" t="s">
        <v>20</v>
      </c>
      <c r="C1203" s="169" t="s">
        <v>2407</v>
      </c>
      <c r="D1203" s="336">
        <v>44217.0</v>
      </c>
      <c r="E1203" s="157" t="s">
        <v>600</v>
      </c>
      <c r="F1203" s="160">
        <v>9053.76</v>
      </c>
      <c r="G1203" s="160">
        <v>1448.6</v>
      </c>
      <c r="H1203" s="160">
        <f t="shared" si="38"/>
        <v>10502.36</v>
      </c>
      <c r="I1203" s="172"/>
      <c r="J1203" s="169"/>
      <c r="K1203" s="172"/>
      <c r="L1203" s="172">
        <f>+'FACUS$'!$H1203-'FACUS$'!$I1203-'FACUS$'!$K1203</f>
        <v>10502.36</v>
      </c>
      <c r="M1203" s="162" t="s">
        <v>732</v>
      </c>
      <c r="N1203" s="337" t="s">
        <v>554</v>
      </c>
      <c r="O1203" s="338">
        <v>44271.0</v>
      </c>
      <c r="P1203" s="164">
        <f t="array" ref="P1203">XLOOKUP('FACUS$'!$B1203,'perfil de pagos'!$A$4:$A$46,'perfil de pagos'!$C$4:$C$46+'FACUS$'!$D1203)</f>
        <v>44227</v>
      </c>
      <c r="Q1203" s="165">
        <f t="shared" si="2"/>
        <v>0</v>
      </c>
      <c r="R1203" s="167"/>
      <c r="S1203" s="167"/>
      <c r="T1203" s="167"/>
      <c r="U1203" s="334" t="s">
        <v>7271</v>
      </c>
      <c r="V1203" s="168">
        <f t="shared" si="3"/>
        <v>10502.36</v>
      </c>
      <c r="W1203" s="168">
        <f t="shared" si="4"/>
        <v>0</v>
      </c>
      <c r="X1203" s="168">
        <f t="shared" si="5"/>
        <v>0</v>
      </c>
      <c r="Y1203" s="168">
        <f t="shared" si="6"/>
        <v>0</v>
      </c>
      <c r="Z1203" s="168">
        <f t="shared" si="7"/>
        <v>0</v>
      </c>
      <c r="AA1203" s="168">
        <f t="shared" si="8"/>
        <v>0</v>
      </c>
      <c r="AB1203" s="168">
        <f t="shared" si="9"/>
        <v>0</v>
      </c>
    </row>
    <row r="1204" ht="14.25" customHeight="1">
      <c r="A1204" s="157" t="s">
        <v>8156</v>
      </c>
      <c r="B1204" s="169" t="s">
        <v>50</v>
      </c>
      <c r="C1204" s="169" t="s">
        <v>2388</v>
      </c>
      <c r="D1204" s="336">
        <v>44224.0</v>
      </c>
      <c r="E1204" s="157" t="s">
        <v>600</v>
      </c>
      <c r="F1204" s="160">
        <v>4199.0</v>
      </c>
      <c r="G1204" s="160">
        <v>671.84</v>
      </c>
      <c r="H1204" s="160">
        <f t="shared" si="38"/>
        <v>4870.84</v>
      </c>
      <c r="I1204" s="172"/>
      <c r="J1204" s="169"/>
      <c r="K1204" s="172"/>
      <c r="L1204" s="172">
        <f>+'FACUS$'!$H1204-'FACUS$'!$I1204-'FACUS$'!$K1204</f>
        <v>4870.84</v>
      </c>
      <c r="M1204" s="162" t="s">
        <v>570</v>
      </c>
      <c r="N1204" s="337" t="s">
        <v>127</v>
      </c>
      <c r="O1204" s="338"/>
      <c r="P1204" s="164">
        <f t="array" ref="P1204">XLOOKUP('FACUS$'!$B1204,'perfil de pagos'!$A$4:$A$46,'perfil de pagos'!$C$4:$C$46+'FACUS$'!$D1204)</f>
        <v>44234</v>
      </c>
      <c r="Q1204" s="165" t="str">
        <f t="shared" si="2"/>
        <v>N/A</v>
      </c>
      <c r="R1204" s="167" t="s">
        <v>8157</v>
      </c>
      <c r="S1204" s="167"/>
      <c r="T1204" s="167"/>
      <c r="U1204" s="334" t="s">
        <v>7271</v>
      </c>
      <c r="V1204" s="168">
        <f t="shared" si="3"/>
        <v>0</v>
      </c>
      <c r="W1204" s="168">
        <f t="shared" si="4"/>
        <v>0</v>
      </c>
      <c r="X1204" s="168">
        <f t="shared" si="5"/>
        <v>0</v>
      </c>
      <c r="Y1204" s="168">
        <f t="shared" si="6"/>
        <v>0</v>
      </c>
      <c r="Z1204" s="168">
        <f t="shared" si="7"/>
        <v>0</v>
      </c>
      <c r="AA1204" s="168">
        <f t="shared" si="8"/>
        <v>0</v>
      </c>
      <c r="AB1204" s="168">
        <f t="shared" si="9"/>
        <v>4870.84</v>
      </c>
    </row>
    <row r="1205" ht="14.25" customHeight="1">
      <c r="A1205" s="157" t="s">
        <v>8158</v>
      </c>
      <c r="B1205" s="169" t="s">
        <v>50</v>
      </c>
      <c r="C1205" s="169" t="s">
        <v>2407</v>
      </c>
      <c r="D1205" s="336">
        <v>44224.0</v>
      </c>
      <c r="E1205" s="157" t="s">
        <v>600</v>
      </c>
      <c r="F1205" s="364">
        <v>397.59</v>
      </c>
      <c r="G1205" s="160">
        <v>63.61</v>
      </c>
      <c r="H1205" s="160">
        <f t="shared" si="38"/>
        <v>461.2</v>
      </c>
      <c r="I1205" s="172"/>
      <c r="J1205" s="169"/>
      <c r="K1205" s="172"/>
      <c r="L1205" s="172">
        <f>+'FACUS$'!$H1205-'FACUS$'!$I1205-'FACUS$'!$K1205</f>
        <v>461.2</v>
      </c>
      <c r="M1205" s="162" t="s">
        <v>570</v>
      </c>
      <c r="N1205" s="337" t="s">
        <v>554</v>
      </c>
      <c r="O1205" s="338">
        <v>44238.0</v>
      </c>
      <c r="P1205" s="164">
        <f t="array" ref="P1205">XLOOKUP('FACUS$'!$B1205,'perfil de pagos'!$A$4:$A$46,'perfil de pagos'!$C$4:$C$46+'FACUS$'!$D1205)</f>
        <v>44234</v>
      </c>
      <c r="Q1205" s="165">
        <f t="shared" si="2"/>
        <v>0</v>
      </c>
      <c r="R1205" s="167"/>
      <c r="S1205" s="167"/>
      <c r="T1205" s="167"/>
      <c r="U1205" s="334" t="s">
        <v>7271</v>
      </c>
      <c r="V1205" s="168">
        <f t="shared" si="3"/>
        <v>461.2</v>
      </c>
      <c r="W1205" s="168">
        <f t="shared" si="4"/>
        <v>0</v>
      </c>
      <c r="X1205" s="168">
        <f t="shared" si="5"/>
        <v>0</v>
      </c>
      <c r="Y1205" s="168">
        <f t="shared" si="6"/>
        <v>0</v>
      </c>
      <c r="Z1205" s="168">
        <f t="shared" si="7"/>
        <v>0</v>
      </c>
      <c r="AA1205" s="168">
        <f t="shared" si="8"/>
        <v>0</v>
      </c>
      <c r="AB1205" s="168">
        <f t="shared" si="9"/>
        <v>0</v>
      </c>
    </row>
    <row r="1206" ht="14.25" customHeight="1">
      <c r="A1206" s="157" t="s">
        <v>8159</v>
      </c>
      <c r="B1206" s="169" t="s">
        <v>26</v>
      </c>
      <c r="C1206" s="169" t="s">
        <v>2407</v>
      </c>
      <c r="D1206" s="336">
        <v>44224.0</v>
      </c>
      <c r="E1206" s="157" t="s">
        <v>600</v>
      </c>
      <c r="F1206" s="160">
        <v>1080.78</v>
      </c>
      <c r="G1206" s="160">
        <v>172.92</v>
      </c>
      <c r="H1206" s="160">
        <f t="shared" si="38"/>
        <v>1253.7</v>
      </c>
      <c r="I1206" s="172"/>
      <c r="J1206" s="169"/>
      <c r="K1206" s="172"/>
      <c r="L1206" s="172">
        <f>+'FACUS$'!$H1206-'FACUS$'!$I1206-'FACUS$'!$K1206</f>
        <v>1253.7</v>
      </c>
      <c r="M1206" s="162" t="s">
        <v>2386</v>
      </c>
      <c r="N1206" s="337" t="s">
        <v>554</v>
      </c>
      <c r="O1206" s="338">
        <v>44251.0</v>
      </c>
      <c r="P1206" s="164">
        <f t="array" ref="P1206">XLOOKUP('FACUS$'!$B1206,'perfil de pagos'!$A$4:$A$46,'perfil de pagos'!$C$4:$C$46+'FACUS$'!$D1206)</f>
        <v>44254</v>
      </c>
      <c r="Q1206" s="165">
        <f t="shared" si="2"/>
        <v>0</v>
      </c>
      <c r="R1206" s="220" t="s">
        <v>8160</v>
      </c>
      <c r="S1206" s="167"/>
      <c r="T1206" s="167"/>
      <c r="U1206" s="334" t="s">
        <v>7271</v>
      </c>
      <c r="V1206" s="168">
        <f t="shared" si="3"/>
        <v>1253.7</v>
      </c>
      <c r="W1206" s="168">
        <f t="shared" si="4"/>
        <v>0</v>
      </c>
      <c r="X1206" s="168">
        <f t="shared" si="5"/>
        <v>0</v>
      </c>
      <c r="Y1206" s="168">
        <f t="shared" si="6"/>
        <v>0</v>
      </c>
      <c r="Z1206" s="168">
        <f t="shared" si="7"/>
        <v>0</v>
      </c>
      <c r="AA1206" s="168">
        <f t="shared" si="8"/>
        <v>0</v>
      </c>
      <c r="AB1206" s="168">
        <f t="shared" si="9"/>
        <v>0</v>
      </c>
    </row>
    <row r="1207" ht="14.25" customHeight="1">
      <c r="A1207" s="157" t="s">
        <v>8161</v>
      </c>
      <c r="B1207" s="169" t="s">
        <v>38</v>
      </c>
      <c r="C1207" s="169" t="s">
        <v>2407</v>
      </c>
      <c r="D1207" s="336">
        <v>44224.0</v>
      </c>
      <c r="E1207" s="157" t="s">
        <v>600</v>
      </c>
      <c r="F1207" s="160">
        <v>6802.76</v>
      </c>
      <c r="G1207" s="160">
        <v>1088.44</v>
      </c>
      <c r="H1207" s="160">
        <f t="shared" si="38"/>
        <v>7891.2</v>
      </c>
      <c r="I1207" s="172"/>
      <c r="J1207" s="169"/>
      <c r="K1207" s="172"/>
      <c r="L1207" s="172">
        <f>+'FACUS$'!$H1207-'FACUS$'!$I1207-'FACUS$'!$K1207</f>
        <v>7891.2</v>
      </c>
      <c r="M1207" s="162" t="s">
        <v>145</v>
      </c>
      <c r="N1207" s="337" t="s">
        <v>554</v>
      </c>
      <c r="O1207" s="338">
        <v>44298.0</v>
      </c>
      <c r="P1207" s="164">
        <f t="array" ref="P1207">XLOOKUP('FACUS$'!$B1207,'perfil de pagos'!$A$4:$A$46,'perfil de pagos'!$C$4:$C$46+'FACUS$'!$D1207)</f>
        <v>44254</v>
      </c>
      <c r="Q1207" s="165">
        <f t="shared" si="2"/>
        <v>0</v>
      </c>
      <c r="R1207" s="167"/>
      <c r="S1207" s="167"/>
      <c r="T1207" s="167"/>
      <c r="U1207" s="334" t="s">
        <v>7271</v>
      </c>
      <c r="V1207" s="168">
        <f t="shared" si="3"/>
        <v>7891.2</v>
      </c>
      <c r="W1207" s="168">
        <f t="shared" si="4"/>
        <v>0</v>
      </c>
      <c r="X1207" s="168">
        <f t="shared" si="5"/>
        <v>0</v>
      </c>
      <c r="Y1207" s="168">
        <f t="shared" si="6"/>
        <v>0</v>
      </c>
      <c r="Z1207" s="168">
        <f t="shared" si="7"/>
        <v>0</v>
      </c>
      <c r="AA1207" s="168">
        <f t="shared" si="8"/>
        <v>0</v>
      </c>
      <c r="AB1207" s="168">
        <f t="shared" si="9"/>
        <v>0</v>
      </c>
    </row>
    <row r="1208" ht="14.25" customHeight="1">
      <c r="A1208" s="157" t="s">
        <v>8162</v>
      </c>
      <c r="B1208" s="169" t="s">
        <v>41</v>
      </c>
      <c r="C1208" s="169" t="s">
        <v>2407</v>
      </c>
      <c r="D1208" s="336">
        <v>44224.0</v>
      </c>
      <c r="E1208" s="157" t="s">
        <v>600</v>
      </c>
      <c r="F1208" s="160">
        <v>78483.18</v>
      </c>
      <c r="G1208" s="160">
        <v>12557.31</v>
      </c>
      <c r="H1208" s="160">
        <f t="shared" si="38"/>
        <v>91040.49</v>
      </c>
      <c r="I1208" s="172"/>
      <c r="J1208" s="169"/>
      <c r="K1208" s="172"/>
      <c r="L1208" s="172">
        <f>+'FACUS$'!$H1208-'FACUS$'!$I1208-'FACUS$'!$K1208</f>
        <v>91040.49</v>
      </c>
      <c r="M1208" s="162" t="s">
        <v>875</v>
      </c>
      <c r="N1208" s="337" t="s">
        <v>554</v>
      </c>
      <c r="O1208" s="338">
        <v>44286.0</v>
      </c>
      <c r="P1208" s="164">
        <f t="array" ref="P1208">XLOOKUP('FACUS$'!$B1208,'perfil de pagos'!$A$4:$A$46,'perfil de pagos'!$C$4:$C$46+'FACUS$'!$D1208)</f>
        <v>44234</v>
      </c>
      <c r="Q1208" s="165">
        <f t="shared" si="2"/>
        <v>0</v>
      </c>
      <c r="R1208" s="167"/>
      <c r="S1208" s="167"/>
      <c r="T1208" s="167"/>
      <c r="U1208" s="334" t="s">
        <v>7271</v>
      </c>
      <c r="V1208" s="168">
        <f t="shared" si="3"/>
        <v>91040.49</v>
      </c>
      <c r="W1208" s="168">
        <f t="shared" si="4"/>
        <v>0</v>
      </c>
      <c r="X1208" s="168">
        <f t="shared" si="5"/>
        <v>0</v>
      </c>
      <c r="Y1208" s="168">
        <f t="shared" si="6"/>
        <v>0</v>
      </c>
      <c r="Z1208" s="168">
        <f t="shared" si="7"/>
        <v>0</v>
      </c>
      <c r="AA1208" s="168">
        <f t="shared" si="8"/>
        <v>0</v>
      </c>
      <c r="AB1208" s="168">
        <f t="shared" si="9"/>
        <v>0</v>
      </c>
    </row>
    <row r="1209" ht="14.25" customHeight="1">
      <c r="A1209" s="157" t="s">
        <v>8163</v>
      </c>
      <c r="B1209" s="169" t="s">
        <v>50</v>
      </c>
      <c r="C1209" s="169" t="s">
        <v>2388</v>
      </c>
      <c r="D1209" s="336">
        <v>44231.0</v>
      </c>
      <c r="E1209" s="157" t="s">
        <v>600</v>
      </c>
      <c r="F1209" s="160">
        <v>221.0</v>
      </c>
      <c r="G1209" s="160">
        <v>35.36</v>
      </c>
      <c r="H1209" s="160">
        <f t="shared" si="38"/>
        <v>256.36</v>
      </c>
      <c r="I1209" s="172"/>
      <c r="J1209" s="169"/>
      <c r="K1209" s="172"/>
      <c r="L1209" s="172">
        <f>+'FACUS$'!$H1209-'FACUS$'!$I1209-'FACUS$'!$K1209</f>
        <v>256.36</v>
      </c>
      <c r="M1209" s="162" t="s">
        <v>570</v>
      </c>
      <c r="N1209" s="337" t="s">
        <v>554</v>
      </c>
      <c r="O1209" s="338">
        <v>44238.0</v>
      </c>
      <c r="P1209" s="164">
        <f t="array" ref="P1209">XLOOKUP('FACUS$'!$B1209,'perfil de pagos'!$A$4:$A$46,'perfil de pagos'!$C$4:$C$46+'FACUS$'!$D1209)</f>
        <v>44241</v>
      </c>
      <c r="Q1209" s="165">
        <f t="shared" si="2"/>
        <v>0</v>
      </c>
      <c r="R1209" s="167"/>
      <c r="S1209" s="167"/>
      <c r="T1209" s="167"/>
      <c r="U1209" s="334" t="s">
        <v>7271</v>
      </c>
      <c r="V1209" s="168">
        <f t="shared" si="3"/>
        <v>256.36</v>
      </c>
      <c r="W1209" s="168">
        <f t="shared" si="4"/>
        <v>0</v>
      </c>
      <c r="X1209" s="168">
        <f t="shared" si="5"/>
        <v>0</v>
      </c>
      <c r="Y1209" s="168">
        <f t="shared" si="6"/>
        <v>0</v>
      </c>
      <c r="Z1209" s="168">
        <f t="shared" si="7"/>
        <v>0</v>
      </c>
      <c r="AA1209" s="168">
        <f t="shared" si="8"/>
        <v>0</v>
      </c>
      <c r="AB1209" s="168">
        <f t="shared" si="9"/>
        <v>0</v>
      </c>
    </row>
    <row r="1210" ht="14.25" customHeight="1">
      <c r="A1210" s="157" t="s">
        <v>8164</v>
      </c>
      <c r="B1210" s="169" t="s">
        <v>43</v>
      </c>
      <c r="C1210" s="169" t="s">
        <v>2484</v>
      </c>
      <c r="D1210" s="336">
        <v>44231.0</v>
      </c>
      <c r="E1210" s="157" t="s">
        <v>600</v>
      </c>
      <c r="F1210" s="160">
        <v>67372.68</v>
      </c>
      <c r="G1210" s="160">
        <v>10779.63</v>
      </c>
      <c r="H1210" s="160">
        <f t="shared" si="38"/>
        <v>78152.31</v>
      </c>
      <c r="I1210" s="172"/>
      <c r="J1210" s="169"/>
      <c r="K1210" s="172"/>
      <c r="L1210" s="172">
        <f>+'FACUS$'!$H1210-'FACUS$'!$I1210-'FACUS$'!$K1210</f>
        <v>78152.31</v>
      </c>
      <c r="M1210" s="162" t="s">
        <v>43</v>
      </c>
      <c r="N1210" s="337" t="s">
        <v>554</v>
      </c>
      <c r="O1210" s="338">
        <v>44246.0</v>
      </c>
      <c r="P1210" s="164">
        <f t="array" ref="P1210">XLOOKUP('FACUS$'!$B1210,'perfil de pagos'!$A$4:$A$46,'perfil de pagos'!$C$4:$C$46+'FACUS$'!$D1210)</f>
        <v>44256</v>
      </c>
      <c r="Q1210" s="165">
        <f t="shared" si="2"/>
        <v>0</v>
      </c>
      <c r="R1210" s="167"/>
      <c r="S1210" s="167" t="s">
        <v>910</v>
      </c>
      <c r="T1210" s="167"/>
      <c r="U1210" s="334" t="s">
        <v>7271</v>
      </c>
      <c r="V1210" s="168">
        <f t="shared" si="3"/>
        <v>78152.31</v>
      </c>
      <c r="W1210" s="168">
        <f t="shared" si="4"/>
        <v>0</v>
      </c>
      <c r="X1210" s="168">
        <f t="shared" si="5"/>
        <v>0</v>
      </c>
      <c r="Y1210" s="168">
        <f t="shared" si="6"/>
        <v>0</v>
      </c>
      <c r="Z1210" s="168">
        <f t="shared" si="7"/>
        <v>0</v>
      </c>
      <c r="AA1210" s="168">
        <f t="shared" si="8"/>
        <v>0</v>
      </c>
      <c r="AB1210" s="168">
        <f t="shared" si="9"/>
        <v>0</v>
      </c>
    </row>
    <row r="1211" ht="14.25" customHeight="1">
      <c r="A1211" s="157" t="s">
        <v>8165</v>
      </c>
      <c r="B1211" s="169" t="s">
        <v>1127</v>
      </c>
      <c r="C1211" s="169" t="s">
        <v>2484</v>
      </c>
      <c r="D1211" s="336">
        <v>44231.0</v>
      </c>
      <c r="E1211" s="157" t="s">
        <v>600</v>
      </c>
      <c r="F1211" s="160">
        <v>19852.78</v>
      </c>
      <c r="G1211" s="160">
        <v>3176.44</v>
      </c>
      <c r="H1211" s="160">
        <f t="shared" si="38"/>
        <v>23029.22</v>
      </c>
      <c r="I1211" s="172"/>
      <c r="J1211" s="169"/>
      <c r="K1211" s="172"/>
      <c r="L1211" s="172">
        <f>+'FACUS$'!$H1211-'FACUS$'!$I1211-'FACUS$'!$K1211</f>
        <v>23029.22</v>
      </c>
      <c r="M1211" s="162" t="s">
        <v>580</v>
      </c>
      <c r="N1211" s="337" t="s">
        <v>554</v>
      </c>
      <c r="O1211" s="338">
        <v>44245.0</v>
      </c>
      <c r="P1211" s="164" t="str">
        <f t="array" ref="P1211">XLOOKUP('FACUS$'!$B1211,'perfil de pagos'!$A$4:$A$46,'perfil de pagos'!$C$4:$C$46+'FACUS$'!$D1211)</f>
        <v>#N/A</v>
      </c>
      <c r="Q1211" s="165">
        <f t="shared" si="2"/>
        <v>0</v>
      </c>
      <c r="R1211" s="167"/>
      <c r="S1211" s="167"/>
      <c r="T1211" s="167"/>
      <c r="U1211" s="334" t="s">
        <v>7271</v>
      </c>
      <c r="V1211" s="168">
        <f t="shared" si="3"/>
        <v>23029.22</v>
      </c>
      <c r="W1211" s="168">
        <f t="shared" si="4"/>
        <v>0</v>
      </c>
      <c r="X1211" s="168">
        <f t="shared" si="5"/>
        <v>0</v>
      </c>
      <c r="Y1211" s="168">
        <f t="shared" si="6"/>
        <v>0</v>
      </c>
      <c r="Z1211" s="168">
        <f t="shared" si="7"/>
        <v>0</v>
      </c>
      <c r="AA1211" s="168">
        <f t="shared" si="8"/>
        <v>0</v>
      </c>
      <c r="AB1211" s="168">
        <f t="shared" si="9"/>
        <v>0</v>
      </c>
    </row>
    <row r="1212" ht="14.25" customHeight="1">
      <c r="A1212" s="157" t="s">
        <v>8166</v>
      </c>
      <c r="B1212" s="169" t="s">
        <v>36</v>
      </c>
      <c r="C1212" s="169" t="s">
        <v>2484</v>
      </c>
      <c r="D1212" s="336">
        <v>44231.0</v>
      </c>
      <c r="E1212" s="157" t="s">
        <v>600</v>
      </c>
      <c r="F1212" s="160">
        <v>2019.63</v>
      </c>
      <c r="G1212" s="160">
        <v>323.14</v>
      </c>
      <c r="H1212" s="160">
        <f t="shared" si="38"/>
        <v>2342.77</v>
      </c>
      <c r="I1212" s="172"/>
      <c r="J1212" s="169"/>
      <c r="K1212" s="172"/>
      <c r="L1212" s="172">
        <f>+'FACUS$'!$H1212-'FACUS$'!$I1212-'FACUS$'!$K1212</f>
        <v>2342.77</v>
      </c>
      <c r="M1212" s="162" t="s">
        <v>278</v>
      </c>
      <c r="N1212" s="337" t="s">
        <v>554</v>
      </c>
      <c r="O1212" s="338">
        <v>44305.0</v>
      </c>
      <c r="P1212" s="164">
        <f t="array" ref="P1212">XLOOKUP('FACUS$'!$B1212,'perfil de pagos'!$A$4:$A$46,'perfil de pagos'!$C$4:$C$46+'FACUS$'!$D1212)</f>
        <v>44241</v>
      </c>
      <c r="Q1212" s="165">
        <f t="shared" si="2"/>
        <v>0</v>
      </c>
      <c r="R1212" s="167" t="s">
        <v>8167</v>
      </c>
      <c r="S1212" s="167"/>
      <c r="T1212" s="167"/>
      <c r="U1212" s="334" t="s">
        <v>7271</v>
      </c>
      <c r="V1212" s="168">
        <f t="shared" si="3"/>
        <v>2342.77</v>
      </c>
      <c r="W1212" s="168">
        <f t="shared" si="4"/>
        <v>0</v>
      </c>
      <c r="X1212" s="168">
        <f t="shared" si="5"/>
        <v>0</v>
      </c>
      <c r="Y1212" s="168">
        <f t="shared" si="6"/>
        <v>0</v>
      </c>
      <c r="Z1212" s="168">
        <f t="shared" si="7"/>
        <v>0</v>
      </c>
      <c r="AA1212" s="168">
        <f t="shared" si="8"/>
        <v>0</v>
      </c>
      <c r="AB1212" s="168">
        <f t="shared" si="9"/>
        <v>0</v>
      </c>
    </row>
    <row r="1213" ht="14.25" customHeight="1">
      <c r="A1213" s="157" t="s">
        <v>8168</v>
      </c>
      <c r="B1213" s="169" t="s">
        <v>35</v>
      </c>
      <c r="C1213" s="169" t="s">
        <v>2484</v>
      </c>
      <c r="D1213" s="336">
        <v>44231.0</v>
      </c>
      <c r="E1213" s="157" t="s">
        <v>600</v>
      </c>
      <c r="F1213" s="160">
        <v>21447.67</v>
      </c>
      <c r="G1213" s="160">
        <v>3431.63</v>
      </c>
      <c r="H1213" s="160">
        <f t="shared" si="38"/>
        <v>24879.3</v>
      </c>
      <c r="I1213" s="172"/>
      <c r="J1213" s="169"/>
      <c r="K1213" s="172"/>
      <c r="L1213" s="172">
        <f>+'FACUS$'!$H1213-'FACUS$'!$I1213-'FACUS$'!$K1213</f>
        <v>24879.3</v>
      </c>
      <c r="M1213" s="162" t="s">
        <v>276</v>
      </c>
      <c r="N1213" s="337" t="s">
        <v>554</v>
      </c>
      <c r="O1213" s="338">
        <v>44245.0</v>
      </c>
      <c r="P1213" s="164">
        <f t="array" ref="P1213">XLOOKUP('FACUS$'!$B1213,'perfil de pagos'!$A$4:$A$46,'perfil de pagos'!$C$4:$C$46+'FACUS$'!$D1213)</f>
        <v>44241</v>
      </c>
      <c r="Q1213" s="165">
        <f t="shared" si="2"/>
        <v>0</v>
      </c>
      <c r="R1213" s="167"/>
      <c r="S1213" s="167" t="s">
        <v>910</v>
      </c>
      <c r="T1213" s="167"/>
      <c r="U1213" s="334" t="s">
        <v>7271</v>
      </c>
      <c r="V1213" s="168">
        <f t="shared" si="3"/>
        <v>24879.3</v>
      </c>
      <c r="W1213" s="168">
        <f t="shared" si="4"/>
        <v>0</v>
      </c>
      <c r="X1213" s="168">
        <f t="shared" si="5"/>
        <v>0</v>
      </c>
      <c r="Y1213" s="168">
        <f t="shared" si="6"/>
        <v>0</v>
      </c>
      <c r="Z1213" s="168">
        <f t="shared" si="7"/>
        <v>0</v>
      </c>
      <c r="AA1213" s="168">
        <f t="shared" si="8"/>
        <v>0</v>
      </c>
      <c r="AB1213" s="168">
        <f t="shared" si="9"/>
        <v>0</v>
      </c>
    </row>
    <row r="1214" ht="14.25" customHeight="1">
      <c r="A1214" s="157" t="s">
        <v>8169</v>
      </c>
      <c r="B1214" s="169" t="s">
        <v>33</v>
      </c>
      <c r="C1214" s="169" t="s">
        <v>2484</v>
      </c>
      <c r="D1214" s="336">
        <v>44231.0</v>
      </c>
      <c r="E1214" s="157" t="s">
        <v>600</v>
      </c>
      <c r="F1214" s="160">
        <v>55947.63</v>
      </c>
      <c r="G1214" s="160">
        <v>8951.62</v>
      </c>
      <c r="H1214" s="160">
        <f t="shared" si="38"/>
        <v>64899.25</v>
      </c>
      <c r="I1214" s="172"/>
      <c r="J1214" s="169"/>
      <c r="K1214" s="172"/>
      <c r="L1214" s="172">
        <f>+'FACUS$'!$H1214-'FACUS$'!$I1214-'FACUS$'!$K1214</f>
        <v>64899.25</v>
      </c>
      <c r="M1214" s="162" t="s">
        <v>958</v>
      </c>
      <c r="N1214" s="337" t="s">
        <v>554</v>
      </c>
      <c r="O1214" s="338">
        <v>44239.0</v>
      </c>
      <c r="P1214" s="164">
        <f t="array" ref="P1214">XLOOKUP('FACUS$'!$B1214,'perfil de pagos'!$A$4:$A$46,'perfil de pagos'!$C$4:$C$46+'FACUS$'!$D1214)</f>
        <v>44241</v>
      </c>
      <c r="Q1214" s="165">
        <f t="shared" si="2"/>
        <v>0</v>
      </c>
      <c r="R1214" s="167"/>
      <c r="S1214" s="167"/>
      <c r="T1214" s="167"/>
      <c r="U1214" s="334" t="s">
        <v>7271</v>
      </c>
      <c r="V1214" s="168">
        <f t="shared" si="3"/>
        <v>64899.25</v>
      </c>
      <c r="W1214" s="168">
        <f t="shared" si="4"/>
        <v>0</v>
      </c>
      <c r="X1214" s="168">
        <f t="shared" si="5"/>
        <v>0</v>
      </c>
      <c r="Y1214" s="168">
        <f t="shared" si="6"/>
        <v>0</v>
      </c>
      <c r="Z1214" s="168">
        <f t="shared" si="7"/>
        <v>0</v>
      </c>
      <c r="AA1214" s="168">
        <f t="shared" si="8"/>
        <v>0</v>
      </c>
      <c r="AB1214" s="168">
        <f t="shared" si="9"/>
        <v>0</v>
      </c>
    </row>
    <row r="1215" ht="14.25" customHeight="1">
      <c r="A1215" s="157" t="s">
        <v>8170</v>
      </c>
      <c r="B1215" s="169" t="s">
        <v>41</v>
      </c>
      <c r="C1215" s="169" t="s">
        <v>2484</v>
      </c>
      <c r="D1215" s="336">
        <v>44231.0</v>
      </c>
      <c r="E1215" s="157" t="s">
        <v>600</v>
      </c>
      <c r="F1215" s="160">
        <v>80862.21</v>
      </c>
      <c r="G1215" s="160">
        <v>12937.95</v>
      </c>
      <c r="H1215" s="160">
        <f t="shared" si="38"/>
        <v>93800.16</v>
      </c>
      <c r="I1215" s="172"/>
      <c r="J1215" s="169"/>
      <c r="K1215" s="172"/>
      <c r="L1215" s="172">
        <f>+'FACUS$'!$H1215-'FACUS$'!$I1215-'FACUS$'!$K1215</f>
        <v>93800.16</v>
      </c>
      <c r="M1215" s="162" t="s">
        <v>875</v>
      </c>
      <c r="N1215" s="337" t="s">
        <v>127</v>
      </c>
      <c r="O1215" s="338"/>
      <c r="P1215" s="164">
        <f t="array" ref="P1215">XLOOKUP('FACUS$'!$B1215,'perfil de pagos'!$A$4:$A$46,'perfil de pagos'!$C$4:$C$46+'FACUS$'!$D1215)</f>
        <v>44241</v>
      </c>
      <c r="Q1215" s="165" t="str">
        <f t="shared" si="2"/>
        <v>N/A</v>
      </c>
      <c r="R1215" s="167"/>
      <c r="S1215" s="167"/>
      <c r="T1215" s="167"/>
      <c r="U1215" s="334" t="s">
        <v>7271</v>
      </c>
      <c r="V1215" s="168">
        <f t="shared" si="3"/>
        <v>0</v>
      </c>
      <c r="W1215" s="168">
        <f t="shared" si="4"/>
        <v>0</v>
      </c>
      <c r="X1215" s="168">
        <f t="shared" si="5"/>
        <v>0</v>
      </c>
      <c r="Y1215" s="168">
        <f t="shared" si="6"/>
        <v>0</v>
      </c>
      <c r="Z1215" s="168">
        <f t="shared" si="7"/>
        <v>0</v>
      </c>
      <c r="AA1215" s="168">
        <f t="shared" si="8"/>
        <v>0</v>
      </c>
      <c r="AB1215" s="168">
        <f t="shared" si="9"/>
        <v>93800.16</v>
      </c>
    </row>
    <row r="1216" ht="14.25" customHeight="1">
      <c r="A1216" s="157" t="s">
        <v>8171</v>
      </c>
      <c r="B1216" s="169" t="s">
        <v>18</v>
      </c>
      <c r="C1216" s="169" t="s">
        <v>2484</v>
      </c>
      <c r="D1216" s="336">
        <v>44232.0</v>
      </c>
      <c r="E1216" s="157" t="s">
        <v>600</v>
      </c>
      <c r="F1216" s="160">
        <v>10094.14</v>
      </c>
      <c r="G1216" s="160">
        <v>1615.06</v>
      </c>
      <c r="H1216" s="160">
        <f t="shared" si="38"/>
        <v>11709.2</v>
      </c>
      <c r="I1216" s="172"/>
      <c r="J1216" s="169"/>
      <c r="K1216" s="172"/>
      <c r="L1216" s="172">
        <f>+'FACUS$'!$H1216-'FACUS$'!$I1216-'FACUS$'!$K1216</f>
        <v>11709.2</v>
      </c>
      <c r="M1216" s="162" t="s">
        <v>586</v>
      </c>
      <c r="N1216" s="337" t="s">
        <v>554</v>
      </c>
      <c r="O1216" s="338">
        <v>44271.0</v>
      </c>
      <c r="P1216" s="164">
        <f t="array" ref="P1216">XLOOKUP('FACUS$'!$B1216,'perfil de pagos'!$A$4:$A$46,'perfil de pagos'!$C$4:$C$46+'FACUS$'!$D1216)</f>
        <v>44242</v>
      </c>
      <c r="Q1216" s="165">
        <f t="shared" si="2"/>
        <v>0</v>
      </c>
      <c r="R1216" s="167"/>
      <c r="S1216" s="167"/>
      <c r="T1216" s="167"/>
      <c r="U1216" s="334" t="s">
        <v>7271</v>
      </c>
      <c r="V1216" s="168">
        <f t="shared" si="3"/>
        <v>11709.2</v>
      </c>
      <c r="W1216" s="168">
        <f t="shared" si="4"/>
        <v>0</v>
      </c>
      <c r="X1216" s="168">
        <f t="shared" si="5"/>
        <v>0</v>
      </c>
      <c r="Y1216" s="168">
        <f t="shared" si="6"/>
        <v>0</v>
      </c>
      <c r="Z1216" s="168">
        <f t="shared" si="7"/>
        <v>0</v>
      </c>
      <c r="AA1216" s="168">
        <f t="shared" si="8"/>
        <v>0</v>
      </c>
      <c r="AB1216" s="168">
        <f t="shared" si="9"/>
        <v>0</v>
      </c>
    </row>
    <row r="1217" ht="14.25" customHeight="1">
      <c r="A1217" s="157" t="s">
        <v>8172</v>
      </c>
      <c r="B1217" s="169" t="s">
        <v>20</v>
      </c>
      <c r="C1217" s="169" t="s">
        <v>2484</v>
      </c>
      <c r="D1217" s="336">
        <v>44232.0</v>
      </c>
      <c r="E1217" s="157" t="s">
        <v>600</v>
      </c>
      <c r="F1217" s="160">
        <v>13349.72</v>
      </c>
      <c r="G1217" s="160">
        <v>2135.96</v>
      </c>
      <c r="H1217" s="160">
        <f t="shared" si="38"/>
        <v>15485.68</v>
      </c>
      <c r="I1217" s="172"/>
      <c r="J1217" s="169"/>
      <c r="K1217" s="172"/>
      <c r="L1217" s="172">
        <f>+'FACUS$'!$H1217-'FACUS$'!$I1217-'FACUS$'!$K1217</f>
        <v>15485.68</v>
      </c>
      <c r="M1217" s="162" t="s">
        <v>732</v>
      </c>
      <c r="N1217" s="337" t="s">
        <v>554</v>
      </c>
      <c r="O1217" s="338">
        <v>44271.0</v>
      </c>
      <c r="P1217" s="164">
        <f t="array" ref="P1217">XLOOKUP('FACUS$'!$B1217,'perfil de pagos'!$A$4:$A$46,'perfil de pagos'!$C$4:$C$46+'FACUS$'!$D1217)</f>
        <v>44242</v>
      </c>
      <c r="Q1217" s="165">
        <f t="shared" si="2"/>
        <v>0</v>
      </c>
      <c r="R1217" s="167"/>
      <c r="S1217" s="167"/>
      <c r="T1217" s="167"/>
      <c r="U1217" s="334" t="s">
        <v>7271</v>
      </c>
      <c r="V1217" s="168">
        <f t="shared" si="3"/>
        <v>15485.68</v>
      </c>
      <c r="W1217" s="168">
        <f t="shared" si="4"/>
        <v>0</v>
      </c>
      <c r="X1217" s="168">
        <f t="shared" si="5"/>
        <v>0</v>
      </c>
      <c r="Y1217" s="168">
        <f t="shared" si="6"/>
        <v>0</v>
      </c>
      <c r="Z1217" s="168">
        <f t="shared" si="7"/>
        <v>0</v>
      </c>
      <c r="AA1217" s="168">
        <f t="shared" si="8"/>
        <v>0</v>
      </c>
      <c r="AB1217" s="168">
        <f t="shared" si="9"/>
        <v>0</v>
      </c>
    </row>
    <row r="1218" ht="14.25" customHeight="1">
      <c r="A1218" s="157" t="s">
        <v>8173</v>
      </c>
      <c r="B1218" s="169" t="s">
        <v>26</v>
      </c>
      <c r="C1218" s="169" t="s">
        <v>2484</v>
      </c>
      <c r="D1218" s="336">
        <v>44232.0</v>
      </c>
      <c r="E1218" s="157" t="s">
        <v>600</v>
      </c>
      <c r="F1218" s="160">
        <v>2091.38</v>
      </c>
      <c r="G1218" s="160">
        <v>334.62</v>
      </c>
      <c r="H1218" s="160">
        <f t="shared" si="38"/>
        <v>2426</v>
      </c>
      <c r="I1218" s="172"/>
      <c r="J1218" s="169"/>
      <c r="K1218" s="172"/>
      <c r="L1218" s="172">
        <f>+'FACUS$'!$H1218-'FACUS$'!$I1218-'FACUS$'!$K1218</f>
        <v>2426</v>
      </c>
      <c r="M1218" s="162" t="s">
        <v>2386</v>
      </c>
      <c r="N1218" s="337" t="s">
        <v>554</v>
      </c>
      <c r="O1218" s="338">
        <v>44279.0</v>
      </c>
      <c r="P1218" s="164">
        <f t="array" ref="P1218">XLOOKUP('FACUS$'!$B1218,'perfil de pagos'!$A$4:$A$46,'perfil de pagos'!$C$4:$C$46+'FACUS$'!$D1218)</f>
        <v>44262</v>
      </c>
      <c r="Q1218" s="165">
        <f t="shared" si="2"/>
        <v>0</v>
      </c>
      <c r="R1218" s="167" t="s">
        <v>8174</v>
      </c>
      <c r="S1218" s="167"/>
      <c r="T1218" s="167"/>
      <c r="U1218" s="334" t="s">
        <v>7271</v>
      </c>
      <c r="V1218" s="168">
        <f t="shared" si="3"/>
        <v>2426</v>
      </c>
      <c r="W1218" s="168">
        <f t="shared" si="4"/>
        <v>0</v>
      </c>
      <c r="X1218" s="168">
        <f t="shared" si="5"/>
        <v>0</v>
      </c>
      <c r="Y1218" s="168">
        <f t="shared" si="6"/>
        <v>0</v>
      </c>
      <c r="Z1218" s="168">
        <f t="shared" si="7"/>
        <v>0</v>
      </c>
      <c r="AA1218" s="168">
        <f t="shared" si="8"/>
        <v>0</v>
      </c>
      <c r="AB1218" s="168">
        <f t="shared" si="9"/>
        <v>0</v>
      </c>
    </row>
    <row r="1219" ht="14.25" customHeight="1">
      <c r="A1219" s="157" t="s">
        <v>8175</v>
      </c>
      <c r="B1219" s="169" t="s">
        <v>37</v>
      </c>
      <c r="C1219" s="169" t="s">
        <v>2484</v>
      </c>
      <c r="D1219" s="336">
        <v>44232.0</v>
      </c>
      <c r="E1219" s="157" t="s">
        <v>600</v>
      </c>
      <c r="F1219" s="160">
        <v>85321.37</v>
      </c>
      <c r="G1219" s="160">
        <v>13651.42</v>
      </c>
      <c r="H1219" s="160">
        <f t="shared" si="38"/>
        <v>98972.79</v>
      </c>
      <c r="I1219" s="172"/>
      <c r="J1219" s="169"/>
      <c r="K1219" s="172"/>
      <c r="L1219" s="172">
        <f>+'FACUS$'!$H1219-'FACUS$'!$I1219-'FACUS$'!$K1219</f>
        <v>98972.79</v>
      </c>
      <c r="M1219" s="162" t="s">
        <v>116</v>
      </c>
      <c r="N1219" s="337" t="s">
        <v>554</v>
      </c>
      <c r="O1219" s="338">
        <v>44263.0</v>
      </c>
      <c r="P1219" s="164">
        <f t="array" ref="P1219">XLOOKUP('FACUS$'!$B1219,'perfil de pagos'!$A$4:$A$46,'perfil de pagos'!$C$4:$C$46+'FACUS$'!$D1219)</f>
        <v>44242</v>
      </c>
      <c r="Q1219" s="165">
        <f t="shared" si="2"/>
        <v>0</v>
      </c>
      <c r="R1219" s="220" t="s">
        <v>8176</v>
      </c>
      <c r="S1219" s="167"/>
      <c r="T1219" s="167"/>
      <c r="U1219" s="334" t="s">
        <v>7271</v>
      </c>
      <c r="V1219" s="168">
        <f t="shared" si="3"/>
        <v>98972.79</v>
      </c>
      <c r="W1219" s="168">
        <f t="shared" si="4"/>
        <v>0</v>
      </c>
      <c r="X1219" s="168">
        <f t="shared" si="5"/>
        <v>0</v>
      </c>
      <c r="Y1219" s="168">
        <f t="shared" si="6"/>
        <v>0</v>
      </c>
      <c r="Z1219" s="168">
        <f t="shared" si="7"/>
        <v>0</v>
      </c>
      <c r="AA1219" s="168">
        <f t="shared" si="8"/>
        <v>0</v>
      </c>
      <c r="AB1219" s="168">
        <f t="shared" si="9"/>
        <v>0</v>
      </c>
    </row>
    <row r="1220" ht="14.25" customHeight="1">
      <c r="A1220" s="157" t="s">
        <v>8177</v>
      </c>
      <c r="B1220" s="169" t="s">
        <v>38</v>
      </c>
      <c r="C1220" s="169" t="s">
        <v>2484</v>
      </c>
      <c r="D1220" s="336">
        <v>44232.0</v>
      </c>
      <c r="E1220" s="157" t="s">
        <v>600</v>
      </c>
      <c r="F1220" s="160">
        <v>9263.85</v>
      </c>
      <c r="G1220" s="160">
        <v>1482.22</v>
      </c>
      <c r="H1220" s="160">
        <f t="shared" si="38"/>
        <v>10746.07</v>
      </c>
      <c r="I1220" s="172"/>
      <c r="J1220" s="169"/>
      <c r="K1220" s="172"/>
      <c r="L1220" s="172">
        <f>+'FACUS$'!$H1220-'FACUS$'!$I1220-'FACUS$'!$K1220</f>
        <v>10746.07</v>
      </c>
      <c r="M1220" s="162" t="s">
        <v>145</v>
      </c>
      <c r="N1220" s="337" t="s">
        <v>554</v>
      </c>
      <c r="O1220" s="338">
        <v>44298.0</v>
      </c>
      <c r="P1220" s="164">
        <f t="array" ref="P1220">XLOOKUP('FACUS$'!$B1220,'perfil de pagos'!$A$4:$A$46,'perfil de pagos'!$C$4:$C$46+'FACUS$'!$D1220)</f>
        <v>44262</v>
      </c>
      <c r="Q1220" s="165">
        <f t="shared" si="2"/>
        <v>0</v>
      </c>
      <c r="R1220" s="167" t="s">
        <v>8178</v>
      </c>
      <c r="S1220" s="167"/>
      <c r="T1220" s="167"/>
      <c r="U1220" s="334" t="s">
        <v>7271</v>
      </c>
      <c r="V1220" s="168">
        <f t="shared" si="3"/>
        <v>10746.07</v>
      </c>
      <c r="W1220" s="168">
        <f t="shared" si="4"/>
        <v>0</v>
      </c>
      <c r="X1220" s="168">
        <f t="shared" si="5"/>
        <v>0</v>
      </c>
      <c r="Y1220" s="168">
        <f t="shared" si="6"/>
        <v>0</v>
      </c>
      <c r="Z1220" s="168">
        <f t="shared" si="7"/>
        <v>0</v>
      </c>
      <c r="AA1220" s="168">
        <f t="shared" si="8"/>
        <v>0</v>
      </c>
      <c r="AB1220" s="168">
        <f t="shared" si="9"/>
        <v>0</v>
      </c>
    </row>
    <row r="1221" ht="14.25" customHeight="1">
      <c r="A1221" s="157" t="s">
        <v>8179</v>
      </c>
      <c r="B1221" s="169" t="s">
        <v>41</v>
      </c>
      <c r="C1221" s="169" t="s">
        <v>2484</v>
      </c>
      <c r="D1221" s="336">
        <v>44232.0</v>
      </c>
      <c r="E1221" s="157" t="s">
        <v>600</v>
      </c>
      <c r="F1221" s="160">
        <v>78889.96</v>
      </c>
      <c r="G1221" s="160">
        <v>12622.39</v>
      </c>
      <c r="H1221" s="160">
        <f>F1221+G1221-60000</f>
        <v>31512.35</v>
      </c>
      <c r="I1221" s="172"/>
      <c r="J1221" s="169"/>
      <c r="K1221" s="172"/>
      <c r="L1221" s="172">
        <f>+'FACUS$'!$H1221-'FACUS$'!$I1221-'FACUS$'!$K1221</f>
        <v>31512.35</v>
      </c>
      <c r="M1221" s="162" t="s">
        <v>875</v>
      </c>
      <c r="N1221" s="337" t="s">
        <v>554</v>
      </c>
      <c r="O1221" s="338">
        <v>44475.0</v>
      </c>
      <c r="P1221" s="164">
        <f t="array" ref="P1221">XLOOKUP('FACUS$'!$B1221,'perfil de pagos'!$A$4:$A$46,'perfil de pagos'!$C$4:$C$46+'FACUS$'!$D1221)</f>
        <v>44242</v>
      </c>
      <c r="Q1221" s="165">
        <f t="shared" si="2"/>
        <v>0</v>
      </c>
      <c r="R1221" s="220" t="s">
        <v>8180</v>
      </c>
      <c r="S1221" s="167"/>
      <c r="T1221" s="167"/>
      <c r="U1221" s="334" t="s">
        <v>7271</v>
      </c>
      <c r="V1221" s="168">
        <f t="shared" si="3"/>
        <v>31512.35</v>
      </c>
      <c r="W1221" s="168">
        <f t="shared" si="4"/>
        <v>0</v>
      </c>
      <c r="X1221" s="168">
        <f t="shared" si="5"/>
        <v>0</v>
      </c>
      <c r="Y1221" s="168">
        <f t="shared" si="6"/>
        <v>0</v>
      </c>
      <c r="Z1221" s="168">
        <f t="shared" si="7"/>
        <v>0</v>
      </c>
      <c r="AA1221" s="168">
        <f t="shared" si="8"/>
        <v>0</v>
      </c>
      <c r="AB1221" s="168">
        <f t="shared" si="9"/>
        <v>0</v>
      </c>
    </row>
    <row r="1222" ht="14.25" customHeight="1">
      <c r="A1222" s="157" t="s">
        <v>8181</v>
      </c>
      <c r="B1222" s="169" t="s">
        <v>36</v>
      </c>
      <c r="C1222" s="169" t="s">
        <v>8182</v>
      </c>
      <c r="D1222" s="336">
        <v>44244.0</v>
      </c>
      <c r="E1222" s="157" t="s">
        <v>600</v>
      </c>
      <c r="F1222" s="160">
        <v>1226.5</v>
      </c>
      <c r="G1222" s="160">
        <v>166.8</v>
      </c>
      <c r="H1222" s="160">
        <f t="shared" ref="H1222:H1237" si="39">F1222+G1222</f>
        <v>1393.3</v>
      </c>
      <c r="I1222" s="172"/>
      <c r="J1222" s="169"/>
      <c r="K1222" s="172"/>
      <c r="L1222" s="172">
        <f>+'FACUS$'!$H1222-'FACUS$'!$I1222-'FACUS$'!$K1222</f>
        <v>1393.3</v>
      </c>
      <c r="M1222" s="162" t="s">
        <v>278</v>
      </c>
      <c r="N1222" s="337" t="s">
        <v>554</v>
      </c>
      <c r="O1222" s="338">
        <v>44386.0</v>
      </c>
      <c r="P1222" s="164">
        <f t="array" ref="P1222">XLOOKUP('FACUS$'!$B1222,'perfil de pagos'!$A$4:$A$46,'perfil de pagos'!$C$4:$C$46+'FACUS$'!$D1222)</f>
        <v>44254</v>
      </c>
      <c r="Q1222" s="165">
        <f t="shared" si="2"/>
        <v>0</v>
      </c>
      <c r="R1222" s="167" t="s">
        <v>8183</v>
      </c>
      <c r="S1222" s="167"/>
      <c r="T1222" s="167"/>
      <c r="U1222" s="334" t="s">
        <v>7271</v>
      </c>
      <c r="V1222" s="168">
        <f t="shared" si="3"/>
        <v>1393.3</v>
      </c>
      <c r="W1222" s="168">
        <f t="shared" si="4"/>
        <v>0</v>
      </c>
      <c r="X1222" s="168">
        <f t="shared" si="5"/>
        <v>0</v>
      </c>
      <c r="Y1222" s="168">
        <f t="shared" si="6"/>
        <v>0</v>
      </c>
      <c r="Z1222" s="168">
        <f t="shared" si="7"/>
        <v>0</v>
      </c>
      <c r="AA1222" s="168">
        <f t="shared" si="8"/>
        <v>0</v>
      </c>
      <c r="AB1222" s="168">
        <f t="shared" si="9"/>
        <v>0</v>
      </c>
    </row>
    <row r="1223" ht="14.25" customHeight="1">
      <c r="A1223" s="157" t="s">
        <v>8184</v>
      </c>
      <c r="B1223" s="169" t="s">
        <v>1127</v>
      </c>
      <c r="C1223" s="368" t="s">
        <v>8185</v>
      </c>
      <c r="D1223" s="336">
        <v>44244.0</v>
      </c>
      <c r="E1223" s="157" t="s">
        <v>600</v>
      </c>
      <c r="F1223" s="160">
        <v>20861.58</v>
      </c>
      <c r="G1223" s="160">
        <v>3337.85</v>
      </c>
      <c r="H1223" s="160">
        <f t="shared" si="39"/>
        <v>24199.43</v>
      </c>
      <c r="I1223" s="172"/>
      <c r="J1223" s="169"/>
      <c r="K1223" s="172"/>
      <c r="L1223" s="172">
        <f>+'FACUS$'!$H1223-'FACUS$'!$I1223-'FACUS$'!$K1223</f>
        <v>24199.43</v>
      </c>
      <c r="M1223" s="162" t="s">
        <v>580</v>
      </c>
      <c r="N1223" s="337" t="s">
        <v>554</v>
      </c>
      <c r="O1223" s="338">
        <v>44259.0</v>
      </c>
      <c r="P1223" s="164" t="str">
        <f t="array" ref="P1223">XLOOKUP('FACUS$'!$B1223,'perfil de pagos'!$A$4:$A$46,'perfil de pagos'!$C$4:$C$46+'FACUS$'!$D1223)</f>
        <v>#N/A</v>
      </c>
      <c r="Q1223" s="165">
        <f t="shared" si="2"/>
        <v>0</v>
      </c>
      <c r="R1223" s="167"/>
      <c r="S1223" s="167"/>
      <c r="T1223" s="167"/>
      <c r="U1223" s="334" t="s">
        <v>7271</v>
      </c>
      <c r="V1223" s="168">
        <f t="shared" si="3"/>
        <v>24199.43</v>
      </c>
      <c r="W1223" s="168">
        <f t="shared" si="4"/>
        <v>0</v>
      </c>
      <c r="X1223" s="168">
        <f t="shared" si="5"/>
        <v>0</v>
      </c>
      <c r="Y1223" s="168">
        <f t="shared" si="6"/>
        <v>0</v>
      </c>
      <c r="Z1223" s="168">
        <f t="shared" si="7"/>
        <v>0</v>
      </c>
      <c r="AA1223" s="168">
        <f t="shared" si="8"/>
        <v>0</v>
      </c>
      <c r="AB1223" s="168">
        <f t="shared" si="9"/>
        <v>0</v>
      </c>
    </row>
    <row r="1224" ht="14.25" customHeight="1">
      <c r="A1224" s="157" t="s">
        <v>8186</v>
      </c>
      <c r="B1224" s="169" t="s">
        <v>18</v>
      </c>
      <c r="C1224" s="169" t="s">
        <v>2630</v>
      </c>
      <c r="D1224" s="336">
        <v>44253.0</v>
      </c>
      <c r="E1224" s="157" t="s">
        <v>600</v>
      </c>
      <c r="F1224" s="160">
        <v>6215.32</v>
      </c>
      <c r="G1224" s="160">
        <v>994.45</v>
      </c>
      <c r="H1224" s="160">
        <f t="shared" si="39"/>
        <v>7209.77</v>
      </c>
      <c r="I1224" s="172"/>
      <c r="J1224" s="169"/>
      <c r="K1224" s="172"/>
      <c r="L1224" s="172">
        <f>+'FACUS$'!$H1224-'FACUS$'!$I1224-'FACUS$'!$K1224</f>
        <v>7209.77</v>
      </c>
      <c r="M1224" s="162" t="s">
        <v>586</v>
      </c>
      <c r="N1224" s="337" t="s">
        <v>554</v>
      </c>
      <c r="O1224" s="338">
        <v>44271.0</v>
      </c>
      <c r="P1224" s="164">
        <f t="array" ref="P1224">XLOOKUP('FACUS$'!$B1224,'perfil de pagos'!$A$4:$A$46,'perfil de pagos'!$C$4:$C$46+'FACUS$'!$D1224)</f>
        <v>44263</v>
      </c>
      <c r="Q1224" s="165">
        <f t="shared" si="2"/>
        <v>0</v>
      </c>
      <c r="R1224" s="167"/>
      <c r="S1224" s="167"/>
      <c r="T1224" s="167"/>
      <c r="U1224" s="334" t="s">
        <v>7271</v>
      </c>
      <c r="V1224" s="168">
        <f t="shared" si="3"/>
        <v>7209.77</v>
      </c>
      <c r="W1224" s="168">
        <f t="shared" si="4"/>
        <v>0</v>
      </c>
      <c r="X1224" s="168">
        <f t="shared" si="5"/>
        <v>0</v>
      </c>
      <c r="Y1224" s="168">
        <f t="shared" si="6"/>
        <v>0</v>
      </c>
      <c r="Z1224" s="168">
        <f t="shared" si="7"/>
        <v>0</v>
      </c>
      <c r="AA1224" s="168">
        <f t="shared" si="8"/>
        <v>0</v>
      </c>
      <c r="AB1224" s="168">
        <f t="shared" si="9"/>
        <v>0</v>
      </c>
    </row>
    <row r="1225" ht="14.25" customHeight="1">
      <c r="A1225" s="157" t="s">
        <v>8187</v>
      </c>
      <c r="B1225" s="169" t="s">
        <v>20</v>
      </c>
      <c r="C1225" s="169" t="s">
        <v>2630</v>
      </c>
      <c r="D1225" s="336">
        <v>44253.0</v>
      </c>
      <c r="E1225" s="157" t="s">
        <v>600</v>
      </c>
      <c r="F1225" s="160">
        <v>10637.26</v>
      </c>
      <c r="G1225" s="160">
        <v>1701.96</v>
      </c>
      <c r="H1225" s="160">
        <f t="shared" si="39"/>
        <v>12339.22</v>
      </c>
      <c r="I1225" s="172"/>
      <c r="J1225" s="169"/>
      <c r="K1225" s="172"/>
      <c r="L1225" s="172">
        <f>+'FACUS$'!$H1225-'FACUS$'!$I1225-'FACUS$'!$K1225</f>
        <v>12339.22</v>
      </c>
      <c r="M1225" s="162" t="s">
        <v>732</v>
      </c>
      <c r="N1225" s="337" t="s">
        <v>554</v>
      </c>
      <c r="O1225" s="338">
        <v>44271.0</v>
      </c>
      <c r="P1225" s="164">
        <f t="array" ref="P1225">XLOOKUP('FACUS$'!$B1225,'perfil de pagos'!$A$4:$A$46,'perfil de pagos'!$C$4:$C$46+'FACUS$'!$D1225)</f>
        <v>44263</v>
      </c>
      <c r="Q1225" s="165">
        <f t="shared" si="2"/>
        <v>0</v>
      </c>
      <c r="R1225" s="167"/>
      <c r="S1225" s="167"/>
      <c r="T1225" s="167"/>
      <c r="U1225" s="334" t="s">
        <v>7271</v>
      </c>
      <c r="V1225" s="168">
        <f t="shared" si="3"/>
        <v>12339.22</v>
      </c>
      <c r="W1225" s="168">
        <f t="shared" si="4"/>
        <v>0</v>
      </c>
      <c r="X1225" s="168">
        <f t="shared" si="5"/>
        <v>0</v>
      </c>
      <c r="Y1225" s="168">
        <f t="shared" si="6"/>
        <v>0</v>
      </c>
      <c r="Z1225" s="168">
        <f t="shared" si="7"/>
        <v>0</v>
      </c>
      <c r="AA1225" s="168">
        <f t="shared" si="8"/>
        <v>0</v>
      </c>
      <c r="AB1225" s="168">
        <f t="shared" si="9"/>
        <v>0</v>
      </c>
    </row>
    <row r="1226" ht="14.25" customHeight="1">
      <c r="A1226" s="157" t="s">
        <v>8188</v>
      </c>
      <c r="B1226" s="169" t="s">
        <v>26</v>
      </c>
      <c r="C1226" s="169" t="s">
        <v>2630</v>
      </c>
      <c r="D1226" s="336">
        <v>44253.0</v>
      </c>
      <c r="E1226" s="157" t="s">
        <v>600</v>
      </c>
      <c r="F1226" s="160">
        <v>2280.88</v>
      </c>
      <c r="G1226" s="160">
        <v>364.94</v>
      </c>
      <c r="H1226" s="160">
        <f t="shared" si="39"/>
        <v>2645.82</v>
      </c>
      <c r="I1226" s="172"/>
      <c r="J1226" s="169"/>
      <c r="K1226" s="172"/>
      <c r="L1226" s="172">
        <f>+'FACUS$'!$H1226-'FACUS$'!$I1226-'FACUS$'!$K1226</f>
        <v>2645.82</v>
      </c>
      <c r="M1226" s="162" t="s">
        <v>2386</v>
      </c>
      <c r="N1226" s="337" t="s">
        <v>554</v>
      </c>
      <c r="O1226" s="338">
        <v>44292.0</v>
      </c>
      <c r="P1226" s="164">
        <f t="array" ref="P1226">XLOOKUP('FACUS$'!$B1226,'perfil de pagos'!$A$4:$A$46,'perfil de pagos'!$C$4:$C$46+'FACUS$'!$D1226)</f>
        <v>44283</v>
      </c>
      <c r="Q1226" s="165">
        <f t="shared" si="2"/>
        <v>0</v>
      </c>
      <c r="R1226" s="167" t="s">
        <v>8189</v>
      </c>
      <c r="S1226" s="167"/>
      <c r="T1226" s="167"/>
      <c r="U1226" s="334" t="s">
        <v>7271</v>
      </c>
      <c r="V1226" s="168">
        <f t="shared" si="3"/>
        <v>2645.82</v>
      </c>
      <c r="W1226" s="168">
        <f t="shared" si="4"/>
        <v>0</v>
      </c>
      <c r="X1226" s="168">
        <f t="shared" si="5"/>
        <v>0</v>
      </c>
      <c r="Y1226" s="168">
        <f t="shared" si="6"/>
        <v>0</v>
      </c>
      <c r="Z1226" s="168">
        <f t="shared" si="7"/>
        <v>0</v>
      </c>
      <c r="AA1226" s="168">
        <f t="shared" si="8"/>
        <v>0</v>
      </c>
      <c r="AB1226" s="168">
        <f t="shared" si="9"/>
        <v>0</v>
      </c>
    </row>
    <row r="1227" ht="14.25" customHeight="1">
      <c r="A1227" s="157" t="s">
        <v>8190</v>
      </c>
      <c r="B1227" s="169" t="s">
        <v>37</v>
      </c>
      <c r="C1227" s="169" t="s">
        <v>2630</v>
      </c>
      <c r="D1227" s="336">
        <v>44253.0</v>
      </c>
      <c r="E1227" s="157" t="s">
        <v>600</v>
      </c>
      <c r="F1227" s="160">
        <v>63664.62</v>
      </c>
      <c r="G1227" s="160">
        <v>10186.34</v>
      </c>
      <c r="H1227" s="160">
        <f t="shared" si="39"/>
        <v>73850.96</v>
      </c>
      <c r="I1227" s="172"/>
      <c r="J1227" s="169"/>
      <c r="K1227" s="172"/>
      <c r="L1227" s="172">
        <f>+'FACUS$'!$H1227-'FACUS$'!$I1227-'FACUS$'!$K1227</f>
        <v>73850.96</v>
      </c>
      <c r="M1227" s="162" t="s">
        <v>116</v>
      </c>
      <c r="N1227" s="337" t="s">
        <v>554</v>
      </c>
      <c r="O1227" s="338">
        <v>44305.0</v>
      </c>
      <c r="P1227" s="164">
        <f t="array" ref="P1227">XLOOKUP('FACUS$'!$B1227,'perfil de pagos'!$A$4:$A$46,'perfil de pagos'!$C$4:$C$46+'FACUS$'!$D1227)</f>
        <v>44263</v>
      </c>
      <c r="Q1227" s="165">
        <f t="shared" si="2"/>
        <v>0</v>
      </c>
      <c r="R1227" s="167" t="s">
        <v>8191</v>
      </c>
      <c r="S1227" s="167"/>
      <c r="T1227" s="167"/>
      <c r="U1227" s="334" t="s">
        <v>7271</v>
      </c>
      <c r="V1227" s="168">
        <f t="shared" si="3"/>
        <v>73850.96</v>
      </c>
      <c r="W1227" s="168">
        <f t="shared" si="4"/>
        <v>0</v>
      </c>
      <c r="X1227" s="168">
        <f t="shared" si="5"/>
        <v>0</v>
      </c>
      <c r="Y1227" s="168">
        <f t="shared" si="6"/>
        <v>0</v>
      </c>
      <c r="Z1227" s="168">
        <f t="shared" si="7"/>
        <v>0</v>
      </c>
      <c r="AA1227" s="168">
        <f t="shared" si="8"/>
        <v>0</v>
      </c>
      <c r="AB1227" s="168">
        <f t="shared" si="9"/>
        <v>0</v>
      </c>
    </row>
    <row r="1228" ht="14.25" customHeight="1">
      <c r="A1228" s="157" t="s">
        <v>8192</v>
      </c>
      <c r="B1228" s="169" t="s">
        <v>38</v>
      </c>
      <c r="C1228" s="169" t="s">
        <v>2630</v>
      </c>
      <c r="D1228" s="336">
        <v>44253.0</v>
      </c>
      <c r="E1228" s="157" t="s">
        <v>600</v>
      </c>
      <c r="F1228" s="160">
        <v>7317.31</v>
      </c>
      <c r="G1228" s="160">
        <v>1170.77</v>
      </c>
      <c r="H1228" s="160">
        <f t="shared" si="39"/>
        <v>8488.08</v>
      </c>
      <c r="I1228" s="172"/>
      <c r="J1228" s="169"/>
      <c r="K1228" s="172"/>
      <c r="L1228" s="172">
        <f>+'FACUS$'!$H1228-'FACUS$'!$I1228-'FACUS$'!$K1228</f>
        <v>8488.08</v>
      </c>
      <c r="M1228" s="162" t="s">
        <v>145</v>
      </c>
      <c r="N1228" s="337" t="s">
        <v>554</v>
      </c>
      <c r="O1228" s="338">
        <v>44305.0</v>
      </c>
      <c r="P1228" s="164">
        <f t="array" ref="P1228">XLOOKUP('FACUS$'!$B1228,'perfil de pagos'!$A$4:$A$46,'perfil de pagos'!$C$4:$C$46+'FACUS$'!$D1228)</f>
        <v>44283</v>
      </c>
      <c r="Q1228" s="165">
        <f t="shared" si="2"/>
        <v>0</v>
      </c>
      <c r="R1228" s="167" t="s">
        <v>8193</v>
      </c>
      <c r="S1228" s="167"/>
      <c r="T1228" s="167"/>
      <c r="U1228" s="334" t="s">
        <v>7271</v>
      </c>
      <c r="V1228" s="168">
        <f t="shared" si="3"/>
        <v>8488.08</v>
      </c>
      <c r="W1228" s="168">
        <f t="shared" si="4"/>
        <v>0</v>
      </c>
      <c r="X1228" s="168">
        <f t="shared" si="5"/>
        <v>0</v>
      </c>
      <c r="Y1228" s="168">
        <f t="shared" si="6"/>
        <v>0</v>
      </c>
      <c r="Z1228" s="168">
        <f t="shared" si="7"/>
        <v>0</v>
      </c>
      <c r="AA1228" s="168">
        <f t="shared" si="8"/>
        <v>0</v>
      </c>
      <c r="AB1228" s="168">
        <f t="shared" si="9"/>
        <v>0</v>
      </c>
    </row>
    <row r="1229" ht="14.25" customHeight="1">
      <c r="A1229" s="157" t="s">
        <v>8194</v>
      </c>
      <c r="B1229" s="169" t="s">
        <v>33</v>
      </c>
      <c r="C1229" s="169" t="s">
        <v>2630</v>
      </c>
      <c r="D1229" s="336">
        <v>44254.0</v>
      </c>
      <c r="E1229" s="157" t="s">
        <v>600</v>
      </c>
      <c r="F1229" s="160">
        <v>39029.13</v>
      </c>
      <c r="G1229" s="160">
        <v>6244.66</v>
      </c>
      <c r="H1229" s="160">
        <f t="shared" si="39"/>
        <v>45273.79</v>
      </c>
      <c r="I1229" s="172"/>
      <c r="J1229" s="169"/>
      <c r="K1229" s="172"/>
      <c r="L1229" s="172">
        <f>+'FACUS$'!$H1229-'FACUS$'!$I1229-'FACUS$'!$K1229</f>
        <v>45273.79</v>
      </c>
      <c r="M1229" s="162" t="s">
        <v>958</v>
      </c>
      <c r="N1229" s="337" t="s">
        <v>554</v>
      </c>
      <c r="O1229" s="338">
        <v>44260.0</v>
      </c>
      <c r="P1229" s="164">
        <f t="array" ref="P1229">XLOOKUP('FACUS$'!$B1229,'perfil de pagos'!$A$4:$A$46,'perfil de pagos'!$C$4:$C$46+'FACUS$'!$D1229)</f>
        <v>44264</v>
      </c>
      <c r="Q1229" s="165">
        <f t="shared" si="2"/>
        <v>0</v>
      </c>
      <c r="R1229" s="167"/>
      <c r="S1229" s="167"/>
      <c r="T1229" s="167"/>
      <c r="U1229" s="334" t="s">
        <v>7271</v>
      </c>
      <c r="V1229" s="168">
        <f t="shared" si="3"/>
        <v>45273.79</v>
      </c>
      <c r="W1229" s="168">
        <f t="shared" si="4"/>
        <v>0</v>
      </c>
      <c r="X1229" s="168">
        <f t="shared" si="5"/>
        <v>0</v>
      </c>
      <c r="Y1229" s="168">
        <f t="shared" si="6"/>
        <v>0</v>
      </c>
      <c r="Z1229" s="168">
        <f t="shared" si="7"/>
        <v>0</v>
      </c>
      <c r="AA1229" s="168">
        <f t="shared" si="8"/>
        <v>0</v>
      </c>
      <c r="AB1229" s="168">
        <f t="shared" si="9"/>
        <v>0</v>
      </c>
    </row>
    <row r="1230" ht="14.25" customHeight="1">
      <c r="A1230" s="157" t="s">
        <v>8195</v>
      </c>
      <c r="B1230" s="169" t="s">
        <v>35</v>
      </c>
      <c r="C1230" s="169" t="s">
        <v>8196</v>
      </c>
      <c r="D1230" s="336">
        <v>44254.0</v>
      </c>
      <c r="E1230" s="157" t="s">
        <v>600</v>
      </c>
      <c r="F1230" s="160">
        <v>20575.8</v>
      </c>
      <c r="G1230" s="160">
        <v>3292.13</v>
      </c>
      <c r="H1230" s="160">
        <f t="shared" si="39"/>
        <v>23867.93</v>
      </c>
      <c r="I1230" s="172"/>
      <c r="J1230" s="169"/>
      <c r="K1230" s="172"/>
      <c r="L1230" s="172">
        <f>+'FACUS$'!$H1230-'FACUS$'!$I1230-'FACUS$'!$K1230</f>
        <v>23867.93</v>
      </c>
      <c r="M1230" s="162" t="s">
        <v>276</v>
      </c>
      <c r="N1230" s="337" t="s">
        <v>554</v>
      </c>
      <c r="O1230" s="338">
        <v>44266.0</v>
      </c>
      <c r="P1230" s="164">
        <f t="array" ref="P1230">XLOOKUP('FACUS$'!$B1230,'perfil de pagos'!$A$4:$A$46,'perfil de pagos'!$C$4:$C$46+'FACUS$'!$D1230)</f>
        <v>44264</v>
      </c>
      <c r="Q1230" s="165">
        <f t="shared" si="2"/>
        <v>0</v>
      </c>
      <c r="R1230" s="167"/>
      <c r="S1230" s="167" t="s">
        <v>910</v>
      </c>
      <c r="T1230" s="167"/>
      <c r="U1230" s="334" t="s">
        <v>7271</v>
      </c>
      <c r="V1230" s="168">
        <f t="shared" si="3"/>
        <v>23867.93</v>
      </c>
      <c r="W1230" s="168">
        <f t="shared" si="4"/>
        <v>0</v>
      </c>
      <c r="X1230" s="168">
        <f t="shared" si="5"/>
        <v>0</v>
      </c>
      <c r="Y1230" s="168">
        <f t="shared" si="6"/>
        <v>0</v>
      </c>
      <c r="Z1230" s="168">
        <f t="shared" si="7"/>
        <v>0</v>
      </c>
      <c r="AA1230" s="168">
        <f t="shared" si="8"/>
        <v>0</v>
      </c>
      <c r="AB1230" s="168">
        <f t="shared" si="9"/>
        <v>0</v>
      </c>
    </row>
    <row r="1231" ht="14.25" customHeight="1">
      <c r="A1231" s="157" t="s">
        <v>8197</v>
      </c>
      <c r="B1231" s="169" t="s">
        <v>36</v>
      </c>
      <c r="C1231" s="169" t="s">
        <v>2630</v>
      </c>
      <c r="D1231" s="336">
        <v>44254.0</v>
      </c>
      <c r="E1231" s="157" t="s">
        <v>600</v>
      </c>
      <c r="F1231" s="160">
        <v>1612.91</v>
      </c>
      <c r="G1231" s="160">
        <v>258.07</v>
      </c>
      <c r="H1231" s="160">
        <f t="shared" si="39"/>
        <v>1870.98</v>
      </c>
      <c r="I1231" s="172"/>
      <c r="J1231" s="169"/>
      <c r="K1231" s="172"/>
      <c r="L1231" s="172">
        <f>+'FACUS$'!$H1231-'FACUS$'!$I1231-'FACUS$'!$K1231</f>
        <v>1870.98</v>
      </c>
      <c r="M1231" s="162" t="s">
        <v>278</v>
      </c>
      <c r="N1231" s="337" t="s">
        <v>554</v>
      </c>
      <c r="O1231" s="338">
        <v>44305.0</v>
      </c>
      <c r="P1231" s="164">
        <f t="array" ref="P1231">XLOOKUP('FACUS$'!$B1231,'perfil de pagos'!$A$4:$A$46,'perfil de pagos'!$C$4:$C$46+'FACUS$'!$D1231)</f>
        <v>44264</v>
      </c>
      <c r="Q1231" s="165">
        <f t="shared" si="2"/>
        <v>0</v>
      </c>
      <c r="R1231" s="167" t="s">
        <v>8198</v>
      </c>
      <c r="S1231" s="167"/>
      <c r="T1231" s="167"/>
      <c r="U1231" s="334" t="s">
        <v>7271</v>
      </c>
      <c r="V1231" s="168">
        <f t="shared" si="3"/>
        <v>1870.98</v>
      </c>
      <c r="W1231" s="168">
        <f t="shared" si="4"/>
        <v>0</v>
      </c>
      <c r="X1231" s="168">
        <f t="shared" si="5"/>
        <v>0</v>
      </c>
      <c r="Y1231" s="168">
        <f t="shared" si="6"/>
        <v>0</v>
      </c>
      <c r="Z1231" s="168">
        <f t="shared" si="7"/>
        <v>0</v>
      </c>
      <c r="AA1231" s="168">
        <f t="shared" si="8"/>
        <v>0</v>
      </c>
      <c r="AB1231" s="168">
        <f t="shared" si="9"/>
        <v>0</v>
      </c>
    </row>
    <row r="1232" ht="14.25" customHeight="1">
      <c r="A1232" s="157" t="s">
        <v>8199</v>
      </c>
      <c r="B1232" s="169" t="s">
        <v>1127</v>
      </c>
      <c r="C1232" s="169" t="s">
        <v>2630</v>
      </c>
      <c r="D1232" s="336">
        <v>44254.0</v>
      </c>
      <c r="E1232" s="157" t="s">
        <v>600</v>
      </c>
      <c r="F1232" s="160">
        <v>22211.91</v>
      </c>
      <c r="G1232" s="160">
        <v>3553.91</v>
      </c>
      <c r="H1232" s="160">
        <f t="shared" si="39"/>
        <v>25765.82</v>
      </c>
      <c r="I1232" s="172"/>
      <c r="J1232" s="169"/>
      <c r="K1232" s="172"/>
      <c r="L1232" s="172">
        <f>+'FACUS$'!$H1232-'FACUS$'!$I1232-'FACUS$'!$K1232</f>
        <v>25765.82</v>
      </c>
      <c r="M1232" s="162" t="s">
        <v>580</v>
      </c>
      <c r="N1232" s="337" t="s">
        <v>554</v>
      </c>
      <c r="O1232" s="338">
        <v>44273.0</v>
      </c>
      <c r="P1232" s="164" t="str">
        <f t="array" ref="P1232">XLOOKUP('FACUS$'!$B1232,'perfil de pagos'!$A$4:$A$46,'perfil de pagos'!$C$4:$C$46+'FACUS$'!$D1232)</f>
        <v>#N/A</v>
      </c>
      <c r="Q1232" s="165">
        <f t="shared" si="2"/>
        <v>0</v>
      </c>
      <c r="R1232" s="167"/>
      <c r="S1232" s="167"/>
      <c r="T1232" s="167"/>
      <c r="U1232" s="334" t="s">
        <v>7271</v>
      </c>
      <c r="V1232" s="168">
        <f t="shared" si="3"/>
        <v>25765.82</v>
      </c>
      <c r="W1232" s="168">
        <f t="shared" si="4"/>
        <v>0</v>
      </c>
      <c r="X1232" s="168">
        <f t="shared" si="5"/>
        <v>0</v>
      </c>
      <c r="Y1232" s="168">
        <f t="shared" si="6"/>
        <v>0</v>
      </c>
      <c r="Z1232" s="168">
        <f t="shared" si="7"/>
        <v>0</v>
      </c>
      <c r="AA1232" s="168">
        <f t="shared" si="8"/>
        <v>0</v>
      </c>
      <c r="AB1232" s="168">
        <f t="shared" si="9"/>
        <v>0</v>
      </c>
    </row>
    <row r="1233" ht="14.25" customHeight="1">
      <c r="A1233" s="157" t="s">
        <v>8200</v>
      </c>
      <c r="B1233" s="169" t="s">
        <v>43</v>
      </c>
      <c r="C1233" s="169" t="s">
        <v>2630</v>
      </c>
      <c r="D1233" s="336">
        <v>44254.0</v>
      </c>
      <c r="E1233" s="157" t="s">
        <v>600</v>
      </c>
      <c r="F1233" s="160">
        <v>58400.03</v>
      </c>
      <c r="G1233" s="160">
        <v>9344.01</v>
      </c>
      <c r="H1233" s="160">
        <f t="shared" si="39"/>
        <v>67744.04</v>
      </c>
      <c r="I1233" s="172"/>
      <c r="J1233" s="169"/>
      <c r="K1233" s="172"/>
      <c r="L1233" s="172">
        <f>+'FACUS$'!$H1233-'FACUS$'!$I1233-'FACUS$'!$K1233</f>
        <v>67744.04</v>
      </c>
      <c r="M1233" s="162" t="s">
        <v>43</v>
      </c>
      <c r="N1233" s="337" t="s">
        <v>554</v>
      </c>
      <c r="O1233" s="338">
        <v>44267.0</v>
      </c>
      <c r="P1233" s="164">
        <f t="array" ref="P1233">XLOOKUP('FACUS$'!$B1233,'perfil de pagos'!$A$4:$A$46,'perfil de pagos'!$C$4:$C$46+'FACUS$'!$D1233)</f>
        <v>44279</v>
      </c>
      <c r="Q1233" s="165">
        <f t="shared" si="2"/>
        <v>0</v>
      </c>
      <c r="R1233" s="167"/>
      <c r="S1233" s="167"/>
      <c r="T1233" s="167"/>
      <c r="U1233" s="334" t="s">
        <v>7271</v>
      </c>
      <c r="V1233" s="168">
        <f t="shared" si="3"/>
        <v>67744.04</v>
      </c>
      <c r="W1233" s="168">
        <f t="shared" si="4"/>
        <v>0</v>
      </c>
      <c r="X1233" s="168">
        <f t="shared" si="5"/>
        <v>0</v>
      </c>
      <c r="Y1233" s="168">
        <f t="shared" si="6"/>
        <v>0</v>
      </c>
      <c r="Z1233" s="168">
        <f t="shared" si="7"/>
        <v>0</v>
      </c>
      <c r="AA1233" s="168">
        <f t="shared" si="8"/>
        <v>0</v>
      </c>
      <c r="AB1233" s="168">
        <f t="shared" si="9"/>
        <v>0</v>
      </c>
    </row>
    <row r="1234" ht="14.25" customHeight="1">
      <c r="A1234" s="157" t="s">
        <v>8201</v>
      </c>
      <c r="B1234" s="169" t="s">
        <v>39</v>
      </c>
      <c r="C1234" s="169" t="s">
        <v>2632</v>
      </c>
      <c r="D1234" s="336">
        <v>44254.0</v>
      </c>
      <c r="E1234" s="157" t="s">
        <v>600</v>
      </c>
      <c r="F1234" s="160">
        <v>49132.83</v>
      </c>
      <c r="G1234" s="160">
        <v>7861.25</v>
      </c>
      <c r="H1234" s="160">
        <f t="shared" si="39"/>
        <v>56994.08</v>
      </c>
      <c r="I1234" s="172"/>
      <c r="J1234" s="169"/>
      <c r="K1234" s="172"/>
      <c r="L1234" s="172">
        <f>+'FACUS$'!$H1234-'FACUS$'!$I1234-'FACUS$'!$K1234</f>
        <v>56994.08</v>
      </c>
      <c r="M1234" s="162" t="s">
        <v>570</v>
      </c>
      <c r="N1234" s="337" t="s">
        <v>127</v>
      </c>
      <c r="O1234" s="338"/>
      <c r="P1234" s="164">
        <f t="array" ref="P1234">XLOOKUP('FACUS$'!$B1234,'perfil de pagos'!$A$4:$A$46,'perfil de pagos'!$C$4:$C$46+'FACUS$'!$D1234)</f>
        <v>44264</v>
      </c>
      <c r="Q1234" s="165" t="str">
        <f t="shared" si="2"/>
        <v>N/A</v>
      </c>
      <c r="R1234" s="167" t="s">
        <v>8202</v>
      </c>
      <c r="S1234" s="167"/>
      <c r="T1234" s="167"/>
      <c r="U1234" s="334" t="s">
        <v>7271</v>
      </c>
      <c r="V1234" s="168">
        <f t="shared" si="3"/>
        <v>0</v>
      </c>
      <c r="W1234" s="168">
        <f t="shared" si="4"/>
        <v>0</v>
      </c>
      <c r="X1234" s="168">
        <f t="shared" si="5"/>
        <v>0</v>
      </c>
      <c r="Y1234" s="168">
        <f t="shared" si="6"/>
        <v>0</v>
      </c>
      <c r="Z1234" s="168">
        <f t="shared" si="7"/>
        <v>0</v>
      </c>
      <c r="AA1234" s="168">
        <f t="shared" si="8"/>
        <v>0</v>
      </c>
      <c r="AB1234" s="168">
        <f t="shared" si="9"/>
        <v>56994.08</v>
      </c>
    </row>
    <row r="1235" ht="14.25" customHeight="1">
      <c r="A1235" s="157" t="s">
        <v>8203</v>
      </c>
      <c r="B1235" s="169" t="s">
        <v>127</v>
      </c>
      <c r="C1235" s="169"/>
      <c r="D1235" s="336"/>
      <c r="E1235" s="157"/>
      <c r="F1235" s="160"/>
      <c r="G1235" s="160"/>
      <c r="H1235" s="160">
        <f t="shared" si="39"/>
        <v>0</v>
      </c>
      <c r="I1235" s="172"/>
      <c r="J1235" s="169"/>
      <c r="K1235" s="172"/>
      <c r="L1235" s="172">
        <f>+'FACUS$'!$H1235-'FACUS$'!$I1235-'FACUS$'!$K1235</f>
        <v>0</v>
      </c>
      <c r="M1235" s="162"/>
      <c r="N1235" s="337" t="s">
        <v>127</v>
      </c>
      <c r="O1235" s="338"/>
      <c r="P1235" s="164" t="str">
        <f t="array" ref="P1235">XLOOKUP('FACUS$'!$B1235,'perfil de pagos'!$A$4:$A$46,'perfil de pagos'!$C$4:$C$46+'FACUS$'!$D1235)</f>
        <v>#N/A</v>
      </c>
      <c r="Q1235" s="165" t="str">
        <f t="shared" si="2"/>
        <v>N/A</v>
      </c>
      <c r="R1235" s="167"/>
      <c r="S1235" s="167"/>
      <c r="T1235" s="167"/>
      <c r="U1235" s="334" t="s">
        <v>7271</v>
      </c>
      <c r="V1235" s="168">
        <f t="shared" si="3"/>
        <v>0</v>
      </c>
      <c r="W1235" s="168">
        <f t="shared" si="4"/>
        <v>0</v>
      </c>
      <c r="X1235" s="168">
        <f t="shared" si="5"/>
        <v>0</v>
      </c>
      <c r="Y1235" s="168">
        <f t="shared" si="6"/>
        <v>0</v>
      </c>
      <c r="Z1235" s="168">
        <f t="shared" si="7"/>
        <v>0</v>
      </c>
      <c r="AA1235" s="168">
        <f t="shared" si="8"/>
        <v>0</v>
      </c>
      <c r="AB1235" s="168">
        <f t="shared" si="9"/>
        <v>0</v>
      </c>
    </row>
    <row r="1236" ht="14.25" customHeight="1">
      <c r="A1236" s="157" t="s">
        <v>8204</v>
      </c>
      <c r="B1236" s="169" t="s">
        <v>39</v>
      </c>
      <c r="C1236" s="169" t="s">
        <v>2630</v>
      </c>
      <c r="D1236" s="336">
        <v>44254.0</v>
      </c>
      <c r="E1236" s="157" t="s">
        <v>600</v>
      </c>
      <c r="F1236" s="160">
        <v>4847.0</v>
      </c>
      <c r="G1236" s="160">
        <v>775.52</v>
      </c>
      <c r="H1236" s="160">
        <f t="shared" si="39"/>
        <v>5622.52</v>
      </c>
      <c r="I1236" s="172"/>
      <c r="J1236" s="169"/>
      <c r="K1236" s="172"/>
      <c r="L1236" s="172">
        <f>+'FACUS$'!$H1236-'FACUS$'!$I1236-'FACUS$'!$K1236</f>
        <v>5622.52</v>
      </c>
      <c r="M1236" s="162" t="s">
        <v>570</v>
      </c>
      <c r="N1236" s="337" t="s">
        <v>554</v>
      </c>
      <c r="O1236" s="338">
        <v>44271.0</v>
      </c>
      <c r="P1236" s="164">
        <f t="array" ref="P1236">XLOOKUP('FACUS$'!$B1236,'perfil de pagos'!$A$4:$A$46,'perfil de pagos'!$C$4:$C$46+'FACUS$'!$D1236)</f>
        <v>44264</v>
      </c>
      <c r="Q1236" s="165">
        <f t="shared" si="2"/>
        <v>0</v>
      </c>
      <c r="R1236" s="167" t="s">
        <v>8205</v>
      </c>
      <c r="S1236" s="167"/>
      <c r="T1236" s="167"/>
      <c r="U1236" s="334" t="s">
        <v>7271</v>
      </c>
      <c r="V1236" s="168">
        <f t="shared" si="3"/>
        <v>5622.52</v>
      </c>
      <c r="W1236" s="168">
        <f t="shared" si="4"/>
        <v>0</v>
      </c>
      <c r="X1236" s="168">
        <f t="shared" si="5"/>
        <v>0</v>
      </c>
      <c r="Y1236" s="168">
        <f t="shared" si="6"/>
        <v>0</v>
      </c>
      <c r="Z1236" s="168">
        <f t="shared" si="7"/>
        <v>0</v>
      </c>
      <c r="AA1236" s="168">
        <f t="shared" si="8"/>
        <v>0</v>
      </c>
      <c r="AB1236" s="168">
        <f t="shared" si="9"/>
        <v>0</v>
      </c>
    </row>
    <row r="1237" ht="14.25" customHeight="1">
      <c r="A1237" s="157" t="s">
        <v>8206</v>
      </c>
      <c r="B1237" s="169" t="s">
        <v>39</v>
      </c>
      <c r="C1237" s="169" t="s">
        <v>2632</v>
      </c>
      <c r="D1237" s="336">
        <v>44257.0</v>
      </c>
      <c r="E1237" s="157" t="s">
        <v>600</v>
      </c>
      <c r="F1237" s="160">
        <v>31090.34</v>
      </c>
      <c r="G1237" s="160">
        <v>4974.45</v>
      </c>
      <c r="H1237" s="160">
        <f t="shared" si="39"/>
        <v>36064.79</v>
      </c>
      <c r="I1237" s="172"/>
      <c r="J1237" s="169"/>
      <c r="K1237" s="172"/>
      <c r="L1237" s="172">
        <f>+'FACUS$'!$H1237-'FACUS$'!$I1237-'FACUS$'!$K1237</f>
        <v>36064.79</v>
      </c>
      <c r="M1237" s="162" t="s">
        <v>570</v>
      </c>
      <c r="N1237" s="337" t="s">
        <v>554</v>
      </c>
      <c r="O1237" s="338">
        <v>44274.0</v>
      </c>
      <c r="P1237" s="164">
        <f t="array" ref="P1237">XLOOKUP('FACUS$'!$B1237,'perfil de pagos'!$A$4:$A$46,'perfil de pagos'!$C$4:$C$46+'FACUS$'!$D1237)</f>
        <v>44267</v>
      </c>
      <c r="Q1237" s="165">
        <f t="shared" si="2"/>
        <v>0</v>
      </c>
      <c r="R1237" s="167" t="s">
        <v>8207</v>
      </c>
      <c r="S1237" s="167"/>
      <c r="T1237" s="167"/>
      <c r="U1237" s="334" t="s">
        <v>7271</v>
      </c>
      <c r="V1237" s="168">
        <f t="shared" si="3"/>
        <v>36064.79</v>
      </c>
      <c r="W1237" s="168">
        <f t="shared" si="4"/>
        <v>0</v>
      </c>
      <c r="X1237" s="168">
        <f t="shared" si="5"/>
        <v>0</v>
      </c>
      <c r="Y1237" s="168">
        <f t="shared" si="6"/>
        <v>0</v>
      </c>
      <c r="Z1237" s="168">
        <f t="shared" si="7"/>
        <v>0</v>
      </c>
      <c r="AA1237" s="168">
        <f t="shared" si="8"/>
        <v>0</v>
      </c>
      <c r="AB1237" s="168">
        <f t="shared" si="9"/>
        <v>0</v>
      </c>
    </row>
    <row r="1238" ht="14.25" customHeight="1">
      <c r="A1238" s="157" t="s">
        <v>8208</v>
      </c>
      <c r="B1238" s="169" t="s">
        <v>41</v>
      </c>
      <c r="C1238" s="169" t="s">
        <v>2630</v>
      </c>
      <c r="D1238" s="336">
        <v>44259.0</v>
      </c>
      <c r="E1238" s="157" t="s">
        <v>600</v>
      </c>
      <c r="F1238" s="160">
        <v>46358.04</v>
      </c>
      <c r="G1238" s="160">
        <v>7417.29</v>
      </c>
      <c r="H1238" s="160">
        <f>F1238+G1238-10000</f>
        <v>43775.33</v>
      </c>
      <c r="I1238" s="172"/>
      <c r="J1238" s="169"/>
      <c r="K1238" s="172"/>
      <c r="L1238" s="172">
        <f>+'FACUS$'!$H1238-'FACUS$'!$I1238-'FACUS$'!$K1238</f>
        <v>43775.33</v>
      </c>
      <c r="M1238" s="162" t="s">
        <v>875</v>
      </c>
      <c r="N1238" s="337" t="s">
        <v>554</v>
      </c>
      <c r="O1238" s="338">
        <v>44489.0</v>
      </c>
      <c r="P1238" s="164">
        <f t="array" ref="P1238">XLOOKUP('FACUS$'!$B1238,'perfil de pagos'!$A$4:$A$46,'perfil de pagos'!$C$4:$C$46+'FACUS$'!$D1238)</f>
        <v>44269</v>
      </c>
      <c r="Q1238" s="165">
        <f t="shared" si="2"/>
        <v>0</v>
      </c>
      <c r="R1238" s="220" t="s">
        <v>8209</v>
      </c>
      <c r="S1238" s="167"/>
      <c r="T1238" s="167"/>
      <c r="U1238" s="334" t="s">
        <v>7271</v>
      </c>
      <c r="V1238" s="168">
        <f t="shared" si="3"/>
        <v>43775.33</v>
      </c>
      <c r="W1238" s="168">
        <f t="shared" si="4"/>
        <v>0</v>
      </c>
      <c r="X1238" s="168">
        <f t="shared" si="5"/>
        <v>0</v>
      </c>
      <c r="Y1238" s="168">
        <f t="shared" si="6"/>
        <v>0</v>
      </c>
      <c r="Z1238" s="168">
        <f t="shared" si="7"/>
        <v>0</v>
      </c>
      <c r="AA1238" s="168">
        <f t="shared" si="8"/>
        <v>0</v>
      </c>
      <c r="AB1238" s="168">
        <f t="shared" si="9"/>
        <v>0</v>
      </c>
    </row>
    <row r="1239" ht="14.25" customHeight="1">
      <c r="A1239" s="157" t="s">
        <v>8210</v>
      </c>
      <c r="B1239" s="169" t="s">
        <v>18</v>
      </c>
      <c r="C1239" s="169" t="s">
        <v>2667</v>
      </c>
      <c r="D1239" s="336">
        <v>44264.0</v>
      </c>
      <c r="E1239" s="157" t="s">
        <v>600</v>
      </c>
      <c r="F1239" s="160">
        <v>6547.28</v>
      </c>
      <c r="G1239" s="160">
        <v>1047.56</v>
      </c>
      <c r="H1239" s="160">
        <f t="shared" ref="H1239:H1314" si="40">F1239+G1239</f>
        <v>7594.84</v>
      </c>
      <c r="I1239" s="172"/>
      <c r="J1239" s="169"/>
      <c r="K1239" s="172"/>
      <c r="L1239" s="172">
        <f>+'FACUS$'!$H1239-'FACUS$'!$I1239-'FACUS$'!$K1239</f>
        <v>7594.84</v>
      </c>
      <c r="M1239" s="162" t="s">
        <v>586</v>
      </c>
      <c r="N1239" s="337" t="s">
        <v>554</v>
      </c>
      <c r="O1239" s="338">
        <v>44294.0</v>
      </c>
      <c r="P1239" s="164">
        <f t="array" ref="P1239">XLOOKUP('FACUS$'!$B1239,'perfil de pagos'!$A$4:$A$46,'perfil de pagos'!$C$4:$C$46+'FACUS$'!$D1239)</f>
        <v>44274</v>
      </c>
      <c r="Q1239" s="165">
        <f t="shared" si="2"/>
        <v>0</v>
      </c>
      <c r="R1239" s="167"/>
      <c r="S1239" s="167"/>
      <c r="T1239" s="167"/>
      <c r="U1239" s="334" t="s">
        <v>7271</v>
      </c>
      <c r="V1239" s="168">
        <f t="shared" si="3"/>
        <v>7594.84</v>
      </c>
      <c r="W1239" s="168">
        <f t="shared" si="4"/>
        <v>0</v>
      </c>
      <c r="X1239" s="168">
        <f t="shared" si="5"/>
        <v>0</v>
      </c>
      <c r="Y1239" s="168">
        <f t="shared" si="6"/>
        <v>0</v>
      </c>
      <c r="Z1239" s="168">
        <f t="shared" si="7"/>
        <v>0</v>
      </c>
      <c r="AA1239" s="168">
        <f t="shared" si="8"/>
        <v>0</v>
      </c>
      <c r="AB1239" s="168">
        <f t="shared" si="9"/>
        <v>0</v>
      </c>
    </row>
    <row r="1240" ht="14.25" customHeight="1">
      <c r="A1240" s="157" t="s">
        <v>8211</v>
      </c>
      <c r="B1240" s="169" t="s">
        <v>20</v>
      </c>
      <c r="C1240" s="169" t="s">
        <v>2667</v>
      </c>
      <c r="D1240" s="336">
        <v>44264.0</v>
      </c>
      <c r="E1240" s="157" t="s">
        <v>600</v>
      </c>
      <c r="F1240" s="160">
        <v>3023.92</v>
      </c>
      <c r="G1240" s="160">
        <v>483.83</v>
      </c>
      <c r="H1240" s="160">
        <f t="shared" si="40"/>
        <v>3507.75</v>
      </c>
      <c r="I1240" s="172"/>
      <c r="J1240" s="169"/>
      <c r="K1240" s="172"/>
      <c r="L1240" s="172">
        <f>+'FACUS$'!$H1240-'FACUS$'!$I1240-'FACUS$'!$K1240</f>
        <v>3507.75</v>
      </c>
      <c r="M1240" s="162" t="s">
        <v>732</v>
      </c>
      <c r="N1240" s="337" t="s">
        <v>554</v>
      </c>
      <c r="O1240" s="338">
        <v>44294.0</v>
      </c>
      <c r="P1240" s="164">
        <f t="array" ref="P1240">XLOOKUP('FACUS$'!$B1240,'perfil de pagos'!$A$4:$A$46,'perfil de pagos'!$C$4:$C$46+'FACUS$'!$D1240)</f>
        <v>44274</v>
      </c>
      <c r="Q1240" s="165">
        <f t="shared" si="2"/>
        <v>0</v>
      </c>
      <c r="R1240" s="167"/>
      <c r="S1240" s="167"/>
      <c r="T1240" s="167"/>
      <c r="U1240" s="334" t="s">
        <v>7271</v>
      </c>
      <c r="V1240" s="168">
        <f t="shared" si="3"/>
        <v>3507.75</v>
      </c>
      <c r="W1240" s="168">
        <f t="shared" si="4"/>
        <v>0</v>
      </c>
      <c r="X1240" s="168">
        <f t="shared" si="5"/>
        <v>0</v>
      </c>
      <c r="Y1240" s="168">
        <f t="shared" si="6"/>
        <v>0</v>
      </c>
      <c r="Z1240" s="168">
        <f t="shared" si="7"/>
        <v>0</v>
      </c>
      <c r="AA1240" s="168">
        <f t="shared" si="8"/>
        <v>0</v>
      </c>
      <c r="AB1240" s="168">
        <f t="shared" si="9"/>
        <v>0</v>
      </c>
    </row>
    <row r="1241" ht="14.25" customHeight="1">
      <c r="A1241" s="157" t="s">
        <v>8212</v>
      </c>
      <c r="B1241" s="169" t="s">
        <v>39</v>
      </c>
      <c r="C1241" s="169" t="s">
        <v>2665</v>
      </c>
      <c r="D1241" s="336">
        <v>44264.0</v>
      </c>
      <c r="E1241" s="157" t="s">
        <v>600</v>
      </c>
      <c r="F1241" s="160">
        <v>34418.68</v>
      </c>
      <c r="G1241" s="160">
        <v>5506.99</v>
      </c>
      <c r="H1241" s="160">
        <f t="shared" si="40"/>
        <v>39925.67</v>
      </c>
      <c r="I1241" s="172"/>
      <c r="J1241" s="169"/>
      <c r="K1241" s="172"/>
      <c r="L1241" s="172">
        <f>+'FACUS$'!$H1241-'FACUS$'!$I1241-'FACUS$'!$K1241</f>
        <v>39925.67</v>
      </c>
      <c r="M1241" s="162" t="s">
        <v>570</v>
      </c>
      <c r="N1241" s="337" t="s">
        <v>554</v>
      </c>
      <c r="O1241" s="338">
        <v>44274.0</v>
      </c>
      <c r="P1241" s="164">
        <f t="array" ref="P1241">XLOOKUP('FACUS$'!$B1241,'perfil de pagos'!$A$4:$A$46,'perfil de pagos'!$C$4:$C$46+'FACUS$'!$D1241)</f>
        <v>44274</v>
      </c>
      <c r="Q1241" s="165">
        <f t="shared" si="2"/>
        <v>0</v>
      </c>
      <c r="R1241" s="167" t="s">
        <v>8213</v>
      </c>
      <c r="S1241" s="167"/>
      <c r="T1241" s="167"/>
      <c r="U1241" s="334" t="s">
        <v>7271</v>
      </c>
      <c r="V1241" s="168">
        <f t="shared" si="3"/>
        <v>39925.67</v>
      </c>
      <c r="W1241" s="168">
        <f t="shared" si="4"/>
        <v>0</v>
      </c>
      <c r="X1241" s="168">
        <f t="shared" si="5"/>
        <v>0</v>
      </c>
      <c r="Y1241" s="168">
        <f t="shared" si="6"/>
        <v>0</v>
      </c>
      <c r="Z1241" s="168">
        <f t="shared" si="7"/>
        <v>0</v>
      </c>
      <c r="AA1241" s="168">
        <f t="shared" si="8"/>
        <v>0</v>
      </c>
      <c r="AB1241" s="168">
        <f t="shared" si="9"/>
        <v>0</v>
      </c>
    </row>
    <row r="1242" ht="14.25" customHeight="1">
      <c r="A1242" s="157" t="s">
        <v>8214</v>
      </c>
      <c r="B1242" s="169" t="s">
        <v>39</v>
      </c>
      <c r="C1242" s="169" t="s">
        <v>8215</v>
      </c>
      <c r="D1242" s="336">
        <v>44264.0</v>
      </c>
      <c r="E1242" s="157" t="s">
        <v>600</v>
      </c>
      <c r="F1242" s="160">
        <v>6497.0</v>
      </c>
      <c r="G1242" s="160">
        <v>1039.52</v>
      </c>
      <c r="H1242" s="160">
        <f t="shared" si="40"/>
        <v>7536.52</v>
      </c>
      <c r="I1242" s="172"/>
      <c r="J1242" s="169"/>
      <c r="K1242" s="172"/>
      <c r="L1242" s="172">
        <f>+'FACUS$'!$H1242-'FACUS$'!$I1242-'FACUS$'!$K1242</f>
        <v>7536.52</v>
      </c>
      <c r="M1242" s="162" t="s">
        <v>570</v>
      </c>
      <c r="N1242" s="337" t="s">
        <v>554</v>
      </c>
      <c r="O1242" s="338">
        <v>44274.0</v>
      </c>
      <c r="P1242" s="164">
        <f t="array" ref="P1242">XLOOKUP('FACUS$'!$B1242,'perfil de pagos'!$A$4:$A$46,'perfil de pagos'!$C$4:$C$46+'FACUS$'!$D1242)</f>
        <v>44274</v>
      </c>
      <c r="Q1242" s="165">
        <f t="shared" si="2"/>
        <v>0</v>
      </c>
      <c r="R1242" s="167" t="s">
        <v>8216</v>
      </c>
      <c r="S1242" s="167"/>
      <c r="T1242" s="167"/>
      <c r="U1242" s="334" t="s">
        <v>7271</v>
      </c>
      <c r="V1242" s="168">
        <f t="shared" si="3"/>
        <v>7536.52</v>
      </c>
      <c r="W1242" s="168">
        <f t="shared" si="4"/>
        <v>0</v>
      </c>
      <c r="X1242" s="168">
        <f t="shared" si="5"/>
        <v>0</v>
      </c>
      <c r="Y1242" s="168">
        <f t="shared" si="6"/>
        <v>0</v>
      </c>
      <c r="Z1242" s="168">
        <f t="shared" si="7"/>
        <v>0</v>
      </c>
      <c r="AA1242" s="168">
        <f t="shared" si="8"/>
        <v>0</v>
      </c>
      <c r="AB1242" s="168">
        <f t="shared" si="9"/>
        <v>0</v>
      </c>
    </row>
    <row r="1243" ht="14.25" customHeight="1">
      <c r="A1243" s="157" t="s">
        <v>8217</v>
      </c>
      <c r="B1243" s="169" t="s">
        <v>26</v>
      </c>
      <c r="C1243" s="169" t="s">
        <v>2667</v>
      </c>
      <c r="D1243" s="336">
        <v>44264.0</v>
      </c>
      <c r="E1243" s="157" t="s">
        <v>600</v>
      </c>
      <c r="F1243" s="160">
        <v>2181.88</v>
      </c>
      <c r="G1243" s="160">
        <v>349.1</v>
      </c>
      <c r="H1243" s="160">
        <f t="shared" si="40"/>
        <v>2530.98</v>
      </c>
      <c r="I1243" s="172"/>
      <c r="J1243" s="169"/>
      <c r="K1243" s="172"/>
      <c r="L1243" s="172">
        <f>+'FACUS$'!$H1243-'FACUS$'!$I1243-'FACUS$'!$K1243</f>
        <v>2530.98</v>
      </c>
      <c r="M1243" s="162" t="s">
        <v>2386</v>
      </c>
      <c r="N1243" s="337" t="s">
        <v>554</v>
      </c>
      <c r="O1243" s="338">
        <v>44323.0</v>
      </c>
      <c r="P1243" s="164">
        <f t="array" ref="P1243">XLOOKUP('FACUS$'!$B1243,'perfil de pagos'!$A$4:$A$46,'perfil de pagos'!$C$4:$C$46+'FACUS$'!$D1243)</f>
        <v>44294</v>
      </c>
      <c r="Q1243" s="165">
        <f t="shared" si="2"/>
        <v>0</v>
      </c>
      <c r="R1243" s="167" t="s">
        <v>8218</v>
      </c>
      <c r="S1243" s="167"/>
      <c r="T1243" s="167"/>
      <c r="U1243" s="334" t="s">
        <v>7271</v>
      </c>
      <c r="V1243" s="168">
        <f t="shared" si="3"/>
        <v>2530.98</v>
      </c>
      <c r="W1243" s="168">
        <f t="shared" si="4"/>
        <v>0</v>
      </c>
      <c r="X1243" s="168">
        <f t="shared" si="5"/>
        <v>0</v>
      </c>
      <c r="Y1243" s="168">
        <f t="shared" si="6"/>
        <v>0</v>
      </c>
      <c r="Z1243" s="168">
        <f t="shared" si="7"/>
        <v>0</v>
      </c>
      <c r="AA1243" s="168">
        <f t="shared" si="8"/>
        <v>0</v>
      </c>
      <c r="AB1243" s="168">
        <f t="shared" si="9"/>
        <v>0</v>
      </c>
    </row>
    <row r="1244" ht="14.25" customHeight="1">
      <c r="A1244" s="157" t="s">
        <v>8219</v>
      </c>
      <c r="B1244" s="169" t="s">
        <v>37</v>
      </c>
      <c r="C1244" s="169" t="s">
        <v>8220</v>
      </c>
      <c r="D1244" s="336">
        <v>44264.0</v>
      </c>
      <c r="E1244" s="157" t="s">
        <v>600</v>
      </c>
      <c r="F1244" s="160">
        <v>29772.57</v>
      </c>
      <c r="G1244" s="160">
        <v>4763.61</v>
      </c>
      <c r="H1244" s="160">
        <f t="shared" si="40"/>
        <v>34536.18</v>
      </c>
      <c r="I1244" s="172"/>
      <c r="J1244" s="169"/>
      <c r="K1244" s="172"/>
      <c r="L1244" s="172">
        <f>+'FACUS$'!$H1244-'FACUS$'!$I1244-'FACUS$'!$K1244</f>
        <v>34536.18</v>
      </c>
      <c r="M1244" s="162" t="s">
        <v>116</v>
      </c>
      <c r="N1244" s="337" t="s">
        <v>554</v>
      </c>
      <c r="O1244" s="338">
        <v>44292.0</v>
      </c>
      <c r="P1244" s="164">
        <f t="array" ref="P1244">XLOOKUP('FACUS$'!$B1244,'perfil de pagos'!$A$4:$A$46,'perfil de pagos'!$C$4:$C$46+'FACUS$'!$D1244)</f>
        <v>44274</v>
      </c>
      <c r="Q1244" s="165">
        <f t="shared" si="2"/>
        <v>0</v>
      </c>
      <c r="R1244" s="167" t="s">
        <v>8221</v>
      </c>
      <c r="S1244" s="167"/>
      <c r="T1244" s="167"/>
      <c r="U1244" s="334" t="s">
        <v>7271</v>
      </c>
      <c r="V1244" s="168">
        <f t="shared" si="3"/>
        <v>34536.18</v>
      </c>
      <c r="W1244" s="168">
        <f t="shared" si="4"/>
        <v>0</v>
      </c>
      <c r="X1244" s="168">
        <f t="shared" si="5"/>
        <v>0</v>
      </c>
      <c r="Y1244" s="168">
        <f t="shared" si="6"/>
        <v>0</v>
      </c>
      <c r="Z1244" s="168">
        <f t="shared" si="7"/>
        <v>0</v>
      </c>
      <c r="AA1244" s="168">
        <f t="shared" si="8"/>
        <v>0</v>
      </c>
      <c r="AB1244" s="168">
        <f t="shared" si="9"/>
        <v>0</v>
      </c>
    </row>
    <row r="1245" ht="14.25" customHeight="1">
      <c r="A1245" s="157" t="s">
        <v>8222</v>
      </c>
      <c r="B1245" s="169" t="s">
        <v>33</v>
      </c>
      <c r="C1245" s="169" t="s">
        <v>2667</v>
      </c>
      <c r="D1245" s="336">
        <v>44264.0</v>
      </c>
      <c r="E1245" s="157" t="s">
        <v>600</v>
      </c>
      <c r="F1245" s="160">
        <v>17497.22</v>
      </c>
      <c r="G1245" s="160">
        <v>2799.56</v>
      </c>
      <c r="H1245" s="160">
        <f t="shared" si="40"/>
        <v>20296.78</v>
      </c>
      <c r="I1245" s="172"/>
      <c r="J1245" s="169"/>
      <c r="K1245" s="172"/>
      <c r="L1245" s="172">
        <f>+'FACUS$'!$H1245-'FACUS$'!$I1245-'FACUS$'!$K1245</f>
        <v>20296.78</v>
      </c>
      <c r="M1245" s="162" t="s">
        <v>958</v>
      </c>
      <c r="N1245" s="337" t="s">
        <v>554</v>
      </c>
      <c r="O1245" s="338">
        <v>44281.0</v>
      </c>
      <c r="P1245" s="164">
        <f t="array" ref="P1245">XLOOKUP('FACUS$'!$B1245,'perfil de pagos'!$A$4:$A$46,'perfil de pagos'!$C$4:$C$46+'FACUS$'!$D1245)</f>
        <v>44274</v>
      </c>
      <c r="Q1245" s="165">
        <f t="shared" si="2"/>
        <v>0</v>
      </c>
      <c r="R1245" s="167"/>
      <c r="S1245" s="167"/>
      <c r="T1245" s="167"/>
      <c r="U1245" s="334" t="s">
        <v>7271</v>
      </c>
      <c r="V1245" s="168">
        <f t="shared" si="3"/>
        <v>20296.78</v>
      </c>
      <c r="W1245" s="168">
        <f t="shared" si="4"/>
        <v>0</v>
      </c>
      <c r="X1245" s="168">
        <f t="shared" si="5"/>
        <v>0</v>
      </c>
      <c r="Y1245" s="168">
        <f t="shared" si="6"/>
        <v>0</v>
      </c>
      <c r="Z1245" s="168">
        <f t="shared" si="7"/>
        <v>0</v>
      </c>
      <c r="AA1245" s="168">
        <f t="shared" si="8"/>
        <v>0</v>
      </c>
      <c r="AB1245" s="168">
        <f t="shared" si="9"/>
        <v>0</v>
      </c>
    </row>
    <row r="1246" ht="14.25" customHeight="1">
      <c r="A1246" s="157" t="s">
        <v>8223</v>
      </c>
      <c r="B1246" s="169" t="s">
        <v>127</v>
      </c>
      <c r="C1246" s="169"/>
      <c r="D1246" s="336"/>
      <c r="E1246" s="157"/>
      <c r="F1246" s="160"/>
      <c r="G1246" s="160"/>
      <c r="H1246" s="160">
        <f t="shared" si="40"/>
        <v>0</v>
      </c>
      <c r="I1246" s="172"/>
      <c r="J1246" s="169"/>
      <c r="K1246" s="172"/>
      <c r="L1246" s="172">
        <f>+'FACUS$'!$H1246-'FACUS$'!$I1246-'FACUS$'!$K1246</f>
        <v>0</v>
      </c>
      <c r="M1246" s="162"/>
      <c r="N1246" s="337" t="s">
        <v>127</v>
      </c>
      <c r="O1246" s="338"/>
      <c r="P1246" s="164" t="str">
        <f t="array" ref="P1246">XLOOKUP('FACUS$'!$B1246,'perfil de pagos'!$A$4:$A$46,'perfil de pagos'!$C$4:$C$46+'FACUS$'!$D1246)</f>
        <v>#N/A</v>
      </c>
      <c r="Q1246" s="165" t="str">
        <f t="shared" si="2"/>
        <v>N/A</v>
      </c>
      <c r="R1246" s="167"/>
      <c r="S1246" s="167"/>
      <c r="T1246" s="167"/>
      <c r="U1246" s="334" t="s">
        <v>7271</v>
      </c>
      <c r="V1246" s="168">
        <f t="shared" si="3"/>
        <v>0</v>
      </c>
      <c r="W1246" s="168">
        <f t="shared" si="4"/>
        <v>0</v>
      </c>
      <c r="X1246" s="168">
        <f t="shared" si="5"/>
        <v>0</v>
      </c>
      <c r="Y1246" s="168">
        <f t="shared" si="6"/>
        <v>0</v>
      </c>
      <c r="Z1246" s="168">
        <f t="shared" si="7"/>
        <v>0</v>
      </c>
      <c r="AA1246" s="168">
        <f t="shared" si="8"/>
        <v>0</v>
      </c>
      <c r="AB1246" s="168">
        <f t="shared" si="9"/>
        <v>0</v>
      </c>
    </row>
    <row r="1247" ht="14.25" customHeight="1">
      <c r="A1247" s="157" t="s">
        <v>8224</v>
      </c>
      <c r="B1247" s="169" t="s">
        <v>35</v>
      </c>
      <c r="C1247" s="169" t="s">
        <v>2667</v>
      </c>
      <c r="D1247" s="336">
        <v>44264.0</v>
      </c>
      <c r="E1247" s="157" t="s">
        <v>600</v>
      </c>
      <c r="F1247" s="160">
        <v>16912.91</v>
      </c>
      <c r="G1247" s="160">
        <v>2706.07</v>
      </c>
      <c r="H1247" s="160">
        <f t="shared" si="40"/>
        <v>19618.98</v>
      </c>
      <c r="I1247" s="172"/>
      <c r="J1247" s="169"/>
      <c r="K1247" s="172"/>
      <c r="L1247" s="172">
        <f>+'FACUS$'!$H1247-'FACUS$'!$I1247-'FACUS$'!$K1247</f>
        <v>19618.98</v>
      </c>
      <c r="M1247" s="162" t="s">
        <v>276</v>
      </c>
      <c r="N1247" s="337" t="s">
        <v>554</v>
      </c>
      <c r="O1247" s="338">
        <v>44294.0</v>
      </c>
      <c r="P1247" s="164">
        <f t="array" ref="P1247">XLOOKUP('FACUS$'!$B1247,'perfil de pagos'!$A$4:$A$46,'perfil de pagos'!$C$4:$C$46+'FACUS$'!$D1247)</f>
        <v>44274</v>
      </c>
      <c r="Q1247" s="165">
        <f t="shared" si="2"/>
        <v>0</v>
      </c>
      <c r="R1247" s="167"/>
      <c r="S1247" s="167"/>
      <c r="T1247" s="167"/>
      <c r="U1247" s="334" t="s">
        <v>7271</v>
      </c>
      <c r="V1247" s="168">
        <f t="shared" si="3"/>
        <v>19618.98</v>
      </c>
      <c r="W1247" s="168">
        <f t="shared" si="4"/>
        <v>0</v>
      </c>
      <c r="X1247" s="168">
        <f t="shared" si="5"/>
        <v>0</v>
      </c>
      <c r="Y1247" s="168">
        <f t="shared" si="6"/>
        <v>0</v>
      </c>
      <c r="Z1247" s="168">
        <f t="shared" si="7"/>
        <v>0</v>
      </c>
      <c r="AA1247" s="168">
        <f t="shared" si="8"/>
        <v>0</v>
      </c>
      <c r="AB1247" s="168">
        <f t="shared" si="9"/>
        <v>0</v>
      </c>
    </row>
    <row r="1248" ht="14.25" customHeight="1">
      <c r="A1248" s="157" t="s">
        <v>8225</v>
      </c>
      <c r="B1248" s="169" t="s">
        <v>36</v>
      </c>
      <c r="C1248" s="169" t="s">
        <v>2667</v>
      </c>
      <c r="D1248" s="336">
        <v>44264.0</v>
      </c>
      <c r="E1248" s="157" t="s">
        <v>600</v>
      </c>
      <c r="F1248" s="160">
        <v>854.78</v>
      </c>
      <c r="G1248" s="160">
        <v>136.76</v>
      </c>
      <c r="H1248" s="160">
        <f t="shared" si="40"/>
        <v>991.54</v>
      </c>
      <c r="I1248" s="172"/>
      <c r="J1248" s="169"/>
      <c r="K1248" s="172"/>
      <c r="L1248" s="172">
        <f>+'FACUS$'!$H1248-'FACUS$'!$I1248-'FACUS$'!$K1248</f>
        <v>991.54</v>
      </c>
      <c r="M1248" s="162" t="s">
        <v>278</v>
      </c>
      <c r="N1248" s="337" t="s">
        <v>554</v>
      </c>
      <c r="O1248" s="338">
        <v>44278.0</v>
      </c>
      <c r="P1248" s="164">
        <f t="array" ref="P1248">XLOOKUP('FACUS$'!$B1248,'perfil de pagos'!$A$4:$A$46,'perfil de pagos'!$C$4:$C$46+'FACUS$'!$D1248)</f>
        <v>44274</v>
      </c>
      <c r="Q1248" s="165">
        <f t="shared" si="2"/>
        <v>0</v>
      </c>
      <c r="R1248" s="220" t="s">
        <v>8226</v>
      </c>
      <c r="S1248" s="167" t="s">
        <v>910</v>
      </c>
      <c r="T1248" s="167"/>
      <c r="U1248" s="334" t="s">
        <v>7271</v>
      </c>
      <c r="V1248" s="168">
        <f t="shared" si="3"/>
        <v>991.54</v>
      </c>
      <c r="W1248" s="168">
        <f t="shared" si="4"/>
        <v>0</v>
      </c>
      <c r="X1248" s="168">
        <f t="shared" si="5"/>
        <v>0</v>
      </c>
      <c r="Y1248" s="168">
        <f t="shared" si="6"/>
        <v>0</v>
      </c>
      <c r="Z1248" s="168">
        <f t="shared" si="7"/>
        <v>0</v>
      </c>
      <c r="AA1248" s="168">
        <f t="shared" si="8"/>
        <v>0</v>
      </c>
      <c r="AB1248" s="168">
        <f t="shared" si="9"/>
        <v>0</v>
      </c>
    </row>
    <row r="1249" ht="14.25" customHeight="1">
      <c r="A1249" s="157" t="s">
        <v>8227</v>
      </c>
      <c r="B1249" s="169" t="s">
        <v>38</v>
      </c>
      <c r="C1249" s="169" t="s">
        <v>2667</v>
      </c>
      <c r="D1249" s="336">
        <v>44264.0</v>
      </c>
      <c r="E1249" s="157" t="s">
        <v>600</v>
      </c>
      <c r="F1249" s="160">
        <v>1338.7</v>
      </c>
      <c r="G1249" s="160">
        <v>214.19</v>
      </c>
      <c r="H1249" s="160">
        <f t="shared" si="40"/>
        <v>1552.89</v>
      </c>
      <c r="I1249" s="172"/>
      <c r="J1249" s="169"/>
      <c r="K1249" s="172"/>
      <c r="L1249" s="172">
        <f>+'FACUS$'!$H1249-'FACUS$'!$I1249-'FACUS$'!$K1249</f>
        <v>1552.89</v>
      </c>
      <c r="M1249" s="162" t="s">
        <v>145</v>
      </c>
      <c r="N1249" s="337" t="s">
        <v>554</v>
      </c>
      <c r="O1249" s="338">
        <v>44312.0</v>
      </c>
      <c r="P1249" s="164">
        <f t="array" ref="P1249">XLOOKUP('FACUS$'!$B1249,'perfil de pagos'!$A$4:$A$46,'perfil de pagos'!$C$4:$C$46+'FACUS$'!$D1249)</f>
        <v>44294</v>
      </c>
      <c r="Q1249" s="165">
        <f t="shared" si="2"/>
        <v>0</v>
      </c>
      <c r="R1249" s="220" t="s">
        <v>8228</v>
      </c>
      <c r="S1249" s="167"/>
      <c r="T1249" s="167"/>
      <c r="U1249" s="334" t="s">
        <v>7271</v>
      </c>
      <c r="V1249" s="168">
        <f t="shared" si="3"/>
        <v>1552.89</v>
      </c>
      <c r="W1249" s="168">
        <f t="shared" si="4"/>
        <v>0</v>
      </c>
      <c r="X1249" s="168">
        <f t="shared" si="5"/>
        <v>0</v>
      </c>
      <c r="Y1249" s="168">
        <f t="shared" si="6"/>
        <v>0</v>
      </c>
      <c r="Z1249" s="168">
        <f t="shared" si="7"/>
        <v>0</v>
      </c>
      <c r="AA1249" s="168">
        <f t="shared" si="8"/>
        <v>0</v>
      </c>
      <c r="AB1249" s="168">
        <f t="shared" si="9"/>
        <v>0</v>
      </c>
    </row>
    <row r="1250" ht="14.25" customHeight="1">
      <c r="A1250" s="157" t="s">
        <v>8229</v>
      </c>
      <c r="B1250" s="169" t="s">
        <v>1127</v>
      </c>
      <c r="C1250" s="169" t="s">
        <v>2667</v>
      </c>
      <c r="D1250" s="336">
        <v>44264.0</v>
      </c>
      <c r="E1250" s="157" t="s">
        <v>600</v>
      </c>
      <c r="F1250" s="160">
        <v>12850.69</v>
      </c>
      <c r="G1250" s="160">
        <v>2056.11</v>
      </c>
      <c r="H1250" s="160">
        <f t="shared" si="40"/>
        <v>14906.8</v>
      </c>
      <c r="I1250" s="172"/>
      <c r="J1250" s="169"/>
      <c r="K1250" s="172"/>
      <c r="L1250" s="172">
        <f>+'FACUS$'!$H1250-'FACUS$'!$I1250-'FACUS$'!$K1250</f>
        <v>14906.8</v>
      </c>
      <c r="M1250" s="162" t="s">
        <v>580</v>
      </c>
      <c r="N1250" s="337" t="s">
        <v>554</v>
      </c>
      <c r="O1250" s="338">
        <v>44273.0</v>
      </c>
      <c r="P1250" s="164" t="str">
        <f t="array" ref="P1250">XLOOKUP('FACUS$'!$B1250,'perfil de pagos'!$A$4:$A$46,'perfil de pagos'!$C$4:$C$46+'FACUS$'!$D1250)</f>
        <v>#N/A</v>
      </c>
      <c r="Q1250" s="165">
        <f t="shared" si="2"/>
        <v>0</v>
      </c>
      <c r="R1250" s="167"/>
      <c r="S1250" s="167"/>
      <c r="T1250" s="167"/>
      <c r="U1250" s="334" t="s">
        <v>7271</v>
      </c>
      <c r="V1250" s="168">
        <f t="shared" si="3"/>
        <v>14906.8</v>
      </c>
      <c r="W1250" s="168">
        <f t="shared" si="4"/>
        <v>0</v>
      </c>
      <c r="X1250" s="168">
        <f t="shared" si="5"/>
        <v>0</v>
      </c>
      <c r="Y1250" s="168">
        <f t="shared" si="6"/>
        <v>0</v>
      </c>
      <c r="Z1250" s="168">
        <f t="shared" si="7"/>
        <v>0</v>
      </c>
      <c r="AA1250" s="168">
        <f t="shared" si="8"/>
        <v>0</v>
      </c>
      <c r="AB1250" s="168">
        <f t="shared" si="9"/>
        <v>0</v>
      </c>
    </row>
    <row r="1251" ht="14.25" customHeight="1">
      <c r="A1251" s="157" t="s">
        <v>8230</v>
      </c>
      <c r="B1251" s="169" t="s">
        <v>43</v>
      </c>
      <c r="C1251" s="169" t="s">
        <v>2667</v>
      </c>
      <c r="D1251" s="336">
        <v>44264.0</v>
      </c>
      <c r="E1251" s="157" t="s">
        <v>600</v>
      </c>
      <c r="F1251" s="160">
        <v>19953.91</v>
      </c>
      <c r="G1251" s="160">
        <v>3192.63</v>
      </c>
      <c r="H1251" s="160">
        <f t="shared" si="40"/>
        <v>23146.54</v>
      </c>
      <c r="I1251" s="172"/>
      <c r="J1251" s="169"/>
      <c r="K1251" s="172"/>
      <c r="L1251" s="172">
        <f>+'FACUS$'!$H1251-'FACUS$'!$I1251-'FACUS$'!$K1251</f>
        <v>23146.54</v>
      </c>
      <c r="M1251" s="162" t="s">
        <v>43</v>
      </c>
      <c r="N1251" s="337" t="s">
        <v>554</v>
      </c>
      <c r="O1251" s="338">
        <v>44316.0</v>
      </c>
      <c r="P1251" s="164">
        <f t="array" ref="P1251">XLOOKUP('FACUS$'!$B1251,'perfil de pagos'!$A$4:$A$46,'perfil de pagos'!$C$4:$C$46+'FACUS$'!$D1251)</f>
        <v>44289</v>
      </c>
      <c r="Q1251" s="165">
        <f t="shared" si="2"/>
        <v>0</v>
      </c>
      <c r="R1251" s="167"/>
      <c r="S1251" s="167"/>
      <c r="T1251" s="167"/>
      <c r="U1251" s="334" t="s">
        <v>7271</v>
      </c>
      <c r="V1251" s="168">
        <f t="shared" si="3"/>
        <v>23146.54</v>
      </c>
      <c r="W1251" s="168">
        <f t="shared" si="4"/>
        <v>0</v>
      </c>
      <c r="X1251" s="168">
        <f t="shared" si="5"/>
        <v>0</v>
      </c>
      <c r="Y1251" s="168">
        <f t="shared" si="6"/>
        <v>0</v>
      </c>
      <c r="Z1251" s="168">
        <f t="shared" si="7"/>
        <v>0</v>
      </c>
      <c r="AA1251" s="168">
        <f t="shared" si="8"/>
        <v>0</v>
      </c>
      <c r="AB1251" s="168">
        <f t="shared" si="9"/>
        <v>0</v>
      </c>
    </row>
    <row r="1252" ht="14.25" customHeight="1">
      <c r="A1252" s="157" t="s">
        <v>8231</v>
      </c>
      <c r="B1252" s="169" t="s">
        <v>1127</v>
      </c>
      <c r="C1252" s="368" t="s">
        <v>8232</v>
      </c>
      <c r="D1252" s="336">
        <v>44273.0</v>
      </c>
      <c r="E1252" s="157" t="s">
        <v>600</v>
      </c>
      <c r="F1252" s="160">
        <v>3284.14</v>
      </c>
      <c r="G1252" s="160">
        <v>525.46</v>
      </c>
      <c r="H1252" s="160">
        <f t="shared" si="40"/>
        <v>3809.6</v>
      </c>
      <c r="I1252" s="172"/>
      <c r="J1252" s="169"/>
      <c r="K1252" s="172"/>
      <c r="L1252" s="172">
        <f>+'FACUS$'!$H1252-'FACUS$'!$I1252-'FACUS$'!$K1252</f>
        <v>3809.6</v>
      </c>
      <c r="M1252" s="162" t="s">
        <v>580</v>
      </c>
      <c r="N1252" s="337" t="s">
        <v>554</v>
      </c>
      <c r="O1252" s="338">
        <v>44294.0</v>
      </c>
      <c r="P1252" s="164" t="str">
        <f t="array" ref="P1252">XLOOKUP('FACUS$'!$B1252,'perfil de pagos'!$A$4:$A$46,'perfil de pagos'!$C$4:$C$46+'FACUS$'!$D1252)</f>
        <v>#N/A</v>
      </c>
      <c r="Q1252" s="165">
        <f t="shared" si="2"/>
        <v>0</v>
      </c>
      <c r="R1252" s="167"/>
      <c r="S1252" s="167"/>
      <c r="T1252" s="167"/>
      <c r="U1252" s="334" t="s">
        <v>7271</v>
      </c>
      <c r="V1252" s="168">
        <f t="shared" si="3"/>
        <v>3809.6</v>
      </c>
      <c r="W1252" s="168">
        <f t="shared" si="4"/>
        <v>0</v>
      </c>
      <c r="X1252" s="168">
        <f t="shared" si="5"/>
        <v>0</v>
      </c>
      <c r="Y1252" s="168">
        <f t="shared" si="6"/>
        <v>0</v>
      </c>
      <c r="Z1252" s="168">
        <f t="shared" si="7"/>
        <v>0</v>
      </c>
      <c r="AA1252" s="168">
        <f t="shared" si="8"/>
        <v>0</v>
      </c>
      <c r="AB1252" s="168">
        <f t="shared" si="9"/>
        <v>0</v>
      </c>
    </row>
    <row r="1253" ht="14.25" customHeight="1">
      <c r="A1253" s="157" t="s">
        <v>8233</v>
      </c>
      <c r="B1253" s="169" t="s">
        <v>36</v>
      </c>
      <c r="C1253" s="169" t="s">
        <v>8234</v>
      </c>
      <c r="D1253" s="336">
        <v>44273.0</v>
      </c>
      <c r="E1253" s="157" t="s">
        <v>600</v>
      </c>
      <c r="F1253" s="160">
        <v>1226.5</v>
      </c>
      <c r="G1253" s="160">
        <v>183.98</v>
      </c>
      <c r="H1253" s="160">
        <f t="shared" si="40"/>
        <v>1410.48</v>
      </c>
      <c r="I1253" s="172"/>
      <c r="J1253" s="169"/>
      <c r="K1253" s="172"/>
      <c r="L1253" s="172">
        <f>+'FACUS$'!$H1253-'FACUS$'!$I1253-'FACUS$'!$K1253</f>
        <v>1410.48</v>
      </c>
      <c r="M1253" s="162" t="s">
        <v>278</v>
      </c>
      <c r="N1253" s="337" t="s">
        <v>554</v>
      </c>
      <c r="O1253" s="338">
        <v>44386.0</v>
      </c>
      <c r="P1253" s="164">
        <f t="array" ref="P1253">XLOOKUP('FACUS$'!$B1253,'perfil de pagos'!$A$4:$A$46,'perfil de pagos'!$C$4:$C$46+'FACUS$'!$D1253)</f>
        <v>44283</v>
      </c>
      <c r="Q1253" s="165">
        <f t="shared" si="2"/>
        <v>0</v>
      </c>
      <c r="R1253" s="167" t="s">
        <v>8235</v>
      </c>
      <c r="S1253" s="167"/>
      <c r="T1253" s="167"/>
      <c r="U1253" s="334" t="s">
        <v>7271</v>
      </c>
      <c r="V1253" s="168">
        <f t="shared" si="3"/>
        <v>1410.48</v>
      </c>
      <c r="W1253" s="168">
        <f t="shared" si="4"/>
        <v>0</v>
      </c>
      <c r="X1253" s="168">
        <f t="shared" si="5"/>
        <v>0</v>
      </c>
      <c r="Y1253" s="168">
        <f t="shared" si="6"/>
        <v>0</v>
      </c>
      <c r="Z1253" s="168">
        <f t="shared" si="7"/>
        <v>0</v>
      </c>
      <c r="AA1253" s="168">
        <f t="shared" si="8"/>
        <v>0</v>
      </c>
      <c r="AB1253" s="168">
        <f t="shared" si="9"/>
        <v>0</v>
      </c>
    </row>
    <row r="1254" ht="14.25" customHeight="1">
      <c r="A1254" s="157" t="s">
        <v>8236</v>
      </c>
      <c r="B1254" s="169" t="s">
        <v>41</v>
      </c>
      <c r="C1254" s="169" t="s">
        <v>8237</v>
      </c>
      <c r="D1254" s="336">
        <v>44273.0</v>
      </c>
      <c r="E1254" s="157" t="s">
        <v>600</v>
      </c>
      <c r="F1254" s="160">
        <v>46358.04</v>
      </c>
      <c r="G1254" s="160">
        <v>7417.29</v>
      </c>
      <c r="H1254" s="160">
        <f t="shared" si="40"/>
        <v>53775.33</v>
      </c>
      <c r="I1254" s="172"/>
      <c r="J1254" s="169"/>
      <c r="K1254" s="172"/>
      <c r="L1254" s="172">
        <f>+'FACUS$'!$H1254-'FACUS$'!$I1254-'FACUS$'!$K1254</f>
        <v>53775.33</v>
      </c>
      <c r="M1254" s="162" t="s">
        <v>875</v>
      </c>
      <c r="N1254" s="337" t="s">
        <v>554</v>
      </c>
      <c r="O1254" s="338">
        <v>44489.0</v>
      </c>
      <c r="P1254" s="164">
        <f t="array" ref="P1254">XLOOKUP('FACUS$'!$B1254,'perfil de pagos'!$A$4:$A$46,'perfil de pagos'!$C$4:$C$46+'FACUS$'!$D1254)</f>
        <v>44283</v>
      </c>
      <c r="Q1254" s="165">
        <f t="shared" si="2"/>
        <v>0</v>
      </c>
      <c r="R1254" s="167"/>
      <c r="S1254" s="167"/>
      <c r="T1254" s="167"/>
      <c r="U1254" s="334" t="s">
        <v>7271</v>
      </c>
      <c r="V1254" s="168">
        <f t="shared" si="3"/>
        <v>53775.33</v>
      </c>
      <c r="W1254" s="168">
        <f t="shared" si="4"/>
        <v>0</v>
      </c>
      <c r="X1254" s="168">
        <f t="shared" si="5"/>
        <v>0</v>
      </c>
      <c r="Y1254" s="168">
        <f t="shared" si="6"/>
        <v>0</v>
      </c>
      <c r="Z1254" s="168">
        <f t="shared" si="7"/>
        <v>0</v>
      </c>
      <c r="AA1254" s="168">
        <f t="shared" si="8"/>
        <v>0</v>
      </c>
      <c r="AB1254" s="168">
        <f t="shared" si="9"/>
        <v>0</v>
      </c>
    </row>
    <row r="1255" ht="14.25" customHeight="1">
      <c r="A1255" s="157" t="s">
        <v>8238</v>
      </c>
      <c r="B1255" s="169" t="s">
        <v>39</v>
      </c>
      <c r="C1255" s="169" t="s">
        <v>8239</v>
      </c>
      <c r="D1255" s="336">
        <v>44281.0</v>
      </c>
      <c r="E1255" s="157" t="s">
        <v>600</v>
      </c>
      <c r="F1255" s="160">
        <v>217.7</v>
      </c>
      <c r="G1255" s="160">
        <v>34.83</v>
      </c>
      <c r="H1255" s="160">
        <f t="shared" si="40"/>
        <v>252.53</v>
      </c>
      <c r="I1255" s="172"/>
      <c r="J1255" s="169"/>
      <c r="K1255" s="172"/>
      <c r="L1255" s="172">
        <f>+'FACUS$'!$H1255-'FACUS$'!$I1255-'FACUS$'!$K1255</f>
        <v>252.53</v>
      </c>
      <c r="M1255" s="162" t="s">
        <v>570</v>
      </c>
      <c r="N1255" s="337" t="s">
        <v>554</v>
      </c>
      <c r="O1255" s="338">
        <v>44291.0</v>
      </c>
      <c r="P1255" s="164">
        <f t="array" ref="P1255">XLOOKUP('FACUS$'!$B1255,'perfil de pagos'!$A$4:$A$46,'perfil de pagos'!$C$4:$C$46+'FACUS$'!$D1255)</f>
        <v>44291</v>
      </c>
      <c r="Q1255" s="165">
        <f t="shared" si="2"/>
        <v>0</v>
      </c>
      <c r="R1255" s="167"/>
      <c r="S1255" s="167"/>
      <c r="T1255" s="167"/>
      <c r="U1255" s="334" t="s">
        <v>7271</v>
      </c>
      <c r="V1255" s="168">
        <f t="shared" si="3"/>
        <v>252.53</v>
      </c>
      <c r="W1255" s="168">
        <f t="shared" si="4"/>
        <v>0</v>
      </c>
      <c r="X1255" s="168">
        <f t="shared" si="5"/>
        <v>0</v>
      </c>
      <c r="Y1255" s="168">
        <f t="shared" si="6"/>
        <v>0</v>
      </c>
      <c r="Z1255" s="168">
        <f t="shared" si="7"/>
        <v>0</v>
      </c>
      <c r="AA1255" s="168">
        <f t="shared" si="8"/>
        <v>0</v>
      </c>
      <c r="AB1255" s="168">
        <f t="shared" si="9"/>
        <v>0</v>
      </c>
    </row>
    <row r="1256" ht="14.25" customHeight="1">
      <c r="A1256" s="157" t="s">
        <v>8240</v>
      </c>
      <c r="B1256" s="169" t="s">
        <v>18</v>
      </c>
      <c r="C1256" s="169" t="s">
        <v>2710</v>
      </c>
      <c r="D1256" s="336">
        <v>44284.0</v>
      </c>
      <c r="E1256" s="157" t="s">
        <v>600</v>
      </c>
      <c r="F1256" s="160">
        <v>7955.05</v>
      </c>
      <c r="G1256" s="160">
        <v>1272.81</v>
      </c>
      <c r="H1256" s="160">
        <f t="shared" si="40"/>
        <v>9227.86</v>
      </c>
      <c r="I1256" s="172"/>
      <c r="J1256" s="169"/>
      <c r="K1256" s="172"/>
      <c r="L1256" s="172">
        <f>+'FACUS$'!$H1256-'FACUS$'!$I1256-'FACUS$'!$K1256</f>
        <v>9227.86</v>
      </c>
      <c r="M1256" s="162" t="s">
        <v>586</v>
      </c>
      <c r="N1256" s="337" t="s">
        <v>554</v>
      </c>
      <c r="O1256" s="338">
        <v>44294.0</v>
      </c>
      <c r="P1256" s="164">
        <f t="array" ref="P1256">XLOOKUP('FACUS$'!$B1256,'perfil de pagos'!$A$4:$A$46,'perfil de pagos'!$C$4:$C$46+'FACUS$'!$D1256)</f>
        <v>44294</v>
      </c>
      <c r="Q1256" s="165">
        <f t="shared" si="2"/>
        <v>0</v>
      </c>
      <c r="R1256" s="167"/>
      <c r="S1256" s="167"/>
      <c r="T1256" s="167"/>
      <c r="U1256" s="334" t="s">
        <v>7271</v>
      </c>
      <c r="V1256" s="168">
        <f t="shared" si="3"/>
        <v>9227.86</v>
      </c>
      <c r="W1256" s="168">
        <f t="shared" si="4"/>
        <v>0</v>
      </c>
      <c r="X1256" s="168">
        <f t="shared" si="5"/>
        <v>0</v>
      </c>
      <c r="Y1256" s="168">
        <f t="shared" si="6"/>
        <v>0</v>
      </c>
      <c r="Z1256" s="168">
        <f t="shared" si="7"/>
        <v>0</v>
      </c>
      <c r="AA1256" s="168">
        <f t="shared" si="8"/>
        <v>0</v>
      </c>
      <c r="AB1256" s="168">
        <f t="shared" si="9"/>
        <v>0</v>
      </c>
    </row>
    <row r="1257" ht="14.25" customHeight="1">
      <c r="A1257" s="157" t="s">
        <v>8241</v>
      </c>
      <c r="B1257" s="169" t="s">
        <v>127</v>
      </c>
      <c r="C1257" s="169"/>
      <c r="D1257" s="336"/>
      <c r="E1257" s="157"/>
      <c r="F1257" s="160"/>
      <c r="G1257" s="160"/>
      <c r="H1257" s="160">
        <f t="shared" si="40"/>
        <v>0</v>
      </c>
      <c r="I1257" s="172"/>
      <c r="J1257" s="169"/>
      <c r="K1257" s="172"/>
      <c r="L1257" s="172">
        <f>+'FACUS$'!$H1257-'FACUS$'!$I1257-'FACUS$'!$K1257</f>
        <v>0</v>
      </c>
      <c r="M1257" s="162"/>
      <c r="N1257" s="337" t="s">
        <v>127</v>
      </c>
      <c r="O1257" s="338"/>
      <c r="P1257" s="164" t="str">
        <f t="array" ref="P1257">XLOOKUP('FACUS$'!$B1257,'perfil de pagos'!$A$4:$A$46,'perfil de pagos'!$C$4:$C$46+'FACUS$'!$D1257)</f>
        <v>#N/A</v>
      </c>
      <c r="Q1257" s="165" t="str">
        <f t="shared" si="2"/>
        <v>N/A</v>
      </c>
      <c r="R1257" s="167"/>
      <c r="S1257" s="167"/>
      <c r="T1257" s="167"/>
      <c r="U1257" s="334" t="s">
        <v>7271</v>
      </c>
      <c r="V1257" s="168">
        <f t="shared" si="3"/>
        <v>0</v>
      </c>
      <c r="W1257" s="168">
        <f t="shared" si="4"/>
        <v>0</v>
      </c>
      <c r="X1257" s="168">
        <f t="shared" si="5"/>
        <v>0</v>
      </c>
      <c r="Y1257" s="168">
        <f t="shared" si="6"/>
        <v>0</v>
      </c>
      <c r="Z1257" s="168">
        <f t="shared" si="7"/>
        <v>0</v>
      </c>
      <c r="AA1257" s="168">
        <f t="shared" si="8"/>
        <v>0</v>
      </c>
      <c r="AB1257" s="168">
        <f t="shared" si="9"/>
        <v>0</v>
      </c>
    </row>
    <row r="1258" ht="14.25" customHeight="1">
      <c r="A1258" s="157" t="s">
        <v>8242</v>
      </c>
      <c r="B1258" s="169" t="s">
        <v>20</v>
      </c>
      <c r="C1258" s="169" t="s">
        <v>2710</v>
      </c>
      <c r="D1258" s="336">
        <v>44284.0</v>
      </c>
      <c r="E1258" s="157" t="s">
        <v>600</v>
      </c>
      <c r="F1258" s="160">
        <v>12675.55</v>
      </c>
      <c r="G1258" s="160">
        <v>2028.09</v>
      </c>
      <c r="H1258" s="160">
        <f t="shared" si="40"/>
        <v>14703.64</v>
      </c>
      <c r="I1258" s="172"/>
      <c r="J1258" s="169"/>
      <c r="K1258" s="172"/>
      <c r="L1258" s="172">
        <f>+'FACUS$'!$H1258-'FACUS$'!$I1258-'FACUS$'!$K1258</f>
        <v>14703.64</v>
      </c>
      <c r="M1258" s="162" t="s">
        <v>732</v>
      </c>
      <c r="N1258" s="337" t="s">
        <v>554</v>
      </c>
      <c r="O1258" s="338">
        <v>44294.0</v>
      </c>
      <c r="P1258" s="164">
        <f t="array" ref="P1258">XLOOKUP('FACUS$'!$B1258,'perfil de pagos'!$A$4:$A$46,'perfil de pagos'!$C$4:$C$46+'FACUS$'!$D1258)</f>
        <v>44294</v>
      </c>
      <c r="Q1258" s="165">
        <f t="shared" si="2"/>
        <v>0</v>
      </c>
      <c r="R1258" s="167"/>
      <c r="S1258" s="167"/>
      <c r="T1258" s="167"/>
      <c r="U1258" s="334" t="s">
        <v>7271</v>
      </c>
      <c r="V1258" s="168">
        <f t="shared" si="3"/>
        <v>14703.64</v>
      </c>
      <c r="W1258" s="168">
        <f t="shared" si="4"/>
        <v>0</v>
      </c>
      <c r="X1258" s="168">
        <f t="shared" si="5"/>
        <v>0</v>
      </c>
      <c r="Y1258" s="168">
        <f t="shared" si="6"/>
        <v>0</v>
      </c>
      <c r="Z1258" s="168">
        <f t="shared" si="7"/>
        <v>0</v>
      </c>
      <c r="AA1258" s="168">
        <f t="shared" si="8"/>
        <v>0</v>
      </c>
      <c r="AB1258" s="168">
        <f t="shared" si="9"/>
        <v>0</v>
      </c>
    </row>
    <row r="1259" ht="14.25" customHeight="1">
      <c r="A1259" s="157" t="s">
        <v>8243</v>
      </c>
      <c r="B1259" s="169" t="s">
        <v>39</v>
      </c>
      <c r="C1259" s="169" t="s">
        <v>2708</v>
      </c>
      <c r="D1259" s="336">
        <v>44284.0</v>
      </c>
      <c r="E1259" s="157" t="s">
        <v>600</v>
      </c>
      <c r="F1259" s="160">
        <v>7861.84</v>
      </c>
      <c r="G1259" s="160">
        <v>1257.89</v>
      </c>
      <c r="H1259" s="160">
        <f t="shared" si="40"/>
        <v>9119.73</v>
      </c>
      <c r="I1259" s="172"/>
      <c r="J1259" s="169"/>
      <c r="K1259" s="172"/>
      <c r="L1259" s="172">
        <f>+'FACUS$'!$H1259-'FACUS$'!$I1259-'FACUS$'!$K1259</f>
        <v>9119.73</v>
      </c>
      <c r="M1259" s="162" t="s">
        <v>570</v>
      </c>
      <c r="N1259" s="338" t="s">
        <v>554</v>
      </c>
      <c r="O1259" s="338">
        <v>44295.0</v>
      </c>
      <c r="P1259" s="164">
        <f t="array" ref="P1259">XLOOKUP('FACUS$'!$B1259,'perfil de pagos'!$A$4:$A$46,'perfil de pagos'!$C$4:$C$46+'FACUS$'!$D1259)</f>
        <v>44294</v>
      </c>
      <c r="Q1259" s="165">
        <f t="shared" si="2"/>
        <v>0</v>
      </c>
      <c r="R1259" s="167"/>
      <c r="S1259" s="167"/>
      <c r="T1259" s="167"/>
      <c r="U1259" s="334" t="s">
        <v>7271</v>
      </c>
      <c r="V1259" s="168">
        <f t="shared" si="3"/>
        <v>9119.73</v>
      </c>
      <c r="W1259" s="168">
        <f t="shared" si="4"/>
        <v>0</v>
      </c>
      <c r="X1259" s="168">
        <f t="shared" si="5"/>
        <v>0</v>
      </c>
      <c r="Y1259" s="168">
        <f t="shared" si="6"/>
        <v>0</v>
      </c>
      <c r="Z1259" s="168">
        <f t="shared" si="7"/>
        <v>0</v>
      </c>
      <c r="AA1259" s="168">
        <f t="shared" si="8"/>
        <v>0</v>
      </c>
      <c r="AB1259" s="168">
        <f t="shared" si="9"/>
        <v>0</v>
      </c>
    </row>
    <row r="1260" ht="14.25" customHeight="1">
      <c r="A1260" s="157" t="s">
        <v>8244</v>
      </c>
      <c r="B1260" s="169" t="s">
        <v>39</v>
      </c>
      <c r="C1260" s="169" t="s">
        <v>2710</v>
      </c>
      <c r="D1260" s="336">
        <v>44284.0</v>
      </c>
      <c r="E1260" s="157" t="s">
        <v>600</v>
      </c>
      <c r="F1260" s="160">
        <v>13179.92</v>
      </c>
      <c r="G1260" s="160">
        <v>2108.79</v>
      </c>
      <c r="H1260" s="160">
        <f t="shared" si="40"/>
        <v>15288.71</v>
      </c>
      <c r="I1260" s="172"/>
      <c r="J1260" s="169"/>
      <c r="K1260" s="172"/>
      <c r="L1260" s="172">
        <f>+'FACUS$'!$H1260-'FACUS$'!$I1260-'FACUS$'!$K1260</f>
        <v>15288.71</v>
      </c>
      <c r="M1260" s="162" t="s">
        <v>570</v>
      </c>
      <c r="N1260" s="337" t="s">
        <v>554</v>
      </c>
      <c r="O1260" s="338">
        <v>44295.0</v>
      </c>
      <c r="P1260" s="164">
        <f t="array" ref="P1260">XLOOKUP('FACUS$'!$B1260,'perfil de pagos'!$A$4:$A$46,'perfil de pagos'!$C$4:$C$46+'FACUS$'!$D1260)</f>
        <v>44294</v>
      </c>
      <c r="Q1260" s="165">
        <f t="shared" si="2"/>
        <v>0</v>
      </c>
      <c r="R1260" s="167"/>
      <c r="S1260" s="167"/>
      <c r="T1260" s="167"/>
      <c r="U1260" s="334" t="s">
        <v>7271</v>
      </c>
      <c r="V1260" s="168">
        <f t="shared" si="3"/>
        <v>15288.71</v>
      </c>
      <c r="W1260" s="168">
        <f t="shared" si="4"/>
        <v>0</v>
      </c>
      <c r="X1260" s="168">
        <f t="shared" si="5"/>
        <v>0</v>
      </c>
      <c r="Y1260" s="168">
        <f t="shared" si="6"/>
        <v>0</v>
      </c>
      <c r="Z1260" s="168">
        <f t="shared" si="7"/>
        <v>0</v>
      </c>
      <c r="AA1260" s="168">
        <f t="shared" si="8"/>
        <v>0</v>
      </c>
      <c r="AB1260" s="168">
        <f t="shared" si="9"/>
        <v>0</v>
      </c>
    </row>
    <row r="1261" ht="14.25" customHeight="1">
      <c r="A1261" s="157" t="s">
        <v>8245</v>
      </c>
      <c r="B1261" s="169" t="s">
        <v>41</v>
      </c>
      <c r="C1261" s="169" t="s">
        <v>2710</v>
      </c>
      <c r="D1261" s="336">
        <v>44284.0</v>
      </c>
      <c r="E1261" s="157" t="s">
        <v>600</v>
      </c>
      <c r="F1261" s="160">
        <v>39440.25</v>
      </c>
      <c r="G1261" s="160">
        <v>6310.44</v>
      </c>
      <c r="H1261" s="160">
        <f t="shared" si="40"/>
        <v>45750.69</v>
      </c>
      <c r="I1261" s="172"/>
      <c r="J1261" s="169"/>
      <c r="K1261" s="172"/>
      <c r="L1261" s="172">
        <f>+'FACUS$'!$H1261-'FACUS$'!$I1261-'FACUS$'!$K1261</f>
        <v>45750.69</v>
      </c>
      <c r="M1261" s="162" t="s">
        <v>875</v>
      </c>
      <c r="N1261" s="337" t="s">
        <v>554</v>
      </c>
      <c r="O1261" s="338">
        <v>44489.0</v>
      </c>
      <c r="P1261" s="164">
        <f t="array" ref="P1261">XLOOKUP('FACUS$'!$B1261,'perfil de pagos'!$A$4:$A$46,'perfil de pagos'!$C$4:$C$46+'FACUS$'!$D1261)</f>
        <v>44294</v>
      </c>
      <c r="Q1261" s="165">
        <f t="shared" si="2"/>
        <v>0</v>
      </c>
      <c r="R1261" s="167"/>
      <c r="S1261" s="167"/>
      <c r="T1261" s="167"/>
      <c r="U1261" s="334" t="s">
        <v>7271</v>
      </c>
      <c r="V1261" s="168">
        <f t="shared" si="3"/>
        <v>45750.69</v>
      </c>
      <c r="W1261" s="168">
        <f t="shared" si="4"/>
        <v>0</v>
      </c>
      <c r="X1261" s="168">
        <f t="shared" si="5"/>
        <v>0</v>
      </c>
      <c r="Y1261" s="168">
        <f t="shared" si="6"/>
        <v>0</v>
      </c>
      <c r="Z1261" s="168">
        <f t="shared" si="7"/>
        <v>0</v>
      </c>
      <c r="AA1261" s="168">
        <f t="shared" si="8"/>
        <v>0</v>
      </c>
      <c r="AB1261" s="168">
        <f t="shared" si="9"/>
        <v>0</v>
      </c>
    </row>
    <row r="1262" ht="14.25" customHeight="1">
      <c r="A1262" s="157" t="s">
        <v>8246</v>
      </c>
      <c r="B1262" s="169" t="s">
        <v>37</v>
      </c>
      <c r="C1262" s="169" t="s">
        <v>2710</v>
      </c>
      <c r="D1262" s="336">
        <v>44284.0</v>
      </c>
      <c r="E1262" s="157" t="s">
        <v>600</v>
      </c>
      <c r="F1262" s="160">
        <v>77349.99</v>
      </c>
      <c r="G1262" s="160">
        <v>12376.0</v>
      </c>
      <c r="H1262" s="160">
        <f t="shared" si="40"/>
        <v>89725.99</v>
      </c>
      <c r="I1262" s="172"/>
      <c r="J1262" s="169"/>
      <c r="K1262" s="172"/>
      <c r="L1262" s="172">
        <f>+'FACUS$'!$H1262-'FACUS$'!$I1262-'FACUS$'!$K1262</f>
        <v>89725.99</v>
      </c>
      <c r="M1262" s="162" t="s">
        <v>116</v>
      </c>
      <c r="N1262" s="337" t="s">
        <v>554</v>
      </c>
      <c r="O1262" s="338">
        <v>44305.0</v>
      </c>
      <c r="P1262" s="164">
        <f t="array" ref="P1262">XLOOKUP('FACUS$'!$B1262,'perfil de pagos'!$A$4:$A$46,'perfil de pagos'!$C$4:$C$46+'FACUS$'!$D1262)</f>
        <v>44294</v>
      </c>
      <c r="Q1262" s="165">
        <f t="shared" si="2"/>
        <v>0</v>
      </c>
      <c r="R1262" s="167" t="s">
        <v>8247</v>
      </c>
      <c r="S1262" s="167"/>
      <c r="T1262" s="167"/>
      <c r="U1262" s="334" t="s">
        <v>7271</v>
      </c>
      <c r="V1262" s="168">
        <f t="shared" si="3"/>
        <v>89725.99</v>
      </c>
      <c r="W1262" s="168">
        <f t="shared" si="4"/>
        <v>0</v>
      </c>
      <c r="X1262" s="168">
        <f t="shared" si="5"/>
        <v>0</v>
      </c>
      <c r="Y1262" s="168">
        <f t="shared" si="6"/>
        <v>0</v>
      </c>
      <c r="Z1262" s="168">
        <f t="shared" si="7"/>
        <v>0</v>
      </c>
      <c r="AA1262" s="168">
        <f t="shared" si="8"/>
        <v>0</v>
      </c>
      <c r="AB1262" s="168">
        <f t="shared" si="9"/>
        <v>0</v>
      </c>
    </row>
    <row r="1263" ht="14.25" customHeight="1">
      <c r="A1263" s="157" t="s">
        <v>8248</v>
      </c>
      <c r="B1263" s="169" t="s">
        <v>33</v>
      </c>
      <c r="C1263" s="169" t="s">
        <v>2710</v>
      </c>
      <c r="D1263" s="336">
        <v>44284.0</v>
      </c>
      <c r="E1263" s="157" t="s">
        <v>600</v>
      </c>
      <c r="F1263" s="160">
        <v>36068.31</v>
      </c>
      <c r="G1263" s="160">
        <v>5770.93</v>
      </c>
      <c r="H1263" s="160">
        <f t="shared" si="40"/>
        <v>41839.24</v>
      </c>
      <c r="I1263" s="172"/>
      <c r="J1263" s="169"/>
      <c r="K1263" s="172"/>
      <c r="L1263" s="172">
        <f>+'FACUS$'!$H1263-'FACUS$'!$I1263-'FACUS$'!$K1263</f>
        <v>41839.24</v>
      </c>
      <c r="M1263" s="162" t="s">
        <v>958</v>
      </c>
      <c r="N1263" s="337" t="s">
        <v>554</v>
      </c>
      <c r="O1263" s="338">
        <v>44295.0</v>
      </c>
      <c r="P1263" s="164">
        <f t="array" ref="P1263">XLOOKUP('FACUS$'!$B1263,'perfil de pagos'!$A$4:$A$46,'perfil de pagos'!$C$4:$C$46+'FACUS$'!$D1263)</f>
        <v>44294</v>
      </c>
      <c r="Q1263" s="165">
        <f t="shared" si="2"/>
        <v>0</v>
      </c>
      <c r="R1263" s="167"/>
      <c r="S1263" s="167"/>
      <c r="T1263" s="167"/>
      <c r="U1263" s="334" t="s">
        <v>7271</v>
      </c>
      <c r="V1263" s="168">
        <f t="shared" si="3"/>
        <v>41839.24</v>
      </c>
      <c r="W1263" s="168">
        <f t="shared" si="4"/>
        <v>0</v>
      </c>
      <c r="X1263" s="168">
        <f t="shared" si="5"/>
        <v>0</v>
      </c>
      <c r="Y1263" s="168">
        <f t="shared" si="6"/>
        <v>0</v>
      </c>
      <c r="Z1263" s="168">
        <f t="shared" si="7"/>
        <v>0</v>
      </c>
      <c r="AA1263" s="168">
        <f t="shared" si="8"/>
        <v>0</v>
      </c>
      <c r="AB1263" s="168">
        <f t="shared" si="9"/>
        <v>0</v>
      </c>
    </row>
    <row r="1264" ht="14.25" customHeight="1">
      <c r="A1264" s="157" t="s">
        <v>8249</v>
      </c>
      <c r="B1264" s="169" t="s">
        <v>35</v>
      </c>
      <c r="C1264" s="169" t="s">
        <v>2710</v>
      </c>
      <c r="D1264" s="336">
        <v>44284.0</v>
      </c>
      <c r="E1264" s="157" t="s">
        <v>600</v>
      </c>
      <c r="F1264" s="160">
        <v>13332.99</v>
      </c>
      <c r="G1264" s="160">
        <v>2133.28</v>
      </c>
      <c r="H1264" s="160">
        <f t="shared" si="40"/>
        <v>15466.27</v>
      </c>
      <c r="I1264" s="172"/>
      <c r="J1264" s="169"/>
      <c r="K1264" s="172"/>
      <c r="L1264" s="172">
        <f>+'FACUS$'!$H1264-'FACUS$'!$I1264-'FACUS$'!$K1264</f>
        <v>15466.27</v>
      </c>
      <c r="M1264" s="162" t="s">
        <v>276</v>
      </c>
      <c r="N1264" s="337" t="s">
        <v>554</v>
      </c>
      <c r="O1264" s="338">
        <v>44300.0</v>
      </c>
      <c r="P1264" s="164">
        <f t="array" ref="P1264">XLOOKUP('FACUS$'!$B1264,'perfil de pagos'!$A$4:$A$46,'perfil de pagos'!$C$4:$C$46+'FACUS$'!$D1264)</f>
        <v>44294</v>
      </c>
      <c r="Q1264" s="165">
        <f t="shared" si="2"/>
        <v>0</v>
      </c>
      <c r="R1264" s="167"/>
      <c r="S1264" s="167"/>
      <c r="T1264" s="167"/>
      <c r="U1264" s="334" t="s">
        <v>7271</v>
      </c>
      <c r="V1264" s="168">
        <f t="shared" si="3"/>
        <v>15466.27</v>
      </c>
      <c r="W1264" s="168">
        <f t="shared" si="4"/>
        <v>0</v>
      </c>
      <c r="X1264" s="168">
        <f t="shared" si="5"/>
        <v>0</v>
      </c>
      <c r="Y1264" s="168">
        <f t="shared" si="6"/>
        <v>0</v>
      </c>
      <c r="Z1264" s="168">
        <f t="shared" si="7"/>
        <v>0</v>
      </c>
      <c r="AA1264" s="168">
        <f t="shared" si="8"/>
        <v>0</v>
      </c>
      <c r="AB1264" s="168">
        <f t="shared" si="9"/>
        <v>0</v>
      </c>
    </row>
    <row r="1265" ht="14.25" customHeight="1">
      <c r="A1265" s="157" t="s">
        <v>8250</v>
      </c>
      <c r="B1265" s="169" t="s">
        <v>36</v>
      </c>
      <c r="C1265" s="169" t="s">
        <v>2710</v>
      </c>
      <c r="D1265" s="336">
        <v>44284.0</v>
      </c>
      <c r="E1265" s="157" t="s">
        <v>600</v>
      </c>
      <c r="F1265" s="160">
        <v>1322.78</v>
      </c>
      <c r="G1265" s="160">
        <v>211.64</v>
      </c>
      <c r="H1265" s="160">
        <f t="shared" si="40"/>
        <v>1534.42</v>
      </c>
      <c r="I1265" s="172"/>
      <c r="J1265" s="169"/>
      <c r="K1265" s="172"/>
      <c r="L1265" s="172">
        <f>+'FACUS$'!$H1265-'FACUS$'!$I1265-'FACUS$'!$K1265</f>
        <v>1534.42</v>
      </c>
      <c r="M1265" s="162" t="s">
        <v>278</v>
      </c>
      <c r="N1265" s="337" t="s">
        <v>554</v>
      </c>
      <c r="O1265" s="338">
        <v>44305.0</v>
      </c>
      <c r="P1265" s="164">
        <f t="array" ref="P1265">XLOOKUP('FACUS$'!$B1265,'perfil de pagos'!$A$4:$A$46,'perfil de pagos'!$C$4:$C$46+'FACUS$'!$D1265)</f>
        <v>44294</v>
      </c>
      <c r="Q1265" s="165">
        <f t="shared" si="2"/>
        <v>0</v>
      </c>
      <c r="R1265" s="167" t="s">
        <v>8251</v>
      </c>
      <c r="S1265" s="167"/>
      <c r="T1265" s="167"/>
      <c r="U1265" s="334" t="s">
        <v>7271</v>
      </c>
      <c r="V1265" s="168">
        <f t="shared" si="3"/>
        <v>1534.42</v>
      </c>
      <c r="W1265" s="168">
        <f t="shared" si="4"/>
        <v>0</v>
      </c>
      <c r="X1265" s="168">
        <f t="shared" si="5"/>
        <v>0</v>
      </c>
      <c r="Y1265" s="168">
        <f t="shared" si="6"/>
        <v>0</v>
      </c>
      <c r="Z1265" s="168">
        <f t="shared" si="7"/>
        <v>0</v>
      </c>
      <c r="AA1265" s="168">
        <f t="shared" si="8"/>
        <v>0</v>
      </c>
      <c r="AB1265" s="168">
        <f t="shared" si="9"/>
        <v>0</v>
      </c>
    </row>
    <row r="1266" ht="14.25" customHeight="1">
      <c r="A1266" s="157" t="s">
        <v>8252</v>
      </c>
      <c r="B1266" s="169" t="s">
        <v>38</v>
      </c>
      <c r="C1266" s="169" t="s">
        <v>2710</v>
      </c>
      <c r="D1266" s="336">
        <v>44284.0</v>
      </c>
      <c r="E1266" s="157" t="s">
        <v>600</v>
      </c>
      <c r="F1266" s="160">
        <v>7996.47</v>
      </c>
      <c r="G1266" s="160">
        <v>1279.44</v>
      </c>
      <c r="H1266" s="160">
        <f t="shared" si="40"/>
        <v>9275.91</v>
      </c>
      <c r="I1266" s="172"/>
      <c r="J1266" s="169"/>
      <c r="K1266" s="172"/>
      <c r="L1266" s="172">
        <f>+'FACUS$'!$H1266-'FACUS$'!$I1266-'FACUS$'!$K1266</f>
        <v>9275.91</v>
      </c>
      <c r="M1266" s="162" t="s">
        <v>145</v>
      </c>
      <c r="N1266" s="337" t="s">
        <v>554</v>
      </c>
      <c r="O1266" s="338">
        <v>44340.0</v>
      </c>
      <c r="P1266" s="164">
        <f t="array" ref="P1266">XLOOKUP('FACUS$'!$B1266,'perfil de pagos'!$A$4:$A$46,'perfil de pagos'!$C$4:$C$46+'FACUS$'!$D1266)</f>
        <v>44314</v>
      </c>
      <c r="Q1266" s="165">
        <f t="shared" si="2"/>
        <v>0</v>
      </c>
      <c r="R1266" s="220" t="s">
        <v>8253</v>
      </c>
      <c r="S1266" s="167"/>
      <c r="T1266" s="167"/>
      <c r="U1266" s="334" t="s">
        <v>7271</v>
      </c>
      <c r="V1266" s="168">
        <f t="shared" si="3"/>
        <v>9275.91</v>
      </c>
      <c r="W1266" s="168">
        <f t="shared" si="4"/>
        <v>0</v>
      </c>
      <c r="X1266" s="168">
        <f t="shared" si="5"/>
        <v>0</v>
      </c>
      <c r="Y1266" s="168">
        <f t="shared" si="6"/>
        <v>0</v>
      </c>
      <c r="Z1266" s="168">
        <f t="shared" si="7"/>
        <v>0</v>
      </c>
      <c r="AA1266" s="168">
        <f t="shared" si="8"/>
        <v>0</v>
      </c>
      <c r="AB1266" s="168">
        <f t="shared" si="9"/>
        <v>0</v>
      </c>
    </row>
    <row r="1267" ht="14.25" customHeight="1">
      <c r="A1267" s="157" t="s">
        <v>8254</v>
      </c>
      <c r="B1267" s="169" t="s">
        <v>1127</v>
      </c>
      <c r="C1267" s="169" t="s">
        <v>2710</v>
      </c>
      <c r="D1267" s="336">
        <v>44284.0</v>
      </c>
      <c r="E1267" s="157" t="s">
        <v>600</v>
      </c>
      <c r="F1267" s="160">
        <v>31569.61</v>
      </c>
      <c r="G1267" s="160">
        <v>5051.14</v>
      </c>
      <c r="H1267" s="160">
        <f t="shared" si="40"/>
        <v>36620.75</v>
      </c>
      <c r="I1267" s="172"/>
      <c r="J1267" s="169"/>
      <c r="K1267" s="172"/>
      <c r="L1267" s="172">
        <f>+'FACUS$'!$H1267-'FACUS$'!$I1267-'FACUS$'!$K1267</f>
        <v>36620.75</v>
      </c>
      <c r="M1267" s="162" t="s">
        <v>580</v>
      </c>
      <c r="N1267" s="337" t="s">
        <v>554</v>
      </c>
      <c r="O1267" s="338">
        <v>44294.0</v>
      </c>
      <c r="P1267" s="164" t="str">
        <f t="array" ref="P1267">XLOOKUP('FACUS$'!$B1267,'perfil de pagos'!$A$4:$A$46,'perfil de pagos'!$C$4:$C$46+'FACUS$'!$D1267)</f>
        <v>#N/A</v>
      </c>
      <c r="Q1267" s="165">
        <f t="shared" si="2"/>
        <v>0</v>
      </c>
      <c r="R1267" s="167"/>
      <c r="S1267" s="167"/>
      <c r="T1267" s="167"/>
      <c r="U1267" s="334" t="s">
        <v>7271</v>
      </c>
      <c r="V1267" s="168">
        <f t="shared" si="3"/>
        <v>36620.75</v>
      </c>
      <c r="W1267" s="168">
        <f t="shared" si="4"/>
        <v>0</v>
      </c>
      <c r="X1267" s="168">
        <f t="shared" si="5"/>
        <v>0</v>
      </c>
      <c r="Y1267" s="168">
        <f t="shared" si="6"/>
        <v>0</v>
      </c>
      <c r="Z1267" s="168">
        <f t="shared" si="7"/>
        <v>0</v>
      </c>
      <c r="AA1267" s="168">
        <f t="shared" si="8"/>
        <v>0</v>
      </c>
      <c r="AB1267" s="168">
        <f t="shared" si="9"/>
        <v>0</v>
      </c>
    </row>
    <row r="1268" ht="14.25" customHeight="1">
      <c r="A1268" s="157" t="s">
        <v>8255</v>
      </c>
      <c r="B1268" s="169" t="s">
        <v>43</v>
      </c>
      <c r="C1268" s="169" t="s">
        <v>2710</v>
      </c>
      <c r="D1268" s="336">
        <v>44284.0</v>
      </c>
      <c r="E1268" s="157" t="s">
        <v>600</v>
      </c>
      <c r="F1268" s="160">
        <v>42242.42</v>
      </c>
      <c r="G1268" s="160">
        <v>6758.79</v>
      </c>
      <c r="H1268" s="160">
        <f t="shared" si="40"/>
        <v>49001.21</v>
      </c>
      <c r="I1268" s="172"/>
      <c r="J1268" s="169"/>
      <c r="K1268" s="172"/>
      <c r="L1268" s="172">
        <f>+'FACUS$'!$H1268-'FACUS$'!$I1268-'FACUS$'!$K1268</f>
        <v>49001.21</v>
      </c>
      <c r="M1268" s="162" t="s">
        <v>43</v>
      </c>
      <c r="N1268" s="337" t="s">
        <v>554</v>
      </c>
      <c r="O1268" s="338">
        <v>44316.0</v>
      </c>
      <c r="P1268" s="164">
        <f t="array" ref="P1268">XLOOKUP('FACUS$'!$B1268,'perfil de pagos'!$A$4:$A$46,'perfil de pagos'!$C$4:$C$46+'FACUS$'!$D1268)</f>
        <v>44309</v>
      </c>
      <c r="Q1268" s="165">
        <f t="shared" si="2"/>
        <v>0</v>
      </c>
      <c r="R1268" s="167"/>
      <c r="S1268" s="167"/>
      <c r="T1268" s="167"/>
      <c r="U1268" s="334" t="s">
        <v>7271</v>
      </c>
      <c r="V1268" s="168">
        <f t="shared" si="3"/>
        <v>49001.21</v>
      </c>
      <c r="W1268" s="168">
        <f t="shared" si="4"/>
        <v>0</v>
      </c>
      <c r="X1268" s="168">
        <f t="shared" si="5"/>
        <v>0</v>
      </c>
      <c r="Y1268" s="168">
        <f t="shared" si="6"/>
        <v>0</v>
      </c>
      <c r="Z1268" s="168">
        <f t="shared" si="7"/>
        <v>0</v>
      </c>
      <c r="AA1268" s="168">
        <f t="shared" si="8"/>
        <v>0</v>
      </c>
      <c r="AB1268" s="168">
        <f t="shared" si="9"/>
        <v>0</v>
      </c>
    </row>
    <row r="1269" ht="14.25" customHeight="1">
      <c r="A1269" s="157" t="s">
        <v>8256</v>
      </c>
      <c r="B1269" s="169" t="s">
        <v>26</v>
      </c>
      <c r="C1269" s="169" t="s">
        <v>2710</v>
      </c>
      <c r="D1269" s="336">
        <v>44284.0</v>
      </c>
      <c r="E1269" s="157" t="s">
        <v>600</v>
      </c>
      <c r="F1269" s="160">
        <v>3487.73</v>
      </c>
      <c r="G1269" s="160">
        <v>558.04</v>
      </c>
      <c r="H1269" s="160">
        <f t="shared" si="40"/>
        <v>4045.77</v>
      </c>
      <c r="I1269" s="172"/>
      <c r="J1269" s="169"/>
      <c r="K1269" s="172"/>
      <c r="L1269" s="172">
        <f>+'FACUS$'!$H1269-'FACUS$'!$I1269-'FACUS$'!$K1269</f>
        <v>4045.77</v>
      </c>
      <c r="M1269" s="162" t="s">
        <v>2386</v>
      </c>
      <c r="N1269" s="337" t="s">
        <v>554</v>
      </c>
      <c r="O1269" s="338">
        <v>44329.0</v>
      </c>
      <c r="P1269" s="164">
        <f t="array" ref="P1269">XLOOKUP('FACUS$'!$B1269,'perfil de pagos'!$A$4:$A$46,'perfil de pagos'!$C$4:$C$46+'FACUS$'!$D1269)</f>
        <v>44314</v>
      </c>
      <c r="Q1269" s="165">
        <f t="shared" si="2"/>
        <v>0</v>
      </c>
      <c r="R1269" s="220" t="s">
        <v>8257</v>
      </c>
      <c r="S1269" s="167"/>
      <c r="T1269" s="167"/>
      <c r="U1269" s="334" t="s">
        <v>7271</v>
      </c>
      <c r="V1269" s="168">
        <f t="shared" si="3"/>
        <v>4045.77</v>
      </c>
      <c r="W1269" s="168">
        <f t="shared" si="4"/>
        <v>0</v>
      </c>
      <c r="X1269" s="168">
        <f t="shared" si="5"/>
        <v>0</v>
      </c>
      <c r="Y1269" s="168">
        <f t="shared" si="6"/>
        <v>0</v>
      </c>
      <c r="Z1269" s="168">
        <f t="shared" si="7"/>
        <v>0</v>
      </c>
      <c r="AA1269" s="168">
        <f t="shared" si="8"/>
        <v>0</v>
      </c>
      <c r="AB1269" s="168">
        <f t="shared" si="9"/>
        <v>0</v>
      </c>
    </row>
    <row r="1270" ht="14.25" customHeight="1">
      <c r="A1270" s="157" t="s">
        <v>8258</v>
      </c>
      <c r="B1270" s="169" t="s">
        <v>33</v>
      </c>
      <c r="C1270" s="169" t="s">
        <v>2781</v>
      </c>
      <c r="D1270" s="336">
        <v>44291.0</v>
      </c>
      <c r="E1270" s="157" t="s">
        <v>600</v>
      </c>
      <c r="F1270" s="160">
        <v>44429.89</v>
      </c>
      <c r="G1270" s="160">
        <v>7108.78</v>
      </c>
      <c r="H1270" s="160">
        <f t="shared" si="40"/>
        <v>51538.67</v>
      </c>
      <c r="I1270" s="172"/>
      <c r="J1270" s="169"/>
      <c r="K1270" s="172"/>
      <c r="L1270" s="172">
        <f>+'FACUS$'!$H1270-'FACUS$'!$I1270-'FACUS$'!$K1270</f>
        <v>51538.67</v>
      </c>
      <c r="M1270" s="162" t="s">
        <v>958</v>
      </c>
      <c r="N1270" s="337" t="s">
        <v>554</v>
      </c>
      <c r="O1270" s="338">
        <v>44302.0</v>
      </c>
      <c r="P1270" s="164">
        <f t="array" ref="P1270">XLOOKUP('FACUS$'!$B1270,'perfil de pagos'!$A$4:$A$46,'perfil de pagos'!$C$4:$C$46+'FACUS$'!$D1270)</f>
        <v>44301</v>
      </c>
      <c r="Q1270" s="165">
        <f t="shared" si="2"/>
        <v>0</v>
      </c>
      <c r="R1270" s="167"/>
      <c r="S1270" s="167"/>
      <c r="T1270" s="167"/>
      <c r="U1270" s="334" t="s">
        <v>7271</v>
      </c>
      <c r="V1270" s="168">
        <f t="shared" si="3"/>
        <v>51538.67</v>
      </c>
      <c r="W1270" s="168">
        <f t="shared" si="4"/>
        <v>0</v>
      </c>
      <c r="X1270" s="168">
        <f t="shared" si="5"/>
        <v>0</v>
      </c>
      <c r="Y1270" s="168">
        <f t="shared" si="6"/>
        <v>0</v>
      </c>
      <c r="Z1270" s="168">
        <f t="shared" si="7"/>
        <v>0</v>
      </c>
      <c r="AA1270" s="168">
        <f t="shared" si="8"/>
        <v>0</v>
      </c>
      <c r="AB1270" s="168">
        <f t="shared" si="9"/>
        <v>0</v>
      </c>
    </row>
    <row r="1271" ht="14.25" customHeight="1">
      <c r="A1271" s="157" t="s">
        <v>8259</v>
      </c>
      <c r="B1271" s="169" t="s">
        <v>35</v>
      </c>
      <c r="C1271" s="169" t="s">
        <v>2781</v>
      </c>
      <c r="D1271" s="336">
        <v>44291.0</v>
      </c>
      <c r="E1271" s="157" t="s">
        <v>600</v>
      </c>
      <c r="F1271" s="160">
        <v>17465.56</v>
      </c>
      <c r="G1271" s="160">
        <v>2794.49</v>
      </c>
      <c r="H1271" s="160">
        <f t="shared" si="40"/>
        <v>20260.05</v>
      </c>
      <c r="I1271" s="172"/>
      <c r="J1271" s="169"/>
      <c r="K1271" s="172"/>
      <c r="L1271" s="172">
        <f>+'FACUS$'!$H1271-'FACUS$'!$I1271-'FACUS$'!$K1271</f>
        <v>20260.05</v>
      </c>
      <c r="M1271" s="162" t="s">
        <v>276</v>
      </c>
      <c r="N1271" s="337" t="s">
        <v>554</v>
      </c>
      <c r="O1271" s="338">
        <v>44309.0</v>
      </c>
      <c r="P1271" s="164">
        <f t="array" ref="P1271">XLOOKUP('FACUS$'!$B1271,'perfil de pagos'!$A$4:$A$46,'perfil de pagos'!$C$4:$C$46+'FACUS$'!$D1271)</f>
        <v>44301</v>
      </c>
      <c r="Q1271" s="165">
        <f t="shared" si="2"/>
        <v>0</v>
      </c>
      <c r="R1271" s="167"/>
      <c r="S1271" s="167"/>
      <c r="T1271" s="167"/>
      <c r="U1271" s="334" t="s">
        <v>7271</v>
      </c>
      <c r="V1271" s="168">
        <f t="shared" si="3"/>
        <v>20260.05</v>
      </c>
      <c r="W1271" s="168">
        <f t="shared" si="4"/>
        <v>0</v>
      </c>
      <c r="X1271" s="168">
        <f t="shared" si="5"/>
        <v>0</v>
      </c>
      <c r="Y1271" s="168">
        <f t="shared" si="6"/>
        <v>0</v>
      </c>
      <c r="Z1271" s="168">
        <f t="shared" si="7"/>
        <v>0</v>
      </c>
      <c r="AA1271" s="168">
        <f t="shared" si="8"/>
        <v>0</v>
      </c>
      <c r="AB1271" s="168">
        <f t="shared" si="9"/>
        <v>0</v>
      </c>
    </row>
    <row r="1272" ht="14.25" customHeight="1">
      <c r="A1272" s="157" t="s">
        <v>8260</v>
      </c>
      <c r="B1272" s="169" t="s">
        <v>36</v>
      </c>
      <c r="C1272" s="169" t="s">
        <v>2781</v>
      </c>
      <c r="D1272" s="336">
        <v>44291.0</v>
      </c>
      <c r="E1272" s="157" t="s">
        <v>600</v>
      </c>
      <c r="F1272" s="160">
        <v>1999.59</v>
      </c>
      <c r="G1272" s="160">
        <v>319.93</v>
      </c>
      <c r="H1272" s="160">
        <f t="shared" si="40"/>
        <v>2319.52</v>
      </c>
      <c r="I1272" s="172"/>
      <c r="J1272" s="169"/>
      <c r="K1272" s="172"/>
      <c r="L1272" s="172">
        <f>+'FACUS$'!$H1272-'FACUS$'!$I1272-'FACUS$'!$K1272</f>
        <v>2319.52</v>
      </c>
      <c r="M1272" s="162" t="s">
        <v>278</v>
      </c>
      <c r="N1272" s="337" t="s">
        <v>554</v>
      </c>
      <c r="O1272" s="338">
        <v>44323.0</v>
      </c>
      <c r="P1272" s="164">
        <f t="array" ref="P1272">XLOOKUP('FACUS$'!$B1272,'perfil de pagos'!$A$4:$A$46,'perfil de pagos'!$C$4:$C$46+'FACUS$'!$D1272)</f>
        <v>44301</v>
      </c>
      <c r="Q1272" s="165">
        <f t="shared" si="2"/>
        <v>0</v>
      </c>
      <c r="R1272" s="167" t="s">
        <v>8261</v>
      </c>
      <c r="S1272" s="167"/>
      <c r="T1272" s="167"/>
      <c r="U1272" s="334" t="s">
        <v>7271</v>
      </c>
      <c r="V1272" s="168">
        <f t="shared" si="3"/>
        <v>2319.52</v>
      </c>
      <c r="W1272" s="168">
        <f t="shared" si="4"/>
        <v>0</v>
      </c>
      <c r="X1272" s="168">
        <f t="shared" si="5"/>
        <v>0</v>
      </c>
      <c r="Y1272" s="168">
        <f t="shared" si="6"/>
        <v>0</v>
      </c>
      <c r="Z1272" s="168">
        <f t="shared" si="7"/>
        <v>0</v>
      </c>
      <c r="AA1272" s="168">
        <f t="shared" si="8"/>
        <v>0</v>
      </c>
      <c r="AB1272" s="168">
        <f t="shared" si="9"/>
        <v>0</v>
      </c>
    </row>
    <row r="1273" ht="14.25" customHeight="1">
      <c r="A1273" s="157" t="s">
        <v>8262</v>
      </c>
      <c r="B1273" s="169" t="s">
        <v>1127</v>
      </c>
      <c r="C1273" s="169" t="s">
        <v>2781</v>
      </c>
      <c r="D1273" s="336">
        <v>44291.0</v>
      </c>
      <c r="E1273" s="157" t="s">
        <v>600</v>
      </c>
      <c r="F1273" s="160">
        <v>37954.77</v>
      </c>
      <c r="G1273" s="160">
        <v>6072.76</v>
      </c>
      <c r="H1273" s="160">
        <f t="shared" si="40"/>
        <v>44027.53</v>
      </c>
      <c r="I1273" s="172"/>
      <c r="J1273" s="169"/>
      <c r="K1273" s="172"/>
      <c r="L1273" s="172">
        <f>+'FACUS$'!$H1273-'FACUS$'!$I1273-'FACUS$'!$K1273</f>
        <v>44027.53</v>
      </c>
      <c r="M1273" s="162" t="s">
        <v>580</v>
      </c>
      <c r="N1273" s="337" t="s">
        <v>554</v>
      </c>
      <c r="O1273" s="338">
        <v>44301.0</v>
      </c>
      <c r="P1273" s="164" t="str">
        <f t="array" ref="P1273">XLOOKUP('FACUS$'!$B1273,'perfil de pagos'!$A$4:$A$46,'perfil de pagos'!$C$4:$C$46+'FACUS$'!$D1273)</f>
        <v>#N/A</v>
      </c>
      <c r="Q1273" s="165">
        <f t="shared" si="2"/>
        <v>0</v>
      </c>
      <c r="R1273" s="167"/>
      <c r="S1273" s="167"/>
      <c r="T1273" s="167"/>
      <c r="U1273" s="334" t="s">
        <v>7271</v>
      </c>
      <c r="V1273" s="168">
        <f t="shared" si="3"/>
        <v>44027.53</v>
      </c>
      <c r="W1273" s="168">
        <f t="shared" si="4"/>
        <v>0</v>
      </c>
      <c r="X1273" s="168">
        <f t="shared" si="5"/>
        <v>0</v>
      </c>
      <c r="Y1273" s="168">
        <f t="shared" si="6"/>
        <v>0</v>
      </c>
      <c r="Z1273" s="168">
        <f t="shared" si="7"/>
        <v>0</v>
      </c>
      <c r="AA1273" s="168">
        <f t="shared" si="8"/>
        <v>0</v>
      </c>
      <c r="AB1273" s="168">
        <f t="shared" si="9"/>
        <v>0</v>
      </c>
    </row>
    <row r="1274" ht="14.25" customHeight="1">
      <c r="A1274" s="157" t="s">
        <v>8263</v>
      </c>
      <c r="B1274" s="169" t="s">
        <v>43</v>
      </c>
      <c r="C1274" s="169" t="s">
        <v>2781</v>
      </c>
      <c r="D1274" s="336">
        <v>44291.0</v>
      </c>
      <c r="E1274" s="157" t="s">
        <v>600</v>
      </c>
      <c r="F1274" s="160">
        <v>48680.96</v>
      </c>
      <c r="G1274" s="160">
        <v>7788.95</v>
      </c>
      <c r="H1274" s="160">
        <f t="shared" si="40"/>
        <v>56469.91</v>
      </c>
      <c r="I1274" s="172"/>
      <c r="J1274" s="169"/>
      <c r="K1274" s="172"/>
      <c r="L1274" s="172">
        <f>+'FACUS$'!$H1274-'FACUS$'!$I1274-'FACUS$'!$K1274</f>
        <v>56469.91</v>
      </c>
      <c r="M1274" s="162" t="s">
        <v>43</v>
      </c>
      <c r="N1274" s="337" t="s">
        <v>554</v>
      </c>
      <c r="O1274" s="338">
        <v>44316.0</v>
      </c>
      <c r="P1274" s="164">
        <f t="array" ref="P1274">XLOOKUP('FACUS$'!$B1274,'perfil de pagos'!$A$4:$A$46,'perfil de pagos'!$C$4:$C$46+'FACUS$'!$D1274)</f>
        <v>44316</v>
      </c>
      <c r="Q1274" s="165">
        <f t="shared" si="2"/>
        <v>0</v>
      </c>
      <c r="R1274" s="167"/>
      <c r="S1274" s="167"/>
      <c r="T1274" s="167"/>
      <c r="U1274" s="334" t="s">
        <v>7271</v>
      </c>
      <c r="V1274" s="168">
        <f t="shared" si="3"/>
        <v>56469.91</v>
      </c>
      <c r="W1274" s="168">
        <f t="shared" si="4"/>
        <v>0</v>
      </c>
      <c r="X1274" s="168">
        <f t="shared" si="5"/>
        <v>0</v>
      </c>
      <c r="Y1274" s="168">
        <f t="shared" si="6"/>
        <v>0</v>
      </c>
      <c r="Z1274" s="168">
        <f t="shared" si="7"/>
        <v>0</v>
      </c>
      <c r="AA1274" s="168">
        <f t="shared" si="8"/>
        <v>0</v>
      </c>
      <c r="AB1274" s="168">
        <f t="shared" si="9"/>
        <v>0</v>
      </c>
    </row>
    <row r="1275" ht="14.25" customHeight="1">
      <c r="A1275" s="157" t="s">
        <v>8264</v>
      </c>
      <c r="B1275" s="169" t="s">
        <v>18</v>
      </c>
      <c r="C1275" s="169" t="s">
        <v>2781</v>
      </c>
      <c r="D1275" s="336">
        <v>44293.0</v>
      </c>
      <c r="E1275" s="157" t="s">
        <v>600</v>
      </c>
      <c r="F1275" s="160">
        <v>11099.84</v>
      </c>
      <c r="G1275" s="160">
        <v>1775.97</v>
      </c>
      <c r="H1275" s="160">
        <f t="shared" si="40"/>
        <v>12875.81</v>
      </c>
      <c r="I1275" s="172"/>
      <c r="J1275" s="169"/>
      <c r="K1275" s="172"/>
      <c r="L1275" s="172">
        <f>+'FACUS$'!$H1275-'FACUS$'!$I1275-'FACUS$'!$K1275</f>
        <v>12875.81</v>
      </c>
      <c r="M1275" s="162" t="s">
        <v>586</v>
      </c>
      <c r="N1275" s="337" t="s">
        <v>554</v>
      </c>
      <c r="O1275" s="338">
        <v>44337.0</v>
      </c>
      <c r="P1275" s="164">
        <f t="array" ref="P1275">XLOOKUP('FACUS$'!$B1275,'perfil de pagos'!$A$4:$A$46,'perfil de pagos'!$C$4:$C$46+'FACUS$'!$D1275)</f>
        <v>44303</v>
      </c>
      <c r="Q1275" s="165">
        <f t="shared" si="2"/>
        <v>0</v>
      </c>
      <c r="R1275" s="167"/>
      <c r="S1275" s="167"/>
      <c r="T1275" s="167"/>
      <c r="U1275" s="334" t="s">
        <v>7271</v>
      </c>
      <c r="V1275" s="168">
        <f t="shared" si="3"/>
        <v>12875.81</v>
      </c>
      <c r="W1275" s="168">
        <f t="shared" si="4"/>
        <v>0</v>
      </c>
      <c r="X1275" s="168">
        <f t="shared" si="5"/>
        <v>0</v>
      </c>
      <c r="Y1275" s="168">
        <f t="shared" si="6"/>
        <v>0</v>
      </c>
      <c r="Z1275" s="168">
        <f t="shared" si="7"/>
        <v>0</v>
      </c>
      <c r="AA1275" s="168">
        <f t="shared" si="8"/>
        <v>0</v>
      </c>
      <c r="AB1275" s="168">
        <f t="shared" si="9"/>
        <v>0</v>
      </c>
    </row>
    <row r="1276" ht="14.25" customHeight="1">
      <c r="A1276" s="157" t="s">
        <v>8265</v>
      </c>
      <c r="B1276" s="169" t="s">
        <v>20</v>
      </c>
      <c r="C1276" s="169" t="s">
        <v>2781</v>
      </c>
      <c r="D1276" s="336">
        <v>44293.0</v>
      </c>
      <c r="E1276" s="157" t="s">
        <v>600</v>
      </c>
      <c r="F1276" s="160">
        <v>18874.97</v>
      </c>
      <c r="G1276" s="160">
        <v>3020.0</v>
      </c>
      <c r="H1276" s="160">
        <f t="shared" si="40"/>
        <v>21894.97</v>
      </c>
      <c r="I1276" s="172"/>
      <c r="J1276" s="169"/>
      <c r="K1276" s="172"/>
      <c r="L1276" s="172">
        <f>+'FACUS$'!$H1276-'FACUS$'!$I1276-'FACUS$'!$K1276</f>
        <v>21894.97</v>
      </c>
      <c r="M1276" s="162" t="s">
        <v>732</v>
      </c>
      <c r="N1276" s="337" t="s">
        <v>554</v>
      </c>
      <c r="O1276" s="338">
        <v>44337.0</v>
      </c>
      <c r="P1276" s="164">
        <f t="array" ref="P1276">XLOOKUP('FACUS$'!$B1276,'perfil de pagos'!$A$4:$A$46,'perfil de pagos'!$C$4:$C$46+'FACUS$'!$D1276)</f>
        <v>44303</v>
      </c>
      <c r="Q1276" s="165">
        <f t="shared" si="2"/>
        <v>0</v>
      </c>
      <c r="R1276" s="167"/>
      <c r="S1276" s="167"/>
      <c r="T1276" s="167"/>
      <c r="U1276" s="334" t="s">
        <v>7271</v>
      </c>
      <c r="V1276" s="168">
        <f t="shared" si="3"/>
        <v>21894.97</v>
      </c>
      <c r="W1276" s="168">
        <f t="shared" si="4"/>
        <v>0</v>
      </c>
      <c r="X1276" s="168">
        <f t="shared" si="5"/>
        <v>0</v>
      </c>
      <c r="Y1276" s="168">
        <f t="shared" si="6"/>
        <v>0</v>
      </c>
      <c r="Z1276" s="168">
        <f t="shared" si="7"/>
        <v>0</v>
      </c>
      <c r="AA1276" s="168">
        <f t="shared" si="8"/>
        <v>0</v>
      </c>
      <c r="AB1276" s="168">
        <f t="shared" si="9"/>
        <v>0</v>
      </c>
    </row>
    <row r="1277" ht="14.25" customHeight="1">
      <c r="A1277" s="157" t="s">
        <v>8266</v>
      </c>
      <c r="B1277" s="169" t="s">
        <v>39</v>
      </c>
      <c r="C1277" s="169" t="s">
        <v>2773</v>
      </c>
      <c r="D1277" s="336">
        <v>44293.0</v>
      </c>
      <c r="E1277" s="157" t="s">
        <v>600</v>
      </c>
      <c r="F1277" s="160">
        <v>8292.18</v>
      </c>
      <c r="G1277" s="160">
        <v>1326.75</v>
      </c>
      <c r="H1277" s="160">
        <f t="shared" si="40"/>
        <v>9618.93</v>
      </c>
      <c r="I1277" s="172"/>
      <c r="J1277" s="169"/>
      <c r="K1277" s="172"/>
      <c r="L1277" s="172">
        <f>+'FACUS$'!$H1277-'FACUS$'!$I1277-'FACUS$'!$K1277</f>
        <v>9618.93</v>
      </c>
      <c r="M1277" s="162" t="s">
        <v>570</v>
      </c>
      <c r="N1277" s="337" t="s">
        <v>554</v>
      </c>
      <c r="O1277" s="338">
        <v>44312.0</v>
      </c>
      <c r="P1277" s="164">
        <f t="array" ref="P1277">XLOOKUP('FACUS$'!$B1277,'perfil de pagos'!$A$4:$A$46,'perfil de pagos'!$C$4:$C$46+'FACUS$'!$D1277)</f>
        <v>44303</v>
      </c>
      <c r="Q1277" s="165">
        <f t="shared" si="2"/>
        <v>0</v>
      </c>
      <c r="R1277" s="167"/>
      <c r="S1277" s="167"/>
      <c r="T1277" s="167"/>
      <c r="U1277" s="334" t="s">
        <v>7271</v>
      </c>
      <c r="V1277" s="168">
        <f t="shared" si="3"/>
        <v>9618.93</v>
      </c>
      <c r="W1277" s="168">
        <f t="shared" si="4"/>
        <v>0</v>
      </c>
      <c r="X1277" s="168">
        <f t="shared" si="5"/>
        <v>0</v>
      </c>
      <c r="Y1277" s="168">
        <f t="shared" si="6"/>
        <v>0</v>
      </c>
      <c r="Z1277" s="168">
        <f t="shared" si="7"/>
        <v>0</v>
      </c>
      <c r="AA1277" s="168">
        <f t="shared" si="8"/>
        <v>0</v>
      </c>
      <c r="AB1277" s="168">
        <f t="shared" si="9"/>
        <v>0</v>
      </c>
    </row>
    <row r="1278" ht="14.25" customHeight="1">
      <c r="A1278" s="157" t="s">
        <v>8267</v>
      </c>
      <c r="B1278" s="169" t="s">
        <v>39</v>
      </c>
      <c r="C1278" s="169" t="s">
        <v>2781</v>
      </c>
      <c r="D1278" s="336">
        <v>44293.0</v>
      </c>
      <c r="E1278" s="157" t="s">
        <v>600</v>
      </c>
      <c r="F1278" s="160">
        <v>14846.43</v>
      </c>
      <c r="G1278" s="160">
        <v>2375.43</v>
      </c>
      <c r="H1278" s="160">
        <f t="shared" si="40"/>
        <v>17221.86</v>
      </c>
      <c r="I1278" s="172"/>
      <c r="J1278" s="169"/>
      <c r="K1278" s="172"/>
      <c r="L1278" s="172">
        <f>+'FACUS$'!$H1278-'FACUS$'!$I1278-'FACUS$'!$K1278</f>
        <v>17221.86</v>
      </c>
      <c r="M1278" s="162" t="s">
        <v>570</v>
      </c>
      <c r="N1278" s="337" t="s">
        <v>554</v>
      </c>
      <c r="O1278" s="338">
        <v>44312.0</v>
      </c>
      <c r="P1278" s="164">
        <f t="array" ref="P1278">XLOOKUP('FACUS$'!$B1278,'perfil de pagos'!$A$4:$A$46,'perfil de pagos'!$C$4:$C$46+'FACUS$'!$D1278)</f>
        <v>44303</v>
      </c>
      <c r="Q1278" s="165">
        <f t="shared" si="2"/>
        <v>0</v>
      </c>
      <c r="R1278" s="167"/>
      <c r="S1278" s="167"/>
      <c r="T1278" s="167"/>
      <c r="U1278" s="334" t="s">
        <v>7271</v>
      </c>
      <c r="V1278" s="168">
        <f t="shared" si="3"/>
        <v>17221.86</v>
      </c>
      <c r="W1278" s="168">
        <f t="shared" si="4"/>
        <v>0</v>
      </c>
      <c r="X1278" s="168">
        <f t="shared" si="5"/>
        <v>0</v>
      </c>
      <c r="Y1278" s="168">
        <f t="shared" si="6"/>
        <v>0</v>
      </c>
      <c r="Z1278" s="168">
        <f t="shared" si="7"/>
        <v>0</v>
      </c>
      <c r="AA1278" s="168">
        <f t="shared" si="8"/>
        <v>0</v>
      </c>
      <c r="AB1278" s="168">
        <f t="shared" si="9"/>
        <v>0</v>
      </c>
    </row>
    <row r="1279" ht="14.25" customHeight="1">
      <c r="A1279" s="157" t="s">
        <v>8268</v>
      </c>
      <c r="B1279" s="169" t="s">
        <v>26</v>
      </c>
      <c r="C1279" s="169" t="s">
        <v>2781</v>
      </c>
      <c r="D1279" s="336">
        <v>44293.0</v>
      </c>
      <c r="E1279" s="157" t="s">
        <v>600</v>
      </c>
      <c r="F1279" s="160">
        <v>3348.99</v>
      </c>
      <c r="G1279" s="160">
        <v>535.84</v>
      </c>
      <c r="H1279" s="160">
        <f t="shared" si="40"/>
        <v>3884.83</v>
      </c>
      <c r="I1279" s="172"/>
      <c r="J1279" s="169"/>
      <c r="K1279" s="172"/>
      <c r="L1279" s="172">
        <f>+'FACUS$'!$H1279-'FACUS$'!$I1279-'FACUS$'!$K1279</f>
        <v>3884.83</v>
      </c>
      <c r="M1279" s="162" t="s">
        <v>2386</v>
      </c>
      <c r="N1279" s="337" t="s">
        <v>554</v>
      </c>
      <c r="O1279" s="338">
        <v>44329.0</v>
      </c>
      <c r="P1279" s="164">
        <f t="array" ref="P1279">XLOOKUP('FACUS$'!$B1279,'perfil de pagos'!$A$4:$A$46,'perfil de pagos'!$C$4:$C$46+'FACUS$'!$D1279)</f>
        <v>44323</v>
      </c>
      <c r="Q1279" s="165">
        <f t="shared" si="2"/>
        <v>0</v>
      </c>
      <c r="R1279" s="220" t="s">
        <v>8269</v>
      </c>
      <c r="S1279" s="167"/>
      <c r="T1279" s="167"/>
      <c r="U1279" s="334" t="s">
        <v>7271</v>
      </c>
      <c r="V1279" s="168">
        <f t="shared" si="3"/>
        <v>3884.83</v>
      </c>
      <c r="W1279" s="168">
        <f t="shared" si="4"/>
        <v>0</v>
      </c>
      <c r="X1279" s="168">
        <f t="shared" si="5"/>
        <v>0</v>
      </c>
      <c r="Y1279" s="168">
        <f t="shared" si="6"/>
        <v>0</v>
      </c>
      <c r="Z1279" s="168">
        <f t="shared" si="7"/>
        <v>0</v>
      </c>
      <c r="AA1279" s="168">
        <f t="shared" si="8"/>
        <v>0</v>
      </c>
      <c r="AB1279" s="168">
        <f t="shared" si="9"/>
        <v>0</v>
      </c>
    </row>
    <row r="1280" ht="14.25" customHeight="1">
      <c r="A1280" s="157" t="s">
        <v>8270</v>
      </c>
      <c r="B1280" s="169" t="s">
        <v>41</v>
      </c>
      <c r="C1280" s="169" t="s">
        <v>2781</v>
      </c>
      <c r="D1280" s="336">
        <v>44293.0</v>
      </c>
      <c r="E1280" s="157" t="s">
        <v>600</v>
      </c>
      <c r="F1280" s="160">
        <v>54478.78</v>
      </c>
      <c r="G1280" s="160">
        <v>8716.6</v>
      </c>
      <c r="H1280" s="160">
        <f t="shared" si="40"/>
        <v>63195.38</v>
      </c>
      <c r="I1280" s="172"/>
      <c r="J1280" s="169"/>
      <c r="K1280" s="172"/>
      <c r="L1280" s="172">
        <f>+'FACUS$'!$H1280-'FACUS$'!$I1280-'FACUS$'!$K1280</f>
        <v>63195.38</v>
      </c>
      <c r="M1280" s="162" t="s">
        <v>875</v>
      </c>
      <c r="N1280" s="337" t="s">
        <v>554</v>
      </c>
      <c r="O1280" s="338">
        <v>44489.0</v>
      </c>
      <c r="P1280" s="164">
        <f t="array" ref="P1280">XLOOKUP('FACUS$'!$B1280,'perfil de pagos'!$A$4:$A$46,'perfil de pagos'!$C$4:$C$46+'FACUS$'!$D1280)</f>
        <v>44303</v>
      </c>
      <c r="Q1280" s="165">
        <f t="shared" si="2"/>
        <v>0</v>
      </c>
      <c r="R1280" s="167"/>
      <c r="S1280" s="167"/>
      <c r="T1280" s="167"/>
      <c r="U1280" s="334" t="s">
        <v>7271</v>
      </c>
      <c r="V1280" s="168">
        <f t="shared" si="3"/>
        <v>63195.38</v>
      </c>
      <c r="W1280" s="168">
        <f t="shared" si="4"/>
        <v>0</v>
      </c>
      <c r="X1280" s="168">
        <f t="shared" si="5"/>
        <v>0</v>
      </c>
      <c r="Y1280" s="168">
        <f t="shared" si="6"/>
        <v>0</v>
      </c>
      <c r="Z1280" s="168">
        <f t="shared" si="7"/>
        <v>0</v>
      </c>
      <c r="AA1280" s="168">
        <f t="shared" si="8"/>
        <v>0</v>
      </c>
      <c r="AB1280" s="168">
        <f t="shared" si="9"/>
        <v>0</v>
      </c>
    </row>
    <row r="1281" ht="14.25" customHeight="1">
      <c r="A1281" s="157" t="s">
        <v>8271</v>
      </c>
      <c r="B1281" s="169" t="s">
        <v>37</v>
      </c>
      <c r="C1281" s="169" t="s">
        <v>2781</v>
      </c>
      <c r="D1281" s="336">
        <v>44293.0</v>
      </c>
      <c r="E1281" s="157" t="s">
        <v>600</v>
      </c>
      <c r="F1281" s="160">
        <v>95888.71</v>
      </c>
      <c r="G1281" s="160">
        <v>15342.19</v>
      </c>
      <c r="H1281" s="160">
        <f t="shared" si="40"/>
        <v>111230.9</v>
      </c>
      <c r="I1281" s="172"/>
      <c r="J1281" s="169"/>
      <c r="K1281" s="172"/>
      <c r="L1281" s="172">
        <f>+'FACUS$'!$H1281-'FACUS$'!$I1281-'FACUS$'!$K1281</f>
        <v>111230.9</v>
      </c>
      <c r="M1281" s="162" t="s">
        <v>116</v>
      </c>
      <c r="N1281" s="337" t="s">
        <v>554</v>
      </c>
      <c r="O1281" s="338">
        <v>44312.0</v>
      </c>
      <c r="P1281" s="164">
        <f t="array" ref="P1281">XLOOKUP('FACUS$'!$B1281,'perfil de pagos'!$A$4:$A$46,'perfil de pagos'!$C$4:$C$46+'FACUS$'!$D1281)</f>
        <v>44303</v>
      </c>
      <c r="Q1281" s="165">
        <f t="shared" si="2"/>
        <v>0</v>
      </c>
      <c r="R1281" s="167" t="s">
        <v>8272</v>
      </c>
      <c r="S1281" s="167"/>
      <c r="T1281" s="167"/>
      <c r="U1281" s="334" t="s">
        <v>7271</v>
      </c>
      <c r="V1281" s="168">
        <f t="shared" si="3"/>
        <v>111230.9</v>
      </c>
      <c r="W1281" s="168">
        <f t="shared" si="4"/>
        <v>0</v>
      </c>
      <c r="X1281" s="168">
        <f t="shared" si="5"/>
        <v>0</v>
      </c>
      <c r="Y1281" s="168">
        <f t="shared" si="6"/>
        <v>0</v>
      </c>
      <c r="Z1281" s="168">
        <f t="shared" si="7"/>
        <v>0</v>
      </c>
      <c r="AA1281" s="168">
        <f t="shared" si="8"/>
        <v>0</v>
      </c>
      <c r="AB1281" s="168">
        <f t="shared" si="9"/>
        <v>0</v>
      </c>
    </row>
    <row r="1282" ht="14.25" customHeight="1">
      <c r="A1282" s="157" t="s">
        <v>8273</v>
      </c>
      <c r="B1282" s="169" t="s">
        <v>38</v>
      </c>
      <c r="C1282" s="169" t="s">
        <v>2781</v>
      </c>
      <c r="D1282" s="336">
        <v>44293.0</v>
      </c>
      <c r="E1282" s="157" t="s">
        <v>600</v>
      </c>
      <c r="F1282" s="160">
        <v>9139.74</v>
      </c>
      <c r="G1282" s="160">
        <v>1462.36</v>
      </c>
      <c r="H1282" s="160">
        <f t="shared" si="40"/>
        <v>10602.1</v>
      </c>
      <c r="I1282" s="172"/>
      <c r="J1282" s="169"/>
      <c r="K1282" s="172"/>
      <c r="L1282" s="172">
        <f>+'FACUS$'!$H1282-'FACUS$'!$I1282-'FACUS$'!$K1282</f>
        <v>10602.1</v>
      </c>
      <c r="M1282" s="162" t="s">
        <v>145</v>
      </c>
      <c r="N1282" s="337" t="s">
        <v>127</v>
      </c>
      <c r="O1282" s="338"/>
      <c r="P1282" s="164">
        <f t="array" ref="P1282">XLOOKUP('FACUS$'!$B1282,'perfil de pagos'!$A$4:$A$46,'perfil de pagos'!$C$4:$C$46+'FACUS$'!$D1282)</f>
        <v>44323</v>
      </c>
      <c r="Q1282" s="165" t="str">
        <f t="shared" si="2"/>
        <v>N/A</v>
      </c>
      <c r="R1282" s="167"/>
      <c r="S1282" s="167"/>
      <c r="T1282" s="167"/>
      <c r="U1282" s="334" t="s">
        <v>7271</v>
      </c>
      <c r="V1282" s="168">
        <f t="shared" si="3"/>
        <v>0</v>
      </c>
      <c r="W1282" s="168">
        <f t="shared" si="4"/>
        <v>0</v>
      </c>
      <c r="X1282" s="168">
        <f t="shared" si="5"/>
        <v>0</v>
      </c>
      <c r="Y1282" s="168">
        <f t="shared" si="6"/>
        <v>0</v>
      </c>
      <c r="Z1282" s="168">
        <f t="shared" si="7"/>
        <v>0</v>
      </c>
      <c r="AA1282" s="168">
        <f t="shared" si="8"/>
        <v>0</v>
      </c>
      <c r="AB1282" s="168">
        <f t="shared" si="9"/>
        <v>10602.1</v>
      </c>
    </row>
    <row r="1283" ht="14.25" customHeight="1">
      <c r="A1283" s="157" t="s">
        <v>8274</v>
      </c>
      <c r="B1283" s="169" t="s">
        <v>37</v>
      </c>
      <c r="C1283" s="169" t="s">
        <v>8275</v>
      </c>
      <c r="D1283" s="336">
        <v>44294.0</v>
      </c>
      <c r="E1283" s="157" t="s">
        <v>600</v>
      </c>
      <c r="F1283" s="160">
        <v>21153.23</v>
      </c>
      <c r="G1283" s="160">
        <v>3384.52</v>
      </c>
      <c r="H1283" s="160">
        <f t="shared" si="40"/>
        <v>24537.75</v>
      </c>
      <c r="I1283" s="172"/>
      <c r="J1283" s="169"/>
      <c r="K1283" s="172"/>
      <c r="L1283" s="172">
        <f>+'FACUS$'!$H1283-'FACUS$'!$I1283-'FACUS$'!$K1283</f>
        <v>24537.75</v>
      </c>
      <c r="M1283" s="162" t="s">
        <v>116</v>
      </c>
      <c r="N1283" s="337" t="s">
        <v>554</v>
      </c>
      <c r="O1283" s="338">
        <v>44312.0</v>
      </c>
      <c r="P1283" s="164">
        <f t="array" ref="P1283">XLOOKUP('FACUS$'!$B1283,'perfil de pagos'!$A$4:$A$46,'perfil de pagos'!$C$4:$C$46+'FACUS$'!$D1283)</f>
        <v>44304</v>
      </c>
      <c r="Q1283" s="165">
        <f t="shared" si="2"/>
        <v>0</v>
      </c>
      <c r="R1283" s="167" t="s">
        <v>8276</v>
      </c>
      <c r="S1283" s="167"/>
      <c r="T1283" s="167"/>
      <c r="U1283" s="334" t="s">
        <v>7271</v>
      </c>
      <c r="V1283" s="168">
        <f t="shared" si="3"/>
        <v>24537.75</v>
      </c>
      <c r="W1283" s="168">
        <f t="shared" si="4"/>
        <v>0</v>
      </c>
      <c r="X1283" s="168">
        <f t="shared" si="5"/>
        <v>0</v>
      </c>
      <c r="Y1283" s="168">
        <f t="shared" si="6"/>
        <v>0</v>
      </c>
      <c r="Z1283" s="168">
        <f t="shared" si="7"/>
        <v>0</v>
      </c>
      <c r="AA1283" s="168">
        <f t="shared" si="8"/>
        <v>0</v>
      </c>
      <c r="AB1283" s="168">
        <f t="shared" si="9"/>
        <v>0</v>
      </c>
    </row>
    <row r="1284" ht="14.25" customHeight="1">
      <c r="A1284" s="157" t="s">
        <v>8277</v>
      </c>
      <c r="B1284" s="169" t="s">
        <v>36</v>
      </c>
      <c r="C1284" s="166" t="s">
        <v>8278</v>
      </c>
      <c r="D1284" s="159">
        <v>44300.0</v>
      </c>
      <c r="E1284" s="157" t="s">
        <v>600</v>
      </c>
      <c r="F1284" s="160">
        <v>1226.5</v>
      </c>
      <c r="G1284" s="160">
        <v>166.8</v>
      </c>
      <c r="H1284" s="160">
        <f t="shared" si="40"/>
        <v>1393.3</v>
      </c>
      <c r="I1284" s="172"/>
      <c r="J1284" s="169"/>
      <c r="K1284" s="172"/>
      <c r="L1284" s="172">
        <f>+'FACUS$'!$H1284-'FACUS$'!$I1284-'FACUS$'!$K1284</f>
        <v>1393.3</v>
      </c>
      <c r="M1284" s="162" t="s">
        <v>278</v>
      </c>
      <c r="N1284" s="337" t="s">
        <v>554</v>
      </c>
      <c r="O1284" s="338">
        <v>44450.0</v>
      </c>
      <c r="P1284" s="164">
        <f t="array" ref="P1284">XLOOKUP('FACUS$'!$B1284,'perfil de pagos'!$A$4:$A$46,'perfil de pagos'!$C$4:$C$46+'FACUS$'!$D1284)</f>
        <v>44310</v>
      </c>
      <c r="Q1284" s="165">
        <f t="shared" si="2"/>
        <v>0</v>
      </c>
      <c r="R1284" s="220" t="s">
        <v>8279</v>
      </c>
      <c r="S1284" s="167"/>
      <c r="T1284" s="167"/>
      <c r="U1284" s="334" t="s">
        <v>7271</v>
      </c>
      <c r="V1284" s="168">
        <f t="shared" si="3"/>
        <v>1393.3</v>
      </c>
      <c r="W1284" s="168">
        <f t="shared" si="4"/>
        <v>0</v>
      </c>
      <c r="X1284" s="168">
        <f t="shared" si="5"/>
        <v>0</v>
      </c>
      <c r="Y1284" s="168">
        <f t="shared" si="6"/>
        <v>0</v>
      </c>
      <c r="Z1284" s="168">
        <f t="shared" si="7"/>
        <v>0</v>
      </c>
      <c r="AA1284" s="168">
        <f t="shared" si="8"/>
        <v>0</v>
      </c>
      <c r="AB1284" s="168">
        <f t="shared" si="9"/>
        <v>0</v>
      </c>
    </row>
    <row r="1285" ht="14.25" customHeight="1">
      <c r="A1285" s="157" t="s">
        <v>8280</v>
      </c>
      <c r="B1285" s="169" t="s">
        <v>18</v>
      </c>
      <c r="C1285" s="169" t="s">
        <v>2812</v>
      </c>
      <c r="D1285" s="336">
        <v>44309.0</v>
      </c>
      <c r="E1285" s="157" t="s">
        <v>600</v>
      </c>
      <c r="F1285" s="160">
        <v>8357.13</v>
      </c>
      <c r="G1285" s="160">
        <v>1337.14</v>
      </c>
      <c r="H1285" s="160">
        <f t="shared" si="40"/>
        <v>9694.27</v>
      </c>
      <c r="I1285" s="172"/>
      <c r="J1285" s="169"/>
      <c r="K1285" s="172"/>
      <c r="L1285" s="172">
        <f>+'FACUS$'!$H1285-'FACUS$'!$I1285-'FACUS$'!$K1285</f>
        <v>9694.27</v>
      </c>
      <c r="M1285" s="162" t="s">
        <v>586</v>
      </c>
      <c r="N1285" s="337" t="s">
        <v>554</v>
      </c>
      <c r="O1285" s="338">
        <v>44337.0</v>
      </c>
      <c r="P1285" s="164">
        <f t="array" ref="P1285">XLOOKUP('FACUS$'!$B1285,'perfil de pagos'!$A$4:$A$46,'perfil de pagos'!$C$4:$C$46+'FACUS$'!$D1285)</f>
        <v>44319</v>
      </c>
      <c r="Q1285" s="165">
        <f t="shared" si="2"/>
        <v>0</v>
      </c>
      <c r="R1285" s="167"/>
      <c r="S1285" s="167"/>
      <c r="T1285" s="167"/>
      <c r="U1285" s="334" t="s">
        <v>7271</v>
      </c>
      <c r="V1285" s="168">
        <f t="shared" si="3"/>
        <v>9694.27</v>
      </c>
      <c r="W1285" s="168">
        <f t="shared" si="4"/>
        <v>0</v>
      </c>
      <c r="X1285" s="168">
        <f t="shared" si="5"/>
        <v>0</v>
      </c>
      <c r="Y1285" s="168">
        <f t="shared" si="6"/>
        <v>0</v>
      </c>
      <c r="Z1285" s="168">
        <f t="shared" si="7"/>
        <v>0</v>
      </c>
      <c r="AA1285" s="168">
        <f t="shared" si="8"/>
        <v>0</v>
      </c>
      <c r="AB1285" s="168">
        <f t="shared" si="9"/>
        <v>0</v>
      </c>
    </row>
    <row r="1286" ht="14.25" customHeight="1">
      <c r="A1286" s="157" t="s">
        <v>8281</v>
      </c>
      <c r="B1286" s="169" t="s">
        <v>20</v>
      </c>
      <c r="C1286" s="169" t="s">
        <v>2812</v>
      </c>
      <c r="D1286" s="336">
        <v>44309.0</v>
      </c>
      <c r="E1286" s="157" t="s">
        <v>600</v>
      </c>
      <c r="F1286" s="160">
        <v>10436.61</v>
      </c>
      <c r="G1286" s="160">
        <v>1669.86</v>
      </c>
      <c r="H1286" s="160">
        <f t="shared" si="40"/>
        <v>12106.47</v>
      </c>
      <c r="I1286" s="172"/>
      <c r="J1286" s="169"/>
      <c r="K1286" s="172"/>
      <c r="L1286" s="172">
        <f>+'FACUS$'!$H1286-'FACUS$'!$I1286-'FACUS$'!$K1286</f>
        <v>12106.47</v>
      </c>
      <c r="M1286" s="162" t="s">
        <v>732</v>
      </c>
      <c r="N1286" s="337" t="s">
        <v>554</v>
      </c>
      <c r="O1286" s="338">
        <v>44337.0</v>
      </c>
      <c r="P1286" s="164">
        <f t="array" ref="P1286">XLOOKUP('FACUS$'!$B1286,'perfil de pagos'!$A$4:$A$46,'perfil de pagos'!$C$4:$C$46+'FACUS$'!$D1286)</f>
        <v>44319</v>
      </c>
      <c r="Q1286" s="165">
        <f t="shared" si="2"/>
        <v>0</v>
      </c>
      <c r="R1286" s="167"/>
      <c r="S1286" s="167"/>
      <c r="T1286" s="167"/>
      <c r="U1286" s="334" t="s">
        <v>7271</v>
      </c>
      <c r="V1286" s="168">
        <f t="shared" si="3"/>
        <v>12106.47</v>
      </c>
      <c r="W1286" s="168">
        <f t="shared" si="4"/>
        <v>0</v>
      </c>
      <c r="X1286" s="168">
        <f t="shared" si="5"/>
        <v>0</v>
      </c>
      <c r="Y1286" s="168">
        <f t="shared" si="6"/>
        <v>0</v>
      </c>
      <c r="Z1286" s="168">
        <f t="shared" si="7"/>
        <v>0</v>
      </c>
      <c r="AA1286" s="168">
        <f t="shared" si="8"/>
        <v>0</v>
      </c>
      <c r="AB1286" s="168">
        <f t="shared" si="9"/>
        <v>0</v>
      </c>
    </row>
    <row r="1287" ht="14.25" customHeight="1">
      <c r="A1287" s="157" t="s">
        <v>8282</v>
      </c>
      <c r="B1287" s="169" t="s">
        <v>39</v>
      </c>
      <c r="C1287" s="169" t="s">
        <v>2810</v>
      </c>
      <c r="D1287" s="336">
        <v>44309.0</v>
      </c>
      <c r="E1287" s="157" t="s">
        <v>600</v>
      </c>
      <c r="F1287" s="160">
        <v>5721.17</v>
      </c>
      <c r="G1287" s="160">
        <v>915.39</v>
      </c>
      <c r="H1287" s="160">
        <f t="shared" si="40"/>
        <v>6636.56</v>
      </c>
      <c r="I1287" s="172"/>
      <c r="J1287" s="169"/>
      <c r="K1287" s="172"/>
      <c r="L1287" s="172">
        <f>+'FACUS$'!$H1287-'FACUS$'!$I1287-'FACUS$'!$K1287</f>
        <v>6636.56</v>
      </c>
      <c r="M1287" s="162" t="s">
        <v>570</v>
      </c>
      <c r="N1287" s="337" t="s">
        <v>554</v>
      </c>
      <c r="O1287" s="338">
        <v>44316.0</v>
      </c>
      <c r="P1287" s="164">
        <f t="array" ref="P1287">XLOOKUP('FACUS$'!$B1287,'perfil de pagos'!$A$4:$A$46,'perfil de pagos'!$C$4:$C$46+'FACUS$'!$D1287)</f>
        <v>44319</v>
      </c>
      <c r="Q1287" s="165">
        <f t="shared" si="2"/>
        <v>0</v>
      </c>
      <c r="R1287" s="167"/>
      <c r="S1287" s="167"/>
      <c r="T1287" s="167"/>
      <c r="U1287" s="334" t="s">
        <v>7271</v>
      </c>
      <c r="V1287" s="168">
        <f t="shared" si="3"/>
        <v>6636.56</v>
      </c>
      <c r="W1287" s="168">
        <f t="shared" si="4"/>
        <v>0</v>
      </c>
      <c r="X1287" s="168">
        <f t="shared" si="5"/>
        <v>0</v>
      </c>
      <c r="Y1287" s="168">
        <f t="shared" si="6"/>
        <v>0</v>
      </c>
      <c r="Z1287" s="168">
        <f t="shared" si="7"/>
        <v>0</v>
      </c>
      <c r="AA1287" s="168">
        <f t="shared" si="8"/>
        <v>0</v>
      </c>
      <c r="AB1287" s="168">
        <f t="shared" si="9"/>
        <v>0</v>
      </c>
    </row>
    <row r="1288" ht="14.25" customHeight="1">
      <c r="A1288" s="157" t="s">
        <v>8283</v>
      </c>
      <c r="B1288" s="169" t="s">
        <v>39</v>
      </c>
      <c r="C1288" s="169" t="s">
        <v>2812</v>
      </c>
      <c r="D1288" s="336">
        <v>44309.0</v>
      </c>
      <c r="E1288" s="157" t="s">
        <v>600</v>
      </c>
      <c r="F1288" s="160">
        <v>10240.92</v>
      </c>
      <c r="G1288" s="160">
        <v>1638.55</v>
      </c>
      <c r="H1288" s="160">
        <f t="shared" si="40"/>
        <v>11879.47</v>
      </c>
      <c r="I1288" s="172"/>
      <c r="J1288" s="169"/>
      <c r="K1288" s="172"/>
      <c r="L1288" s="172">
        <f>+'FACUS$'!$H1288-'FACUS$'!$I1288-'FACUS$'!$K1288</f>
        <v>11879.47</v>
      </c>
      <c r="M1288" s="162" t="s">
        <v>570</v>
      </c>
      <c r="N1288" s="337" t="s">
        <v>554</v>
      </c>
      <c r="O1288" s="338">
        <v>44316.0</v>
      </c>
      <c r="P1288" s="164">
        <f t="array" ref="P1288">XLOOKUP('FACUS$'!$B1288,'perfil de pagos'!$A$4:$A$46,'perfil de pagos'!$C$4:$C$46+'FACUS$'!$D1288)</f>
        <v>44319</v>
      </c>
      <c r="Q1288" s="165">
        <f t="shared" si="2"/>
        <v>0</v>
      </c>
      <c r="R1288" s="167"/>
      <c r="S1288" s="167"/>
      <c r="T1288" s="167"/>
      <c r="U1288" s="334" t="s">
        <v>7271</v>
      </c>
      <c r="V1288" s="168">
        <f t="shared" si="3"/>
        <v>11879.47</v>
      </c>
      <c r="W1288" s="168">
        <f t="shared" si="4"/>
        <v>0</v>
      </c>
      <c r="X1288" s="168">
        <f t="shared" si="5"/>
        <v>0</v>
      </c>
      <c r="Y1288" s="168">
        <f t="shared" si="6"/>
        <v>0</v>
      </c>
      <c r="Z1288" s="168">
        <f t="shared" si="7"/>
        <v>0</v>
      </c>
      <c r="AA1288" s="168">
        <f t="shared" si="8"/>
        <v>0</v>
      </c>
      <c r="AB1288" s="168">
        <f t="shared" si="9"/>
        <v>0</v>
      </c>
    </row>
    <row r="1289" ht="14.25" customHeight="1">
      <c r="A1289" s="157" t="s">
        <v>8284</v>
      </c>
      <c r="B1289" s="169" t="s">
        <v>26</v>
      </c>
      <c r="C1289" s="169" t="s">
        <v>2812</v>
      </c>
      <c r="D1289" s="336">
        <v>44309.0</v>
      </c>
      <c r="E1289" s="157" t="s">
        <v>600</v>
      </c>
      <c r="F1289" s="160">
        <v>3233.88</v>
      </c>
      <c r="G1289" s="160">
        <v>517.42</v>
      </c>
      <c r="H1289" s="160">
        <f t="shared" si="40"/>
        <v>3751.3</v>
      </c>
      <c r="I1289" s="172"/>
      <c r="J1289" s="169"/>
      <c r="K1289" s="172"/>
      <c r="L1289" s="172">
        <f>+'FACUS$'!$H1289-'FACUS$'!$I1289-'FACUS$'!$K1289</f>
        <v>3751.3</v>
      </c>
      <c r="M1289" s="162" t="s">
        <v>2386</v>
      </c>
      <c r="N1289" s="337" t="s">
        <v>554</v>
      </c>
      <c r="O1289" s="338">
        <v>44372.0</v>
      </c>
      <c r="P1289" s="164">
        <f t="array" ref="P1289">XLOOKUP('FACUS$'!$B1289,'perfil de pagos'!$A$4:$A$46,'perfil de pagos'!$C$4:$C$46+'FACUS$'!$D1289)</f>
        <v>44339</v>
      </c>
      <c r="Q1289" s="165">
        <f t="shared" si="2"/>
        <v>0</v>
      </c>
      <c r="R1289" s="167" t="s">
        <v>8285</v>
      </c>
      <c r="S1289" s="167"/>
      <c r="T1289" s="167"/>
      <c r="U1289" s="334" t="s">
        <v>7271</v>
      </c>
      <c r="V1289" s="168">
        <f t="shared" si="3"/>
        <v>3751.3</v>
      </c>
      <c r="W1289" s="168">
        <f t="shared" si="4"/>
        <v>0</v>
      </c>
      <c r="X1289" s="168">
        <f t="shared" si="5"/>
        <v>0</v>
      </c>
      <c r="Y1289" s="168">
        <f t="shared" si="6"/>
        <v>0</v>
      </c>
      <c r="Z1289" s="168">
        <f t="shared" si="7"/>
        <v>0</v>
      </c>
      <c r="AA1289" s="168">
        <f t="shared" si="8"/>
        <v>0</v>
      </c>
      <c r="AB1289" s="168">
        <f t="shared" si="9"/>
        <v>0</v>
      </c>
    </row>
    <row r="1290" ht="14.25" customHeight="1">
      <c r="A1290" s="157" t="s">
        <v>8286</v>
      </c>
      <c r="B1290" s="169" t="s">
        <v>41</v>
      </c>
      <c r="C1290" s="169" t="s">
        <v>2812</v>
      </c>
      <c r="D1290" s="336">
        <v>44309.0</v>
      </c>
      <c r="E1290" s="157" t="s">
        <v>600</v>
      </c>
      <c r="F1290" s="160">
        <v>39440.51</v>
      </c>
      <c r="G1290" s="160">
        <v>6310.48</v>
      </c>
      <c r="H1290" s="160">
        <f t="shared" si="40"/>
        <v>45750.99</v>
      </c>
      <c r="I1290" s="172"/>
      <c r="J1290" s="169"/>
      <c r="K1290" s="172"/>
      <c r="L1290" s="172">
        <f>+'FACUS$'!$H1290-'FACUS$'!$I1290-'FACUS$'!$K1290</f>
        <v>45750.99</v>
      </c>
      <c r="M1290" s="162" t="s">
        <v>875</v>
      </c>
      <c r="N1290" s="337" t="s">
        <v>127</v>
      </c>
      <c r="O1290" s="338"/>
      <c r="P1290" s="164">
        <f t="array" ref="P1290">XLOOKUP('FACUS$'!$B1290,'perfil de pagos'!$A$4:$A$46,'perfil de pagos'!$C$4:$C$46+'FACUS$'!$D1290)</f>
        <v>44319</v>
      </c>
      <c r="Q1290" s="165" t="str">
        <f t="shared" si="2"/>
        <v>N/A</v>
      </c>
      <c r="R1290" s="167"/>
      <c r="S1290" s="167"/>
      <c r="T1290" s="167"/>
      <c r="U1290" s="334" t="s">
        <v>7271</v>
      </c>
      <c r="V1290" s="168">
        <f t="shared" si="3"/>
        <v>0</v>
      </c>
      <c r="W1290" s="168">
        <f t="shared" si="4"/>
        <v>0</v>
      </c>
      <c r="X1290" s="168">
        <f t="shared" si="5"/>
        <v>0</v>
      </c>
      <c r="Y1290" s="168">
        <f t="shared" si="6"/>
        <v>0</v>
      </c>
      <c r="Z1290" s="168">
        <f t="shared" si="7"/>
        <v>0</v>
      </c>
      <c r="AA1290" s="168">
        <f t="shared" si="8"/>
        <v>0</v>
      </c>
      <c r="AB1290" s="168">
        <f t="shared" si="9"/>
        <v>45750.99</v>
      </c>
    </row>
    <row r="1291" ht="14.25" customHeight="1">
      <c r="A1291" s="157" t="s">
        <v>8287</v>
      </c>
      <c r="B1291" s="169" t="s">
        <v>37</v>
      </c>
      <c r="C1291" s="169" t="s">
        <v>2812</v>
      </c>
      <c r="D1291" s="336">
        <v>44309.0</v>
      </c>
      <c r="E1291" s="157" t="s">
        <v>600</v>
      </c>
      <c r="F1291" s="160">
        <v>84480.87</v>
      </c>
      <c r="G1291" s="160">
        <v>13516.94</v>
      </c>
      <c r="H1291" s="160">
        <f t="shared" si="40"/>
        <v>97997.81</v>
      </c>
      <c r="I1291" s="172"/>
      <c r="J1291" s="169"/>
      <c r="K1291" s="172"/>
      <c r="L1291" s="172">
        <f>+'FACUS$'!$H1291-'FACUS$'!$I1291-'FACUS$'!$K1291</f>
        <v>97997.81</v>
      </c>
      <c r="M1291" s="162" t="s">
        <v>116</v>
      </c>
      <c r="N1291" s="337" t="s">
        <v>554</v>
      </c>
      <c r="O1291" s="338">
        <v>44326.0</v>
      </c>
      <c r="P1291" s="164">
        <f t="array" ref="P1291">XLOOKUP('FACUS$'!$B1291,'perfil de pagos'!$A$4:$A$46,'perfil de pagos'!$C$4:$C$46+'FACUS$'!$D1291)</f>
        <v>44319</v>
      </c>
      <c r="Q1291" s="165">
        <f t="shared" si="2"/>
        <v>0</v>
      </c>
      <c r="R1291" s="167" t="s">
        <v>8288</v>
      </c>
      <c r="S1291" s="167"/>
      <c r="T1291" s="167"/>
      <c r="U1291" s="334" t="s">
        <v>7271</v>
      </c>
      <c r="V1291" s="168">
        <f t="shared" si="3"/>
        <v>97997.81</v>
      </c>
      <c r="W1291" s="168">
        <f t="shared" si="4"/>
        <v>0</v>
      </c>
      <c r="X1291" s="168">
        <f t="shared" si="5"/>
        <v>0</v>
      </c>
      <c r="Y1291" s="168">
        <f t="shared" si="6"/>
        <v>0</v>
      </c>
      <c r="Z1291" s="168">
        <f t="shared" si="7"/>
        <v>0</v>
      </c>
      <c r="AA1291" s="168">
        <f t="shared" si="8"/>
        <v>0</v>
      </c>
      <c r="AB1291" s="168">
        <f t="shared" si="9"/>
        <v>0</v>
      </c>
    </row>
    <row r="1292" ht="14.25" customHeight="1">
      <c r="A1292" s="157" t="s">
        <v>8289</v>
      </c>
      <c r="B1292" s="169" t="s">
        <v>33</v>
      </c>
      <c r="C1292" s="169" t="s">
        <v>2812</v>
      </c>
      <c r="D1292" s="336">
        <v>44309.0</v>
      </c>
      <c r="E1292" s="157" t="s">
        <v>600</v>
      </c>
      <c r="F1292" s="160">
        <v>36667.75</v>
      </c>
      <c r="G1292" s="160">
        <v>5866.84</v>
      </c>
      <c r="H1292" s="160">
        <f t="shared" si="40"/>
        <v>42534.59</v>
      </c>
      <c r="I1292" s="172"/>
      <c r="J1292" s="169"/>
      <c r="K1292" s="172"/>
      <c r="L1292" s="172">
        <f>+'FACUS$'!$H1292-'FACUS$'!$I1292-'FACUS$'!$K1292</f>
        <v>42534.59</v>
      </c>
      <c r="M1292" s="162" t="s">
        <v>958</v>
      </c>
      <c r="N1292" s="337" t="s">
        <v>554</v>
      </c>
      <c r="O1292" s="338">
        <v>44316.0</v>
      </c>
      <c r="P1292" s="164">
        <f t="array" ref="P1292">XLOOKUP('FACUS$'!$B1292,'perfil de pagos'!$A$4:$A$46,'perfil de pagos'!$C$4:$C$46+'FACUS$'!$D1292)</f>
        <v>44319</v>
      </c>
      <c r="Q1292" s="165">
        <f t="shared" si="2"/>
        <v>0</v>
      </c>
      <c r="R1292" s="167"/>
      <c r="S1292" s="167"/>
      <c r="T1292" s="167"/>
      <c r="U1292" s="334" t="s">
        <v>7271</v>
      </c>
      <c r="V1292" s="168">
        <f t="shared" si="3"/>
        <v>42534.59</v>
      </c>
      <c r="W1292" s="168">
        <f t="shared" si="4"/>
        <v>0</v>
      </c>
      <c r="X1292" s="168">
        <f t="shared" si="5"/>
        <v>0</v>
      </c>
      <c r="Y1292" s="168">
        <f t="shared" si="6"/>
        <v>0</v>
      </c>
      <c r="Z1292" s="168">
        <f t="shared" si="7"/>
        <v>0</v>
      </c>
      <c r="AA1292" s="168">
        <f t="shared" si="8"/>
        <v>0</v>
      </c>
      <c r="AB1292" s="168">
        <f t="shared" si="9"/>
        <v>0</v>
      </c>
    </row>
    <row r="1293" ht="14.25" customHeight="1">
      <c r="A1293" s="157" t="s">
        <v>8290</v>
      </c>
      <c r="B1293" s="169" t="s">
        <v>35</v>
      </c>
      <c r="C1293" s="169" t="s">
        <v>2812</v>
      </c>
      <c r="D1293" s="336">
        <v>44309.0</v>
      </c>
      <c r="E1293" s="157" t="s">
        <v>600</v>
      </c>
      <c r="F1293" s="160">
        <v>1206.37</v>
      </c>
      <c r="G1293" s="160">
        <v>193.02</v>
      </c>
      <c r="H1293" s="160">
        <f t="shared" si="40"/>
        <v>1399.39</v>
      </c>
      <c r="I1293" s="172"/>
      <c r="J1293" s="169"/>
      <c r="K1293" s="172"/>
      <c r="L1293" s="172">
        <f>+'FACUS$'!$H1293-'FACUS$'!$I1293-'FACUS$'!$K1293</f>
        <v>1399.39</v>
      </c>
      <c r="M1293" s="162" t="s">
        <v>276</v>
      </c>
      <c r="N1293" s="337" t="s">
        <v>127</v>
      </c>
      <c r="O1293" s="338"/>
      <c r="P1293" s="164">
        <f t="array" ref="P1293">XLOOKUP('FACUS$'!$B1293,'perfil de pagos'!$A$4:$A$46,'perfil de pagos'!$C$4:$C$46+'FACUS$'!$D1293)</f>
        <v>44319</v>
      </c>
      <c r="Q1293" s="165" t="str">
        <f t="shared" si="2"/>
        <v>N/A</v>
      </c>
      <c r="R1293" s="167"/>
      <c r="S1293" s="167"/>
      <c r="T1293" s="167"/>
      <c r="U1293" s="334" t="s">
        <v>7271</v>
      </c>
      <c r="V1293" s="168">
        <f t="shared" si="3"/>
        <v>0</v>
      </c>
      <c r="W1293" s="168">
        <f t="shared" si="4"/>
        <v>0</v>
      </c>
      <c r="X1293" s="168">
        <f t="shared" si="5"/>
        <v>0</v>
      </c>
      <c r="Y1293" s="168">
        <f t="shared" si="6"/>
        <v>0</v>
      </c>
      <c r="Z1293" s="168">
        <f t="shared" si="7"/>
        <v>0</v>
      </c>
      <c r="AA1293" s="168">
        <f t="shared" si="8"/>
        <v>0</v>
      </c>
      <c r="AB1293" s="168">
        <f t="shared" si="9"/>
        <v>1399.39</v>
      </c>
    </row>
    <row r="1294" ht="14.25" customHeight="1">
      <c r="A1294" s="157" t="s">
        <v>8291</v>
      </c>
      <c r="B1294" s="169" t="s">
        <v>36</v>
      </c>
      <c r="C1294" s="169" t="s">
        <v>2812</v>
      </c>
      <c r="D1294" s="336">
        <v>44309.0</v>
      </c>
      <c r="E1294" s="157" t="s">
        <v>600</v>
      </c>
      <c r="F1294" s="160">
        <v>1700.79</v>
      </c>
      <c r="G1294" s="160">
        <v>272.13</v>
      </c>
      <c r="H1294" s="160">
        <f t="shared" si="40"/>
        <v>1972.92</v>
      </c>
      <c r="I1294" s="172"/>
      <c r="J1294" s="169"/>
      <c r="K1294" s="172"/>
      <c r="L1294" s="172">
        <f>+'FACUS$'!$H1294-'FACUS$'!$I1294-'FACUS$'!$K1294</f>
        <v>1972.92</v>
      </c>
      <c r="M1294" s="162" t="s">
        <v>278</v>
      </c>
      <c r="N1294" s="337" t="s">
        <v>554</v>
      </c>
      <c r="O1294" s="338">
        <v>44357.0</v>
      </c>
      <c r="P1294" s="164">
        <f t="array" ref="P1294">XLOOKUP('FACUS$'!$B1294,'perfil de pagos'!$A$4:$A$46,'perfil de pagos'!$C$4:$C$46+'FACUS$'!$D1294)</f>
        <v>44319</v>
      </c>
      <c r="Q1294" s="165">
        <f t="shared" si="2"/>
        <v>0</v>
      </c>
      <c r="R1294" s="167" t="s">
        <v>8292</v>
      </c>
      <c r="S1294" s="167"/>
      <c r="T1294" s="167"/>
      <c r="U1294" s="334" t="s">
        <v>7271</v>
      </c>
      <c r="V1294" s="168">
        <f t="shared" si="3"/>
        <v>1972.92</v>
      </c>
      <c r="W1294" s="168">
        <f t="shared" si="4"/>
        <v>0</v>
      </c>
      <c r="X1294" s="168">
        <f t="shared" si="5"/>
        <v>0</v>
      </c>
      <c r="Y1294" s="168">
        <f t="shared" si="6"/>
        <v>0</v>
      </c>
      <c r="Z1294" s="168">
        <f t="shared" si="7"/>
        <v>0</v>
      </c>
      <c r="AA1294" s="168">
        <f t="shared" si="8"/>
        <v>0</v>
      </c>
      <c r="AB1294" s="168">
        <f t="shared" si="9"/>
        <v>0</v>
      </c>
    </row>
    <row r="1295" ht="14.25" customHeight="1">
      <c r="A1295" s="157" t="s">
        <v>8293</v>
      </c>
      <c r="B1295" s="169" t="s">
        <v>38</v>
      </c>
      <c r="C1295" s="169" t="s">
        <v>2812</v>
      </c>
      <c r="D1295" s="336">
        <v>44309.0</v>
      </c>
      <c r="E1295" s="157" t="s">
        <v>600</v>
      </c>
      <c r="F1295" s="160">
        <v>8508.54</v>
      </c>
      <c r="G1295" s="160">
        <v>1361.37</v>
      </c>
      <c r="H1295" s="160">
        <f t="shared" si="40"/>
        <v>9869.91</v>
      </c>
      <c r="I1295" s="172"/>
      <c r="J1295" s="169"/>
      <c r="K1295" s="172"/>
      <c r="L1295" s="172">
        <f>+'FACUS$'!$H1295-'FACUS$'!$I1295-'FACUS$'!$K1295</f>
        <v>9869.91</v>
      </c>
      <c r="M1295" s="162" t="s">
        <v>145</v>
      </c>
      <c r="N1295" s="337" t="s">
        <v>554</v>
      </c>
      <c r="O1295" s="338">
        <v>44351.0</v>
      </c>
      <c r="P1295" s="164">
        <f t="array" ref="P1295">XLOOKUP('FACUS$'!$B1295,'perfil de pagos'!$A$4:$A$46,'perfil de pagos'!$C$4:$C$46+'FACUS$'!$D1295)</f>
        <v>44339</v>
      </c>
      <c r="Q1295" s="165">
        <f t="shared" si="2"/>
        <v>0</v>
      </c>
      <c r="R1295" s="167" t="s">
        <v>8294</v>
      </c>
      <c r="S1295" s="167"/>
      <c r="T1295" s="167"/>
      <c r="U1295" s="334" t="s">
        <v>7271</v>
      </c>
      <c r="V1295" s="168">
        <f t="shared" si="3"/>
        <v>9869.91</v>
      </c>
      <c r="W1295" s="168">
        <f t="shared" si="4"/>
        <v>0</v>
      </c>
      <c r="X1295" s="168">
        <f t="shared" si="5"/>
        <v>0</v>
      </c>
      <c r="Y1295" s="168">
        <f t="shared" si="6"/>
        <v>0</v>
      </c>
      <c r="Z1295" s="168">
        <f t="shared" si="7"/>
        <v>0</v>
      </c>
      <c r="AA1295" s="168">
        <f t="shared" si="8"/>
        <v>0</v>
      </c>
      <c r="AB1295" s="168">
        <f t="shared" si="9"/>
        <v>0</v>
      </c>
    </row>
    <row r="1296" ht="14.25" customHeight="1">
      <c r="A1296" s="157" t="s">
        <v>8295</v>
      </c>
      <c r="B1296" s="169" t="s">
        <v>1127</v>
      </c>
      <c r="C1296" s="169" t="s">
        <v>2812</v>
      </c>
      <c r="D1296" s="336">
        <v>44309.0</v>
      </c>
      <c r="E1296" s="157" t="s">
        <v>600</v>
      </c>
      <c r="F1296" s="160">
        <v>23015.63</v>
      </c>
      <c r="G1296" s="160">
        <v>3682.5</v>
      </c>
      <c r="H1296" s="160">
        <f t="shared" si="40"/>
        <v>26698.13</v>
      </c>
      <c r="I1296" s="172"/>
      <c r="J1296" s="169"/>
      <c r="K1296" s="172"/>
      <c r="L1296" s="172">
        <f>+'FACUS$'!$H1296-'FACUS$'!$I1296-'FACUS$'!$K1296</f>
        <v>26698.13</v>
      </c>
      <c r="M1296" s="162" t="s">
        <v>580</v>
      </c>
      <c r="N1296" s="337" t="s">
        <v>554</v>
      </c>
      <c r="O1296" s="338">
        <v>44329.0</v>
      </c>
      <c r="P1296" s="164" t="str">
        <f t="array" ref="P1296">XLOOKUP('FACUS$'!$B1296,'perfil de pagos'!$A$4:$A$46,'perfil de pagos'!$C$4:$C$46+'FACUS$'!$D1296)</f>
        <v>#N/A</v>
      </c>
      <c r="Q1296" s="165">
        <f t="shared" si="2"/>
        <v>0</v>
      </c>
      <c r="R1296" s="167"/>
      <c r="S1296" s="167"/>
      <c r="T1296" s="167"/>
      <c r="U1296" s="334" t="s">
        <v>7271</v>
      </c>
      <c r="V1296" s="168">
        <f t="shared" si="3"/>
        <v>26698.13</v>
      </c>
      <c r="W1296" s="168">
        <f t="shared" si="4"/>
        <v>0</v>
      </c>
      <c r="X1296" s="168">
        <f t="shared" si="5"/>
        <v>0</v>
      </c>
      <c r="Y1296" s="168">
        <f t="shared" si="6"/>
        <v>0</v>
      </c>
      <c r="Z1296" s="168">
        <f t="shared" si="7"/>
        <v>0</v>
      </c>
      <c r="AA1296" s="168">
        <f t="shared" si="8"/>
        <v>0</v>
      </c>
      <c r="AB1296" s="168">
        <f t="shared" si="9"/>
        <v>0</v>
      </c>
    </row>
    <row r="1297" ht="14.25" customHeight="1">
      <c r="A1297" s="157" t="s">
        <v>8296</v>
      </c>
      <c r="B1297" s="169" t="s">
        <v>43</v>
      </c>
      <c r="C1297" s="169" t="s">
        <v>2812</v>
      </c>
      <c r="D1297" s="336">
        <v>44309.0</v>
      </c>
      <c r="E1297" s="157" t="s">
        <v>600</v>
      </c>
      <c r="F1297" s="160">
        <v>21247.9</v>
      </c>
      <c r="G1297" s="160">
        <v>3399.66</v>
      </c>
      <c r="H1297" s="160">
        <f t="shared" si="40"/>
        <v>24647.56</v>
      </c>
      <c r="I1297" s="172"/>
      <c r="J1297" s="169"/>
      <c r="K1297" s="172"/>
      <c r="L1297" s="172">
        <f>+'FACUS$'!$H1297-'FACUS$'!$I1297-'FACUS$'!$K1297</f>
        <v>24647.56</v>
      </c>
      <c r="M1297" s="162" t="s">
        <v>43</v>
      </c>
      <c r="N1297" s="337" t="s">
        <v>554</v>
      </c>
      <c r="O1297" s="338">
        <v>44370.0</v>
      </c>
      <c r="P1297" s="164">
        <f t="array" ref="P1297">XLOOKUP('FACUS$'!$B1297,'perfil de pagos'!$A$4:$A$46,'perfil de pagos'!$C$4:$C$46+'FACUS$'!$D1297)</f>
        <v>44334</v>
      </c>
      <c r="Q1297" s="165">
        <f t="shared" si="2"/>
        <v>0</v>
      </c>
      <c r="R1297" s="167"/>
      <c r="S1297" s="167"/>
      <c r="T1297" s="167"/>
      <c r="U1297" s="334" t="s">
        <v>7271</v>
      </c>
      <c r="V1297" s="168">
        <f t="shared" si="3"/>
        <v>24647.56</v>
      </c>
      <c r="W1297" s="168">
        <f t="shared" si="4"/>
        <v>0</v>
      </c>
      <c r="X1297" s="168">
        <f t="shared" si="5"/>
        <v>0</v>
      </c>
      <c r="Y1297" s="168">
        <f t="shared" si="6"/>
        <v>0</v>
      </c>
      <c r="Z1297" s="168">
        <f t="shared" si="7"/>
        <v>0</v>
      </c>
      <c r="AA1297" s="168">
        <f t="shared" si="8"/>
        <v>0</v>
      </c>
      <c r="AB1297" s="168">
        <f t="shared" si="9"/>
        <v>0</v>
      </c>
    </row>
    <row r="1298" ht="14.25" customHeight="1">
      <c r="A1298" s="157" t="s">
        <v>8297</v>
      </c>
      <c r="B1298" s="169" t="s">
        <v>41</v>
      </c>
      <c r="C1298" s="169" t="s">
        <v>2812</v>
      </c>
      <c r="D1298" s="336">
        <v>44312.0</v>
      </c>
      <c r="E1298" s="157" t="s">
        <v>600</v>
      </c>
      <c r="F1298" s="160">
        <v>36091.71</v>
      </c>
      <c r="G1298" s="160">
        <v>5774.67</v>
      </c>
      <c r="H1298" s="160">
        <f t="shared" si="40"/>
        <v>41866.38</v>
      </c>
      <c r="I1298" s="172"/>
      <c r="J1298" s="169"/>
      <c r="K1298" s="172"/>
      <c r="L1298" s="172">
        <f>+'FACUS$'!$H1298-'FACUS$'!$I1298-'FACUS$'!$K1298</f>
        <v>41866.38</v>
      </c>
      <c r="M1298" s="162" t="s">
        <v>875</v>
      </c>
      <c r="N1298" s="337" t="s">
        <v>554</v>
      </c>
      <c r="O1298" s="338">
        <v>44489.0</v>
      </c>
      <c r="P1298" s="164">
        <f t="array" ref="P1298">XLOOKUP('FACUS$'!$B1298,'perfil de pagos'!$A$4:$A$46,'perfil de pagos'!$C$4:$C$46+'FACUS$'!$D1298)</f>
        <v>44322</v>
      </c>
      <c r="Q1298" s="165">
        <f t="shared" si="2"/>
        <v>0</v>
      </c>
      <c r="R1298" s="167"/>
      <c r="S1298" s="167"/>
      <c r="T1298" s="167"/>
      <c r="U1298" s="334" t="s">
        <v>7271</v>
      </c>
      <c r="V1298" s="168">
        <f t="shared" si="3"/>
        <v>41866.38</v>
      </c>
      <c r="W1298" s="168">
        <f t="shared" si="4"/>
        <v>0</v>
      </c>
      <c r="X1298" s="168">
        <f t="shared" si="5"/>
        <v>0</v>
      </c>
      <c r="Y1298" s="168">
        <f t="shared" si="6"/>
        <v>0</v>
      </c>
      <c r="Z1298" s="168">
        <f t="shared" si="7"/>
        <v>0</v>
      </c>
      <c r="AA1298" s="168">
        <f t="shared" si="8"/>
        <v>0</v>
      </c>
      <c r="AB1298" s="168">
        <f t="shared" si="9"/>
        <v>0</v>
      </c>
    </row>
    <row r="1299" ht="14.25" customHeight="1">
      <c r="A1299" s="157" t="s">
        <v>8298</v>
      </c>
      <c r="B1299" s="169" t="s">
        <v>35</v>
      </c>
      <c r="C1299" s="169" t="s">
        <v>2812</v>
      </c>
      <c r="D1299" s="336">
        <v>44312.0</v>
      </c>
      <c r="E1299" s="157" t="s">
        <v>600</v>
      </c>
      <c r="F1299" s="160">
        <v>12063.73</v>
      </c>
      <c r="G1299" s="160">
        <v>1930.2</v>
      </c>
      <c r="H1299" s="160">
        <f t="shared" si="40"/>
        <v>13993.93</v>
      </c>
      <c r="I1299" s="172"/>
      <c r="J1299" s="169"/>
      <c r="K1299" s="172"/>
      <c r="L1299" s="172">
        <f>+'FACUS$'!$H1299-'FACUS$'!$I1299-'FACUS$'!$K1299</f>
        <v>13993.93</v>
      </c>
      <c r="M1299" s="162" t="s">
        <v>276</v>
      </c>
      <c r="N1299" s="337" t="s">
        <v>554</v>
      </c>
      <c r="O1299" s="338">
        <v>44321.0</v>
      </c>
      <c r="P1299" s="164">
        <f t="array" ref="P1299">XLOOKUP('FACUS$'!$B1299,'perfil de pagos'!$A$4:$A$46,'perfil de pagos'!$C$4:$C$46+'FACUS$'!$D1299)</f>
        <v>44322</v>
      </c>
      <c r="Q1299" s="165">
        <f t="shared" si="2"/>
        <v>0</v>
      </c>
      <c r="R1299" s="167"/>
      <c r="S1299" s="167"/>
      <c r="T1299" s="167"/>
      <c r="U1299" s="334" t="s">
        <v>7271</v>
      </c>
      <c r="V1299" s="168">
        <f t="shared" si="3"/>
        <v>13993.93</v>
      </c>
      <c r="W1299" s="168">
        <f t="shared" si="4"/>
        <v>0</v>
      </c>
      <c r="X1299" s="168">
        <f t="shared" si="5"/>
        <v>0</v>
      </c>
      <c r="Y1299" s="168">
        <f t="shared" si="6"/>
        <v>0</v>
      </c>
      <c r="Z1299" s="168">
        <f t="shared" si="7"/>
        <v>0</v>
      </c>
      <c r="AA1299" s="168">
        <f t="shared" si="8"/>
        <v>0</v>
      </c>
      <c r="AB1299" s="168">
        <f t="shared" si="9"/>
        <v>0</v>
      </c>
    </row>
    <row r="1300" ht="14.25" customHeight="1">
      <c r="A1300" s="157" t="s">
        <v>8299</v>
      </c>
      <c r="B1300" s="169" t="s">
        <v>43</v>
      </c>
      <c r="C1300" s="169" t="s">
        <v>2842</v>
      </c>
      <c r="D1300" s="336">
        <v>44320.0</v>
      </c>
      <c r="E1300" s="157" t="s">
        <v>600</v>
      </c>
      <c r="F1300" s="160">
        <v>14050.9</v>
      </c>
      <c r="G1300" s="160">
        <v>2248.14</v>
      </c>
      <c r="H1300" s="160">
        <f t="shared" si="40"/>
        <v>16299.04</v>
      </c>
      <c r="I1300" s="172"/>
      <c r="J1300" s="169"/>
      <c r="K1300" s="172"/>
      <c r="L1300" s="172">
        <f>+'FACUS$'!$H1300-'FACUS$'!$I1300-'FACUS$'!$K1300</f>
        <v>16299.04</v>
      </c>
      <c r="M1300" s="162" t="s">
        <v>43</v>
      </c>
      <c r="N1300" s="337" t="s">
        <v>554</v>
      </c>
      <c r="O1300" s="338">
        <v>44383.0</v>
      </c>
      <c r="P1300" s="164">
        <f t="array" ref="P1300">XLOOKUP('FACUS$'!$B1300,'perfil de pagos'!$A$4:$A$46,'perfil de pagos'!$C$4:$C$46+'FACUS$'!$D1300)</f>
        <v>44345</v>
      </c>
      <c r="Q1300" s="165">
        <f t="shared" si="2"/>
        <v>0</v>
      </c>
      <c r="R1300" s="167"/>
      <c r="S1300" s="167"/>
      <c r="T1300" s="167"/>
      <c r="U1300" s="334" t="s">
        <v>7271</v>
      </c>
      <c r="V1300" s="168">
        <f t="shared" si="3"/>
        <v>16299.04</v>
      </c>
      <c r="W1300" s="168">
        <f t="shared" si="4"/>
        <v>0</v>
      </c>
      <c r="X1300" s="168">
        <f t="shared" si="5"/>
        <v>0</v>
      </c>
      <c r="Y1300" s="168">
        <f t="shared" si="6"/>
        <v>0</v>
      </c>
      <c r="Z1300" s="168">
        <f t="shared" si="7"/>
        <v>0</v>
      </c>
      <c r="AA1300" s="168">
        <f t="shared" si="8"/>
        <v>0</v>
      </c>
      <c r="AB1300" s="168">
        <f t="shared" si="9"/>
        <v>0</v>
      </c>
    </row>
    <row r="1301" ht="14.25" customHeight="1">
      <c r="A1301" s="157" t="s">
        <v>8300</v>
      </c>
      <c r="B1301" s="169" t="s">
        <v>18</v>
      </c>
      <c r="C1301" s="169" t="s">
        <v>2854</v>
      </c>
      <c r="D1301" s="336">
        <v>44322.0</v>
      </c>
      <c r="E1301" s="157" t="s">
        <v>600</v>
      </c>
      <c r="F1301" s="160">
        <v>10768.78</v>
      </c>
      <c r="G1301" s="160">
        <v>1723.0</v>
      </c>
      <c r="H1301" s="160">
        <f t="shared" si="40"/>
        <v>12491.78</v>
      </c>
      <c r="I1301" s="172"/>
      <c r="J1301" s="169"/>
      <c r="K1301" s="172"/>
      <c r="L1301" s="172">
        <f>+'FACUS$'!$H1301-'FACUS$'!$I1301-'FACUS$'!$K1301</f>
        <v>12491.78</v>
      </c>
      <c r="M1301" s="162" t="s">
        <v>586</v>
      </c>
      <c r="N1301" s="337" t="s">
        <v>554</v>
      </c>
      <c r="O1301" s="338">
        <v>44337.0</v>
      </c>
      <c r="P1301" s="164">
        <f t="array" ref="P1301">XLOOKUP('FACUS$'!$B1301,'perfil de pagos'!$A$4:$A$46,'perfil de pagos'!$C$4:$C$46+'FACUS$'!$D1301)</f>
        <v>44332</v>
      </c>
      <c r="Q1301" s="165">
        <f t="shared" si="2"/>
        <v>0</v>
      </c>
      <c r="R1301" s="167"/>
      <c r="S1301" s="167"/>
      <c r="T1301" s="167"/>
      <c r="U1301" s="334" t="s">
        <v>7271</v>
      </c>
      <c r="V1301" s="168">
        <f t="shared" si="3"/>
        <v>12491.78</v>
      </c>
      <c r="W1301" s="168">
        <f t="shared" si="4"/>
        <v>0</v>
      </c>
      <c r="X1301" s="168">
        <f t="shared" si="5"/>
        <v>0</v>
      </c>
      <c r="Y1301" s="168">
        <f t="shared" si="6"/>
        <v>0</v>
      </c>
      <c r="Z1301" s="168">
        <f t="shared" si="7"/>
        <v>0</v>
      </c>
      <c r="AA1301" s="168">
        <f t="shared" si="8"/>
        <v>0</v>
      </c>
      <c r="AB1301" s="168">
        <f t="shared" si="9"/>
        <v>0</v>
      </c>
    </row>
    <row r="1302" ht="14.25" customHeight="1">
      <c r="A1302" s="157" t="s">
        <v>8301</v>
      </c>
      <c r="B1302" s="169" t="s">
        <v>20</v>
      </c>
      <c r="C1302" s="169" t="s">
        <v>2854</v>
      </c>
      <c r="D1302" s="336">
        <v>44322.0</v>
      </c>
      <c r="E1302" s="157" t="s">
        <v>600</v>
      </c>
      <c r="F1302" s="160">
        <v>14076.89</v>
      </c>
      <c r="G1302" s="160">
        <v>2252.3</v>
      </c>
      <c r="H1302" s="160">
        <f t="shared" si="40"/>
        <v>16329.19</v>
      </c>
      <c r="I1302" s="172"/>
      <c r="J1302" s="169"/>
      <c r="K1302" s="172"/>
      <c r="L1302" s="172">
        <f>+'FACUS$'!$H1302-'FACUS$'!$I1302-'FACUS$'!$K1302</f>
        <v>16329.19</v>
      </c>
      <c r="M1302" s="162" t="s">
        <v>732</v>
      </c>
      <c r="N1302" s="337" t="s">
        <v>554</v>
      </c>
      <c r="O1302" s="338">
        <v>44337.0</v>
      </c>
      <c r="P1302" s="164">
        <f t="array" ref="P1302">XLOOKUP('FACUS$'!$B1302,'perfil de pagos'!$A$4:$A$46,'perfil de pagos'!$C$4:$C$46+'FACUS$'!$D1302)</f>
        <v>44332</v>
      </c>
      <c r="Q1302" s="165">
        <f t="shared" si="2"/>
        <v>0</v>
      </c>
      <c r="R1302" s="167"/>
      <c r="S1302" s="167"/>
      <c r="T1302" s="167"/>
      <c r="U1302" s="334" t="s">
        <v>7271</v>
      </c>
      <c r="V1302" s="168">
        <f t="shared" si="3"/>
        <v>16329.19</v>
      </c>
      <c r="W1302" s="168">
        <f t="shared" si="4"/>
        <v>0</v>
      </c>
      <c r="X1302" s="168">
        <f t="shared" si="5"/>
        <v>0</v>
      </c>
      <c r="Y1302" s="168">
        <f t="shared" si="6"/>
        <v>0</v>
      </c>
      <c r="Z1302" s="168">
        <f t="shared" si="7"/>
        <v>0</v>
      </c>
      <c r="AA1302" s="168">
        <f t="shared" si="8"/>
        <v>0</v>
      </c>
      <c r="AB1302" s="168">
        <f t="shared" si="9"/>
        <v>0</v>
      </c>
    </row>
    <row r="1303" ht="14.25" customHeight="1">
      <c r="A1303" s="157" t="s">
        <v>8302</v>
      </c>
      <c r="B1303" s="169" t="s">
        <v>26</v>
      </c>
      <c r="C1303" s="169" t="s">
        <v>2854</v>
      </c>
      <c r="D1303" s="336">
        <v>44322.0</v>
      </c>
      <c r="E1303" s="157" t="s">
        <v>600</v>
      </c>
      <c r="F1303" s="160">
        <v>3149.58</v>
      </c>
      <c r="G1303" s="160">
        <v>503.93</v>
      </c>
      <c r="H1303" s="160">
        <f t="shared" si="40"/>
        <v>3653.51</v>
      </c>
      <c r="I1303" s="172"/>
      <c r="J1303" s="169"/>
      <c r="K1303" s="172"/>
      <c r="L1303" s="172">
        <f>+'FACUS$'!$H1303-'FACUS$'!$I1303-'FACUS$'!$K1303</f>
        <v>3653.51</v>
      </c>
      <c r="M1303" s="162" t="s">
        <v>2386</v>
      </c>
      <c r="N1303" s="337" t="s">
        <v>554</v>
      </c>
      <c r="O1303" s="338">
        <v>44358.0</v>
      </c>
      <c r="P1303" s="164">
        <f t="array" ref="P1303">XLOOKUP('FACUS$'!$B1303,'perfil de pagos'!$A$4:$A$46,'perfil de pagos'!$C$4:$C$46+'FACUS$'!$D1303)</f>
        <v>44352</v>
      </c>
      <c r="Q1303" s="165">
        <f t="shared" si="2"/>
        <v>0</v>
      </c>
      <c r="R1303" s="167" t="s">
        <v>8303</v>
      </c>
      <c r="S1303" s="167"/>
      <c r="T1303" s="167"/>
      <c r="U1303" s="334" t="s">
        <v>7271</v>
      </c>
      <c r="V1303" s="168">
        <f t="shared" si="3"/>
        <v>3653.51</v>
      </c>
      <c r="W1303" s="168">
        <f t="shared" si="4"/>
        <v>0</v>
      </c>
      <c r="X1303" s="168">
        <f t="shared" si="5"/>
        <v>0</v>
      </c>
      <c r="Y1303" s="168">
        <f t="shared" si="6"/>
        <v>0</v>
      </c>
      <c r="Z1303" s="168">
        <f t="shared" si="7"/>
        <v>0</v>
      </c>
      <c r="AA1303" s="168">
        <f t="shared" si="8"/>
        <v>0</v>
      </c>
      <c r="AB1303" s="168">
        <f t="shared" si="9"/>
        <v>0</v>
      </c>
    </row>
    <row r="1304" ht="14.25" customHeight="1">
      <c r="A1304" s="157" t="s">
        <v>8304</v>
      </c>
      <c r="B1304" s="169" t="s">
        <v>41</v>
      </c>
      <c r="C1304" s="169" t="s">
        <v>2854</v>
      </c>
      <c r="D1304" s="336">
        <v>44322.0</v>
      </c>
      <c r="E1304" s="157" t="s">
        <v>600</v>
      </c>
      <c r="F1304" s="160">
        <v>25234.72</v>
      </c>
      <c r="G1304" s="160">
        <v>4037.56</v>
      </c>
      <c r="H1304" s="160">
        <f t="shared" si="40"/>
        <v>29272.28</v>
      </c>
      <c r="I1304" s="172"/>
      <c r="J1304" s="169"/>
      <c r="K1304" s="172"/>
      <c r="L1304" s="172">
        <f>+'FACUS$'!$H1304-'FACUS$'!$I1304-'FACUS$'!$K1304</f>
        <v>29272.28</v>
      </c>
      <c r="M1304" s="162" t="s">
        <v>875</v>
      </c>
      <c r="N1304" s="337" t="s">
        <v>554</v>
      </c>
      <c r="O1304" s="338">
        <v>44503.0</v>
      </c>
      <c r="P1304" s="164">
        <f t="array" ref="P1304">XLOOKUP('FACUS$'!$B1304,'perfil de pagos'!$A$4:$A$46,'perfil de pagos'!$C$4:$C$46+'FACUS$'!$D1304)</f>
        <v>44332</v>
      </c>
      <c r="Q1304" s="165">
        <f t="shared" si="2"/>
        <v>0</v>
      </c>
      <c r="R1304" s="167"/>
      <c r="S1304" s="167"/>
      <c r="T1304" s="167"/>
      <c r="U1304" s="334" t="s">
        <v>7271</v>
      </c>
      <c r="V1304" s="168">
        <f t="shared" si="3"/>
        <v>29272.28</v>
      </c>
      <c r="W1304" s="168">
        <f t="shared" si="4"/>
        <v>0</v>
      </c>
      <c r="X1304" s="168">
        <f t="shared" si="5"/>
        <v>0</v>
      </c>
      <c r="Y1304" s="168">
        <f t="shared" si="6"/>
        <v>0</v>
      </c>
      <c r="Z1304" s="168">
        <f t="shared" si="7"/>
        <v>0</v>
      </c>
      <c r="AA1304" s="168">
        <f t="shared" si="8"/>
        <v>0</v>
      </c>
      <c r="AB1304" s="168">
        <f t="shared" si="9"/>
        <v>0</v>
      </c>
    </row>
    <row r="1305" ht="14.25" customHeight="1">
      <c r="A1305" s="157" t="s">
        <v>8305</v>
      </c>
      <c r="B1305" s="169" t="s">
        <v>37</v>
      </c>
      <c r="C1305" s="169" t="s">
        <v>2854</v>
      </c>
      <c r="D1305" s="336">
        <v>44322.0</v>
      </c>
      <c r="E1305" s="157" t="s">
        <v>600</v>
      </c>
      <c r="F1305" s="160">
        <v>90166.01</v>
      </c>
      <c r="G1305" s="160">
        <v>14426.56</v>
      </c>
      <c r="H1305" s="160">
        <f t="shared" si="40"/>
        <v>104592.57</v>
      </c>
      <c r="I1305" s="172"/>
      <c r="J1305" s="169"/>
      <c r="K1305" s="172"/>
      <c r="L1305" s="172">
        <f>+'FACUS$'!$H1305-'FACUS$'!$I1305-'FACUS$'!$K1305</f>
        <v>104592.57</v>
      </c>
      <c r="M1305" s="162" t="s">
        <v>116</v>
      </c>
      <c r="N1305" s="337" t="s">
        <v>554</v>
      </c>
      <c r="O1305" s="338">
        <v>44333.0</v>
      </c>
      <c r="P1305" s="164">
        <f t="array" ref="P1305">XLOOKUP('FACUS$'!$B1305,'perfil de pagos'!$A$4:$A$46,'perfil de pagos'!$C$4:$C$46+'FACUS$'!$D1305)</f>
        <v>44332</v>
      </c>
      <c r="Q1305" s="165">
        <f t="shared" si="2"/>
        <v>0</v>
      </c>
      <c r="R1305" s="220" t="s">
        <v>8306</v>
      </c>
      <c r="S1305" s="167"/>
      <c r="T1305" s="167"/>
      <c r="U1305" s="334" t="s">
        <v>7271</v>
      </c>
      <c r="V1305" s="168">
        <f t="shared" si="3"/>
        <v>104592.57</v>
      </c>
      <c r="W1305" s="168">
        <f t="shared" si="4"/>
        <v>0</v>
      </c>
      <c r="X1305" s="168">
        <f t="shared" si="5"/>
        <v>0</v>
      </c>
      <c r="Y1305" s="168">
        <f t="shared" si="6"/>
        <v>0</v>
      </c>
      <c r="Z1305" s="168">
        <f t="shared" si="7"/>
        <v>0</v>
      </c>
      <c r="AA1305" s="168">
        <f t="shared" si="8"/>
        <v>0</v>
      </c>
      <c r="AB1305" s="168">
        <f t="shared" si="9"/>
        <v>0</v>
      </c>
    </row>
    <row r="1306" ht="14.25" customHeight="1">
      <c r="A1306" s="157" t="s">
        <v>8307</v>
      </c>
      <c r="B1306" s="169" t="s">
        <v>33</v>
      </c>
      <c r="C1306" s="169" t="s">
        <v>2854</v>
      </c>
      <c r="D1306" s="336">
        <v>44322.0</v>
      </c>
      <c r="E1306" s="157" t="s">
        <v>600</v>
      </c>
      <c r="F1306" s="160">
        <v>36769.02</v>
      </c>
      <c r="G1306" s="160">
        <v>5883.04</v>
      </c>
      <c r="H1306" s="160">
        <f t="shared" si="40"/>
        <v>42652.06</v>
      </c>
      <c r="I1306" s="172"/>
      <c r="J1306" s="169"/>
      <c r="K1306" s="172"/>
      <c r="L1306" s="172">
        <f>+'FACUS$'!$H1306-'FACUS$'!$I1306-'FACUS$'!$K1306</f>
        <v>42652.06</v>
      </c>
      <c r="M1306" s="162" t="s">
        <v>958</v>
      </c>
      <c r="N1306" s="337" t="s">
        <v>554</v>
      </c>
      <c r="O1306" s="338">
        <v>44337.0</v>
      </c>
      <c r="P1306" s="164">
        <f t="array" ref="P1306">XLOOKUP('FACUS$'!$B1306,'perfil de pagos'!$A$4:$A$46,'perfil de pagos'!$C$4:$C$46+'FACUS$'!$D1306)</f>
        <v>44332</v>
      </c>
      <c r="Q1306" s="165">
        <f t="shared" si="2"/>
        <v>0</v>
      </c>
      <c r="R1306" s="167"/>
      <c r="S1306" s="167"/>
      <c r="T1306" s="167"/>
      <c r="U1306" s="334" t="s">
        <v>7271</v>
      </c>
      <c r="V1306" s="168">
        <f t="shared" si="3"/>
        <v>42652.06</v>
      </c>
      <c r="W1306" s="168">
        <f t="shared" si="4"/>
        <v>0</v>
      </c>
      <c r="X1306" s="168">
        <f t="shared" si="5"/>
        <v>0</v>
      </c>
      <c r="Y1306" s="168">
        <f t="shared" si="6"/>
        <v>0</v>
      </c>
      <c r="Z1306" s="168">
        <f t="shared" si="7"/>
        <v>0</v>
      </c>
      <c r="AA1306" s="168">
        <f t="shared" si="8"/>
        <v>0</v>
      </c>
      <c r="AB1306" s="168">
        <f t="shared" si="9"/>
        <v>0</v>
      </c>
    </row>
    <row r="1307" ht="14.25" customHeight="1">
      <c r="A1307" s="157" t="s">
        <v>8308</v>
      </c>
      <c r="B1307" s="169" t="s">
        <v>35</v>
      </c>
      <c r="C1307" s="169" t="s">
        <v>2854</v>
      </c>
      <c r="D1307" s="336">
        <v>44322.0</v>
      </c>
      <c r="E1307" s="157" t="s">
        <v>600</v>
      </c>
      <c r="F1307" s="160">
        <v>11121.8</v>
      </c>
      <c r="G1307" s="160">
        <v>1779.49</v>
      </c>
      <c r="H1307" s="160">
        <f t="shared" si="40"/>
        <v>12901.29</v>
      </c>
      <c r="I1307" s="172"/>
      <c r="J1307" s="169"/>
      <c r="K1307" s="172"/>
      <c r="L1307" s="172">
        <f>+'FACUS$'!$H1307-'FACUS$'!$I1307-'FACUS$'!$K1307</f>
        <v>12901.29</v>
      </c>
      <c r="M1307" s="162" t="s">
        <v>276</v>
      </c>
      <c r="N1307" s="337" t="s">
        <v>554</v>
      </c>
      <c r="O1307" s="338">
        <v>44333.0</v>
      </c>
      <c r="P1307" s="164">
        <f t="array" ref="P1307">XLOOKUP('FACUS$'!$B1307,'perfil de pagos'!$A$4:$A$46,'perfil de pagos'!$C$4:$C$46+'FACUS$'!$D1307)</f>
        <v>44332</v>
      </c>
      <c r="Q1307" s="165">
        <f t="shared" si="2"/>
        <v>0</v>
      </c>
      <c r="R1307" s="167"/>
      <c r="S1307" s="167"/>
      <c r="T1307" s="167"/>
      <c r="U1307" s="334" t="s">
        <v>7271</v>
      </c>
      <c r="V1307" s="168">
        <f t="shared" si="3"/>
        <v>12901.29</v>
      </c>
      <c r="W1307" s="168">
        <f t="shared" si="4"/>
        <v>0</v>
      </c>
      <c r="X1307" s="168">
        <f t="shared" si="5"/>
        <v>0</v>
      </c>
      <c r="Y1307" s="168">
        <f t="shared" si="6"/>
        <v>0</v>
      </c>
      <c r="Z1307" s="168">
        <f t="shared" si="7"/>
        <v>0</v>
      </c>
      <c r="AA1307" s="168">
        <f t="shared" si="8"/>
        <v>0</v>
      </c>
      <c r="AB1307" s="168">
        <f t="shared" si="9"/>
        <v>0</v>
      </c>
    </row>
    <row r="1308" ht="14.25" customHeight="1">
      <c r="A1308" s="157" t="s">
        <v>8309</v>
      </c>
      <c r="B1308" s="169" t="s">
        <v>36</v>
      </c>
      <c r="C1308" s="169" t="s">
        <v>2854</v>
      </c>
      <c r="D1308" s="336">
        <v>44322.0</v>
      </c>
      <c r="E1308" s="157" t="s">
        <v>600</v>
      </c>
      <c r="F1308" s="160">
        <v>2458.56</v>
      </c>
      <c r="G1308" s="160">
        <v>393.37</v>
      </c>
      <c r="H1308" s="160">
        <f t="shared" si="40"/>
        <v>2851.93</v>
      </c>
      <c r="I1308" s="172"/>
      <c r="J1308" s="169"/>
      <c r="K1308" s="172"/>
      <c r="L1308" s="172">
        <f>+'FACUS$'!$H1308-'FACUS$'!$I1308-'FACUS$'!$K1308</f>
        <v>2851.93</v>
      </c>
      <c r="M1308" s="162" t="s">
        <v>278</v>
      </c>
      <c r="N1308" s="337" t="s">
        <v>554</v>
      </c>
      <c r="O1308" s="338">
        <v>44414.0</v>
      </c>
      <c r="P1308" s="164">
        <f t="array" ref="P1308">XLOOKUP('FACUS$'!$B1308,'perfil de pagos'!$A$4:$A$46,'perfil de pagos'!$C$4:$C$46+'FACUS$'!$D1308)</f>
        <v>44332</v>
      </c>
      <c r="Q1308" s="165">
        <f t="shared" si="2"/>
        <v>0</v>
      </c>
      <c r="R1308" s="167" t="s">
        <v>8310</v>
      </c>
      <c r="S1308" s="167"/>
      <c r="T1308" s="167"/>
      <c r="U1308" s="334" t="s">
        <v>7271</v>
      </c>
      <c r="V1308" s="168">
        <f t="shared" si="3"/>
        <v>2851.93</v>
      </c>
      <c r="W1308" s="168">
        <f t="shared" si="4"/>
        <v>0</v>
      </c>
      <c r="X1308" s="168">
        <f t="shared" si="5"/>
        <v>0</v>
      </c>
      <c r="Y1308" s="168">
        <f t="shared" si="6"/>
        <v>0</v>
      </c>
      <c r="Z1308" s="168">
        <f t="shared" si="7"/>
        <v>0</v>
      </c>
      <c r="AA1308" s="168">
        <f t="shared" si="8"/>
        <v>0</v>
      </c>
      <c r="AB1308" s="168">
        <f t="shared" si="9"/>
        <v>0</v>
      </c>
    </row>
    <row r="1309" ht="14.25" customHeight="1">
      <c r="A1309" s="157" t="s">
        <v>8311</v>
      </c>
      <c r="B1309" s="169" t="s">
        <v>38</v>
      </c>
      <c r="C1309" s="169" t="s">
        <v>2854</v>
      </c>
      <c r="D1309" s="336">
        <v>44322.0</v>
      </c>
      <c r="E1309" s="157" t="s">
        <v>600</v>
      </c>
      <c r="F1309" s="160">
        <v>9581.87</v>
      </c>
      <c r="G1309" s="160">
        <v>1533.1</v>
      </c>
      <c r="H1309" s="160">
        <f t="shared" si="40"/>
        <v>11114.97</v>
      </c>
      <c r="I1309" s="172"/>
      <c r="J1309" s="169"/>
      <c r="K1309" s="172"/>
      <c r="L1309" s="172">
        <f>+'FACUS$'!$H1309-'FACUS$'!$I1309-'FACUS$'!$K1309</f>
        <v>11114.97</v>
      </c>
      <c r="M1309" s="162" t="s">
        <v>145</v>
      </c>
      <c r="N1309" s="337" t="s">
        <v>554</v>
      </c>
      <c r="O1309" s="338">
        <v>44351.0</v>
      </c>
      <c r="P1309" s="164">
        <f t="array" ref="P1309">XLOOKUP('FACUS$'!$B1309,'perfil de pagos'!$A$4:$A$46,'perfil de pagos'!$C$4:$C$46+'FACUS$'!$D1309)</f>
        <v>44352</v>
      </c>
      <c r="Q1309" s="165">
        <f t="shared" si="2"/>
        <v>0</v>
      </c>
      <c r="R1309" s="167" t="s">
        <v>8294</v>
      </c>
      <c r="S1309" s="167"/>
      <c r="T1309" s="167"/>
      <c r="U1309" s="334" t="s">
        <v>7271</v>
      </c>
      <c r="V1309" s="168">
        <f t="shared" si="3"/>
        <v>11114.97</v>
      </c>
      <c r="W1309" s="168">
        <f t="shared" si="4"/>
        <v>0</v>
      </c>
      <c r="X1309" s="168">
        <f t="shared" si="5"/>
        <v>0</v>
      </c>
      <c r="Y1309" s="168">
        <f t="shared" si="6"/>
        <v>0</v>
      </c>
      <c r="Z1309" s="168">
        <f t="shared" si="7"/>
        <v>0</v>
      </c>
      <c r="AA1309" s="168">
        <f t="shared" si="8"/>
        <v>0</v>
      </c>
      <c r="AB1309" s="168">
        <f t="shared" si="9"/>
        <v>0</v>
      </c>
    </row>
    <row r="1310" ht="14.25" customHeight="1">
      <c r="A1310" s="157" t="s">
        <v>8312</v>
      </c>
      <c r="B1310" s="169" t="s">
        <v>1127</v>
      </c>
      <c r="C1310" s="169" t="s">
        <v>2854</v>
      </c>
      <c r="D1310" s="336">
        <v>44322.0</v>
      </c>
      <c r="E1310" s="157" t="s">
        <v>600</v>
      </c>
      <c r="F1310" s="160">
        <v>29743.59</v>
      </c>
      <c r="G1310" s="160">
        <v>4758.97</v>
      </c>
      <c r="H1310" s="160">
        <f t="shared" si="40"/>
        <v>34502.56</v>
      </c>
      <c r="I1310" s="172"/>
      <c r="J1310" s="169"/>
      <c r="K1310" s="172"/>
      <c r="L1310" s="172">
        <f>+'FACUS$'!$H1310-'FACUS$'!$I1310-'FACUS$'!$K1310</f>
        <v>34502.56</v>
      </c>
      <c r="M1310" s="162" t="s">
        <v>580</v>
      </c>
      <c r="N1310" s="337" t="s">
        <v>554</v>
      </c>
      <c r="O1310" s="338">
        <v>44336.0</v>
      </c>
      <c r="P1310" s="164" t="str">
        <f t="array" ref="P1310">XLOOKUP('FACUS$'!$B1310,'perfil de pagos'!$A$4:$A$46,'perfil de pagos'!$C$4:$C$46+'FACUS$'!$D1310)</f>
        <v>#N/A</v>
      </c>
      <c r="Q1310" s="165">
        <f t="shared" si="2"/>
        <v>0</v>
      </c>
      <c r="R1310" s="167"/>
      <c r="S1310" s="167"/>
      <c r="T1310" s="167"/>
      <c r="U1310" s="334" t="s">
        <v>7271</v>
      </c>
      <c r="V1310" s="168">
        <f t="shared" si="3"/>
        <v>34502.56</v>
      </c>
      <c r="W1310" s="168">
        <f t="shared" si="4"/>
        <v>0</v>
      </c>
      <c r="X1310" s="168">
        <f t="shared" si="5"/>
        <v>0</v>
      </c>
      <c r="Y1310" s="168">
        <f t="shared" si="6"/>
        <v>0</v>
      </c>
      <c r="Z1310" s="168">
        <f t="shared" si="7"/>
        <v>0</v>
      </c>
      <c r="AA1310" s="168">
        <f t="shared" si="8"/>
        <v>0</v>
      </c>
      <c r="AB1310" s="168">
        <f t="shared" si="9"/>
        <v>0</v>
      </c>
    </row>
    <row r="1311" ht="14.25" customHeight="1">
      <c r="A1311" s="157" t="s">
        <v>8313</v>
      </c>
      <c r="B1311" s="169" t="s">
        <v>1127</v>
      </c>
      <c r="C1311" s="169" t="s">
        <v>8314</v>
      </c>
      <c r="D1311" s="336">
        <v>44328.0</v>
      </c>
      <c r="E1311" s="157" t="s">
        <v>600</v>
      </c>
      <c r="F1311" s="160">
        <v>6872.4</v>
      </c>
      <c r="G1311" s="160">
        <v>1099.58</v>
      </c>
      <c r="H1311" s="160">
        <f t="shared" si="40"/>
        <v>7971.98</v>
      </c>
      <c r="I1311" s="172"/>
      <c r="J1311" s="169"/>
      <c r="K1311" s="172"/>
      <c r="L1311" s="172">
        <f>+'FACUS$'!$H1311-'FACUS$'!$I1311-'FACUS$'!$K1311</f>
        <v>7971.98</v>
      </c>
      <c r="M1311" s="162" t="s">
        <v>580</v>
      </c>
      <c r="N1311" s="337" t="s">
        <v>127</v>
      </c>
      <c r="O1311" s="338"/>
      <c r="P1311" s="164" t="str">
        <f t="array" ref="P1311">XLOOKUP('FACUS$'!$B1311,'perfil de pagos'!$A$4:$A$46,'perfil de pagos'!$C$4:$C$46+'FACUS$'!$D1311)</f>
        <v>#N/A</v>
      </c>
      <c r="Q1311" s="165" t="str">
        <f t="shared" si="2"/>
        <v>N/A</v>
      </c>
      <c r="R1311" s="167" t="s">
        <v>8315</v>
      </c>
      <c r="S1311" s="167"/>
      <c r="T1311" s="167"/>
      <c r="U1311" s="334" t="s">
        <v>7271</v>
      </c>
      <c r="V1311" s="168">
        <f t="shared" si="3"/>
        <v>0</v>
      </c>
      <c r="W1311" s="168">
        <f t="shared" si="4"/>
        <v>0</v>
      </c>
      <c r="X1311" s="168">
        <f t="shared" si="5"/>
        <v>0</v>
      </c>
      <c r="Y1311" s="168">
        <f t="shared" si="6"/>
        <v>0</v>
      </c>
      <c r="Z1311" s="168">
        <f t="shared" si="7"/>
        <v>0</v>
      </c>
      <c r="AA1311" s="168">
        <f t="shared" si="8"/>
        <v>0</v>
      </c>
      <c r="AB1311" s="168">
        <f t="shared" si="9"/>
        <v>7971.98</v>
      </c>
    </row>
    <row r="1312" ht="14.25" customHeight="1">
      <c r="A1312" s="157" t="s">
        <v>8316</v>
      </c>
      <c r="B1312" s="169" t="s">
        <v>36</v>
      </c>
      <c r="C1312" s="169" t="s">
        <v>8317</v>
      </c>
      <c r="D1312" s="336">
        <v>44328.0</v>
      </c>
      <c r="E1312" s="157" t="s">
        <v>600</v>
      </c>
      <c r="F1312" s="160">
        <v>1226.5</v>
      </c>
      <c r="G1312" s="160">
        <v>166.8</v>
      </c>
      <c r="H1312" s="160">
        <f t="shared" si="40"/>
        <v>1393.3</v>
      </c>
      <c r="I1312" s="172"/>
      <c r="J1312" s="169"/>
      <c r="K1312" s="172"/>
      <c r="L1312" s="172">
        <f>+'FACUS$'!$H1312-'FACUS$'!$I1312-'FACUS$'!$K1312</f>
        <v>1393.3</v>
      </c>
      <c r="M1312" s="162" t="s">
        <v>278</v>
      </c>
      <c r="N1312" s="337" t="s">
        <v>554</v>
      </c>
      <c r="O1312" s="338">
        <v>44450.0</v>
      </c>
      <c r="P1312" s="164">
        <f t="array" ref="P1312">XLOOKUP('FACUS$'!$B1312,'perfil de pagos'!$A$4:$A$46,'perfil de pagos'!$C$4:$C$46+'FACUS$'!$D1312)</f>
        <v>44338</v>
      </c>
      <c r="Q1312" s="165">
        <f t="shared" si="2"/>
        <v>0</v>
      </c>
      <c r="R1312" s="220" t="s">
        <v>8279</v>
      </c>
      <c r="S1312" s="167"/>
      <c r="T1312" s="167"/>
      <c r="U1312" s="334" t="s">
        <v>7271</v>
      </c>
      <c r="V1312" s="168">
        <f t="shared" si="3"/>
        <v>1393.3</v>
      </c>
      <c r="W1312" s="168">
        <f t="shared" si="4"/>
        <v>0</v>
      </c>
      <c r="X1312" s="168">
        <f t="shared" si="5"/>
        <v>0</v>
      </c>
      <c r="Y1312" s="168">
        <f t="shared" si="6"/>
        <v>0</v>
      </c>
      <c r="Z1312" s="168">
        <f t="shared" si="7"/>
        <v>0</v>
      </c>
      <c r="AA1312" s="168">
        <f t="shared" si="8"/>
        <v>0</v>
      </c>
      <c r="AB1312" s="168">
        <f t="shared" si="9"/>
        <v>0</v>
      </c>
    </row>
    <row r="1313" ht="14.25" customHeight="1">
      <c r="A1313" s="157" t="s">
        <v>8318</v>
      </c>
      <c r="B1313" s="169" t="s">
        <v>127</v>
      </c>
      <c r="C1313" s="169"/>
      <c r="D1313" s="336"/>
      <c r="E1313" s="157"/>
      <c r="F1313" s="160"/>
      <c r="G1313" s="160"/>
      <c r="H1313" s="160">
        <f t="shared" si="40"/>
        <v>0</v>
      </c>
      <c r="I1313" s="172"/>
      <c r="J1313" s="169"/>
      <c r="K1313" s="172"/>
      <c r="L1313" s="172">
        <f>+'FACUS$'!$H1313-'FACUS$'!$I1313-'FACUS$'!$K1313</f>
        <v>0</v>
      </c>
      <c r="M1313" s="162" t="s">
        <v>127</v>
      </c>
      <c r="N1313" s="337" t="s">
        <v>127</v>
      </c>
      <c r="O1313" s="338"/>
      <c r="P1313" s="164" t="str">
        <f t="array" ref="P1313">XLOOKUP('FACUS$'!$B1313,'perfil de pagos'!$A$4:$A$46,'perfil de pagos'!$C$4:$C$46+'FACUS$'!$D1313)</f>
        <v>#N/A</v>
      </c>
      <c r="Q1313" s="165" t="str">
        <f t="shared" si="2"/>
        <v>N/A</v>
      </c>
      <c r="R1313" s="167"/>
      <c r="S1313" s="167"/>
      <c r="T1313" s="167"/>
      <c r="U1313" s="334" t="s">
        <v>7271</v>
      </c>
      <c r="V1313" s="168">
        <f t="shared" si="3"/>
        <v>0</v>
      </c>
      <c r="W1313" s="168">
        <f t="shared" si="4"/>
        <v>0</v>
      </c>
      <c r="X1313" s="168">
        <f t="shared" si="5"/>
        <v>0</v>
      </c>
      <c r="Y1313" s="168">
        <f t="shared" si="6"/>
        <v>0</v>
      </c>
      <c r="Z1313" s="168">
        <f t="shared" si="7"/>
        <v>0</v>
      </c>
      <c r="AA1313" s="168">
        <f t="shared" si="8"/>
        <v>0</v>
      </c>
      <c r="AB1313" s="168">
        <f t="shared" si="9"/>
        <v>0</v>
      </c>
    </row>
    <row r="1314" ht="14.25" customHeight="1">
      <c r="A1314" s="157" t="s">
        <v>8319</v>
      </c>
      <c r="B1314" s="169" t="s">
        <v>39</v>
      </c>
      <c r="C1314" s="169" t="s">
        <v>2840</v>
      </c>
      <c r="D1314" s="336">
        <v>44333.0</v>
      </c>
      <c r="E1314" s="157" t="s">
        <v>600</v>
      </c>
      <c r="F1314" s="160">
        <v>10667.24</v>
      </c>
      <c r="G1314" s="160">
        <v>1706.76</v>
      </c>
      <c r="H1314" s="160">
        <f t="shared" si="40"/>
        <v>12374</v>
      </c>
      <c r="I1314" s="172"/>
      <c r="J1314" s="169"/>
      <c r="K1314" s="172"/>
      <c r="L1314" s="172">
        <f>+'FACUS$'!$H1314-'FACUS$'!$I1314-'FACUS$'!$K1314</f>
        <v>12374</v>
      </c>
      <c r="M1314" s="162" t="s">
        <v>570</v>
      </c>
      <c r="N1314" s="337" t="s">
        <v>554</v>
      </c>
      <c r="O1314" s="338">
        <v>44319.0</v>
      </c>
      <c r="P1314" s="164">
        <f t="array" ref="P1314">XLOOKUP('FACUS$'!$B1314,'perfil de pagos'!$A$4:$A$46,'perfil de pagos'!$C$4:$C$46+'FACUS$'!$D1314)</f>
        <v>44343</v>
      </c>
      <c r="Q1314" s="165">
        <f t="shared" si="2"/>
        <v>0</v>
      </c>
      <c r="R1314" s="167"/>
      <c r="S1314" s="167"/>
      <c r="T1314" s="167"/>
      <c r="U1314" s="334" t="s">
        <v>7271</v>
      </c>
      <c r="V1314" s="168">
        <f t="shared" si="3"/>
        <v>12374</v>
      </c>
      <c r="W1314" s="168">
        <f t="shared" si="4"/>
        <v>0</v>
      </c>
      <c r="X1314" s="168">
        <f t="shared" si="5"/>
        <v>0</v>
      </c>
      <c r="Y1314" s="168">
        <f t="shared" si="6"/>
        <v>0</v>
      </c>
      <c r="Z1314" s="168">
        <f t="shared" si="7"/>
        <v>0</v>
      </c>
      <c r="AA1314" s="168">
        <f t="shared" si="8"/>
        <v>0</v>
      </c>
      <c r="AB1314" s="168">
        <f t="shared" si="9"/>
        <v>0</v>
      </c>
    </row>
    <row r="1315" ht="14.25" customHeight="1">
      <c r="A1315" s="157" t="s">
        <v>8320</v>
      </c>
      <c r="B1315" s="169" t="s">
        <v>39</v>
      </c>
      <c r="C1315" s="169" t="s">
        <v>2842</v>
      </c>
      <c r="D1315" s="336">
        <v>44333.0</v>
      </c>
      <c r="E1315" s="157" t="s">
        <v>600</v>
      </c>
      <c r="F1315" s="160">
        <v>6881.7</v>
      </c>
      <c r="G1315" s="160">
        <v>1101.07</v>
      </c>
      <c r="H1315" s="160">
        <f>F1315+G1315-6142.03</f>
        <v>1840.74</v>
      </c>
      <c r="I1315" s="172"/>
      <c r="J1315" s="169"/>
      <c r="K1315" s="172"/>
      <c r="L1315" s="172">
        <f>+'FACUS$'!$H1315-'FACUS$'!$I1315-'FACUS$'!$K1315</f>
        <v>1840.74</v>
      </c>
      <c r="M1315" s="162" t="s">
        <v>570</v>
      </c>
      <c r="N1315" s="337" t="s">
        <v>554</v>
      </c>
      <c r="O1315" s="338">
        <v>44351.0</v>
      </c>
      <c r="P1315" s="164">
        <f t="array" ref="P1315">XLOOKUP('FACUS$'!$B1315,'perfil de pagos'!$A$4:$A$46,'perfil de pagos'!$C$4:$C$46+'FACUS$'!$D1315)</f>
        <v>44343</v>
      </c>
      <c r="Q1315" s="165">
        <f t="shared" si="2"/>
        <v>0</v>
      </c>
      <c r="R1315" s="167" t="s">
        <v>8321</v>
      </c>
      <c r="S1315" s="167"/>
      <c r="T1315" s="167"/>
      <c r="U1315" s="334" t="s">
        <v>7271</v>
      </c>
      <c r="V1315" s="168">
        <f t="shared" si="3"/>
        <v>1840.74</v>
      </c>
      <c r="W1315" s="168">
        <f t="shared" si="4"/>
        <v>0</v>
      </c>
      <c r="X1315" s="168">
        <f t="shared" si="5"/>
        <v>0</v>
      </c>
      <c r="Y1315" s="168">
        <f t="shared" si="6"/>
        <v>0</v>
      </c>
      <c r="Z1315" s="168">
        <f t="shared" si="7"/>
        <v>0</v>
      </c>
      <c r="AA1315" s="168">
        <f t="shared" si="8"/>
        <v>0</v>
      </c>
      <c r="AB1315" s="168">
        <f t="shared" si="9"/>
        <v>0</v>
      </c>
    </row>
    <row r="1316" ht="14.25" customHeight="1">
      <c r="A1316" s="157" t="s">
        <v>8322</v>
      </c>
      <c r="B1316" s="169" t="s">
        <v>127</v>
      </c>
      <c r="C1316" s="169"/>
      <c r="D1316" s="336"/>
      <c r="E1316" s="157"/>
      <c r="F1316" s="160"/>
      <c r="G1316" s="160"/>
      <c r="H1316" s="160">
        <f t="shared" ref="H1316:H1324" si="41">F1316+G1316</f>
        <v>0</v>
      </c>
      <c r="I1316" s="172"/>
      <c r="J1316" s="169"/>
      <c r="K1316" s="172"/>
      <c r="L1316" s="172">
        <f>+'FACUS$'!$H1316-'FACUS$'!$I1316-'FACUS$'!$K1316</f>
        <v>0</v>
      </c>
      <c r="M1316" s="162" t="s">
        <v>127</v>
      </c>
      <c r="N1316" s="337" t="s">
        <v>127</v>
      </c>
      <c r="O1316" s="338"/>
      <c r="P1316" s="164" t="str">
        <f t="array" ref="P1316">XLOOKUP('FACUS$'!$B1316,'perfil de pagos'!$A$4:$A$46,'perfil de pagos'!$C$4:$C$46+'FACUS$'!$D1316)</f>
        <v>#N/A</v>
      </c>
      <c r="Q1316" s="165" t="str">
        <f t="shared" si="2"/>
        <v>N/A</v>
      </c>
      <c r="R1316" s="167"/>
      <c r="S1316" s="167"/>
      <c r="T1316" s="167"/>
      <c r="U1316" s="334" t="s">
        <v>7271</v>
      </c>
      <c r="V1316" s="168">
        <f t="shared" si="3"/>
        <v>0</v>
      </c>
      <c r="W1316" s="168">
        <f t="shared" si="4"/>
        <v>0</v>
      </c>
      <c r="X1316" s="168">
        <f t="shared" si="5"/>
        <v>0</v>
      </c>
      <c r="Y1316" s="168">
        <f t="shared" si="6"/>
        <v>0</v>
      </c>
      <c r="Z1316" s="168">
        <f t="shared" si="7"/>
        <v>0</v>
      </c>
      <c r="AA1316" s="168">
        <f t="shared" si="8"/>
        <v>0</v>
      </c>
      <c r="AB1316" s="168">
        <f t="shared" si="9"/>
        <v>0</v>
      </c>
    </row>
    <row r="1317" ht="14.25" customHeight="1">
      <c r="A1317" s="157" t="s">
        <v>8323</v>
      </c>
      <c r="B1317" s="169" t="s">
        <v>127</v>
      </c>
      <c r="C1317" s="169"/>
      <c r="D1317" s="336"/>
      <c r="E1317" s="157"/>
      <c r="F1317" s="160"/>
      <c r="G1317" s="160"/>
      <c r="H1317" s="160">
        <f t="shared" si="41"/>
        <v>0</v>
      </c>
      <c r="I1317" s="172"/>
      <c r="J1317" s="169"/>
      <c r="K1317" s="172"/>
      <c r="L1317" s="172">
        <f>+'FACUS$'!$H1317-'FACUS$'!$I1317-'FACUS$'!$K1317</f>
        <v>0</v>
      </c>
      <c r="M1317" s="162" t="s">
        <v>127</v>
      </c>
      <c r="N1317" s="337" t="s">
        <v>127</v>
      </c>
      <c r="O1317" s="338"/>
      <c r="P1317" s="164" t="str">
        <f t="array" ref="P1317">XLOOKUP('FACUS$'!$B1317,'perfil de pagos'!$A$4:$A$46,'perfil de pagos'!$C$4:$C$46+'FACUS$'!$D1317)</f>
        <v>#N/A</v>
      </c>
      <c r="Q1317" s="165" t="str">
        <f t="shared" si="2"/>
        <v>N/A</v>
      </c>
      <c r="R1317" s="167"/>
      <c r="S1317" s="167"/>
      <c r="T1317" s="167"/>
      <c r="U1317" s="334" t="s">
        <v>7271</v>
      </c>
      <c r="V1317" s="168">
        <f t="shared" si="3"/>
        <v>0</v>
      </c>
      <c r="W1317" s="168">
        <f t="shared" si="4"/>
        <v>0</v>
      </c>
      <c r="X1317" s="168">
        <f t="shared" si="5"/>
        <v>0</v>
      </c>
      <c r="Y1317" s="168">
        <f t="shared" si="6"/>
        <v>0</v>
      </c>
      <c r="Z1317" s="168">
        <f t="shared" si="7"/>
        <v>0</v>
      </c>
      <c r="AA1317" s="168">
        <f t="shared" si="8"/>
        <v>0</v>
      </c>
      <c r="AB1317" s="168">
        <f t="shared" si="9"/>
        <v>0</v>
      </c>
    </row>
    <row r="1318" ht="14.25" customHeight="1">
      <c r="A1318" s="157" t="s">
        <v>8324</v>
      </c>
      <c r="B1318" s="169" t="s">
        <v>17</v>
      </c>
      <c r="C1318" s="169" t="s">
        <v>8325</v>
      </c>
      <c r="D1318" s="336">
        <v>44333.0</v>
      </c>
      <c r="E1318" s="157" t="s">
        <v>600</v>
      </c>
      <c r="F1318" s="160">
        <v>110000.0</v>
      </c>
      <c r="G1318" s="160">
        <v>17600.0</v>
      </c>
      <c r="H1318" s="160">
        <f t="shared" si="41"/>
        <v>127600</v>
      </c>
      <c r="I1318" s="172"/>
      <c r="J1318" s="169"/>
      <c r="K1318" s="172"/>
      <c r="L1318" s="172">
        <f>+'FACUS$'!$H1318-'FACUS$'!$I1318-'FACUS$'!$K1318</f>
        <v>127600</v>
      </c>
      <c r="M1318" s="162" t="s">
        <v>17</v>
      </c>
      <c r="N1318" s="337" t="s">
        <v>127</v>
      </c>
      <c r="O1318" s="338"/>
      <c r="P1318" s="164">
        <f t="array" ref="P1318">XLOOKUP('FACUS$'!$B1318,'perfil de pagos'!$A$4:$A$46,'perfil de pagos'!$C$4:$C$46+'FACUS$'!$D1318)</f>
        <v>44343</v>
      </c>
      <c r="Q1318" s="165" t="str">
        <f t="shared" si="2"/>
        <v>N/A</v>
      </c>
      <c r="R1318" s="167" t="s">
        <v>8326</v>
      </c>
      <c r="S1318" s="167"/>
      <c r="T1318" s="167"/>
      <c r="U1318" s="334" t="s">
        <v>7271</v>
      </c>
      <c r="V1318" s="168">
        <f t="shared" si="3"/>
        <v>0</v>
      </c>
      <c r="W1318" s="168">
        <f t="shared" si="4"/>
        <v>0</v>
      </c>
      <c r="X1318" s="168">
        <f t="shared" si="5"/>
        <v>0</v>
      </c>
      <c r="Y1318" s="168">
        <f t="shared" si="6"/>
        <v>0</v>
      </c>
      <c r="Z1318" s="168">
        <f t="shared" si="7"/>
        <v>0</v>
      </c>
      <c r="AA1318" s="168">
        <f t="shared" si="8"/>
        <v>0</v>
      </c>
      <c r="AB1318" s="168">
        <f t="shared" si="9"/>
        <v>127600</v>
      </c>
    </row>
    <row r="1319" ht="14.25" customHeight="1">
      <c r="A1319" s="157" t="s">
        <v>8327</v>
      </c>
      <c r="B1319" s="169" t="s">
        <v>18</v>
      </c>
      <c r="C1319" s="169" t="s">
        <v>8328</v>
      </c>
      <c r="D1319" s="336">
        <v>44335.0</v>
      </c>
      <c r="E1319" s="157" t="s">
        <v>600</v>
      </c>
      <c r="F1319" s="160">
        <v>8581.34</v>
      </c>
      <c r="G1319" s="160">
        <v>1373.01</v>
      </c>
      <c r="H1319" s="160">
        <f t="shared" si="41"/>
        <v>9954.35</v>
      </c>
      <c r="I1319" s="172"/>
      <c r="J1319" s="169"/>
      <c r="K1319" s="172"/>
      <c r="L1319" s="172">
        <f>+'FACUS$'!$H1319-'FACUS$'!$I1319-'FACUS$'!$K1319</f>
        <v>9954.35</v>
      </c>
      <c r="M1319" s="162" t="s">
        <v>586</v>
      </c>
      <c r="N1319" s="337" t="s">
        <v>554</v>
      </c>
      <c r="O1319" s="338">
        <v>44347.0</v>
      </c>
      <c r="P1319" s="164">
        <f t="array" ref="P1319">XLOOKUP('FACUS$'!$B1319,'perfil de pagos'!$A$4:$A$46,'perfil de pagos'!$C$4:$C$46+'FACUS$'!$D1319)</f>
        <v>44345</v>
      </c>
      <c r="Q1319" s="165">
        <f t="shared" si="2"/>
        <v>0</v>
      </c>
      <c r="R1319" s="167"/>
      <c r="S1319" s="167"/>
      <c r="T1319" s="167"/>
      <c r="U1319" s="334" t="s">
        <v>7271</v>
      </c>
      <c r="V1319" s="168">
        <f t="shared" si="3"/>
        <v>9954.35</v>
      </c>
      <c r="W1319" s="168">
        <f t="shared" si="4"/>
        <v>0</v>
      </c>
      <c r="X1319" s="168">
        <f t="shared" si="5"/>
        <v>0</v>
      </c>
      <c r="Y1319" s="168">
        <f t="shared" si="6"/>
        <v>0</v>
      </c>
      <c r="Z1319" s="168">
        <f t="shared" si="7"/>
        <v>0</v>
      </c>
      <c r="AA1319" s="168">
        <f t="shared" si="8"/>
        <v>0</v>
      </c>
      <c r="AB1319" s="168">
        <f t="shared" si="9"/>
        <v>0</v>
      </c>
    </row>
    <row r="1320" ht="14.25" customHeight="1">
      <c r="A1320" s="157" t="s">
        <v>8329</v>
      </c>
      <c r="B1320" s="169" t="s">
        <v>20</v>
      </c>
      <c r="C1320" s="169" t="s">
        <v>8328</v>
      </c>
      <c r="D1320" s="336">
        <v>44335.0</v>
      </c>
      <c r="E1320" s="157" t="s">
        <v>600</v>
      </c>
      <c r="F1320" s="160">
        <v>10888.06</v>
      </c>
      <c r="G1320" s="160">
        <v>1742.09</v>
      </c>
      <c r="H1320" s="160">
        <f t="shared" si="41"/>
        <v>12630.15</v>
      </c>
      <c r="I1320" s="172"/>
      <c r="J1320" s="169"/>
      <c r="K1320" s="172"/>
      <c r="L1320" s="172">
        <f>+'FACUS$'!$H1320-'FACUS$'!$I1320-'FACUS$'!$K1320</f>
        <v>12630.15</v>
      </c>
      <c r="M1320" s="162" t="s">
        <v>732</v>
      </c>
      <c r="N1320" s="337" t="s">
        <v>554</v>
      </c>
      <c r="O1320" s="338">
        <v>44347.0</v>
      </c>
      <c r="P1320" s="164">
        <f t="array" ref="P1320">XLOOKUP('FACUS$'!$B1320,'perfil de pagos'!$A$4:$A$46,'perfil de pagos'!$C$4:$C$46+'FACUS$'!$D1320)</f>
        <v>44345</v>
      </c>
      <c r="Q1320" s="165">
        <f t="shared" si="2"/>
        <v>0</v>
      </c>
      <c r="R1320" s="167"/>
      <c r="S1320" s="167"/>
      <c r="T1320" s="167"/>
      <c r="U1320" s="334" t="s">
        <v>7271</v>
      </c>
      <c r="V1320" s="168">
        <f t="shared" si="3"/>
        <v>12630.15</v>
      </c>
      <c r="W1320" s="168">
        <f t="shared" si="4"/>
        <v>0</v>
      </c>
      <c r="X1320" s="168">
        <f t="shared" si="5"/>
        <v>0</v>
      </c>
      <c r="Y1320" s="168">
        <f t="shared" si="6"/>
        <v>0</v>
      </c>
      <c r="Z1320" s="168">
        <f t="shared" si="7"/>
        <v>0</v>
      </c>
      <c r="AA1320" s="168">
        <f t="shared" si="8"/>
        <v>0</v>
      </c>
      <c r="AB1320" s="168">
        <f t="shared" si="9"/>
        <v>0</v>
      </c>
    </row>
    <row r="1321" ht="14.25" customHeight="1">
      <c r="A1321" s="157" t="s">
        <v>8330</v>
      </c>
      <c r="B1321" s="169" t="s">
        <v>26</v>
      </c>
      <c r="C1321" s="169" t="s">
        <v>8328</v>
      </c>
      <c r="D1321" s="336">
        <v>44335.0</v>
      </c>
      <c r="E1321" s="157" t="s">
        <v>600</v>
      </c>
      <c r="F1321" s="160">
        <v>4391.0</v>
      </c>
      <c r="G1321" s="160">
        <v>702.56</v>
      </c>
      <c r="H1321" s="160">
        <f t="shared" si="41"/>
        <v>5093.56</v>
      </c>
      <c r="I1321" s="172"/>
      <c r="J1321" s="169"/>
      <c r="K1321" s="172"/>
      <c r="L1321" s="172">
        <f>+'FACUS$'!$H1321-'FACUS$'!$I1321-'FACUS$'!$K1321</f>
        <v>5093.56</v>
      </c>
      <c r="M1321" s="162" t="s">
        <v>2386</v>
      </c>
      <c r="N1321" s="337" t="s">
        <v>554</v>
      </c>
      <c r="O1321" s="338">
        <v>44385.0</v>
      </c>
      <c r="P1321" s="164">
        <f t="array" ref="P1321">XLOOKUP('FACUS$'!$B1321,'perfil de pagos'!$A$4:$A$46,'perfil de pagos'!$C$4:$C$46+'FACUS$'!$D1321)</f>
        <v>44365</v>
      </c>
      <c r="Q1321" s="165">
        <f t="shared" si="2"/>
        <v>0</v>
      </c>
      <c r="R1321" s="167" t="s">
        <v>8331</v>
      </c>
      <c r="S1321" s="167"/>
      <c r="T1321" s="167"/>
      <c r="U1321" s="334" t="s">
        <v>7271</v>
      </c>
      <c r="V1321" s="168">
        <f t="shared" si="3"/>
        <v>5093.56</v>
      </c>
      <c r="W1321" s="168">
        <f t="shared" si="4"/>
        <v>0</v>
      </c>
      <c r="X1321" s="168">
        <f t="shared" si="5"/>
        <v>0</v>
      </c>
      <c r="Y1321" s="168">
        <f t="shared" si="6"/>
        <v>0</v>
      </c>
      <c r="Z1321" s="168">
        <f t="shared" si="7"/>
        <v>0</v>
      </c>
      <c r="AA1321" s="168">
        <f t="shared" si="8"/>
        <v>0</v>
      </c>
      <c r="AB1321" s="168">
        <f t="shared" si="9"/>
        <v>0</v>
      </c>
    </row>
    <row r="1322" ht="14.25" customHeight="1">
      <c r="A1322" s="157" t="s">
        <v>8332</v>
      </c>
      <c r="B1322" s="169" t="s">
        <v>37</v>
      </c>
      <c r="C1322" s="169" t="s">
        <v>8328</v>
      </c>
      <c r="D1322" s="336">
        <v>44335.0</v>
      </c>
      <c r="E1322" s="157" t="s">
        <v>600</v>
      </c>
      <c r="F1322" s="160">
        <v>77331.27</v>
      </c>
      <c r="G1322" s="160">
        <v>12373.0</v>
      </c>
      <c r="H1322" s="160">
        <f t="shared" si="41"/>
        <v>89704.27</v>
      </c>
      <c r="I1322" s="172"/>
      <c r="J1322" s="169"/>
      <c r="K1322" s="172"/>
      <c r="L1322" s="172">
        <f>+'FACUS$'!$H1322-'FACUS$'!$I1322-'FACUS$'!$K1322</f>
        <v>89704.27</v>
      </c>
      <c r="M1322" s="162" t="s">
        <v>116</v>
      </c>
      <c r="N1322" s="337" t="s">
        <v>554</v>
      </c>
      <c r="O1322" s="338">
        <v>44361.0</v>
      </c>
      <c r="P1322" s="164">
        <f t="array" ref="P1322">XLOOKUP('FACUS$'!$B1322,'perfil de pagos'!$A$4:$A$46,'perfil de pagos'!$C$4:$C$46+'FACUS$'!$D1322)</f>
        <v>44345</v>
      </c>
      <c r="Q1322" s="165">
        <f t="shared" si="2"/>
        <v>0</v>
      </c>
      <c r="R1322" s="167" t="s">
        <v>8333</v>
      </c>
      <c r="S1322" s="167"/>
      <c r="T1322" s="167"/>
      <c r="U1322" s="334" t="s">
        <v>7271</v>
      </c>
      <c r="V1322" s="168">
        <f t="shared" si="3"/>
        <v>89704.27</v>
      </c>
      <c r="W1322" s="168">
        <f t="shared" si="4"/>
        <v>0</v>
      </c>
      <c r="X1322" s="168">
        <f t="shared" si="5"/>
        <v>0</v>
      </c>
      <c r="Y1322" s="168">
        <f t="shared" si="6"/>
        <v>0</v>
      </c>
      <c r="Z1322" s="168">
        <f t="shared" si="7"/>
        <v>0</v>
      </c>
      <c r="AA1322" s="168">
        <f t="shared" si="8"/>
        <v>0</v>
      </c>
      <c r="AB1322" s="168">
        <f t="shared" si="9"/>
        <v>0</v>
      </c>
    </row>
    <row r="1323" ht="14.25" customHeight="1">
      <c r="A1323" s="157" t="s">
        <v>8334</v>
      </c>
      <c r="B1323" s="169" t="s">
        <v>38</v>
      </c>
      <c r="C1323" s="169" t="s">
        <v>8328</v>
      </c>
      <c r="D1323" s="336">
        <v>44335.0</v>
      </c>
      <c r="E1323" s="157" t="s">
        <v>600</v>
      </c>
      <c r="F1323" s="160">
        <v>8438.74</v>
      </c>
      <c r="G1323" s="160">
        <v>1350.2</v>
      </c>
      <c r="H1323" s="160">
        <f t="shared" si="41"/>
        <v>9788.94</v>
      </c>
      <c r="I1323" s="172"/>
      <c r="J1323" s="169"/>
      <c r="K1323" s="172"/>
      <c r="L1323" s="172">
        <f>+'FACUS$'!$H1323-'FACUS$'!$I1323-'FACUS$'!$K1323</f>
        <v>9788.94</v>
      </c>
      <c r="M1323" s="162" t="s">
        <v>145</v>
      </c>
      <c r="N1323" s="337" t="s">
        <v>554</v>
      </c>
      <c r="O1323" s="338">
        <v>44435.0</v>
      </c>
      <c r="P1323" s="164">
        <f t="array" ref="P1323">XLOOKUP('FACUS$'!$B1323,'perfil de pagos'!$A$4:$A$46,'perfil de pagos'!$C$4:$C$46+'FACUS$'!$D1323)</f>
        <v>44365</v>
      </c>
      <c r="Q1323" s="165">
        <f t="shared" si="2"/>
        <v>0</v>
      </c>
      <c r="R1323" s="167" t="s">
        <v>8335</v>
      </c>
      <c r="S1323" s="167"/>
      <c r="T1323" s="167"/>
      <c r="U1323" s="334" t="s">
        <v>7271</v>
      </c>
      <c r="V1323" s="168">
        <f t="shared" si="3"/>
        <v>9788.94</v>
      </c>
      <c r="W1323" s="168">
        <f t="shared" si="4"/>
        <v>0</v>
      </c>
      <c r="X1323" s="168">
        <f t="shared" si="5"/>
        <v>0</v>
      </c>
      <c r="Y1323" s="168">
        <f t="shared" si="6"/>
        <v>0</v>
      </c>
      <c r="Z1323" s="168">
        <f t="shared" si="7"/>
        <v>0</v>
      </c>
      <c r="AA1323" s="168">
        <f t="shared" si="8"/>
        <v>0</v>
      </c>
      <c r="AB1323" s="168">
        <f t="shared" si="9"/>
        <v>0</v>
      </c>
    </row>
    <row r="1324" ht="14.25" customHeight="1">
      <c r="A1324" s="157" t="s">
        <v>8336</v>
      </c>
      <c r="B1324" s="169" t="s">
        <v>41</v>
      </c>
      <c r="C1324" s="169" t="s">
        <v>8328</v>
      </c>
      <c r="D1324" s="336">
        <v>44335.0</v>
      </c>
      <c r="E1324" s="157" t="s">
        <v>600</v>
      </c>
      <c r="F1324" s="160">
        <v>21681.05</v>
      </c>
      <c r="G1324" s="160">
        <v>3468.97</v>
      </c>
      <c r="H1324" s="160">
        <f t="shared" si="41"/>
        <v>25150.02</v>
      </c>
      <c r="I1324" s="172"/>
      <c r="J1324" s="169"/>
      <c r="K1324" s="172"/>
      <c r="L1324" s="172">
        <f>+'FACUS$'!$H1324-'FACUS$'!$I1324-'FACUS$'!$K1324</f>
        <v>25150.02</v>
      </c>
      <c r="M1324" s="162" t="s">
        <v>875</v>
      </c>
      <c r="N1324" s="337" t="s">
        <v>554</v>
      </c>
      <c r="O1324" s="338">
        <v>44503.0</v>
      </c>
      <c r="P1324" s="164">
        <f t="array" ref="P1324">XLOOKUP('FACUS$'!$B1324,'perfil de pagos'!$A$4:$A$46,'perfil de pagos'!$C$4:$C$46+'FACUS$'!$D1324)</f>
        <v>44345</v>
      </c>
      <c r="Q1324" s="165">
        <f t="shared" si="2"/>
        <v>0</v>
      </c>
      <c r="R1324" s="167"/>
      <c r="S1324" s="167"/>
      <c r="T1324" s="167"/>
      <c r="U1324" s="334" t="s">
        <v>7271</v>
      </c>
      <c r="V1324" s="168">
        <f t="shared" si="3"/>
        <v>25150.02</v>
      </c>
      <c r="W1324" s="168">
        <f t="shared" si="4"/>
        <v>0</v>
      </c>
      <c r="X1324" s="168">
        <f t="shared" si="5"/>
        <v>0</v>
      </c>
      <c r="Y1324" s="168">
        <f t="shared" si="6"/>
        <v>0</v>
      </c>
      <c r="Z1324" s="168">
        <f t="shared" si="7"/>
        <v>0</v>
      </c>
      <c r="AA1324" s="168">
        <f t="shared" si="8"/>
        <v>0</v>
      </c>
      <c r="AB1324" s="168">
        <f t="shared" si="9"/>
        <v>0</v>
      </c>
    </row>
    <row r="1325" ht="14.25" customHeight="1">
      <c r="A1325" s="157" t="s">
        <v>8337</v>
      </c>
      <c r="B1325" s="169" t="s">
        <v>17</v>
      </c>
      <c r="C1325" s="169" t="s">
        <v>8325</v>
      </c>
      <c r="D1325" s="336">
        <v>44333.0</v>
      </c>
      <c r="E1325" s="157" t="s">
        <v>600</v>
      </c>
      <c r="F1325" s="160">
        <v>110000.0</v>
      </c>
      <c r="G1325" s="160">
        <v>17600.0</v>
      </c>
      <c r="H1325" s="160">
        <f>F1325+G1325-63800</f>
        <v>63800</v>
      </c>
      <c r="I1325" s="172"/>
      <c r="J1325" s="169"/>
      <c r="K1325" s="172"/>
      <c r="L1325" s="172">
        <f>+'FACUS$'!$H1325-'FACUS$'!$I1325-'FACUS$'!$K1325</f>
        <v>63800</v>
      </c>
      <c r="M1325" s="162" t="s">
        <v>17</v>
      </c>
      <c r="N1325" s="337" t="s">
        <v>127</v>
      </c>
      <c r="O1325" s="338"/>
      <c r="P1325" s="164">
        <f t="array" ref="P1325">XLOOKUP('FACUS$'!$B1325,'perfil de pagos'!$A$4:$A$46,'perfil de pagos'!$C$4:$C$46+'FACUS$'!$D1325)</f>
        <v>44343</v>
      </c>
      <c r="Q1325" s="165" t="str">
        <f t="shared" si="2"/>
        <v>N/A</v>
      </c>
      <c r="R1325" s="220" t="s">
        <v>8338</v>
      </c>
      <c r="S1325" s="167"/>
      <c r="T1325" s="167"/>
      <c r="U1325" s="334" t="s">
        <v>7271</v>
      </c>
      <c r="V1325" s="168">
        <f t="shared" si="3"/>
        <v>0</v>
      </c>
      <c r="W1325" s="168">
        <f t="shared" si="4"/>
        <v>0</v>
      </c>
      <c r="X1325" s="168">
        <f t="shared" si="5"/>
        <v>0</v>
      </c>
      <c r="Y1325" s="168">
        <f t="shared" si="6"/>
        <v>0</v>
      </c>
      <c r="Z1325" s="168">
        <f t="shared" si="7"/>
        <v>0</v>
      </c>
      <c r="AA1325" s="168">
        <f t="shared" si="8"/>
        <v>0</v>
      </c>
      <c r="AB1325" s="168">
        <f t="shared" si="9"/>
        <v>63800</v>
      </c>
    </row>
    <row r="1326" ht="14.25" customHeight="1">
      <c r="A1326" s="157" t="s">
        <v>8339</v>
      </c>
      <c r="B1326" s="169" t="s">
        <v>26</v>
      </c>
      <c r="C1326" s="169" t="s">
        <v>8328</v>
      </c>
      <c r="D1326" s="336">
        <v>44340.0</v>
      </c>
      <c r="E1326" s="157" t="s">
        <v>600</v>
      </c>
      <c r="F1326" s="160">
        <v>1921.75</v>
      </c>
      <c r="G1326" s="160">
        <v>307.48</v>
      </c>
      <c r="H1326" s="160">
        <f t="shared" ref="H1326:H1407" si="42">F1326+G1326</f>
        <v>2229.23</v>
      </c>
      <c r="I1326" s="172"/>
      <c r="J1326" s="169"/>
      <c r="K1326" s="172"/>
      <c r="L1326" s="172">
        <f>+'FACUS$'!$H1326-'FACUS$'!$I1326-'FACUS$'!$K1326</f>
        <v>2229.23</v>
      </c>
      <c r="M1326" s="162" t="s">
        <v>188</v>
      </c>
      <c r="N1326" s="337" t="s">
        <v>554</v>
      </c>
      <c r="O1326" s="338">
        <v>44372.0</v>
      </c>
      <c r="P1326" s="164">
        <f t="array" ref="P1326">XLOOKUP('FACUS$'!$B1326,'perfil de pagos'!$A$4:$A$46,'perfil de pagos'!$C$4:$C$46+'FACUS$'!$D1326)</f>
        <v>44370</v>
      </c>
      <c r="Q1326" s="165">
        <f t="shared" si="2"/>
        <v>0</v>
      </c>
      <c r="R1326" s="167" t="s">
        <v>8340</v>
      </c>
      <c r="S1326" s="167"/>
      <c r="T1326" s="167"/>
      <c r="U1326" s="334" t="s">
        <v>7271</v>
      </c>
      <c r="V1326" s="168">
        <f t="shared" si="3"/>
        <v>2229.23</v>
      </c>
      <c r="W1326" s="168">
        <f t="shared" si="4"/>
        <v>0</v>
      </c>
      <c r="X1326" s="168">
        <f t="shared" si="5"/>
        <v>0</v>
      </c>
      <c r="Y1326" s="168">
        <f t="shared" si="6"/>
        <v>0</v>
      </c>
      <c r="Z1326" s="168">
        <f t="shared" si="7"/>
        <v>0</v>
      </c>
      <c r="AA1326" s="168">
        <f t="shared" si="8"/>
        <v>0</v>
      </c>
      <c r="AB1326" s="168">
        <f t="shared" si="9"/>
        <v>0</v>
      </c>
    </row>
    <row r="1327" ht="14.25" customHeight="1">
      <c r="A1327" s="157" t="s">
        <v>8341</v>
      </c>
      <c r="B1327" s="169" t="s">
        <v>39</v>
      </c>
      <c r="C1327" s="169" t="s">
        <v>2870</v>
      </c>
      <c r="D1327" s="336">
        <v>44342.0</v>
      </c>
      <c r="E1327" s="157" t="s">
        <v>600</v>
      </c>
      <c r="F1327" s="160">
        <v>9715.47</v>
      </c>
      <c r="G1327" s="160">
        <v>1554.48</v>
      </c>
      <c r="H1327" s="160">
        <f t="shared" si="42"/>
        <v>11269.95</v>
      </c>
      <c r="I1327" s="172"/>
      <c r="J1327" s="169"/>
      <c r="K1327" s="172"/>
      <c r="L1327" s="172">
        <f>+'FACUS$'!$H1327-'FACUS$'!$I1327-'FACUS$'!$K1327</f>
        <v>11269.95</v>
      </c>
      <c r="M1327" s="162" t="s">
        <v>570</v>
      </c>
      <c r="N1327" s="337" t="s">
        <v>554</v>
      </c>
      <c r="O1327" s="338">
        <v>44351.0</v>
      </c>
      <c r="P1327" s="164">
        <f t="array" ref="P1327">XLOOKUP('FACUS$'!$B1327,'perfil de pagos'!$A$4:$A$46,'perfil de pagos'!$C$4:$C$46+'FACUS$'!$D1327)</f>
        <v>44352</v>
      </c>
      <c r="Q1327" s="165">
        <f t="shared" si="2"/>
        <v>0</v>
      </c>
      <c r="R1327" s="167"/>
      <c r="S1327" s="167"/>
      <c r="T1327" s="167"/>
      <c r="U1327" s="334" t="s">
        <v>7271</v>
      </c>
      <c r="V1327" s="168">
        <f t="shared" si="3"/>
        <v>11269.95</v>
      </c>
      <c r="W1327" s="168">
        <f t="shared" si="4"/>
        <v>0</v>
      </c>
      <c r="X1327" s="168">
        <f t="shared" si="5"/>
        <v>0</v>
      </c>
      <c r="Y1327" s="168">
        <f t="shared" si="6"/>
        <v>0</v>
      </c>
      <c r="Z1327" s="168">
        <f t="shared" si="7"/>
        <v>0</v>
      </c>
      <c r="AA1327" s="168">
        <f t="shared" si="8"/>
        <v>0</v>
      </c>
      <c r="AB1327" s="168">
        <f t="shared" si="9"/>
        <v>0</v>
      </c>
    </row>
    <row r="1328" ht="14.25" customHeight="1">
      <c r="A1328" s="157" t="s">
        <v>8342</v>
      </c>
      <c r="B1328" s="169" t="s">
        <v>39</v>
      </c>
      <c r="C1328" s="169" t="s">
        <v>8328</v>
      </c>
      <c r="D1328" s="336">
        <v>44342.0</v>
      </c>
      <c r="E1328" s="157" t="s">
        <v>600</v>
      </c>
      <c r="F1328" s="160">
        <v>6270.0</v>
      </c>
      <c r="G1328" s="160">
        <v>1003.2</v>
      </c>
      <c r="H1328" s="160">
        <f t="shared" si="42"/>
        <v>7273.2</v>
      </c>
      <c r="I1328" s="172"/>
      <c r="J1328" s="169"/>
      <c r="K1328" s="172"/>
      <c r="L1328" s="172">
        <f>+'FACUS$'!$H1328-'FACUS$'!$I1328-'FACUS$'!$K1328</f>
        <v>7273.2</v>
      </c>
      <c r="M1328" s="162" t="s">
        <v>570</v>
      </c>
      <c r="N1328" s="337" t="s">
        <v>554</v>
      </c>
      <c r="O1328" s="338">
        <v>44351.0</v>
      </c>
      <c r="P1328" s="164">
        <f t="array" ref="P1328">XLOOKUP('FACUS$'!$B1328,'perfil de pagos'!$A$4:$A$46,'perfil de pagos'!$C$4:$C$46+'FACUS$'!$D1328)</f>
        <v>44352</v>
      </c>
      <c r="Q1328" s="165">
        <f t="shared" si="2"/>
        <v>0</v>
      </c>
      <c r="R1328" s="167"/>
      <c r="S1328" s="167"/>
      <c r="T1328" s="167"/>
      <c r="U1328" s="334" t="s">
        <v>7271</v>
      </c>
      <c r="V1328" s="168">
        <f t="shared" si="3"/>
        <v>7273.2</v>
      </c>
      <c r="W1328" s="168">
        <f t="shared" si="4"/>
        <v>0</v>
      </c>
      <c r="X1328" s="168">
        <f t="shared" si="5"/>
        <v>0</v>
      </c>
      <c r="Y1328" s="168">
        <f t="shared" si="6"/>
        <v>0</v>
      </c>
      <c r="Z1328" s="168">
        <f t="shared" si="7"/>
        <v>0</v>
      </c>
      <c r="AA1328" s="168">
        <f t="shared" si="8"/>
        <v>0</v>
      </c>
      <c r="AB1328" s="168">
        <f t="shared" si="9"/>
        <v>0</v>
      </c>
    </row>
    <row r="1329" ht="14.25" customHeight="1">
      <c r="A1329" s="157" t="s">
        <v>8343</v>
      </c>
      <c r="B1329" s="169" t="s">
        <v>33</v>
      </c>
      <c r="C1329" s="169" t="s">
        <v>8328</v>
      </c>
      <c r="D1329" s="336">
        <v>44342.0</v>
      </c>
      <c r="E1329" s="157" t="s">
        <v>600</v>
      </c>
      <c r="F1329" s="160">
        <v>24806.76</v>
      </c>
      <c r="G1329" s="160">
        <v>3969.08</v>
      </c>
      <c r="H1329" s="160">
        <f t="shared" si="42"/>
        <v>28775.84</v>
      </c>
      <c r="I1329" s="172"/>
      <c r="J1329" s="169"/>
      <c r="K1329" s="172"/>
      <c r="L1329" s="172">
        <f>+'FACUS$'!$H1329-'FACUS$'!$I1329-'FACUS$'!$K1329</f>
        <v>28775.84</v>
      </c>
      <c r="M1329" s="162" t="s">
        <v>958</v>
      </c>
      <c r="N1329" s="337" t="s">
        <v>554</v>
      </c>
      <c r="O1329" s="338">
        <v>44354.0</v>
      </c>
      <c r="P1329" s="164">
        <f t="array" ref="P1329">XLOOKUP('FACUS$'!$B1329,'perfil de pagos'!$A$4:$A$46,'perfil de pagos'!$C$4:$C$46+'FACUS$'!$D1329)</f>
        <v>44352</v>
      </c>
      <c r="Q1329" s="165">
        <f t="shared" si="2"/>
        <v>0</v>
      </c>
      <c r="R1329" s="167"/>
      <c r="S1329" s="167"/>
      <c r="T1329" s="167"/>
      <c r="U1329" s="334" t="s">
        <v>7271</v>
      </c>
      <c r="V1329" s="168">
        <f t="shared" si="3"/>
        <v>28775.84</v>
      </c>
      <c r="W1329" s="168">
        <f t="shared" si="4"/>
        <v>0</v>
      </c>
      <c r="X1329" s="168">
        <f t="shared" si="5"/>
        <v>0</v>
      </c>
      <c r="Y1329" s="168">
        <f t="shared" si="6"/>
        <v>0</v>
      </c>
      <c r="Z1329" s="168">
        <f t="shared" si="7"/>
        <v>0</v>
      </c>
      <c r="AA1329" s="168">
        <f t="shared" si="8"/>
        <v>0</v>
      </c>
      <c r="AB1329" s="168">
        <f t="shared" si="9"/>
        <v>0</v>
      </c>
    </row>
    <row r="1330" ht="14.25" customHeight="1">
      <c r="A1330" s="157" t="s">
        <v>8344</v>
      </c>
      <c r="B1330" s="169" t="s">
        <v>35</v>
      </c>
      <c r="C1330" s="169" t="s">
        <v>8328</v>
      </c>
      <c r="D1330" s="336">
        <v>44342.0</v>
      </c>
      <c r="E1330" s="157" t="s">
        <v>600</v>
      </c>
      <c r="F1330" s="160">
        <v>7771.9</v>
      </c>
      <c r="G1330" s="160">
        <v>1243.5</v>
      </c>
      <c r="H1330" s="160">
        <f t="shared" si="42"/>
        <v>9015.4</v>
      </c>
      <c r="I1330" s="172"/>
      <c r="J1330" s="169"/>
      <c r="K1330" s="172"/>
      <c r="L1330" s="172">
        <f>+'FACUS$'!$H1330-'FACUS$'!$I1330-'FACUS$'!$K1330</f>
        <v>9015.4</v>
      </c>
      <c r="M1330" s="162" t="s">
        <v>276</v>
      </c>
      <c r="N1330" s="337" t="s">
        <v>554</v>
      </c>
      <c r="O1330" s="338">
        <v>44351.0</v>
      </c>
      <c r="P1330" s="164">
        <f t="array" ref="P1330">XLOOKUP('FACUS$'!$B1330,'perfil de pagos'!$A$4:$A$46,'perfil de pagos'!$C$4:$C$46+'FACUS$'!$D1330)</f>
        <v>44352</v>
      </c>
      <c r="Q1330" s="165">
        <f t="shared" si="2"/>
        <v>0</v>
      </c>
      <c r="R1330" s="167"/>
      <c r="S1330" s="167"/>
      <c r="T1330" s="167"/>
      <c r="U1330" s="334" t="s">
        <v>7271</v>
      </c>
      <c r="V1330" s="168">
        <f t="shared" si="3"/>
        <v>9015.4</v>
      </c>
      <c r="W1330" s="168">
        <f t="shared" si="4"/>
        <v>0</v>
      </c>
      <c r="X1330" s="168">
        <f t="shared" si="5"/>
        <v>0</v>
      </c>
      <c r="Y1330" s="168">
        <f t="shared" si="6"/>
        <v>0</v>
      </c>
      <c r="Z1330" s="168">
        <f t="shared" si="7"/>
        <v>0</v>
      </c>
      <c r="AA1330" s="168">
        <f t="shared" si="8"/>
        <v>0</v>
      </c>
      <c r="AB1330" s="168">
        <f t="shared" si="9"/>
        <v>0</v>
      </c>
    </row>
    <row r="1331" ht="14.25" customHeight="1">
      <c r="A1331" s="157" t="s">
        <v>8345</v>
      </c>
      <c r="B1331" s="169" t="s">
        <v>36</v>
      </c>
      <c r="C1331" s="169" t="s">
        <v>8328</v>
      </c>
      <c r="D1331" s="336">
        <v>44342.0</v>
      </c>
      <c r="E1331" s="157" t="s">
        <v>600</v>
      </c>
      <c r="F1331" s="160">
        <v>1610.41</v>
      </c>
      <c r="G1331" s="160">
        <v>257.67</v>
      </c>
      <c r="H1331" s="160">
        <f t="shared" si="42"/>
        <v>1868.08</v>
      </c>
      <c r="I1331" s="172"/>
      <c r="J1331" s="169"/>
      <c r="K1331" s="172"/>
      <c r="L1331" s="172">
        <f>+'FACUS$'!$H1331-'FACUS$'!$I1331-'FACUS$'!$K1331</f>
        <v>1868.08</v>
      </c>
      <c r="M1331" s="162" t="s">
        <v>278</v>
      </c>
      <c r="N1331" s="337" t="s">
        <v>554</v>
      </c>
      <c r="O1331" s="338">
        <v>44440.0</v>
      </c>
      <c r="P1331" s="164">
        <f t="array" ref="P1331">XLOOKUP('FACUS$'!$B1331,'perfil de pagos'!$A$4:$A$46,'perfil de pagos'!$C$4:$C$46+'FACUS$'!$D1331)</f>
        <v>44352</v>
      </c>
      <c r="Q1331" s="165">
        <f t="shared" si="2"/>
        <v>0</v>
      </c>
      <c r="R1331" s="220" t="s">
        <v>8346</v>
      </c>
      <c r="S1331" s="167"/>
      <c r="T1331" s="167"/>
      <c r="U1331" s="334" t="s">
        <v>7271</v>
      </c>
      <c r="V1331" s="168">
        <f t="shared" si="3"/>
        <v>1868.08</v>
      </c>
      <c r="W1331" s="168">
        <f t="shared" si="4"/>
        <v>0</v>
      </c>
      <c r="X1331" s="168">
        <f t="shared" si="5"/>
        <v>0</v>
      </c>
      <c r="Y1331" s="168">
        <f t="shared" si="6"/>
        <v>0</v>
      </c>
      <c r="Z1331" s="168">
        <f t="shared" si="7"/>
        <v>0</v>
      </c>
      <c r="AA1331" s="168">
        <f t="shared" si="8"/>
        <v>0</v>
      </c>
      <c r="AB1331" s="168">
        <f t="shared" si="9"/>
        <v>0</v>
      </c>
    </row>
    <row r="1332" ht="14.25" customHeight="1">
      <c r="A1332" s="157" t="s">
        <v>8347</v>
      </c>
      <c r="B1332" s="169" t="s">
        <v>1127</v>
      </c>
      <c r="C1332" s="169" t="s">
        <v>8328</v>
      </c>
      <c r="D1332" s="336">
        <v>44342.0</v>
      </c>
      <c r="E1332" s="157" t="s">
        <v>600</v>
      </c>
      <c r="F1332" s="160">
        <v>31502.0</v>
      </c>
      <c r="G1332" s="160">
        <v>5040.32</v>
      </c>
      <c r="H1332" s="160">
        <f t="shared" si="42"/>
        <v>36542.32</v>
      </c>
      <c r="I1332" s="172"/>
      <c r="J1332" s="169"/>
      <c r="K1332" s="172"/>
      <c r="L1332" s="172">
        <f>+'FACUS$'!$H1332-'FACUS$'!$I1332-'FACUS$'!$K1332</f>
        <v>36542.32</v>
      </c>
      <c r="M1332" s="162" t="s">
        <v>580</v>
      </c>
      <c r="N1332" s="337" t="s">
        <v>554</v>
      </c>
      <c r="O1332" s="338">
        <v>44357.0</v>
      </c>
      <c r="P1332" s="164" t="str">
        <f t="array" ref="P1332">XLOOKUP('FACUS$'!$B1332,'perfil de pagos'!$A$4:$A$46,'perfil de pagos'!$C$4:$C$46+'FACUS$'!$D1332)</f>
        <v>#N/A</v>
      </c>
      <c r="Q1332" s="165">
        <f t="shared" si="2"/>
        <v>0</v>
      </c>
      <c r="R1332" s="167"/>
      <c r="S1332" s="167"/>
      <c r="T1332" s="167"/>
      <c r="U1332" s="334" t="s">
        <v>7271</v>
      </c>
      <c r="V1332" s="168">
        <f t="shared" si="3"/>
        <v>36542.32</v>
      </c>
      <c r="W1332" s="168">
        <f t="shared" si="4"/>
        <v>0</v>
      </c>
      <c r="X1332" s="168">
        <f t="shared" si="5"/>
        <v>0</v>
      </c>
      <c r="Y1332" s="168">
        <f t="shared" si="6"/>
        <v>0</v>
      </c>
      <c r="Z1332" s="168">
        <f t="shared" si="7"/>
        <v>0</v>
      </c>
      <c r="AA1332" s="168">
        <f t="shared" si="8"/>
        <v>0</v>
      </c>
      <c r="AB1332" s="168">
        <f t="shared" si="9"/>
        <v>0</v>
      </c>
    </row>
    <row r="1333" ht="14.25" customHeight="1">
      <c r="A1333" s="157" t="s">
        <v>8348</v>
      </c>
      <c r="B1333" s="169" t="s">
        <v>38</v>
      </c>
      <c r="C1333" s="169" t="s">
        <v>2781</v>
      </c>
      <c r="D1333" s="336">
        <v>44347.0</v>
      </c>
      <c r="E1333" s="157" t="s">
        <v>600</v>
      </c>
      <c r="F1333" s="160">
        <v>9139.74</v>
      </c>
      <c r="G1333" s="160">
        <v>1462.36</v>
      </c>
      <c r="H1333" s="160">
        <f t="shared" si="42"/>
        <v>10602.1</v>
      </c>
      <c r="I1333" s="172"/>
      <c r="J1333" s="169"/>
      <c r="K1333" s="172"/>
      <c r="L1333" s="172">
        <f>+'FACUS$'!$H1333-'FACUS$'!$I1333-'FACUS$'!$K1333</f>
        <v>10602.1</v>
      </c>
      <c r="M1333" s="162" t="s">
        <v>145</v>
      </c>
      <c r="N1333" s="337" t="s">
        <v>554</v>
      </c>
      <c r="O1333" s="338">
        <v>44435.0</v>
      </c>
      <c r="P1333" s="164">
        <f t="array" ref="P1333">XLOOKUP('FACUS$'!$B1333,'perfil de pagos'!$A$4:$A$46,'perfil de pagos'!$C$4:$C$46+'FACUS$'!$D1333)</f>
        <v>44377</v>
      </c>
      <c r="Q1333" s="165">
        <f t="shared" si="2"/>
        <v>0</v>
      </c>
      <c r="R1333" s="167" t="s">
        <v>8349</v>
      </c>
      <c r="S1333" s="167"/>
      <c r="T1333" s="167"/>
      <c r="U1333" s="334" t="s">
        <v>7271</v>
      </c>
      <c r="V1333" s="168">
        <f t="shared" si="3"/>
        <v>10602.1</v>
      </c>
      <c r="W1333" s="168">
        <f t="shared" si="4"/>
        <v>0</v>
      </c>
      <c r="X1333" s="168">
        <f t="shared" si="5"/>
        <v>0</v>
      </c>
      <c r="Y1333" s="168">
        <f t="shared" si="6"/>
        <v>0</v>
      </c>
      <c r="Z1333" s="168">
        <f t="shared" si="7"/>
        <v>0</v>
      </c>
      <c r="AA1333" s="168">
        <f t="shared" si="8"/>
        <v>0</v>
      </c>
      <c r="AB1333" s="168">
        <f t="shared" si="9"/>
        <v>0</v>
      </c>
    </row>
    <row r="1334" ht="14.25" customHeight="1">
      <c r="A1334" s="157" t="s">
        <v>8350</v>
      </c>
      <c r="B1334" s="169" t="s">
        <v>18</v>
      </c>
      <c r="C1334" s="169" t="s">
        <v>2926</v>
      </c>
      <c r="D1334" s="336">
        <v>44351.0</v>
      </c>
      <c r="E1334" s="157" t="s">
        <v>600</v>
      </c>
      <c r="F1334" s="160">
        <v>7873.9</v>
      </c>
      <c r="G1334" s="160">
        <v>1259.82</v>
      </c>
      <c r="H1334" s="160">
        <f t="shared" si="42"/>
        <v>9133.72</v>
      </c>
      <c r="I1334" s="172"/>
      <c r="J1334" s="169"/>
      <c r="K1334" s="172"/>
      <c r="L1334" s="172">
        <f>+'FACUS$'!$H1334-'FACUS$'!$I1334-'FACUS$'!$K1334</f>
        <v>9133.72</v>
      </c>
      <c r="M1334" s="162" t="s">
        <v>586</v>
      </c>
      <c r="N1334" s="337" t="s">
        <v>127</v>
      </c>
      <c r="O1334" s="338"/>
      <c r="P1334" s="164">
        <f t="array" ref="P1334">XLOOKUP('FACUS$'!$B1334,'perfil de pagos'!$A$4:$A$46,'perfil de pagos'!$C$4:$C$46+'FACUS$'!$D1334)</f>
        <v>44361</v>
      </c>
      <c r="Q1334" s="165" t="str">
        <f t="shared" si="2"/>
        <v>N/A</v>
      </c>
      <c r="R1334" s="167"/>
      <c r="S1334" s="167"/>
      <c r="T1334" s="167"/>
      <c r="U1334" s="334" t="s">
        <v>7271</v>
      </c>
      <c r="V1334" s="168">
        <f t="shared" si="3"/>
        <v>0</v>
      </c>
      <c r="W1334" s="168">
        <f t="shared" si="4"/>
        <v>0</v>
      </c>
      <c r="X1334" s="168">
        <f t="shared" si="5"/>
        <v>0</v>
      </c>
      <c r="Y1334" s="168">
        <f t="shared" si="6"/>
        <v>0</v>
      </c>
      <c r="Z1334" s="168">
        <f t="shared" si="7"/>
        <v>0</v>
      </c>
      <c r="AA1334" s="168">
        <f t="shared" si="8"/>
        <v>0</v>
      </c>
      <c r="AB1334" s="168">
        <f t="shared" si="9"/>
        <v>9133.72</v>
      </c>
    </row>
    <row r="1335" ht="14.25" customHeight="1">
      <c r="A1335" s="157" t="s">
        <v>8351</v>
      </c>
      <c r="B1335" s="169" t="s">
        <v>20</v>
      </c>
      <c r="C1335" s="169" t="s">
        <v>2926</v>
      </c>
      <c r="D1335" s="336">
        <v>44351.0</v>
      </c>
      <c r="E1335" s="157" t="s">
        <v>600</v>
      </c>
      <c r="F1335" s="160">
        <v>11402.05</v>
      </c>
      <c r="G1335" s="160">
        <v>1824.33</v>
      </c>
      <c r="H1335" s="160">
        <f t="shared" si="42"/>
        <v>13226.38</v>
      </c>
      <c r="I1335" s="172"/>
      <c r="J1335" s="169"/>
      <c r="K1335" s="172"/>
      <c r="L1335" s="172">
        <f>+'FACUS$'!$H1335-'FACUS$'!$I1335-'FACUS$'!$K1335</f>
        <v>13226.38</v>
      </c>
      <c r="M1335" s="162" t="s">
        <v>732</v>
      </c>
      <c r="N1335" s="337" t="s">
        <v>554</v>
      </c>
      <c r="O1335" s="338">
        <v>44368.0</v>
      </c>
      <c r="P1335" s="164">
        <f t="array" ref="P1335">XLOOKUP('FACUS$'!$B1335,'perfil de pagos'!$A$4:$A$46,'perfil de pagos'!$C$4:$C$46+'FACUS$'!$D1335)</f>
        <v>44361</v>
      </c>
      <c r="Q1335" s="165">
        <f t="shared" si="2"/>
        <v>0</v>
      </c>
      <c r="R1335" s="167"/>
      <c r="S1335" s="167"/>
      <c r="T1335" s="167"/>
      <c r="U1335" s="334" t="s">
        <v>7271</v>
      </c>
      <c r="V1335" s="168">
        <f t="shared" si="3"/>
        <v>13226.38</v>
      </c>
      <c r="W1335" s="168">
        <f t="shared" si="4"/>
        <v>0</v>
      </c>
      <c r="X1335" s="168">
        <f t="shared" si="5"/>
        <v>0</v>
      </c>
      <c r="Y1335" s="168">
        <f t="shared" si="6"/>
        <v>0</v>
      </c>
      <c r="Z1335" s="168">
        <f t="shared" si="7"/>
        <v>0</v>
      </c>
      <c r="AA1335" s="168">
        <f t="shared" si="8"/>
        <v>0</v>
      </c>
      <c r="AB1335" s="168">
        <f t="shared" si="9"/>
        <v>0</v>
      </c>
    </row>
    <row r="1336" ht="14.25" customHeight="1">
      <c r="A1336" s="157" t="s">
        <v>8352</v>
      </c>
      <c r="B1336" s="169" t="s">
        <v>39</v>
      </c>
      <c r="C1336" s="169" t="s">
        <v>8353</v>
      </c>
      <c r="D1336" s="336">
        <v>44351.0</v>
      </c>
      <c r="E1336" s="157" t="s">
        <v>600</v>
      </c>
      <c r="F1336" s="160">
        <v>5831.1</v>
      </c>
      <c r="G1336" s="160">
        <v>932.98</v>
      </c>
      <c r="H1336" s="160">
        <f t="shared" si="42"/>
        <v>6764.08</v>
      </c>
      <c r="I1336" s="172"/>
      <c r="J1336" s="169"/>
      <c r="K1336" s="172"/>
      <c r="L1336" s="172">
        <f>+'FACUS$'!$H1336-'FACUS$'!$I1336-'FACUS$'!$K1336</f>
        <v>6764.08</v>
      </c>
      <c r="M1336" s="162" t="s">
        <v>570</v>
      </c>
      <c r="N1336" s="337" t="s">
        <v>554</v>
      </c>
      <c r="O1336" s="338">
        <v>44365.0</v>
      </c>
      <c r="P1336" s="164">
        <f t="array" ref="P1336">XLOOKUP('FACUS$'!$B1336,'perfil de pagos'!$A$4:$A$46,'perfil de pagos'!$C$4:$C$46+'FACUS$'!$D1336)</f>
        <v>44361</v>
      </c>
      <c r="Q1336" s="165">
        <f t="shared" si="2"/>
        <v>0</v>
      </c>
      <c r="R1336" s="167"/>
      <c r="S1336" s="167"/>
      <c r="T1336" s="167"/>
      <c r="U1336" s="334" t="s">
        <v>7271</v>
      </c>
      <c r="V1336" s="168">
        <f t="shared" si="3"/>
        <v>6764.08</v>
      </c>
      <c r="W1336" s="168">
        <f t="shared" si="4"/>
        <v>0</v>
      </c>
      <c r="X1336" s="168">
        <f t="shared" si="5"/>
        <v>0</v>
      </c>
      <c r="Y1336" s="168">
        <f t="shared" si="6"/>
        <v>0</v>
      </c>
      <c r="Z1336" s="168">
        <f t="shared" si="7"/>
        <v>0</v>
      </c>
      <c r="AA1336" s="168">
        <f t="shared" si="8"/>
        <v>0</v>
      </c>
      <c r="AB1336" s="168">
        <f t="shared" si="9"/>
        <v>0</v>
      </c>
    </row>
    <row r="1337" ht="14.25" customHeight="1">
      <c r="A1337" s="157" t="s">
        <v>8354</v>
      </c>
      <c r="B1337" s="169" t="s">
        <v>39</v>
      </c>
      <c r="C1337" s="169" t="s">
        <v>2926</v>
      </c>
      <c r="D1337" s="336">
        <v>44351.0</v>
      </c>
      <c r="E1337" s="157" t="s">
        <v>600</v>
      </c>
      <c r="F1337" s="160">
        <v>9038.16</v>
      </c>
      <c r="G1337" s="160">
        <v>1446.11</v>
      </c>
      <c r="H1337" s="160">
        <f t="shared" si="42"/>
        <v>10484.27</v>
      </c>
      <c r="I1337" s="172"/>
      <c r="J1337" s="169"/>
      <c r="K1337" s="172"/>
      <c r="L1337" s="172">
        <f>+'FACUS$'!$H1337-'FACUS$'!$I1337-'FACUS$'!$K1337</f>
        <v>10484.27</v>
      </c>
      <c r="M1337" s="162" t="s">
        <v>570</v>
      </c>
      <c r="N1337" s="337" t="s">
        <v>554</v>
      </c>
      <c r="O1337" s="338">
        <v>44365.0</v>
      </c>
      <c r="P1337" s="164">
        <f t="array" ref="P1337">XLOOKUP('FACUS$'!$B1337,'perfil de pagos'!$A$4:$A$46,'perfil de pagos'!$C$4:$C$46+'FACUS$'!$D1337)</f>
        <v>44361</v>
      </c>
      <c r="Q1337" s="165">
        <f t="shared" si="2"/>
        <v>0</v>
      </c>
      <c r="R1337" s="167"/>
      <c r="S1337" s="167"/>
      <c r="T1337" s="167"/>
      <c r="U1337" s="334" t="s">
        <v>7271</v>
      </c>
      <c r="V1337" s="168">
        <f t="shared" si="3"/>
        <v>10484.27</v>
      </c>
      <c r="W1337" s="168">
        <f t="shared" si="4"/>
        <v>0</v>
      </c>
      <c r="X1337" s="168">
        <f t="shared" si="5"/>
        <v>0</v>
      </c>
      <c r="Y1337" s="168">
        <f t="shared" si="6"/>
        <v>0</v>
      </c>
      <c r="Z1337" s="168">
        <f t="shared" si="7"/>
        <v>0</v>
      </c>
      <c r="AA1337" s="168">
        <f t="shared" si="8"/>
        <v>0</v>
      </c>
      <c r="AB1337" s="168">
        <f t="shared" si="9"/>
        <v>0</v>
      </c>
    </row>
    <row r="1338" ht="14.25" customHeight="1">
      <c r="A1338" s="157" t="s">
        <v>8355</v>
      </c>
      <c r="B1338" s="169" t="s">
        <v>26</v>
      </c>
      <c r="C1338" s="169" t="s">
        <v>2926</v>
      </c>
      <c r="D1338" s="336">
        <v>44351.0</v>
      </c>
      <c r="E1338" s="157" t="s">
        <v>600</v>
      </c>
      <c r="F1338" s="160">
        <v>4600.99</v>
      </c>
      <c r="G1338" s="160">
        <v>736.16</v>
      </c>
      <c r="H1338" s="160">
        <f t="shared" si="42"/>
        <v>5337.15</v>
      </c>
      <c r="I1338" s="172"/>
      <c r="J1338" s="169"/>
      <c r="K1338" s="172"/>
      <c r="L1338" s="172">
        <f>+'FACUS$'!$H1338-'FACUS$'!$I1338-'FACUS$'!$K1338</f>
        <v>5337.15</v>
      </c>
      <c r="M1338" s="162" t="s">
        <v>2386</v>
      </c>
      <c r="N1338" s="337" t="s">
        <v>554</v>
      </c>
      <c r="O1338" s="338">
        <v>44400.0</v>
      </c>
      <c r="P1338" s="164">
        <f t="array" ref="P1338">XLOOKUP('FACUS$'!$B1338,'perfil de pagos'!$A$4:$A$46,'perfil de pagos'!$C$4:$C$46+'FACUS$'!$D1338)</f>
        <v>44381</v>
      </c>
      <c r="Q1338" s="165">
        <f t="shared" si="2"/>
        <v>0</v>
      </c>
      <c r="R1338" s="167" t="s">
        <v>8356</v>
      </c>
      <c r="S1338" s="167"/>
      <c r="T1338" s="167"/>
      <c r="U1338" s="334" t="s">
        <v>7271</v>
      </c>
      <c r="V1338" s="168">
        <f t="shared" si="3"/>
        <v>5337.15</v>
      </c>
      <c r="W1338" s="168">
        <f t="shared" si="4"/>
        <v>0</v>
      </c>
      <c r="X1338" s="168">
        <f t="shared" si="5"/>
        <v>0</v>
      </c>
      <c r="Y1338" s="168">
        <f t="shared" si="6"/>
        <v>0</v>
      </c>
      <c r="Z1338" s="168">
        <f t="shared" si="7"/>
        <v>0</v>
      </c>
      <c r="AA1338" s="168">
        <f t="shared" si="8"/>
        <v>0</v>
      </c>
      <c r="AB1338" s="168">
        <f t="shared" si="9"/>
        <v>0</v>
      </c>
    </row>
    <row r="1339" ht="14.25" customHeight="1">
      <c r="A1339" s="157" t="s">
        <v>8357</v>
      </c>
      <c r="B1339" s="169" t="s">
        <v>37</v>
      </c>
      <c r="C1339" s="169" t="s">
        <v>2926</v>
      </c>
      <c r="D1339" s="336">
        <v>44351.0</v>
      </c>
      <c r="E1339" s="157" t="s">
        <v>600</v>
      </c>
      <c r="F1339" s="160">
        <v>88126.25</v>
      </c>
      <c r="G1339" s="160">
        <v>14100.2</v>
      </c>
      <c r="H1339" s="160">
        <f t="shared" si="42"/>
        <v>102226.45</v>
      </c>
      <c r="I1339" s="172"/>
      <c r="J1339" s="169"/>
      <c r="K1339" s="172"/>
      <c r="L1339" s="172">
        <f>+'FACUS$'!$H1339-'FACUS$'!$I1339-'FACUS$'!$K1339</f>
        <v>102226.45</v>
      </c>
      <c r="M1339" s="162" t="s">
        <v>116</v>
      </c>
      <c r="N1339" s="337" t="s">
        <v>554</v>
      </c>
      <c r="O1339" s="338">
        <v>44368.0</v>
      </c>
      <c r="P1339" s="164">
        <f t="array" ref="P1339">XLOOKUP('FACUS$'!$B1339,'perfil de pagos'!$A$4:$A$46,'perfil de pagos'!$C$4:$C$46+'FACUS$'!$D1339)</f>
        <v>44361</v>
      </c>
      <c r="Q1339" s="165">
        <f t="shared" si="2"/>
        <v>0</v>
      </c>
      <c r="R1339" s="167" t="s">
        <v>8358</v>
      </c>
      <c r="S1339" s="167"/>
      <c r="T1339" s="167"/>
      <c r="U1339" s="334" t="s">
        <v>7271</v>
      </c>
      <c r="V1339" s="168">
        <f t="shared" si="3"/>
        <v>102226.45</v>
      </c>
      <c r="W1339" s="168">
        <f t="shared" si="4"/>
        <v>0</v>
      </c>
      <c r="X1339" s="168">
        <f t="shared" si="5"/>
        <v>0</v>
      </c>
      <c r="Y1339" s="168">
        <f t="shared" si="6"/>
        <v>0</v>
      </c>
      <c r="Z1339" s="168">
        <f t="shared" si="7"/>
        <v>0</v>
      </c>
      <c r="AA1339" s="168">
        <f t="shared" si="8"/>
        <v>0</v>
      </c>
      <c r="AB1339" s="168">
        <f t="shared" si="9"/>
        <v>0</v>
      </c>
    </row>
    <row r="1340" ht="14.25" customHeight="1">
      <c r="A1340" s="157" t="s">
        <v>8359</v>
      </c>
      <c r="B1340" s="169" t="s">
        <v>33</v>
      </c>
      <c r="C1340" s="169" t="s">
        <v>2926</v>
      </c>
      <c r="D1340" s="336">
        <v>44351.0</v>
      </c>
      <c r="E1340" s="157" t="s">
        <v>600</v>
      </c>
      <c r="F1340" s="160">
        <v>30087.37</v>
      </c>
      <c r="G1340" s="160">
        <v>4813.98</v>
      </c>
      <c r="H1340" s="160">
        <f t="shared" si="42"/>
        <v>34901.35</v>
      </c>
      <c r="I1340" s="172"/>
      <c r="J1340" s="169"/>
      <c r="K1340" s="172"/>
      <c r="L1340" s="172">
        <f>+'FACUS$'!$H1340-'FACUS$'!$I1340-'FACUS$'!$K1340</f>
        <v>34901.35</v>
      </c>
      <c r="M1340" s="162" t="s">
        <v>958</v>
      </c>
      <c r="N1340" s="337" t="s">
        <v>554</v>
      </c>
      <c r="O1340" s="338">
        <v>44358.0</v>
      </c>
      <c r="P1340" s="164">
        <f t="array" ref="P1340">XLOOKUP('FACUS$'!$B1340,'perfil de pagos'!$A$4:$A$46,'perfil de pagos'!$C$4:$C$46+'FACUS$'!$D1340)</f>
        <v>44361</v>
      </c>
      <c r="Q1340" s="165">
        <f t="shared" si="2"/>
        <v>0</v>
      </c>
      <c r="R1340" s="167"/>
      <c r="S1340" s="167"/>
      <c r="T1340" s="167"/>
      <c r="U1340" s="334" t="s">
        <v>7271</v>
      </c>
      <c r="V1340" s="168">
        <f t="shared" si="3"/>
        <v>34901.35</v>
      </c>
      <c r="W1340" s="168">
        <f t="shared" si="4"/>
        <v>0</v>
      </c>
      <c r="X1340" s="168">
        <f t="shared" si="5"/>
        <v>0</v>
      </c>
      <c r="Y1340" s="168">
        <f t="shared" si="6"/>
        <v>0</v>
      </c>
      <c r="Z1340" s="168">
        <f t="shared" si="7"/>
        <v>0</v>
      </c>
      <c r="AA1340" s="168">
        <f t="shared" si="8"/>
        <v>0</v>
      </c>
      <c r="AB1340" s="168">
        <f t="shared" si="9"/>
        <v>0</v>
      </c>
    </row>
    <row r="1341" ht="14.25" customHeight="1">
      <c r="A1341" s="157" t="s">
        <v>8360</v>
      </c>
      <c r="B1341" s="169" t="s">
        <v>35</v>
      </c>
      <c r="C1341" s="169" t="s">
        <v>2926</v>
      </c>
      <c r="D1341" s="336">
        <v>44351.0</v>
      </c>
      <c r="E1341" s="157" t="s">
        <v>600</v>
      </c>
      <c r="F1341" s="160">
        <v>7683.2</v>
      </c>
      <c r="G1341" s="160">
        <v>1229.31</v>
      </c>
      <c r="H1341" s="160">
        <f t="shared" si="42"/>
        <v>8912.51</v>
      </c>
      <c r="I1341" s="172"/>
      <c r="J1341" s="169"/>
      <c r="K1341" s="172"/>
      <c r="L1341" s="172">
        <f>+'FACUS$'!$H1341-'FACUS$'!$I1341-'FACUS$'!$K1341</f>
        <v>8912.51</v>
      </c>
      <c r="M1341" s="162" t="s">
        <v>276</v>
      </c>
      <c r="N1341" s="337" t="s">
        <v>554</v>
      </c>
      <c r="O1341" s="338">
        <v>44419.0</v>
      </c>
      <c r="P1341" s="164">
        <f t="array" ref="P1341">XLOOKUP('FACUS$'!$B1341,'perfil de pagos'!$A$4:$A$46,'perfil de pagos'!$C$4:$C$46+'FACUS$'!$D1341)</f>
        <v>44361</v>
      </c>
      <c r="Q1341" s="165">
        <f t="shared" si="2"/>
        <v>0</v>
      </c>
      <c r="R1341" s="167"/>
      <c r="S1341" s="167"/>
      <c r="T1341" s="167"/>
      <c r="U1341" s="334" t="s">
        <v>7271</v>
      </c>
      <c r="V1341" s="168">
        <f t="shared" si="3"/>
        <v>8912.51</v>
      </c>
      <c r="W1341" s="168">
        <f t="shared" si="4"/>
        <v>0</v>
      </c>
      <c r="X1341" s="168">
        <f t="shared" si="5"/>
        <v>0</v>
      </c>
      <c r="Y1341" s="168">
        <f t="shared" si="6"/>
        <v>0</v>
      </c>
      <c r="Z1341" s="168">
        <f t="shared" si="7"/>
        <v>0</v>
      </c>
      <c r="AA1341" s="168">
        <f t="shared" si="8"/>
        <v>0</v>
      </c>
      <c r="AB1341" s="168">
        <f t="shared" si="9"/>
        <v>0</v>
      </c>
    </row>
    <row r="1342" ht="14.25" customHeight="1">
      <c r="A1342" s="157" t="s">
        <v>8361</v>
      </c>
      <c r="B1342" s="169" t="s">
        <v>36</v>
      </c>
      <c r="C1342" s="169" t="s">
        <v>2926</v>
      </c>
      <c r="D1342" s="336">
        <v>44351.0</v>
      </c>
      <c r="E1342" s="157" t="s">
        <v>600</v>
      </c>
      <c r="F1342" s="160">
        <v>2089.25</v>
      </c>
      <c r="G1342" s="160">
        <v>334.28</v>
      </c>
      <c r="H1342" s="160">
        <f t="shared" si="42"/>
        <v>2423.53</v>
      </c>
      <c r="I1342" s="172"/>
      <c r="J1342" s="169"/>
      <c r="K1342" s="172"/>
      <c r="L1342" s="172">
        <f>+'FACUS$'!$H1342-'FACUS$'!$I1342-'FACUS$'!$K1342</f>
        <v>2423.53</v>
      </c>
      <c r="M1342" s="162" t="s">
        <v>278</v>
      </c>
      <c r="N1342" s="337" t="s">
        <v>554</v>
      </c>
      <c r="O1342" s="338">
        <v>44440.0</v>
      </c>
      <c r="P1342" s="164">
        <f t="array" ref="P1342">XLOOKUP('FACUS$'!$B1342,'perfil de pagos'!$A$4:$A$46,'perfil de pagos'!$C$4:$C$46+'FACUS$'!$D1342)</f>
        <v>44361</v>
      </c>
      <c r="Q1342" s="165">
        <f t="shared" si="2"/>
        <v>0</v>
      </c>
      <c r="R1342" s="220" t="s">
        <v>8362</v>
      </c>
      <c r="S1342" s="167"/>
      <c r="T1342" s="167"/>
      <c r="U1342" s="334" t="s">
        <v>7271</v>
      </c>
      <c r="V1342" s="168">
        <f t="shared" si="3"/>
        <v>2423.53</v>
      </c>
      <c r="W1342" s="168">
        <f t="shared" si="4"/>
        <v>0</v>
      </c>
      <c r="X1342" s="168">
        <f t="shared" si="5"/>
        <v>0</v>
      </c>
      <c r="Y1342" s="168">
        <f t="shared" si="6"/>
        <v>0</v>
      </c>
      <c r="Z1342" s="168">
        <f t="shared" si="7"/>
        <v>0</v>
      </c>
      <c r="AA1342" s="168">
        <f t="shared" si="8"/>
        <v>0</v>
      </c>
      <c r="AB1342" s="168">
        <f t="shared" si="9"/>
        <v>0</v>
      </c>
    </row>
    <row r="1343" ht="14.25" customHeight="1">
      <c r="A1343" s="157" t="s">
        <v>8363</v>
      </c>
      <c r="B1343" s="169" t="s">
        <v>38</v>
      </c>
      <c r="C1343" s="169" t="s">
        <v>2926</v>
      </c>
      <c r="D1343" s="336">
        <v>44351.0</v>
      </c>
      <c r="E1343" s="157" t="s">
        <v>600</v>
      </c>
      <c r="F1343" s="160">
        <v>10514.03</v>
      </c>
      <c r="G1343" s="160">
        <v>1682.24</v>
      </c>
      <c r="H1343" s="160">
        <f t="shared" si="42"/>
        <v>12196.27</v>
      </c>
      <c r="I1343" s="172"/>
      <c r="J1343" s="169"/>
      <c r="K1343" s="172"/>
      <c r="L1343" s="172">
        <f>+'FACUS$'!$H1343-'FACUS$'!$I1343-'FACUS$'!$K1343</f>
        <v>12196.27</v>
      </c>
      <c r="M1343" s="162" t="s">
        <v>145</v>
      </c>
      <c r="N1343" s="337" t="s">
        <v>554</v>
      </c>
      <c r="O1343" s="338">
        <v>44435.0</v>
      </c>
      <c r="P1343" s="164">
        <f t="array" ref="P1343">XLOOKUP('FACUS$'!$B1343,'perfil de pagos'!$A$4:$A$46,'perfil de pagos'!$C$4:$C$46+'FACUS$'!$D1343)</f>
        <v>44381</v>
      </c>
      <c r="Q1343" s="165">
        <f t="shared" si="2"/>
        <v>0</v>
      </c>
      <c r="R1343" s="167"/>
      <c r="S1343" s="167"/>
      <c r="T1343" s="167"/>
      <c r="U1343" s="334" t="s">
        <v>7271</v>
      </c>
      <c r="V1343" s="168">
        <f t="shared" si="3"/>
        <v>12196.27</v>
      </c>
      <c r="W1343" s="168">
        <f t="shared" si="4"/>
        <v>0</v>
      </c>
      <c r="X1343" s="168">
        <f t="shared" si="5"/>
        <v>0</v>
      </c>
      <c r="Y1343" s="168">
        <f t="shared" si="6"/>
        <v>0</v>
      </c>
      <c r="Z1343" s="168">
        <f t="shared" si="7"/>
        <v>0</v>
      </c>
      <c r="AA1343" s="168">
        <f t="shared" si="8"/>
        <v>0</v>
      </c>
      <c r="AB1343" s="168">
        <f t="shared" si="9"/>
        <v>0</v>
      </c>
    </row>
    <row r="1344" ht="14.25" customHeight="1">
      <c r="A1344" s="157" t="s">
        <v>8364</v>
      </c>
      <c r="B1344" s="169" t="s">
        <v>1127</v>
      </c>
      <c r="C1344" s="169" t="s">
        <v>2926</v>
      </c>
      <c r="D1344" s="336">
        <v>44351.0</v>
      </c>
      <c r="E1344" s="157" t="s">
        <v>600</v>
      </c>
      <c r="F1344" s="160">
        <v>21797.8</v>
      </c>
      <c r="G1344" s="160">
        <v>3487.65</v>
      </c>
      <c r="H1344" s="160">
        <f t="shared" si="42"/>
        <v>25285.45</v>
      </c>
      <c r="I1344" s="172"/>
      <c r="J1344" s="169"/>
      <c r="K1344" s="172"/>
      <c r="L1344" s="172">
        <f>+'FACUS$'!$H1344-'FACUS$'!$I1344-'FACUS$'!$K1344</f>
        <v>25285.45</v>
      </c>
      <c r="M1344" s="162" t="s">
        <v>580</v>
      </c>
      <c r="N1344" s="337" t="s">
        <v>554</v>
      </c>
      <c r="O1344" s="338">
        <v>44364.0</v>
      </c>
      <c r="P1344" s="164" t="str">
        <f t="array" ref="P1344">XLOOKUP('FACUS$'!$B1344,'perfil de pagos'!$A$4:$A$46,'perfil de pagos'!$C$4:$C$46+'FACUS$'!$D1344)</f>
        <v>#N/A</v>
      </c>
      <c r="Q1344" s="165">
        <f t="shared" si="2"/>
        <v>0</v>
      </c>
      <c r="R1344" s="167"/>
      <c r="S1344" s="167"/>
      <c r="T1344" s="167"/>
      <c r="U1344" s="334" t="s">
        <v>7271</v>
      </c>
      <c r="V1344" s="168">
        <f t="shared" si="3"/>
        <v>25285.45</v>
      </c>
      <c r="W1344" s="168">
        <f t="shared" si="4"/>
        <v>0</v>
      </c>
      <c r="X1344" s="168">
        <f t="shared" si="5"/>
        <v>0</v>
      </c>
      <c r="Y1344" s="168">
        <f t="shared" si="6"/>
        <v>0</v>
      </c>
      <c r="Z1344" s="168">
        <f t="shared" si="7"/>
        <v>0</v>
      </c>
      <c r="AA1344" s="168">
        <f t="shared" si="8"/>
        <v>0</v>
      </c>
      <c r="AB1344" s="168">
        <f t="shared" si="9"/>
        <v>0</v>
      </c>
    </row>
    <row r="1345" ht="14.25" customHeight="1">
      <c r="A1345" s="157" t="s">
        <v>8365</v>
      </c>
      <c r="B1345" s="169" t="s">
        <v>26</v>
      </c>
      <c r="C1345" s="169" t="s">
        <v>2926</v>
      </c>
      <c r="D1345" s="336">
        <v>44351.0</v>
      </c>
      <c r="E1345" s="157" t="s">
        <v>600</v>
      </c>
      <c r="F1345" s="160">
        <v>2059.64</v>
      </c>
      <c r="G1345" s="160">
        <v>329.54</v>
      </c>
      <c r="H1345" s="160">
        <f t="shared" si="42"/>
        <v>2389.18</v>
      </c>
      <c r="I1345" s="172"/>
      <c r="J1345" s="169"/>
      <c r="K1345" s="172"/>
      <c r="L1345" s="172">
        <f>+'FACUS$'!$H1345-'FACUS$'!$I1345-'FACUS$'!$K1345</f>
        <v>2389.18</v>
      </c>
      <c r="M1345" s="162" t="s">
        <v>188</v>
      </c>
      <c r="N1345" s="337" t="s">
        <v>554</v>
      </c>
      <c r="O1345" s="338">
        <v>44385.0</v>
      </c>
      <c r="P1345" s="164">
        <f t="array" ref="P1345">XLOOKUP('FACUS$'!$B1345,'perfil de pagos'!$A$4:$A$46,'perfil de pagos'!$C$4:$C$46+'FACUS$'!$D1345)</f>
        <v>44381</v>
      </c>
      <c r="Q1345" s="165">
        <f t="shared" si="2"/>
        <v>0</v>
      </c>
      <c r="R1345" s="167" t="s">
        <v>8366</v>
      </c>
      <c r="S1345" s="167"/>
      <c r="T1345" s="167"/>
      <c r="U1345" s="334" t="s">
        <v>7271</v>
      </c>
      <c r="V1345" s="168">
        <f t="shared" si="3"/>
        <v>2389.18</v>
      </c>
      <c r="W1345" s="168">
        <f t="shared" si="4"/>
        <v>0</v>
      </c>
      <c r="X1345" s="168">
        <f t="shared" si="5"/>
        <v>0</v>
      </c>
      <c r="Y1345" s="168">
        <f t="shared" si="6"/>
        <v>0</v>
      </c>
      <c r="Z1345" s="168">
        <f t="shared" si="7"/>
        <v>0</v>
      </c>
      <c r="AA1345" s="168">
        <f t="shared" si="8"/>
        <v>0</v>
      </c>
      <c r="AB1345" s="168">
        <f t="shared" si="9"/>
        <v>0</v>
      </c>
    </row>
    <row r="1346" ht="14.25" customHeight="1">
      <c r="A1346" s="157" t="s">
        <v>8367</v>
      </c>
      <c r="B1346" s="169" t="s">
        <v>41</v>
      </c>
      <c r="C1346" s="169" t="s">
        <v>2926</v>
      </c>
      <c r="D1346" s="336">
        <v>44351.0</v>
      </c>
      <c r="E1346" s="157" t="s">
        <v>600</v>
      </c>
      <c r="F1346" s="160">
        <v>27172.83</v>
      </c>
      <c r="G1346" s="160">
        <v>4347.65</v>
      </c>
      <c r="H1346" s="160">
        <f t="shared" si="42"/>
        <v>31520.48</v>
      </c>
      <c r="I1346" s="172"/>
      <c r="J1346" s="169"/>
      <c r="K1346" s="172"/>
      <c r="L1346" s="172">
        <f>+'FACUS$'!$H1346-'FACUS$'!$I1346-'FACUS$'!$K1346</f>
        <v>31520.48</v>
      </c>
      <c r="M1346" s="162" t="s">
        <v>875</v>
      </c>
      <c r="N1346" s="337" t="s">
        <v>554</v>
      </c>
      <c r="O1346" s="338">
        <v>44503.0</v>
      </c>
      <c r="P1346" s="164">
        <f t="array" ref="P1346">XLOOKUP('FACUS$'!$B1346,'perfil de pagos'!$A$4:$A$46,'perfil de pagos'!$C$4:$C$46+'FACUS$'!$D1346)</f>
        <v>44361</v>
      </c>
      <c r="Q1346" s="165">
        <f t="shared" si="2"/>
        <v>0</v>
      </c>
      <c r="R1346" s="167"/>
      <c r="S1346" s="167"/>
      <c r="T1346" s="167"/>
      <c r="U1346" s="334" t="s">
        <v>7271</v>
      </c>
      <c r="V1346" s="168">
        <f t="shared" si="3"/>
        <v>31520.48</v>
      </c>
      <c r="W1346" s="168">
        <f t="shared" si="4"/>
        <v>0</v>
      </c>
      <c r="X1346" s="168">
        <f t="shared" si="5"/>
        <v>0</v>
      </c>
      <c r="Y1346" s="168">
        <f t="shared" si="6"/>
        <v>0</v>
      </c>
      <c r="Z1346" s="168">
        <f t="shared" si="7"/>
        <v>0</v>
      </c>
      <c r="AA1346" s="168">
        <f t="shared" si="8"/>
        <v>0</v>
      </c>
      <c r="AB1346" s="168">
        <f t="shared" si="9"/>
        <v>0</v>
      </c>
    </row>
    <row r="1347" ht="14.25" customHeight="1">
      <c r="A1347" s="157" t="s">
        <v>8368</v>
      </c>
      <c r="B1347" s="169" t="s">
        <v>41</v>
      </c>
      <c r="C1347" s="169" t="s">
        <v>8369</v>
      </c>
      <c r="D1347" s="336">
        <v>44354.0</v>
      </c>
      <c r="E1347" s="157" t="s">
        <v>600</v>
      </c>
      <c r="F1347" s="160">
        <v>4382.21</v>
      </c>
      <c r="G1347" s="160">
        <v>701.15</v>
      </c>
      <c r="H1347" s="160">
        <f t="shared" si="42"/>
        <v>5083.36</v>
      </c>
      <c r="I1347" s="172"/>
      <c r="J1347" s="169"/>
      <c r="K1347" s="172"/>
      <c r="L1347" s="172">
        <f>+'FACUS$'!$H1347-'FACUS$'!$I1347-'FACUS$'!$K1347</f>
        <v>5083.36</v>
      </c>
      <c r="M1347" s="162" t="s">
        <v>875</v>
      </c>
      <c r="N1347" s="337" t="s">
        <v>554</v>
      </c>
      <c r="O1347" s="338">
        <v>44503.0</v>
      </c>
      <c r="P1347" s="164">
        <f t="array" ref="P1347">XLOOKUP('FACUS$'!$B1347,'perfil de pagos'!$A$4:$A$46,'perfil de pagos'!$C$4:$C$46+'FACUS$'!$D1347)</f>
        <v>44364</v>
      </c>
      <c r="Q1347" s="165">
        <f t="shared" si="2"/>
        <v>0</v>
      </c>
      <c r="R1347" s="167"/>
      <c r="S1347" s="167"/>
      <c r="T1347" s="167"/>
      <c r="U1347" s="334" t="s">
        <v>7271</v>
      </c>
      <c r="V1347" s="168">
        <f t="shared" si="3"/>
        <v>5083.36</v>
      </c>
      <c r="W1347" s="168">
        <f t="shared" si="4"/>
        <v>0</v>
      </c>
      <c r="X1347" s="168">
        <f t="shared" si="5"/>
        <v>0</v>
      </c>
      <c r="Y1347" s="168">
        <f t="shared" si="6"/>
        <v>0</v>
      </c>
      <c r="Z1347" s="168">
        <f t="shared" si="7"/>
        <v>0</v>
      </c>
      <c r="AA1347" s="168">
        <f t="shared" si="8"/>
        <v>0</v>
      </c>
      <c r="AB1347" s="168">
        <f t="shared" si="9"/>
        <v>0</v>
      </c>
    </row>
    <row r="1348" ht="14.25" customHeight="1">
      <c r="A1348" s="157" t="s">
        <v>8370</v>
      </c>
      <c r="B1348" s="169" t="s">
        <v>1127</v>
      </c>
      <c r="C1348" s="169" t="s">
        <v>8371</v>
      </c>
      <c r="D1348" s="336">
        <v>44362.0</v>
      </c>
      <c r="E1348" s="157" t="s">
        <v>600</v>
      </c>
      <c r="F1348" s="160">
        <v>2684.29</v>
      </c>
      <c r="G1348" s="160">
        <v>429.49</v>
      </c>
      <c r="H1348" s="160">
        <f t="shared" si="42"/>
        <v>3113.78</v>
      </c>
      <c r="I1348" s="172"/>
      <c r="J1348" s="169"/>
      <c r="K1348" s="172"/>
      <c r="L1348" s="172">
        <f>+'FACUS$'!$H1348-'FACUS$'!$I1348-'FACUS$'!$K1348</f>
        <v>3113.78</v>
      </c>
      <c r="M1348" s="162" t="s">
        <v>580</v>
      </c>
      <c r="N1348" s="337" t="s">
        <v>554</v>
      </c>
      <c r="O1348" s="338">
        <v>44392.0</v>
      </c>
      <c r="P1348" s="164" t="str">
        <f t="array" ref="P1348">XLOOKUP('FACUS$'!$B1348,'perfil de pagos'!$A$4:$A$46,'perfil de pagos'!$C$4:$C$46+'FACUS$'!$D1348)</f>
        <v>#N/A</v>
      </c>
      <c r="Q1348" s="165">
        <f t="shared" si="2"/>
        <v>0</v>
      </c>
      <c r="R1348" s="167"/>
      <c r="S1348" s="167"/>
      <c r="T1348" s="167"/>
      <c r="U1348" s="334" t="s">
        <v>7271</v>
      </c>
      <c r="V1348" s="168">
        <f t="shared" si="3"/>
        <v>3113.78</v>
      </c>
      <c r="W1348" s="168">
        <f t="shared" si="4"/>
        <v>0</v>
      </c>
      <c r="X1348" s="168">
        <f t="shared" si="5"/>
        <v>0</v>
      </c>
      <c r="Y1348" s="168">
        <f t="shared" si="6"/>
        <v>0</v>
      </c>
      <c r="Z1348" s="168">
        <f t="shared" si="7"/>
        <v>0</v>
      </c>
      <c r="AA1348" s="168">
        <f t="shared" si="8"/>
        <v>0</v>
      </c>
      <c r="AB1348" s="168">
        <f t="shared" si="9"/>
        <v>0</v>
      </c>
    </row>
    <row r="1349" ht="14.25" customHeight="1">
      <c r="A1349" s="157" t="s">
        <v>8372</v>
      </c>
      <c r="B1349" s="169" t="s">
        <v>1127</v>
      </c>
      <c r="C1349" s="169" t="s">
        <v>8373</v>
      </c>
      <c r="D1349" s="336">
        <v>44362.0</v>
      </c>
      <c r="E1349" s="157" t="s">
        <v>600</v>
      </c>
      <c r="F1349" s="160">
        <v>3666.36</v>
      </c>
      <c r="G1349" s="160">
        <v>586.62</v>
      </c>
      <c r="H1349" s="160">
        <f t="shared" si="42"/>
        <v>4252.98</v>
      </c>
      <c r="I1349" s="172"/>
      <c r="J1349" s="169"/>
      <c r="K1349" s="172"/>
      <c r="L1349" s="172">
        <f>+'FACUS$'!$H1349-'FACUS$'!$I1349-'FACUS$'!$K1349</f>
        <v>4252.98</v>
      </c>
      <c r="M1349" s="162" t="s">
        <v>580</v>
      </c>
      <c r="N1349" s="337" t="s">
        <v>554</v>
      </c>
      <c r="O1349" s="338">
        <v>44386.0</v>
      </c>
      <c r="P1349" s="164" t="str">
        <f t="array" ref="P1349">XLOOKUP('FACUS$'!$B1349,'perfil de pagos'!$A$4:$A$46,'perfil de pagos'!$C$4:$C$46+'FACUS$'!$D1349)</f>
        <v>#N/A</v>
      </c>
      <c r="Q1349" s="165">
        <f t="shared" si="2"/>
        <v>0</v>
      </c>
      <c r="R1349" s="167"/>
      <c r="S1349" s="167"/>
      <c r="T1349" s="167"/>
      <c r="U1349" s="334" t="s">
        <v>7271</v>
      </c>
      <c r="V1349" s="168">
        <f t="shared" si="3"/>
        <v>4252.98</v>
      </c>
      <c r="W1349" s="168">
        <f t="shared" si="4"/>
        <v>0</v>
      </c>
      <c r="X1349" s="168">
        <f t="shared" si="5"/>
        <v>0</v>
      </c>
      <c r="Y1349" s="168">
        <f t="shared" si="6"/>
        <v>0</v>
      </c>
      <c r="Z1349" s="168">
        <f t="shared" si="7"/>
        <v>0</v>
      </c>
      <c r="AA1349" s="168">
        <f t="shared" si="8"/>
        <v>0</v>
      </c>
      <c r="AB1349" s="168">
        <f t="shared" si="9"/>
        <v>0</v>
      </c>
    </row>
    <row r="1350" ht="14.25" customHeight="1">
      <c r="A1350" s="157" t="s">
        <v>8374</v>
      </c>
      <c r="B1350" s="169" t="s">
        <v>36</v>
      </c>
      <c r="C1350" s="169" t="s">
        <v>8375</v>
      </c>
      <c r="D1350" s="336">
        <v>44362.0</v>
      </c>
      <c r="E1350" s="157" t="s">
        <v>600</v>
      </c>
      <c r="F1350" s="160">
        <f>613.25-91.99</f>
        <v>521.26</v>
      </c>
      <c r="G1350" s="160">
        <v>83.4</v>
      </c>
      <c r="H1350" s="160">
        <f t="shared" si="42"/>
        <v>604.66</v>
      </c>
      <c r="I1350" s="172"/>
      <c r="J1350" s="169"/>
      <c r="K1350" s="172"/>
      <c r="L1350" s="172">
        <f>+'FACUS$'!$H1350-'FACUS$'!$I1350-'FACUS$'!$K1350</f>
        <v>604.66</v>
      </c>
      <c r="M1350" s="162" t="s">
        <v>278</v>
      </c>
      <c r="N1350" s="337" t="s">
        <v>554</v>
      </c>
      <c r="O1350" s="338">
        <v>44452.0</v>
      </c>
      <c r="P1350" s="164">
        <f t="array" ref="P1350">XLOOKUP('FACUS$'!$B1350,'perfil de pagos'!$A$4:$A$46,'perfil de pagos'!$C$4:$C$46+'FACUS$'!$D1350)</f>
        <v>44372</v>
      </c>
      <c r="Q1350" s="165">
        <f t="shared" si="2"/>
        <v>0</v>
      </c>
      <c r="R1350" s="220" t="s">
        <v>8376</v>
      </c>
      <c r="S1350" s="167"/>
      <c r="T1350" s="167"/>
      <c r="U1350" s="334" t="s">
        <v>7271</v>
      </c>
      <c r="V1350" s="168">
        <f t="shared" si="3"/>
        <v>604.66</v>
      </c>
      <c r="W1350" s="168">
        <f t="shared" si="4"/>
        <v>0</v>
      </c>
      <c r="X1350" s="168">
        <f t="shared" si="5"/>
        <v>0</v>
      </c>
      <c r="Y1350" s="168">
        <f t="shared" si="6"/>
        <v>0</v>
      </c>
      <c r="Z1350" s="168">
        <f t="shared" si="7"/>
        <v>0</v>
      </c>
      <c r="AA1350" s="168">
        <f t="shared" si="8"/>
        <v>0</v>
      </c>
      <c r="AB1350" s="168">
        <f t="shared" si="9"/>
        <v>0</v>
      </c>
    </row>
    <row r="1351" ht="14.25" customHeight="1">
      <c r="A1351" s="157" t="s">
        <v>8377</v>
      </c>
      <c r="B1351" s="169" t="s">
        <v>39</v>
      </c>
      <c r="C1351" s="169" t="s">
        <v>2949</v>
      </c>
      <c r="D1351" s="336">
        <v>44369.0</v>
      </c>
      <c r="E1351" s="157" t="s">
        <v>600</v>
      </c>
      <c r="F1351" s="160">
        <v>6029.12</v>
      </c>
      <c r="G1351" s="160">
        <v>964.66</v>
      </c>
      <c r="H1351" s="160">
        <f t="shared" si="42"/>
        <v>6993.78</v>
      </c>
      <c r="I1351" s="172"/>
      <c r="J1351" s="169"/>
      <c r="K1351" s="172"/>
      <c r="L1351" s="172">
        <f>+'FACUS$'!$H1351-'FACUS$'!$I1351-'FACUS$'!$K1351</f>
        <v>6993.78</v>
      </c>
      <c r="M1351" s="162" t="s">
        <v>570</v>
      </c>
      <c r="N1351" s="337" t="s">
        <v>554</v>
      </c>
      <c r="O1351" s="338">
        <v>44377.0</v>
      </c>
      <c r="P1351" s="164">
        <f t="array" ref="P1351">XLOOKUP('FACUS$'!$B1351,'perfil de pagos'!$A$4:$A$46,'perfil de pagos'!$C$4:$C$46+'FACUS$'!$D1351)</f>
        <v>44379</v>
      </c>
      <c r="Q1351" s="165">
        <f t="shared" si="2"/>
        <v>0</v>
      </c>
      <c r="R1351" s="167"/>
      <c r="S1351" s="167"/>
      <c r="T1351" s="167"/>
      <c r="U1351" s="334" t="s">
        <v>7271</v>
      </c>
      <c r="V1351" s="168">
        <f t="shared" si="3"/>
        <v>6993.78</v>
      </c>
      <c r="W1351" s="168">
        <f t="shared" si="4"/>
        <v>0</v>
      </c>
      <c r="X1351" s="168">
        <f t="shared" si="5"/>
        <v>0</v>
      </c>
      <c r="Y1351" s="168">
        <f t="shared" si="6"/>
        <v>0</v>
      </c>
      <c r="Z1351" s="168">
        <f t="shared" si="7"/>
        <v>0</v>
      </c>
      <c r="AA1351" s="168">
        <f t="shared" si="8"/>
        <v>0</v>
      </c>
      <c r="AB1351" s="168">
        <f t="shared" si="9"/>
        <v>0</v>
      </c>
    </row>
    <row r="1352" ht="14.25" customHeight="1">
      <c r="A1352" s="157" t="s">
        <v>8378</v>
      </c>
      <c r="B1352" s="169" t="s">
        <v>39</v>
      </c>
      <c r="C1352" s="169" t="s">
        <v>2956</v>
      </c>
      <c r="D1352" s="336">
        <v>44369.0</v>
      </c>
      <c r="E1352" s="157" t="s">
        <v>600</v>
      </c>
      <c r="F1352" s="160">
        <v>8771.93</v>
      </c>
      <c r="G1352" s="160">
        <v>1403.51</v>
      </c>
      <c r="H1352" s="160">
        <f t="shared" si="42"/>
        <v>10175.44</v>
      </c>
      <c r="I1352" s="172"/>
      <c r="J1352" s="169"/>
      <c r="K1352" s="172"/>
      <c r="L1352" s="172">
        <f>+'FACUS$'!$H1352-'FACUS$'!$I1352-'FACUS$'!$K1352</f>
        <v>10175.44</v>
      </c>
      <c r="M1352" s="162" t="s">
        <v>570</v>
      </c>
      <c r="N1352" s="337" t="s">
        <v>554</v>
      </c>
      <c r="O1352" s="338">
        <v>44377.0</v>
      </c>
      <c r="P1352" s="164">
        <f t="array" ref="P1352">XLOOKUP('FACUS$'!$B1352,'perfil de pagos'!$A$4:$A$46,'perfil de pagos'!$C$4:$C$46+'FACUS$'!$D1352)</f>
        <v>44379</v>
      </c>
      <c r="Q1352" s="165">
        <f t="shared" si="2"/>
        <v>0</v>
      </c>
      <c r="R1352" s="167"/>
      <c r="S1352" s="167"/>
      <c r="T1352" s="167"/>
      <c r="U1352" s="334" t="s">
        <v>7271</v>
      </c>
      <c r="V1352" s="168">
        <f t="shared" si="3"/>
        <v>10175.44</v>
      </c>
      <c r="W1352" s="168">
        <f t="shared" si="4"/>
        <v>0</v>
      </c>
      <c r="X1352" s="168">
        <f t="shared" si="5"/>
        <v>0</v>
      </c>
      <c r="Y1352" s="168">
        <f t="shared" si="6"/>
        <v>0</v>
      </c>
      <c r="Z1352" s="168">
        <f t="shared" si="7"/>
        <v>0</v>
      </c>
      <c r="AA1352" s="168">
        <f t="shared" si="8"/>
        <v>0</v>
      </c>
      <c r="AB1352" s="168">
        <f t="shared" si="9"/>
        <v>0</v>
      </c>
    </row>
    <row r="1353" ht="14.25" customHeight="1">
      <c r="A1353" s="157" t="s">
        <v>8379</v>
      </c>
      <c r="B1353" s="169" t="s">
        <v>41</v>
      </c>
      <c r="C1353" s="169" t="s">
        <v>2956</v>
      </c>
      <c r="D1353" s="336">
        <v>44369.0</v>
      </c>
      <c r="E1353" s="157" t="s">
        <v>600</v>
      </c>
      <c r="F1353" s="160">
        <v>6982.69</v>
      </c>
      <c r="G1353" s="160">
        <v>1117.23</v>
      </c>
      <c r="H1353" s="160">
        <f t="shared" si="42"/>
        <v>8099.92</v>
      </c>
      <c r="I1353" s="172"/>
      <c r="J1353" s="169"/>
      <c r="K1353" s="172"/>
      <c r="L1353" s="172">
        <f>+'FACUS$'!$H1353-'FACUS$'!$I1353-'FACUS$'!$K1353</f>
        <v>8099.92</v>
      </c>
      <c r="M1353" s="162" t="s">
        <v>875</v>
      </c>
      <c r="N1353" s="337" t="s">
        <v>554</v>
      </c>
      <c r="O1353" s="338">
        <v>44503.0</v>
      </c>
      <c r="P1353" s="164">
        <f t="array" ref="P1353">XLOOKUP('FACUS$'!$B1353,'perfil de pagos'!$A$4:$A$46,'perfil de pagos'!$C$4:$C$46+'FACUS$'!$D1353)</f>
        <v>44379</v>
      </c>
      <c r="Q1353" s="165">
        <f t="shared" si="2"/>
        <v>0</v>
      </c>
      <c r="R1353" s="167"/>
      <c r="S1353" s="167"/>
      <c r="T1353" s="167"/>
      <c r="U1353" s="334" t="s">
        <v>7271</v>
      </c>
      <c r="V1353" s="168">
        <f t="shared" si="3"/>
        <v>8099.92</v>
      </c>
      <c r="W1353" s="168">
        <f t="shared" si="4"/>
        <v>0</v>
      </c>
      <c r="X1353" s="168">
        <f t="shared" si="5"/>
        <v>0</v>
      </c>
      <c r="Y1353" s="168">
        <f t="shared" si="6"/>
        <v>0</v>
      </c>
      <c r="Z1353" s="168">
        <f t="shared" si="7"/>
        <v>0</v>
      </c>
      <c r="AA1353" s="168">
        <f t="shared" si="8"/>
        <v>0</v>
      </c>
      <c r="AB1353" s="168">
        <f t="shared" si="9"/>
        <v>0</v>
      </c>
    </row>
    <row r="1354" ht="14.25" customHeight="1">
      <c r="A1354" s="157" t="s">
        <v>8380</v>
      </c>
      <c r="B1354" s="169" t="s">
        <v>33</v>
      </c>
      <c r="C1354" s="169" t="s">
        <v>2956</v>
      </c>
      <c r="D1354" s="336">
        <v>44369.0</v>
      </c>
      <c r="E1354" s="157" t="s">
        <v>600</v>
      </c>
      <c r="F1354" s="160">
        <v>25604.04</v>
      </c>
      <c r="G1354" s="160">
        <v>4096.65</v>
      </c>
      <c r="H1354" s="160">
        <f t="shared" si="42"/>
        <v>29700.69</v>
      </c>
      <c r="I1354" s="172"/>
      <c r="J1354" s="169"/>
      <c r="K1354" s="172"/>
      <c r="L1354" s="172">
        <f>+'FACUS$'!$H1354-'FACUS$'!$I1354-'FACUS$'!$K1354</f>
        <v>29700.69</v>
      </c>
      <c r="M1354" s="162" t="s">
        <v>958</v>
      </c>
      <c r="N1354" s="337" t="s">
        <v>127</v>
      </c>
      <c r="O1354" s="338"/>
      <c r="P1354" s="164">
        <f t="array" ref="P1354">XLOOKUP('FACUS$'!$B1354,'perfil de pagos'!$A$4:$A$46,'perfil de pagos'!$C$4:$C$46+'FACUS$'!$D1354)</f>
        <v>44379</v>
      </c>
      <c r="Q1354" s="165" t="str">
        <f t="shared" si="2"/>
        <v>N/A</v>
      </c>
      <c r="R1354" s="167" t="s">
        <v>8381</v>
      </c>
      <c r="S1354" s="167"/>
      <c r="T1354" s="167"/>
      <c r="U1354" s="334" t="s">
        <v>7271</v>
      </c>
      <c r="V1354" s="168">
        <f t="shared" si="3"/>
        <v>0</v>
      </c>
      <c r="W1354" s="168">
        <f t="shared" si="4"/>
        <v>0</v>
      </c>
      <c r="X1354" s="168">
        <f t="shared" si="5"/>
        <v>0</v>
      </c>
      <c r="Y1354" s="168">
        <f t="shared" si="6"/>
        <v>0</v>
      </c>
      <c r="Z1354" s="168">
        <f t="shared" si="7"/>
        <v>0</v>
      </c>
      <c r="AA1354" s="168">
        <f t="shared" si="8"/>
        <v>0</v>
      </c>
      <c r="AB1354" s="168">
        <f t="shared" si="9"/>
        <v>29700.69</v>
      </c>
    </row>
    <row r="1355" ht="14.25" customHeight="1">
      <c r="A1355" s="157" t="s">
        <v>8382</v>
      </c>
      <c r="B1355" s="169" t="s">
        <v>36</v>
      </c>
      <c r="C1355" s="169" t="s">
        <v>2956</v>
      </c>
      <c r="D1355" s="336">
        <v>44369.0</v>
      </c>
      <c r="E1355" s="157" t="s">
        <v>600</v>
      </c>
      <c r="F1355" s="160">
        <v>1865.36</v>
      </c>
      <c r="G1355" s="160">
        <v>298.4</v>
      </c>
      <c r="H1355" s="160">
        <f t="shared" si="42"/>
        <v>2163.76</v>
      </c>
      <c r="I1355" s="172"/>
      <c r="J1355" s="169"/>
      <c r="K1355" s="172"/>
      <c r="L1355" s="172">
        <f>+'FACUS$'!$H1355-'FACUS$'!$I1355-'FACUS$'!$K1355</f>
        <v>2163.76</v>
      </c>
      <c r="M1355" s="162" t="s">
        <v>278</v>
      </c>
      <c r="N1355" s="337" t="s">
        <v>554</v>
      </c>
      <c r="O1355" s="338">
        <v>44440.0</v>
      </c>
      <c r="P1355" s="164">
        <f t="array" ref="P1355">XLOOKUP('FACUS$'!$B1355,'perfil de pagos'!$A$4:$A$46,'perfil de pagos'!$C$4:$C$46+'FACUS$'!$D1355)</f>
        <v>44379</v>
      </c>
      <c r="Q1355" s="165">
        <f t="shared" si="2"/>
        <v>0</v>
      </c>
      <c r="R1355" s="220" t="s">
        <v>8383</v>
      </c>
      <c r="S1355" s="167"/>
      <c r="T1355" s="167"/>
      <c r="U1355" s="334" t="s">
        <v>7271</v>
      </c>
      <c r="V1355" s="168">
        <f t="shared" si="3"/>
        <v>2163.76</v>
      </c>
      <c r="W1355" s="168">
        <f t="shared" si="4"/>
        <v>0</v>
      </c>
      <c r="X1355" s="168">
        <f t="shared" si="5"/>
        <v>0</v>
      </c>
      <c r="Y1355" s="168">
        <f t="shared" si="6"/>
        <v>0</v>
      </c>
      <c r="Z1355" s="168">
        <f t="shared" si="7"/>
        <v>0</v>
      </c>
      <c r="AA1355" s="168">
        <f t="shared" si="8"/>
        <v>0</v>
      </c>
      <c r="AB1355" s="168">
        <f t="shared" si="9"/>
        <v>0</v>
      </c>
    </row>
    <row r="1356" ht="14.25" customHeight="1">
      <c r="A1356" s="157" t="s">
        <v>8384</v>
      </c>
      <c r="B1356" s="169" t="s">
        <v>1127</v>
      </c>
      <c r="C1356" s="169" t="s">
        <v>2956</v>
      </c>
      <c r="D1356" s="336">
        <v>44369.0</v>
      </c>
      <c r="E1356" s="157" t="s">
        <v>600</v>
      </c>
      <c r="F1356" s="160">
        <v>5394.01</v>
      </c>
      <c r="G1356" s="160">
        <v>863.04</v>
      </c>
      <c r="H1356" s="160">
        <f t="shared" si="42"/>
        <v>6257.05</v>
      </c>
      <c r="I1356" s="172"/>
      <c r="J1356" s="169"/>
      <c r="K1356" s="172"/>
      <c r="L1356" s="172">
        <f>+'FACUS$'!$H1356-'FACUS$'!$I1356-'FACUS$'!$K1356</f>
        <v>6257.05</v>
      </c>
      <c r="M1356" s="162" t="s">
        <v>580</v>
      </c>
      <c r="N1356" s="337" t="s">
        <v>554</v>
      </c>
      <c r="O1356" s="338">
        <v>44386.0</v>
      </c>
      <c r="P1356" s="164" t="str">
        <f t="array" ref="P1356">XLOOKUP('FACUS$'!$B1356,'perfil de pagos'!$A$4:$A$46,'perfil de pagos'!$C$4:$C$46+'FACUS$'!$D1356)</f>
        <v>#N/A</v>
      </c>
      <c r="Q1356" s="165">
        <f t="shared" si="2"/>
        <v>0</v>
      </c>
      <c r="R1356" s="167"/>
      <c r="S1356" s="167"/>
      <c r="T1356" s="167"/>
      <c r="U1356" s="334" t="s">
        <v>7271</v>
      </c>
      <c r="V1356" s="168">
        <f t="shared" si="3"/>
        <v>6257.05</v>
      </c>
      <c r="W1356" s="168">
        <f t="shared" si="4"/>
        <v>0</v>
      </c>
      <c r="X1356" s="168">
        <f t="shared" si="5"/>
        <v>0</v>
      </c>
      <c r="Y1356" s="168">
        <f t="shared" si="6"/>
        <v>0</v>
      </c>
      <c r="Z1356" s="168">
        <f t="shared" si="7"/>
        <v>0</v>
      </c>
      <c r="AA1356" s="168">
        <f t="shared" si="8"/>
        <v>0</v>
      </c>
      <c r="AB1356" s="168">
        <f t="shared" si="9"/>
        <v>0</v>
      </c>
    </row>
    <row r="1357" ht="14.25" customHeight="1">
      <c r="A1357" s="157" t="s">
        <v>8385</v>
      </c>
      <c r="B1357" s="169" t="s">
        <v>18</v>
      </c>
      <c r="C1357" s="169" t="s">
        <v>2956</v>
      </c>
      <c r="D1357" s="336">
        <v>44369.0</v>
      </c>
      <c r="E1357" s="157" t="s">
        <v>600</v>
      </c>
      <c r="F1357" s="160">
        <v>9335.98</v>
      </c>
      <c r="G1357" s="160">
        <v>1493.76</v>
      </c>
      <c r="H1357" s="160">
        <f t="shared" si="42"/>
        <v>10829.74</v>
      </c>
      <c r="I1357" s="172"/>
      <c r="J1357" s="169"/>
      <c r="K1357" s="172"/>
      <c r="L1357" s="172">
        <f>+'FACUS$'!$H1357-'FACUS$'!$I1357-'FACUS$'!$K1357</f>
        <v>10829.74</v>
      </c>
      <c r="M1357" s="162" t="s">
        <v>586</v>
      </c>
      <c r="N1357" s="337" t="s">
        <v>554</v>
      </c>
      <c r="O1357" s="338">
        <v>44376.0</v>
      </c>
      <c r="P1357" s="164">
        <f t="array" ref="P1357">XLOOKUP('FACUS$'!$B1357,'perfil de pagos'!$A$4:$A$46,'perfil de pagos'!$C$4:$C$46+'FACUS$'!$D1357)</f>
        <v>44379</v>
      </c>
      <c r="Q1357" s="165">
        <f t="shared" si="2"/>
        <v>0</v>
      </c>
      <c r="R1357" s="167"/>
      <c r="S1357" s="167"/>
      <c r="T1357" s="167"/>
      <c r="U1357" s="334" t="s">
        <v>7271</v>
      </c>
      <c r="V1357" s="168">
        <f t="shared" si="3"/>
        <v>10829.74</v>
      </c>
      <c r="W1357" s="168">
        <f t="shared" si="4"/>
        <v>0</v>
      </c>
      <c r="X1357" s="168">
        <f t="shared" si="5"/>
        <v>0</v>
      </c>
      <c r="Y1357" s="168">
        <f t="shared" si="6"/>
        <v>0</v>
      </c>
      <c r="Z1357" s="168">
        <f t="shared" si="7"/>
        <v>0</v>
      </c>
      <c r="AA1357" s="168">
        <f t="shared" si="8"/>
        <v>0</v>
      </c>
      <c r="AB1357" s="168">
        <f t="shared" si="9"/>
        <v>0</v>
      </c>
    </row>
    <row r="1358" ht="14.25" customHeight="1">
      <c r="A1358" s="157" t="s">
        <v>8386</v>
      </c>
      <c r="B1358" s="169" t="s">
        <v>20</v>
      </c>
      <c r="C1358" s="169" t="s">
        <v>2956</v>
      </c>
      <c r="D1358" s="336">
        <v>44369.0</v>
      </c>
      <c r="E1358" s="157" t="s">
        <v>600</v>
      </c>
      <c r="F1358" s="160">
        <v>9532.16</v>
      </c>
      <c r="G1358" s="160">
        <v>1525.15</v>
      </c>
      <c r="H1358" s="160">
        <f t="shared" si="42"/>
        <v>11057.31</v>
      </c>
      <c r="I1358" s="172"/>
      <c r="J1358" s="169"/>
      <c r="K1358" s="172"/>
      <c r="L1358" s="172">
        <f>+'FACUS$'!$H1358-'FACUS$'!$I1358-'FACUS$'!$K1358</f>
        <v>11057.31</v>
      </c>
      <c r="M1358" s="162" t="s">
        <v>732</v>
      </c>
      <c r="N1358" s="337" t="s">
        <v>554</v>
      </c>
      <c r="O1358" s="338">
        <v>44403.0</v>
      </c>
      <c r="P1358" s="164">
        <f t="array" ref="P1358">XLOOKUP('FACUS$'!$B1358,'perfil de pagos'!$A$4:$A$46,'perfil de pagos'!$C$4:$C$46+'FACUS$'!$D1358)</f>
        <v>44379</v>
      </c>
      <c r="Q1358" s="165">
        <f t="shared" si="2"/>
        <v>0</v>
      </c>
      <c r="R1358" s="167"/>
      <c r="S1358" s="167"/>
      <c r="T1358" s="167"/>
      <c r="U1358" s="334" t="s">
        <v>7271</v>
      </c>
      <c r="V1358" s="168">
        <f t="shared" si="3"/>
        <v>11057.31</v>
      </c>
      <c r="W1358" s="168">
        <f t="shared" si="4"/>
        <v>0</v>
      </c>
      <c r="X1358" s="168">
        <f t="shared" si="5"/>
        <v>0</v>
      </c>
      <c r="Y1358" s="168">
        <f t="shared" si="6"/>
        <v>0</v>
      </c>
      <c r="Z1358" s="168">
        <f t="shared" si="7"/>
        <v>0</v>
      </c>
      <c r="AA1358" s="168">
        <f t="shared" si="8"/>
        <v>0</v>
      </c>
      <c r="AB1358" s="168">
        <f t="shared" si="9"/>
        <v>0</v>
      </c>
    </row>
    <row r="1359" ht="14.25" customHeight="1">
      <c r="A1359" s="157" t="s">
        <v>8387</v>
      </c>
      <c r="B1359" s="169" t="s">
        <v>37</v>
      </c>
      <c r="C1359" s="169" t="s">
        <v>2956</v>
      </c>
      <c r="D1359" s="336">
        <v>44369.0</v>
      </c>
      <c r="E1359" s="157" t="s">
        <v>600</v>
      </c>
      <c r="F1359" s="160">
        <v>74034.37</v>
      </c>
      <c r="G1359" s="160">
        <v>11845.5</v>
      </c>
      <c r="H1359" s="160">
        <f t="shared" si="42"/>
        <v>85879.87</v>
      </c>
      <c r="I1359" s="172"/>
      <c r="J1359" s="169"/>
      <c r="K1359" s="172"/>
      <c r="L1359" s="172">
        <f>+'FACUS$'!$H1359-'FACUS$'!$I1359-'FACUS$'!$K1359</f>
        <v>85879.87</v>
      </c>
      <c r="M1359" s="162" t="s">
        <v>116</v>
      </c>
      <c r="N1359" s="337" t="s">
        <v>554</v>
      </c>
      <c r="O1359" s="338">
        <v>44391.0</v>
      </c>
      <c r="P1359" s="164">
        <f t="array" ref="P1359">XLOOKUP('FACUS$'!$B1359,'perfil de pagos'!$A$4:$A$46,'perfil de pagos'!$C$4:$C$46+'FACUS$'!$D1359)</f>
        <v>44379</v>
      </c>
      <c r="Q1359" s="165">
        <f t="shared" si="2"/>
        <v>0</v>
      </c>
      <c r="R1359" s="167" t="s">
        <v>8388</v>
      </c>
      <c r="S1359" s="167"/>
      <c r="T1359" s="167"/>
      <c r="U1359" s="334" t="s">
        <v>7271</v>
      </c>
      <c r="V1359" s="168">
        <f t="shared" si="3"/>
        <v>85879.87</v>
      </c>
      <c r="W1359" s="168">
        <f t="shared" si="4"/>
        <v>0</v>
      </c>
      <c r="X1359" s="168">
        <f t="shared" si="5"/>
        <v>0</v>
      </c>
      <c r="Y1359" s="168">
        <f t="shared" si="6"/>
        <v>0</v>
      </c>
      <c r="Z1359" s="168">
        <f t="shared" si="7"/>
        <v>0</v>
      </c>
      <c r="AA1359" s="168">
        <f t="shared" si="8"/>
        <v>0</v>
      </c>
      <c r="AB1359" s="168">
        <f t="shared" si="9"/>
        <v>0</v>
      </c>
    </row>
    <row r="1360" ht="14.25" customHeight="1">
      <c r="A1360" s="157" t="s">
        <v>8389</v>
      </c>
      <c r="B1360" s="169" t="s">
        <v>38</v>
      </c>
      <c r="C1360" s="169" t="s">
        <v>2956</v>
      </c>
      <c r="D1360" s="336">
        <v>44369.0</v>
      </c>
      <c r="E1360" s="157" t="s">
        <v>600</v>
      </c>
      <c r="F1360" s="160">
        <v>9260.46</v>
      </c>
      <c r="G1360" s="160">
        <v>1481.67</v>
      </c>
      <c r="H1360" s="160">
        <f t="shared" si="42"/>
        <v>10742.13</v>
      </c>
      <c r="I1360" s="172"/>
      <c r="J1360" s="169"/>
      <c r="K1360" s="172"/>
      <c r="L1360" s="172">
        <f>+'FACUS$'!$H1360-'FACUS$'!$I1360-'FACUS$'!$K1360</f>
        <v>10742.13</v>
      </c>
      <c r="M1360" s="162" t="s">
        <v>145</v>
      </c>
      <c r="N1360" s="337" t="s">
        <v>554</v>
      </c>
      <c r="O1360" s="338">
        <v>44463.0</v>
      </c>
      <c r="P1360" s="164">
        <f t="array" ref="P1360">XLOOKUP('FACUS$'!$B1360,'perfil de pagos'!$A$4:$A$46,'perfil de pagos'!$C$4:$C$46+'FACUS$'!$D1360)</f>
        <v>44399</v>
      </c>
      <c r="Q1360" s="165">
        <f t="shared" si="2"/>
        <v>0</v>
      </c>
      <c r="R1360" s="220" t="s">
        <v>8390</v>
      </c>
      <c r="S1360" s="167"/>
      <c r="T1360" s="167"/>
      <c r="U1360" s="334" t="s">
        <v>7271</v>
      </c>
      <c r="V1360" s="168">
        <f t="shared" si="3"/>
        <v>10742.13</v>
      </c>
      <c r="W1360" s="168">
        <f t="shared" si="4"/>
        <v>0</v>
      </c>
      <c r="X1360" s="168">
        <f t="shared" si="5"/>
        <v>0</v>
      </c>
      <c r="Y1360" s="168">
        <f t="shared" si="6"/>
        <v>0</v>
      </c>
      <c r="Z1360" s="168">
        <f t="shared" si="7"/>
        <v>0</v>
      </c>
      <c r="AA1360" s="168">
        <f t="shared" si="8"/>
        <v>0</v>
      </c>
      <c r="AB1360" s="168">
        <f t="shared" si="9"/>
        <v>0</v>
      </c>
    </row>
    <row r="1361" ht="14.25" customHeight="1">
      <c r="A1361" s="157" t="s">
        <v>8391</v>
      </c>
      <c r="B1361" s="169" t="s">
        <v>26</v>
      </c>
      <c r="C1361" s="169" t="s">
        <v>2956</v>
      </c>
      <c r="D1361" s="336">
        <v>44369.0</v>
      </c>
      <c r="E1361" s="157" t="s">
        <v>600</v>
      </c>
      <c r="F1361" s="160">
        <v>4001.2</v>
      </c>
      <c r="G1361" s="160">
        <v>640.19</v>
      </c>
      <c r="H1361" s="248">
        <f t="shared" si="42"/>
        <v>4641.39</v>
      </c>
      <c r="I1361" s="369"/>
      <c r="J1361" s="370"/>
      <c r="K1361" s="369"/>
      <c r="L1361" s="369">
        <f>+'FACUS$'!$H1361-'FACUS$'!$I1361-'FACUS$'!$K1361</f>
        <v>4641.39</v>
      </c>
      <c r="M1361" s="162" t="s">
        <v>188</v>
      </c>
      <c r="N1361" s="337" t="s">
        <v>554</v>
      </c>
      <c r="O1361" s="338">
        <v>44477.0</v>
      </c>
      <c r="P1361" s="164">
        <f t="array" ref="P1361">XLOOKUP('FACUS$'!$B1361,'perfil de pagos'!$A$4:$A$46,'perfil de pagos'!$C$4:$C$46+'FACUS$'!$D1361)</f>
        <v>44399</v>
      </c>
      <c r="Q1361" s="165">
        <f t="shared" si="2"/>
        <v>0</v>
      </c>
      <c r="R1361" s="167" t="s">
        <v>8392</v>
      </c>
      <c r="S1361" s="167"/>
      <c r="T1361" s="167"/>
      <c r="U1361" s="334" t="s">
        <v>7271</v>
      </c>
      <c r="V1361" s="168">
        <f t="shared" si="3"/>
        <v>4641.39</v>
      </c>
      <c r="W1361" s="168">
        <f t="shared" si="4"/>
        <v>0</v>
      </c>
      <c r="X1361" s="168">
        <f t="shared" si="5"/>
        <v>0</v>
      </c>
      <c r="Y1361" s="168">
        <f t="shared" si="6"/>
        <v>0</v>
      </c>
      <c r="Z1361" s="168">
        <f t="shared" si="7"/>
        <v>0</v>
      </c>
      <c r="AA1361" s="168">
        <f t="shared" si="8"/>
        <v>0</v>
      </c>
      <c r="AB1361" s="168">
        <f t="shared" si="9"/>
        <v>0</v>
      </c>
    </row>
    <row r="1362" ht="14.25" customHeight="1">
      <c r="A1362" s="157" t="s">
        <v>8393</v>
      </c>
      <c r="B1362" s="169" t="s">
        <v>26</v>
      </c>
      <c r="C1362" s="169" t="s">
        <v>2956</v>
      </c>
      <c r="D1362" s="336">
        <v>44371.0</v>
      </c>
      <c r="E1362" s="157" t="s">
        <v>600</v>
      </c>
      <c r="F1362" s="160">
        <v>2612.87</v>
      </c>
      <c r="G1362" s="160">
        <v>418.06</v>
      </c>
      <c r="H1362" s="248">
        <f t="shared" si="42"/>
        <v>3030.93</v>
      </c>
      <c r="I1362" s="369"/>
      <c r="J1362" s="370"/>
      <c r="K1362" s="369"/>
      <c r="L1362" s="369">
        <f>+'FACUS$'!$H1362-'FACUS$'!$I1362-'FACUS$'!$K1362</f>
        <v>3030.93</v>
      </c>
      <c r="M1362" s="162" t="s">
        <v>2386</v>
      </c>
      <c r="N1362" s="337" t="s">
        <v>554</v>
      </c>
      <c r="O1362" s="338">
        <v>44414.0</v>
      </c>
      <c r="P1362" s="164">
        <f t="array" ref="P1362">XLOOKUP('FACUS$'!$B1362,'perfil de pagos'!$A$4:$A$46,'perfil de pagos'!$C$4:$C$46+'FACUS$'!$D1362)</f>
        <v>44401</v>
      </c>
      <c r="Q1362" s="165">
        <f t="shared" si="2"/>
        <v>0</v>
      </c>
      <c r="R1362" s="167" t="s">
        <v>8394</v>
      </c>
      <c r="S1362" s="167"/>
      <c r="T1362" s="167"/>
      <c r="U1362" s="334" t="s">
        <v>7271</v>
      </c>
      <c r="V1362" s="168">
        <f t="shared" si="3"/>
        <v>3030.93</v>
      </c>
      <c r="W1362" s="168">
        <f t="shared" si="4"/>
        <v>0</v>
      </c>
      <c r="X1362" s="168">
        <f t="shared" si="5"/>
        <v>0</v>
      </c>
      <c r="Y1362" s="168">
        <f t="shared" si="6"/>
        <v>0</v>
      </c>
      <c r="Z1362" s="168">
        <f t="shared" si="7"/>
        <v>0</v>
      </c>
      <c r="AA1362" s="168">
        <f t="shared" si="8"/>
        <v>0</v>
      </c>
      <c r="AB1362" s="168">
        <f t="shared" si="9"/>
        <v>0</v>
      </c>
    </row>
    <row r="1363" ht="14.25" customHeight="1">
      <c r="A1363" s="157" t="s">
        <v>8395</v>
      </c>
      <c r="B1363" s="169" t="s">
        <v>20</v>
      </c>
      <c r="C1363" s="169" t="s">
        <v>8396</v>
      </c>
      <c r="D1363" s="336">
        <v>44383.0</v>
      </c>
      <c r="E1363" s="157" t="s">
        <v>600</v>
      </c>
      <c r="F1363" s="160">
        <v>13327.4</v>
      </c>
      <c r="G1363" s="160">
        <v>2132.38</v>
      </c>
      <c r="H1363" s="160">
        <f t="shared" si="42"/>
        <v>15459.78</v>
      </c>
      <c r="I1363" s="172"/>
      <c r="J1363" s="169"/>
      <c r="K1363" s="172"/>
      <c r="L1363" s="172">
        <f>+'FACUS$'!$H1363-'FACUS$'!$I1363-'FACUS$'!$K1363</f>
        <v>15459.78</v>
      </c>
      <c r="M1363" s="162" t="s">
        <v>732</v>
      </c>
      <c r="N1363" s="337" t="s">
        <v>554</v>
      </c>
      <c r="O1363" s="338">
        <v>44403.0</v>
      </c>
      <c r="P1363" s="164">
        <f t="array" ref="P1363">XLOOKUP('FACUS$'!$B1363,'perfil de pagos'!$A$4:$A$46,'perfil de pagos'!$C$4:$C$46+'FACUS$'!$D1363)</f>
        <v>44393</v>
      </c>
      <c r="Q1363" s="165">
        <f t="shared" si="2"/>
        <v>0</v>
      </c>
      <c r="R1363" s="167"/>
      <c r="S1363" s="167"/>
      <c r="T1363" s="167"/>
      <c r="U1363" s="334" t="s">
        <v>7271</v>
      </c>
      <c r="V1363" s="168">
        <f t="shared" si="3"/>
        <v>15459.78</v>
      </c>
      <c r="W1363" s="168">
        <f t="shared" si="4"/>
        <v>0</v>
      </c>
      <c r="X1363" s="168">
        <f t="shared" si="5"/>
        <v>0</v>
      </c>
      <c r="Y1363" s="168">
        <f t="shared" si="6"/>
        <v>0</v>
      </c>
      <c r="Z1363" s="168">
        <f t="shared" si="7"/>
        <v>0</v>
      </c>
      <c r="AA1363" s="168">
        <f t="shared" si="8"/>
        <v>0</v>
      </c>
      <c r="AB1363" s="168">
        <f t="shared" si="9"/>
        <v>0</v>
      </c>
    </row>
    <row r="1364" ht="14.25" customHeight="1">
      <c r="A1364" s="157" t="s">
        <v>8397</v>
      </c>
      <c r="B1364" s="169" t="s">
        <v>39</v>
      </c>
      <c r="C1364" s="169" t="s">
        <v>2988</v>
      </c>
      <c r="D1364" s="336">
        <v>44383.0</v>
      </c>
      <c r="E1364" s="157" t="s">
        <v>600</v>
      </c>
      <c r="F1364" s="160">
        <v>9762.08</v>
      </c>
      <c r="G1364" s="160">
        <v>1561.93</v>
      </c>
      <c r="H1364" s="160">
        <f t="shared" si="42"/>
        <v>11324.01</v>
      </c>
      <c r="I1364" s="172"/>
      <c r="J1364" s="169"/>
      <c r="K1364" s="172"/>
      <c r="L1364" s="172">
        <f>+'FACUS$'!$H1364-'FACUS$'!$I1364-'FACUS$'!$K1364</f>
        <v>11324.01</v>
      </c>
      <c r="M1364" s="162" t="s">
        <v>570</v>
      </c>
      <c r="N1364" s="337" t="s">
        <v>554</v>
      </c>
      <c r="O1364" s="338">
        <v>44400.0</v>
      </c>
      <c r="P1364" s="164">
        <f t="array" ref="P1364">XLOOKUP('FACUS$'!$B1364,'perfil de pagos'!$A$4:$A$46,'perfil de pagos'!$C$4:$C$46+'FACUS$'!$D1364)</f>
        <v>44393</v>
      </c>
      <c r="Q1364" s="165">
        <f t="shared" si="2"/>
        <v>0</v>
      </c>
      <c r="R1364" s="167"/>
      <c r="S1364" s="167"/>
      <c r="T1364" s="167"/>
      <c r="U1364" s="334" t="s">
        <v>7271</v>
      </c>
      <c r="V1364" s="168">
        <f t="shared" si="3"/>
        <v>11324.01</v>
      </c>
      <c r="W1364" s="168">
        <f t="shared" si="4"/>
        <v>0</v>
      </c>
      <c r="X1364" s="168">
        <f t="shared" si="5"/>
        <v>0</v>
      </c>
      <c r="Y1364" s="168">
        <f t="shared" si="6"/>
        <v>0</v>
      </c>
      <c r="Z1364" s="168">
        <f t="shared" si="7"/>
        <v>0</v>
      </c>
      <c r="AA1364" s="168">
        <f t="shared" si="8"/>
        <v>0</v>
      </c>
      <c r="AB1364" s="168">
        <f t="shared" si="9"/>
        <v>0</v>
      </c>
    </row>
    <row r="1365" ht="14.25" customHeight="1">
      <c r="A1365" s="157" t="s">
        <v>8398</v>
      </c>
      <c r="B1365" s="169" t="s">
        <v>39</v>
      </c>
      <c r="C1365" s="169" t="s">
        <v>2991</v>
      </c>
      <c r="D1365" s="336">
        <v>44383.0</v>
      </c>
      <c r="E1365" s="157" t="s">
        <v>600</v>
      </c>
      <c r="F1365" s="160">
        <v>13354.2</v>
      </c>
      <c r="G1365" s="160">
        <v>2136.67</v>
      </c>
      <c r="H1365" s="160">
        <f t="shared" si="42"/>
        <v>15490.87</v>
      </c>
      <c r="I1365" s="172"/>
      <c r="J1365" s="169"/>
      <c r="K1365" s="172"/>
      <c r="L1365" s="172">
        <f>+'FACUS$'!$H1365-'FACUS$'!$I1365-'FACUS$'!$K1365</f>
        <v>15490.87</v>
      </c>
      <c r="M1365" s="162" t="s">
        <v>570</v>
      </c>
      <c r="N1365" s="337" t="s">
        <v>554</v>
      </c>
      <c r="O1365" s="338">
        <v>44400.0</v>
      </c>
      <c r="P1365" s="164">
        <f t="array" ref="P1365">XLOOKUP('FACUS$'!$B1365,'perfil de pagos'!$A$4:$A$46,'perfil de pagos'!$C$4:$C$46+'FACUS$'!$D1365)</f>
        <v>44393</v>
      </c>
      <c r="Q1365" s="165">
        <f t="shared" si="2"/>
        <v>0</v>
      </c>
      <c r="R1365" s="167"/>
      <c r="S1365" s="167"/>
      <c r="T1365" s="167"/>
      <c r="U1365" s="334" t="s">
        <v>7271</v>
      </c>
      <c r="V1365" s="168">
        <f t="shared" si="3"/>
        <v>15490.87</v>
      </c>
      <c r="W1365" s="168">
        <f t="shared" si="4"/>
        <v>0</v>
      </c>
      <c r="X1365" s="168">
        <f t="shared" si="5"/>
        <v>0</v>
      </c>
      <c r="Y1365" s="168">
        <f t="shared" si="6"/>
        <v>0</v>
      </c>
      <c r="Z1365" s="168">
        <f t="shared" si="7"/>
        <v>0</v>
      </c>
      <c r="AA1365" s="168">
        <f t="shared" si="8"/>
        <v>0</v>
      </c>
      <c r="AB1365" s="168">
        <f t="shared" si="9"/>
        <v>0</v>
      </c>
    </row>
    <row r="1366" ht="14.25" customHeight="1">
      <c r="A1366" s="157" t="s">
        <v>8399</v>
      </c>
      <c r="B1366" s="169" t="s">
        <v>26</v>
      </c>
      <c r="C1366" s="169" t="s">
        <v>2991</v>
      </c>
      <c r="D1366" s="336">
        <v>44383.0</v>
      </c>
      <c r="E1366" s="157" t="s">
        <v>600</v>
      </c>
      <c r="F1366" s="160">
        <v>3861.29</v>
      </c>
      <c r="G1366" s="160">
        <v>617.81</v>
      </c>
      <c r="H1366" s="248">
        <f t="shared" si="42"/>
        <v>4479.1</v>
      </c>
      <c r="I1366" s="369"/>
      <c r="J1366" s="370"/>
      <c r="K1366" s="369"/>
      <c r="L1366" s="369">
        <f>+'FACUS$'!$H1366-'FACUS$'!$I1366-'FACUS$'!$K1366</f>
        <v>4479.1</v>
      </c>
      <c r="M1366" s="162" t="s">
        <v>2386</v>
      </c>
      <c r="N1366" s="337" t="s">
        <v>554</v>
      </c>
      <c r="O1366" s="338">
        <v>44414.0</v>
      </c>
      <c r="P1366" s="164">
        <f t="array" ref="P1366">XLOOKUP('FACUS$'!$B1366,'perfil de pagos'!$A$4:$A$46,'perfil de pagos'!$C$4:$C$46+'FACUS$'!$D1366)</f>
        <v>44413</v>
      </c>
      <c r="Q1366" s="165">
        <f t="shared" si="2"/>
        <v>0</v>
      </c>
      <c r="R1366" s="167" t="s">
        <v>8400</v>
      </c>
      <c r="S1366" s="167"/>
      <c r="T1366" s="167"/>
      <c r="U1366" s="334" t="s">
        <v>7271</v>
      </c>
      <c r="V1366" s="168">
        <f t="shared" si="3"/>
        <v>4479.1</v>
      </c>
      <c r="W1366" s="168">
        <f t="shared" si="4"/>
        <v>0</v>
      </c>
      <c r="X1366" s="168">
        <f t="shared" si="5"/>
        <v>0</v>
      </c>
      <c r="Y1366" s="168">
        <f t="shared" si="6"/>
        <v>0</v>
      </c>
      <c r="Z1366" s="168">
        <f t="shared" si="7"/>
        <v>0</v>
      </c>
      <c r="AA1366" s="168">
        <f t="shared" si="8"/>
        <v>0</v>
      </c>
      <c r="AB1366" s="168">
        <f t="shared" si="9"/>
        <v>0</v>
      </c>
    </row>
    <row r="1367" ht="14.25" customHeight="1">
      <c r="A1367" s="157" t="s">
        <v>8401</v>
      </c>
      <c r="B1367" s="169" t="s">
        <v>26</v>
      </c>
      <c r="C1367" s="169" t="s">
        <v>2991</v>
      </c>
      <c r="D1367" s="336">
        <v>44383.0</v>
      </c>
      <c r="E1367" s="157" t="s">
        <v>600</v>
      </c>
      <c r="F1367" s="160">
        <v>2219.13</v>
      </c>
      <c r="G1367" s="160">
        <v>355.06</v>
      </c>
      <c r="H1367" s="248">
        <f t="shared" si="42"/>
        <v>2574.19</v>
      </c>
      <c r="I1367" s="369"/>
      <c r="J1367" s="370"/>
      <c r="K1367" s="369"/>
      <c r="L1367" s="369">
        <f>+'FACUS$'!$H1367-'FACUS$'!$I1367-'FACUS$'!$K1367</f>
        <v>2574.19</v>
      </c>
      <c r="M1367" s="162" t="s">
        <v>188</v>
      </c>
      <c r="N1367" s="337" t="s">
        <v>554</v>
      </c>
      <c r="O1367" s="338">
        <v>44466.0</v>
      </c>
      <c r="P1367" s="164">
        <f t="array" ref="P1367">XLOOKUP('FACUS$'!$B1367,'perfil de pagos'!$A$4:$A$46,'perfil de pagos'!$C$4:$C$46+'FACUS$'!$D1367)</f>
        <v>44413</v>
      </c>
      <c r="Q1367" s="165">
        <f t="shared" si="2"/>
        <v>0</v>
      </c>
      <c r="R1367" s="220" t="s">
        <v>8402</v>
      </c>
      <c r="S1367" s="167"/>
      <c r="T1367" s="167"/>
      <c r="U1367" s="334" t="s">
        <v>7271</v>
      </c>
      <c r="V1367" s="168">
        <f t="shared" si="3"/>
        <v>2574.19</v>
      </c>
      <c r="W1367" s="168">
        <f t="shared" si="4"/>
        <v>0</v>
      </c>
      <c r="X1367" s="168">
        <f t="shared" si="5"/>
        <v>0</v>
      </c>
      <c r="Y1367" s="168">
        <f t="shared" si="6"/>
        <v>0</v>
      </c>
      <c r="Z1367" s="168">
        <f t="shared" si="7"/>
        <v>0</v>
      </c>
      <c r="AA1367" s="168">
        <f t="shared" si="8"/>
        <v>0</v>
      </c>
      <c r="AB1367" s="168">
        <f t="shared" si="9"/>
        <v>0</v>
      </c>
    </row>
    <row r="1368" ht="14.25" customHeight="1">
      <c r="A1368" s="157" t="s">
        <v>8403</v>
      </c>
      <c r="B1368" s="169" t="s">
        <v>18</v>
      </c>
      <c r="C1368" s="169" t="s">
        <v>2991</v>
      </c>
      <c r="D1368" s="336">
        <v>44383.0</v>
      </c>
      <c r="E1368" s="157" t="s">
        <v>600</v>
      </c>
      <c r="F1368" s="160">
        <v>10572.26</v>
      </c>
      <c r="G1368" s="160">
        <v>1691.56</v>
      </c>
      <c r="H1368" s="160">
        <f t="shared" si="42"/>
        <v>12263.82</v>
      </c>
      <c r="I1368" s="172"/>
      <c r="J1368" s="169"/>
      <c r="K1368" s="172"/>
      <c r="L1368" s="172">
        <f>+'FACUS$'!$H1368-'FACUS$'!$I1368-'FACUS$'!$K1368</f>
        <v>12263.82</v>
      </c>
      <c r="M1368" s="162" t="s">
        <v>586</v>
      </c>
      <c r="N1368" s="337" t="s">
        <v>554</v>
      </c>
      <c r="O1368" s="338">
        <v>44403.0</v>
      </c>
      <c r="P1368" s="164">
        <f t="array" ref="P1368">XLOOKUP('FACUS$'!$B1368,'perfil de pagos'!$A$4:$A$46,'perfil de pagos'!$C$4:$C$46+'FACUS$'!$D1368)</f>
        <v>44393</v>
      </c>
      <c r="Q1368" s="165">
        <f t="shared" si="2"/>
        <v>0</v>
      </c>
      <c r="R1368" s="167" t="s">
        <v>2735</v>
      </c>
      <c r="S1368" s="167"/>
      <c r="T1368" s="167"/>
      <c r="U1368" s="334" t="s">
        <v>7271</v>
      </c>
      <c r="V1368" s="168">
        <f t="shared" si="3"/>
        <v>12263.82</v>
      </c>
      <c r="W1368" s="168">
        <f t="shared" si="4"/>
        <v>0</v>
      </c>
      <c r="X1368" s="168">
        <f t="shared" si="5"/>
        <v>0</v>
      </c>
      <c r="Y1368" s="168">
        <f t="shared" si="6"/>
        <v>0</v>
      </c>
      <c r="Z1368" s="168">
        <f t="shared" si="7"/>
        <v>0</v>
      </c>
      <c r="AA1368" s="168">
        <f t="shared" si="8"/>
        <v>0</v>
      </c>
      <c r="AB1368" s="168">
        <f t="shared" si="9"/>
        <v>0</v>
      </c>
    </row>
    <row r="1369" ht="14.25" customHeight="1">
      <c r="A1369" s="157" t="s">
        <v>8404</v>
      </c>
      <c r="B1369" s="169" t="s">
        <v>41</v>
      </c>
      <c r="C1369" s="169" t="s">
        <v>2991</v>
      </c>
      <c r="D1369" s="336">
        <v>44383.0</v>
      </c>
      <c r="E1369" s="157" t="s">
        <v>600</v>
      </c>
      <c r="F1369" s="160">
        <v>12559.35</v>
      </c>
      <c r="G1369" s="160">
        <v>2009.5</v>
      </c>
      <c r="H1369" s="160">
        <f t="shared" si="42"/>
        <v>14568.85</v>
      </c>
      <c r="I1369" s="172"/>
      <c r="J1369" s="169"/>
      <c r="K1369" s="172"/>
      <c r="L1369" s="172">
        <f>+'FACUS$'!$H1369-'FACUS$'!$I1369-'FACUS$'!$K1369</f>
        <v>14568.85</v>
      </c>
      <c r="M1369" s="162" t="s">
        <v>875</v>
      </c>
      <c r="N1369" s="337" t="s">
        <v>554</v>
      </c>
      <c r="O1369" s="338">
        <v>44517.0</v>
      </c>
      <c r="P1369" s="164">
        <f t="array" ref="P1369">XLOOKUP('FACUS$'!$B1369,'perfil de pagos'!$A$4:$A$46,'perfil de pagos'!$C$4:$C$46+'FACUS$'!$D1369)</f>
        <v>44393</v>
      </c>
      <c r="Q1369" s="165">
        <f t="shared" si="2"/>
        <v>0</v>
      </c>
      <c r="R1369" s="167"/>
      <c r="S1369" s="167"/>
      <c r="T1369" s="167"/>
      <c r="U1369" s="334" t="s">
        <v>7271</v>
      </c>
      <c r="V1369" s="168">
        <f t="shared" si="3"/>
        <v>14568.85</v>
      </c>
      <c r="W1369" s="168">
        <f t="shared" si="4"/>
        <v>0</v>
      </c>
      <c r="X1369" s="168">
        <f t="shared" si="5"/>
        <v>0</v>
      </c>
      <c r="Y1369" s="168">
        <f t="shared" si="6"/>
        <v>0</v>
      </c>
      <c r="Z1369" s="168">
        <f t="shared" si="7"/>
        <v>0</v>
      </c>
      <c r="AA1369" s="168">
        <f t="shared" si="8"/>
        <v>0</v>
      </c>
      <c r="AB1369" s="168">
        <f t="shared" si="9"/>
        <v>0</v>
      </c>
    </row>
    <row r="1370" ht="14.25" customHeight="1">
      <c r="A1370" s="157" t="s">
        <v>8405</v>
      </c>
      <c r="B1370" s="169" t="s">
        <v>37</v>
      </c>
      <c r="C1370" s="169" t="s">
        <v>2991</v>
      </c>
      <c r="D1370" s="336">
        <v>44383.0</v>
      </c>
      <c r="E1370" s="157" t="s">
        <v>600</v>
      </c>
      <c r="F1370" s="160">
        <v>90890.15</v>
      </c>
      <c r="G1370" s="160">
        <v>14542.42</v>
      </c>
      <c r="H1370" s="160">
        <f t="shared" si="42"/>
        <v>105432.57</v>
      </c>
      <c r="I1370" s="172"/>
      <c r="J1370" s="169"/>
      <c r="K1370" s="172"/>
      <c r="L1370" s="172">
        <f>+'FACUS$'!$H1370-'FACUS$'!$I1370-'FACUS$'!$K1370</f>
        <v>105432.57</v>
      </c>
      <c r="M1370" s="162" t="s">
        <v>116</v>
      </c>
      <c r="N1370" s="337" t="s">
        <v>554</v>
      </c>
      <c r="O1370" s="338">
        <v>44403.0</v>
      </c>
      <c r="P1370" s="164">
        <f t="array" ref="P1370">XLOOKUP('FACUS$'!$B1370,'perfil de pagos'!$A$4:$A$46,'perfil de pagos'!$C$4:$C$46+'FACUS$'!$D1370)</f>
        <v>44393</v>
      </c>
      <c r="Q1370" s="165">
        <f t="shared" si="2"/>
        <v>0</v>
      </c>
      <c r="R1370" s="167" t="s">
        <v>8406</v>
      </c>
      <c r="S1370" s="167"/>
      <c r="T1370" s="167"/>
      <c r="U1370" s="334" t="s">
        <v>7271</v>
      </c>
      <c r="V1370" s="168">
        <f t="shared" si="3"/>
        <v>105432.57</v>
      </c>
      <c r="W1370" s="168">
        <f t="shared" si="4"/>
        <v>0</v>
      </c>
      <c r="X1370" s="168">
        <f t="shared" si="5"/>
        <v>0</v>
      </c>
      <c r="Y1370" s="168">
        <f t="shared" si="6"/>
        <v>0</v>
      </c>
      <c r="Z1370" s="168">
        <f t="shared" si="7"/>
        <v>0</v>
      </c>
      <c r="AA1370" s="168">
        <f t="shared" si="8"/>
        <v>0</v>
      </c>
      <c r="AB1370" s="168">
        <f t="shared" si="9"/>
        <v>0</v>
      </c>
    </row>
    <row r="1371" ht="14.25" customHeight="1">
      <c r="A1371" s="157" t="s">
        <v>8407</v>
      </c>
      <c r="B1371" s="169" t="s">
        <v>38</v>
      </c>
      <c r="C1371" s="169" t="s">
        <v>2991</v>
      </c>
      <c r="D1371" s="336">
        <v>44383.0</v>
      </c>
      <c r="E1371" s="157" t="s">
        <v>600</v>
      </c>
      <c r="F1371" s="160">
        <v>9799.05</v>
      </c>
      <c r="G1371" s="160">
        <v>1567.85</v>
      </c>
      <c r="H1371" s="160">
        <f t="shared" si="42"/>
        <v>11366.9</v>
      </c>
      <c r="I1371" s="172"/>
      <c r="J1371" s="169"/>
      <c r="K1371" s="172"/>
      <c r="L1371" s="172">
        <f>+'FACUS$'!$H1371-'FACUS$'!$I1371-'FACUS$'!$K1371</f>
        <v>11366.9</v>
      </c>
      <c r="M1371" s="162" t="s">
        <v>145</v>
      </c>
      <c r="N1371" s="337" t="s">
        <v>554</v>
      </c>
      <c r="O1371" s="338">
        <v>44463.0</v>
      </c>
      <c r="P1371" s="164">
        <f t="array" ref="P1371">XLOOKUP('FACUS$'!$B1371,'perfil de pagos'!$A$4:$A$46,'perfil de pagos'!$C$4:$C$46+'FACUS$'!$D1371)</f>
        <v>44413</v>
      </c>
      <c r="Q1371" s="165">
        <f t="shared" si="2"/>
        <v>0</v>
      </c>
      <c r="R1371" s="167"/>
      <c r="S1371" s="167"/>
      <c r="T1371" s="167"/>
      <c r="U1371" s="334" t="s">
        <v>7271</v>
      </c>
      <c r="V1371" s="168">
        <f t="shared" si="3"/>
        <v>11366.9</v>
      </c>
      <c r="W1371" s="168">
        <f t="shared" si="4"/>
        <v>0</v>
      </c>
      <c r="X1371" s="168">
        <f t="shared" si="5"/>
        <v>0</v>
      </c>
      <c r="Y1371" s="168">
        <f t="shared" si="6"/>
        <v>0</v>
      </c>
      <c r="Z1371" s="168">
        <f t="shared" si="7"/>
        <v>0</v>
      </c>
      <c r="AA1371" s="168">
        <f t="shared" si="8"/>
        <v>0</v>
      </c>
      <c r="AB1371" s="168">
        <f t="shared" si="9"/>
        <v>0</v>
      </c>
    </row>
    <row r="1372" ht="14.25" customHeight="1">
      <c r="A1372" s="157" t="s">
        <v>8408</v>
      </c>
      <c r="B1372" s="169" t="s">
        <v>33</v>
      </c>
      <c r="C1372" s="169" t="s">
        <v>2991</v>
      </c>
      <c r="D1372" s="336">
        <v>44383.0</v>
      </c>
      <c r="E1372" s="157" t="s">
        <v>600</v>
      </c>
      <c r="F1372" s="160">
        <v>10493.06</v>
      </c>
      <c r="G1372" s="160">
        <v>1678.89</v>
      </c>
      <c r="H1372" s="160">
        <f t="shared" si="42"/>
        <v>12171.95</v>
      </c>
      <c r="I1372" s="172"/>
      <c r="J1372" s="169"/>
      <c r="K1372" s="172"/>
      <c r="L1372" s="172">
        <f>+'FACUS$'!$H1372-'FACUS$'!$I1372-'FACUS$'!$K1372</f>
        <v>12171.95</v>
      </c>
      <c r="M1372" s="162" t="s">
        <v>958</v>
      </c>
      <c r="N1372" s="337" t="s">
        <v>127</v>
      </c>
      <c r="O1372" s="338"/>
      <c r="P1372" s="164">
        <f t="array" ref="P1372">XLOOKUP('FACUS$'!$B1372,'perfil de pagos'!$A$4:$A$46,'perfil de pagos'!$C$4:$C$46+'FACUS$'!$D1372)</f>
        <v>44393</v>
      </c>
      <c r="Q1372" s="165" t="str">
        <f t="shared" si="2"/>
        <v>N/A</v>
      </c>
      <c r="R1372" s="167" t="s">
        <v>8409</v>
      </c>
      <c r="S1372" s="167"/>
      <c r="T1372" s="167"/>
      <c r="U1372" s="334" t="s">
        <v>7271</v>
      </c>
      <c r="V1372" s="168">
        <f t="shared" si="3"/>
        <v>0</v>
      </c>
      <c r="W1372" s="168">
        <f t="shared" si="4"/>
        <v>0</v>
      </c>
      <c r="X1372" s="168">
        <f t="shared" si="5"/>
        <v>0</v>
      </c>
      <c r="Y1372" s="168">
        <f t="shared" si="6"/>
        <v>0</v>
      </c>
      <c r="Z1372" s="168">
        <f t="shared" si="7"/>
        <v>0</v>
      </c>
      <c r="AA1372" s="168">
        <f t="shared" si="8"/>
        <v>0</v>
      </c>
      <c r="AB1372" s="168">
        <f t="shared" si="9"/>
        <v>12171.95</v>
      </c>
    </row>
    <row r="1373" ht="14.25" customHeight="1">
      <c r="A1373" s="157" t="s">
        <v>8410</v>
      </c>
      <c r="B1373" s="169" t="s">
        <v>36</v>
      </c>
      <c r="C1373" s="169" t="s">
        <v>2991</v>
      </c>
      <c r="D1373" s="336">
        <v>44383.0</v>
      </c>
      <c r="E1373" s="157" t="s">
        <v>600</v>
      </c>
      <c r="F1373" s="160">
        <v>1714.86</v>
      </c>
      <c r="G1373" s="160">
        <v>274.38</v>
      </c>
      <c r="H1373" s="160">
        <f t="shared" si="42"/>
        <v>1989.24</v>
      </c>
      <c r="I1373" s="172"/>
      <c r="J1373" s="169"/>
      <c r="K1373" s="172"/>
      <c r="L1373" s="172">
        <f>+'FACUS$'!$H1373-'FACUS$'!$I1373-'FACUS$'!$K1373</f>
        <v>1989.24</v>
      </c>
      <c r="M1373" s="162" t="s">
        <v>278</v>
      </c>
      <c r="N1373" s="337" t="s">
        <v>554</v>
      </c>
      <c r="O1373" s="338">
        <v>44440.0</v>
      </c>
      <c r="P1373" s="164">
        <f t="array" ref="P1373">XLOOKUP('FACUS$'!$B1373,'perfil de pagos'!$A$4:$A$46,'perfil de pagos'!$C$4:$C$46+'FACUS$'!$D1373)</f>
        <v>44393</v>
      </c>
      <c r="Q1373" s="165">
        <f t="shared" si="2"/>
        <v>0</v>
      </c>
      <c r="R1373" s="167" t="s">
        <v>8411</v>
      </c>
      <c r="S1373" s="167"/>
      <c r="T1373" s="167"/>
      <c r="U1373" s="334" t="s">
        <v>7271</v>
      </c>
      <c r="V1373" s="168">
        <f t="shared" si="3"/>
        <v>1989.24</v>
      </c>
      <c r="W1373" s="168">
        <f t="shared" si="4"/>
        <v>0</v>
      </c>
      <c r="X1373" s="168">
        <f t="shared" si="5"/>
        <v>0</v>
      </c>
      <c r="Y1373" s="168">
        <f t="shared" si="6"/>
        <v>0</v>
      </c>
      <c r="Z1373" s="168">
        <f t="shared" si="7"/>
        <v>0</v>
      </c>
      <c r="AA1373" s="168">
        <f t="shared" si="8"/>
        <v>0</v>
      </c>
      <c r="AB1373" s="168">
        <f t="shared" si="9"/>
        <v>0</v>
      </c>
    </row>
    <row r="1374" ht="14.25" customHeight="1">
      <c r="A1374" s="157" t="s">
        <v>8412</v>
      </c>
      <c r="B1374" s="169" t="s">
        <v>36</v>
      </c>
      <c r="C1374" s="169" t="s">
        <v>8375</v>
      </c>
      <c r="D1374" s="336">
        <v>44383.0</v>
      </c>
      <c r="E1374" s="157" t="s">
        <v>600</v>
      </c>
      <c r="F1374" s="160">
        <v>613.25</v>
      </c>
      <c r="G1374" s="160">
        <v>613.25</v>
      </c>
      <c r="H1374" s="160">
        <f t="shared" si="42"/>
        <v>1226.5</v>
      </c>
      <c r="I1374" s="172"/>
      <c r="J1374" s="169"/>
      <c r="K1374" s="172"/>
      <c r="L1374" s="172">
        <f>+'FACUS$'!$H1374-'FACUS$'!$I1374-'FACUS$'!$K1374</f>
        <v>1226.5</v>
      </c>
      <c r="M1374" s="162" t="s">
        <v>278</v>
      </c>
      <c r="N1374" s="337" t="s">
        <v>127</v>
      </c>
      <c r="O1374" s="338"/>
      <c r="P1374" s="164">
        <f t="array" ref="P1374">XLOOKUP('FACUS$'!$B1374,'perfil de pagos'!$A$4:$A$46,'perfil de pagos'!$C$4:$C$46+'FACUS$'!$D1374)</f>
        <v>44393</v>
      </c>
      <c r="Q1374" s="165" t="str">
        <f t="shared" si="2"/>
        <v>N/A</v>
      </c>
      <c r="R1374" s="167"/>
      <c r="S1374" s="167"/>
      <c r="T1374" s="167"/>
      <c r="U1374" s="334" t="s">
        <v>7271</v>
      </c>
      <c r="V1374" s="168">
        <f t="shared" si="3"/>
        <v>0</v>
      </c>
      <c r="W1374" s="168">
        <f t="shared" si="4"/>
        <v>0</v>
      </c>
      <c r="X1374" s="168">
        <f t="shared" si="5"/>
        <v>0</v>
      </c>
      <c r="Y1374" s="168">
        <f t="shared" si="6"/>
        <v>0</v>
      </c>
      <c r="Z1374" s="168">
        <f t="shared" si="7"/>
        <v>0</v>
      </c>
      <c r="AA1374" s="168">
        <f t="shared" si="8"/>
        <v>0</v>
      </c>
      <c r="AB1374" s="168">
        <f t="shared" si="9"/>
        <v>1226.5</v>
      </c>
    </row>
    <row r="1375" ht="14.25" customHeight="1">
      <c r="A1375" s="157" t="s">
        <v>8413</v>
      </c>
      <c r="B1375" s="169" t="s">
        <v>36</v>
      </c>
      <c r="C1375" s="169" t="s">
        <v>8414</v>
      </c>
      <c r="D1375" s="336">
        <v>44383.0</v>
      </c>
      <c r="E1375" s="157" t="s">
        <v>600</v>
      </c>
      <c r="F1375" s="160">
        <v>613.25</v>
      </c>
      <c r="G1375" s="160">
        <v>613.25</v>
      </c>
      <c r="H1375" s="160">
        <f t="shared" si="42"/>
        <v>1226.5</v>
      </c>
      <c r="I1375" s="172"/>
      <c r="J1375" s="169"/>
      <c r="K1375" s="172"/>
      <c r="L1375" s="172">
        <f>+'FACUS$'!$H1375-'FACUS$'!$I1375-'FACUS$'!$K1375</f>
        <v>1226.5</v>
      </c>
      <c r="M1375" s="162" t="s">
        <v>278</v>
      </c>
      <c r="N1375" s="337" t="s">
        <v>554</v>
      </c>
      <c r="O1375" s="338">
        <v>44440.0</v>
      </c>
      <c r="P1375" s="164">
        <f t="array" ref="P1375">XLOOKUP('FACUS$'!$B1375,'perfil de pagos'!$A$4:$A$46,'perfil de pagos'!$C$4:$C$46+'FACUS$'!$D1375)</f>
        <v>44393</v>
      </c>
      <c r="Q1375" s="165">
        <f t="shared" si="2"/>
        <v>0</v>
      </c>
      <c r="R1375" s="167"/>
      <c r="S1375" s="167"/>
      <c r="T1375" s="167"/>
      <c r="U1375" s="334" t="s">
        <v>7271</v>
      </c>
      <c r="V1375" s="168">
        <f t="shared" si="3"/>
        <v>1226.5</v>
      </c>
      <c r="W1375" s="168">
        <f t="shared" si="4"/>
        <v>0</v>
      </c>
      <c r="X1375" s="168">
        <f t="shared" si="5"/>
        <v>0</v>
      </c>
      <c r="Y1375" s="168">
        <f t="shared" si="6"/>
        <v>0</v>
      </c>
      <c r="Z1375" s="168">
        <f t="shared" si="7"/>
        <v>0</v>
      </c>
      <c r="AA1375" s="168">
        <f t="shared" si="8"/>
        <v>0</v>
      </c>
      <c r="AB1375" s="168">
        <f t="shared" si="9"/>
        <v>0</v>
      </c>
    </row>
    <row r="1376" ht="14.25" customHeight="1">
      <c r="A1376" s="157" t="s">
        <v>8415</v>
      </c>
      <c r="B1376" s="169" t="s">
        <v>18</v>
      </c>
      <c r="C1376" s="169" t="s">
        <v>2926</v>
      </c>
      <c r="D1376" s="336">
        <v>44396.0</v>
      </c>
      <c r="E1376" s="157" t="s">
        <v>600</v>
      </c>
      <c r="F1376" s="160">
        <v>7873.9</v>
      </c>
      <c r="G1376" s="160">
        <v>1259.82</v>
      </c>
      <c r="H1376" s="160">
        <f t="shared" si="42"/>
        <v>9133.72</v>
      </c>
      <c r="I1376" s="172"/>
      <c r="J1376" s="169"/>
      <c r="K1376" s="172"/>
      <c r="L1376" s="172">
        <f>+'FACUS$'!$H1376-'FACUS$'!$I1376-'FACUS$'!$K1376</f>
        <v>9133.72</v>
      </c>
      <c r="M1376" s="162" t="s">
        <v>586</v>
      </c>
      <c r="N1376" s="337" t="s">
        <v>554</v>
      </c>
      <c r="O1376" s="338">
        <v>44406.0</v>
      </c>
      <c r="P1376" s="164">
        <f t="array" ref="P1376">XLOOKUP('FACUS$'!$B1376,'perfil de pagos'!$A$4:$A$46,'perfil de pagos'!$C$4:$C$46+'FACUS$'!$D1376)</f>
        <v>44406</v>
      </c>
      <c r="Q1376" s="165">
        <f t="shared" si="2"/>
        <v>0</v>
      </c>
      <c r="R1376" s="167" t="s">
        <v>8416</v>
      </c>
      <c r="S1376" s="167"/>
      <c r="T1376" s="167"/>
      <c r="U1376" s="334" t="s">
        <v>7271</v>
      </c>
      <c r="V1376" s="168">
        <f t="shared" si="3"/>
        <v>9133.72</v>
      </c>
      <c r="W1376" s="168">
        <f t="shared" si="4"/>
        <v>0</v>
      </c>
      <c r="X1376" s="168">
        <f t="shared" si="5"/>
        <v>0</v>
      </c>
      <c r="Y1376" s="168">
        <f t="shared" si="6"/>
        <v>0</v>
      </c>
      <c r="Z1376" s="168">
        <f t="shared" si="7"/>
        <v>0</v>
      </c>
      <c r="AA1376" s="168">
        <f t="shared" si="8"/>
        <v>0</v>
      </c>
      <c r="AB1376" s="168">
        <f t="shared" si="9"/>
        <v>0</v>
      </c>
    </row>
    <row r="1377" ht="14.25" customHeight="1">
      <c r="A1377" s="157" t="s">
        <v>8417</v>
      </c>
      <c r="B1377" s="169" t="s">
        <v>1127</v>
      </c>
      <c r="C1377" s="169" t="s">
        <v>8418</v>
      </c>
      <c r="D1377" s="336">
        <v>44396.0</v>
      </c>
      <c r="E1377" s="157" t="s">
        <v>600</v>
      </c>
      <c r="F1377" s="160">
        <v>14489.45</v>
      </c>
      <c r="G1377" s="160">
        <v>2318.31</v>
      </c>
      <c r="H1377" s="160">
        <f t="shared" si="42"/>
        <v>16807.76</v>
      </c>
      <c r="I1377" s="172"/>
      <c r="J1377" s="169"/>
      <c r="K1377" s="172"/>
      <c r="L1377" s="172">
        <f>+'FACUS$'!$H1377-'FACUS$'!$I1377-'FACUS$'!$K1377</f>
        <v>16807.76</v>
      </c>
      <c r="M1377" s="162" t="s">
        <v>580</v>
      </c>
      <c r="N1377" s="337" t="s">
        <v>554</v>
      </c>
      <c r="O1377" s="338">
        <v>44413.0</v>
      </c>
      <c r="P1377" s="164" t="str">
        <f t="array" ref="P1377">XLOOKUP('FACUS$'!$B1377,'perfil de pagos'!$A$4:$A$46,'perfil de pagos'!$C$4:$C$46+'FACUS$'!$D1377)</f>
        <v>#N/A</v>
      </c>
      <c r="Q1377" s="165">
        <f t="shared" si="2"/>
        <v>0</v>
      </c>
      <c r="R1377" s="167"/>
      <c r="S1377" s="167"/>
      <c r="T1377" s="167"/>
      <c r="U1377" s="334" t="s">
        <v>7271</v>
      </c>
      <c r="V1377" s="168">
        <f t="shared" si="3"/>
        <v>16807.76</v>
      </c>
      <c r="W1377" s="168">
        <f t="shared" si="4"/>
        <v>0</v>
      </c>
      <c r="X1377" s="168">
        <f t="shared" si="5"/>
        <v>0</v>
      </c>
      <c r="Y1377" s="168">
        <f t="shared" si="6"/>
        <v>0</v>
      </c>
      <c r="Z1377" s="168">
        <f t="shared" si="7"/>
        <v>0</v>
      </c>
      <c r="AA1377" s="168">
        <f t="shared" si="8"/>
        <v>0</v>
      </c>
      <c r="AB1377" s="168">
        <f t="shared" si="9"/>
        <v>0</v>
      </c>
    </row>
    <row r="1378" ht="14.25" customHeight="1">
      <c r="A1378" s="157" t="s">
        <v>8419</v>
      </c>
      <c r="B1378" s="169" t="s">
        <v>18</v>
      </c>
      <c r="C1378" s="169" t="s">
        <v>3010</v>
      </c>
      <c r="D1378" s="336">
        <v>44399.0</v>
      </c>
      <c r="E1378" s="157" t="s">
        <v>600</v>
      </c>
      <c r="F1378" s="160">
        <v>9025.33</v>
      </c>
      <c r="G1378" s="160">
        <v>1444.05</v>
      </c>
      <c r="H1378" s="160">
        <f t="shared" si="42"/>
        <v>10469.38</v>
      </c>
      <c r="I1378" s="172"/>
      <c r="J1378" s="169"/>
      <c r="K1378" s="172"/>
      <c r="L1378" s="172">
        <f>+'FACUS$'!$H1378-'FACUS$'!$I1378-'FACUS$'!$K1378</f>
        <v>10469.38</v>
      </c>
      <c r="M1378" s="162" t="s">
        <v>586</v>
      </c>
      <c r="N1378" s="337" t="s">
        <v>554</v>
      </c>
      <c r="O1378" s="338">
        <v>44406.0</v>
      </c>
      <c r="P1378" s="164">
        <f t="array" ref="P1378">XLOOKUP('FACUS$'!$B1378,'perfil de pagos'!$A$4:$A$46,'perfil de pagos'!$C$4:$C$46+'FACUS$'!$D1378)</f>
        <v>44409</v>
      </c>
      <c r="Q1378" s="165">
        <f t="shared" si="2"/>
        <v>0</v>
      </c>
      <c r="R1378" s="167"/>
      <c r="S1378" s="167"/>
      <c r="T1378" s="167"/>
      <c r="U1378" s="334" t="s">
        <v>7271</v>
      </c>
      <c r="V1378" s="168">
        <f t="shared" si="3"/>
        <v>10469.38</v>
      </c>
      <c r="W1378" s="168">
        <f t="shared" si="4"/>
        <v>0</v>
      </c>
      <c r="X1378" s="168">
        <f t="shared" si="5"/>
        <v>0</v>
      </c>
      <c r="Y1378" s="168">
        <f t="shared" si="6"/>
        <v>0</v>
      </c>
      <c r="Z1378" s="168">
        <f t="shared" si="7"/>
        <v>0</v>
      </c>
      <c r="AA1378" s="168">
        <f t="shared" si="8"/>
        <v>0</v>
      </c>
      <c r="AB1378" s="168">
        <f t="shared" si="9"/>
        <v>0</v>
      </c>
    </row>
    <row r="1379" ht="14.25" customHeight="1">
      <c r="A1379" s="157" t="s">
        <v>8420</v>
      </c>
      <c r="B1379" s="169" t="s">
        <v>20</v>
      </c>
      <c r="C1379" s="169" t="s">
        <v>3010</v>
      </c>
      <c r="D1379" s="336">
        <v>44399.0</v>
      </c>
      <c r="E1379" s="157" t="s">
        <v>600</v>
      </c>
      <c r="F1379" s="160">
        <v>12808.13</v>
      </c>
      <c r="G1379" s="160">
        <v>2049.3</v>
      </c>
      <c r="H1379" s="160">
        <f t="shared" si="42"/>
        <v>14857.43</v>
      </c>
      <c r="I1379" s="172"/>
      <c r="J1379" s="169"/>
      <c r="K1379" s="172"/>
      <c r="L1379" s="172">
        <f>+'FACUS$'!$H1379-'FACUS$'!$I1379-'FACUS$'!$K1379</f>
        <v>14857.43</v>
      </c>
      <c r="M1379" s="162" t="s">
        <v>732</v>
      </c>
      <c r="N1379" s="337" t="s">
        <v>554</v>
      </c>
      <c r="O1379" s="338">
        <v>44406.0</v>
      </c>
      <c r="P1379" s="164">
        <f t="array" ref="P1379">XLOOKUP('FACUS$'!$B1379,'perfil de pagos'!$A$4:$A$46,'perfil de pagos'!$C$4:$C$46+'FACUS$'!$D1379)</f>
        <v>44409</v>
      </c>
      <c r="Q1379" s="165">
        <f t="shared" si="2"/>
        <v>0</v>
      </c>
      <c r="R1379" s="167"/>
      <c r="S1379" s="167"/>
      <c r="T1379" s="167"/>
      <c r="U1379" s="334" t="s">
        <v>7271</v>
      </c>
      <c r="V1379" s="168">
        <f t="shared" si="3"/>
        <v>14857.43</v>
      </c>
      <c r="W1379" s="168">
        <f t="shared" si="4"/>
        <v>0</v>
      </c>
      <c r="X1379" s="168">
        <f t="shared" si="5"/>
        <v>0</v>
      </c>
      <c r="Y1379" s="168">
        <f t="shared" si="6"/>
        <v>0</v>
      </c>
      <c r="Z1379" s="168">
        <f t="shared" si="7"/>
        <v>0</v>
      </c>
      <c r="AA1379" s="168">
        <f t="shared" si="8"/>
        <v>0</v>
      </c>
      <c r="AB1379" s="168">
        <f t="shared" si="9"/>
        <v>0</v>
      </c>
    </row>
    <row r="1380" ht="14.25" customHeight="1">
      <c r="A1380" s="157" t="s">
        <v>8421</v>
      </c>
      <c r="B1380" s="169" t="s">
        <v>39</v>
      </c>
      <c r="C1380" s="169" t="s">
        <v>8422</v>
      </c>
      <c r="D1380" s="336">
        <v>44399.0</v>
      </c>
      <c r="E1380" s="157" t="s">
        <v>600</v>
      </c>
      <c r="F1380" s="160">
        <v>10460.16</v>
      </c>
      <c r="G1380" s="160">
        <v>1673.63</v>
      </c>
      <c r="H1380" s="160">
        <f t="shared" si="42"/>
        <v>12133.79</v>
      </c>
      <c r="I1380" s="172"/>
      <c r="J1380" s="169"/>
      <c r="K1380" s="172"/>
      <c r="L1380" s="172">
        <f>+'FACUS$'!$H1380-'FACUS$'!$I1380-'FACUS$'!$K1380</f>
        <v>12133.79</v>
      </c>
      <c r="M1380" s="162" t="s">
        <v>570</v>
      </c>
      <c r="N1380" s="337" t="s">
        <v>554</v>
      </c>
      <c r="O1380" s="338">
        <v>44421.0</v>
      </c>
      <c r="P1380" s="164">
        <f t="array" ref="P1380">XLOOKUP('FACUS$'!$B1380,'perfil de pagos'!$A$4:$A$46,'perfil de pagos'!$C$4:$C$46+'FACUS$'!$D1380)</f>
        <v>44409</v>
      </c>
      <c r="Q1380" s="165">
        <f t="shared" si="2"/>
        <v>0</v>
      </c>
      <c r="R1380" s="167"/>
      <c r="S1380" s="167"/>
      <c r="T1380" s="167"/>
      <c r="U1380" s="334" t="s">
        <v>7271</v>
      </c>
      <c r="V1380" s="168">
        <f t="shared" si="3"/>
        <v>12133.79</v>
      </c>
      <c r="W1380" s="168">
        <f t="shared" si="4"/>
        <v>0</v>
      </c>
      <c r="X1380" s="168">
        <f t="shared" si="5"/>
        <v>0</v>
      </c>
      <c r="Y1380" s="168">
        <f t="shared" si="6"/>
        <v>0</v>
      </c>
      <c r="Z1380" s="168">
        <f t="shared" si="7"/>
        <v>0</v>
      </c>
      <c r="AA1380" s="168">
        <f t="shared" si="8"/>
        <v>0</v>
      </c>
      <c r="AB1380" s="168">
        <f t="shared" si="9"/>
        <v>0</v>
      </c>
    </row>
    <row r="1381" ht="14.25" customHeight="1">
      <c r="A1381" s="157" t="s">
        <v>8423</v>
      </c>
      <c r="B1381" s="169" t="s">
        <v>39</v>
      </c>
      <c r="C1381" s="169" t="s">
        <v>3010</v>
      </c>
      <c r="D1381" s="336">
        <v>44399.0</v>
      </c>
      <c r="E1381" s="157" t="s">
        <v>600</v>
      </c>
      <c r="F1381" s="160">
        <v>15222.52</v>
      </c>
      <c r="G1381" s="160">
        <v>2435.6</v>
      </c>
      <c r="H1381" s="160">
        <f t="shared" si="42"/>
        <v>17658.12</v>
      </c>
      <c r="I1381" s="172"/>
      <c r="J1381" s="169"/>
      <c r="K1381" s="172"/>
      <c r="L1381" s="172">
        <f>+'FACUS$'!$H1381-'FACUS$'!$I1381-'FACUS$'!$K1381</f>
        <v>17658.12</v>
      </c>
      <c r="M1381" s="162" t="s">
        <v>570</v>
      </c>
      <c r="N1381" s="337" t="s">
        <v>554</v>
      </c>
      <c r="O1381" s="338">
        <v>44421.0</v>
      </c>
      <c r="P1381" s="164">
        <f t="array" ref="P1381">XLOOKUP('FACUS$'!$B1381,'perfil de pagos'!$A$4:$A$46,'perfil de pagos'!$C$4:$C$46+'FACUS$'!$D1381)</f>
        <v>44409</v>
      </c>
      <c r="Q1381" s="165">
        <f t="shared" si="2"/>
        <v>0</v>
      </c>
      <c r="R1381" s="167"/>
      <c r="S1381" s="167"/>
      <c r="T1381" s="167"/>
      <c r="U1381" s="334" t="s">
        <v>7271</v>
      </c>
      <c r="V1381" s="168">
        <f t="shared" si="3"/>
        <v>17658.12</v>
      </c>
      <c r="W1381" s="168">
        <f t="shared" si="4"/>
        <v>0</v>
      </c>
      <c r="X1381" s="168">
        <f t="shared" si="5"/>
        <v>0</v>
      </c>
      <c r="Y1381" s="168">
        <f t="shared" si="6"/>
        <v>0</v>
      </c>
      <c r="Z1381" s="168">
        <f t="shared" si="7"/>
        <v>0</v>
      </c>
      <c r="AA1381" s="168">
        <f t="shared" si="8"/>
        <v>0</v>
      </c>
      <c r="AB1381" s="168">
        <f t="shared" si="9"/>
        <v>0</v>
      </c>
    </row>
    <row r="1382" ht="14.25" customHeight="1">
      <c r="A1382" s="157" t="s">
        <v>8424</v>
      </c>
      <c r="B1382" s="169" t="s">
        <v>26</v>
      </c>
      <c r="C1382" s="169" t="s">
        <v>3010</v>
      </c>
      <c r="D1382" s="336">
        <v>44399.0</v>
      </c>
      <c r="E1382" s="157" t="s">
        <v>600</v>
      </c>
      <c r="F1382" s="160">
        <v>5651.15</v>
      </c>
      <c r="G1382" s="160">
        <v>904.18</v>
      </c>
      <c r="H1382" s="248">
        <f t="shared" si="42"/>
        <v>6555.33</v>
      </c>
      <c r="I1382" s="369"/>
      <c r="J1382" s="370"/>
      <c r="K1382" s="369"/>
      <c r="L1382" s="369">
        <f>+'FACUS$'!$H1382-'FACUS$'!$I1382-'FACUS$'!$K1382</f>
        <v>6555.33</v>
      </c>
      <c r="M1382" s="162" t="s">
        <v>2386</v>
      </c>
      <c r="N1382" s="337" t="s">
        <v>554</v>
      </c>
      <c r="O1382" s="338">
        <v>44477.0</v>
      </c>
      <c r="P1382" s="164">
        <f t="array" ref="P1382">XLOOKUP('FACUS$'!$B1382,'perfil de pagos'!$A$4:$A$46,'perfil de pagos'!$C$4:$C$46+'FACUS$'!$D1382)</f>
        <v>44429</v>
      </c>
      <c r="Q1382" s="165">
        <f t="shared" si="2"/>
        <v>0</v>
      </c>
      <c r="R1382" s="167" t="s">
        <v>8425</v>
      </c>
      <c r="S1382" s="167"/>
      <c r="T1382" s="167"/>
      <c r="U1382" s="334" t="s">
        <v>7271</v>
      </c>
      <c r="V1382" s="168">
        <f t="shared" si="3"/>
        <v>6555.33</v>
      </c>
      <c r="W1382" s="168">
        <f t="shared" si="4"/>
        <v>0</v>
      </c>
      <c r="X1382" s="168">
        <f t="shared" si="5"/>
        <v>0</v>
      </c>
      <c r="Y1382" s="168">
        <f t="shared" si="6"/>
        <v>0</v>
      </c>
      <c r="Z1382" s="168">
        <f t="shared" si="7"/>
        <v>0</v>
      </c>
      <c r="AA1382" s="168">
        <f t="shared" si="8"/>
        <v>0</v>
      </c>
      <c r="AB1382" s="168">
        <f t="shared" si="9"/>
        <v>0</v>
      </c>
    </row>
    <row r="1383" ht="14.25" customHeight="1">
      <c r="A1383" s="157" t="s">
        <v>8426</v>
      </c>
      <c r="B1383" s="169" t="s">
        <v>41</v>
      </c>
      <c r="C1383" s="169" t="s">
        <v>3010</v>
      </c>
      <c r="D1383" s="336">
        <v>44399.0</v>
      </c>
      <c r="E1383" s="157" t="s">
        <v>600</v>
      </c>
      <c r="F1383" s="160">
        <v>17569.23</v>
      </c>
      <c r="G1383" s="160">
        <v>2811.08</v>
      </c>
      <c r="H1383" s="160">
        <f t="shared" si="42"/>
        <v>20380.31</v>
      </c>
      <c r="I1383" s="172"/>
      <c r="J1383" s="169"/>
      <c r="K1383" s="172"/>
      <c r="L1383" s="172">
        <f>+'FACUS$'!$H1383-'FACUS$'!$I1383-'FACUS$'!$K1383</f>
        <v>20380.31</v>
      </c>
      <c r="M1383" s="162" t="s">
        <v>875</v>
      </c>
      <c r="N1383" s="337" t="s">
        <v>554</v>
      </c>
      <c r="O1383" s="338">
        <v>44517.0</v>
      </c>
      <c r="P1383" s="164">
        <f t="array" ref="P1383">XLOOKUP('FACUS$'!$B1383,'perfil de pagos'!$A$4:$A$46,'perfil de pagos'!$C$4:$C$46+'FACUS$'!$D1383)</f>
        <v>44409</v>
      </c>
      <c r="Q1383" s="165">
        <f t="shared" si="2"/>
        <v>0</v>
      </c>
      <c r="R1383" s="167"/>
      <c r="S1383" s="167"/>
      <c r="T1383" s="167"/>
      <c r="U1383" s="334" t="s">
        <v>7271</v>
      </c>
      <c r="V1383" s="168">
        <f t="shared" si="3"/>
        <v>20380.31</v>
      </c>
      <c r="W1383" s="168">
        <f t="shared" si="4"/>
        <v>0</v>
      </c>
      <c r="X1383" s="168">
        <f t="shared" si="5"/>
        <v>0</v>
      </c>
      <c r="Y1383" s="168">
        <f t="shared" si="6"/>
        <v>0</v>
      </c>
      <c r="Z1383" s="168">
        <f t="shared" si="7"/>
        <v>0</v>
      </c>
      <c r="AA1383" s="168">
        <f t="shared" si="8"/>
        <v>0</v>
      </c>
      <c r="AB1383" s="168">
        <f t="shared" si="9"/>
        <v>0</v>
      </c>
    </row>
    <row r="1384" ht="14.25" customHeight="1">
      <c r="A1384" s="157" t="s">
        <v>8427</v>
      </c>
      <c r="B1384" s="169" t="s">
        <v>37</v>
      </c>
      <c r="C1384" s="169" t="s">
        <v>3010</v>
      </c>
      <c r="D1384" s="336">
        <v>44399.0</v>
      </c>
      <c r="E1384" s="157" t="s">
        <v>600</v>
      </c>
      <c r="F1384" s="160">
        <v>84654.36</v>
      </c>
      <c r="G1384" s="160">
        <v>13544.7</v>
      </c>
      <c r="H1384" s="160">
        <f t="shared" si="42"/>
        <v>98199.06</v>
      </c>
      <c r="I1384" s="172"/>
      <c r="J1384" s="169"/>
      <c r="K1384" s="172"/>
      <c r="L1384" s="172">
        <f>+'FACUS$'!$H1384-'FACUS$'!$I1384-'FACUS$'!$K1384</f>
        <v>98199.06</v>
      </c>
      <c r="M1384" s="162" t="s">
        <v>116</v>
      </c>
      <c r="N1384" s="337" t="s">
        <v>554</v>
      </c>
      <c r="O1384" s="338">
        <v>44417.0</v>
      </c>
      <c r="P1384" s="164">
        <f t="array" ref="P1384">XLOOKUP('FACUS$'!$B1384,'perfil de pagos'!$A$4:$A$46,'perfil de pagos'!$C$4:$C$46+'FACUS$'!$D1384)</f>
        <v>44409</v>
      </c>
      <c r="Q1384" s="165">
        <f t="shared" si="2"/>
        <v>0</v>
      </c>
      <c r="R1384" s="167" t="s">
        <v>8428</v>
      </c>
      <c r="S1384" s="167"/>
      <c r="T1384" s="167"/>
      <c r="U1384" s="334" t="s">
        <v>7271</v>
      </c>
      <c r="V1384" s="168">
        <f t="shared" si="3"/>
        <v>98199.06</v>
      </c>
      <c r="W1384" s="168">
        <f t="shared" si="4"/>
        <v>0</v>
      </c>
      <c r="X1384" s="168">
        <f t="shared" si="5"/>
        <v>0</v>
      </c>
      <c r="Y1384" s="168">
        <f t="shared" si="6"/>
        <v>0</v>
      </c>
      <c r="Z1384" s="168">
        <f t="shared" si="7"/>
        <v>0</v>
      </c>
      <c r="AA1384" s="168">
        <f t="shared" si="8"/>
        <v>0</v>
      </c>
      <c r="AB1384" s="168">
        <f t="shared" si="9"/>
        <v>0</v>
      </c>
    </row>
    <row r="1385" ht="14.25" customHeight="1">
      <c r="A1385" s="157" t="s">
        <v>8429</v>
      </c>
      <c r="B1385" s="169" t="s">
        <v>36</v>
      </c>
      <c r="C1385" s="169" t="s">
        <v>3010</v>
      </c>
      <c r="D1385" s="336">
        <v>44399.0</v>
      </c>
      <c r="E1385" s="157" t="s">
        <v>600</v>
      </c>
      <c r="F1385" s="160">
        <v>1574.7</v>
      </c>
      <c r="G1385" s="160">
        <v>251.95</v>
      </c>
      <c r="H1385" s="160">
        <f t="shared" si="42"/>
        <v>1826.65</v>
      </c>
      <c r="I1385" s="172"/>
      <c r="J1385" s="169"/>
      <c r="K1385" s="172"/>
      <c r="L1385" s="172">
        <f>+'FACUS$'!$H1385-'FACUS$'!$I1385-'FACUS$'!$K1385</f>
        <v>1826.65</v>
      </c>
      <c r="M1385" s="162" t="s">
        <v>278</v>
      </c>
      <c r="N1385" s="337" t="s">
        <v>554</v>
      </c>
      <c r="O1385" s="338">
        <v>44496.0</v>
      </c>
      <c r="P1385" s="164">
        <f t="array" ref="P1385">XLOOKUP('FACUS$'!$B1385,'perfil de pagos'!$A$4:$A$46,'perfil de pagos'!$C$4:$C$46+'FACUS$'!$D1385)</f>
        <v>44409</v>
      </c>
      <c r="Q1385" s="165">
        <f t="shared" si="2"/>
        <v>0</v>
      </c>
      <c r="R1385" s="167" t="s">
        <v>8430</v>
      </c>
      <c r="S1385" s="167"/>
      <c r="T1385" s="167"/>
      <c r="U1385" s="334" t="s">
        <v>7271</v>
      </c>
      <c r="V1385" s="168">
        <f t="shared" si="3"/>
        <v>1826.65</v>
      </c>
      <c r="W1385" s="168">
        <f t="shared" si="4"/>
        <v>0</v>
      </c>
      <c r="X1385" s="168">
        <f t="shared" si="5"/>
        <v>0</v>
      </c>
      <c r="Y1385" s="168">
        <f t="shared" si="6"/>
        <v>0</v>
      </c>
      <c r="Z1385" s="168">
        <f t="shared" si="7"/>
        <v>0</v>
      </c>
      <c r="AA1385" s="168">
        <f t="shared" si="8"/>
        <v>0</v>
      </c>
      <c r="AB1385" s="168">
        <f t="shared" si="9"/>
        <v>0</v>
      </c>
    </row>
    <row r="1386" ht="14.25" customHeight="1">
      <c r="A1386" s="157" t="s">
        <v>8431</v>
      </c>
      <c r="B1386" s="169" t="s">
        <v>38</v>
      </c>
      <c r="C1386" s="169" t="s">
        <v>3010</v>
      </c>
      <c r="D1386" s="336">
        <v>44399.0</v>
      </c>
      <c r="E1386" s="157" t="s">
        <v>600</v>
      </c>
      <c r="F1386" s="160">
        <v>8816.06</v>
      </c>
      <c r="G1386" s="160">
        <v>1410.57</v>
      </c>
      <c r="H1386" s="160">
        <f t="shared" si="42"/>
        <v>10226.63</v>
      </c>
      <c r="I1386" s="172"/>
      <c r="J1386" s="169"/>
      <c r="K1386" s="172"/>
      <c r="L1386" s="172">
        <f>+'FACUS$'!$H1386-'FACUS$'!$I1386-'FACUS$'!$K1386</f>
        <v>10226.63</v>
      </c>
      <c r="M1386" s="162" t="s">
        <v>145</v>
      </c>
      <c r="N1386" s="337" t="s">
        <v>554</v>
      </c>
      <c r="O1386" s="338">
        <v>44463.0</v>
      </c>
      <c r="P1386" s="164">
        <f t="array" ref="P1386">XLOOKUP('FACUS$'!$B1386,'perfil de pagos'!$A$4:$A$46,'perfil de pagos'!$C$4:$C$46+'FACUS$'!$D1386)</f>
        <v>44429</v>
      </c>
      <c r="Q1386" s="165">
        <f t="shared" si="2"/>
        <v>0</v>
      </c>
      <c r="R1386" s="167"/>
      <c r="S1386" s="167"/>
      <c r="T1386" s="167"/>
      <c r="U1386" s="334" t="s">
        <v>7271</v>
      </c>
      <c r="V1386" s="168">
        <f t="shared" si="3"/>
        <v>10226.63</v>
      </c>
      <c r="W1386" s="168">
        <f t="shared" si="4"/>
        <v>0</v>
      </c>
      <c r="X1386" s="168">
        <f t="shared" si="5"/>
        <v>0</v>
      </c>
      <c r="Y1386" s="168">
        <f t="shared" si="6"/>
        <v>0</v>
      </c>
      <c r="Z1386" s="168">
        <f t="shared" si="7"/>
        <v>0</v>
      </c>
      <c r="AA1386" s="168">
        <f t="shared" si="8"/>
        <v>0</v>
      </c>
      <c r="AB1386" s="168">
        <f t="shared" si="9"/>
        <v>0</v>
      </c>
    </row>
    <row r="1387" ht="14.25" customHeight="1">
      <c r="A1387" s="157" t="s">
        <v>8432</v>
      </c>
      <c r="B1387" s="169" t="s">
        <v>18</v>
      </c>
      <c r="C1387" s="169" t="s">
        <v>3045</v>
      </c>
      <c r="D1387" s="336">
        <v>44414.0</v>
      </c>
      <c r="E1387" s="157" t="s">
        <v>600</v>
      </c>
      <c r="F1387" s="160">
        <v>10264.15</v>
      </c>
      <c r="G1387" s="160">
        <v>1642.26</v>
      </c>
      <c r="H1387" s="160">
        <f t="shared" si="42"/>
        <v>11906.41</v>
      </c>
      <c r="I1387" s="172"/>
      <c r="J1387" s="169"/>
      <c r="K1387" s="172"/>
      <c r="L1387" s="172">
        <f>+'FACUS$'!$H1387-'FACUS$'!$I1387-'FACUS$'!$K1387</f>
        <v>11906.41</v>
      </c>
      <c r="M1387" s="162" t="s">
        <v>586</v>
      </c>
      <c r="N1387" s="337" t="s">
        <v>554</v>
      </c>
      <c r="O1387" s="338">
        <v>44435.0</v>
      </c>
      <c r="P1387" s="164">
        <f t="array" ref="P1387">XLOOKUP('FACUS$'!$B1387,'perfil de pagos'!$A$4:$A$46,'perfil de pagos'!$C$4:$C$46+'FACUS$'!$D1387)</f>
        <v>44424</v>
      </c>
      <c r="Q1387" s="165">
        <f t="shared" si="2"/>
        <v>0</v>
      </c>
      <c r="R1387" s="167"/>
      <c r="S1387" s="167"/>
      <c r="T1387" s="167"/>
      <c r="U1387" s="334" t="s">
        <v>7271</v>
      </c>
      <c r="V1387" s="168">
        <f t="shared" si="3"/>
        <v>11906.41</v>
      </c>
      <c r="W1387" s="168">
        <f t="shared" si="4"/>
        <v>0</v>
      </c>
      <c r="X1387" s="168">
        <f t="shared" si="5"/>
        <v>0</v>
      </c>
      <c r="Y1387" s="168">
        <f t="shared" si="6"/>
        <v>0</v>
      </c>
      <c r="Z1387" s="168">
        <f t="shared" si="7"/>
        <v>0</v>
      </c>
      <c r="AA1387" s="168">
        <f t="shared" si="8"/>
        <v>0</v>
      </c>
      <c r="AB1387" s="168">
        <f t="shared" si="9"/>
        <v>0</v>
      </c>
    </row>
    <row r="1388" ht="14.25" customHeight="1">
      <c r="A1388" s="157" t="s">
        <v>8433</v>
      </c>
      <c r="B1388" s="169" t="s">
        <v>20</v>
      </c>
      <c r="C1388" s="169" t="s">
        <v>3045</v>
      </c>
      <c r="D1388" s="336">
        <v>44414.0</v>
      </c>
      <c r="E1388" s="157" t="s">
        <v>600</v>
      </c>
      <c r="F1388" s="160">
        <v>13746.02</v>
      </c>
      <c r="G1388" s="160">
        <v>2199.36</v>
      </c>
      <c r="H1388" s="160">
        <f t="shared" si="42"/>
        <v>15945.38</v>
      </c>
      <c r="I1388" s="172"/>
      <c r="J1388" s="169"/>
      <c r="K1388" s="172"/>
      <c r="L1388" s="172">
        <f>+'FACUS$'!$H1388-'FACUS$'!$I1388-'FACUS$'!$K1388</f>
        <v>15945.38</v>
      </c>
      <c r="M1388" s="162" t="s">
        <v>732</v>
      </c>
      <c r="N1388" s="337" t="s">
        <v>554</v>
      </c>
      <c r="O1388" s="338">
        <v>44432.0</v>
      </c>
      <c r="P1388" s="164">
        <f t="array" ref="P1388">XLOOKUP('FACUS$'!$B1388,'perfil de pagos'!$A$4:$A$46,'perfil de pagos'!$C$4:$C$46+'FACUS$'!$D1388)</f>
        <v>44424</v>
      </c>
      <c r="Q1388" s="165">
        <f t="shared" si="2"/>
        <v>0</v>
      </c>
      <c r="R1388" s="167"/>
      <c r="S1388" s="167"/>
      <c r="T1388" s="167"/>
      <c r="U1388" s="334" t="s">
        <v>7271</v>
      </c>
      <c r="V1388" s="168">
        <f t="shared" si="3"/>
        <v>15945.38</v>
      </c>
      <c r="W1388" s="168">
        <f t="shared" si="4"/>
        <v>0</v>
      </c>
      <c r="X1388" s="168">
        <f t="shared" si="5"/>
        <v>0</v>
      </c>
      <c r="Y1388" s="168">
        <f t="shared" si="6"/>
        <v>0</v>
      </c>
      <c r="Z1388" s="168">
        <f t="shared" si="7"/>
        <v>0</v>
      </c>
      <c r="AA1388" s="168">
        <f t="shared" si="8"/>
        <v>0</v>
      </c>
      <c r="AB1388" s="168">
        <f t="shared" si="9"/>
        <v>0</v>
      </c>
    </row>
    <row r="1389" ht="14.25" customHeight="1">
      <c r="A1389" s="157" t="s">
        <v>8434</v>
      </c>
      <c r="B1389" s="169" t="s">
        <v>39</v>
      </c>
      <c r="C1389" s="169" t="s">
        <v>3043</v>
      </c>
      <c r="D1389" s="336">
        <v>44414.0</v>
      </c>
      <c r="E1389" s="157" t="s">
        <v>600</v>
      </c>
      <c r="F1389" s="160">
        <v>16883.7</v>
      </c>
      <c r="G1389" s="160">
        <v>2701.4</v>
      </c>
      <c r="H1389" s="160">
        <f t="shared" si="42"/>
        <v>19585.1</v>
      </c>
      <c r="I1389" s="172"/>
      <c r="J1389" s="169"/>
      <c r="K1389" s="172"/>
      <c r="L1389" s="172">
        <f>+'FACUS$'!$H1389-'FACUS$'!$I1389-'FACUS$'!$K1389</f>
        <v>19585.1</v>
      </c>
      <c r="M1389" s="162" t="s">
        <v>570</v>
      </c>
      <c r="N1389" s="337" t="s">
        <v>554</v>
      </c>
      <c r="O1389" s="338">
        <v>44428.0</v>
      </c>
      <c r="P1389" s="164">
        <f t="array" ref="P1389">XLOOKUP('FACUS$'!$B1389,'perfil de pagos'!$A$4:$A$46,'perfil de pagos'!$C$4:$C$46+'FACUS$'!$D1389)</f>
        <v>44424</v>
      </c>
      <c r="Q1389" s="165">
        <f t="shared" si="2"/>
        <v>0</v>
      </c>
      <c r="R1389" s="167"/>
      <c r="S1389" s="167"/>
      <c r="T1389" s="167"/>
      <c r="U1389" s="334" t="s">
        <v>7271</v>
      </c>
      <c r="V1389" s="168">
        <f t="shared" si="3"/>
        <v>19585.1</v>
      </c>
      <c r="W1389" s="168">
        <f t="shared" si="4"/>
        <v>0</v>
      </c>
      <c r="X1389" s="168">
        <f t="shared" si="5"/>
        <v>0</v>
      </c>
      <c r="Y1389" s="168">
        <f t="shared" si="6"/>
        <v>0</v>
      </c>
      <c r="Z1389" s="168">
        <f t="shared" si="7"/>
        <v>0</v>
      </c>
      <c r="AA1389" s="168">
        <f t="shared" si="8"/>
        <v>0</v>
      </c>
      <c r="AB1389" s="168">
        <f t="shared" si="9"/>
        <v>0</v>
      </c>
    </row>
    <row r="1390" ht="14.25" customHeight="1">
      <c r="A1390" s="157" t="s">
        <v>8435</v>
      </c>
      <c r="B1390" s="169" t="s">
        <v>39</v>
      </c>
      <c r="C1390" s="169" t="s">
        <v>3045</v>
      </c>
      <c r="D1390" s="336">
        <v>44414.0</v>
      </c>
      <c r="E1390" s="157" t="s">
        <v>600</v>
      </c>
      <c r="F1390" s="160">
        <v>20685.95</v>
      </c>
      <c r="G1390" s="160">
        <v>3309.75</v>
      </c>
      <c r="H1390" s="160">
        <f t="shared" si="42"/>
        <v>23995.7</v>
      </c>
      <c r="I1390" s="172"/>
      <c r="J1390" s="169"/>
      <c r="K1390" s="172"/>
      <c r="L1390" s="172">
        <f>+'FACUS$'!$H1390-'FACUS$'!$I1390-'FACUS$'!$K1390</f>
        <v>23995.7</v>
      </c>
      <c r="M1390" s="162" t="s">
        <v>570</v>
      </c>
      <c r="N1390" s="337" t="s">
        <v>554</v>
      </c>
      <c r="O1390" s="338">
        <v>44428.0</v>
      </c>
      <c r="P1390" s="164">
        <f t="array" ref="P1390">XLOOKUP('FACUS$'!$B1390,'perfil de pagos'!$A$4:$A$46,'perfil de pagos'!$C$4:$C$46+'FACUS$'!$D1390)</f>
        <v>44424</v>
      </c>
      <c r="Q1390" s="165">
        <f t="shared" si="2"/>
        <v>0</v>
      </c>
      <c r="R1390" s="167"/>
      <c r="S1390" s="167"/>
      <c r="T1390" s="167"/>
      <c r="U1390" s="334" t="s">
        <v>7271</v>
      </c>
      <c r="V1390" s="168">
        <f t="shared" si="3"/>
        <v>23995.7</v>
      </c>
      <c r="W1390" s="168">
        <f t="shared" si="4"/>
        <v>0</v>
      </c>
      <c r="X1390" s="168">
        <f t="shared" si="5"/>
        <v>0</v>
      </c>
      <c r="Y1390" s="168">
        <f t="shared" si="6"/>
        <v>0</v>
      </c>
      <c r="Z1390" s="168">
        <f t="shared" si="7"/>
        <v>0</v>
      </c>
      <c r="AA1390" s="168">
        <f t="shared" si="8"/>
        <v>0</v>
      </c>
      <c r="AB1390" s="168">
        <f t="shared" si="9"/>
        <v>0</v>
      </c>
    </row>
    <row r="1391" ht="14.25" customHeight="1">
      <c r="A1391" s="157" t="s">
        <v>8436</v>
      </c>
      <c r="B1391" s="169" t="s">
        <v>26</v>
      </c>
      <c r="C1391" s="169" t="s">
        <v>3045</v>
      </c>
      <c r="D1391" s="336">
        <v>44414.0</v>
      </c>
      <c r="E1391" s="157" t="s">
        <v>600</v>
      </c>
      <c r="F1391" s="160">
        <v>5601.89</v>
      </c>
      <c r="G1391" s="160">
        <v>896.3</v>
      </c>
      <c r="H1391" s="195">
        <f t="shared" si="42"/>
        <v>6498.19</v>
      </c>
      <c r="I1391" s="371"/>
      <c r="J1391" s="372"/>
      <c r="K1391" s="371"/>
      <c r="L1391" s="371">
        <f>+'FACUS$'!$H1391-'FACUS$'!$I1391-'FACUS$'!$K1391</f>
        <v>6498.19</v>
      </c>
      <c r="M1391" s="162" t="s">
        <v>2386</v>
      </c>
      <c r="N1391" s="337" t="s">
        <v>554</v>
      </c>
      <c r="O1391" s="338">
        <v>44519.0</v>
      </c>
      <c r="P1391" s="164">
        <f t="array" ref="P1391">XLOOKUP('FACUS$'!$B1391,'perfil de pagos'!$A$4:$A$46,'perfil de pagos'!$C$4:$C$46+'FACUS$'!$D1391)</f>
        <v>44444</v>
      </c>
      <c r="Q1391" s="165">
        <f t="shared" si="2"/>
        <v>0</v>
      </c>
      <c r="R1391" s="167" t="s">
        <v>8437</v>
      </c>
      <c r="S1391" s="167"/>
      <c r="T1391" s="167"/>
      <c r="U1391" s="334" t="s">
        <v>7271</v>
      </c>
      <c r="V1391" s="168">
        <f t="shared" si="3"/>
        <v>6498.19</v>
      </c>
      <c r="W1391" s="168">
        <f t="shared" si="4"/>
        <v>0</v>
      </c>
      <c r="X1391" s="168">
        <f t="shared" si="5"/>
        <v>0</v>
      </c>
      <c r="Y1391" s="168">
        <f t="shared" si="6"/>
        <v>0</v>
      </c>
      <c r="Z1391" s="168">
        <f t="shared" si="7"/>
        <v>0</v>
      </c>
      <c r="AA1391" s="168">
        <f t="shared" si="8"/>
        <v>0</v>
      </c>
      <c r="AB1391" s="168">
        <f t="shared" si="9"/>
        <v>0</v>
      </c>
    </row>
    <row r="1392" ht="14.25" customHeight="1">
      <c r="A1392" s="157" t="s">
        <v>8438</v>
      </c>
      <c r="B1392" s="169" t="s">
        <v>26</v>
      </c>
      <c r="C1392" s="169" t="s">
        <v>3045</v>
      </c>
      <c r="D1392" s="336">
        <v>44414.0</v>
      </c>
      <c r="E1392" s="157" t="s">
        <v>600</v>
      </c>
      <c r="F1392" s="160">
        <v>2191.5</v>
      </c>
      <c r="G1392" s="160">
        <v>350.64</v>
      </c>
      <c r="H1392" s="248">
        <f t="shared" si="42"/>
        <v>2542.14</v>
      </c>
      <c r="I1392" s="369"/>
      <c r="J1392" s="370"/>
      <c r="K1392" s="369"/>
      <c r="L1392" s="369">
        <f>+'FACUS$'!$H1392-'FACUS$'!$I1392-'FACUS$'!$K1392</f>
        <v>2542.14</v>
      </c>
      <c r="M1392" s="162" t="s">
        <v>188</v>
      </c>
      <c r="N1392" s="337" t="s">
        <v>554</v>
      </c>
      <c r="O1392" s="338">
        <v>44425.0</v>
      </c>
      <c r="P1392" s="164">
        <f t="array" ref="P1392">XLOOKUP('FACUS$'!$B1392,'perfil de pagos'!$A$4:$A$46,'perfil de pagos'!$C$4:$C$46+'FACUS$'!$D1392)</f>
        <v>44444</v>
      </c>
      <c r="Q1392" s="165">
        <f t="shared" si="2"/>
        <v>0</v>
      </c>
      <c r="R1392" s="167" t="s">
        <v>8439</v>
      </c>
      <c r="S1392" s="167"/>
      <c r="T1392" s="167"/>
      <c r="U1392" s="334" t="s">
        <v>7271</v>
      </c>
      <c r="V1392" s="168">
        <f t="shared" si="3"/>
        <v>2542.14</v>
      </c>
      <c r="W1392" s="168">
        <f t="shared" si="4"/>
        <v>0</v>
      </c>
      <c r="X1392" s="168">
        <f t="shared" si="5"/>
        <v>0</v>
      </c>
      <c r="Y1392" s="168">
        <f t="shared" si="6"/>
        <v>0</v>
      </c>
      <c r="Z1392" s="168">
        <f t="shared" si="7"/>
        <v>0</v>
      </c>
      <c r="AA1392" s="168">
        <f t="shared" si="8"/>
        <v>0</v>
      </c>
      <c r="AB1392" s="168">
        <f t="shared" si="9"/>
        <v>0</v>
      </c>
    </row>
    <row r="1393" ht="14.25" customHeight="1">
      <c r="A1393" s="157" t="s">
        <v>8440</v>
      </c>
      <c r="B1393" s="169" t="s">
        <v>41</v>
      </c>
      <c r="C1393" s="169" t="s">
        <v>3045</v>
      </c>
      <c r="D1393" s="336">
        <v>44414.0</v>
      </c>
      <c r="E1393" s="157" t="s">
        <v>600</v>
      </c>
      <c r="F1393" s="160">
        <v>16332.95</v>
      </c>
      <c r="G1393" s="160">
        <v>2613.27</v>
      </c>
      <c r="H1393" s="160">
        <f t="shared" si="42"/>
        <v>18946.22</v>
      </c>
      <c r="I1393" s="172"/>
      <c r="J1393" s="169"/>
      <c r="K1393" s="172"/>
      <c r="L1393" s="172">
        <f>+'FACUS$'!$H1393-'FACUS$'!$I1393-'FACUS$'!$K1393</f>
        <v>18946.22</v>
      </c>
      <c r="M1393" s="162" t="s">
        <v>875</v>
      </c>
      <c r="N1393" s="337" t="s">
        <v>554</v>
      </c>
      <c r="O1393" s="338">
        <v>44517.0</v>
      </c>
      <c r="P1393" s="164">
        <f t="array" ref="P1393">XLOOKUP('FACUS$'!$B1393,'perfil de pagos'!$A$4:$A$46,'perfil de pagos'!$C$4:$C$46+'FACUS$'!$D1393)</f>
        <v>44424</v>
      </c>
      <c r="Q1393" s="165">
        <f t="shared" si="2"/>
        <v>0</v>
      </c>
      <c r="R1393" s="167"/>
      <c r="S1393" s="167"/>
      <c r="T1393" s="167"/>
      <c r="U1393" s="334" t="s">
        <v>7271</v>
      </c>
      <c r="V1393" s="168">
        <f t="shared" si="3"/>
        <v>18946.22</v>
      </c>
      <c r="W1393" s="168">
        <f t="shared" si="4"/>
        <v>0</v>
      </c>
      <c r="X1393" s="168">
        <f t="shared" si="5"/>
        <v>0</v>
      </c>
      <c r="Y1393" s="168">
        <f t="shared" si="6"/>
        <v>0</v>
      </c>
      <c r="Z1393" s="168">
        <f t="shared" si="7"/>
        <v>0</v>
      </c>
      <c r="AA1393" s="168">
        <f t="shared" si="8"/>
        <v>0</v>
      </c>
      <c r="AB1393" s="168">
        <f t="shared" si="9"/>
        <v>0</v>
      </c>
    </row>
    <row r="1394" ht="14.25" customHeight="1">
      <c r="A1394" s="157" t="s">
        <v>8441</v>
      </c>
      <c r="B1394" s="169" t="s">
        <v>37</v>
      </c>
      <c r="C1394" s="169" t="s">
        <v>3045</v>
      </c>
      <c r="D1394" s="336">
        <v>44414.0</v>
      </c>
      <c r="E1394" s="157" t="s">
        <v>600</v>
      </c>
      <c r="F1394" s="160">
        <v>92355.45</v>
      </c>
      <c r="G1394" s="160">
        <v>14776.87</v>
      </c>
      <c r="H1394" s="160">
        <f t="shared" si="42"/>
        <v>107132.32</v>
      </c>
      <c r="I1394" s="172"/>
      <c r="J1394" s="169"/>
      <c r="K1394" s="172"/>
      <c r="L1394" s="172">
        <f>+'FACUS$'!$H1394-'FACUS$'!$I1394-'FACUS$'!$K1394</f>
        <v>107132.32</v>
      </c>
      <c r="M1394" s="162" t="s">
        <v>116</v>
      </c>
      <c r="N1394" s="337" t="s">
        <v>554</v>
      </c>
      <c r="O1394" s="338">
        <v>44445.0</v>
      </c>
      <c r="P1394" s="164">
        <f t="array" ref="P1394">XLOOKUP('FACUS$'!$B1394,'perfil de pagos'!$A$4:$A$46,'perfil de pagos'!$C$4:$C$46+'FACUS$'!$D1394)</f>
        <v>44424</v>
      </c>
      <c r="Q1394" s="165">
        <f t="shared" si="2"/>
        <v>0</v>
      </c>
      <c r="R1394" s="220" t="s">
        <v>8442</v>
      </c>
      <c r="S1394" s="167"/>
      <c r="T1394" s="167"/>
      <c r="U1394" s="334" t="s">
        <v>7271</v>
      </c>
      <c r="V1394" s="168">
        <f t="shared" si="3"/>
        <v>107132.32</v>
      </c>
      <c r="W1394" s="168">
        <f t="shared" si="4"/>
        <v>0</v>
      </c>
      <c r="X1394" s="168">
        <f t="shared" si="5"/>
        <v>0</v>
      </c>
      <c r="Y1394" s="168">
        <f t="shared" si="6"/>
        <v>0</v>
      </c>
      <c r="Z1394" s="168">
        <f t="shared" si="7"/>
        <v>0</v>
      </c>
      <c r="AA1394" s="168">
        <f t="shared" si="8"/>
        <v>0</v>
      </c>
      <c r="AB1394" s="168">
        <f t="shared" si="9"/>
        <v>0</v>
      </c>
    </row>
    <row r="1395" ht="14.25" customHeight="1">
      <c r="A1395" s="157" t="s">
        <v>8443</v>
      </c>
      <c r="B1395" s="169" t="s">
        <v>36</v>
      </c>
      <c r="C1395" s="169" t="s">
        <v>3045</v>
      </c>
      <c r="D1395" s="336">
        <v>44414.0</v>
      </c>
      <c r="E1395" s="157" t="s">
        <v>600</v>
      </c>
      <c r="F1395" s="160">
        <v>1878.98</v>
      </c>
      <c r="G1395" s="160">
        <v>300.64</v>
      </c>
      <c r="H1395" s="160">
        <f t="shared" si="42"/>
        <v>2179.62</v>
      </c>
      <c r="I1395" s="172"/>
      <c r="J1395" s="169"/>
      <c r="K1395" s="172"/>
      <c r="L1395" s="172">
        <f>+'FACUS$'!$H1395-'FACUS$'!$I1395-'FACUS$'!$K1395</f>
        <v>2179.62</v>
      </c>
      <c r="M1395" s="162" t="s">
        <v>278</v>
      </c>
      <c r="N1395" s="337" t="s">
        <v>554</v>
      </c>
      <c r="O1395" s="338">
        <v>44501.0</v>
      </c>
      <c r="P1395" s="164">
        <f t="array" ref="P1395">XLOOKUP('FACUS$'!$B1395,'perfil de pagos'!$A$4:$A$46,'perfil de pagos'!$C$4:$C$46+'FACUS$'!$D1395)</f>
        <v>44424</v>
      </c>
      <c r="Q1395" s="165">
        <f t="shared" si="2"/>
        <v>0</v>
      </c>
      <c r="R1395" s="167" t="s">
        <v>8444</v>
      </c>
      <c r="S1395" s="167"/>
      <c r="T1395" s="167"/>
      <c r="U1395" s="334" t="s">
        <v>7271</v>
      </c>
      <c r="V1395" s="168">
        <f t="shared" si="3"/>
        <v>2179.62</v>
      </c>
      <c r="W1395" s="168">
        <f t="shared" si="4"/>
        <v>0</v>
      </c>
      <c r="X1395" s="168">
        <f t="shared" si="5"/>
        <v>0</v>
      </c>
      <c r="Y1395" s="168">
        <f t="shared" si="6"/>
        <v>0</v>
      </c>
      <c r="Z1395" s="168">
        <f t="shared" si="7"/>
        <v>0</v>
      </c>
      <c r="AA1395" s="168">
        <f t="shared" si="8"/>
        <v>0</v>
      </c>
      <c r="AB1395" s="168">
        <f t="shared" si="9"/>
        <v>0</v>
      </c>
    </row>
    <row r="1396" ht="14.25" customHeight="1">
      <c r="A1396" s="157" t="s">
        <v>8445</v>
      </c>
      <c r="B1396" s="169" t="s">
        <v>38</v>
      </c>
      <c r="C1396" s="169" t="s">
        <v>3045</v>
      </c>
      <c r="D1396" s="336">
        <v>44414.0</v>
      </c>
      <c r="E1396" s="157" t="s">
        <v>600</v>
      </c>
      <c r="F1396" s="160">
        <v>10848.91</v>
      </c>
      <c r="G1396" s="160">
        <v>1735.83</v>
      </c>
      <c r="H1396" s="160">
        <f t="shared" si="42"/>
        <v>12584.74</v>
      </c>
      <c r="I1396" s="172"/>
      <c r="J1396" s="169"/>
      <c r="K1396" s="172"/>
      <c r="L1396" s="172">
        <f>+'FACUS$'!$H1396-'FACUS$'!$I1396-'FACUS$'!$K1396</f>
        <v>12584.74</v>
      </c>
      <c r="M1396" s="162" t="s">
        <v>145</v>
      </c>
      <c r="N1396" s="337" t="s">
        <v>554</v>
      </c>
      <c r="O1396" s="338">
        <v>44463.0</v>
      </c>
      <c r="P1396" s="164">
        <f t="array" ref="P1396">XLOOKUP('FACUS$'!$B1396,'perfil de pagos'!$A$4:$A$46,'perfil de pagos'!$C$4:$C$46+'FACUS$'!$D1396)</f>
        <v>44444</v>
      </c>
      <c r="Q1396" s="165">
        <f t="shared" si="2"/>
        <v>0</v>
      </c>
      <c r="R1396" s="167"/>
      <c r="S1396" s="167"/>
      <c r="T1396" s="167"/>
      <c r="U1396" s="334" t="s">
        <v>7271</v>
      </c>
      <c r="V1396" s="168">
        <f t="shared" si="3"/>
        <v>12584.74</v>
      </c>
      <c r="W1396" s="168">
        <f t="shared" si="4"/>
        <v>0</v>
      </c>
      <c r="X1396" s="168">
        <f t="shared" si="5"/>
        <v>0</v>
      </c>
      <c r="Y1396" s="168">
        <f t="shared" si="6"/>
        <v>0</v>
      </c>
      <c r="Z1396" s="168">
        <f t="shared" si="7"/>
        <v>0</v>
      </c>
      <c r="AA1396" s="168">
        <f t="shared" si="8"/>
        <v>0</v>
      </c>
      <c r="AB1396" s="168">
        <f t="shared" si="9"/>
        <v>0</v>
      </c>
    </row>
    <row r="1397" ht="14.25" customHeight="1">
      <c r="A1397" s="157" t="s">
        <v>8446</v>
      </c>
      <c r="B1397" s="169" t="s">
        <v>36</v>
      </c>
      <c r="C1397" s="169" t="s">
        <v>8447</v>
      </c>
      <c r="D1397" s="336">
        <v>44426.0</v>
      </c>
      <c r="E1397" s="157" t="s">
        <v>600</v>
      </c>
      <c r="F1397" s="160">
        <f>613.25-91.99</f>
        <v>521.26</v>
      </c>
      <c r="G1397" s="160">
        <v>83.4</v>
      </c>
      <c r="H1397" s="160">
        <f t="shared" si="42"/>
        <v>604.66</v>
      </c>
      <c r="I1397" s="172"/>
      <c r="J1397" s="169"/>
      <c r="K1397" s="172"/>
      <c r="L1397" s="172">
        <f>+'FACUS$'!$H1397-'FACUS$'!$I1397-'FACUS$'!$K1397</f>
        <v>604.66</v>
      </c>
      <c r="M1397" s="162" t="s">
        <v>278</v>
      </c>
      <c r="N1397" s="337" t="s">
        <v>554</v>
      </c>
      <c r="O1397" s="338">
        <v>44530.0</v>
      </c>
      <c r="P1397" s="164">
        <f t="array" ref="P1397">XLOOKUP('FACUS$'!$B1397,'perfil de pagos'!$A$4:$A$46,'perfil de pagos'!$C$4:$C$46+'FACUS$'!$D1397)</f>
        <v>44436</v>
      </c>
      <c r="Q1397" s="165">
        <f t="shared" si="2"/>
        <v>0</v>
      </c>
      <c r="R1397" s="220" t="s">
        <v>8448</v>
      </c>
      <c r="S1397" s="167"/>
      <c r="T1397" s="167"/>
      <c r="U1397" s="334" t="s">
        <v>7271</v>
      </c>
      <c r="V1397" s="168">
        <f t="shared" si="3"/>
        <v>604.66</v>
      </c>
      <c r="W1397" s="168">
        <f t="shared" si="4"/>
        <v>0</v>
      </c>
      <c r="X1397" s="168">
        <f t="shared" si="5"/>
        <v>0</v>
      </c>
      <c r="Y1397" s="168">
        <f t="shared" si="6"/>
        <v>0</v>
      </c>
      <c r="Z1397" s="168">
        <f t="shared" si="7"/>
        <v>0</v>
      </c>
      <c r="AA1397" s="168">
        <f t="shared" si="8"/>
        <v>0</v>
      </c>
      <c r="AB1397" s="168">
        <f t="shared" si="9"/>
        <v>0</v>
      </c>
    </row>
    <row r="1398" ht="14.25" customHeight="1">
      <c r="A1398" s="157" t="s">
        <v>8449</v>
      </c>
      <c r="B1398" s="169" t="s">
        <v>18</v>
      </c>
      <c r="C1398" s="169" t="s">
        <v>8450</v>
      </c>
      <c r="D1398" s="336">
        <v>44427.0</v>
      </c>
      <c r="E1398" s="157" t="s">
        <v>600</v>
      </c>
      <c r="F1398" s="160">
        <v>8961.94</v>
      </c>
      <c r="G1398" s="160">
        <v>1433.91</v>
      </c>
      <c r="H1398" s="160">
        <f t="shared" si="42"/>
        <v>10395.85</v>
      </c>
      <c r="I1398" s="172"/>
      <c r="J1398" s="169"/>
      <c r="K1398" s="172"/>
      <c r="L1398" s="172">
        <f>+'FACUS$'!$H1398-'FACUS$'!$I1398-'FACUS$'!$K1398</f>
        <v>10395.85</v>
      </c>
      <c r="M1398" s="162" t="s">
        <v>586</v>
      </c>
      <c r="N1398" s="337" t="s">
        <v>554</v>
      </c>
      <c r="O1398" s="338">
        <v>44438.0</v>
      </c>
      <c r="P1398" s="164">
        <f t="array" ref="P1398">XLOOKUP('FACUS$'!$B1398,'perfil de pagos'!$A$4:$A$46,'perfil de pagos'!$C$4:$C$46+'FACUS$'!$D1398)</f>
        <v>44437</v>
      </c>
      <c r="Q1398" s="165">
        <f t="shared" si="2"/>
        <v>0</v>
      </c>
      <c r="R1398" s="167"/>
      <c r="S1398" s="167"/>
      <c r="T1398" s="167"/>
      <c r="U1398" s="334" t="s">
        <v>7271</v>
      </c>
      <c r="V1398" s="168">
        <f t="shared" si="3"/>
        <v>10395.85</v>
      </c>
      <c r="W1398" s="168">
        <f t="shared" si="4"/>
        <v>0</v>
      </c>
      <c r="X1398" s="168">
        <f t="shared" si="5"/>
        <v>0</v>
      </c>
      <c r="Y1398" s="168">
        <f t="shared" si="6"/>
        <v>0</v>
      </c>
      <c r="Z1398" s="168">
        <f t="shared" si="7"/>
        <v>0</v>
      </c>
      <c r="AA1398" s="168">
        <f t="shared" si="8"/>
        <v>0</v>
      </c>
      <c r="AB1398" s="168">
        <f t="shared" si="9"/>
        <v>0</v>
      </c>
    </row>
    <row r="1399" ht="14.25" customHeight="1">
      <c r="A1399" s="157" t="s">
        <v>8451</v>
      </c>
      <c r="B1399" s="169" t="s">
        <v>20</v>
      </c>
      <c r="C1399" s="169" t="s">
        <v>3059</v>
      </c>
      <c r="D1399" s="336">
        <v>44427.0</v>
      </c>
      <c r="E1399" s="157" t="s">
        <v>600</v>
      </c>
      <c r="F1399" s="160">
        <v>9030.0</v>
      </c>
      <c r="G1399" s="160">
        <v>1444.8</v>
      </c>
      <c r="H1399" s="160">
        <f t="shared" si="42"/>
        <v>10474.8</v>
      </c>
      <c r="I1399" s="172"/>
      <c r="J1399" s="169"/>
      <c r="K1399" s="172"/>
      <c r="L1399" s="172">
        <f>+'FACUS$'!$H1399-'FACUS$'!$I1399-'FACUS$'!$K1399</f>
        <v>10474.8</v>
      </c>
      <c r="M1399" s="162" t="s">
        <v>732</v>
      </c>
      <c r="N1399" s="337" t="s">
        <v>554</v>
      </c>
      <c r="O1399" s="338">
        <v>44438.0</v>
      </c>
      <c r="P1399" s="164">
        <f t="array" ref="P1399">XLOOKUP('FACUS$'!$B1399,'perfil de pagos'!$A$4:$A$46,'perfil de pagos'!$C$4:$C$46+'FACUS$'!$D1399)</f>
        <v>44437</v>
      </c>
      <c r="Q1399" s="165">
        <f t="shared" si="2"/>
        <v>0</v>
      </c>
      <c r="R1399" s="167"/>
      <c r="S1399" s="167"/>
      <c r="T1399" s="167"/>
      <c r="U1399" s="334" t="s">
        <v>7271</v>
      </c>
      <c r="V1399" s="168">
        <f t="shared" si="3"/>
        <v>10474.8</v>
      </c>
      <c r="W1399" s="168">
        <f t="shared" si="4"/>
        <v>0</v>
      </c>
      <c r="X1399" s="168">
        <f t="shared" si="5"/>
        <v>0</v>
      </c>
      <c r="Y1399" s="168">
        <f t="shared" si="6"/>
        <v>0</v>
      </c>
      <c r="Z1399" s="168">
        <f t="shared" si="7"/>
        <v>0</v>
      </c>
      <c r="AA1399" s="168">
        <f t="shared" si="8"/>
        <v>0</v>
      </c>
      <c r="AB1399" s="168">
        <f t="shared" si="9"/>
        <v>0</v>
      </c>
    </row>
    <row r="1400" ht="14.25" customHeight="1">
      <c r="A1400" s="157" t="s">
        <v>8452</v>
      </c>
      <c r="B1400" s="169" t="s">
        <v>39</v>
      </c>
      <c r="C1400" s="169" t="s">
        <v>3057</v>
      </c>
      <c r="D1400" s="336">
        <v>44427.0</v>
      </c>
      <c r="E1400" s="157" t="s">
        <v>600</v>
      </c>
      <c r="F1400" s="160">
        <v>7238.24</v>
      </c>
      <c r="G1400" s="160">
        <v>1158.12</v>
      </c>
      <c r="H1400" s="160">
        <f t="shared" si="42"/>
        <v>8396.36</v>
      </c>
      <c r="I1400" s="172"/>
      <c r="J1400" s="169"/>
      <c r="K1400" s="172"/>
      <c r="L1400" s="172">
        <f>+'FACUS$'!$H1400-'FACUS$'!$I1400-'FACUS$'!$K1400</f>
        <v>8396.36</v>
      </c>
      <c r="M1400" s="162" t="s">
        <v>570</v>
      </c>
      <c r="N1400" s="337" t="s">
        <v>554</v>
      </c>
      <c r="O1400" s="338">
        <v>44442.0</v>
      </c>
      <c r="P1400" s="164">
        <f t="array" ref="P1400">XLOOKUP('FACUS$'!$B1400,'perfil de pagos'!$A$4:$A$46,'perfil de pagos'!$C$4:$C$46+'FACUS$'!$D1400)</f>
        <v>44437</v>
      </c>
      <c r="Q1400" s="165">
        <f t="shared" si="2"/>
        <v>0</v>
      </c>
      <c r="R1400" s="167"/>
      <c r="S1400" s="167"/>
      <c r="T1400" s="167"/>
      <c r="U1400" s="334" t="s">
        <v>7271</v>
      </c>
      <c r="V1400" s="168">
        <f t="shared" si="3"/>
        <v>8396.36</v>
      </c>
      <c r="W1400" s="168">
        <f t="shared" si="4"/>
        <v>0</v>
      </c>
      <c r="X1400" s="168">
        <f t="shared" si="5"/>
        <v>0</v>
      </c>
      <c r="Y1400" s="168">
        <f t="shared" si="6"/>
        <v>0</v>
      </c>
      <c r="Z1400" s="168">
        <f t="shared" si="7"/>
        <v>0</v>
      </c>
      <c r="AA1400" s="168">
        <f t="shared" si="8"/>
        <v>0</v>
      </c>
      <c r="AB1400" s="168">
        <f t="shared" si="9"/>
        <v>0</v>
      </c>
    </row>
    <row r="1401" ht="14.25" customHeight="1">
      <c r="A1401" s="157" t="s">
        <v>8453</v>
      </c>
      <c r="B1401" s="169" t="s">
        <v>39</v>
      </c>
      <c r="C1401" s="169" t="s">
        <v>3059</v>
      </c>
      <c r="D1401" s="336">
        <v>44427.0</v>
      </c>
      <c r="E1401" s="157" t="s">
        <v>600</v>
      </c>
      <c r="F1401" s="160">
        <v>8887.35</v>
      </c>
      <c r="G1401" s="160">
        <v>1421.98</v>
      </c>
      <c r="H1401" s="160">
        <f t="shared" si="42"/>
        <v>10309.33</v>
      </c>
      <c r="I1401" s="172"/>
      <c r="J1401" s="169"/>
      <c r="K1401" s="172"/>
      <c r="L1401" s="172">
        <f>+'FACUS$'!$H1401-'FACUS$'!$I1401-'FACUS$'!$K1401</f>
        <v>10309.33</v>
      </c>
      <c r="M1401" s="162" t="s">
        <v>570</v>
      </c>
      <c r="N1401" s="337" t="s">
        <v>554</v>
      </c>
      <c r="O1401" s="338">
        <v>44442.0</v>
      </c>
      <c r="P1401" s="164">
        <f t="array" ref="P1401">XLOOKUP('FACUS$'!$B1401,'perfil de pagos'!$A$4:$A$46,'perfil de pagos'!$C$4:$C$46+'FACUS$'!$D1401)</f>
        <v>44437</v>
      </c>
      <c r="Q1401" s="165">
        <f t="shared" si="2"/>
        <v>0</v>
      </c>
      <c r="R1401" s="167"/>
      <c r="S1401" s="167"/>
      <c r="T1401" s="167"/>
      <c r="U1401" s="334" t="s">
        <v>7271</v>
      </c>
      <c r="V1401" s="168">
        <f t="shared" si="3"/>
        <v>10309.33</v>
      </c>
      <c r="W1401" s="168">
        <f t="shared" si="4"/>
        <v>0</v>
      </c>
      <c r="X1401" s="168">
        <f t="shared" si="5"/>
        <v>0</v>
      </c>
      <c r="Y1401" s="168">
        <f t="shared" si="6"/>
        <v>0</v>
      </c>
      <c r="Z1401" s="168">
        <f t="shared" si="7"/>
        <v>0</v>
      </c>
      <c r="AA1401" s="168">
        <f t="shared" si="8"/>
        <v>0</v>
      </c>
      <c r="AB1401" s="168">
        <f t="shared" si="9"/>
        <v>0</v>
      </c>
    </row>
    <row r="1402" ht="14.25" customHeight="1">
      <c r="A1402" s="157" t="s">
        <v>8454</v>
      </c>
      <c r="B1402" s="169" t="s">
        <v>26</v>
      </c>
      <c r="C1402" s="169" t="s">
        <v>3059</v>
      </c>
      <c r="D1402" s="336">
        <v>44427.0</v>
      </c>
      <c r="E1402" s="157" t="s">
        <v>600</v>
      </c>
      <c r="F1402" s="160">
        <v>2304.77</v>
      </c>
      <c r="G1402" s="160">
        <v>368.76</v>
      </c>
      <c r="H1402" s="195">
        <f t="shared" si="42"/>
        <v>2673.53</v>
      </c>
      <c r="I1402" s="371"/>
      <c r="J1402" s="372"/>
      <c r="K1402" s="371"/>
      <c r="L1402" s="371">
        <f>+'FACUS$'!$H1402-'FACUS$'!$I1402-'FACUS$'!$K1402</f>
        <v>2673.53</v>
      </c>
      <c r="M1402" s="162" t="s">
        <v>188</v>
      </c>
      <c r="N1402" s="337" t="s">
        <v>554</v>
      </c>
      <c r="O1402" s="338">
        <v>44477.0</v>
      </c>
      <c r="P1402" s="164">
        <f t="array" ref="P1402">XLOOKUP('FACUS$'!$B1402,'perfil de pagos'!$A$4:$A$46,'perfil de pagos'!$C$4:$C$46+'FACUS$'!$D1402)</f>
        <v>44457</v>
      </c>
      <c r="Q1402" s="165">
        <f t="shared" si="2"/>
        <v>0</v>
      </c>
      <c r="R1402" s="167" t="s">
        <v>8455</v>
      </c>
      <c r="S1402" s="167"/>
      <c r="T1402" s="167"/>
      <c r="U1402" s="334" t="s">
        <v>7271</v>
      </c>
      <c r="V1402" s="168">
        <f t="shared" si="3"/>
        <v>2673.53</v>
      </c>
      <c r="W1402" s="168">
        <f t="shared" si="4"/>
        <v>0</v>
      </c>
      <c r="X1402" s="168">
        <f t="shared" si="5"/>
        <v>0</v>
      </c>
      <c r="Y1402" s="168">
        <f t="shared" si="6"/>
        <v>0</v>
      </c>
      <c r="Z1402" s="168">
        <f t="shared" si="7"/>
        <v>0</v>
      </c>
      <c r="AA1402" s="168">
        <f t="shared" si="8"/>
        <v>0</v>
      </c>
      <c r="AB1402" s="168">
        <f t="shared" si="9"/>
        <v>0</v>
      </c>
    </row>
    <row r="1403" ht="14.25" customHeight="1">
      <c r="A1403" s="157" t="s">
        <v>8456</v>
      </c>
      <c r="B1403" s="169" t="s">
        <v>41</v>
      </c>
      <c r="C1403" s="169" t="s">
        <v>3059</v>
      </c>
      <c r="D1403" s="336">
        <v>44427.0</v>
      </c>
      <c r="E1403" s="157" t="s">
        <v>600</v>
      </c>
      <c r="F1403" s="160">
        <v>11634.8</v>
      </c>
      <c r="G1403" s="160">
        <v>1861.57</v>
      </c>
      <c r="H1403" s="160">
        <f t="shared" si="42"/>
        <v>13496.37</v>
      </c>
      <c r="I1403" s="172"/>
      <c r="J1403" s="169"/>
      <c r="K1403" s="172"/>
      <c r="L1403" s="172">
        <f>+'FACUS$'!$H1403-'FACUS$'!$I1403-'FACUS$'!$K1403</f>
        <v>13496.37</v>
      </c>
      <c r="M1403" s="162" t="s">
        <v>875</v>
      </c>
      <c r="N1403" s="337" t="s">
        <v>554</v>
      </c>
      <c r="O1403" s="338">
        <v>44531.0</v>
      </c>
      <c r="P1403" s="164">
        <f t="array" ref="P1403">XLOOKUP('FACUS$'!$B1403,'perfil de pagos'!$A$4:$A$46,'perfil de pagos'!$C$4:$C$46+'FACUS$'!$D1403)</f>
        <v>44437</v>
      </c>
      <c r="Q1403" s="165">
        <f t="shared" si="2"/>
        <v>0</v>
      </c>
      <c r="R1403" s="167"/>
      <c r="S1403" s="167"/>
      <c r="T1403" s="167"/>
      <c r="U1403" s="334" t="s">
        <v>7271</v>
      </c>
      <c r="V1403" s="168">
        <f t="shared" si="3"/>
        <v>13496.37</v>
      </c>
      <c r="W1403" s="168">
        <f t="shared" si="4"/>
        <v>0</v>
      </c>
      <c r="X1403" s="168">
        <f t="shared" si="5"/>
        <v>0</v>
      </c>
      <c r="Y1403" s="168">
        <f t="shared" si="6"/>
        <v>0</v>
      </c>
      <c r="Z1403" s="168">
        <f t="shared" si="7"/>
        <v>0</v>
      </c>
      <c r="AA1403" s="168">
        <f t="shared" si="8"/>
        <v>0</v>
      </c>
      <c r="AB1403" s="168">
        <f t="shared" si="9"/>
        <v>0</v>
      </c>
    </row>
    <row r="1404" ht="14.25" customHeight="1">
      <c r="A1404" s="157" t="s">
        <v>8457</v>
      </c>
      <c r="B1404" s="169" t="s">
        <v>37</v>
      </c>
      <c r="C1404" s="169" t="s">
        <v>3059</v>
      </c>
      <c r="D1404" s="336">
        <v>44427.0</v>
      </c>
      <c r="E1404" s="157" t="s">
        <v>600</v>
      </c>
      <c r="F1404" s="160">
        <v>73035.64</v>
      </c>
      <c r="G1404" s="160">
        <v>11685.7</v>
      </c>
      <c r="H1404" s="160">
        <f t="shared" si="42"/>
        <v>84721.34</v>
      </c>
      <c r="I1404" s="172"/>
      <c r="J1404" s="169"/>
      <c r="K1404" s="172"/>
      <c r="L1404" s="172">
        <f>+'FACUS$'!$H1404-'FACUS$'!$I1404-'FACUS$'!$K1404</f>
        <v>84721.34</v>
      </c>
      <c r="M1404" s="162" t="s">
        <v>116</v>
      </c>
      <c r="N1404" s="337" t="s">
        <v>554</v>
      </c>
      <c r="O1404" s="338">
        <v>44459.0</v>
      </c>
      <c r="P1404" s="164">
        <f t="array" ref="P1404">XLOOKUP('FACUS$'!$B1404,'perfil de pagos'!$A$4:$A$46,'perfil de pagos'!$C$4:$C$46+'FACUS$'!$D1404)</f>
        <v>44437</v>
      </c>
      <c r="Q1404" s="165">
        <f t="shared" si="2"/>
        <v>0</v>
      </c>
      <c r="R1404" s="167" t="s">
        <v>8458</v>
      </c>
      <c r="S1404" s="167"/>
      <c r="T1404" s="167"/>
      <c r="U1404" s="334" t="s">
        <v>7271</v>
      </c>
      <c r="V1404" s="168">
        <f t="shared" si="3"/>
        <v>84721.34</v>
      </c>
      <c r="W1404" s="168">
        <f t="shared" si="4"/>
        <v>0</v>
      </c>
      <c r="X1404" s="168">
        <f t="shared" si="5"/>
        <v>0</v>
      </c>
      <c r="Y1404" s="168">
        <f t="shared" si="6"/>
        <v>0</v>
      </c>
      <c r="Z1404" s="168">
        <f t="shared" si="7"/>
        <v>0</v>
      </c>
      <c r="AA1404" s="168">
        <f t="shared" si="8"/>
        <v>0</v>
      </c>
      <c r="AB1404" s="168">
        <f t="shared" si="9"/>
        <v>0</v>
      </c>
    </row>
    <row r="1405" ht="14.25" customHeight="1">
      <c r="A1405" s="157" t="s">
        <v>8459</v>
      </c>
      <c r="B1405" s="169" t="s">
        <v>36</v>
      </c>
      <c r="C1405" s="169" t="s">
        <v>3059</v>
      </c>
      <c r="D1405" s="336">
        <v>44427.0</v>
      </c>
      <c r="E1405" s="157" t="s">
        <v>600</v>
      </c>
      <c r="F1405" s="160">
        <v>1679.58</v>
      </c>
      <c r="G1405" s="160">
        <v>268.73</v>
      </c>
      <c r="H1405" s="160">
        <f t="shared" si="42"/>
        <v>1948.31</v>
      </c>
      <c r="I1405" s="172"/>
      <c r="J1405" s="169"/>
      <c r="K1405" s="172"/>
      <c r="L1405" s="172">
        <f>+'FACUS$'!$H1405-'FACUS$'!$I1405-'FACUS$'!$K1405</f>
        <v>1948.31</v>
      </c>
      <c r="M1405" s="162" t="s">
        <v>278</v>
      </c>
      <c r="N1405" s="337" t="s">
        <v>554</v>
      </c>
      <c r="O1405" s="338">
        <v>44529.0</v>
      </c>
      <c r="P1405" s="164">
        <f t="array" ref="P1405">XLOOKUP('FACUS$'!$B1405,'perfil de pagos'!$A$4:$A$46,'perfil de pagos'!$C$4:$C$46+'FACUS$'!$D1405)</f>
        <v>44437</v>
      </c>
      <c r="Q1405" s="165">
        <f t="shared" si="2"/>
        <v>0</v>
      </c>
      <c r="R1405" s="167" t="s">
        <v>8460</v>
      </c>
      <c r="S1405" s="167"/>
      <c r="T1405" s="167"/>
      <c r="U1405" s="334" t="s">
        <v>7271</v>
      </c>
      <c r="V1405" s="168">
        <f t="shared" si="3"/>
        <v>1948.31</v>
      </c>
      <c r="W1405" s="168">
        <f t="shared" si="4"/>
        <v>0</v>
      </c>
      <c r="X1405" s="168">
        <f t="shared" si="5"/>
        <v>0</v>
      </c>
      <c r="Y1405" s="168">
        <f t="shared" si="6"/>
        <v>0</v>
      </c>
      <c r="Z1405" s="168">
        <f t="shared" si="7"/>
        <v>0</v>
      </c>
      <c r="AA1405" s="168">
        <f t="shared" si="8"/>
        <v>0</v>
      </c>
      <c r="AB1405" s="168">
        <f t="shared" si="9"/>
        <v>0</v>
      </c>
    </row>
    <row r="1406" ht="14.25" customHeight="1">
      <c r="A1406" s="157" t="s">
        <v>8461</v>
      </c>
      <c r="B1406" s="169" t="s">
        <v>38</v>
      </c>
      <c r="C1406" s="169" t="s">
        <v>3059</v>
      </c>
      <c r="D1406" s="336">
        <v>44427.0</v>
      </c>
      <c r="E1406" s="157" t="s">
        <v>600</v>
      </c>
      <c r="F1406" s="160">
        <v>9347.52</v>
      </c>
      <c r="G1406" s="160">
        <v>1495.6</v>
      </c>
      <c r="H1406" s="160">
        <f t="shared" si="42"/>
        <v>10843.12</v>
      </c>
      <c r="I1406" s="172"/>
      <c r="J1406" s="169"/>
      <c r="K1406" s="172"/>
      <c r="L1406" s="172">
        <f>+'FACUS$'!$H1406-'FACUS$'!$I1406-'FACUS$'!$K1406</f>
        <v>10843.12</v>
      </c>
      <c r="M1406" s="162" t="s">
        <v>145</v>
      </c>
      <c r="N1406" s="337" t="s">
        <v>554</v>
      </c>
      <c r="O1406" s="338">
        <v>44529.0</v>
      </c>
      <c r="P1406" s="164">
        <f t="array" ref="P1406">XLOOKUP('FACUS$'!$B1406,'perfil de pagos'!$A$4:$A$46,'perfil de pagos'!$C$4:$C$46+'FACUS$'!$D1406)</f>
        <v>44457</v>
      </c>
      <c r="Q1406" s="165">
        <f t="shared" si="2"/>
        <v>0</v>
      </c>
      <c r="R1406" s="167" t="s">
        <v>8462</v>
      </c>
      <c r="S1406" s="167"/>
      <c r="T1406" s="167"/>
      <c r="U1406" s="334" t="s">
        <v>7271</v>
      </c>
      <c r="V1406" s="168">
        <f t="shared" si="3"/>
        <v>10843.12</v>
      </c>
      <c r="W1406" s="168">
        <f t="shared" si="4"/>
        <v>0</v>
      </c>
      <c r="X1406" s="168">
        <f t="shared" si="5"/>
        <v>0</v>
      </c>
      <c r="Y1406" s="168">
        <f t="shared" si="6"/>
        <v>0</v>
      </c>
      <c r="Z1406" s="168">
        <f t="shared" si="7"/>
        <v>0</v>
      </c>
      <c r="AA1406" s="168">
        <f t="shared" si="8"/>
        <v>0</v>
      </c>
      <c r="AB1406" s="168">
        <f t="shared" si="9"/>
        <v>0</v>
      </c>
    </row>
    <row r="1407" ht="14.25" customHeight="1">
      <c r="A1407" s="157" t="s">
        <v>8463</v>
      </c>
      <c r="B1407" s="169" t="s">
        <v>26</v>
      </c>
      <c r="C1407" s="169" t="s">
        <v>3059</v>
      </c>
      <c r="D1407" s="336">
        <v>44427.0</v>
      </c>
      <c r="E1407" s="157" t="s">
        <v>600</v>
      </c>
      <c r="F1407" s="160">
        <v>4507.44</v>
      </c>
      <c r="G1407" s="160">
        <v>721.19</v>
      </c>
      <c r="H1407" s="160">
        <f t="shared" si="42"/>
        <v>5228.63</v>
      </c>
      <c r="I1407" s="172"/>
      <c r="J1407" s="169"/>
      <c r="K1407" s="172"/>
      <c r="L1407" s="172">
        <f>+'FACUS$'!$H1407-'FACUS$'!$I1407-'FACUS$'!$K1407</f>
        <v>5228.63</v>
      </c>
      <c r="M1407" s="162" t="s">
        <v>2386</v>
      </c>
      <c r="N1407" s="337" t="s">
        <v>554</v>
      </c>
      <c r="O1407" s="338">
        <v>44546.0</v>
      </c>
      <c r="P1407" s="164">
        <f t="array" ref="P1407">XLOOKUP('FACUS$'!$B1407,'perfil de pagos'!$A$4:$A$46,'perfil de pagos'!$C$4:$C$46+'FACUS$'!$D1407)</f>
        <v>44457</v>
      </c>
      <c r="Q1407" s="165">
        <f t="shared" si="2"/>
        <v>0</v>
      </c>
      <c r="R1407" s="167" t="s">
        <v>8464</v>
      </c>
      <c r="S1407" s="167"/>
      <c r="T1407" s="167"/>
      <c r="U1407" s="334" t="s">
        <v>7271</v>
      </c>
      <c r="V1407" s="168">
        <f t="shared" si="3"/>
        <v>5228.63</v>
      </c>
      <c r="W1407" s="168">
        <f t="shared" si="4"/>
        <v>0</v>
      </c>
      <c r="X1407" s="168">
        <f t="shared" si="5"/>
        <v>0</v>
      </c>
      <c r="Y1407" s="168">
        <f t="shared" si="6"/>
        <v>0</v>
      </c>
      <c r="Z1407" s="168">
        <f t="shared" si="7"/>
        <v>0</v>
      </c>
      <c r="AA1407" s="168">
        <f t="shared" si="8"/>
        <v>0</v>
      </c>
      <c r="AB1407" s="168">
        <f t="shared" si="9"/>
        <v>0</v>
      </c>
    </row>
    <row r="1408" ht="14.25" customHeight="1">
      <c r="A1408" s="157" t="s">
        <v>8465</v>
      </c>
      <c r="B1408" s="169" t="s">
        <v>17</v>
      </c>
      <c r="C1408" s="169" t="s">
        <v>8325</v>
      </c>
      <c r="D1408" s="336">
        <v>44446.0</v>
      </c>
      <c r="E1408" s="157" t="s">
        <v>600</v>
      </c>
      <c r="F1408" s="160">
        <v>110000.0</v>
      </c>
      <c r="G1408" s="160">
        <v>17600.0</v>
      </c>
      <c r="H1408" s="160">
        <v>63800.0</v>
      </c>
      <c r="I1408" s="172"/>
      <c r="J1408" s="169"/>
      <c r="K1408" s="172"/>
      <c r="L1408" s="172">
        <f>+'FACUS$'!$H1408-'FACUS$'!$I1408-'FACUS$'!$K1408</f>
        <v>63800</v>
      </c>
      <c r="M1408" s="162" t="s">
        <v>17</v>
      </c>
      <c r="N1408" s="337" t="s">
        <v>127</v>
      </c>
      <c r="O1408" s="338"/>
      <c r="P1408" s="164">
        <f t="array" ref="P1408">XLOOKUP('FACUS$'!$B1408,'perfil de pagos'!$A$4:$A$46,'perfil de pagos'!$C$4:$C$46+'FACUS$'!$D1408)</f>
        <v>44456</v>
      </c>
      <c r="Q1408" s="165" t="str">
        <f t="shared" si="2"/>
        <v>N/A</v>
      </c>
      <c r="R1408" s="220" t="s">
        <v>8466</v>
      </c>
      <c r="S1408" s="167"/>
      <c r="T1408" s="167"/>
      <c r="U1408" s="334" t="s">
        <v>7271</v>
      </c>
      <c r="V1408" s="168">
        <f t="shared" si="3"/>
        <v>0</v>
      </c>
      <c r="W1408" s="168">
        <f t="shared" si="4"/>
        <v>0</v>
      </c>
      <c r="X1408" s="168">
        <f t="shared" si="5"/>
        <v>0</v>
      </c>
      <c r="Y1408" s="168">
        <f t="shared" si="6"/>
        <v>0</v>
      </c>
      <c r="Z1408" s="168">
        <f t="shared" si="7"/>
        <v>0</v>
      </c>
      <c r="AA1408" s="168">
        <f t="shared" si="8"/>
        <v>0</v>
      </c>
      <c r="AB1408" s="168">
        <f t="shared" si="9"/>
        <v>63800</v>
      </c>
    </row>
    <row r="1409" ht="14.25" customHeight="1">
      <c r="A1409" s="157" t="s">
        <v>8467</v>
      </c>
      <c r="B1409" s="169" t="s">
        <v>38</v>
      </c>
      <c r="C1409" s="169" t="s">
        <v>3101</v>
      </c>
      <c r="D1409" s="336">
        <v>44446.0</v>
      </c>
      <c r="E1409" s="157" t="s">
        <v>600</v>
      </c>
      <c r="F1409" s="160">
        <v>12813.5</v>
      </c>
      <c r="G1409" s="160">
        <v>2050.16</v>
      </c>
      <c r="H1409" s="160">
        <f t="shared" ref="H1409:H1427" si="43">F1409+G1409</f>
        <v>14863.66</v>
      </c>
      <c r="I1409" s="172"/>
      <c r="J1409" s="169"/>
      <c r="K1409" s="172"/>
      <c r="L1409" s="172">
        <f>+'FACUS$'!$H1409-'FACUS$'!$I1409-'FACUS$'!$K1409</f>
        <v>14863.66</v>
      </c>
      <c r="M1409" s="162" t="s">
        <v>145</v>
      </c>
      <c r="N1409" s="337" t="s">
        <v>554</v>
      </c>
      <c r="O1409" s="338">
        <v>44529.0</v>
      </c>
      <c r="P1409" s="164">
        <f t="array" ref="P1409">XLOOKUP('FACUS$'!$B1409,'perfil de pagos'!$A$4:$A$46,'perfil de pagos'!$C$4:$C$46+'FACUS$'!$D1409)</f>
        <v>44476</v>
      </c>
      <c r="Q1409" s="165">
        <f t="shared" si="2"/>
        <v>0</v>
      </c>
      <c r="R1409" s="167"/>
      <c r="S1409" s="167"/>
      <c r="T1409" s="167"/>
      <c r="U1409" s="334" t="s">
        <v>7271</v>
      </c>
      <c r="V1409" s="168">
        <f t="shared" si="3"/>
        <v>14863.66</v>
      </c>
      <c r="W1409" s="168">
        <f t="shared" si="4"/>
        <v>0</v>
      </c>
      <c r="X1409" s="168">
        <f t="shared" si="5"/>
        <v>0</v>
      </c>
      <c r="Y1409" s="168">
        <f t="shared" si="6"/>
        <v>0</v>
      </c>
      <c r="Z1409" s="168">
        <f t="shared" si="7"/>
        <v>0</v>
      </c>
      <c r="AA1409" s="168">
        <f t="shared" si="8"/>
        <v>0</v>
      </c>
      <c r="AB1409" s="168">
        <f t="shared" si="9"/>
        <v>0</v>
      </c>
    </row>
    <row r="1410" ht="14.25" customHeight="1">
      <c r="A1410" s="157" t="s">
        <v>8468</v>
      </c>
      <c r="B1410" s="169" t="s">
        <v>18</v>
      </c>
      <c r="C1410" s="169" t="s">
        <v>3101</v>
      </c>
      <c r="D1410" s="336">
        <v>44447.0</v>
      </c>
      <c r="E1410" s="157" t="s">
        <v>600</v>
      </c>
      <c r="F1410" s="160">
        <v>11551.81</v>
      </c>
      <c r="G1410" s="160">
        <v>1848.29</v>
      </c>
      <c r="H1410" s="160">
        <f t="shared" si="43"/>
        <v>13400.1</v>
      </c>
      <c r="I1410" s="172"/>
      <c r="J1410" s="169"/>
      <c r="K1410" s="172"/>
      <c r="L1410" s="172">
        <f>+'FACUS$'!$H1410-'FACUS$'!$I1410-'FACUS$'!$K1410</f>
        <v>13400.1</v>
      </c>
      <c r="M1410" s="162" t="s">
        <v>586</v>
      </c>
      <c r="N1410" s="337" t="s">
        <v>554</v>
      </c>
      <c r="O1410" s="338">
        <v>44467.0</v>
      </c>
      <c r="P1410" s="164">
        <f t="array" ref="P1410">XLOOKUP('FACUS$'!$B1410,'perfil de pagos'!$A$4:$A$46,'perfil de pagos'!$C$4:$C$46+'FACUS$'!$D1410)</f>
        <v>44457</v>
      </c>
      <c r="Q1410" s="165">
        <f t="shared" si="2"/>
        <v>0</v>
      </c>
      <c r="R1410" s="167"/>
      <c r="S1410" s="167"/>
      <c r="T1410" s="167"/>
      <c r="U1410" s="334" t="s">
        <v>7271</v>
      </c>
      <c r="V1410" s="168">
        <f t="shared" si="3"/>
        <v>13400.1</v>
      </c>
      <c r="W1410" s="168">
        <f t="shared" si="4"/>
        <v>0</v>
      </c>
      <c r="X1410" s="168">
        <f t="shared" si="5"/>
        <v>0</v>
      </c>
      <c r="Y1410" s="168">
        <f t="shared" si="6"/>
        <v>0</v>
      </c>
      <c r="Z1410" s="168">
        <f t="shared" si="7"/>
        <v>0</v>
      </c>
      <c r="AA1410" s="168">
        <f t="shared" si="8"/>
        <v>0</v>
      </c>
      <c r="AB1410" s="168">
        <f t="shared" si="9"/>
        <v>0</v>
      </c>
    </row>
    <row r="1411" ht="14.25" customHeight="1">
      <c r="A1411" s="157" t="s">
        <v>8469</v>
      </c>
      <c r="B1411" s="169" t="s">
        <v>20</v>
      </c>
      <c r="C1411" s="169" t="s">
        <v>3101</v>
      </c>
      <c r="D1411" s="336">
        <v>44447.0</v>
      </c>
      <c r="E1411" s="157" t="s">
        <v>600</v>
      </c>
      <c r="F1411" s="160">
        <v>11263.79</v>
      </c>
      <c r="G1411" s="160">
        <v>1802.21</v>
      </c>
      <c r="H1411" s="160">
        <f t="shared" si="43"/>
        <v>13066</v>
      </c>
      <c r="I1411" s="172"/>
      <c r="J1411" s="169"/>
      <c r="K1411" s="172"/>
      <c r="L1411" s="172">
        <f>+'FACUS$'!$H1411-'FACUS$'!$I1411-'FACUS$'!$K1411</f>
        <v>13066</v>
      </c>
      <c r="M1411" s="162" t="s">
        <v>732</v>
      </c>
      <c r="N1411" s="337" t="s">
        <v>554</v>
      </c>
      <c r="O1411" s="338">
        <v>44467.0</v>
      </c>
      <c r="P1411" s="164">
        <f t="array" ref="P1411">XLOOKUP('FACUS$'!$B1411,'perfil de pagos'!$A$4:$A$46,'perfil de pagos'!$C$4:$C$46+'FACUS$'!$D1411)</f>
        <v>44457</v>
      </c>
      <c r="Q1411" s="165">
        <f t="shared" si="2"/>
        <v>0</v>
      </c>
      <c r="R1411" s="167"/>
      <c r="S1411" s="167"/>
      <c r="T1411" s="167"/>
      <c r="U1411" s="334" t="s">
        <v>7271</v>
      </c>
      <c r="V1411" s="168">
        <f t="shared" si="3"/>
        <v>13066</v>
      </c>
      <c r="W1411" s="168">
        <f t="shared" si="4"/>
        <v>0</v>
      </c>
      <c r="X1411" s="168">
        <f t="shared" si="5"/>
        <v>0</v>
      </c>
      <c r="Y1411" s="168">
        <f t="shared" si="6"/>
        <v>0</v>
      </c>
      <c r="Z1411" s="168">
        <f t="shared" si="7"/>
        <v>0</v>
      </c>
      <c r="AA1411" s="168">
        <f t="shared" si="8"/>
        <v>0</v>
      </c>
      <c r="AB1411" s="168">
        <f t="shared" si="9"/>
        <v>0</v>
      </c>
    </row>
    <row r="1412" ht="14.25" customHeight="1">
      <c r="A1412" s="157" t="s">
        <v>8470</v>
      </c>
      <c r="B1412" s="169" t="s">
        <v>39</v>
      </c>
      <c r="C1412" s="169" t="s">
        <v>3097</v>
      </c>
      <c r="D1412" s="336">
        <v>44447.0</v>
      </c>
      <c r="E1412" s="157" t="s">
        <v>600</v>
      </c>
      <c r="F1412" s="160">
        <v>15201.71</v>
      </c>
      <c r="G1412" s="160">
        <v>2432.27</v>
      </c>
      <c r="H1412" s="160">
        <f t="shared" si="43"/>
        <v>17633.98</v>
      </c>
      <c r="I1412" s="172"/>
      <c r="J1412" s="169"/>
      <c r="K1412" s="172"/>
      <c r="L1412" s="172">
        <f>+'FACUS$'!$H1412-'FACUS$'!$I1412-'FACUS$'!$K1412</f>
        <v>17633.98</v>
      </c>
      <c r="M1412" s="162" t="s">
        <v>570</v>
      </c>
      <c r="N1412" s="337" t="s">
        <v>554</v>
      </c>
      <c r="O1412" s="338">
        <v>44456.0</v>
      </c>
      <c r="P1412" s="164">
        <f t="array" ref="P1412">XLOOKUP('FACUS$'!$B1412,'perfil de pagos'!$A$4:$A$46,'perfil de pagos'!$C$4:$C$46+'FACUS$'!$D1412)</f>
        <v>44457</v>
      </c>
      <c r="Q1412" s="165">
        <f t="shared" si="2"/>
        <v>0</v>
      </c>
      <c r="R1412" s="167"/>
      <c r="S1412" s="167"/>
      <c r="T1412" s="167"/>
      <c r="U1412" s="334" t="s">
        <v>7271</v>
      </c>
      <c r="V1412" s="168">
        <f t="shared" si="3"/>
        <v>17633.98</v>
      </c>
      <c r="W1412" s="168">
        <f t="shared" si="4"/>
        <v>0</v>
      </c>
      <c r="X1412" s="168">
        <f t="shared" si="5"/>
        <v>0</v>
      </c>
      <c r="Y1412" s="168">
        <f t="shared" si="6"/>
        <v>0</v>
      </c>
      <c r="Z1412" s="168">
        <f t="shared" si="7"/>
        <v>0</v>
      </c>
      <c r="AA1412" s="168">
        <f t="shared" si="8"/>
        <v>0</v>
      </c>
      <c r="AB1412" s="168">
        <f t="shared" si="9"/>
        <v>0</v>
      </c>
    </row>
    <row r="1413" ht="14.25" customHeight="1">
      <c r="A1413" s="157" t="s">
        <v>8471</v>
      </c>
      <c r="B1413" s="169" t="s">
        <v>39</v>
      </c>
      <c r="C1413" s="169" t="s">
        <v>3101</v>
      </c>
      <c r="D1413" s="336">
        <v>44447.0</v>
      </c>
      <c r="E1413" s="157" t="s">
        <v>600</v>
      </c>
      <c r="F1413" s="160">
        <v>18653.33</v>
      </c>
      <c r="G1413" s="160">
        <v>2984.53</v>
      </c>
      <c r="H1413" s="160">
        <f t="shared" si="43"/>
        <v>21637.86</v>
      </c>
      <c r="I1413" s="172"/>
      <c r="J1413" s="169"/>
      <c r="K1413" s="172"/>
      <c r="L1413" s="172">
        <f>+'FACUS$'!$H1413-'FACUS$'!$I1413-'FACUS$'!$K1413</f>
        <v>21637.86</v>
      </c>
      <c r="M1413" s="162" t="s">
        <v>570</v>
      </c>
      <c r="N1413" s="337" t="s">
        <v>554</v>
      </c>
      <c r="O1413" s="338">
        <v>44456.0</v>
      </c>
      <c r="P1413" s="164">
        <f t="array" ref="P1413">XLOOKUP('FACUS$'!$B1413,'perfil de pagos'!$A$4:$A$46,'perfil de pagos'!$C$4:$C$46+'FACUS$'!$D1413)</f>
        <v>44457</v>
      </c>
      <c r="Q1413" s="165">
        <f t="shared" si="2"/>
        <v>0</v>
      </c>
      <c r="R1413" s="167"/>
      <c r="S1413" s="167"/>
      <c r="T1413" s="167"/>
      <c r="U1413" s="334" t="s">
        <v>7271</v>
      </c>
      <c r="V1413" s="168">
        <f t="shared" si="3"/>
        <v>21637.86</v>
      </c>
      <c r="W1413" s="168">
        <f t="shared" si="4"/>
        <v>0</v>
      </c>
      <c r="X1413" s="168">
        <f t="shared" si="5"/>
        <v>0</v>
      </c>
      <c r="Y1413" s="168">
        <f t="shared" si="6"/>
        <v>0</v>
      </c>
      <c r="Z1413" s="168">
        <f t="shared" si="7"/>
        <v>0</v>
      </c>
      <c r="AA1413" s="168">
        <f t="shared" si="8"/>
        <v>0</v>
      </c>
      <c r="AB1413" s="168">
        <f t="shared" si="9"/>
        <v>0</v>
      </c>
    </row>
    <row r="1414" ht="14.25" customHeight="1">
      <c r="A1414" s="157" t="s">
        <v>8472</v>
      </c>
      <c r="B1414" s="169" t="s">
        <v>26</v>
      </c>
      <c r="C1414" s="169" t="s">
        <v>3101</v>
      </c>
      <c r="D1414" s="336">
        <v>44447.0</v>
      </c>
      <c r="E1414" s="157" t="s">
        <v>600</v>
      </c>
      <c r="F1414" s="160">
        <v>5869.22</v>
      </c>
      <c r="G1414" s="160">
        <v>939.08</v>
      </c>
      <c r="H1414" s="160">
        <f t="shared" si="43"/>
        <v>6808.3</v>
      </c>
      <c r="I1414" s="172"/>
      <c r="J1414" s="169"/>
      <c r="K1414" s="172"/>
      <c r="L1414" s="172">
        <f>+'FACUS$'!$H1414-'FACUS$'!$I1414-'FACUS$'!$K1414</f>
        <v>6808.3</v>
      </c>
      <c r="M1414" s="162" t="s">
        <v>2386</v>
      </c>
      <c r="N1414" s="337" t="s">
        <v>554</v>
      </c>
      <c r="O1414" s="338">
        <v>44533.0</v>
      </c>
      <c r="P1414" s="164">
        <f t="array" ref="P1414">XLOOKUP('FACUS$'!$B1414,'perfil de pagos'!$A$4:$A$46,'perfil de pagos'!$C$4:$C$46+'FACUS$'!$D1414)</f>
        <v>44477</v>
      </c>
      <c r="Q1414" s="165">
        <f t="shared" si="2"/>
        <v>0</v>
      </c>
      <c r="R1414" s="167" t="s">
        <v>3105</v>
      </c>
      <c r="S1414" s="167"/>
      <c r="T1414" s="167"/>
      <c r="U1414" s="334" t="s">
        <v>7271</v>
      </c>
      <c r="V1414" s="168">
        <f t="shared" si="3"/>
        <v>6808.3</v>
      </c>
      <c r="W1414" s="168">
        <f t="shared" si="4"/>
        <v>0</v>
      </c>
      <c r="X1414" s="168">
        <f t="shared" si="5"/>
        <v>0</v>
      </c>
      <c r="Y1414" s="168">
        <f t="shared" si="6"/>
        <v>0</v>
      </c>
      <c r="Z1414" s="168">
        <f t="shared" si="7"/>
        <v>0</v>
      </c>
      <c r="AA1414" s="168">
        <f t="shared" si="8"/>
        <v>0</v>
      </c>
      <c r="AB1414" s="168">
        <f t="shared" si="9"/>
        <v>0</v>
      </c>
    </row>
    <row r="1415" ht="14.25" customHeight="1">
      <c r="A1415" s="157" t="s">
        <v>8473</v>
      </c>
      <c r="B1415" s="169" t="s">
        <v>26</v>
      </c>
      <c r="C1415" s="169" t="s">
        <v>3101</v>
      </c>
      <c r="D1415" s="336">
        <v>44447.0</v>
      </c>
      <c r="E1415" s="157" t="s">
        <v>600</v>
      </c>
      <c r="F1415" s="160">
        <v>2732.51</v>
      </c>
      <c r="G1415" s="160">
        <v>437.2</v>
      </c>
      <c r="H1415" s="160">
        <f t="shared" si="43"/>
        <v>3169.71</v>
      </c>
      <c r="I1415" s="172"/>
      <c r="J1415" s="169"/>
      <c r="K1415" s="172"/>
      <c r="L1415" s="172">
        <f>+'FACUS$'!$H1415-'FACUS$'!$I1415-'FACUS$'!$K1415</f>
        <v>3169.71</v>
      </c>
      <c r="M1415" s="162" t="s">
        <v>188</v>
      </c>
      <c r="N1415" s="337" t="s">
        <v>554</v>
      </c>
      <c r="O1415" s="338">
        <v>44725.0</v>
      </c>
      <c r="P1415" s="164">
        <f t="array" ref="P1415">XLOOKUP('FACUS$'!$B1415,'perfil de pagos'!$A$4:$A$46,'perfil de pagos'!$C$4:$C$46+'FACUS$'!$D1415)</f>
        <v>44477</v>
      </c>
      <c r="Q1415" s="165">
        <f t="shared" si="2"/>
        <v>0</v>
      </c>
      <c r="R1415" s="167"/>
      <c r="S1415" s="167">
        <v>1456.0</v>
      </c>
      <c r="T1415" s="167"/>
      <c r="U1415" s="334" t="s">
        <v>7271</v>
      </c>
      <c r="V1415" s="168">
        <f t="shared" si="3"/>
        <v>3169.71</v>
      </c>
      <c r="W1415" s="168">
        <f t="shared" si="4"/>
        <v>0</v>
      </c>
      <c r="X1415" s="168">
        <f t="shared" si="5"/>
        <v>0</v>
      </c>
      <c r="Y1415" s="168">
        <f t="shared" si="6"/>
        <v>0</v>
      </c>
      <c r="Z1415" s="168">
        <f t="shared" si="7"/>
        <v>0</v>
      </c>
      <c r="AA1415" s="168">
        <f t="shared" si="8"/>
        <v>0</v>
      </c>
      <c r="AB1415" s="168">
        <f t="shared" si="9"/>
        <v>0</v>
      </c>
    </row>
    <row r="1416" ht="14.25" customHeight="1">
      <c r="A1416" s="157" t="s">
        <v>8474</v>
      </c>
      <c r="B1416" s="169" t="s">
        <v>41</v>
      </c>
      <c r="C1416" s="169" t="s">
        <v>3101</v>
      </c>
      <c r="D1416" s="336">
        <v>44447.0</v>
      </c>
      <c r="E1416" s="157" t="s">
        <v>600</v>
      </c>
      <c r="F1416" s="160">
        <v>17965.38</v>
      </c>
      <c r="G1416" s="160">
        <v>2874.46</v>
      </c>
      <c r="H1416" s="160">
        <f t="shared" si="43"/>
        <v>20839.84</v>
      </c>
      <c r="I1416" s="172"/>
      <c r="J1416" s="169"/>
      <c r="K1416" s="172"/>
      <c r="L1416" s="172">
        <f>+'FACUS$'!$H1416-'FACUS$'!$I1416-'FACUS$'!$K1416</f>
        <v>20839.84</v>
      </c>
      <c r="M1416" s="162" t="s">
        <v>875</v>
      </c>
      <c r="N1416" s="337" t="s">
        <v>554</v>
      </c>
      <c r="O1416" s="338">
        <v>44531.0</v>
      </c>
      <c r="P1416" s="164">
        <f t="array" ref="P1416">XLOOKUP('FACUS$'!$B1416,'perfil de pagos'!$A$4:$A$46,'perfil de pagos'!$C$4:$C$46+'FACUS$'!$D1416)</f>
        <v>44457</v>
      </c>
      <c r="Q1416" s="165">
        <f t="shared" si="2"/>
        <v>0</v>
      </c>
      <c r="R1416" s="167"/>
      <c r="S1416" s="167"/>
      <c r="T1416" s="167"/>
      <c r="U1416" s="334" t="s">
        <v>7271</v>
      </c>
      <c r="V1416" s="168">
        <f t="shared" si="3"/>
        <v>20839.84</v>
      </c>
      <c r="W1416" s="168">
        <f t="shared" si="4"/>
        <v>0</v>
      </c>
      <c r="X1416" s="168">
        <f t="shared" si="5"/>
        <v>0</v>
      </c>
      <c r="Y1416" s="168">
        <f t="shared" si="6"/>
        <v>0</v>
      </c>
      <c r="Z1416" s="168">
        <f t="shared" si="7"/>
        <v>0</v>
      </c>
      <c r="AA1416" s="168">
        <f t="shared" si="8"/>
        <v>0</v>
      </c>
      <c r="AB1416" s="168">
        <f t="shared" si="9"/>
        <v>0</v>
      </c>
    </row>
    <row r="1417" ht="14.25" customHeight="1">
      <c r="A1417" s="157" t="s">
        <v>8475</v>
      </c>
      <c r="B1417" s="169" t="s">
        <v>37</v>
      </c>
      <c r="C1417" s="169" t="s">
        <v>3101</v>
      </c>
      <c r="D1417" s="336">
        <v>44447.0</v>
      </c>
      <c r="E1417" s="157" t="s">
        <v>600</v>
      </c>
      <c r="F1417" s="160">
        <v>90707.9</v>
      </c>
      <c r="G1417" s="160">
        <v>14513.26</v>
      </c>
      <c r="H1417" s="160">
        <f t="shared" si="43"/>
        <v>105221.16</v>
      </c>
      <c r="I1417" s="172"/>
      <c r="J1417" s="169"/>
      <c r="K1417" s="172"/>
      <c r="L1417" s="172">
        <f>+'FACUS$'!$H1417-'FACUS$'!$I1417-'FACUS$'!$K1417</f>
        <v>105221.16</v>
      </c>
      <c r="M1417" s="162" t="s">
        <v>116</v>
      </c>
      <c r="N1417" s="337" t="s">
        <v>554</v>
      </c>
      <c r="O1417" s="338">
        <v>44459.0</v>
      </c>
      <c r="P1417" s="164">
        <f t="array" ref="P1417">XLOOKUP('FACUS$'!$B1417,'perfil de pagos'!$A$4:$A$46,'perfil de pagos'!$C$4:$C$46+'FACUS$'!$D1417)</f>
        <v>44457</v>
      </c>
      <c r="Q1417" s="165">
        <f t="shared" si="2"/>
        <v>0</v>
      </c>
      <c r="R1417" s="167"/>
      <c r="S1417" s="167"/>
      <c r="T1417" s="167"/>
      <c r="U1417" s="334" t="s">
        <v>7271</v>
      </c>
      <c r="V1417" s="168">
        <f t="shared" si="3"/>
        <v>105221.16</v>
      </c>
      <c r="W1417" s="168">
        <f t="shared" si="4"/>
        <v>0</v>
      </c>
      <c r="X1417" s="168">
        <f t="shared" si="5"/>
        <v>0</v>
      </c>
      <c r="Y1417" s="168">
        <f t="shared" si="6"/>
        <v>0</v>
      </c>
      <c r="Z1417" s="168">
        <f t="shared" si="7"/>
        <v>0</v>
      </c>
      <c r="AA1417" s="168">
        <f t="shared" si="8"/>
        <v>0</v>
      </c>
      <c r="AB1417" s="168">
        <f t="shared" si="9"/>
        <v>0</v>
      </c>
    </row>
    <row r="1418" ht="14.25" customHeight="1">
      <c r="A1418" s="157" t="s">
        <v>8476</v>
      </c>
      <c r="B1418" s="169" t="s">
        <v>36</v>
      </c>
      <c r="C1418" s="169" t="s">
        <v>3101</v>
      </c>
      <c r="D1418" s="336">
        <v>44447.0</v>
      </c>
      <c r="E1418" s="157" t="s">
        <v>600</v>
      </c>
      <c r="F1418" s="160">
        <v>1936.62</v>
      </c>
      <c r="G1418" s="160">
        <v>309.86</v>
      </c>
      <c r="H1418" s="160">
        <f t="shared" si="43"/>
        <v>2246.48</v>
      </c>
      <c r="I1418" s="172"/>
      <c r="J1418" s="169"/>
      <c r="K1418" s="172"/>
      <c r="L1418" s="172">
        <f>+'FACUS$'!$H1418-'FACUS$'!$I1418-'FACUS$'!$K1418</f>
        <v>2246.48</v>
      </c>
      <c r="M1418" s="162" t="s">
        <v>278</v>
      </c>
      <c r="N1418" s="337" t="s">
        <v>554</v>
      </c>
      <c r="O1418" s="338">
        <v>44537.0</v>
      </c>
      <c r="P1418" s="164">
        <f t="array" ref="P1418">XLOOKUP('FACUS$'!$B1418,'perfil de pagos'!$A$4:$A$46,'perfil de pagos'!$C$4:$C$46+'FACUS$'!$D1418)</f>
        <v>44457</v>
      </c>
      <c r="Q1418" s="165">
        <f t="shared" si="2"/>
        <v>0</v>
      </c>
      <c r="R1418" s="167" t="s">
        <v>8477</v>
      </c>
      <c r="S1418" s="167"/>
      <c r="T1418" s="167"/>
      <c r="U1418" s="334" t="s">
        <v>7271</v>
      </c>
      <c r="V1418" s="168">
        <f t="shared" si="3"/>
        <v>2246.48</v>
      </c>
      <c r="W1418" s="168">
        <f t="shared" si="4"/>
        <v>0</v>
      </c>
      <c r="X1418" s="168">
        <f t="shared" si="5"/>
        <v>0</v>
      </c>
      <c r="Y1418" s="168">
        <f t="shared" si="6"/>
        <v>0</v>
      </c>
      <c r="Z1418" s="168">
        <f t="shared" si="7"/>
        <v>0</v>
      </c>
      <c r="AA1418" s="168">
        <f t="shared" si="8"/>
        <v>0</v>
      </c>
      <c r="AB1418" s="168">
        <f t="shared" si="9"/>
        <v>0</v>
      </c>
    </row>
    <row r="1419" ht="14.25" customHeight="1">
      <c r="A1419" s="157" t="s">
        <v>8478</v>
      </c>
      <c r="B1419" s="169" t="s">
        <v>35</v>
      </c>
      <c r="C1419" s="169" t="s">
        <v>3059</v>
      </c>
      <c r="D1419" s="336">
        <v>44448.0</v>
      </c>
      <c r="E1419" s="157" t="s">
        <v>600</v>
      </c>
      <c r="F1419" s="160">
        <v>1528.85</v>
      </c>
      <c r="G1419" s="160">
        <v>244.62</v>
      </c>
      <c r="H1419" s="160">
        <f t="shared" si="43"/>
        <v>1773.47</v>
      </c>
      <c r="I1419" s="172"/>
      <c r="J1419" s="169"/>
      <c r="K1419" s="172"/>
      <c r="L1419" s="172">
        <f>+'FACUS$'!$H1419-'FACUS$'!$I1419-'FACUS$'!$K1419</f>
        <v>1773.47</v>
      </c>
      <c r="M1419" s="162" t="s">
        <v>276</v>
      </c>
      <c r="N1419" s="337" t="s">
        <v>554</v>
      </c>
      <c r="O1419" s="338">
        <v>44454.0</v>
      </c>
      <c r="P1419" s="164">
        <f t="array" ref="P1419">XLOOKUP('FACUS$'!$B1419,'perfil de pagos'!$A$4:$A$46,'perfil de pagos'!$C$4:$C$46+'FACUS$'!$D1419)</f>
        <v>44458</v>
      </c>
      <c r="Q1419" s="165">
        <f t="shared" si="2"/>
        <v>0</v>
      </c>
      <c r="R1419" s="167"/>
      <c r="S1419" s="167"/>
      <c r="T1419" s="167"/>
      <c r="U1419" s="334" t="s">
        <v>7271</v>
      </c>
      <c r="V1419" s="168">
        <f t="shared" si="3"/>
        <v>1773.47</v>
      </c>
      <c r="W1419" s="168">
        <f t="shared" si="4"/>
        <v>0</v>
      </c>
      <c r="X1419" s="168">
        <f t="shared" si="5"/>
        <v>0</v>
      </c>
      <c r="Y1419" s="168">
        <f t="shared" si="6"/>
        <v>0</v>
      </c>
      <c r="Z1419" s="168">
        <f t="shared" si="7"/>
        <v>0</v>
      </c>
      <c r="AA1419" s="168">
        <f t="shared" si="8"/>
        <v>0</v>
      </c>
      <c r="AB1419" s="168">
        <f t="shared" si="9"/>
        <v>0</v>
      </c>
    </row>
    <row r="1420" ht="14.25" customHeight="1">
      <c r="A1420" s="157" t="s">
        <v>8479</v>
      </c>
      <c r="B1420" s="169" t="s">
        <v>35</v>
      </c>
      <c r="C1420" s="169" t="s">
        <v>3101</v>
      </c>
      <c r="D1420" s="336">
        <v>44448.0</v>
      </c>
      <c r="E1420" s="157" t="s">
        <v>600</v>
      </c>
      <c r="F1420" s="160">
        <v>3669.39</v>
      </c>
      <c r="G1420" s="160">
        <v>587.1</v>
      </c>
      <c r="H1420" s="160">
        <f t="shared" si="43"/>
        <v>4256.49</v>
      </c>
      <c r="I1420" s="172"/>
      <c r="J1420" s="169"/>
      <c r="K1420" s="172"/>
      <c r="L1420" s="172">
        <f>+'FACUS$'!$H1420-'FACUS$'!$I1420-'FACUS$'!$K1420</f>
        <v>4256.49</v>
      </c>
      <c r="M1420" s="162" t="s">
        <v>276</v>
      </c>
      <c r="N1420" s="337" t="s">
        <v>554</v>
      </c>
      <c r="O1420" s="338">
        <v>44454.0</v>
      </c>
      <c r="P1420" s="164">
        <f t="array" ref="P1420">XLOOKUP('FACUS$'!$B1420,'perfil de pagos'!$A$4:$A$46,'perfil de pagos'!$C$4:$C$46+'FACUS$'!$D1420)</f>
        <v>44458</v>
      </c>
      <c r="Q1420" s="165">
        <f t="shared" si="2"/>
        <v>0</v>
      </c>
      <c r="R1420" s="167"/>
      <c r="S1420" s="167"/>
      <c r="T1420" s="167"/>
      <c r="U1420" s="334" t="s">
        <v>7271</v>
      </c>
      <c r="V1420" s="168">
        <f t="shared" si="3"/>
        <v>4256.49</v>
      </c>
      <c r="W1420" s="168">
        <f t="shared" si="4"/>
        <v>0</v>
      </c>
      <c r="X1420" s="168">
        <f t="shared" si="5"/>
        <v>0</v>
      </c>
      <c r="Y1420" s="168">
        <f t="shared" si="6"/>
        <v>0</v>
      </c>
      <c r="Z1420" s="168">
        <f t="shared" si="7"/>
        <v>0</v>
      </c>
      <c r="AA1420" s="168">
        <f t="shared" si="8"/>
        <v>0</v>
      </c>
      <c r="AB1420" s="168">
        <f t="shared" si="9"/>
        <v>0</v>
      </c>
    </row>
    <row r="1421" ht="14.25" customHeight="1">
      <c r="A1421" s="157" t="s">
        <v>8480</v>
      </c>
      <c r="B1421" s="169" t="s">
        <v>36</v>
      </c>
      <c r="C1421" s="169" t="s">
        <v>8481</v>
      </c>
      <c r="D1421" s="336">
        <v>44448.0</v>
      </c>
      <c r="E1421" s="157" t="s">
        <v>600</v>
      </c>
      <c r="F1421" s="160">
        <f>613.25-91.99</f>
        <v>521.26</v>
      </c>
      <c r="G1421" s="160">
        <v>83.4</v>
      </c>
      <c r="H1421" s="160">
        <f t="shared" si="43"/>
        <v>604.66</v>
      </c>
      <c r="I1421" s="172"/>
      <c r="J1421" s="169"/>
      <c r="K1421" s="172"/>
      <c r="L1421" s="172">
        <f>+'FACUS$'!$H1421-'FACUS$'!$I1421-'FACUS$'!$K1421</f>
        <v>604.66</v>
      </c>
      <c r="M1421" s="162" t="s">
        <v>278</v>
      </c>
      <c r="N1421" s="337" t="s">
        <v>554</v>
      </c>
      <c r="O1421" s="338">
        <v>44540.0</v>
      </c>
      <c r="P1421" s="164">
        <f t="array" ref="P1421">XLOOKUP('FACUS$'!$B1421,'perfil de pagos'!$A$4:$A$46,'perfil de pagos'!$C$4:$C$46+'FACUS$'!$D1421)</f>
        <v>44458</v>
      </c>
      <c r="Q1421" s="165">
        <f t="shared" si="2"/>
        <v>0</v>
      </c>
      <c r="R1421" s="167" t="s">
        <v>8482</v>
      </c>
      <c r="S1421" s="167"/>
      <c r="T1421" s="167"/>
      <c r="U1421" s="334" t="s">
        <v>7271</v>
      </c>
      <c r="V1421" s="168">
        <f t="shared" si="3"/>
        <v>604.66</v>
      </c>
      <c r="W1421" s="168">
        <f t="shared" si="4"/>
        <v>0</v>
      </c>
      <c r="X1421" s="168">
        <f t="shared" si="5"/>
        <v>0</v>
      </c>
      <c r="Y1421" s="168">
        <f t="shared" si="6"/>
        <v>0</v>
      </c>
      <c r="Z1421" s="168">
        <f t="shared" si="7"/>
        <v>0</v>
      </c>
      <c r="AA1421" s="168">
        <f t="shared" si="8"/>
        <v>0</v>
      </c>
      <c r="AB1421" s="168">
        <f t="shared" si="9"/>
        <v>0</v>
      </c>
    </row>
    <row r="1422" ht="14.25" customHeight="1">
      <c r="A1422" s="157" t="s">
        <v>8483</v>
      </c>
      <c r="B1422" s="169" t="s">
        <v>33</v>
      </c>
      <c r="C1422" s="169" t="s">
        <v>2956</v>
      </c>
      <c r="D1422" s="336">
        <v>44459.0</v>
      </c>
      <c r="E1422" s="157" t="s">
        <v>600</v>
      </c>
      <c r="F1422" s="160">
        <v>25604.04</v>
      </c>
      <c r="G1422" s="160">
        <v>4096.65</v>
      </c>
      <c r="H1422" s="160">
        <f t="shared" si="43"/>
        <v>29700.69</v>
      </c>
      <c r="I1422" s="172"/>
      <c r="J1422" s="169"/>
      <c r="K1422" s="172"/>
      <c r="L1422" s="172">
        <f>+'FACUS$'!$H1422-'FACUS$'!$I1422-'FACUS$'!$K1422</f>
        <v>29700.69</v>
      </c>
      <c r="M1422" s="162" t="s">
        <v>958</v>
      </c>
      <c r="N1422" s="337" t="s">
        <v>554</v>
      </c>
      <c r="O1422" s="338">
        <v>44484.0</v>
      </c>
      <c r="P1422" s="164">
        <f t="array" ref="P1422">XLOOKUP('FACUS$'!$B1422,'perfil de pagos'!$A$4:$A$46,'perfil de pagos'!$C$4:$C$46+'FACUS$'!$D1422)</f>
        <v>44469</v>
      </c>
      <c r="Q1422" s="165">
        <f t="shared" si="2"/>
        <v>0</v>
      </c>
      <c r="R1422" s="167"/>
      <c r="S1422" s="167"/>
      <c r="T1422" s="167"/>
      <c r="U1422" s="334" t="s">
        <v>7271</v>
      </c>
      <c r="V1422" s="168">
        <f t="shared" si="3"/>
        <v>29700.69</v>
      </c>
      <c r="W1422" s="168">
        <f t="shared" si="4"/>
        <v>0</v>
      </c>
      <c r="X1422" s="168">
        <f t="shared" si="5"/>
        <v>0</v>
      </c>
      <c r="Y1422" s="168">
        <f t="shared" si="6"/>
        <v>0</v>
      </c>
      <c r="Z1422" s="168">
        <f t="shared" si="7"/>
        <v>0</v>
      </c>
      <c r="AA1422" s="168">
        <f t="shared" si="8"/>
        <v>0</v>
      </c>
      <c r="AB1422" s="168">
        <f t="shared" si="9"/>
        <v>0</v>
      </c>
    </row>
    <row r="1423" ht="14.25" customHeight="1">
      <c r="A1423" s="157" t="s">
        <v>8484</v>
      </c>
      <c r="B1423" s="169" t="s">
        <v>33</v>
      </c>
      <c r="C1423" s="169" t="s">
        <v>2991</v>
      </c>
      <c r="D1423" s="336">
        <v>44459.0</v>
      </c>
      <c r="E1423" s="157" t="s">
        <v>600</v>
      </c>
      <c r="F1423" s="160">
        <v>10493.06</v>
      </c>
      <c r="G1423" s="160">
        <v>1678.89</v>
      </c>
      <c r="H1423" s="160">
        <f t="shared" si="43"/>
        <v>12171.95</v>
      </c>
      <c r="I1423" s="172"/>
      <c r="J1423" s="169"/>
      <c r="K1423" s="172"/>
      <c r="L1423" s="172">
        <f>+'FACUS$'!$H1423-'FACUS$'!$I1423-'FACUS$'!$K1423</f>
        <v>12171.95</v>
      </c>
      <c r="M1423" s="162" t="s">
        <v>958</v>
      </c>
      <c r="N1423" s="337" t="s">
        <v>554</v>
      </c>
      <c r="O1423" s="338">
        <v>44491.0</v>
      </c>
      <c r="P1423" s="164">
        <f t="array" ref="P1423">XLOOKUP('FACUS$'!$B1423,'perfil de pagos'!$A$4:$A$46,'perfil de pagos'!$C$4:$C$46+'FACUS$'!$D1423)</f>
        <v>44469</v>
      </c>
      <c r="Q1423" s="165">
        <f t="shared" si="2"/>
        <v>0</v>
      </c>
      <c r="R1423" s="167"/>
      <c r="S1423" s="167"/>
      <c r="T1423" s="167"/>
      <c r="U1423" s="334" t="s">
        <v>7271</v>
      </c>
      <c r="V1423" s="168">
        <f t="shared" si="3"/>
        <v>12171.95</v>
      </c>
      <c r="W1423" s="168">
        <f t="shared" si="4"/>
        <v>0</v>
      </c>
      <c r="X1423" s="168">
        <f t="shared" si="5"/>
        <v>0</v>
      </c>
      <c r="Y1423" s="168">
        <f t="shared" si="6"/>
        <v>0</v>
      </c>
      <c r="Z1423" s="168">
        <f t="shared" si="7"/>
        <v>0</v>
      </c>
      <c r="AA1423" s="168">
        <f t="shared" si="8"/>
        <v>0</v>
      </c>
      <c r="AB1423" s="168">
        <f t="shared" si="9"/>
        <v>0</v>
      </c>
    </row>
    <row r="1424" ht="14.25" customHeight="1">
      <c r="A1424" s="157" t="s">
        <v>8485</v>
      </c>
      <c r="B1424" s="169" t="s">
        <v>18</v>
      </c>
      <c r="C1424" s="169" t="s">
        <v>3129</v>
      </c>
      <c r="D1424" s="336">
        <v>44463.0</v>
      </c>
      <c r="E1424" s="157" t="s">
        <v>600</v>
      </c>
      <c r="F1424" s="160">
        <v>8481.66</v>
      </c>
      <c r="G1424" s="160">
        <v>1357.07</v>
      </c>
      <c r="H1424" s="160">
        <f t="shared" si="43"/>
        <v>9838.73</v>
      </c>
      <c r="I1424" s="172"/>
      <c r="J1424" s="169"/>
      <c r="K1424" s="172"/>
      <c r="L1424" s="172">
        <f>+'FACUS$'!$H1424-'FACUS$'!$I1424-'FACUS$'!$K1424</f>
        <v>9838.73</v>
      </c>
      <c r="M1424" s="162" t="s">
        <v>586</v>
      </c>
      <c r="N1424" s="337" t="s">
        <v>554</v>
      </c>
      <c r="O1424" s="338">
        <v>44523.0</v>
      </c>
      <c r="P1424" s="164">
        <f t="array" ref="P1424">XLOOKUP('FACUS$'!$B1424,'perfil de pagos'!$A$4:$A$46,'perfil de pagos'!$C$4:$C$46+'FACUS$'!$D1424)</f>
        <v>44473</v>
      </c>
      <c r="Q1424" s="165">
        <f t="shared" si="2"/>
        <v>0</v>
      </c>
      <c r="R1424" s="167"/>
      <c r="S1424" s="167"/>
      <c r="T1424" s="167"/>
      <c r="U1424" s="334" t="s">
        <v>7271</v>
      </c>
      <c r="V1424" s="168">
        <f t="shared" si="3"/>
        <v>9838.73</v>
      </c>
      <c r="W1424" s="168">
        <f t="shared" si="4"/>
        <v>0</v>
      </c>
      <c r="X1424" s="168">
        <f t="shared" si="5"/>
        <v>0</v>
      </c>
      <c r="Y1424" s="168">
        <f t="shared" si="6"/>
        <v>0</v>
      </c>
      <c r="Z1424" s="168">
        <f t="shared" si="7"/>
        <v>0</v>
      </c>
      <c r="AA1424" s="168">
        <f t="shared" si="8"/>
        <v>0</v>
      </c>
      <c r="AB1424" s="168">
        <f t="shared" si="9"/>
        <v>0</v>
      </c>
    </row>
    <row r="1425" ht="14.25" customHeight="1">
      <c r="A1425" s="157" t="s">
        <v>8486</v>
      </c>
      <c r="B1425" s="169" t="s">
        <v>20</v>
      </c>
      <c r="C1425" s="169" t="s">
        <v>3129</v>
      </c>
      <c r="D1425" s="336">
        <v>44463.0</v>
      </c>
      <c r="E1425" s="157" t="s">
        <v>600</v>
      </c>
      <c r="F1425" s="160">
        <v>12747.07</v>
      </c>
      <c r="G1425" s="160">
        <v>2039.53</v>
      </c>
      <c r="H1425" s="160">
        <f t="shared" si="43"/>
        <v>14786.6</v>
      </c>
      <c r="I1425" s="172"/>
      <c r="J1425" s="169"/>
      <c r="K1425" s="172"/>
      <c r="L1425" s="172">
        <f>+'FACUS$'!$H1425-'FACUS$'!$I1425-'FACUS$'!$K1425</f>
        <v>14786.6</v>
      </c>
      <c r="M1425" s="162" t="s">
        <v>732</v>
      </c>
      <c r="N1425" s="337" t="s">
        <v>554</v>
      </c>
      <c r="O1425" s="338">
        <v>44523.0</v>
      </c>
      <c r="P1425" s="164">
        <f t="array" ref="P1425">XLOOKUP('FACUS$'!$B1425,'perfil de pagos'!$A$4:$A$46,'perfil de pagos'!$C$4:$C$46+'FACUS$'!$D1425)</f>
        <v>44473</v>
      </c>
      <c r="Q1425" s="165">
        <f t="shared" si="2"/>
        <v>0</v>
      </c>
      <c r="R1425" s="167"/>
      <c r="S1425" s="167"/>
      <c r="T1425" s="167"/>
      <c r="U1425" s="334" t="s">
        <v>7271</v>
      </c>
      <c r="V1425" s="168">
        <f t="shared" si="3"/>
        <v>14786.6</v>
      </c>
      <c r="W1425" s="168">
        <f t="shared" si="4"/>
        <v>0</v>
      </c>
      <c r="X1425" s="168">
        <f t="shared" si="5"/>
        <v>0</v>
      </c>
      <c r="Y1425" s="168">
        <f t="shared" si="6"/>
        <v>0</v>
      </c>
      <c r="Z1425" s="168">
        <f t="shared" si="7"/>
        <v>0</v>
      </c>
      <c r="AA1425" s="168">
        <f t="shared" si="8"/>
        <v>0</v>
      </c>
      <c r="AB1425" s="168">
        <f t="shared" si="9"/>
        <v>0</v>
      </c>
    </row>
    <row r="1426" ht="14.25" customHeight="1">
      <c r="A1426" s="157" t="s">
        <v>8487</v>
      </c>
      <c r="B1426" s="169" t="s">
        <v>26</v>
      </c>
      <c r="C1426" s="169" t="s">
        <v>3129</v>
      </c>
      <c r="D1426" s="336">
        <v>44463.0</v>
      </c>
      <c r="E1426" s="157" t="s">
        <v>600</v>
      </c>
      <c r="F1426" s="160">
        <v>3963.39</v>
      </c>
      <c r="G1426" s="160">
        <v>634.14</v>
      </c>
      <c r="H1426" s="160">
        <f t="shared" si="43"/>
        <v>4597.53</v>
      </c>
      <c r="I1426" s="172"/>
      <c r="J1426" s="169"/>
      <c r="K1426" s="172"/>
      <c r="L1426" s="172">
        <f>+'FACUS$'!$H1426-'FACUS$'!$I1426-'FACUS$'!$K1426</f>
        <v>4597.53</v>
      </c>
      <c r="M1426" s="162" t="s">
        <v>2386</v>
      </c>
      <c r="N1426" s="337" t="s">
        <v>554</v>
      </c>
      <c r="O1426" s="338">
        <v>44546.0</v>
      </c>
      <c r="P1426" s="164">
        <f t="array" ref="P1426">XLOOKUP('FACUS$'!$B1426,'perfil de pagos'!$A$4:$A$46,'perfil de pagos'!$C$4:$C$46+'FACUS$'!$D1426)</f>
        <v>44493</v>
      </c>
      <c r="Q1426" s="165">
        <f t="shared" si="2"/>
        <v>0</v>
      </c>
      <c r="R1426" s="167"/>
      <c r="S1426" s="167"/>
      <c r="T1426" s="167"/>
      <c r="U1426" s="334" t="s">
        <v>7271</v>
      </c>
      <c r="V1426" s="168">
        <f t="shared" si="3"/>
        <v>4597.53</v>
      </c>
      <c r="W1426" s="168">
        <f t="shared" si="4"/>
        <v>0</v>
      </c>
      <c r="X1426" s="168">
        <f t="shared" si="5"/>
        <v>0</v>
      </c>
      <c r="Y1426" s="168">
        <f t="shared" si="6"/>
        <v>0</v>
      </c>
      <c r="Z1426" s="168">
        <f t="shared" si="7"/>
        <v>0</v>
      </c>
      <c r="AA1426" s="168">
        <f t="shared" si="8"/>
        <v>0</v>
      </c>
      <c r="AB1426" s="168">
        <f t="shared" si="9"/>
        <v>0</v>
      </c>
    </row>
    <row r="1427" ht="14.25" customHeight="1">
      <c r="A1427" s="157" t="s">
        <v>8488</v>
      </c>
      <c r="B1427" s="169" t="s">
        <v>26</v>
      </c>
      <c r="C1427" s="169" t="s">
        <v>3129</v>
      </c>
      <c r="D1427" s="336">
        <v>44463.0</v>
      </c>
      <c r="E1427" s="157" t="s">
        <v>600</v>
      </c>
      <c r="F1427" s="160">
        <v>2119.57</v>
      </c>
      <c r="G1427" s="160">
        <v>339.13</v>
      </c>
      <c r="H1427" s="160">
        <f t="shared" si="43"/>
        <v>2458.7</v>
      </c>
      <c r="I1427" s="172"/>
      <c r="J1427" s="169"/>
      <c r="K1427" s="172"/>
      <c r="L1427" s="172">
        <f>+'FACUS$'!$H1427-'FACUS$'!$I1427-'FACUS$'!$K1427</f>
        <v>2458.7</v>
      </c>
      <c r="M1427" s="162" t="s">
        <v>188</v>
      </c>
      <c r="N1427" s="337" t="s">
        <v>127</v>
      </c>
      <c r="O1427" s="338"/>
      <c r="P1427" s="164">
        <f t="array" ref="P1427">XLOOKUP('FACUS$'!$B1427,'perfil de pagos'!$A$4:$A$46,'perfil de pagos'!$C$4:$C$46+'FACUS$'!$D1427)</f>
        <v>44493</v>
      </c>
      <c r="Q1427" s="165" t="str">
        <f t="shared" si="2"/>
        <v>N/A</v>
      </c>
      <c r="R1427" s="167" t="s">
        <v>8489</v>
      </c>
      <c r="S1427" s="167"/>
      <c r="T1427" s="167"/>
      <c r="U1427" s="334" t="s">
        <v>7271</v>
      </c>
      <c r="V1427" s="168">
        <f t="shared" si="3"/>
        <v>0</v>
      </c>
      <c r="W1427" s="168">
        <f t="shared" si="4"/>
        <v>0</v>
      </c>
      <c r="X1427" s="168">
        <f t="shared" si="5"/>
        <v>0</v>
      </c>
      <c r="Y1427" s="168">
        <f t="shared" si="6"/>
        <v>0</v>
      </c>
      <c r="Z1427" s="168">
        <f t="shared" si="7"/>
        <v>0</v>
      </c>
      <c r="AA1427" s="168">
        <f t="shared" si="8"/>
        <v>0</v>
      </c>
      <c r="AB1427" s="168">
        <f t="shared" si="9"/>
        <v>2458.7</v>
      </c>
    </row>
    <row r="1428" ht="14.25" customHeight="1">
      <c r="A1428" s="157" t="s">
        <v>8490</v>
      </c>
      <c r="B1428" s="169" t="s">
        <v>41</v>
      </c>
      <c r="C1428" s="169" t="s">
        <v>3129</v>
      </c>
      <c r="D1428" s="336">
        <v>44463.0</v>
      </c>
      <c r="E1428" s="157" t="s">
        <v>600</v>
      </c>
      <c r="F1428" s="160">
        <v>23195.64</v>
      </c>
      <c r="G1428" s="160">
        <v>3711.3</v>
      </c>
      <c r="H1428" s="160">
        <f>F1428+G1428-11000</f>
        <v>15906.94</v>
      </c>
      <c r="I1428" s="172"/>
      <c r="J1428" s="169"/>
      <c r="K1428" s="172"/>
      <c r="L1428" s="172">
        <f>+'FACUS$'!$H1428-'FACUS$'!$I1428-'FACUS$'!$K1428</f>
        <v>15906.94</v>
      </c>
      <c r="M1428" s="162" t="s">
        <v>875</v>
      </c>
      <c r="N1428" s="337" t="s">
        <v>554</v>
      </c>
      <c r="O1428" s="338">
        <v>44547.0</v>
      </c>
      <c r="P1428" s="164">
        <f t="array" ref="P1428">XLOOKUP('FACUS$'!$B1428,'perfil de pagos'!$A$4:$A$46,'perfil de pagos'!$C$4:$C$46+'FACUS$'!$D1428)</f>
        <v>44473</v>
      </c>
      <c r="Q1428" s="165">
        <f t="shared" si="2"/>
        <v>0</v>
      </c>
      <c r="R1428" s="167" t="s">
        <v>8491</v>
      </c>
      <c r="S1428" s="167"/>
      <c r="T1428" s="167"/>
      <c r="U1428" s="334" t="s">
        <v>7271</v>
      </c>
      <c r="V1428" s="168">
        <f t="shared" si="3"/>
        <v>15906.94</v>
      </c>
      <c r="W1428" s="168">
        <f t="shared" si="4"/>
        <v>0</v>
      </c>
      <c r="X1428" s="168">
        <f t="shared" si="5"/>
        <v>0</v>
      </c>
      <c r="Y1428" s="168">
        <f t="shared" si="6"/>
        <v>0</v>
      </c>
      <c r="Z1428" s="168">
        <f t="shared" si="7"/>
        <v>0</v>
      </c>
      <c r="AA1428" s="168">
        <f t="shared" si="8"/>
        <v>0</v>
      </c>
      <c r="AB1428" s="168">
        <f t="shared" si="9"/>
        <v>0</v>
      </c>
    </row>
    <row r="1429" ht="14.25" customHeight="1">
      <c r="A1429" s="157" t="s">
        <v>8492</v>
      </c>
      <c r="B1429" s="169" t="s">
        <v>37</v>
      </c>
      <c r="C1429" s="169" t="s">
        <v>3129</v>
      </c>
      <c r="D1429" s="336">
        <v>44463.0</v>
      </c>
      <c r="E1429" s="157" t="s">
        <v>600</v>
      </c>
      <c r="F1429" s="160">
        <v>82020.13</v>
      </c>
      <c r="G1429" s="160">
        <v>13123.22</v>
      </c>
      <c r="H1429" s="160">
        <f t="shared" ref="H1429:H1434" si="44">F1429+G1429</f>
        <v>95143.35</v>
      </c>
      <c r="I1429" s="172"/>
      <c r="J1429" s="169"/>
      <c r="K1429" s="172"/>
      <c r="L1429" s="172">
        <f>+'FACUS$'!$H1429-'FACUS$'!$I1429-'FACUS$'!$K1429</f>
        <v>95143.35</v>
      </c>
      <c r="M1429" s="162" t="s">
        <v>116</v>
      </c>
      <c r="N1429" s="337" t="s">
        <v>554</v>
      </c>
      <c r="O1429" s="338">
        <v>44487.0</v>
      </c>
      <c r="P1429" s="164">
        <f t="array" ref="P1429">XLOOKUP('FACUS$'!$B1429,'perfil de pagos'!$A$4:$A$46,'perfil de pagos'!$C$4:$C$46+'FACUS$'!$D1429)</f>
        <v>44473</v>
      </c>
      <c r="Q1429" s="165">
        <f t="shared" si="2"/>
        <v>0</v>
      </c>
      <c r="R1429" s="167" t="s">
        <v>8493</v>
      </c>
      <c r="S1429" s="167"/>
      <c r="T1429" s="167"/>
      <c r="U1429" s="334" t="s">
        <v>7271</v>
      </c>
      <c r="V1429" s="168">
        <f t="shared" si="3"/>
        <v>95143.35</v>
      </c>
      <c r="W1429" s="168">
        <f t="shared" si="4"/>
        <v>0</v>
      </c>
      <c r="X1429" s="168">
        <f t="shared" si="5"/>
        <v>0</v>
      </c>
      <c r="Y1429" s="168">
        <f t="shared" si="6"/>
        <v>0</v>
      </c>
      <c r="Z1429" s="168">
        <f t="shared" si="7"/>
        <v>0</v>
      </c>
      <c r="AA1429" s="168">
        <f t="shared" si="8"/>
        <v>0</v>
      </c>
      <c r="AB1429" s="168">
        <f t="shared" si="9"/>
        <v>0</v>
      </c>
    </row>
    <row r="1430" ht="14.25" customHeight="1">
      <c r="A1430" s="157" t="s">
        <v>8494</v>
      </c>
      <c r="B1430" s="169" t="s">
        <v>35</v>
      </c>
      <c r="C1430" s="169" t="s">
        <v>3129</v>
      </c>
      <c r="D1430" s="336">
        <v>44463.0</v>
      </c>
      <c r="E1430" s="157" t="s">
        <v>600</v>
      </c>
      <c r="F1430" s="160">
        <v>4769.17</v>
      </c>
      <c r="G1430" s="160">
        <v>763.07</v>
      </c>
      <c r="H1430" s="160">
        <f t="shared" si="44"/>
        <v>5532.24</v>
      </c>
      <c r="I1430" s="172"/>
      <c r="J1430" s="169"/>
      <c r="K1430" s="172"/>
      <c r="L1430" s="172">
        <f>+'FACUS$'!$H1430-'FACUS$'!$I1430-'FACUS$'!$K1430</f>
        <v>5532.24</v>
      </c>
      <c r="M1430" s="162" t="s">
        <v>276</v>
      </c>
      <c r="N1430" s="337" t="s">
        <v>554</v>
      </c>
      <c r="O1430" s="338">
        <v>44489.0</v>
      </c>
      <c r="P1430" s="164">
        <f t="array" ref="P1430">XLOOKUP('FACUS$'!$B1430,'perfil de pagos'!$A$4:$A$46,'perfil de pagos'!$C$4:$C$46+'FACUS$'!$D1430)</f>
        <v>44473</v>
      </c>
      <c r="Q1430" s="165">
        <f t="shared" si="2"/>
        <v>0</v>
      </c>
      <c r="R1430" s="167"/>
      <c r="S1430" s="167"/>
      <c r="T1430" s="167"/>
      <c r="U1430" s="334" t="s">
        <v>7271</v>
      </c>
      <c r="V1430" s="168">
        <f t="shared" si="3"/>
        <v>5532.24</v>
      </c>
      <c r="W1430" s="168">
        <f t="shared" si="4"/>
        <v>0</v>
      </c>
      <c r="X1430" s="168">
        <f t="shared" si="5"/>
        <v>0</v>
      </c>
      <c r="Y1430" s="168">
        <f t="shared" si="6"/>
        <v>0</v>
      </c>
      <c r="Z1430" s="168">
        <f t="shared" si="7"/>
        <v>0</v>
      </c>
      <c r="AA1430" s="168">
        <f t="shared" si="8"/>
        <v>0</v>
      </c>
      <c r="AB1430" s="168">
        <f t="shared" si="9"/>
        <v>0</v>
      </c>
    </row>
    <row r="1431" ht="14.25" customHeight="1">
      <c r="A1431" s="157" t="s">
        <v>8495</v>
      </c>
      <c r="B1431" s="169" t="s">
        <v>36</v>
      </c>
      <c r="C1431" s="169" t="s">
        <v>3129</v>
      </c>
      <c r="D1431" s="336">
        <v>44463.0</v>
      </c>
      <c r="E1431" s="157" t="s">
        <v>600</v>
      </c>
      <c r="F1431" s="160">
        <v>1995.85</v>
      </c>
      <c r="G1431" s="160">
        <v>319.34</v>
      </c>
      <c r="H1431" s="160">
        <f t="shared" si="44"/>
        <v>2315.19</v>
      </c>
      <c r="I1431" s="172"/>
      <c r="J1431" s="169"/>
      <c r="K1431" s="172"/>
      <c r="L1431" s="172">
        <f>+'FACUS$'!$H1431-'FACUS$'!$I1431-'FACUS$'!$K1431</f>
        <v>2315.19</v>
      </c>
      <c r="M1431" s="162" t="s">
        <v>278</v>
      </c>
      <c r="N1431" s="337" t="s">
        <v>554</v>
      </c>
      <c r="O1431" s="338">
        <v>44550.0</v>
      </c>
      <c r="P1431" s="164">
        <f t="array" ref="P1431">XLOOKUP('FACUS$'!$B1431,'perfil de pagos'!$A$4:$A$46,'perfil de pagos'!$C$4:$C$46+'FACUS$'!$D1431)</f>
        <v>44473</v>
      </c>
      <c r="Q1431" s="165">
        <f t="shared" si="2"/>
        <v>0</v>
      </c>
      <c r="R1431" s="167" t="s">
        <v>8496</v>
      </c>
      <c r="S1431" s="167"/>
      <c r="T1431" s="167"/>
      <c r="U1431" s="334" t="s">
        <v>7271</v>
      </c>
      <c r="V1431" s="168">
        <f t="shared" si="3"/>
        <v>2315.19</v>
      </c>
      <c r="W1431" s="168">
        <f t="shared" si="4"/>
        <v>0</v>
      </c>
      <c r="X1431" s="168">
        <f t="shared" si="5"/>
        <v>0</v>
      </c>
      <c r="Y1431" s="168">
        <f t="shared" si="6"/>
        <v>0</v>
      </c>
      <c r="Z1431" s="168">
        <f t="shared" si="7"/>
        <v>0</v>
      </c>
      <c r="AA1431" s="168">
        <f t="shared" si="8"/>
        <v>0</v>
      </c>
      <c r="AB1431" s="168">
        <f t="shared" si="9"/>
        <v>0</v>
      </c>
    </row>
    <row r="1432" ht="14.25" customHeight="1">
      <c r="A1432" s="157" t="s">
        <v>8497</v>
      </c>
      <c r="B1432" s="169" t="s">
        <v>38</v>
      </c>
      <c r="C1432" s="169" t="s">
        <v>3129</v>
      </c>
      <c r="D1432" s="336">
        <v>44463.0</v>
      </c>
      <c r="E1432" s="157" t="s">
        <v>600</v>
      </c>
      <c r="F1432" s="160">
        <v>9774.6</v>
      </c>
      <c r="G1432" s="222">
        <v>1563.94</v>
      </c>
      <c r="H1432" s="160">
        <f t="shared" si="44"/>
        <v>11338.54</v>
      </c>
      <c r="I1432" s="172"/>
      <c r="J1432" s="169"/>
      <c r="K1432" s="172"/>
      <c r="L1432" s="172">
        <f>+'FACUS$'!$H1432-'FACUS$'!$I1432-'FACUS$'!$K1432</f>
        <v>11338.54</v>
      </c>
      <c r="M1432" s="162" t="s">
        <v>145</v>
      </c>
      <c r="N1432" s="337" t="s">
        <v>127</v>
      </c>
      <c r="O1432" s="338"/>
      <c r="P1432" s="164">
        <f t="array" ref="P1432">XLOOKUP('FACUS$'!$B1432,'perfil de pagos'!$A$4:$A$46,'perfil de pagos'!$C$4:$C$46+'FACUS$'!$D1432)</f>
        <v>44493</v>
      </c>
      <c r="Q1432" s="165" t="str">
        <f t="shared" si="2"/>
        <v>N/A</v>
      </c>
      <c r="R1432" s="167" t="s">
        <v>8498</v>
      </c>
      <c r="S1432" s="167"/>
      <c r="T1432" s="167"/>
      <c r="U1432" s="334" t="s">
        <v>7271</v>
      </c>
      <c r="V1432" s="168">
        <f t="shared" si="3"/>
        <v>0</v>
      </c>
      <c r="W1432" s="168">
        <f t="shared" si="4"/>
        <v>0</v>
      </c>
      <c r="X1432" s="168">
        <f t="shared" si="5"/>
        <v>0</v>
      </c>
      <c r="Y1432" s="168">
        <f t="shared" si="6"/>
        <v>0</v>
      </c>
      <c r="Z1432" s="168">
        <f t="shared" si="7"/>
        <v>0</v>
      </c>
      <c r="AA1432" s="168">
        <f t="shared" si="8"/>
        <v>0</v>
      </c>
      <c r="AB1432" s="168">
        <f t="shared" si="9"/>
        <v>11338.54</v>
      </c>
    </row>
    <row r="1433" ht="14.25" customHeight="1">
      <c r="A1433" s="157" t="s">
        <v>8499</v>
      </c>
      <c r="B1433" s="169" t="s">
        <v>43</v>
      </c>
      <c r="C1433" s="169" t="s">
        <v>3129</v>
      </c>
      <c r="D1433" s="336">
        <v>44463.0</v>
      </c>
      <c r="E1433" s="157" t="s">
        <v>600</v>
      </c>
      <c r="F1433" s="160">
        <v>19313.48</v>
      </c>
      <c r="G1433" s="160">
        <v>3090.16</v>
      </c>
      <c r="H1433" s="160">
        <f t="shared" si="44"/>
        <v>22403.64</v>
      </c>
      <c r="I1433" s="172"/>
      <c r="J1433" s="169"/>
      <c r="K1433" s="172"/>
      <c r="L1433" s="172">
        <f>+'FACUS$'!$H1433-'FACUS$'!$I1433-'FACUS$'!$K1433</f>
        <v>22403.64</v>
      </c>
      <c r="M1433" s="162" t="s">
        <v>43</v>
      </c>
      <c r="N1433" s="337" t="s">
        <v>554</v>
      </c>
      <c r="O1433" s="338">
        <v>44498.0</v>
      </c>
      <c r="P1433" s="164">
        <f t="array" ref="P1433">XLOOKUP('FACUS$'!$B1433,'perfil de pagos'!$A$4:$A$46,'perfil de pagos'!$C$4:$C$46+'FACUS$'!$D1433)</f>
        <v>44488</v>
      </c>
      <c r="Q1433" s="165">
        <f t="shared" si="2"/>
        <v>0</v>
      </c>
      <c r="R1433" s="167"/>
      <c r="S1433" s="167"/>
      <c r="T1433" s="167"/>
      <c r="U1433" s="334" t="s">
        <v>7271</v>
      </c>
      <c r="V1433" s="168">
        <f t="shared" si="3"/>
        <v>22403.64</v>
      </c>
      <c r="W1433" s="168">
        <f t="shared" si="4"/>
        <v>0</v>
      </c>
      <c r="X1433" s="168">
        <f t="shared" si="5"/>
        <v>0</v>
      </c>
      <c r="Y1433" s="168">
        <f t="shared" si="6"/>
        <v>0</v>
      </c>
      <c r="Z1433" s="168">
        <f t="shared" si="7"/>
        <v>0</v>
      </c>
      <c r="AA1433" s="168">
        <f t="shared" si="8"/>
        <v>0</v>
      </c>
      <c r="AB1433" s="168">
        <f t="shared" si="9"/>
        <v>0</v>
      </c>
    </row>
    <row r="1434" ht="14.25" customHeight="1">
      <c r="A1434" s="157" t="s">
        <v>8500</v>
      </c>
      <c r="B1434" s="169" t="s">
        <v>26</v>
      </c>
      <c r="C1434" s="169" t="s">
        <v>3129</v>
      </c>
      <c r="D1434" s="336">
        <v>44466.0</v>
      </c>
      <c r="E1434" s="157" t="s">
        <v>600</v>
      </c>
      <c r="F1434" s="160">
        <v>2119.57</v>
      </c>
      <c r="G1434" s="160">
        <v>339.13</v>
      </c>
      <c r="H1434" s="160">
        <f t="shared" si="44"/>
        <v>2458.7</v>
      </c>
      <c r="I1434" s="172"/>
      <c r="J1434" s="169"/>
      <c r="K1434" s="172"/>
      <c r="L1434" s="172">
        <f>+'FACUS$'!$H1434-'FACUS$'!$I1434-'FACUS$'!$K1434</f>
        <v>2458.7</v>
      </c>
      <c r="M1434" s="162" t="s">
        <v>188</v>
      </c>
      <c r="N1434" s="337" t="s">
        <v>554</v>
      </c>
      <c r="O1434" s="338">
        <v>44610.0</v>
      </c>
      <c r="P1434" s="164">
        <f t="array" ref="P1434">XLOOKUP('FACUS$'!$B1434,'perfil de pagos'!$A$4:$A$46,'perfil de pagos'!$C$4:$C$46+'FACUS$'!$D1434)</f>
        <v>44496</v>
      </c>
      <c r="Q1434" s="165">
        <f t="shared" si="2"/>
        <v>0</v>
      </c>
      <c r="R1434" s="220" t="s">
        <v>8501</v>
      </c>
      <c r="S1434" s="167"/>
      <c r="T1434" s="167"/>
      <c r="U1434" s="334" t="s">
        <v>7271</v>
      </c>
      <c r="V1434" s="168">
        <f t="shared" si="3"/>
        <v>2458.7</v>
      </c>
      <c r="W1434" s="168">
        <f t="shared" si="4"/>
        <v>0</v>
      </c>
      <c r="X1434" s="168">
        <f t="shared" si="5"/>
        <v>0</v>
      </c>
      <c r="Y1434" s="168">
        <f t="shared" si="6"/>
        <v>0</v>
      </c>
      <c r="Z1434" s="168">
        <f t="shared" si="7"/>
        <v>0</v>
      </c>
      <c r="AA1434" s="168">
        <f t="shared" si="8"/>
        <v>0</v>
      </c>
      <c r="AB1434" s="168">
        <f t="shared" si="9"/>
        <v>0</v>
      </c>
    </row>
    <row r="1435" ht="14.25" customHeight="1">
      <c r="A1435" s="157" t="s">
        <v>8502</v>
      </c>
      <c r="B1435" s="169" t="s">
        <v>17</v>
      </c>
      <c r="C1435" s="169" t="s">
        <v>8325</v>
      </c>
      <c r="D1435" s="336">
        <v>44467.0</v>
      </c>
      <c r="E1435" s="157" t="s">
        <v>600</v>
      </c>
      <c r="F1435" s="160">
        <v>110000.0</v>
      </c>
      <c r="G1435" s="160">
        <v>17600.0</v>
      </c>
      <c r="H1435" s="160">
        <f>F1435+G1435-63800-31900</f>
        <v>31900</v>
      </c>
      <c r="I1435" s="172"/>
      <c r="J1435" s="169"/>
      <c r="K1435" s="172"/>
      <c r="L1435" s="172">
        <f>+'FACUS$'!$H1435-'FACUS$'!$I1435-'FACUS$'!$K1435</f>
        <v>31900</v>
      </c>
      <c r="M1435" s="162" t="s">
        <v>17</v>
      </c>
      <c r="N1435" s="337" t="s">
        <v>554</v>
      </c>
      <c r="O1435" s="338">
        <v>44559.0</v>
      </c>
      <c r="P1435" s="164">
        <f t="array" ref="P1435">XLOOKUP('FACUS$'!$B1435,'perfil de pagos'!$A$4:$A$46,'perfil de pagos'!$C$4:$C$46+'FACUS$'!$D1435)</f>
        <v>44477</v>
      </c>
      <c r="Q1435" s="165">
        <f t="shared" si="2"/>
        <v>0</v>
      </c>
      <c r="R1435" s="220"/>
      <c r="S1435" s="167"/>
      <c r="T1435" s="167"/>
      <c r="U1435" s="334" t="s">
        <v>7271</v>
      </c>
      <c r="V1435" s="168">
        <f t="shared" si="3"/>
        <v>31900</v>
      </c>
      <c r="W1435" s="168">
        <f t="shared" si="4"/>
        <v>0</v>
      </c>
      <c r="X1435" s="168">
        <f t="shared" si="5"/>
        <v>0</v>
      </c>
      <c r="Y1435" s="168">
        <f t="shared" si="6"/>
        <v>0</v>
      </c>
      <c r="Z1435" s="168">
        <f t="shared" si="7"/>
        <v>0</v>
      </c>
      <c r="AA1435" s="168">
        <f t="shared" si="8"/>
        <v>0</v>
      </c>
      <c r="AB1435" s="168">
        <f t="shared" si="9"/>
        <v>0</v>
      </c>
    </row>
    <row r="1436" ht="14.25" customHeight="1">
      <c r="A1436" s="157" t="s">
        <v>8503</v>
      </c>
      <c r="B1436" s="169" t="s">
        <v>33</v>
      </c>
      <c r="C1436" s="169" t="s">
        <v>8504</v>
      </c>
      <c r="D1436" s="336">
        <v>44467.0</v>
      </c>
      <c r="E1436" s="157" t="s">
        <v>600</v>
      </c>
      <c r="F1436" s="160">
        <v>2798.92</v>
      </c>
      <c r="G1436" s="160">
        <v>447.83</v>
      </c>
      <c r="H1436" s="160">
        <f>F1436+G1436</f>
        <v>3246.75</v>
      </c>
      <c r="I1436" s="172"/>
      <c r="J1436" s="169"/>
      <c r="K1436" s="172"/>
      <c r="L1436" s="172">
        <f>+'FACUS$'!$H1436-'FACUS$'!$I1436-'FACUS$'!$K1436</f>
        <v>3246.75</v>
      </c>
      <c r="M1436" s="162" t="s">
        <v>958</v>
      </c>
      <c r="N1436" s="337" t="s">
        <v>127</v>
      </c>
      <c r="O1436" s="338"/>
      <c r="P1436" s="164">
        <f t="array" ref="P1436">XLOOKUP('FACUS$'!$B1436,'perfil de pagos'!$A$4:$A$46,'perfil de pagos'!$C$4:$C$46+'FACUS$'!$D1436)</f>
        <v>44477</v>
      </c>
      <c r="Q1436" s="165" t="str">
        <f t="shared" si="2"/>
        <v>N/A</v>
      </c>
      <c r="R1436" s="220" t="s">
        <v>8505</v>
      </c>
      <c r="S1436" s="167"/>
      <c r="T1436" s="167"/>
      <c r="U1436" s="334" t="s">
        <v>7271</v>
      </c>
      <c r="V1436" s="168">
        <f t="shared" si="3"/>
        <v>0</v>
      </c>
      <c r="W1436" s="168">
        <f t="shared" si="4"/>
        <v>0</v>
      </c>
      <c r="X1436" s="168">
        <f t="shared" si="5"/>
        <v>0</v>
      </c>
      <c r="Y1436" s="168">
        <f t="shared" si="6"/>
        <v>0</v>
      </c>
      <c r="Z1436" s="168">
        <f t="shared" si="7"/>
        <v>0</v>
      </c>
      <c r="AA1436" s="168">
        <f t="shared" si="8"/>
        <v>0</v>
      </c>
      <c r="AB1436" s="168">
        <f t="shared" si="9"/>
        <v>3246.75</v>
      </c>
    </row>
    <row r="1437" ht="14.25" customHeight="1">
      <c r="A1437" s="157" t="s">
        <v>8506</v>
      </c>
      <c r="B1437" s="169" t="s">
        <v>33</v>
      </c>
      <c r="C1437" s="169" t="s">
        <v>8504</v>
      </c>
      <c r="D1437" s="336">
        <v>44467.0</v>
      </c>
      <c r="E1437" s="157" t="s">
        <v>600</v>
      </c>
      <c r="F1437" s="160">
        <v>2799.12</v>
      </c>
      <c r="G1437" s="160">
        <v>447.86</v>
      </c>
      <c r="H1437" s="160">
        <f>F1437+G1437-2799.12</f>
        <v>447.86</v>
      </c>
      <c r="I1437" s="172"/>
      <c r="J1437" s="169"/>
      <c r="K1437" s="172"/>
      <c r="L1437" s="172">
        <f>+'FACUS$'!$H1437-'FACUS$'!$I1437-'FACUS$'!$K1437</f>
        <v>447.86</v>
      </c>
      <c r="M1437" s="162" t="s">
        <v>958</v>
      </c>
      <c r="N1437" s="337" t="s">
        <v>554</v>
      </c>
      <c r="O1437" s="338">
        <v>44477.0</v>
      </c>
      <c r="P1437" s="164">
        <f t="array" ref="P1437">XLOOKUP('FACUS$'!$B1437,'perfil de pagos'!$A$4:$A$46,'perfil de pagos'!$C$4:$C$46+'FACUS$'!$D1437)</f>
        <v>44477</v>
      </c>
      <c r="Q1437" s="165">
        <f t="shared" si="2"/>
        <v>0</v>
      </c>
      <c r="R1437" s="167"/>
      <c r="S1437" s="167"/>
      <c r="T1437" s="167"/>
      <c r="U1437" s="334" t="s">
        <v>7271</v>
      </c>
      <c r="V1437" s="168">
        <f t="shared" si="3"/>
        <v>447.86</v>
      </c>
      <c r="W1437" s="168">
        <f t="shared" si="4"/>
        <v>0</v>
      </c>
      <c r="X1437" s="168">
        <f t="shared" si="5"/>
        <v>0</v>
      </c>
      <c r="Y1437" s="168">
        <f t="shared" si="6"/>
        <v>0</v>
      </c>
      <c r="Z1437" s="168">
        <f t="shared" si="7"/>
        <v>0</v>
      </c>
      <c r="AA1437" s="168">
        <f t="shared" si="8"/>
        <v>0</v>
      </c>
      <c r="AB1437" s="168">
        <f t="shared" si="9"/>
        <v>0</v>
      </c>
    </row>
    <row r="1438" ht="14.25" customHeight="1">
      <c r="A1438" s="157" t="s">
        <v>8507</v>
      </c>
      <c r="B1438" s="169" t="s">
        <v>39</v>
      </c>
      <c r="C1438" s="169" t="s">
        <v>3127</v>
      </c>
      <c r="D1438" s="336">
        <v>44469.0</v>
      </c>
      <c r="E1438" s="157" t="s">
        <v>600</v>
      </c>
      <c r="F1438" s="160">
        <v>15196.28</v>
      </c>
      <c r="G1438" s="160">
        <v>2431.4</v>
      </c>
      <c r="H1438" s="160">
        <f t="shared" ref="H1438:H1488" si="45">F1438+G1438</f>
        <v>17627.68</v>
      </c>
      <c r="I1438" s="172"/>
      <c r="J1438" s="169"/>
      <c r="K1438" s="172"/>
      <c r="L1438" s="172">
        <f>+'FACUS$'!$H1438-'FACUS$'!$I1438-'FACUS$'!$K1438</f>
        <v>17627.68</v>
      </c>
      <c r="M1438" s="162" t="s">
        <v>570</v>
      </c>
      <c r="N1438" s="337" t="s">
        <v>554</v>
      </c>
      <c r="O1438" s="338">
        <v>44477.0</v>
      </c>
      <c r="P1438" s="164">
        <f t="array" ref="P1438">XLOOKUP('FACUS$'!$B1438,'perfil de pagos'!$A$4:$A$46,'perfil de pagos'!$C$4:$C$46+'FACUS$'!$D1438)</f>
        <v>44479</v>
      </c>
      <c r="Q1438" s="165">
        <f t="shared" si="2"/>
        <v>0</v>
      </c>
      <c r="R1438" s="167"/>
      <c r="S1438" s="167"/>
      <c r="T1438" s="167"/>
      <c r="U1438" s="334" t="s">
        <v>7271</v>
      </c>
      <c r="V1438" s="168">
        <f t="shared" si="3"/>
        <v>17627.68</v>
      </c>
      <c r="W1438" s="168">
        <f t="shared" si="4"/>
        <v>0</v>
      </c>
      <c r="X1438" s="168">
        <f t="shared" si="5"/>
        <v>0</v>
      </c>
      <c r="Y1438" s="168">
        <f t="shared" si="6"/>
        <v>0</v>
      </c>
      <c r="Z1438" s="168">
        <f t="shared" si="7"/>
        <v>0</v>
      </c>
      <c r="AA1438" s="168">
        <f t="shared" si="8"/>
        <v>0</v>
      </c>
      <c r="AB1438" s="168">
        <f t="shared" si="9"/>
        <v>0</v>
      </c>
    </row>
    <row r="1439" ht="14.25" customHeight="1">
      <c r="A1439" s="157" t="s">
        <v>8508</v>
      </c>
      <c r="B1439" s="169" t="s">
        <v>39</v>
      </c>
      <c r="C1439" s="169" t="s">
        <v>3129</v>
      </c>
      <c r="D1439" s="336">
        <v>44469.0</v>
      </c>
      <c r="E1439" s="157" t="s">
        <v>600</v>
      </c>
      <c r="F1439" s="160">
        <v>16109.16</v>
      </c>
      <c r="G1439" s="160">
        <v>2577.47</v>
      </c>
      <c r="H1439" s="160">
        <f t="shared" si="45"/>
        <v>18686.63</v>
      </c>
      <c r="I1439" s="172"/>
      <c r="J1439" s="169"/>
      <c r="K1439" s="172"/>
      <c r="L1439" s="172">
        <f>+'FACUS$'!$H1439-'FACUS$'!$I1439-'FACUS$'!$K1439</f>
        <v>18686.63</v>
      </c>
      <c r="M1439" s="162" t="s">
        <v>570</v>
      </c>
      <c r="N1439" s="337" t="s">
        <v>554</v>
      </c>
      <c r="O1439" s="338">
        <v>44477.0</v>
      </c>
      <c r="P1439" s="164">
        <f t="array" ref="P1439">XLOOKUP('FACUS$'!$B1439,'perfil de pagos'!$A$4:$A$46,'perfil de pagos'!$C$4:$C$46+'FACUS$'!$D1439)</f>
        <v>44479</v>
      </c>
      <c r="Q1439" s="165">
        <f t="shared" si="2"/>
        <v>0</v>
      </c>
      <c r="R1439" s="167"/>
      <c r="S1439" s="167"/>
      <c r="T1439" s="167"/>
      <c r="U1439" s="334" t="s">
        <v>7271</v>
      </c>
      <c r="V1439" s="168">
        <f t="shared" si="3"/>
        <v>18686.63</v>
      </c>
      <c r="W1439" s="168">
        <f t="shared" si="4"/>
        <v>0</v>
      </c>
      <c r="X1439" s="168">
        <f t="shared" si="5"/>
        <v>0</v>
      </c>
      <c r="Y1439" s="168">
        <f t="shared" si="6"/>
        <v>0</v>
      </c>
      <c r="Z1439" s="168">
        <f t="shared" si="7"/>
        <v>0</v>
      </c>
      <c r="AA1439" s="168">
        <f t="shared" si="8"/>
        <v>0</v>
      </c>
      <c r="AB1439" s="168">
        <f t="shared" si="9"/>
        <v>0</v>
      </c>
    </row>
    <row r="1440" ht="14.25" customHeight="1">
      <c r="A1440" s="157" t="s">
        <v>8509</v>
      </c>
      <c r="B1440" s="169" t="s">
        <v>18</v>
      </c>
      <c r="C1440" s="169" t="s">
        <v>3168</v>
      </c>
      <c r="D1440" s="336">
        <v>44469.0</v>
      </c>
      <c r="E1440" s="157" t="s">
        <v>600</v>
      </c>
      <c r="F1440" s="160">
        <v>8925.92</v>
      </c>
      <c r="G1440" s="160">
        <v>1428.15</v>
      </c>
      <c r="H1440" s="160">
        <f t="shared" si="45"/>
        <v>10354.07</v>
      </c>
      <c r="I1440" s="172"/>
      <c r="J1440" s="169"/>
      <c r="K1440" s="172"/>
      <c r="L1440" s="172">
        <f>+'FACUS$'!$H1440-'FACUS$'!$I1440-'FACUS$'!$K1440</f>
        <v>10354.07</v>
      </c>
      <c r="M1440" s="162" t="s">
        <v>586</v>
      </c>
      <c r="N1440" s="337" t="s">
        <v>554</v>
      </c>
      <c r="O1440" s="338">
        <v>44523.0</v>
      </c>
      <c r="P1440" s="164">
        <f t="array" ref="P1440">XLOOKUP('FACUS$'!$B1440,'perfil de pagos'!$A$4:$A$46,'perfil de pagos'!$C$4:$C$46+'FACUS$'!$D1440)</f>
        <v>44479</v>
      </c>
      <c r="Q1440" s="165">
        <f t="shared" si="2"/>
        <v>0</v>
      </c>
      <c r="R1440" s="167"/>
      <c r="S1440" s="167"/>
      <c r="T1440" s="167"/>
      <c r="U1440" s="334" t="s">
        <v>7271</v>
      </c>
      <c r="V1440" s="168">
        <f t="shared" si="3"/>
        <v>10354.07</v>
      </c>
      <c r="W1440" s="168">
        <f t="shared" si="4"/>
        <v>0</v>
      </c>
      <c r="X1440" s="168">
        <f t="shared" si="5"/>
        <v>0</v>
      </c>
      <c r="Y1440" s="168">
        <f t="shared" si="6"/>
        <v>0</v>
      </c>
      <c r="Z1440" s="168">
        <f t="shared" si="7"/>
        <v>0</v>
      </c>
      <c r="AA1440" s="168">
        <f t="shared" si="8"/>
        <v>0</v>
      </c>
      <c r="AB1440" s="168">
        <f t="shared" si="9"/>
        <v>0</v>
      </c>
    </row>
    <row r="1441" ht="14.25" customHeight="1">
      <c r="A1441" s="157" t="s">
        <v>8510</v>
      </c>
      <c r="B1441" s="169" t="s">
        <v>20</v>
      </c>
      <c r="C1441" s="169" t="s">
        <v>3168</v>
      </c>
      <c r="D1441" s="336">
        <v>44469.0</v>
      </c>
      <c r="E1441" s="157" t="s">
        <v>600</v>
      </c>
      <c r="F1441" s="160">
        <v>13252.58</v>
      </c>
      <c r="G1441" s="160">
        <v>2120.41</v>
      </c>
      <c r="H1441" s="160">
        <f t="shared" si="45"/>
        <v>15372.99</v>
      </c>
      <c r="I1441" s="172"/>
      <c r="J1441" s="169"/>
      <c r="K1441" s="172"/>
      <c r="L1441" s="172">
        <f>+'FACUS$'!$H1441-'FACUS$'!$I1441-'FACUS$'!$K1441</f>
        <v>15372.99</v>
      </c>
      <c r="M1441" s="162" t="s">
        <v>732</v>
      </c>
      <c r="N1441" s="337" t="s">
        <v>554</v>
      </c>
      <c r="O1441" s="338">
        <v>44523.0</v>
      </c>
      <c r="P1441" s="164">
        <f t="array" ref="P1441">XLOOKUP('FACUS$'!$B1441,'perfil de pagos'!$A$4:$A$46,'perfil de pagos'!$C$4:$C$46+'FACUS$'!$D1441)</f>
        <v>44479</v>
      </c>
      <c r="Q1441" s="165">
        <f t="shared" si="2"/>
        <v>0</v>
      </c>
      <c r="R1441" s="167"/>
      <c r="S1441" s="167"/>
      <c r="T1441" s="167"/>
      <c r="U1441" s="334" t="s">
        <v>7271</v>
      </c>
      <c r="V1441" s="168">
        <f t="shared" si="3"/>
        <v>15372.99</v>
      </c>
      <c r="W1441" s="168">
        <f t="shared" si="4"/>
        <v>0</v>
      </c>
      <c r="X1441" s="168">
        <f t="shared" si="5"/>
        <v>0</v>
      </c>
      <c r="Y1441" s="168">
        <f t="shared" si="6"/>
        <v>0</v>
      </c>
      <c r="Z1441" s="168">
        <f t="shared" si="7"/>
        <v>0</v>
      </c>
      <c r="AA1441" s="168">
        <f t="shared" si="8"/>
        <v>0</v>
      </c>
      <c r="AB1441" s="168">
        <f t="shared" si="9"/>
        <v>0</v>
      </c>
    </row>
    <row r="1442" ht="14.25" customHeight="1">
      <c r="A1442" s="157" t="s">
        <v>8511</v>
      </c>
      <c r="B1442" s="169" t="s">
        <v>39</v>
      </c>
      <c r="C1442" s="169" t="s">
        <v>3166</v>
      </c>
      <c r="D1442" s="336">
        <v>44474.0</v>
      </c>
      <c r="E1442" s="157" t="s">
        <v>600</v>
      </c>
      <c r="F1442" s="160">
        <v>19169.12</v>
      </c>
      <c r="G1442" s="160">
        <v>3067.06</v>
      </c>
      <c r="H1442" s="160">
        <f t="shared" si="45"/>
        <v>22236.18</v>
      </c>
      <c r="I1442" s="172"/>
      <c r="J1442" s="169"/>
      <c r="K1442" s="172"/>
      <c r="L1442" s="172">
        <f>+'FACUS$'!$H1442-'FACUS$'!$I1442-'FACUS$'!$K1442</f>
        <v>22236.18</v>
      </c>
      <c r="M1442" s="162" t="s">
        <v>570</v>
      </c>
      <c r="N1442" s="337" t="s">
        <v>554</v>
      </c>
      <c r="O1442" s="338">
        <v>44484.0</v>
      </c>
      <c r="P1442" s="164">
        <f t="array" ref="P1442">XLOOKUP('FACUS$'!$B1442,'perfil de pagos'!$A$4:$A$46,'perfil de pagos'!$C$4:$C$46+'FACUS$'!$D1442)</f>
        <v>44484</v>
      </c>
      <c r="Q1442" s="165">
        <f t="shared" si="2"/>
        <v>0</v>
      </c>
      <c r="R1442" s="167"/>
      <c r="S1442" s="167"/>
      <c r="T1442" s="167"/>
      <c r="U1442" s="334" t="s">
        <v>7271</v>
      </c>
      <c r="V1442" s="168">
        <f t="shared" si="3"/>
        <v>22236.18</v>
      </c>
      <c r="W1442" s="168">
        <f t="shared" si="4"/>
        <v>0</v>
      </c>
      <c r="X1442" s="168">
        <f t="shared" si="5"/>
        <v>0</v>
      </c>
      <c r="Y1442" s="168">
        <f t="shared" si="6"/>
        <v>0</v>
      </c>
      <c r="Z1442" s="168">
        <f t="shared" si="7"/>
        <v>0</v>
      </c>
      <c r="AA1442" s="168">
        <f t="shared" si="8"/>
        <v>0</v>
      </c>
      <c r="AB1442" s="168">
        <f t="shared" si="9"/>
        <v>0</v>
      </c>
    </row>
    <row r="1443" ht="14.25" customHeight="1">
      <c r="A1443" s="157" t="s">
        <v>8512</v>
      </c>
      <c r="B1443" s="169" t="s">
        <v>39</v>
      </c>
      <c r="C1443" s="169" t="s">
        <v>3168</v>
      </c>
      <c r="D1443" s="336">
        <v>44474.0</v>
      </c>
      <c r="E1443" s="157" t="s">
        <v>600</v>
      </c>
      <c r="F1443" s="160">
        <v>19463.54</v>
      </c>
      <c r="G1443" s="160">
        <v>3114.17</v>
      </c>
      <c r="H1443" s="160">
        <f t="shared" si="45"/>
        <v>22577.71</v>
      </c>
      <c r="I1443" s="172"/>
      <c r="J1443" s="169"/>
      <c r="K1443" s="172"/>
      <c r="L1443" s="172">
        <f>+'FACUS$'!$H1443-'FACUS$'!$I1443-'FACUS$'!$K1443</f>
        <v>22577.71</v>
      </c>
      <c r="M1443" s="162" t="s">
        <v>570</v>
      </c>
      <c r="N1443" s="337" t="s">
        <v>554</v>
      </c>
      <c r="O1443" s="338">
        <v>44484.0</v>
      </c>
      <c r="P1443" s="164">
        <f t="array" ref="P1443">XLOOKUP('FACUS$'!$B1443,'perfil de pagos'!$A$4:$A$46,'perfil de pagos'!$C$4:$C$46+'FACUS$'!$D1443)</f>
        <v>44484</v>
      </c>
      <c r="Q1443" s="165">
        <f t="shared" si="2"/>
        <v>0</v>
      </c>
      <c r="R1443" s="167"/>
      <c r="S1443" s="167"/>
      <c r="T1443" s="167"/>
      <c r="U1443" s="334" t="s">
        <v>7271</v>
      </c>
      <c r="V1443" s="168">
        <f t="shared" si="3"/>
        <v>22577.71</v>
      </c>
      <c r="W1443" s="168">
        <f t="shared" si="4"/>
        <v>0</v>
      </c>
      <c r="X1443" s="168">
        <f t="shared" si="5"/>
        <v>0</v>
      </c>
      <c r="Y1443" s="168">
        <f t="shared" si="6"/>
        <v>0</v>
      </c>
      <c r="Z1443" s="168">
        <f t="shared" si="7"/>
        <v>0</v>
      </c>
      <c r="AA1443" s="168">
        <f t="shared" si="8"/>
        <v>0</v>
      </c>
      <c r="AB1443" s="168">
        <f t="shared" si="9"/>
        <v>0</v>
      </c>
    </row>
    <row r="1444" ht="14.25" customHeight="1">
      <c r="A1444" s="157" t="s">
        <v>8513</v>
      </c>
      <c r="B1444" s="169" t="s">
        <v>26</v>
      </c>
      <c r="C1444" s="169" t="s">
        <v>3168</v>
      </c>
      <c r="D1444" s="336">
        <v>44474.0</v>
      </c>
      <c r="E1444" s="157" t="s">
        <v>600</v>
      </c>
      <c r="F1444" s="160">
        <v>4527.34</v>
      </c>
      <c r="G1444" s="160">
        <v>724.37</v>
      </c>
      <c r="H1444" s="160">
        <f t="shared" si="45"/>
        <v>5251.71</v>
      </c>
      <c r="I1444" s="172"/>
      <c r="J1444" s="169"/>
      <c r="K1444" s="172"/>
      <c r="L1444" s="172">
        <f>+'FACUS$'!$H1444-'FACUS$'!$I1444-'FACUS$'!$K1444</f>
        <v>5251.71</v>
      </c>
      <c r="M1444" s="162" t="s">
        <v>2386</v>
      </c>
      <c r="N1444" s="337" t="s">
        <v>554</v>
      </c>
      <c r="O1444" s="338">
        <v>44566.0</v>
      </c>
      <c r="P1444" s="164">
        <f t="array" ref="P1444">XLOOKUP('FACUS$'!$B1444,'perfil de pagos'!$A$4:$A$46,'perfil de pagos'!$C$4:$C$46+'FACUS$'!$D1444)</f>
        <v>44504</v>
      </c>
      <c r="Q1444" s="165">
        <f t="shared" si="2"/>
        <v>0</v>
      </c>
      <c r="R1444" s="220" t="s">
        <v>8514</v>
      </c>
      <c r="S1444" s="167"/>
      <c r="T1444" s="167"/>
      <c r="U1444" s="334" t="s">
        <v>7271</v>
      </c>
      <c r="V1444" s="168">
        <f t="shared" si="3"/>
        <v>5251.71</v>
      </c>
      <c r="W1444" s="168">
        <f t="shared" si="4"/>
        <v>0</v>
      </c>
      <c r="X1444" s="168">
        <f t="shared" si="5"/>
        <v>0</v>
      </c>
      <c r="Y1444" s="168">
        <f t="shared" si="6"/>
        <v>0</v>
      </c>
      <c r="Z1444" s="168">
        <f t="shared" si="7"/>
        <v>0</v>
      </c>
      <c r="AA1444" s="168">
        <f t="shared" si="8"/>
        <v>0</v>
      </c>
      <c r="AB1444" s="168">
        <f t="shared" si="9"/>
        <v>0</v>
      </c>
    </row>
    <row r="1445" ht="14.25" customHeight="1">
      <c r="A1445" s="157" t="s">
        <v>8515</v>
      </c>
      <c r="B1445" s="169" t="s">
        <v>41</v>
      </c>
      <c r="C1445" s="169" t="s">
        <v>3168</v>
      </c>
      <c r="D1445" s="336">
        <v>44474.0</v>
      </c>
      <c r="E1445" s="157" t="s">
        <v>600</v>
      </c>
      <c r="F1445" s="160">
        <v>35629.92</v>
      </c>
      <c r="G1445" s="160">
        <v>5700.79</v>
      </c>
      <c r="H1445" s="160">
        <f t="shared" si="45"/>
        <v>41330.71</v>
      </c>
      <c r="I1445" s="172"/>
      <c r="J1445" s="169"/>
      <c r="K1445" s="172"/>
      <c r="L1445" s="172">
        <f>+'FACUS$'!$H1445-'FACUS$'!$I1445-'FACUS$'!$K1445</f>
        <v>41330.71</v>
      </c>
      <c r="M1445" s="162" t="s">
        <v>875</v>
      </c>
      <c r="N1445" s="337" t="s">
        <v>554</v>
      </c>
      <c r="O1445" s="338">
        <v>44547.0</v>
      </c>
      <c r="P1445" s="164">
        <f t="array" ref="P1445">XLOOKUP('FACUS$'!$B1445,'perfil de pagos'!$A$4:$A$46,'perfil de pagos'!$C$4:$C$46+'FACUS$'!$D1445)</f>
        <v>44484</v>
      </c>
      <c r="Q1445" s="165">
        <f t="shared" si="2"/>
        <v>0</v>
      </c>
      <c r="R1445" s="167"/>
      <c r="S1445" s="167"/>
      <c r="T1445" s="167"/>
      <c r="U1445" s="334" t="s">
        <v>7271</v>
      </c>
      <c r="V1445" s="168">
        <f t="shared" si="3"/>
        <v>41330.71</v>
      </c>
      <c r="W1445" s="168">
        <f t="shared" si="4"/>
        <v>0</v>
      </c>
      <c r="X1445" s="168">
        <f t="shared" si="5"/>
        <v>0</v>
      </c>
      <c r="Y1445" s="168">
        <f t="shared" si="6"/>
        <v>0</v>
      </c>
      <c r="Z1445" s="168">
        <f t="shared" si="7"/>
        <v>0</v>
      </c>
      <c r="AA1445" s="168">
        <f t="shared" si="8"/>
        <v>0</v>
      </c>
      <c r="AB1445" s="168">
        <f t="shared" si="9"/>
        <v>0</v>
      </c>
    </row>
    <row r="1446" ht="14.25" customHeight="1">
      <c r="A1446" s="157" t="s">
        <v>8516</v>
      </c>
      <c r="B1446" s="169" t="s">
        <v>37</v>
      </c>
      <c r="C1446" s="169" t="s">
        <v>3168</v>
      </c>
      <c r="D1446" s="336">
        <v>44474.0</v>
      </c>
      <c r="E1446" s="157" t="s">
        <v>600</v>
      </c>
      <c r="F1446" s="160">
        <v>82219.8</v>
      </c>
      <c r="G1446" s="160">
        <v>13155.17</v>
      </c>
      <c r="H1446" s="160">
        <f t="shared" si="45"/>
        <v>95374.97</v>
      </c>
      <c r="I1446" s="172"/>
      <c r="J1446" s="169"/>
      <c r="K1446" s="172"/>
      <c r="L1446" s="172">
        <f>+'FACUS$'!$H1446-'FACUS$'!$I1446-'FACUS$'!$K1446</f>
        <v>95374.97</v>
      </c>
      <c r="M1446" s="162" t="s">
        <v>116</v>
      </c>
      <c r="N1446" s="337" t="s">
        <v>554</v>
      </c>
      <c r="O1446" s="338">
        <v>44503.0</v>
      </c>
      <c r="P1446" s="164">
        <f t="array" ref="P1446">XLOOKUP('FACUS$'!$B1446,'perfil de pagos'!$A$4:$A$46,'perfil de pagos'!$C$4:$C$46+'FACUS$'!$D1446)</f>
        <v>44484</v>
      </c>
      <c r="Q1446" s="165">
        <f t="shared" si="2"/>
        <v>0</v>
      </c>
      <c r="R1446" s="167" t="s">
        <v>8517</v>
      </c>
      <c r="S1446" s="167"/>
      <c r="T1446" s="167"/>
      <c r="U1446" s="334" t="s">
        <v>7271</v>
      </c>
      <c r="V1446" s="168">
        <f t="shared" si="3"/>
        <v>95374.97</v>
      </c>
      <c r="W1446" s="168">
        <f t="shared" si="4"/>
        <v>0</v>
      </c>
      <c r="X1446" s="168">
        <f t="shared" si="5"/>
        <v>0</v>
      </c>
      <c r="Y1446" s="168">
        <f t="shared" si="6"/>
        <v>0</v>
      </c>
      <c r="Z1446" s="168">
        <f t="shared" si="7"/>
        <v>0</v>
      </c>
      <c r="AA1446" s="168">
        <f t="shared" si="8"/>
        <v>0</v>
      </c>
      <c r="AB1446" s="168">
        <f t="shared" si="9"/>
        <v>0</v>
      </c>
    </row>
    <row r="1447" ht="14.25" customHeight="1">
      <c r="A1447" s="157" t="s">
        <v>8518</v>
      </c>
      <c r="B1447" s="169" t="s">
        <v>35</v>
      </c>
      <c r="C1447" s="169" t="s">
        <v>3168</v>
      </c>
      <c r="D1447" s="336">
        <v>44474.0</v>
      </c>
      <c r="E1447" s="157" t="s">
        <v>600</v>
      </c>
      <c r="F1447" s="160">
        <v>4866.39</v>
      </c>
      <c r="G1447" s="160">
        <v>778.62</v>
      </c>
      <c r="H1447" s="160">
        <f t="shared" si="45"/>
        <v>5645.01</v>
      </c>
      <c r="I1447" s="172"/>
      <c r="J1447" s="169"/>
      <c r="K1447" s="172"/>
      <c r="L1447" s="172">
        <f>+'FACUS$'!$H1447-'FACUS$'!$I1447-'FACUS$'!$K1447</f>
        <v>5645.01</v>
      </c>
      <c r="M1447" s="162" t="s">
        <v>276</v>
      </c>
      <c r="N1447" s="337" t="s">
        <v>554</v>
      </c>
      <c r="O1447" s="338">
        <v>44505.0</v>
      </c>
      <c r="P1447" s="164">
        <f t="array" ref="P1447">XLOOKUP('FACUS$'!$B1447,'perfil de pagos'!$A$4:$A$46,'perfil de pagos'!$C$4:$C$46+'FACUS$'!$D1447)</f>
        <v>44484</v>
      </c>
      <c r="Q1447" s="165">
        <f t="shared" si="2"/>
        <v>0</v>
      </c>
      <c r="R1447" s="167"/>
      <c r="S1447" s="167"/>
      <c r="T1447" s="167"/>
      <c r="U1447" s="334" t="s">
        <v>7271</v>
      </c>
      <c r="V1447" s="168">
        <f t="shared" si="3"/>
        <v>5645.01</v>
      </c>
      <c r="W1447" s="168">
        <f t="shared" si="4"/>
        <v>0</v>
      </c>
      <c r="X1447" s="168">
        <f t="shared" si="5"/>
        <v>0</v>
      </c>
      <c r="Y1447" s="168">
        <f t="shared" si="6"/>
        <v>0</v>
      </c>
      <c r="Z1447" s="168">
        <f t="shared" si="7"/>
        <v>0</v>
      </c>
      <c r="AA1447" s="168">
        <f t="shared" si="8"/>
        <v>0</v>
      </c>
      <c r="AB1447" s="168">
        <f t="shared" si="9"/>
        <v>0</v>
      </c>
    </row>
    <row r="1448" ht="14.25" customHeight="1">
      <c r="A1448" s="157" t="s">
        <v>8519</v>
      </c>
      <c r="B1448" s="169" t="s">
        <v>36</v>
      </c>
      <c r="C1448" s="169" t="s">
        <v>3168</v>
      </c>
      <c r="D1448" s="336">
        <v>44474.0</v>
      </c>
      <c r="E1448" s="157" t="s">
        <v>600</v>
      </c>
      <c r="F1448" s="160">
        <v>2299.04</v>
      </c>
      <c r="G1448" s="160">
        <v>367.85</v>
      </c>
      <c r="H1448" s="160">
        <f t="shared" si="45"/>
        <v>2666.89</v>
      </c>
      <c r="I1448" s="172"/>
      <c r="J1448" s="169"/>
      <c r="K1448" s="172"/>
      <c r="L1448" s="172">
        <f>+'FACUS$'!$H1448-'FACUS$'!$I1448-'FACUS$'!$K1448</f>
        <v>2666.89</v>
      </c>
      <c r="M1448" s="162" t="s">
        <v>278</v>
      </c>
      <c r="N1448" s="337" t="s">
        <v>554</v>
      </c>
      <c r="O1448" s="338">
        <v>44550.0</v>
      </c>
      <c r="P1448" s="164">
        <f t="array" ref="P1448">XLOOKUP('FACUS$'!$B1448,'perfil de pagos'!$A$4:$A$46,'perfil de pagos'!$C$4:$C$46+'FACUS$'!$D1448)</f>
        <v>44484</v>
      </c>
      <c r="Q1448" s="165">
        <f t="shared" si="2"/>
        <v>0</v>
      </c>
      <c r="R1448" s="167" t="s">
        <v>8520</v>
      </c>
      <c r="S1448" s="167"/>
      <c r="T1448" s="167"/>
      <c r="U1448" s="334" t="s">
        <v>7271</v>
      </c>
      <c r="V1448" s="168">
        <f t="shared" si="3"/>
        <v>2666.89</v>
      </c>
      <c r="W1448" s="168">
        <f t="shared" si="4"/>
        <v>0</v>
      </c>
      <c r="X1448" s="168">
        <f t="shared" si="5"/>
        <v>0</v>
      </c>
      <c r="Y1448" s="168">
        <f t="shared" si="6"/>
        <v>0</v>
      </c>
      <c r="Z1448" s="168">
        <f t="shared" si="7"/>
        <v>0</v>
      </c>
      <c r="AA1448" s="168">
        <f t="shared" si="8"/>
        <v>0</v>
      </c>
      <c r="AB1448" s="168">
        <f t="shared" si="9"/>
        <v>0</v>
      </c>
    </row>
    <row r="1449" ht="14.25" customHeight="1">
      <c r="A1449" s="157" t="s">
        <v>8521</v>
      </c>
      <c r="B1449" s="169" t="s">
        <v>38</v>
      </c>
      <c r="C1449" s="169" t="s">
        <v>3168</v>
      </c>
      <c r="D1449" s="336">
        <v>44474.0</v>
      </c>
      <c r="E1449" s="157" t="s">
        <v>600</v>
      </c>
      <c r="F1449" s="160">
        <v>11740.46</v>
      </c>
      <c r="G1449" s="160">
        <v>1878.47</v>
      </c>
      <c r="H1449" s="160">
        <f t="shared" si="45"/>
        <v>13618.93</v>
      </c>
      <c r="I1449" s="172"/>
      <c r="J1449" s="169"/>
      <c r="K1449" s="172"/>
      <c r="L1449" s="172">
        <f>+'FACUS$'!$H1449-'FACUS$'!$I1449-'FACUS$'!$K1449</f>
        <v>13618.93</v>
      </c>
      <c r="M1449" s="162" t="s">
        <v>145</v>
      </c>
      <c r="N1449" s="337" t="s">
        <v>554</v>
      </c>
      <c r="O1449" s="338">
        <v>44554.0</v>
      </c>
      <c r="P1449" s="164">
        <f t="array" ref="P1449">XLOOKUP('FACUS$'!$B1449,'perfil de pagos'!$A$4:$A$46,'perfil de pagos'!$C$4:$C$46+'FACUS$'!$D1449)</f>
        <v>44504</v>
      </c>
      <c r="Q1449" s="165">
        <f t="shared" si="2"/>
        <v>0</v>
      </c>
      <c r="R1449" s="167" t="s">
        <v>8522</v>
      </c>
      <c r="S1449" s="167"/>
      <c r="T1449" s="167"/>
      <c r="U1449" s="334" t="s">
        <v>7271</v>
      </c>
      <c r="V1449" s="168">
        <f t="shared" si="3"/>
        <v>13618.93</v>
      </c>
      <c r="W1449" s="168">
        <f t="shared" si="4"/>
        <v>0</v>
      </c>
      <c r="X1449" s="168">
        <f t="shared" si="5"/>
        <v>0</v>
      </c>
      <c r="Y1449" s="168">
        <f t="shared" si="6"/>
        <v>0</v>
      </c>
      <c r="Z1449" s="168">
        <f t="shared" si="7"/>
        <v>0</v>
      </c>
      <c r="AA1449" s="168">
        <f t="shared" si="8"/>
        <v>0</v>
      </c>
      <c r="AB1449" s="168">
        <f t="shared" si="9"/>
        <v>0</v>
      </c>
    </row>
    <row r="1450" ht="14.25" customHeight="1">
      <c r="A1450" s="157" t="s">
        <v>8523</v>
      </c>
      <c r="B1450" s="169" t="s">
        <v>43</v>
      </c>
      <c r="C1450" s="169" t="s">
        <v>3168</v>
      </c>
      <c r="D1450" s="336">
        <v>44474.0</v>
      </c>
      <c r="E1450" s="157" t="s">
        <v>600</v>
      </c>
      <c r="F1450" s="160">
        <v>19928.58</v>
      </c>
      <c r="G1450" s="160">
        <v>3188.57</v>
      </c>
      <c r="H1450" s="160">
        <f t="shared" si="45"/>
        <v>23117.15</v>
      </c>
      <c r="I1450" s="172"/>
      <c r="J1450" s="169"/>
      <c r="K1450" s="172"/>
      <c r="L1450" s="172">
        <f>+'FACUS$'!$H1450-'FACUS$'!$I1450-'FACUS$'!$K1450</f>
        <v>23117.15</v>
      </c>
      <c r="M1450" s="162" t="s">
        <v>43</v>
      </c>
      <c r="N1450" s="337" t="s">
        <v>554</v>
      </c>
      <c r="O1450" s="338">
        <v>44498.0</v>
      </c>
      <c r="P1450" s="164">
        <f t="array" ref="P1450">XLOOKUP('FACUS$'!$B1450,'perfil de pagos'!$A$4:$A$46,'perfil de pagos'!$C$4:$C$46+'FACUS$'!$D1450)</f>
        <v>44499</v>
      </c>
      <c r="Q1450" s="165">
        <f t="shared" si="2"/>
        <v>0</v>
      </c>
      <c r="R1450" s="167"/>
      <c r="S1450" s="167"/>
      <c r="T1450" s="167"/>
      <c r="U1450" s="334" t="s">
        <v>7271</v>
      </c>
      <c r="V1450" s="168">
        <f t="shared" si="3"/>
        <v>23117.15</v>
      </c>
      <c r="W1450" s="168">
        <f t="shared" si="4"/>
        <v>0</v>
      </c>
      <c r="X1450" s="168">
        <f t="shared" si="5"/>
        <v>0</v>
      </c>
      <c r="Y1450" s="168">
        <f t="shared" si="6"/>
        <v>0</v>
      </c>
      <c r="Z1450" s="168">
        <f t="shared" si="7"/>
        <v>0</v>
      </c>
      <c r="AA1450" s="168">
        <f t="shared" si="8"/>
        <v>0</v>
      </c>
      <c r="AB1450" s="168">
        <f t="shared" si="9"/>
        <v>0</v>
      </c>
    </row>
    <row r="1451" ht="14.25" customHeight="1">
      <c r="A1451" s="157" t="s">
        <v>8524</v>
      </c>
      <c r="B1451" s="169" t="s">
        <v>38</v>
      </c>
      <c r="C1451" s="169" t="s">
        <v>3129</v>
      </c>
      <c r="D1451" s="336">
        <v>44463.0</v>
      </c>
      <c r="E1451" s="157" t="s">
        <v>600</v>
      </c>
      <c r="F1451" s="160">
        <v>9774.6</v>
      </c>
      <c r="G1451" s="222">
        <v>1563.94</v>
      </c>
      <c r="H1451" s="160">
        <f t="shared" si="45"/>
        <v>11338.54</v>
      </c>
      <c r="I1451" s="172"/>
      <c r="J1451" s="169"/>
      <c r="K1451" s="172"/>
      <c r="L1451" s="172">
        <f>+'FACUS$'!$H1451-'FACUS$'!$I1451-'FACUS$'!$K1451</f>
        <v>11338.54</v>
      </c>
      <c r="M1451" s="162" t="s">
        <v>145</v>
      </c>
      <c r="N1451" s="337" t="s">
        <v>554</v>
      </c>
      <c r="O1451" s="338">
        <v>44530.0</v>
      </c>
      <c r="P1451" s="164">
        <f t="array" ref="P1451">XLOOKUP('FACUS$'!$B1451,'perfil de pagos'!$A$4:$A$46,'perfil de pagos'!$C$4:$C$46+'FACUS$'!$D1451)</f>
        <v>44493</v>
      </c>
      <c r="Q1451" s="165">
        <f t="shared" si="2"/>
        <v>0</v>
      </c>
      <c r="R1451" s="167" t="s">
        <v>8525</v>
      </c>
      <c r="S1451" s="167"/>
      <c r="T1451" s="167"/>
      <c r="U1451" s="334" t="s">
        <v>7271</v>
      </c>
      <c r="V1451" s="168">
        <f t="shared" si="3"/>
        <v>11338.54</v>
      </c>
      <c r="W1451" s="168">
        <f t="shared" si="4"/>
        <v>0</v>
      </c>
      <c r="X1451" s="168">
        <f t="shared" si="5"/>
        <v>0</v>
      </c>
      <c r="Y1451" s="168">
        <f t="shared" si="6"/>
        <v>0</v>
      </c>
      <c r="Z1451" s="168">
        <f t="shared" si="7"/>
        <v>0</v>
      </c>
      <c r="AA1451" s="168">
        <f t="shared" si="8"/>
        <v>0</v>
      </c>
      <c r="AB1451" s="168">
        <f t="shared" si="9"/>
        <v>0</v>
      </c>
    </row>
    <row r="1452" ht="14.25" customHeight="1">
      <c r="A1452" s="157" t="s">
        <v>8526</v>
      </c>
      <c r="B1452" s="169" t="s">
        <v>36</v>
      </c>
      <c r="C1452" s="169" t="s">
        <v>8527</v>
      </c>
      <c r="D1452" s="336">
        <v>44477.0</v>
      </c>
      <c r="E1452" s="157" t="s">
        <v>600</v>
      </c>
      <c r="F1452" s="160">
        <f>613.25-91.99</f>
        <v>521.26</v>
      </c>
      <c r="G1452" s="160">
        <v>83.4</v>
      </c>
      <c r="H1452" s="160">
        <f t="shared" si="45"/>
        <v>604.66</v>
      </c>
      <c r="I1452" s="172"/>
      <c r="J1452" s="169"/>
      <c r="K1452" s="172"/>
      <c r="L1452" s="172">
        <f>+'FACUS$'!$H1452-'FACUS$'!$I1452-'FACUS$'!$K1452</f>
        <v>604.66</v>
      </c>
      <c r="M1452" s="162" t="s">
        <v>278</v>
      </c>
      <c r="N1452" s="337" t="s">
        <v>554</v>
      </c>
      <c r="O1452" s="338">
        <v>44568.0</v>
      </c>
      <c r="P1452" s="164">
        <f t="array" ref="P1452">XLOOKUP('FACUS$'!$B1452,'perfil de pagos'!$A$4:$A$46,'perfil de pagos'!$C$4:$C$46+'FACUS$'!$D1452)</f>
        <v>44487</v>
      </c>
      <c r="Q1452" s="165">
        <f t="shared" si="2"/>
        <v>0</v>
      </c>
      <c r="R1452" s="220" t="s">
        <v>8528</v>
      </c>
      <c r="S1452" s="167"/>
      <c r="T1452" s="167"/>
      <c r="U1452" s="334" t="s">
        <v>7271</v>
      </c>
      <c r="V1452" s="168">
        <f t="shared" si="3"/>
        <v>604.66</v>
      </c>
      <c r="W1452" s="168">
        <f t="shared" si="4"/>
        <v>0</v>
      </c>
      <c r="X1452" s="168">
        <f t="shared" si="5"/>
        <v>0</v>
      </c>
      <c r="Y1452" s="168">
        <f t="shared" si="6"/>
        <v>0</v>
      </c>
      <c r="Z1452" s="168">
        <f t="shared" si="7"/>
        <v>0</v>
      </c>
      <c r="AA1452" s="168">
        <f t="shared" si="8"/>
        <v>0</v>
      </c>
      <c r="AB1452" s="168">
        <f t="shared" si="9"/>
        <v>0</v>
      </c>
    </row>
    <row r="1453" ht="14.25" customHeight="1">
      <c r="A1453" s="157" t="s">
        <v>8529</v>
      </c>
      <c r="B1453" s="169" t="s">
        <v>31</v>
      </c>
      <c r="C1453" s="169" t="s">
        <v>3168</v>
      </c>
      <c r="D1453" s="336">
        <v>44477.0</v>
      </c>
      <c r="E1453" s="157" t="s">
        <v>600</v>
      </c>
      <c r="F1453" s="160">
        <v>1511.98</v>
      </c>
      <c r="G1453" s="160">
        <v>241.92</v>
      </c>
      <c r="H1453" s="160">
        <f t="shared" si="45"/>
        <v>1753.9</v>
      </c>
      <c r="I1453" s="172"/>
      <c r="J1453" s="169"/>
      <c r="K1453" s="172"/>
      <c r="L1453" s="172">
        <f>+'FACUS$'!$H1453-'FACUS$'!$I1453-'FACUS$'!$K1453</f>
        <v>1753.9</v>
      </c>
      <c r="M1453" s="162" t="s">
        <v>3183</v>
      </c>
      <c r="N1453" s="337" t="s">
        <v>554</v>
      </c>
      <c r="O1453" s="338">
        <v>44484.0</v>
      </c>
      <c r="P1453" s="164">
        <f t="array" ref="P1453">XLOOKUP('FACUS$'!$B1453,'perfil de pagos'!$A$4:$A$46,'perfil de pagos'!$C$4:$C$46+'FACUS$'!$D1453)</f>
        <v>44480</v>
      </c>
      <c r="Q1453" s="165">
        <f t="shared" si="2"/>
        <v>0</v>
      </c>
      <c r="R1453" s="167"/>
      <c r="S1453" s="167"/>
      <c r="T1453" s="167"/>
      <c r="U1453" s="334" t="s">
        <v>7271</v>
      </c>
      <c r="V1453" s="168">
        <f t="shared" si="3"/>
        <v>1753.9</v>
      </c>
      <c r="W1453" s="168">
        <f t="shared" si="4"/>
        <v>0</v>
      </c>
      <c r="X1453" s="168">
        <f t="shared" si="5"/>
        <v>0</v>
      </c>
      <c r="Y1453" s="168">
        <f t="shared" si="6"/>
        <v>0</v>
      </c>
      <c r="Z1453" s="168">
        <f t="shared" si="7"/>
        <v>0</v>
      </c>
      <c r="AA1453" s="168">
        <f t="shared" si="8"/>
        <v>0</v>
      </c>
      <c r="AB1453" s="168">
        <f t="shared" si="9"/>
        <v>0</v>
      </c>
    </row>
    <row r="1454" ht="14.25" customHeight="1">
      <c r="A1454" s="157" t="s">
        <v>8530</v>
      </c>
      <c r="B1454" s="169" t="s">
        <v>17</v>
      </c>
      <c r="C1454" s="169" t="s">
        <v>3168</v>
      </c>
      <c r="D1454" s="336">
        <v>44480.0</v>
      </c>
      <c r="E1454" s="157" t="s">
        <v>600</v>
      </c>
      <c r="F1454" s="160">
        <v>5120.82</v>
      </c>
      <c r="G1454" s="160">
        <v>819.33</v>
      </c>
      <c r="H1454" s="160">
        <f t="shared" si="45"/>
        <v>5940.15</v>
      </c>
      <c r="I1454" s="172"/>
      <c r="J1454" s="169"/>
      <c r="K1454" s="172"/>
      <c r="L1454" s="172">
        <f>+'FACUS$'!$H1454-'FACUS$'!$I1454-'FACUS$'!$K1454</f>
        <v>5940.15</v>
      </c>
      <c r="M1454" s="162" t="s">
        <v>17</v>
      </c>
      <c r="N1454" s="337" t="s">
        <v>554</v>
      </c>
      <c r="O1454" s="338">
        <v>44491.0</v>
      </c>
      <c r="P1454" s="164">
        <f t="array" ref="P1454">XLOOKUP('FACUS$'!$B1454,'perfil de pagos'!$A$4:$A$46,'perfil de pagos'!$C$4:$C$46+'FACUS$'!$D1454)</f>
        <v>44490</v>
      </c>
      <c r="Q1454" s="165">
        <f t="shared" si="2"/>
        <v>0</v>
      </c>
      <c r="R1454" s="167"/>
      <c r="S1454" s="167"/>
      <c r="T1454" s="167"/>
      <c r="U1454" s="334" t="s">
        <v>7271</v>
      </c>
      <c r="V1454" s="168">
        <f t="shared" si="3"/>
        <v>5940.15</v>
      </c>
      <c r="W1454" s="168">
        <f t="shared" si="4"/>
        <v>0</v>
      </c>
      <c r="X1454" s="168">
        <f t="shared" si="5"/>
        <v>0</v>
      </c>
      <c r="Y1454" s="168">
        <f t="shared" si="6"/>
        <v>0</v>
      </c>
      <c r="Z1454" s="168">
        <f t="shared" si="7"/>
        <v>0</v>
      </c>
      <c r="AA1454" s="168">
        <f t="shared" si="8"/>
        <v>0</v>
      </c>
      <c r="AB1454" s="168">
        <f t="shared" si="9"/>
        <v>0</v>
      </c>
    </row>
    <row r="1455" ht="14.25" customHeight="1">
      <c r="A1455" s="157" t="s">
        <v>8531</v>
      </c>
      <c r="B1455" s="169" t="s">
        <v>17</v>
      </c>
      <c r="C1455" s="169" t="s">
        <v>3166</v>
      </c>
      <c r="D1455" s="336">
        <v>44481.0</v>
      </c>
      <c r="E1455" s="157" t="s">
        <v>600</v>
      </c>
      <c r="F1455" s="160">
        <v>6994.06</v>
      </c>
      <c r="G1455" s="160">
        <v>1119.05</v>
      </c>
      <c r="H1455" s="160">
        <f t="shared" si="45"/>
        <v>8113.11</v>
      </c>
      <c r="I1455" s="172"/>
      <c r="J1455" s="169"/>
      <c r="K1455" s="172"/>
      <c r="L1455" s="172">
        <f>+'FACUS$'!$H1455-'FACUS$'!$I1455-'FACUS$'!$K1455</f>
        <v>8113.11</v>
      </c>
      <c r="M1455" s="162" t="s">
        <v>17</v>
      </c>
      <c r="N1455" s="337" t="s">
        <v>554</v>
      </c>
      <c r="O1455" s="338">
        <v>44491.0</v>
      </c>
      <c r="P1455" s="164">
        <f t="array" ref="P1455">XLOOKUP('FACUS$'!$B1455,'perfil de pagos'!$A$4:$A$46,'perfil de pagos'!$C$4:$C$46+'FACUS$'!$D1455)</f>
        <v>44491</v>
      </c>
      <c r="Q1455" s="165">
        <f t="shared" si="2"/>
        <v>0</v>
      </c>
      <c r="R1455" s="167"/>
      <c r="S1455" s="167"/>
      <c r="T1455" s="167"/>
      <c r="U1455" s="334" t="s">
        <v>7271</v>
      </c>
      <c r="V1455" s="168">
        <f t="shared" si="3"/>
        <v>8113.11</v>
      </c>
      <c r="W1455" s="168">
        <f t="shared" si="4"/>
        <v>0</v>
      </c>
      <c r="X1455" s="168">
        <f t="shared" si="5"/>
        <v>0</v>
      </c>
      <c r="Y1455" s="168">
        <f t="shared" si="6"/>
        <v>0</v>
      </c>
      <c r="Z1455" s="168">
        <f t="shared" si="7"/>
        <v>0</v>
      </c>
      <c r="AA1455" s="168">
        <f t="shared" si="8"/>
        <v>0</v>
      </c>
      <c r="AB1455" s="168">
        <f t="shared" si="9"/>
        <v>0</v>
      </c>
    </row>
    <row r="1456" ht="14.25" customHeight="1">
      <c r="A1456" s="157" t="s">
        <v>8532</v>
      </c>
      <c r="B1456" s="169" t="s">
        <v>17</v>
      </c>
      <c r="C1456" s="169" t="s">
        <v>8533</v>
      </c>
      <c r="D1456" s="336">
        <v>44484.0</v>
      </c>
      <c r="E1456" s="157" t="s">
        <v>600</v>
      </c>
      <c r="F1456" s="160">
        <v>800.0</v>
      </c>
      <c r="G1456" s="160">
        <v>128.0</v>
      </c>
      <c r="H1456" s="160">
        <f t="shared" si="45"/>
        <v>928</v>
      </c>
      <c r="I1456" s="172"/>
      <c r="J1456" s="169"/>
      <c r="K1456" s="172"/>
      <c r="L1456" s="172">
        <f>+'FACUS$'!$H1456-'FACUS$'!$I1456-'FACUS$'!$K1456</f>
        <v>928</v>
      </c>
      <c r="M1456" s="162" t="s">
        <v>17</v>
      </c>
      <c r="N1456" s="337" t="s">
        <v>554</v>
      </c>
      <c r="O1456" s="338">
        <v>44528.0</v>
      </c>
      <c r="P1456" s="164">
        <f t="array" ref="P1456">XLOOKUP('FACUS$'!$B1456,'perfil de pagos'!$A$4:$A$46,'perfil de pagos'!$C$4:$C$46+'FACUS$'!$D1456)</f>
        <v>44494</v>
      </c>
      <c r="Q1456" s="165">
        <f t="shared" si="2"/>
        <v>0</v>
      </c>
      <c r="R1456" s="167"/>
      <c r="S1456" s="167"/>
      <c r="T1456" s="167"/>
      <c r="U1456" s="334" t="s">
        <v>7271</v>
      </c>
      <c r="V1456" s="168">
        <f t="shared" si="3"/>
        <v>928</v>
      </c>
      <c r="W1456" s="168">
        <f t="shared" si="4"/>
        <v>0</v>
      </c>
      <c r="X1456" s="168">
        <f t="shared" si="5"/>
        <v>0</v>
      </c>
      <c r="Y1456" s="168">
        <f t="shared" si="6"/>
        <v>0</v>
      </c>
      <c r="Z1456" s="168">
        <f t="shared" si="7"/>
        <v>0</v>
      </c>
      <c r="AA1456" s="168">
        <f t="shared" si="8"/>
        <v>0</v>
      </c>
      <c r="AB1456" s="168">
        <f t="shared" si="9"/>
        <v>0</v>
      </c>
    </row>
    <row r="1457" ht="14.25" customHeight="1">
      <c r="A1457" s="157" t="s">
        <v>8534</v>
      </c>
      <c r="B1457" s="169" t="s">
        <v>17</v>
      </c>
      <c r="C1457" s="169" t="s">
        <v>3187</v>
      </c>
      <c r="D1457" s="336">
        <v>44491.0</v>
      </c>
      <c r="E1457" s="157" t="s">
        <v>600</v>
      </c>
      <c r="F1457" s="160">
        <v>10441.24</v>
      </c>
      <c r="G1457" s="160">
        <v>1670.6</v>
      </c>
      <c r="H1457" s="160">
        <f t="shared" si="45"/>
        <v>12111.84</v>
      </c>
      <c r="I1457" s="172"/>
      <c r="J1457" s="169"/>
      <c r="K1457" s="172"/>
      <c r="L1457" s="172">
        <f>+'FACUS$'!$H1457-'FACUS$'!$I1457-'FACUS$'!$K1457</f>
        <v>12111.84</v>
      </c>
      <c r="M1457" s="162" t="s">
        <v>17</v>
      </c>
      <c r="N1457" s="337" t="s">
        <v>554</v>
      </c>
      <c r="O1457" s="338">
        <v>44528.0</v>
      </c>
      <c r="P1457" s="164">
        <f t="array" ref="P1457">XLOOKUP('FACUS$'!$B1457,'perfil de pagos'!$A$4:$A$46,'perfil de pagos'!$C$4:$C$46+'FACUS$'!$D1457)</f>
        <v>44501</v>
      </c>
      <c r="Q1457" s="165">
        <f t="shared" si="2"/>
        <v>0</v>
      </c>
      <c r="R1457" s="167"/>
      <c r="S1457" s="167"/>
      <c r="T1457" s="167"/>
      <c r="U1457" s="334" t="s">
        <v>7271</v>
      </c>
      <c r="V1457" s="168">
        <f t="shared" si="3"/>
        <v>12111.84</v>
      </c>
      <c r="W1457" s="168">
        <f t="shared" si="4"/>
        <v>0</v>
      </c>
      <c r="X1457" s="168">
        <f t="shared" si="5"/>
        <v>0</v>
      </c>
      <c r="Y1457" s="168">
        <f t="shared" si="6"/>
        <v>0</v>
      </c>
      <c r="Z1457" s="168">
        <f t="shared" si="7"/>
        <v>0</v>
      </c>
      <c r="AA1457" s="168">
        <f t="shared" si="8"/>
        <v>0</v>
      </c>
      <c r="AB1457" s="168">
        <f t="shared" si="9"/>
        <v>0</v>
      </c>
    </row>
    <row r="1458" ht="14.25" customHeight="1">
      <c r="A1458" s="157" t="s">
        <v>8535</v>
      </c>
      <c r="B1458" s="169" t="s">
        <v>17</v>
      </c>
      <c r="C1458" s="169" t="s">
        <v>3189</v>
      </c>
      <c r="D1458" s="336">
        <v>44491.0</v>
      </c>
      <c r="E1458" s="157" t="s">
        <v>600</v>
      </c>
      <c r="F1458" s="160">
        <v>10388.51</v>
      </c>
      <c r="G1458" s="160">
        <v>1662.16</v>
      </c>
      <c r="H1458" s="160">
        <f t="shared" si="45"/>
        <v>12050.67</v>
      </c>
      <c r="I1458" s="172"/>
      <c r="J1458" s="169"/>
      <c r="K1458" s="172"/>
      <c r="L1458" s="172">
        <f>+'FACUS$'!$H1458-'FACUS$'!$I1458-'FACUS$'!$K1458</f>
        <v>12050.67</v>
      </c>
      <c r="M1458" s="162" t="s">
        <v>17</v>
      </c>
      <c r="N1458" s="337" t="s">
        <v>554</v>
      </c>
      <c r="O1458" s="338">
        <v>44528.0</v>
      </c>
      <c r="P1458" s="164">
        <f t="array" ref="P1458">XLOOKUP('FACUS$'!$B1458,'perfil de pagos'!$A$4:$A$46,'perfil de pagos'!$C$4:$C$46+'FACUS$'!$D1458)</f>
        <v>44501</v>
      </c>
      <c r="Q1458" s="165">
        <f t="shared" si="2"/>
        <v>0</v>
      </c>
      <c r="R1458" s="167"/>
      <c r="S1458" s="167"/>
      <c r="T1458" s="167"/>
      <c r="U1458" s="334" t="s">
        <v>7271</v>
      </c>
      <c r="V1458" s="168">
        <f t="shared" si="3"/>
        <v>12050.67</v>
      </c>
      <c r="W1458" s="168">
        <f t="shared" si="4"/>
        <v>0</v>
      </c>
      <c r="X1458" s="168">
        <f t="shared" si="5"/>
        <v>0</v>
      </c>
      <c r="Y1458" s="168">
        <f t="shared" si="6"/>
        <v>0</v>
      </c>
      <c r="Z1458" s="168">
        <f t="shared" si="7"/>
        <v>0</v>
      </c>
      <c r="AA1458" s="168">
        <f t="shared" si="8"/>
        <v>0</v>
      </c>
      <c r="AB1458" s="168">
        <f t="shared" si="9"/>
        <v>0</v>
      </c>
    </row>
    <row r="1459" ht="14.25" customHeight="1">
      <c r="A1459" s="157" t="s">
        <v>8536</v>
      </c>
      <c r="B1459" s="169" t="s">
        <v>18</v>
      </c>
      <c r="C1459" s="169" t="s">
        <v>3189</v>
      </c>
      <c r="D1459" s="336">
        <v>44491.0</v>
      </c>
      <c r="E1459" s="157" t="s">
        <v>600</v>
      </c>
      <c r="F1459" s="160">
        <v>7089.71</v>
      </c>
      <c r="G1459" s="160">
        <v>1134.35</v>
      </c>
      <c r="H1459" s="160">
        <f t="shared" si="45"/>
        <v>8224.06</v>
      </c>
      <c r="I1459" s="172"/>
      <c r="J1459" s="169"/>
      <c r="K1459" s="172"/>
      <c r="L1459" s="172">
        <f>+'FACUS$'!$H1459-'FACUS$'!$I1459-'FACUS$'!$K1459</f>
        <v>8224.06</v>
      </c>
      <c r="M1459" s="162" t="s">
        <v>586</v>
      </c>
      <c r="N1459" s="337" t="s">
        <v>554</v>
      </c>
      <c r="O1459" s="338">
        <v>44523.0</v>
      </c>
      <c r="P1459" s="164">
        <f t="array" ref="P1459">XLOOKUP('FACUS$'!$B1459,'perfil de pagos'!$A$4:$A$46,'perfil de pagos'!$C$4:$C$46+'FACUS$'!$D1459)</f>
        <v>44501</v>
      </c>
      <c r="Q1459" s="165">
        <f t="shared" si="2"/>
        <v>0</v>
      </c>
      <c r="R1459" s="167"/>
      <c r="S1459" s="167"/>
      <c r="T1459" s="167"/>
      <c r="U1459" s="334" t="s">
        <v>7271</v>
      </c>
      <c r="V1459" s="168">
        <f t="shared" si="3"/>
        <v>8224.06</v>
      </c>
      <c r="W1459" s="168">
        <f t="shared" si="4"/>
        <v>0</v>
      </c>
      <c r="X1459" s="168">
        <f t="shared" si="5"/>
        <v>0</v>
      </c>
      <c r="Y1459" s="168">
        <f t="shared" si="6"/>
        <v>0</v>
      </c>
      <c r="Z1459" s="168">
        <f t="shared" si="7"/>
        <v>0</v>
      </c>
      <c r="AA1459" s="168">
        <f t="shared" si="8"/>
        <v>0</v>
      </c>
      <c r="AB1459" s="168">
        <f t="shared" si="9"/>
        <v>0</v>
      </c>
    </row>
    <row r="1460" ht="14.25" customHeight="1">
      <c r="A1460" s="157" t="s">
        <v>8537</v>
      </c>
      <c r="B1460" s="169" t="s">
        <v>20</v>
      </c>
      <c r="C1460" s="169" t="s">
        <v>3189</v>
      </c>
      <c r="D1460" s="336">
        <v>44491.0</v>
      </c>
      <c r="E1460" s="157" t="s">
        <v>600</v>
      </c>
      <c r="F1460" s="160">
        <v>12537.85</v>
      </c>
      <c r="G1460" s="160">
        <v>2006.06</v>
      </c>
      <c r="H1460" s="160">
        <f t="shared" si="45"/>
        <v>14543.91</v>
      </c>
      <c r="I1460" s="172"/>
      <c r="J1460" s="169"/>
      <c r="K1460" s="172"/>
      <c r="L1460" s="172">
        <f>+'FACUS$'!$H1460-'FACUS$'!$I1460-'FACUS$'!$K1460</f>
        <v>14543.91</v>
      </c>
      <c r="M1460" s="162" t="s">
        <v>732</v>
      </c>
      <c r="N1460" s="337" t="s">
        <v>554</v>
      </c>
      <c r="O1460" s="338">
        <v>44523.0</v>
      </c>
      <c r="P1460" s="164">
        <f t="array" ref="P1460">XLOOKUP('FACUS$'!$B1460,'perfil de pagos'!$A$4:$A$46,'perfil de pagos'!$C$4:$C$46+'FACUS$'!$D1460)</f>
        <v>44501</v>
      </c>
      <c r="Q1460" s="165">
        <f t="shared" si="2"/>
        <v>0</v>
      </c>
      <c r="R1460" s="167"/>
      <c r="S1460" s="167"/>
      <c r="T1460" s="167"/>
      <c r="U1460" s="334" t="s">
        <v>7271</v>
      </c>
      <c r="V1460" s="168">
        <f t="shared" si="3"/>
        <v>14543.91</v>
      </c>
      <c r="W1460" s="168">
        <f t="shared" si="4"/>
        <v>0</v>
      </c>
      <c r="X1460" s="168">
        <f t="shared" si="5"/>
        <v>0</v>
      </c>
      <c r="Y1460" s="168">
        <f t="shared" si="6"/>
        <v>0</v>
      </c>
      <c r="Z1460" s="168">
        <f t="shared" si="7"/>
        <v>0</v>
      </c>
      <c r="AA1460" s="168">
        <f t="shared" si="8"/>
        <v>0</v>
      </c>
      <c r="AB1460" s="168">
        <f t="shared" si="9"/>
        <v>0</v>
      </c>
    </row>
    <row r="1461" ht="14.25" customHeight="1">
      <c r="A1461" s="157" t="s">
        <v>8538</v>
      </c>
      <c r="B1461" s="169" t="s">
        <v>26</v>
      </c>
      <c r="C1461" s="169" t="s">
        <v>3189</v>
      </c>
      <c r="D1461" s="336">
        <v>44491.0</v>
      </c>
      <c r="E1461" s="157" t="s">
        <v>600</v>
      </c>
      <c r="F1461" s="160">
        <v>4968.18</v>
      </c>
      <c r="G1461" s="160">
        <v>794.91</v>
      </c>
      <c r="H1461" s="160">
        <f t="shared" si="45"/>
        <v>5763.09</v>
      </c>
      <c r="I1461" s="172"/>
      <c r="J1461" s="169"/>
      <c r="K1461" s="172"/>
      <c r="L1461" s="172">
        <f>+'FACUS$'!$H1461-'FACUS$'!$I1461-'FACUS$'!$K1461</f>
        <v>5763.09</v>
      </c>
      <c r="M1461" s="162" t="s">
        <v>2386</v>
      </c>
      <c r="N1461" s="337" t="s">
        <v>554</v>
      </c>
      <c r="O1461" s="338">
        <v>44579.0</v>
      </c>
      <c r="P1461" s="164">
        <f t="array" ref="P1461">XLOOKUP('FACUS$'!$B1461,'perfil de pagos'!$A$4:$A$46,'perfil de pagos'!$C$4:$C$46+'FACUS$'!$D1461)</f>
        <v>44521</v>
      </c>
      <c r="Q1461" s="165">
        <f t="shared" si="2"/>
        <v>0</v>
      </c>
      <c r="R1461" s="167" t="s">
        <v>8539</v>
      </c>
      <c r="S1461" s="167"/>
      <c r="T1461" s="167"/>
      <c r="U1461" s="334" t="s">
        <v>7271</v>
      </c>
      <c r="V1461" s="168">
        <f t="shared" si="3"/>
        <v>5763.09</v>
      </c>
      <c r="W1461" s="168">
        <f t="shared" si="4"/>
        <v>0</v>
      </c>
      <c r="X1461" s="168">
        <f t="shared" si="5"/>
        <v>0</v>
      </c>
      <c r="Y1461" s="168">
        <f t="shared" si="6"/>
        <v>0</v>
      </c>
      <c r="Z1461" s="168">
        <f t="shared" si="7"/>
        <v>0</v>
      </c>
      <c r="AA1461" s="168">
        <f t="shared" si="8"/>
        <v>0</v>
      </c>
      <c r="AB1461" s="168">
        <f t="shared" si="9"/>
        <v>0</v>
      </c>
    </row>
    <row r="1462" ht="14.25" customHeight="1">
      <c r="A1462" s="157" t="s">
        <v>8540</v>
      </c>
      <c r="B1462" s="169" t="s">
        <v>41</v>
      </c>
      <c r="C1462" s="169" t="s">
        <v>3189</v>
      </c>
      <c r="D1462" s="336">
        <v>44491.0</v>
      </c>
      <c r="E1462" s="157" t="s">
        <v>600</v>
      </c>
      <c r="F1462" s="160">
        <v>38176.6</v>
      </c>
      <c r="G1462" s="160">
        <v>6108.26</v>
      </c>
      <c r="H1462" s="160">
        <f t="shared" si="45"/>
        <v>44284.86</v>
      </c>
      <c r="I1462" s="172"/>
      <c r="J1462" s="169"/>
      <c r="K1462" s="172"/>
      <c r="L1462" s="172">
        <f>+'FACUS$'!$H1462-'FACUS$'!$I1462-'FACUS$'!$K1462</f>
        <v>44284.86</v>
      </c>
      <c r="M1462" s="162" t="s">
        <v>875</v>
      </c>
      <c r="N1462" s="337" t="s">
        <v>554</v>
      </c>
      <c r="O1462" s="338">
        <v>44547.0</v>
      </c>
      <c r="P1462" s="164">
        <f t="array" ref="P1462">XLOOKUP('FACUS$'!$B1462,'perfil de pagos'!$A$4:$A$46,'perfil de pagos'!$C$4:$C$46+'FACUS$'!$D1462)</f>
        <v>44501</v>
      </c>
      <c r="Q1462" s="165">
        <f t="shared" si="2"/>
        <v>0</v>
      </c>
      <c r="R1462" s="167"/>
      <c r="S1462" s="167"/>
      <c r="T1462" s="167"/>
      <c r="U1462" s="334" t="s">
        <v>7271</v>
      </c>
      <c r="V1462" s="168">
        <f t="shared" si="3"/>
        <v>44284.86</v>
      </c>
      <c r="W1462" s="168">
        <f t="shared" si="4"/>
        <v>0</v>
      </c>
      <c r="X1462" s="168">
        <f t="shared" si="5"/>
        <v>0</v>
      </c>
      <c r="Y1462" s="168">
        <f t="shared" si="6"/>
        <v>0</v>
      </c>
      <c r="Z1462" s="168">
        <f t="shared" si="7"/>
        <v>0</v>
      </c>
      <c r="AA1462" s="168">
        <f t="shared" si="8"/>
        <v>0</v>
      </c>
      <c r="AB1462" s="168">
        <f t="shared" si="9"/>
        <v>0</v>
      </c>
    </row>
    <row r="1463" ht="14.25" customHeight="1">
      <c r="A1463" s="157" t="s">
        <v>8541</v>
      </c>
      <c r="B1463" s="169" t="s">
        <v>37</v>
      </c>
      <c r="C1463" s="169" t="s">
        <v>3189</v>
      </c>
      <c r="D1463" s="336">
        <v>44491.0</v>
      </c>
      <c r="E1463" s="157" t="s">
        <v>600</v>
      </c>
      <c r="F1463" s="160">
        <v>76144.56</v>
      </c>
      <c r="G1463" s="160">
        <v>12183.13</v>
      </c>
      <c r="H1463" s="160">
        <f t="shared" si="45"/>
        <v>88327.69</v>
      </c>
      <c r="I1463" s="172"/>
      <c r="J1463" s="169"/>
      <c r="K1463" s="172"/>
      <c r="L1463" s="172">
        <f>+'FACUS$'!$H1463-'FACUS$'!$I1463-'FACUS$'!$K1463</f>
        <v>88327.69</v>
      </c>
      <c r="M1463" s="162" t="s">
        <v>116</v>
      </c>
      <c r="N1463" s="337" t="s">
        <v>554</v>
      </c>
      <c r="O1463" s="338">
        <v>44508.0</v>
      </c>
      <c r="P1463" s="164">
        <f t="array" ref="P1463">XLOOKUP('FACUS$'!$B1463,'perfil de pagos'!$A$4:$A$46,'perfil de pagos'!$C$4:$C$46+'FACUS$'!$D1463)</f>
        <v>44501</v>
      </c>
      <c r="Q1463" s="165">
        <f t="shared" si="2"/>
        <v>0</v>
      </c>
      <c r="R1463" s="167" t="s">
        <v>8542</v>
      </c>
      <c r="S1463" s="167"/>
      <c r="T1463" s="167"/>
      <c r="U1463" s="334" t="s">
        <v>7271</v>
      </c>
      <c r="V1463" s="168">
        <f t="shared" si="3"/>
        <v>88327.69</v>
      </c>
      <c r="W1463" s="168">
        <f t="shared" si="4"/>
        <v>0</v>
      </c>
      <c r="X1463" s="168">
        <f t="shared" si="5"/>
        <v>0</v>
      </c>
      <c r="Y1463" s="168">
        <f t="shared" si="6"/>
        <v>0</v>
      </c>
      <c r="Z1463" s="168">
        <f t="shared" si="7"/>
        <v>0</v>
      </c>
      <c r="AA1463" s="168">
        <f t="shared" si="8"/>
        <v>0</v>
      </c>
      <c r="AB1463" s="168">
        <f t="shared" si="9"/>
        <v>0</v>
      </c>
    </row>
    <row r="1464" ht="14.25" customHeight="1">
      <c r="A1464" s="157" t="s">
        <v>8543</v>
      </c>
      <c r="B1464" s="169" t="s">
        <v>33</v>
      </c>
      <c r="C1464" s="169" t="s">
        <v>3189</v>
      </c>
      <c r="D1464" s="336">
        <v>44491.0</v>
      </c>
      <c r="E1464" s="157" t="s">
        <v>600</v>
      </c>
      <c r="F1464" s="160">
        <v>18297.93</v>
      </c>
      <c r="G1464" s="160">
        <v>2927.67</v>
      </c>
      <c r="H1464" s="160">
        <f t="shared" si="45"/>
        <v>21225.6</v>
      </c>
      <c r="I1464" s="172"/>
      <c r="J1464" s="169"/>
      <c r="K1464" s="172"/>
      <c r="L1464" s="172">
        <f>+'FACUS$'!$H1464-'FACUS$'!$I1464-'FACUS$'!$K1464</f>
        <v>21225.6</v>
      </c>
      <c r="M1464" s="162" t="s">
        <v>958</v>
      </c>
      <c r="N1464" s="337" t="s">
        <v>554</v>
      </c>
      <c r="O1464" s="338">
        <v>44512.0</v>
      </c>
      <c r="P1464" s="164">
        <f t="array" ref="P1464">XLOOKUP('FACUS$'!$B1464,'perfil de pagos'!$A$4:$A$46,'perfil de pagos'!$C$4:$C$46+'FACUS$'!$D1464)</f>
        <v>44501</v>
      </c>
      <c r="Q1464" s="165">
        <f t="shared" si="2"/>
        <v>0</v>
      </c>
      <c r="R1464" s="167"/>
      <c r="S1464" s="167"/>
      <c r="T1464" s="167"/>
      <c r="U1464" s="334" t="s">
        <v>7271</v>
      </c>
      <c r="V1464" s="168">
        <f t="shared" si="3"/>
        <v>21225.6</v>
      </c>
      <c r="W1464" s="168">
        <f t="shared" si="4"/>
        <v>0</v>
      </c>
      <c r="X1464" s="168">
        <f t="shared" si="5"/>
        <v>0</v>
      </c>
      <c r="Y1464" s="168">
        <f t="shared" si="6"/>
        <v>0</v>
      </c>
      <c r="Z1464" s="168">
        <f t="shared" si="7"/>
        <v>0</v>
      </c>
      <c r="AA1464" s="168">
        <f t="shared" si="8"/>
        <v>0</v>
      </c>
      <c r="AB1464" s="168">
        <f t="shared" si="9"/>
        <v>0</v>
      </c>
    </row>
    <row r="1465" ht="14.25" customHeight="1">
      <c r="A1465" s="157" t="s">
        <v>8544</v>
      </c>
      <c r="B1465" s="169" t="s">
        <v>35</v>
      </c>
      <c r="C1465" s="169" t="s">
        <v>3189</v>
      </c>
      <c r="D1465" s="336">
        <v>44491.0</v>
      </c>
      <c r="E1465" s="157" t="s">
        <v>600</v>
      </c>
      <c r="F1465" s="160">
        <v>5655.07</v>
      </c>
      <c r="G1465" s="160">
        <v>904.81</v>
      </c>
      <c r="H1465" s="160">
        <f t="shared" si="45"/>
        <v>6559.88</v>
      </c>
      <c r="I1465" s="172"/>
      <c r="J1465" s="169"/>
      <c r="K1465" s="172"/>
      <c r="L1465" s="172">
        <f>+'FACUS$'!$H1465-'FACUS$'!$I1465-'FACUS$'!$K1465</f>
        <v>6559.88</v>
      </c>
      <c r="M1465" s="162" t="s">
        <v>276</v>
      </c>
      <c r="N1465" s="337" t="s">
        <v>554</v>
      </c>
      <c r="O1465" s="338">
        <v>44518.0</v>
      </c>
      <c r="P1465" s="164">
        <f t="array" ref="P1465">XLOOKUP('FACUS$'!$B1465,'perfil de pagos'!$A$4:$A$46,'perfil de pagos'!$C$4:$C$46+'FACUS$'!$D1465)</f>
        <v>44501</v>
      </c>
      <c r="Q1465" s="165">
        <f t="shared" si="2"/>
        <v>0</v>
      </c>
      <c r="R1465" s="167"/>
      <c r="S1465" s="167"/>
      <c r="T1465" s="167"/>
      <c r="U1465" s="334" t="s">
        <v>7271</v>
      </c>
      <c r="V1465" s="168">
        <f t="shared" si="3"/>
        <v>6559.88</v>
      </c>
      <c r="W1465" s="168">
        <f t="shared" si="4"/>
        <v>0</v>
      </c>
      <c r="X1465" s="168">
        <f t="shared" si="5"/>
        <v>0</v>
      </c>
      <c r="Y1465" s="168">
        <f t="shared" si="6"/>
        <v>0</v>
      </c>
      <c r="Z1465" s="168">
        <f t="shared" si="7"/>
        <v>0</v>
      </c>
      <c r="AA1465" s="168">
        <f t="shared" si="8"/>
        <v>0</v>
      </c>
      <c r="AB1465" s="168">
        <f t="shared" si="9"/>
        <v>0</v>
      </c>
    </row>
    <row r="1466" ht="14.25" customHeight="1">
      <c r="A1466" s="157" t="s">
        <v>8545</v>
      </c>
      <c r="B1466" s="169" t="s">
        <v>36</v>
      </c>
      <c r="C1466" s="169" t="s">
        <v>3189</v>
      </c>
      <c r="D1466" s="336">
        <v>44491.0</v>
      </c>
      <c r="E1466" s="157" t="s">
        <v>600</v>
      </c>
      <c r="F1466" s="160">
        <v>2127.9</v>
      </c>
      <c r="G1466" s="160">
        <v>340.46</v>
      </c>
      <c r="H1466" s="160">
        <f t="shared" si="45"/>
        <v>2468.36</v>
      </c>
      <c r="I1466" s="172"/>
      <c r="J1466" s="169"/>
      <c r="K1466" s="172"/>
      <c r="L1466" s="172">
        <f>+'FACUS$'!$H1466-'FACUS$'!$I1466-'FACUS$'!$K1466</f>
        <v>2468.36</v>
      </c>
      <c r="M1466" s="162" t="s">
        <v>278</v>
      </c>
      <c r="N1466" s="337" t="s">
        <v>554</v>
      </c>
      <c r="O1466" s="338">
        <v>44550.0</v>
      </c>
      <c r="P1466" s="164">
        <f t="array" ref="P1466">XLOOKUP('FACUS$'!$B1466,'perfil de pagos'!$A$4:$A$46,'perfil de pagos'!$C$4:$C$46+'FACUS$'!$D1466)</f>
        <v>44501</v>
      </c>
      <c r="Q1466" s="165">
        <f t="shared" si="2"/>
        <v>0</v>
      </c>
      <c r="R1466" s="167" t="s">
        <v>8546</v>
      </c>
      <c r="S1466" s="167"/>
      <c r="T1466" s="167"/>
      <c r="U1466" s="334" t="s">
        <v>7271</v>
      </c>
      <c r="V1466" s="168">
        <f t="shared" si="3"/>
        <v>2468.36</v>
      </c>
      <c r="W1466" s="168">
        <f t="shared" si="4"/>
        <v>0</v>
      </c>
      <c r="X1466" s="168">
        <f t="shared" si="5"/>
        <v>0</v>
      </c>
      <c r="Y1466" s="168">
        <f t="shared" si="6"/>
        <v>0</v>
      </c>
      <c r="Z1466" s="168">
        <f t="shared" si="7"/>
        <v>0</v>
      </c>
      <c r="AA1466" s="168">
        <f t="shared" si="8"/>
        <v>0</v>
      </c>
      <c r="AB1466" s="168">
        <f t="shared" si="9"/>
        <v>0</v>
      </c>
    </row>
    <row r="1467" ht="14.25" customHeight="1">
      <c r="A1467" s="157" t="s">
        <v>8547</v>
      </c>
      <c r="B1467" s="169" t="s">
        <v>38</v>
      </c>
      <c r="C1467" s="169" t="s">
        <v>3189</v>
      </c>
      <c r="D1467" s="336">
        <v>44491.0</v>
      </c>
      <c r="E1467" s="157" t="s">
        <v>600</v>
      </c>
      <c r="F1467" s="160">
        <v>11032.58</v>
      </c>
      <c r="G1467" s="160">
        <v>1765.21</v>
      </c>
      <c r="H1467" s="160">
        <f t="shared" si="45"/>
        <v>12797.79</v>
      </c>
      <c r="I1467" s="172"/>
      <c r="J1467" s="169"/>
      <c r="K1467" s="172"/>
      <c r="L1467" s="172">
        <f>+'FACUS$'!$H1467-'FACUS$'!$I1467-'FACUS$'!$K1467</f>
        <v>12797.79</v>
      </c>
      <c r="M1467" s="162" t="s">
        <v>145</v>
      </c>
      <c r="N1467" s="337" t="s">
        <v>127</v>
      </c>
      <c r="O1467" s="338"/>
      <c r="P1467" s="164">
        <f t="array" ref="P1467">XLOOKUP('FACUS$'!$B1467,'perfil de pagos'!$A$4:$A$46,'perfil de pagos'!$C$4:$C$46+'FACUS$'!$D1467)</f>
        <v>44521</v>
      </c>
      <c r="Q1467" s="165" t="str">
        <f t="shared" si="2"/>
        <v>N/A</v>
      </c>
      <c r="R1467" s="167"/>
      <c r="S1467" s="167"/>
      <c r="T1467" s="167"/>
      <c r="U1467" s="334" t="s">
        <v>7271</v>
      </c>
      <c r="V1467" s="168">
        <f t="shared" si="3"/>
        <v>0</v>
      </c>
      <c r="W1467" s="168">
        <f t="shared" si="4"/>
        <v>0</v>
      </c>
      <c r="X1467" s="168">
        <f t="shared" si="5"/>
        <v>0</v>
      </c>
      <c r="Y1467" s="168">
        <f t="shared" si="6"/>
        <v>0</v>
      </c>
      <c r="Z1467" s="168">
        <f t="shared" si="7"/>
        <v>0</v>
      </c>
      <c r="AA1467" s="168">
        <f t="shared" si="8"/>
        <v>0</v>
      </c>
      <c r="AB1467" s="168">
        <f t="shared" si="9"/>
        <v>12797.79</v>
      </c>
    </row>
    <row r="1468" ht="14.25" customHeight="1">
      <c r="A1468" s="157" t="s">
        <v>8548</v>
      </c>
      <c r="B1468" s="169" t="s">
        <v>43</v>
      </c>
      <c r="C1468" s="169" t="s">
        <v>3189</v>
      </c>
      <c r="D1468" s="336">
        <v>44491.0</v>
      </c>
      <c r="E1468" s="157" t="s">
        <v>600</v>
      </c>
      <c r="F1468" s="160">
        <v>32130.62</v>
      </c>
      <c r="G1468" s="160">
        <v>5140.9</v>
      </c>
      <c r="H1468" s="160">
        <f t="shared" si="45"/>
        <v>37271.52</v>
      </c>
      <c r="I1468" s="172"/>
      <c r="J1468" s="169"/>
      <c r="K1468" s="172"/>
      <c r="L1468" s="172">
        <f>+'FACUS$'!$H1468-'FACUS$'!$I1468-'FACUS$'!$K1468</f>
        <v>37271.52</v>
      </c>
      <c r="M1468" s="162" t="s">
        <v>43</v>
      </c>
      <c r="N1468" s="337" t="s">
        <v>554</v>
      </c>
      <c r="O1468" s="338">
        <v>44529.0</v>
      </c>
      <c r="P1468" s="164">
        <f t="array" ref="P1468">XLOOKUP('FACUS$'!$B1468,'perfil de pagos'!$A$4:$A$46,'perfil de pagos'!$C$4:$C$46+'FACUS$'!$D1468)</f>
        <v>44516</v>
      </c>
      <c r="Q1468" s="165">
        <f t="shared" si="2"/>
        <v>0</v>
      </c>
      <c r="R1468" s="167"/>
      <c r="S1468" s="167"/>
      <c r="T1468" s="167"/>
      <c r="U1468" s="334" t="s">
        <v>7271</v>
      </c>
      <c r="V1468" s="168">
        <f t="shared" si="3"/>
        <v>37271.52</v>
      </c>
      <c r="W1468" s="168">
        <f t="shared" si="4"/>
        <v>0</v>
      </c>
      <c r="X1468" s="168">
        <f t="shared" si="5"/>
        <v>0</v>
      </c>
      <c r="Y1468" s="168">
        <f t="shared" si="6"/>
        <v>0</v>
      </c>
      <c r="Z1468" s="168">
        <f t="shared" si="7"/>
        <v>0</v>
      </c>
      <c r="AA1468" s="168">
        <f t="shared" si="8"/>
        <v>0</v>
      </c>
      <c r="AB1468" s="168">
        <f t="shared" si="9"/>
        <v>0</v>
      </c>
    </row>
    <row r="1469" ht="14.25" customHeight="1">
      <c r="A1469" s="157" t="s">
        <v>8549</v>
      </c>
      <c r="B1469" s="169" t="s">
        <v>1127</v>
      </c>
      <c r="C1469" s="169" t="s">
        <v>8314</v>
      </c>
      <c r="D1469" s="336">
        <v>44495.0</v>
      </c>
      <c r="E1469" s="157" t="s">
        <v>600</v>
      </c>
      <c r="F1469" s="160">
        <v>6012.26</v>
      </c>
      <c r="G1469" s="160">
        <v>961.96</v>
      </c>
      <c r="H1469" s="160">
        <f t="shared" si="45"/>
        <v>6974.22</v>
      </c>
      <c r="I1469" s="172"/>
      <c r="J1469" s="169"/>
      <c r="K1469" s="172"/>
      <c r="L1469" s="172">
        <f>+'FACUS$'!$H1469-'FACUS$'!$I1469-'FACUS$'!$K1469</f>
        <v>6974.22</v>
      </c>
      <c r="M1469" s="162" t="s">
        <v>580</v>
      </c>
      <c r="N1469" s="337" t="s">
        <v>554</v>
      </c>
      <c r="O1469" s="338">
        <v>44511.0</v>
      </c>
      <c r="P1469" s="164" t="str">
        <f t="array" ref="P1469">XLOOKUP('FACUS$'!$B1469,'perfil de pagos'!$A$4:$A$46,'perfil de pagos'!$C$4:$C$46+'FACUS$'!$D1469)</f>
        <v>#N/A</v>
      </c>
      <c r="Q1469" s="165">
        <f t="shared" si="2"/>
        <v>0</v>
      </c>
      <c r="R1469" s="167" t="s">
        <v>8550</v>
      </c>
      <c r="S1469" s="167"/>
      <c r="T1469" s="167"/>
      <c r="U1469" s="334" t="s">
        <v>7271</v>
      </c>
      <c r="V1469" s="168">
        <f t="shared" si="3"/>
        <v>6974.22</v>
      </c>
      <c r="W1469" s="168">
        <f t="shared" si="4"/>
        <v>0</v>
      </c>
      <c r="X1469" s="168">
        <f t="shared" si="5"/>
        <v>0</v>
      </c>
      <c r="Y1469" s="168">
        <f t="shared" si="6"/>
        <v>0</v>
      </c>
      <c r="Z1469" s="168">
        <f t="shared" si="7"/>
        <v>0</v>
      </c>
      <c r="AA1469" s="168">
        <f t="shared" si="8"/>
        <v>0</v>
      </c>
      <c r="AB1469" s="168">
        <f t="shared" si="9"/>
        <v>0</v>
      </c>
    </row>
    <row r="1470" ht="14.25" customHeight="1">
      <c r="A1470" s="157" t="s">
        <v>8551</v>
      </c>
      <c r="B1470" s="169" t="s">
        <v>31</v>
      </c>
      <c r="C1470" s="169" t="s">
        <v>8552</v>
      </c>
      <c r="D1470" s="336">
        <v>44498.0</v>
      </c>
      <c r="E1470" s="157" t="s">
        <v>600</v>
      </c>
      <c r="F1470" s="160">
        <v>9742.23</v>
      </c>
      <c r="G1470" s="160">
        <v>1558.76</v>
      </c>
      <c r="H1470" s="160">
        <f t="shared" si="45"/>
        <v>11300.99</v>
      </c>
      <c r="I1470" s="172"/>
      <c r="J1470" s="169"/>
      <c r="K1470" s="172"/>
      <c r="L1470" s="172">
        <f>+'FACUS$'!$H1470-'FACUS$'!$I1470-'FACUS$'!$K1470</f>
        <v>11300.99</v>
      </c>
      <c r="M1470" s="162" t="s">
        <v>3183</v>
      </c>
      <c r="N1470" s="337" t="s">
        <v>554</v>
      </c>
      <c r="O1470" s="338">
        <v>44505.0</v>
      </c>
      <c r="P1470" s="164">
        <f t="array" ref="P1470">XLOOKUP('FACUS$'!$B1470,'perfil de pagos'!$A$4:$A$46,'perfil de pagos'!$C$4:$C$46+'FACUS$'!$D1470)</f>
        <v>44501</v>
      </c>
      <c r="Q1470" s="165">
        <f t="shared" si="2"/>
        <v>0</v>
      </c>
      <c r="R1470" s="167"/>
      <c r="S1470" s="167"/>
      <c r="T1470" s="167"/>
      <c r="U1470" s="334" t="s">
        <v>7271</v>
      </c>
      <c r="V1470" s="168">
        <f t="shared" si="3"/>
        <v>11300.99</v>
      </c>
      <c r="W1470" s="168">
        <f t="shared" si="4"/>
        <v>0</v>
      </c>
      <c r="X1470" s="168">
        <f t="shared" si="5"/>
        <v>0</v>
      </c>
      <c r="Y1470" s="168">
        <f t="shared" si="6"/>
        <v>0</v>
      </c>
      <c r="Z1470" s="168">
        <f t="shared" si="7"/>
        <v>0</v>
      </c>
      <c r="AA1470" s="168">
        <f t="shared" si="8"/>
        <v>0</v>
      </c>
      <c r="AB1470" s="168">
        <f t="shared" si="9"/>
        <v>0</v>
      </c>
    </row>
    <row r="1471" ht="14.25" customHeight="1">
      <c r="A1471" s="157" t="s">
        <v>8553</v>
      </c>
      <c r="B1471" s="169" t="s">
        <v>38</v>
      </c>
      <c r="C1471" s="169" t="s">
        <v>3189</v>
      </c>
      <c r="D1471" s="336">
        <v>44501.0</v>
      </c>
      <c r="E1471" s="157" t="s">
        <v>600</v>
      </c>
      <c r="F1471" s="160">
        <v>11032.58</v>
      </c>
      <c r="G1471" s="160">
        <v>1765.21</v>
      </c>
      <c r="H1471" s="160">
        <f t="shared" si="45"/>
        <v>12797.79</v>
      </c>
      <c r="I1471" s="172"/>
      <c r="J1471" s="169"/>
      <c r="K1471" s="172"/>
      <c r="L1471" s="172">
        <f>+'FACUS$'!$H1471-'FACUS$'!$I1471-'FACUS$'!$K1471</f>
        <v>12797.79</v>
      </c>
      <c r="M1471" s="162" t="s">
        <v>145</v>
      </c>
      <c r="N1471" s="337" t="s">
        <v>554</v>
      </c>
      <c r="O1471" s="338">
        <v>44554.0</v>
      </c>
      <c r="P1471" s="164">
        <f t="array" ref="P1471">XLOOKUP('FACUS$'!$B1471,'perfil de pagos'!$A$4:$A$46,'perfil de pagos'!$C$4:$C$46+'FACUS$'!$D1471)</f>
        <v>44531</v>
      </c>
      <c r="Q1471" s="165">
        <f t="shared" si="2"/>
        <v>0</v>
      </c>
      <c r="R1471" s="167" t="s">
        <v>8554</v>
      </c>
      <c r="S1471" s="167"/>
      <c r="T1471" s="167"/>
      <c r="U1471" s="334" t="s">
        <v>7271</v>
      </c>
      <c r="V1471" s="168">
        <f t="shared" si="3"/>
        <v>12797.79</v>
      </c>
      <c r="W1471" s="168">
        <f t="shared" si="4"/>
        <v>0</v>
      </c>
      <c r="X1471" s="168">
        <f t="shared" si="5"/>
        <v>0</v>
      </c>
      <c r="Y1471" s="168">
        <f t="shared" si="6"/>
        <v>0</v>
      </c>
      <c r="Z1471" s="168">
        <f t="shared" si="7"/>
        <v>0</v>
      </c>
      <c r="AA1471" s="168">
        <f t="shared" si="8"/>
        <v>0</v>
      </c>
      <c r="AB1471" s="168">
        <f t="shared" si="9"/>
        <v>0</v>
      </c>
    </row>
    <row r="1472" ht="14.25" customHeight="1">
      <c r="A1472" s="157" t="s">
        <v>8555</v>
      </c>
      <c r="B1472" s="169" t="s">
        <v>17</v>
      </c>
      <c r="C1472" s="169" t="s">
        <v>3238</v>
      </c>
      <c r="D1472" s="336">
        <v>44505.0</v>
      </c>
      <c r="E1472" s="157" t="s">
        <v>600</v>
      </c>
      <c r="F1472" s="160">
        <v>15432.75</v>
      </c>
      <c r="G1472" s="160">
        <v>2469.24</v>
      </c>
      <c r="H1472" s="160">
        <f t="shared" si="45"/>
        <v>17901.99</v>
      </c>
      <c r="I1472" s="172"/>
      <c r="J1472" s="169"/>
      <c r="K1472" s="172"/>
      <c r="L1472" s="172">
        <f>+'FACUS$'!$H1472-'FACUS$'!$I1472-'FACUS$'!$K1472</f>
        <v>17901.99</v>
      </c>
      <c r="M1472" s="162" t="s">
        <v>17</v>
      </c>
      <c r="N1472" s="337" t="s">
        <v>554</v>
      </c>
      <c r="O1472" s="338">
        <v>44511.0</v>
      </c>
      <c r="P1472" s="164">
        <f t="array" ref="P1472">XLOOKUP('FACUS$'!$B1472,'perfil de pagos'!$A$4:$A$46,'perfil de pagos'!$C$4:$C$46+'FACUS$'!$D1472)</f>
        <v>44515</v>
      </c>
      <c r="Q1472" s="165">
        <f t="shared" si="2"/>
        <v>0</v>
      </c>
      <c r="R1472" s="167"/>
      <c r="S1472" s="167"/>
      <c r="T1472" s="167"/>
      <c r="U1472" s="334" t="s">
        <v>7271</v>
      </c>
      <c r="V1472" s="168">
        <f t="shared" si="3"/>
        <v>17901.99</v>
      </c>
      <c r="W1472" s="168">
        <f t="shared" si="4"/>
        <v>0</v>
      </c>
      <c r="X1472" s="168">
        <f t="shared" si="5"/>
        <v>0</v>
      </c>
      <c r="Y1472" s="168">
        <f t="shared" si="6"/>
        <v>0</v>
      </c>
      <c r="Z1472" s="168">
        <f t="shared" si="7"/>
        <v>0</v>
      </c>
      <c r="AA1472" s="168">
        <f t="shared" si="8"/>
        <v>0</v>
      </c>
      <c r="AB1472" s="168">
        <f t="shared" si="9"/>
        <v>0</v>
      </c>
    </row>
    <row r="1473" ht="14.25" customHeight="1">
      <c r="A1473" s="157" t="s">
        <v>8556</v>
      </c>
      <c r="B1473" s="169" t="s">
        <v>17</v>
      </c>
      <c r="C1473" s="169" t="s">
        <v>3236</v>
      </c>
      <c r="D1473" s="336">
        <v>44505.0</v>
      </c>
      <c r="E1473" s="157" t="s">
        <v>600</v>
      </c>
      <c r="F1473" s="160">
        <v>15950.57</v>
      </c>
      <c r="G1473" s="160">
        <v>2552.09</v>
      </c>
      <c r="H1473" s="160">
        <f t="shared" si="45"/>
        <v>18502.66</v>
      </c>
      <c r="I1473" s="172"/>
      <c r="J1473" s="169"/>
      <c r="K1473" s="172"/>
      <c r="L1473" s="172">
        <f>+'FACUS$'!$H1473-'FACUS$'!$I1473-'FACUS$'!$K1473</f>
        <v>18502.66</v>
      </c>
      <c r="M1473" s="162" t="s">
        <v>17</v>
      </c>
      <c r="N1473" s="337" t="s">
        <v>554</v>
      </c>
      <c r="O1473" s="338">
        <v>44511.0</v>
      </c>
      <c r="P1473" s="164">
        <f t="array" ref="P1473">XLOOKUP('FACUS$'!$B1473,'perfil de pagos'!$A$4:$A$46,'perfil de pagos'!$C$4:$C$46+'FACUS$'!$D1473)</f>
        <v>44515</v>
      </c>
      <c r="Q1473" s="165">
        <f t="shared" si="2"/>
        <v>0</v>
      </c>
      <c r="R1473" s="167"/>
      <c r="S1473" s="167"/>
      <c r="T1473" s="167"/>
      <c r="U1473" s="334" t="s">
        <v>7271</v>
      </c>
      <c r="V1473" s="168">
        <f t="shared" si="3"/>
        <v>18502.66</v>
      </c>
      <c r="W1473" s="168">
        <f t="shared" si="4"/>
        <v>0</v>
      </c>
      <c r="X1473" s="168">
        <f t="shared" si="5"/>
        <v>0</v>
      </c>
      <c r="Y1473" s="168">
        <f t="shared" si="6"/>
        <v>0</v>
      </c>
      <c r="Z1473" s="168">
        <f t="shared" si="7"/>
        <v>0</v>
      </c>
      <c r="AA1473" s="168">
        <f t="shared" si="8"/>
        <v>0</v>
      </c>
      <c r="AB1473" s="168">
        <f t="shared" si="9"/>
        <v>0</v>
      </c>
    </row>
    <row r="1474" ht="14.25" customHeight="1">
      <c r="A1474" s="157" t="s">
        <v>8557</v>
      </c>
      <c r="B1474" s="169" t="s">
        <v>18</v>
      </c>
      <c r="C1474" s="169" t="s">
        <v>3236</v>
      </c>
      <c r="D1474" s="336">
        <v>44505.0</v>
      </c>
      <c r="E1474" s="157" t="s">
        <v>600</v>
      </c>
      <c r="F1474" s="160">
        <v>8265.477</v>
      </c>
      <c r="G1474" s="160">
        <v>1322.48</v>
      </c>
      <c r="H1474" s="160">
        <f t="shared" si="45"/>
        <v>9587.957</v>
      </c>
      <c r="I1474" s="172"/>
      <c r="J1474" s="169"/>
      <c r="K1474" s="172"/>
      <c r="L1474" s="172">
        <f>+'FACUS$'!$H1474-'FACUS$'!$I1474-'FACUS$'!$K1474</f>
        <v>9587.957</v>
      </c>
      <c r="M1474" s="162" t="s">
        <v>586</v>
      </c>
      <c r="N1474" s="337" t="s">
        <v>554</v>
      </c>
      <c r="O1474" s="338">
        <v>44523.0</v>
      </c>
      <c r="P1474" s="164">
        <f t="array" ref="P1474">XLOOKUP('FACUS$'!$B1474,'perfil de pagos'!$A$4:$A$46,'perfil de pagos'!$C$4:$C$46+'FACUS$'!$D1474)</f>
        <v>44515</v>
      </c>
      <c r="Q1474" s="165">
        <f t="shared" si="2"/>
        <v>0</v>
      </c>
      <c r="R1474" s="167"/>
      <c r="S1474" s="167"/>
      <c r="T1474" s="167"/>
      <c r="U1474" s="334" t="s">
        <v>7271</v>
      </c>
      <c r="V1474" s="168">
        <f t="shared" si="3"/>
        <v>9587.957</v>
      </c>
      <c r="W1474" s="168">
        <f t="shared" si="4"/>
        <v>0</v>
      </c>
      <c r="X1474" s="168">
        <f t="shared" si="5"/>
        <v>0</v>
      </c>
      <c r="Y1474" s="168">
        <f t="shared" si="6"/>
        <v>0</v>
      </c>
      <c r="Z1474" s="168">
        <f t="shared" si="7"/>
        <v>0</v>
      </c>
      <c r="AA1474" s="168">
        <f t="shared" si="8"/>
        <v>0</v>
      </c>
      <c r="AB1474" s="168">
        <f t="shared" si="9"/>
        <v>0</v>
      </c>
    </row>
    <row r="1475" ht="14.25" customHeight="1">
      <c r="A1475" s="157" t="s">
        <v>8558</v>
      </c>
      <c r="B1475" s="169" t="s">
        <v>20</v>
      </c>
      <c r="C1475" s="169" t="s">
        <v>3236</v>
      </c>
      <c r="D1475" s="336">
        <v>44505.0</v>
      </c>
      <c r="E1475" s="157" t="s">
        <v>600</v>
      </c>
      <c r="F1475" s="160">
        <v>12222.12</v>
      </c>
      <c r="G1475" s="160">
        <v>1955.54</v>
      </c>
      <c r="H1475" s="160">
        <f t="shared" si="45"/>
        <v>14177.66</v>
      </c>
      <c r="I1475" s="172"/>
      <c r="J1475" s="169"/>
      <c r="K1475" s="172"/>
      <c r="L1475" s="172">
        <f>+'FACUS$'!$H1475-'FACUS$'!$I1475-'FACUS$'!$K1475</f>
        <v>14177.66</v>
      </c>
      <c r="M1475" s="162" t="s">
        <v>732</v>
      </c>
      <c r="N1475" s="337" t="s">
        <v>554</v>
      </c>
      <c r="O1475" s="338">
        <v>44523.0</v>
      </c>
      <c r="P1475" s="164">
        <f t="array" ref="P1475">XLOOKUP('FACUS$'!$B1475,'perfil de pagos'!$A$4:$A$46,'perfil de pagos'!$C$4:$C$46+'FACUS$'!$D1475)</f>
        <v>44515</v>
      </c>
      <c r="Q1475" s="165">
        <f t="shared" si="2"/>
        <v>0</v>
      </c>
      <c r="R1475" s="167"/>
      <c r="S1475" s="167"/>
      <c r="T1475" s="167"/>
      <c r="U1475" s="334" t="s">
        <v>7271</v>
      </c>
      <c r="V1475" s="168">
        <f t="shared" si="3"/>
        <v>14177.66</v>
      </c>
      <c r="W1475" s="168">
        <f t="shared" si="4"/>
        <v>0</v>
      </c>
      <c r="X1475" s="168">
        <f t="shared" si="5"/>
        <v>0</v>
      </c>
      <c r="Y1475" s="168">
        <f t="shared" si="6"/>
        <v>0</v>
      </c>
      <c r="Z1475" s="168">
        <f t="shared" si="7"/>
        <v>0</v>
      </c>
      <c r="AA1475" s="168">
        <f t="shared" si="8"/>
        <v>0</v>
      </c>
      <c r="AB1475" s="168">
        <f t="shared" si="9"/>
        <v>0</v>
      </c>
    </row>
    <row r="1476" ht="14.25" customHeight="1">
      <c r="A1476" s="157" t="s">
        <v>8559</v>
      </c>
      <c r="B1476" s="169" t="s">
        <v>39</v>
      </c>
      <c r="C1476" s="169" t="s">
        <v>3187</v>
      </c>
      <c r="D1476" s="336">
        <v>44505.0</v>
      </c>
      <c r="E1476" s="157" t="s">
        <v>600</v>
      </c>
      <c r="F1476" s="160">
        <v>17823.5</v>
      </c>
      <c r="G1476" s="160">
        <v>2851.76</v>
      </c>
      <c r="H1476" s="160">
        <f t="shared" si="45"/>
        <v>20675.26</v>
      </c>
      <c r="I1476" s="172"/>
      <c r="J1476" s="169"/>
      <c r="K1476" s="172"/>
      <c r="L1476" s="172">
        <f>+'FACUS$'!$H1476-'FACUS$'!$I1476-'FACUS$'!$K1476</f>
        <v>20675.26</v>
      </c>
      <c r="M1476" s="162" t="s">
        <v>570</v>
      </c>
      <c r="N1476" s="337" t="s">
        <v>554</v>
      </c>
      <c r="O1476" s="338">
        <v>44526.0</v>
      </c>
      <c r="P1476" s="164">
        <f t="array" ref="P1476">XLOOKUP('FACUS$'!$B1476,'perfil de pagos'!$A$4:$A$46,'perfil de pagos'!$C$4:$C$46+'FACUS$'!$D1476)</f>
        <v>44515</v>
      </c>
      <c r="Q1476" s="165">
        <f t="shared" si="2"/>
        <v>0</v>
      </c>
      <c r="R1476" s="167"/>
      <c r="S1476" s="167"/>
      <c r="T1476" s="167"/>
      <c r="U1476" s="334" t="s">
        <v>7271</v>
      </c>
      <c r="V1476" s="168">
        <f t="shared" si="3"/>
        <v>20675.26</v>
      </c>
      <c r="W1476" s="168">
        <f t="shared" si="4"/>
        <v>0</v>
      </c>
      <c r="X1476" s="168">
        <f t="shared" si="5"/>
        <v>0</v>
      </c>
      <c r="Y1476" s="168">
        <f t="shared" si="6"/>
        <v>0</v>
      </c>
      <c r="Z1476" s="168">
        <f t="shared" si="7"/>
        <v>0</v>
      </c>
      <c r="AA1476" s="168">
        <f t="shared" si="8"/>
        <v>0</v>
      </c>
      <c r="AB1476" s="168">
        <f t="shared" si="9"/>
        <v>0</v>
      </c>
    </row>
    <row r="1477" ht="14.25" customHeight="1">
      <c r="A1477" s="157" t="s">
        <v>8560</v>
      </c>
      <c r="B1477" s="169" t="s">
        <v>39</v>
      </c>
      <c r="C1477" s="169" t="s">
        <v>3189</v>
      </c>
      <c r="D1477" s="336">
        <v>44505.0</v>
      </c>
      <c r="E1477" s="157" t="s">
        <v>600</v>
      </c>
      <c r="F1477" s="160">
        <v>16604.2</v>
      </c>
      <c r="G1477" s="160">
        <v>2656.67</v>
      </c>
      <c r="H1477" s="160">
        <f t="shared" si="45"/>
        <v>19260.87</v>
      </c>
      <c r="I1477" s="172"/>
      <c r="J1477" s="169"/>
      <c r="K1477" s="172"/>
      <c r="L1477" s="172">
        <f>+'FACUS$'!$H1477-'FACUS$'!$I1477-'FACUS$'!$K1477</f>
        <v>19260.87</v>
      </c>
      <c r="M1477" s="162" t="s">
        <v>570</v>
      </c>
      <c r="N1477" s="337" t="s">
        <v>554</v>
      </c>
      <c r="O1477" s="338">
        <v>44526.0</v>
      </c>
      <c r="P1477" s="164">
        <f t="array" ref="P1477">XLOOKUP('FACUS$'!$B1477,'perfil de pagos'!$A$4:$A$46,'perfil de pagos'!$C$4:$C$46+'FACUS$'!$D1477)</f>
        <v>44515</v>
      </c>
      <c r="Q1477" s="165">
        <f t="shared" si="2"/>
        <v>0</v>
      </c>
      <c r="R1477" s="167"/>
      <c r="S1477" s="167"/>
      <c r="T1477" s="167"/>
      <c r="U1477" s="334" t="s">
        <v>7271</v>
      </c>
      <c r="V1477" s="168">
        <f t="shared" si="3"/>
        <v>19260.87</v>
      </c>
      <c r="W1477" s="168">
        <f t="shared" si="4"/>
        <v>0</v>
      </c>
      <c r="X1477" s="168">
        <f t="shared" si="5"/>
        <v>0</v>
      </c>
      <c r="Y1477" s="168">
        <f t="shared" si="6"/>
        <v>0</v>
      </c>
      <c r="Z1477" s="168">
        <f t="shared" si="7"/>
        <v>0</v>
      </c>
      <c r="AA1477" s="168">
        <f t="shared" si="8"/>
        <v>0</v>
      </c>
      <c r="AB1477" s="168">
        <f t="shared" si="9"/>
        <v>0</v>
      </c>
    </row>
    <row r="1478" ht="14.25" customHeight="1">
      <c r="A1478" s="157" t="s">
        <v>8561</v>
      </c>
      <c r="B1478" s="169" t="s">
        <v>39</v>
      </c>
      <c r="C1478" s="169" t="s">
        <v>3238</v>
      </c>
      <c r="D1478" s="336">
        <v>44505.0</v>
      </c>
      <c r="E1478" s="157" t="s">
        <v>600</v>
      </c>
      <c r="F1478" s="160">
        <v>30699.6</v>
      </c>
      <c r="G1478" s="160">
        <v>4911.94</v>
      </c>
      <c r="H1478" s="160">
        <f t="shared" si="45"/>
        <v>35611.54</v>
      </c>
      <c r="I1478" s="172"/>
      <c r="J1478" s="169"/>
      <c r="K1478" s="172"/>
      <c r="L1478" s="172">
        <f>+'FACUS$'!$H1478-'FACUS$'!$I1478-'FACUS$'!$K1478</f>
        <v>35611.54</v>
      </c>
      <c r="M1478" s="162" t="s">
        <v>570</v>
      </c>
      <c r="N1478" s="337" t="s">
        <v>554</v>
      </c>
      <c r="O1478" s="338">
        <v>44516.0</v>
      </c>
      <c r="P1478" s="164">
        <f t="array" ref="P1478">XLOOKUP('FACUS$'!$B1478,'perfil de pagos'!$A$4:$A$46,'perfil de pagos'!$C$4:$C$46+'FACUS$'!$D1478)</f>
        <v>44515</v>
      </c>
      <c r="Q1478" s="165">
        <f t="shared" si="2"/>
        <v>0</v>
      </c>
      <c r="R1478" s="167"/>
      <c r="S1478" s="167"/>
      <c r="T1478" s="167"/>
      <c r="U1478" s="334" t="s">
        <v>7271</v>
      </c>
      <c r="V1478" s="168">
        <f t="shared" si="3"/>
        <v>35611.54</v>
      </c>
      <c r="W1478" s="168">
        <f t="shared" si="4"/>
        <v>0</v>
      </c>
      <c r="X1478" s="168">
        <f t="shared" si="5"/>
        <v>0</v>
      </c>
      <c r="Y1478" s="168">
        <f t="shared" si="6"/>
        <v>0</v>
      </c>
      <c r="Z1478" s="168">
        <f t="shared" si="7"/>
        <v>0</v>
      </c>
      <c r="AA1478" s="168">
        <f t="shared" si="8"/>
        <v>0</v>
      </c>
      <c r="AB1478" s="168">
        <f t="shared" si="9"/>
        <v>0</v>
      </c>
    </row>
    <row r="1479" ht="14.25" customHeight="1">
      <c r="A1479" s="157" t="s">
        <v>8562</v>
      </c>
      <c r="B1479" s="169" t="s">
        <v>39</v>
      </c>
      <c r="C1479" s="169" t="s">
        <v>3236</v>
      </c>
      <c r="D1479" s="336">
        <v>44505.0</v>
      </c>
      <c r="E1479" s="157" t="s">
        <v>600</v>
      </c>
      <c r="F1479" s="160">
        <v>29709.03</v>
      </c>
      <c r="G1479" s="160">
        <v>4753.44</v>
      </c>
      <c r="H1479" s="160">
        <f t="shared" si="45"/>
        <v>34462.47</v>
      </c>
      <c r="I1479" s="172"/>
      <c r="J1479" s="169"/>
      <c r="K1479" s="172"/>
      <c r="L1479" s="172">
        <f>+'FACUS$'!$H1479-'FACUS$'!$I1479-'FACUS$'!$K1479</f>
        <v>34462.47</v>
      </c>
      <c r="M1479" s="162" t="s">
        <v>570</v>
      </c>
      <c r="N1479" s="337" t="s">
        <v>554</v>
      </c>
      <c r="O1479" s="338">
        <v>44516.0</v>
      </c>
      <c r="P1479" s="164">
        <f t="array" ref="P1479">XLOOKUP('FACUS$'!$B1479,'perfil de pagos'!$A$4:$A$46,'perfil de pagos'!$C$4:$C$46+'FACUS$'!$D1479)</f>
        <v>44515</v>
      </c>
      <c r="Q1479" s="165">
        <f t="shared" si="2"/>
        <v>0</v>
      </c>
      <c r="R1479" s="167"/>
      <c r="S1479" s="167"/>
      <c r="T1479" s="167"/>
      <c r="U1479" s="334" t="s">
        <v>7271</v>
      </c>
      <c r="V1479" s="168">
        <f t="shared" si="3"/>
        <v>34462.47</v>
      </c>
      <c r="W1479" s="168">
        <f t="shared" si="4"/>
        <v>0</v>
      </c>
      <c r="X1479" s="168">
        <f t="shared" si="5"/>
        <v>0</v>
      </c>
      <c r="Y1479" s="168">
        <f t="shared" si="6"/>
        <v>0</v>
      </c>
      <c r="Z1479" s="168">
        <f t="shared" si="7"/>
        <v>0</v>
      </c>
      <c r="AA1479" s="168">
        <f t="shared" si="8"/>
        <v>0</v>
      </c>
      <c r="AB1479" s="168">
        <f t="shared" si="9"/>
        <v>0</v>
      </c>
    </row>
    <row r="1480" ht="14.25" customHeight="1">
      <c r="A1480" s="157" t="s">
        <v>8563</v>
      </c>
      <c r="B1480" s="169" t="s">
        <v>26</v>
      </c>
      <c r="C1480" s="169" t="s">
        <v>3236</v>
      </c>
      <c r="D1480" s="336">
        <v>44505.0</v>
      </c>
      <c r="E1480" s="157" t="s">
        <v>600</v>
      </c>
      <c r="F1480" s="160">
        <v>6732.97</v>
      </c>
      <c r="G1480" s="160">
        <v>1077.28</v>
      </c>
      <c r="H1480" s="160">
        <f t="shared" si="45"/>
        <v>7810.25</v>
      </c>
      <c r="I1480" s="172"/>
      <c r="J1480" s="169"/>
      <c r="K1480" s="172"/>
      <c r="L1480" s="172">
        <f>+'FACUS$'!$H1480-'FACUS$'!$I1480-'FACUS$'!$K1480</f>
        <v>7810.25</v>
      </c>
      <c r="M1480" s="162" t="s">
        <v>2386</v>
      </c>
      <c r="N1480" s="337" t="s">
        <v>554</v>
      </c>
      <c r="O1480" s="338">
        <v>44736.0</v>
      </c>
      <c r="P1480" s="164">
        <f t="array" ref="P1480">XLOOKUP('FACUS$'!$B1480,'perfil de pagos'!$A$4:$A$46,'perfil de pagos'!$C$4:$C$46+'FACUS$'!$D1480)</f>
        <v>44535</v>
      </c>
      <c r="Q1480" s="165">
        <f t="shared" si="2"/>
        <v>0</v>
      </c>
      <c r="R1480" s="220" t="s">
        <v>8564</v>
      </c>
      <c r="S1480" s="265" t="s">
        <v>8565</v>
      </c>
      <c r="T1480" s="167"/>
      <c r="U1480" s="334" t="s">
        <v>7271</v>
      </c>
      <c r="V1480" s="168">
        <f t="shared" si="3"/>
        <v>7810.25</v>
      </c>
      <c r="W1480" s="168">
        <f t="shared" si="4"/>
        <v>0</v>
      </c>
      <c r="X1480" s="168">
        <f t="shared" si="5"/>
        <v>0</v>
      </c>
      <c r="Y1480" s="168">
        <f t="shared" si="6"/>
        <v>0</v>
      </c>
      <c r="Z1480" s="168">
        <f t="shared" si="7"/>
        <v>0</v>
      </c>
      <c r="AA1480" s="168">
        <f t="shared" si="8"/>
        <v>0</v>
      </c>
      <c r="AB1480" s="168">
        <f t="shared" si="9"/>
        <v>0</v>
      </c>
    </row>
    <row r="1481" ht="14.25" customHeight="1">
      <c r="A1481" s="157" t="s">
        <v>8566</v>
      </c>
      <c r="B1481" s="169" t="s">
        <v>41</v>
      </c>
      <c r="C1481" s="169" t="s">
        <v>3236</v>
      </c>
      <c r="D1481" s="336">
        <v>44505.0</v>
      </c>
      <c r="E1481" s="157" t="s">
        <v>600</v>
      </c>
      <c r="F1481" s="160">
        <v>62916.82</v>
      </c>
      <c r="G1481" s="160">
        <v>10066.69</v>
      </c>
      <c r="H1481" s="160">
        <f t="shared" si="45"/>
        <v>72983.51</v>
      </c>
      <c r="I1481" s="172"/>
      <c r="J1481" s="169"/>
      <c r="K1481" s="172"/>
      <c r="L1481" s="172">
        <f>+'FACUS$'!$H1481-'FACUS$'!$I1481-'FACUS$'!$K1481</f>
        <v>72983.51</v>
      </c>
      <c r="M1481" s="162" t="s">
        <v>875</v>
      </c>
      <c r="N1481" s="337" t="s">
        <v>554</v>
      </c>
      <c r="O1481" s="338">
        <v>44554.0</v>
      </c>
      <c r="P1481" s="164">
        <f t="array" ref="P1481">XLOOKUP('FACUS$'!$B1481,'perfil de pagos'!$A$4:$A$46,'perfil de pagos'!$C$4:$C$46+'FACUS$'!$D1481)</f>
        <v>44515</v>
      </c>
      <c r="Q1481" s="165">
        <f t="shared" si="2"/>
        <v>0</v>
      </c>
      <c r="R1481" s="167"/>
      <c r="S1481" s="167"/>
      <c r="T1481" s="167"/>
      <c r="U1481" s="334" t="s">
        <v>7271</v>
      </c>
      <c r="V1481" s="168">
        <f t="shared" si="3"/>
        <v>72983.51</v>
      </c>
      <c r="W1481" s="168">
        <f t="shared" si="4"/>
        <v>0</v>
      </c>
      <c r="X1481" s="168">
        <f t="shared" si="5"/>
        <v>0</v>
      </c>
      <c r="Y1481" s="168">
        <f t="shared" si="6"/>
        <v>0</v>
      </c>
      <c r="Z1481" s="168">
        <f t="shared" si="7"/>
        <v>0</v>
      </c>
      <c r="AA1481" s="168">
        <f t="shared" si="8"/>
        <v>0</v>
      </c>
      <c r="AB1481" s="168">
        <f t="shared" si="9"/>
        <v>0</v>
      </c>
    </row>
    <row r="1482" ht="14.25" customHeight="1">
      <c r="A1482" s="157" t="s">
        <v>8567</v>
      </c>
      <c r="B1482" s="169" t="s">
        <v>37</v>
      </c>
      <c r="C1482" s="169" t="s">
        <v>3236</v>
      </c>
      <c r="D1482" s="336">
        <v>44505.0</v>
      </c>
      <c r="E1482" s="157" t="s">
        <v>600</v>
      </c>
      <c r="F1482" s="160">
        <v>92258.37</v>
      </c>
      <c r="G1482" s="160">
        <v>14761.34</v>
      </c>
      <c r="H1482" s="160">
        <f t="shared" si="45"/>
        <v>107019.71</v>
      </c>
      <c r="I1482" s="172"/>
      <c r="J1482" s="169"/>
      <c r="K1482" s="172"/>
      <c r="L1482" s="172">
        <f>+'FACUS$'!$H1482-'FACUS$'!$I1482-'FACUS$'!$K1482</f>
        <v>107019.71</v>
      </c>
      <c r="M1482" s="162" t="s">
        <v>116</v>
      </c>
      <c r="N1482" s="337" t="s">
        <v>554</v>
      </c>
      <c r="O1482" s="338">
        <v>44522.0</v>
      </c>
      <c r="P1482" s="164">
        <f t="array" ref="P1482">XLOOKUP('FACUS$'!$B1482,'perfil de pagos'!$A$4:$A$46,'perfil de pagos'!$C$4:$C$46+'FACUS$'!$D1482)</f>
        <v>44515</v>
      </c>
      <c r="Q1482" s="165">
        <f t="shared" si="2"/>
        <v>0</v>
      </c>
      <c r="R1482" s="167" t="s">
        <v>8568</v>
      </c>
      <c r="S1482" s="167"/>
      <c r="T1482" s="167"/>
      <c r="U1482" s="334" t="s">
        <v>7271</v>
      </c>
      <c r="V1482" s="168">
        <f t="shared" si="3"/>
        <v>107019.71</v>
      </c>
      <c r="W1482" s="168">
        <f t="shared" si="4"/>
        <v>0</v>
      </c>
      <c r="X1482" s="168">
        <f t="shared" si="5"/>
        <v>0</v>
      </c>
      <c r="Y1482" s="168">
        <f t="shared" si="6"/>
        <v>0</v>
      </c>
      <c r="Z1482" s="168">
        <f t="shared" si="7"/>
        <v>0</v>
      </c>
      <c r="AA1482" s="168">
        <f t="shared" si="8"/>
        <v>0</v>
      </c>
      <c r="AB1482" s="168">
        <f t="shared" si="9"/>
        <v>0</v>
      </c>
    </row>
    <row r="1483" ht="14.25" customHeight="1">
      <c r="A1483" s="157" t="s">
        <v>8569</v>
      </c>
      <c r="B1483" s="169" t="s">
        <v>33</v>
      </c>
      <c r="C1483" s="169" t="s">
        <v>3236</v>
      </c>
      <c r="D1483" s="336">
        <v>44505.0</v>
      </c>
      <c r="E1483" s="157" t="s">
        <v>600</v>
      </c>
      <c r="F1483" s="160">
        <v>43165.59</v>
      </c>
      <c r="G1483" s="160">
        <v>6906.49</v>
      </c>
      <c r="H1483" s="160">
        <f t="shared" si="45"/>
        <v>50072.08</v>
      </c>
      <c r="I1483" s="172"/>
      <c r="J1483" s="169"/>
      <c r="K1483" s="172"/>
      <c r="L1483" s="172">
        <f>+'FACUS$'!$H1483-'FACUS$'!$I1483-'FACUS$'!$K1483</f>
        <v>50072.08</v>
      </c>
      <c r="M1483" s="162" t="s">
        <v>958</v>
      </c>
      <c r="N1483" s="337" t="s">
        <v>554</v>
      </c>
      <c r="O1483" s="338">
        <v>44533.0</v>
      </c>
      <c r="P1483" s="164">
        <f t="array" ref="P1483">XLOOKUP('FACUS$'!$B1483,'perfil de pagos'!$A$4:$A$46,'perfil de pagos'!$C$4:$C$46+'FACUS$'!$D1483)</f>
        <v>44515</v>
      </c>
      <c r="Q1483" s="165">
        <f t="shared" si="2"/>
        <v>0</v>
      </c>
      <c r="R1483" s="167"/>
      <c r="S1483" s="167"/>
      <c r="T1483" s="167"/>
      <c r="U1483" s="334" t="s">
        <v>7271</v>
      </c>
      <c r="V1483" s="168">
        <f t="shared" si="3"/>
        <v>50072.08</v>
      </c>
      <c r="W1483" s="168">
        <f t="shared" si="4"/>
        <v>0</v>
      </c>
      <c r="X1483" s="168">
        <f t="shared" si="5"/>
        <v>0</v>
      </c>
      <c r="Y1483" s="168">
        <f t="shared" si="6"/>
        <v>0</v>
      </c>
      <c r="Z1483" s="168">
        <f t="shared" si="7"/>
        <v>0</v>
      </c>
      <c r="AA1483" s="168">
        <f t="shared" si="8"/>
        <v>0</v>
      </c>
      <c r="AB1483" s="168">
        <f t="shared" si="9"/>
        <v>0</v>
      </c>
    </row>
    <row r="1484" ht="14.25" customHeight="1">
      <c r="A1484" s="157" t="s">
        <v>8570</v>
      </c>
      <c r="B1484" s="169" t="s">
        <v>35</v>
      </c>
      <c r="C1484" s="169" t="s">
        <v>3236</v>
      </c>
      <c r="D1484" s="336">
        <v>44505.0</v>
      </c>
      <c r="E1484" s="157" t="s">
        <v>600</v>
      </c>
      <c r="F1484" s="160">
        <v>13074.35</v>
      </c>
      <c r="G1484" s="160">
        <v>2091.9</v>
      </c>
      <c r="H1484" s="160">
        <f t="shared" si="45"/>
        <v>15166.25</v>
      </c>
      <c r="I1484" s="172"/>
      <c r="J1484" s="169"/>
      <c r="K1484" s="172"/>
      <c r="L1484" s="172">
        <f>+'FACUS$'!$H1484-'FACUS$'!$I1484-'FACUS$'!$K1484</f>
        <v>15166.25</v>
      </c>
      <c r="M1484" s="162" t="s">
        <v>276</v>
      </c>
      <c r="N1484" s="337" t="s">
        <v>554</v>
      </c>
      <c r="O1484" s="338">
        <v>44533.0</v>
      </c>
      <c r="P1484" s="164">
        <f t="array" ref="P1484">XLOOKUP('FACUS$'!$B1484,'perfil de pagos'!$A$4:$A$46,'perfil de pagos'!$C$4:$C$46+'FACUS$'!$D1484)</f>
        <v>44515</v>
      </c>
      <c r="Q1484" s="165">
        <f t="shared" si="2"/>
        <v>0</v>
      </c>
      <c r="R1484" s="167"/>
      <c r="S1484" s="167"/>
      <c r="T1484" s="167"/>
      <c r="U1484" s="334" t="s">
        <v>7271</v>
      </c>
      <c r="V1484" s="168">
        <f t="shared" si="3"/>
        <v>15166.25</v>
      </c>
      <c r="W1484" s="168">
        <f t="shared" si="4"/>
        <v>0</v>
      </c>
      <c r="X1484" s="168">
        <f t="shared" si="5"/>
        <v>0</v>
      </c>
      <c r="Y1484" s="168">
        <f t="shared" si="6"/>
        <v>0</v>
      </c>
      <c r="Z1484" s="168">
        <f t="shared" si="7"/>
        <v>0</v>
      </c>
      <c r="AA1484" s="168">
        <f t="shared" si="8"/>
        <v>0</v>
      </c>
      <c r="AB1484" s="168">
        <f t="shared" si="9"/>
        <v>0</v>
      </c>
    </row>
    <row r="1485" ht="14.25" customHeight="1">
      <c r="A1485" s="157" t="s">
        <v>8571</v>
      </c>
      <c r="B1485" s="169" t="s">
        <v>36</v>
      </c>
      <c r="C1485" s="169" t="s">
        <v>3236</v>
      </c>
      <c r="D1485" s="336">
        <v>44505.0</v>
      </c>
      <c r="E1485" s="157" t="s">
        <v>600</v>
      </c>
      <c r="F1485" s="160">
        <v>2574.62</v>
      </c>
      <c r="G1485" s="160">
        <v>411.94</v>
      </c>
      <c r="H1485" s="160">
        <f t="shared" si="45"/>
        <v>2986.56</v>
      </c>
      <c r="I1485" s="172"/>
      <c r="J1485" s="169"/>
      <c r="K1485" s="172"/>
      <c r="L1485" s="172">
        <f>+'FACUS$'!$H1485-'FACUS$'!$I1485-'FACUS$'!$K1485</f>
        <v>2986.56</v>
      </c>
      <c r="M1485" s="162" t="s">
        <v>278</v>
      </c>
      <c r="N1485" s="337" t="s">
        <v>554</v>
      </c>
      <c r="O1485" s="338">
        <v>44586.0</v>
      </c>
      <c r="P1485" s="164">
        <f t="array" ref="P1485">XLOOKUP('FACUS$'!$B1485,'perfil de pagos'!$A$4:$A$46,'perfil de pagos'!$C$4:$C$46+'FACUS$'!$D1485)</f>
        <v>44515</v>
      </c>
      <c r="Q1485" s="165">
        <f t="shared" si="2"/>
        <v>0</v>
      </c>
      <c r="R1485" s="220" t="s">
        <v>8572</v>
      </c>
      <c r="S1485" s="167">
        <v>1268.0</v>
      </c>
      <c r="T1485" s="167"/>
      <c r="U1485" s="334" t="s">
        <v>7271</v>
      </c>
      <c r="V1485" s="168">
        <f t="shared" si="3"/>
        <v>2986.56</v>
      </c>
      <c r="W1485" s="168">
        <f t="shared" si="4"/>
        <v>0</v>
      </c>
      <c r="X1485" s="168">
        <f t="shared" si="5"/>
        <v>0</v>
      </c>
      <c r="Y1485" s="168">
        <f t="shared" si="6"/>
        <v>0</v>
      </c>
      <c r="Z1485" s="168">
        <f t="shared" si="7"/>
        <v>0</v>
      </c>
      <c r="AA1485" s="168">
        <f t="shared" si="8"/>
        <v>0</v>
      </c>
      <c r="AB1485" s="168">
        <f t="shared" si="9"/>
        <v>0</v>
      </c>
    </row>
    <row r="1486" ht="14.25" customHeight="1">
      <c r="A1486" s="157" t="s">
        <v>8573</v>
      </c>
      <c r="B1486" s="169" t="s">
        <v>38</v>
      </c>
      <c r="C1486" s="169" t="s">
        <v>3236</v>
      </c>
      <c r="D1486" s="336">
        <v>44505.0</v>
      </c>
      <c r="E1486" s="157" t="s">
        <v>600</v>
      </c>
      <c r="F1486" s="160">
        <v>12814.59</v>
      </c>
      <c r="G1486" s="160">
        <v>2050.33</v>
      </c>
      <c r="H1486" s="160">
        <f t="shared" si="45"/>
        <v>14864.92</v>
      </c>
      <c r="I1486" s="172"/>
      <c r="J1486" s="169"/>
      <c r="K1486" s="172"/>
      <c r="L1486" s="172">
        <f>+'FACUS$'!$H1486-'FACUS$'!$I1486-'FACUS$'!$K1486</f>
        <v>14864.92</v>
      </c>
      <c r="M1486" s="162" t="s">
        <v>145</v>
      </c>
      <c r="N1486" s="337" t="s">
        <v>554</v>
      </c>
      <c r="O1486" s="338">
        <v>44554.0</v>
      </c>
      <c r="P1486" s="164">
        <f t="array" ref="P1486">XLOOKUP('FACUS$'!$B1486,'perfil de pagos'!$A$4:$A$46,'perfil de pagos'!$C$4:$C$46+'FACUS$'!$D1486)</f>
        <v>44535</v>
      </c>
      <c r="Q1486" s="165">
        <f t="shared" si="2"/>
        <v>0</v>
      </c>
      <c r="R1486" s="167"/>
      <c r="S1486" s="167"/>
      <c r="T1486" s="167"/>
      <c r="U1486" s="334" t="s">
        <v>7271</v>
      </c>
      <c r="V1486" s="168">
        <f t="shared" si="3"/>
        <v>14864.92</v>
      </c>
      <c r="W1486" s="168">
        <f t="shared" si="4"/>
        <v>0</v>
      </c>
      <c r="X1486" s="168">
        <f t="shared" si="5"/>
        <v>0</v>
      </c>
      <c r="Y1486" s="168">
        <f t="shared" si="6"/>
        <v>0</v>
      </c>
      <c r="Z1486" s="168">
        <f t="shared" si="7"/>
        <v>0</v>
      </c>
      <c r="AA1486" s="168">
        <f t="shared" si="8"/>
        <v>0</v>
      </c>
      <c r="AB1486" s="168">
        <f t="shared" si="9"/>
        <v>0</v>
      </c>
    </row>
    <row r="1487" ht="14.25" customHeight="1">
      <c r="A1487" s="157" t="s">
        <v>8574</v>
      </c>
      <c r="B1487" s="169" t="s">
        <v>43</v>
      </c>
      <c r="C1487" s="169" t="s">
        <v>3236</v>
      </c>
      <c r="D1487" s="336">
        <v>44505.0</v>
      </c>
      <c r="E1487" s="157" t="s">
        <v>600</v>
      </c>
      <c r="F1487" s="160">
        <v>42009.98</v>
      </c>
      <c r="G1487" s="160">
        <v>6721.6</v>
      </c>
      <c r="H1487" s="160">
        <f t="shared" si="45"/>
        <v>48731.58</v>
      </c>
      <c r="I1487" s="172"/>
      <c r="J1487" s="169"/>
      <c r="K1487" s="172"/>
      <c r="L1487" s="172">
        <f>+'FACUS$'!$H1487-'FACUS$'!$I1487-'FACUS$'!$K1487</f>
        <v>48731.58</v>
      </c>
      <c r="M1487" s="162" t="s">
        <v>43</v>
      </c>
      <c r="N1487" s="337" t="s">
        <v>554</v>
      </c>
      <c r="O1487" s="338">
        <v>44529.0</v>
      </c>
      <c r="P1487" s="164">
        <f t="array" ref="P1487">XLOOKUP('FACUS$'!$B1487,'perfil de pagos'!$A$4:$A$46,'perfil de pagos'!$C$4:$C$46+'FACUS$'!$D1487)</f>
        <v>44530</v>
      </c>
      <c r="Q1487" s="165">
        <f t="shared" si="2"/>
        <v>0</v>
      </c>
      <c r="R1487" s="167"/>
      <c r="S1487" s="167"/>
      <c r="T1487" s="167"/>
      <c r="U1487" s="334" t="s">
        <v>7271</v>
      </c>
      <c r="V1487" s="168">
        <f t="shared" si="3"/>
        <v>48731.58</v>
      </c>
      <c r="W1487" s="168">
        <f t="shared" si="4"/>
        <v>0</v>
      </c>
      <c r="X1487" s="168">
        <f t="shared" si="5"/>
        <v>0</v>
      </c>
      <c r="Y1487" s="168">
        <f t="shared" si="6"/>
        <v>0</v>
      </c>
      <c r="Z1487" s="168">
        <f t="shared" si="7"/>
        <v>0</v>
      </c>
      <c r="AA1487" s="168">
        <f t="shared" si="8"/>
        <v>0</v>
      </c>
      <c r="AB1487" s="168">
        <f t="shared" si="9"/>
        <v>0</v>
      </c>
    </row>
    <row r="1488" ht="14.25" customHeight="1">
      <c r="A1488" s="157" t="s">
        <v>8575</v>
      </c>
      <c r="B1488" s="169" t="s">
        <v>31</v>
      </c>
      <c r="C1488" s="169" t="s">
        <v>3236</v>
      </c>
      <c r="D1488" s="336">
        <v>44505.0</v>
      </c>
      <c r="E1488" s="157" t="s">
        <v>600</v>
      </c>
      <c r="F1488" s="160">
        <v>5702.26</v>
      </c>
      <c r="G1488" s="160">
        <v>912.36</v>
      </c>
      <c r="H1488" s="160">
        <f t="shared" si="45"/>
        <v>6614.62</v>
      </c>
      <c r="I1488" s="172"/>
      <c r="J1488" s="169"/>
      <c r="K1488" s="172"/>
      <c r="L1488" s="172">
        <f>+'FACUS$'!$H1488-'FACUS$'!$I1488-'FACUS$'!$K1488</f>
        <v>6614.62</v>
      </c>
      <c r="M1488" s="162" t="s">
        <v>3183</v>
      </c>
      <c r="N1488" s="337" t="s">
        <v>554</v>
      </c>
      <c r="O1488" s="338">
        <v>44512.0</v>
      </c>
      <c r="P1488" s="164">
        <f t="array" ref="P1488">XLOOKUP('FACUS$'!$B1488,'perfil de pagos'!$A$4:$A$46,'perfil de pagos'!$C$4:$C$46+'FACUS$'!$D1488)</f>
        <v>44508</v>
      </c>
      <c r="Q1488" s="165">
        <f t="shared" si="2"/>
        <v>0</v>
      </c>
      <c r="R1488" s="167"/>
      <c r="S1488" s="167"/>
      <c r="T1488" s="167"/>
      <c r="U1488" s="334" t="s">
        <v>7271</v>
      </c>
      <c r="V1488" s="168">
        <f t="shared" si="3"/>
        <v>6614.62</v>
      </c>
      <c r="W1488" s="168">
        <f t="shared" si="4"/>
        <v>0</v>
      </c>
      <c r="X1488" s="168">
        <f t="shared" si="5"/>
        <v>0</v>
      </c>
      <c r="Y1488" s="168">
        <f t="shared" si="6"/>
        <v>0</v>
      </c>
      <c r="Z1488" s="168">
        <f t="shared" si="7"/>
        <v>0</v>
      </c>
      <c r="AA1488" s="168">
        <f t="shared" si="8"/>
        <v>0</v>
      </c>
      <c r="AB1488" s="168">
        <f t="shared" si="9"/>
        <v>0</v>
      </c>
    </row>
    <row r="1489" ht="14.25" customHeight="1">
      <c r="A1489" s="157" t="s">
        <v>8576</v>
      </c>
      <c r="B1489" s="169" t="s">
        <v>36</v>
      </c>
      <c r="C1489" s="169" t="s">
        <v>8577</v>
      </c>
      <c r="D1489" s="336">
        <v>44509.0</v>
      </c>
      <c r="E1489" s="157" t="s">
        <v>600</v>
      </c>
      <c r="F1489" s="160">
        <v>613.25</v>
      </c>
      <c r="G1489" s="160">
        <v>83.4</v>
      </c>
      <c r="H1489" s="160">
        <f>F1489+G1489-91.99</f>
        <v>604.66</v>
      </c>
      <c r="I1489" s="172"/>
      <c r="J1489" s="169"/>
      <c r="K1489" s="172"/>
      <c r="L1489" s="172">
        <f>+'FACUS$'!$H1489-'FACUS$'!$I1489-'FACUS$'!$K1489</f>
        <v>604.66</v>
      </c>
      <c r="M1489" s="162" t="s">
        <v>278</v>
      </c>
      <c r="N1489" s="337" t="s">
        <v>554</v>
      </c>
      <c r="O1489" s="338">
        <v>44586.0</v>
      </c>
      <c r="P1489" s="164">
        <f t="array" ref="P1489">XLOOKUP('FACUS$'!$B1489,'perfil de pagos'!$A$4:$A$46,'perfil de pagos'!$C$4:$C$46+'FACUS$'!$D1489)</f>
        <v>44519</v>
      </c>
      <c r="Q1489" s="165">
        <f t="shared" si="2"/>
        <v>0</v>
      </c>
      <c r="R1489" s="220" t="s">
        <v>8578</v>
      </c>
      <c r="S1489" s="167">
        <v>1269.0</v>
      </c>
      <c r="T1489" s="167"/>
      <c r="U1489" s="334" t="s">
        <v>7271</v>
      </c>
      <c r="V1489" s="168">
        <f t="shared" si="3"/>
        <v>604.66</v>
      </c>
      <c r="W1489" s="168">
        <f t="shared" si="4"/>
        <v>0</v>
      </c>
      <c r="X1489" s="168">
        <f t="shared" si="5"/>
        <v>0</v>
      </c>
      <c r="Y1489" s="168">
        <f t="shared" si="6"/>
        <v>0</v>
      </c>
      <c r="Z1489" s="168">
        <f t="shared" si="7"/>
        <v>0</v>
      </c>
      <c r="AA1489" s="168">
        <f t="shared" si="8"/>
        <v>0</v>
      </c>
      <c r="AB1489" s="168">
        <f t="shared" si="9"/>
        <v>0</v>
      </c>
    </row>
    <row r="1490" ht="14.25" customHeight="1">
      <c r="A1490" s="157" t="s">
        <v>8579</v>
      </c>
      <c r="B1490" s="169" t="s">
        <v>31</v>
      </c>
      <c r="C1490" s="169" t="s">
        <v>8580</v>
      </c>
      <c r="D1490" s="336">
        <v>44516.0</v>
      </c>
      <c r="E1490" s="157" t="s">
        <v>600</v>
      </c>
      <c r="F1490" s="160">
        <v>10876.83</v>
      </c>
      <c r="G1490" s="160">
        <v>1740.29</v>
      </c>
      <c r="H1490" s="160">
        <f t="shared" ref="H1490:H1497" si="46">F1490+G1490</f>
        <v>12617.12</v>
      </c>
      <c r="I1490" s="172"/>
      <c r="J1490" s="169"/>
      <c r="K1490" s="172"/>
      <c r="L1490" s="172">
        <f>+'FACUS$'!$H1490-'FACUS$'!$I1490-'FACUS$'!$K1490</f>
        <v>12617.12</v>
      </c>
      <c r="M1490" s="162" t="s">
        <v>3183</v>
      </c>
      <c r="N1490" s="337" t="s">
        <v>554</v>
      </c>
      <c r="O1490" s="338">
        <v>44519.0</v>
      </c>
      <c r="P1490" s="164">
        <f t="array" ref="P1490">XLOOKUP('FACUS$'!$B1490,'perfil de pagos'!$A$4:$A$46,'perfil de pagos'!$C$4:$C$46+'FACUS$'!$D1490)</f>
        <v>44519</v>
      </c>
      <c r="Q1490" s="165">
        <f t="shared" si="2"/>
        <v>0</v>
      </c>
      <c r="R1490" s="167"/>
      <c r="S1490" s="167"/>
      <c r="T1490" s="167"/>
      <c r="U1490" s="334" t="s">
        <v>7271</v>
      </c>
      <c r="V1490" s="168">
        <f t="shared" si="3"/>
        <v>12617.12</v>
      </c>
      <c r="W1490" s="168">
        <f t="shared" si="4"/>
        <v>0</v>
      </c>
      <c r="X1490" s="168">
        <f t="shared" si="5"/>
        <v>0</v>
      </c>
      <c r="Y1490" s="168">
        <f t="shared" si="6"/>
        <v>0</v>
      </c>
      <c r="Z1490" s="168">
        <f t="shared" si="7"/>
        <v>0</v>
      </c>
      <c r="AA1490" s="168">
        <f t="shared" si="8"/>
        <v>0</v>
      </c>
      <c r="AB1490" s="168">
        <f t="shared" si="9"/>
        <v>0</v>
      </c>
    </row>
    <row r="1491" ht="14.25" customHeight="1">
      <c r="A1491" s="157" t="s">
        <v>8581</v>
      </c>
      <c r="B1491" s="169" t="s">
        <v>17</v>
      </c>
      <c r="C1491" s="169" t="s">
        <v>3259</v>
      </c>
      <c r="D1491" s="336">
        <v>44522.0</v>
      </c>
      <c r="E1491" s="157" t="s">
        <v>600</v>
      </c>
      <c r="F1491" s="160">
        <v>20755.11</v>
      </c>
      <c r="G1491" s="160">
        <v>3320.82</v>
      </c>
      <c r="H1491" s="160">
        <f t="shared" si="46"/>
        <v>24075.93</v>
      </c>
      <c r="I1491" s="172"/>
      <c r="J1491" s="169"/>
      <c r="K1491" s="172"/>
      <c r="L1491" s="172">
        <f>+'FACUS$'!$H1491-'FACUS$'!$I1491-'FACUS$'!$K1491</f>
        <v>24075.93</v>
      </c>
      <c r="M1491" s="162" t="s">
        <v>17</v>
      </c>
      <c r="N1491" s="337" t="s">
        <v>554</v>
      </c>
      <c r="O1491" s="338">
        <v>44533.0</v>
      </c>
      <c r="P1491" s="164">
        <f t="array" ref="P1491">XLOOKUP('FACUS$'!$B1491,'perfil de pagos'!$A$4:$A$46,'perfil de pagos'!$C$4:$C$46+'FACUS$'!$D1491)</f>
        <v>44532</v>
      </c>
      <c r="Q1491" s="165">
        <f t="shared" si="2"/>
        <v>0</v>
      </c>
      <c r="R1491" s="167"/>
      <c r="S1491" s="167"/>
      <c r="T1491" s="167"/>
      <c r="U1491" s="334" t="s">
        <v>7271</v>
      </c>
      <c r="V1491" s="168">
        <f t="shared" si="3"/>
        <v>24075.93</v>
      </c>
      <c r="W1491" s="168">
        <f t="shared" si="4"/>
        <v>0</v>
      </c>
      <c r="X1491" s="168">
        <f t="shared" si="5"/>
        <v>0</v>
      </c>
      <c r="Y1491" s="168">
        <f t="shared" si="6"/>
        <v>0</v>
      </c>
      <c r="Z1491" s="168">
        <f t="shared" si="7"/>
        <v>0</v>
      </c>
      <c r="AA1491" s="168">
        <f t="shared" si="8"/>
        <v>0</v>
      </c>
      <c r="AB1491" s="168">
        <f t="shared" si="9"/>
        <v>0</v>
      </c>
    </row>
    <row r="1492" ht="14.25" customHeight="1">
      <c r="A1492" s="157" t="s">
        <v>8582</v>
      </c>
      <c r="B1492" s="169" t="s">
        <v>17</v>
      </c>
      <c r="C1492" s="169" t="s">
        <v>3261</v>
      </c>
      <c r="D1492" s="336">
        <v>44522.0</v>
      </c>
      <c r="E1492" s="157" t="s">
        <v>600</v>
      </c>
      <c r="F1492" s="160">
        <v>22358.0</v>
      </c>
      <c r="G1492" s="160">
        <v>3577.28</v>
      </c>
      <c r="H1492" s="160">
        <f t="shared" si="46"/>
        <v>25935.28</v>
      </c>
      <c r="I1492" s="172"/>
      <c r="J1492" s="169"/>
      <c r="K1492" s="172"/>
      <c r="L1492" s="172">
        <f>+'FACUS$'!$H1492-'FACUS$'!$I1492-'FACUS$'!$K1492</f>
        <v>25935.28</v>
      </c>
      <c r="M1492" s="162" t="s">
        <v>17</v>
      </c>
      <c r="N1492" s="337" t="s">
        <v>554</v>
      </c>
      <c r="O1492" s="338">
        <v>44533.0</v>
      </c>
      <c r="P1492" s="164">
        <f t="array" ref="P1492">XLOOKUP('FACUS$'!$B1492,'perfil de pagos'!$A$4:$A$46,'perfil de pagos'!$C$4:$C$46+'FACUS$'!$D1492)</f>
        <v>44532</v>
      </c>
      <c r="Q1492" s="165">
        <f t="shared" si="2"/>
        <v>0</v>
      </c>
      <c r="R1492" s="167"/>
      <c r="S1492" s="167"/>
      <c r="T1492" s="167"/>
      <c r="U1492" s="334" t="s">
        <v>7271</v>
      </c>
      <c r="V1492" s="168">
        <f t="shared" si="3"/>
        <v>25935.28</v>
      </c>
      <c r="W1492" s="168">
        <f t="shared" si="4"/>
        <v>0</v>
      </c>
      <c r="X1492" s="168">
        <f t="shared" si="5"/>
        <v>0</v>
      </c>
      <c r="Y1492" s="168">
        <f t="shared" si="6"/>
        <v>0</v>
      </c>
      <c r="Z1492" s="168">
        <f t="shared" si="7"/>
        <v>0</v>
      </c>
      <c r="AA1492" s="168">
        <f t="shared" si="8"/>
        <v>0</v>
      </c>
      <c r="AB1492" s="168">
        <f t="shared" si="9"/>
        <v>0</v>
      </c>
    </row>
    <row r="1493" ht="14.25" customHeight="1">
      <c r="A1493" s="157" t="s">
        <v>8583</v>
      </c>
      <c r="B1493" s="169" t="s">
        <v>18</v>
      </c>
      <c r="C1493" s="169" t="s">
        <v>3261</v>
      </c>
      <c r="D1493" s="336">
        <v>44522.0</v>
      </c>
      <c r="E1493" s="157" t="s">
        <v>600</v>
      </c>
      <c r="F1493" s="160">
        <v>8328.23</v>
      </c>
      <c r="G1493" s="160">
        <v>1332.52</v>
      </c>
      <c r="H1493" s="160">
        <f t="shared" si="46"/>
        <v>9660.75</v>
      </c>
      <c r="I1493" s="172"/>
      <c r="J1493" s="169"/>
      <c r="K1493" s="172"/>
      <c r="L1493" s="172">
        <f>+'FACUS$'!$H1493-'FACUS$'!$I1493-'FACUS$'!$K1493</f>
        <v>9660.75</v>
      </c>
      <c r="M1493" s="162" t="s">
        <v>586</v>
      </c>
      <c r="N1493" s="337" t="s">
        <v>554</v>
      </c>
      <c r="O1493" s="338">
        <v>44529.0</v>
      </c>
      <c r="P1493" s="164">
        <f t="array" ref="P1493">XLOOKUP('FACUS$'!$B1493,'perfil de pagos'!$A$4:$A$46,'perfil de pagos'!$C$4:$C$46+'FACUS$'!$D1493)</f>
        <v>44532</v>
      </c>
      <c r="Q1493" s="165">
        <f t="shared" si="2"/>
        <v>0</v>
      </c>
      <c r="R1493" s="167"/>
      <c r="S1493" s="167"/>
      <c r="T1493" s="167"/>
      <c r="U1493" s="334" t="s">
        <v>7271</v>
      </c>
      <c r="V1493" s="168">
        <f t="shared" si="3"/>
        <v>9660.75</v>
      </c>
      <c r="W1493" s="168">
        <f t="shared" si="4"/>
        <v>0</v>
      </c>
      <c r="X1493" s="168">
        <f t="shared" si="5"/>
        <v>0</v>
      </c>
      <c r="Y1493" s="168">
        <f t="shared" si="6"/>
        <v>0</v>
      </c>
      <c r="Z1493" s="168">
        <f t="shared" si="7"/>
        <v>0</v>
      </c>
      <c r="AA1493" s="168">
        <f t="shared" si="8"/>
        <v>0</v>
      </c>
      <c r="AB1493" s="168">
        <f t="shared" si="9"/>
        <v>0</v>
      </c>
    </row>
    <row r="1494" ht="14.25" customHeight="1">
      <c r="A1494" s="157" t="s">
        <v>8584</v>
      </c>
      <c r="B1494" s="169" t="s">
        <v>127</v>
      </c>
      <c r="C1494" s="169"/>
      <c r="D1494" s="336">
        <v>44522.0</v>
      </c>
      <c r="E1494" s="157" t="s">
        <v>600</v>
      </c>
      <c r="F1494" s="160"/>
      <c r="G1494" s="160"/>
      <c r="H1494" s="160">
        <f t="shared" si="46"/>
        <v>0</v>
      </c>
      <c r="I1494" s="172"/>
      <c r="J1494" s="169"/>
      <c r="K1494" s="172"/>
      <c r="L1494" s="172">
        <f>+'FACUS$'!$H1494-'FACUS$'!$I1494-'FACUS$'!$K1494</f>
        <v>0</v>
      </c>
      <c r="M1494" s="162" t="s">
        <v>127</v>
      </c>
      <c r="N1494" s="337" t="s">
        <v>127</v>
      </c>
      <c r="O1494" s="338"/>
      <c r="P1494" s="164" t="str">
        <f t="array" ref="P1494">XLOOKUP('FACUS$'!$B1494,'perfil de pagos'!$A$4:$A$46,'perfil de pagos'!$C$4:$C$46+'FACUS$'!$D1494)</f>
        <v>#N/A</v>
      </c>
      <c r="Q1494" s="165" t="str">
        <f t="shared" si="2"/>
        <v>N/A</v>
      </c>
      <c r="R1494" s="167"/>
      <c r="S1494" s="167"/>
      <c r="T1494" s="167"/>
      <c r="U1494" s="334" t="s">
        <v>7271</v>
      </c>
      <c r="V1494" s="168">
        <f t="shared" si="3"/>
        <v>0</v>
      </c>
      <c r="W1494" s="168">
        <f t="shared" si="4"/>
        <v>0</v>
      </c>
      <c r="X1494" s="168">
        <f t="shared" si="5"/>
        <v>0</v>
      </c>
      <c r="Y1494" s="168">
        <f t="shared" si="6"/>
        <v>0</v>
      </c>
      <c r="Z1494" s="168">
        <f t="shared" si="7"/>
        <v>0</v>
      </c>
      <c r="AA1494" s="168">
        <f t="shared" si="8"/>
        <v>0</v>
      </c>
      <c r="AB1494" s="168">
        <f t="shared" si="9"/>
        <v>0</v>
      </c>
    </row>
    <row r="1495" ht="14.25" customHeight="1">
      <c r="A1495" s="157" t="s">
        <v>8585</v>
      </c>
      <c r="B1495" s="169" t="s">
        <v>127</v>
      </c>
      <c r="C1495" s="169"/>
      <c r="D1495" s="336">
        <v>44522.0</v>
      </c>
      <c r="E1495" s="157" t="s">
        <v>600</v>
      </c>
      <c r="F1495" s="160"/>
      <c r="G1495" s="160"/>
      <c r="H1495" s="160">
        <f t="shared" si="46"/>
        <v>0</v>
      </c>
      <c r="I1495" s="172"/>
      <c r="J1495" s="169"/>
      <c r="K1495" s="172"/>
      <c r="L1495" s="172">
        <f>+'FACUS$'!$H1495-'FACUS$'!$I1495-'FACUS$'!$K1495</f>
        <v>0</v>
      </c>
      <c r="M1495" s="162" t="s">
        <v>127</v>
      </c>
      <c r="N1495" s="337" t="s">
        <v>127</v>
      </c>
      <c r="O1495" s="338"/>
      <c r="P1495" s="164" t="str">
        <f t="array" ref="P1495">XLOOKUP('FACUS$'!$B1495,'perfil de pagos'!$A$4:$A$46,'perfil de pagos'!$C$4:$C$46+'FACUS$'!$D1495)</f>
        <v>#N/A</v>
      </c>
      <c r="Q1495" s="165" t="str">
        <f t="shared" si="2"/>
        <v>N/A</v>
      </c>
      <c r="R1495" s="167"/>
      <c r="S1495" s="167"/>
      <c r="T1495" s="167"/>
      <c r="U1495" s="334" t="s">
        <v>7271</v>
      </c>
      <c r="V1495" s="168">
        <f t="shared" si="3"/>
        <v>0</v>
      </c>
      <c r="W1495" s="168">
        <f t="shared" si="4"/>
        <v>0</v>
      </c>
      <c r="X1495" s="168">
        <f t="shared" si="5"/>
        <v>0</v>
      </c>
      <c r="Y1495" s="168">
        <f t="shared" si="6"/>
        <v>0</v>
      </c>
      <c r="Z1495" s="168">
        <f t="shared" si="7"/>
        <v>0</v>
      </c>
      <c r="AA1495" s="168">
        <f t="shared" si="8"/>
        <v>0</v>
      </c>
      <c r="AB1495" s="168">
        <f t="shared" si="9"/>
        <v>0</v>
      </c>
    </row>
    <row r="1496" ht="14.25" customHeight="1">
      <c r="A1496" s="157" t="s">
        <v>8586</v>
      </c>
      <c r="B1496" s="169" t="s">
        <v>39</v>
      </c>
      <c r="C1496" s="169" t="s">
        <v>3259</v>
      </c>
      <c r="D1496" s="336">
        <v>44522.0</v>
      </c>
      <c r="E1496" s="157" t="s">
        <v>600</v>
      </c>
      <c r="F1496" s="160">
        <v>38094.24</v>
      </c>
      <c r="G1496" s="160">
        <v>6095.08</v>
      </c>
      <c r="H1496" s="160">
        <f t="shared" si="46"/>
        <v>44189.32</v>
      </c>
      <c r="I1496" s="172"/>
      <c r="J1496" s="169"/>
      <c r="K1496" s="172"/>
      <c r="L1496" s="172">
        <f>+'FACUS$'!$H1496-'FACUS$'!$I1496-'FACUS$'!$K1496</f>
        <v>44189.32</v>
      </c>
      <c r="M1496" s="162" t="s">
        <v>570</v>
      </c>
      <c r="N1496" s="337" t="s">
        <v>554</v>
      </c>
      <c r="O1496" s="338">
        <v>44533.0</v>
      </c>
      <c r="P1496" s="164">
        <f t="array" ref="P1496">XLOOKUP('FACUS$'!$B1496,'perfil de pagos'!$A$4:$A$46,'perfil de pagos'!$C$4:$C$46+'FACUS$'!$D1496)</f>
        <v>44532</v>
      </c>
      <c r="Q1496" s="165">
        <f t="shared" si="2"/>
        <v>0</v>
      </c>
      <c r="R1496" s="167"/>
      <c r="S1496" s="167"/>
      <c r="T1496" s="167"/>
      <c r="U1496" s="334" t="s">
        <v>7271</v>
      </c>
      <c r="V1496" s="168">
        <f t="shared" si="3"/>
        <v>44189.32</v>
      </c>
      <c r="W1496" s="168">
        <f t="shared" si="4"/>
        <v>0</v>
      </c>
      <c r="X1496" s="168">
        <f t="shared" si="5"/>
        <v>0</v>
      </c>
      <c r="Y1496" s="168">
        <f t="shared" si="6"/>
        <v>0</v>
      </c>
      <c r="Z1496" s="168">
        <f t="shared" si="7"/>
        <v>0</v>
      </c>
      <c r="AA1496" s="168">
        <f t="shared" si="8"/>
        <v>0</v>
      </c>
      <c r="AB1496" s="168">
        <f t="shared" si="9"/>
        <v>0</v>
      </c>
    </row>
    <row r="1497" ht="14.25" customHeight="1">
      <c r="A1497" s="157" t="s">
        <v>8587</v>
      </c>
      <c r="B1497" s="169" t="s">
        <v>39</v>
      </c>
      <c r="C1497" s="169" t="s">
        <v>3261</v>
      </c>
      <c r="D1497" s="336">
        <v>44522.0</v>
      </c>
      <c r="E1497" s="157" t="s">
        <v>600</v>
      </c>
      <c r="F1497" s="160">
        <v>28589.61</v>
      </c>
      <c r="G1497" s="160">
        <v>4574.34</v>
      </c>
      <c r="H1497" s="160">
        <f t="shared" si="46"/>
        <v>33163.95</v>
      </c>
      <c r="I1497" s="172"/>
      <c r="J1497" s="169"/>
      <c r="K1497" s="172"/>
      <c r="L1497" s="172">
        <f>+'FACUS$'!$H1497-'FACUS$'!$I1497-'FACUS$'!$K1497</f>
        <v>33163.95</v>
      </c>
      <c r="M1497" s="162" t="s">
        <v>570</v>
      </c>
      <c r="N1497" s="337" t="s">
        <v>554</v>
      </c>
      <c r="O1497" s="338">
        <v>44533.0</v>
      </c>
      <c r="P1497" s="164">
        <f t="array" ref="P1497">XLOOKUP('FACUS$'!$B1497,'perfil de pagos'!$A$4:$A$46,'perfil de pagos'!$C$4:$C$46+'FACUS$'!$D1497)</f>
        <v>44532</v>
      </c>
      <c r="Q1497" s="165">
        <f t="shared" si="2"/>
        <v>0</v>
      </c>
      <c r="R1497" s="167"/>
      <c r="S1497" s="167"/>
      <c r="T1497" s="167"/>
      <c r="U1497" s="334" t="s">
        <v>7271</v>
      </c>
      <c r="V1497" s="168">
        <f t="shared" si="3"/>
        <v>33163.95</v>
      </c>
      <c r="W1497" s="168">
        <f t="shared" si="4"/>
        <v>0</v>
      </c>
      <c r="X1497" s="168">
        <f t="shared" si="5"/>
        <v>0</v>
      </c>
      <c r="Y1497" s="168">
        <f t="shared" si="6"/>
        <v>0</v>
      </c>
      <c r="Z1497" s="168">
        <f t="shared" si="7"/>
        <v>0</v>
      </c>
      <c r="AA1497" s="168">
        <f t="shared" si="8"/>
        <v>0</v>
      </c>
      <c r="AB1497" s="168">
        <f t="shared" si="9"/>
        <v>0</v>
      </c>
    </row>
    <row r="1498" ht="14.25" customHeight="1">
      <c r="A1498" s="157" t="s">
        <v>8588</v>
      </c>
      <c r="B1498" s="169" t="s">
        <v>26</v>
      </c>
      <c r="C1498" s="169" t="s">
        <v>3261</v>
      </c>
      <c r="D1498" s="336">
        <v>44522.0</v>
      </c>
      <c r="E1498" s="157" t="s">
        <v>600</v>
      </c>
      <c r="F1498" s="160">
        <v>4868.1</v>
      </c>
      <c r="G1498" s="160">
        <v>778.9</v>
      </c>
      <c r="H1498" s="160">
        <f>F1498+G1498-4046.25</f>
        <v>1600.75</v>
      </c>
      <c r="I1498" s="172"/>
      <c r="J1498" s="169"/>
      <c r="K1498" s="172"/>
      <c r="L1498" s="172">
        <f>+'FACUS$'!$H1498-'FACUS$'!$I1498-'FACUS$'!$K1498</f>
        <v>1600.75</v>
      </c>
      <c r="M1498" s="162" t="s">
        <v>2386</v>
      </c>
      <c r="N1498" s="337" t="s">
        <v>554</v>
      </c>
      <c r="O1498" s="338">
        <v>44739.0</v>
      </c>
      <c r="P1498" s="164">
        <f t="array" ref="P1498">XLOOKUP('FACUS$'!$B1498,'perfil de pagos'!$A$4:$A$46,'perfil de pagos'!$C$4:$C$46+'FACUS$'!$D1498)</f>
        <v>44552</v>
      </c>
      <c r="Q1498" s="165">
        <f t="shared" si="2"/>
        <v>0</v>
      </c>
      <c r="R1498" s="373" t="s">
        <v>8589</v>
      </c>
      <c r="S1498" s="167" t="s">
        <v>8590</v>
      </c>
      <c r="T1498" s="167"/>
      <c r="U1498" s="334" t="s">
        <v>7271</v>
      </c>
      <c r="V1498" s="168">
        <f t="shared" si="3"/>
        <v>1600.75</v>
      </c>
      <c r="W1498" s="168">
        <f t="shared" si="4"/>
        <v>0</v>
      </c>
      <c r="X1498" s="168">
        <f t="shared" si="5"/>
        <v>0</v>
      </c>
      <c r="Y1498" s="168">
        <f t="shared" si="6"/>
        <v>0</v>
      </c>
      <c r="Z1498" s="168">
        <f t="shared" si="7"/>
        <v>0</v>
      </c>
      <c r="AA1498" s="168">
        <f t="shared" si="8"/>
        <v>0</v>
      </c>
      <c r="AB1498" s="168">
        <f t="shared" si="9"/>
        <v>0</v>
      </c>
    </row>
    <row r="1499" ht="14.25" customHeight="1">
      <c r="A1499" s="157" t="s">
        <v>8591</v>
      </c>
      <c r="B1499" s="169" t="s">
        <v>41</v>
      </c>
      <c r="C1499" s="169" t="s">
        <v>3261</v>
      </c>
      <c r="D1499" s="336">
        <v>44522.0</v>
      </c>
      <c r="E1499" s="157" t="s">
        <v>600</v>
      </c>
      <c r="F1499" s="160">
        <v>60853.78</v>
      </c>
      <c r="G1499" s="160">
        <v>9736.6</v>
      </c>
      <c r="H1499" s="160">
        <f t="shared" ref="H1499:H1527" si="47">F1499+G1499</f>
        <v>70590.38</v>
      </c>
      <c r="I1499" s="172"/>
      <c r="J1499" s="169"/>
      <c r="K1499" s="172"/>
      <c r="L1499" s="172">
        <f>+'FACUS$'!$H1499-'FACUS$'!$I1499-'FACUS$'!$K1499</f>
        <v>70590.38</v>
      </c>
      <c r="M1499" s="162" t="s">
        <v>875</v>
      </c>
      <c r="N1499" s="337" t="s">
        <v>554</v>
      </c>
      <c r="O1499" s="338">
        <v>44573.0</v>
      </c>
      <c r="P1499" s="164">
        <f t="array" ref="P1499">XLOOKUP('FACUS$'!$B1499,'perfil de pagos'!$A$4:$A$46,'perfil de pagos'!$C$4:$C$46+'FACUS$'!$D1499)</f>
        <v>44532</v>
      </c>
      <c r="Q1499" s="165">
        <f t="shared" si="2"/>
        <v>0</v>
      </c>
      <c r="R1499" s="220" t="s">
        <v>8592</v>
      </c>
      <c r="S1499" s="167"/>
      <c r="T1499" s="167"/>
      <c r="U1499" s="334" t="s">
        <v>7271</v>
      </c>
      <c r="V1499" s="168">
        <f t="shared" si="3"/>
        <v>70590.38</v>
      </c>
      <c r="W1499" s="168">
        <f t="shared" si="4"/>
        <v>0</v>
      </c>
      <c r="X1499" s="168">
        <f t="shared" si="5"/>
        <v>0</v>
      </c>
      <c r="Y1499" s="168">
        <f t="shared" si="6"/>
        <v>0</v>
      </c>
      <c r="Z1499" s="168">
        <f t="shared" si="7"/>
        <v>0</v>
      </c>
      <c r="AA1499" s="168">
        <f t="shared" si="8"/>
        <v>0</v>
      </c>
      <c r="AB1499" s="168">
        <f t="shared" si="9"/>
        <v>0</v>
      </c>
    </row>
    <row r="1500" ht="14.25" customHeight="1">
      <c r="A1500" s="157" t="s">
        <v>8593</v>
      </c>
      <c r="B1500" s="169" t="s">
        <v>37</v>
      </c>
      <c r="C1500" s="169" t="s">
        <v>3261</v>
      </c>
      <c r="D1500" s="336">
        <v>44522.0</v>
      </c>
      <c r="E1500" s="157" t="s">
        <v>600</v>
      </c>
      <c r="F1500" s="160">
        <v>66141.87</v>
      </c>
      <c r="G1500" s="160">
        <v>10582.7</v>
      </c>
      <c r="H1500" s="160">
        <f t="shared" si="47"/>
        <v>76724.57</v>
      </c>
      <c r="I1500" s="172"/>
      <c r="J1500" s="169"/>
      <c r="K1500" s="172"/>
      <c r="L1500" s="172">
        <f>+'FACUS$'!$H1500-'FACUS$'!$I1500-'FACUS$'!$K1500</f>
        <v>76724.57</v>
      </c>
      <c r="M1500" s="162" t="s">
        <v>116</v>
      </c>
      <c r="N1500" s="337" t="s">
        <v>127</v>
      </c>
      <c r="O1500" s="338"/>
      <c r="P1500" s="164">
        <f t="array" ref="P1500">XLOOKUP('FACUS$'!$B1500,'perfil de pagos'!$A$4:$A$46,'perfil de pagos'!$C$4:$C$46+'FACUS$'!$D1500)</f>
        <v>44532</v>
      </c>
      <c r="Q1500" s="165" t="str">
        <f t="shared" si="2"/>
        <v>N/A</v>
      </c>
      <c r="R1500" s="167"/>
      <c r="S1500" s="167"/>
      <c r="T1500" s="167"/>
      <c r="U1500" s="334" t="s">
        <v>7271</v>
      </c>
      <c r="V1500" s="168">
        <f t="shared" si="3"/>
        <v>0</v>
      </c>
      <c r="W1500" s="168">
        <f t="shared" si="4"/>
        <v>0</v>
      </c>
      <c r="X1500" s="168">
        <f t="shared" si="5"/>
        <v>0</v>
      </c>
      <c r="Y1500" s="168">
        <f t="shared" si="6"/>
        <v>0</v>
      </c>
      <c r="Z1500" s="168">
        <f t="shared" si="7"/>
        <v>0</v>
      </c>
      <c r="AA1500" s="168">
        <f t="shared" si="8"/>
        <v>0</v>
      </c>
      <c r="AB1500" s="168">
        <f t="shared" si="9"/>
        <v>76724.57</v>
      </c>
    </row>
    <row r="1501" ht="14.25" customHeight="1">
      <c r="A1501" s="157" t="s">
        <v>8594</v>
      </c>
      <c r="B1501" s="169" t="s">
        <v>33</v>
      </c>
      <c r="C1501" s="169" t="s">
        <v>3261</v>
      </c>
      <c r="D1501" s="336">
        <v>44522.0</v>
      </c>
      <c r="E1501" s="157" t="s">
        <v>600</v>
      </c>
      <c r="F1501" s="160">
        <v>46001.21</v>
      </c>
      <c r="G1501" s="160">
        <v>7360.19</v>
      </c>
      <c r="H1501" s="160">
        <f t="shared" si="47"/>
        <v>53361.4</v>
      </c>
      <c r="I1501" s="172"/>
      <c r="J1501" s="169"/>
      <c r="K1501" s="172"/>
      <c r="L1501" s="172">
        <f>+'FACUS$'!$H1501-'FACUS$'!$I1501-'FACUS$'!$K1501</f>
        <v>53361.4</v>
      </c>
      <c r="M1501" s="162" t="s">
        <v>958</v>
      </c>
      <c r="N1501" s="337" t="s">
        <v>554</v>
      </c>
      <c r="O1501" s="338">
        <v>44543.0</v>
      </c>
      <c r="P1501" s="164">
        <f t="array" ref="P1501">XLOOKUP('FACUS$'!$B1501,'perfil de pagos'!$A$4:$A$46,'perfil de pagos'!$C$4:$C$46+'FACUS$'!$D1501)</f>
        <v>44532</v>
      </c>
      <c r="Q1501" s="165">
        <f t="shared" si="2"/>
        <v>0</v>
      </c>
      <c r="R1501" s="167"/>
      <c r="S1501" s="167"/>
      <c r="T1501" s="167"/>
      <c r="U1501" s="334" t="s">
        <v>7271</v>
      </c>
      <c r="V1501" s="168">
        <f t="shared" si="3"/>
        <v>53361.4</v>
      </c>
      <c r="W1501" s="168">
        <f t="shared" si="4"/>
        <v>0</v>
      </c>
      <c r="X1501" s="168">
        <f t="shared" si="5"/>
        <v>0</v>
      </c>
      <c r="Y1501" s="168">
        <f t="shared" si="6"/>
        <v>0</v>
      </c>
      <c r="Z1501" s="168">
        <f t="shared" si="7"/>
        <v>0</v>
      </c>
      <c r="AA1501" s="168">
        <f t="shared" si="8"/>
        <v>0</v>
      </c>
      <c r="AB1501" s="168">
        <f t="shared" si="9"/>
        <v>0</v>
      </c>
    </row>
    <row r="1502" ht="14.25" customHeight="1">
      <c r="A1502" s="157" t="s">
        <v>8595</v>
      </c>
      <c r="B1502" s="169" t="s">
        <v>35</v>
      </c>
      <c r="C1502" s="169" t="s">
        <v>3261</v>
      </c>
      <c r="D1502" s="336">
        <v>44522.0</v>
      </c>
      <c r="E1502" s="157" t="s">
        <v>600</v>
      </c>
      <c r="F1502" s="160">
        <v>17006.67</v>
      </c>
      <c r="G1502" s="160">
        <v>2721.07</v>
      </c>
      <c r="H1502" s="160">
        <f t="shared" si="47"/>
        <v>19727.74</v>
      </c>
      <c r="I1502" s="172"/>
      <c r="J1502" s="169"/>
      <c r="K1502" s="172"/>
      <c r="L1502" s="172">
        <f>+'FACUS$'!$H1502-'FACUS$'!$I1502-'FACUS$'!$K1502</f>
        <v>19727.74</v>
      </c>
      <c r="M1502" s="162" t="s">
        <v>276</v>
      </c>
      <c r="N1502" s="337" t="s">
        <v>554</v>
      </c>
      <c r="O1502" s="338">
        <v>44547.0</v>
      </c>
      <c r="P1502" s="164">
        <f t="array" ref="P1502">XLOOKUP('FACUS$'!$B1502,'perfil de pagos'!$A$4:$A$46,'perfil de pagos'!$C$4:$C$46+'FACUS$'!$D1502)</f>
        <v>44532</v>
      </c>
      <c r="Q1502" s="165">
        <f t="shared" si="2"/>
        <v>0</v>
      </c>
      <c r="R1502" s="167"/>
      <c r="S1502" s="167"/>
      <c r="T1502" s="167"/>
      <c r="U1502" s="334" t="s">
        <v>7271</v>
      </c>
      <c r="V1502" s="168">
        <f t="shared" si="3"/>
        <v>19727.74</v>
      </c>
      <c r="W1502" s="168">
        <f t="shared" si="4"/>
        <v>0</v>
      </c>
      <c r="X1502" s="168">
        <f t="shared" si="5"/>
        <v>0</v>
      </c>
      <c r="Y1502" s="168">
        <f t="shared" si="6"/>
        <v>0</v>
      </c>
      <c r="Z1502" s="168">
        <f t="shared" si="7"/>
        <v>0</v>
      </c>
      <c r="AA1502" s="168">
        <f t="shared" si="8"/>
        <v>0</v>
      </c>
      <c r="AB1502" s="168">
        <f t="shared" si="9"/>
        <v>0</v>
      </c>
    </row>
    <row r="1503" ht="14.25" customHeight="1">
      <c r="A1503" s="157" t="s">
        <v>8596</v>
      </c>
      <c r="B1503" s="169" t="s">
        <v>36</v>
      </c>
      <c r="C1503" s="169" t="s">
        <v>3261</v>
      </c>
      <c r="D1503" s="336">
        <v>44522.0</v>
      </c>
      <c r="E1503" s="157" t="s">
        <v>600</v>
      </c>
      <c r="F1503" s="160">
        <v>2103.06</v>
      </c>
      <c r="G1503" s="160">
        <v>336.49</v>
      </c>
      <c r="H1503" s="160">
        <f t="shared" si="47"/>
        <v>2439.55</v>
      </c>
      <c r="I1503" s="172"/>
      <c r="J1503" s="169"/>
      <c r="K1503" s="172"/>
      <c r="L1503" s="172">
        <f>+'FACUS$'!$H1503-'FACUS$'!$I1503-'FACUS$'!$K1503</f>
        <v>2439.55</v>
      </c>
      <c r="M1503" s="162" t="s">
        <v>278</v>
      </c>
      <c r="N1503" s="337" t="s">
        <v>554</v>
      </c>
      <c r="O1503" s="338">
        <v>44586.0</v>
      </c>
      <c r="P1503" s="164">
        <f t="array" ref="P1503">XLOOKUP('FACUS$'!$B1503,'perfil de pagos'!$A$4:$A$46,'perfil de pagos'!$C$4:$C$46+'FACUS$'!$D1503)</f>
        <v>44532</v>
      </c>
      <c r="Q1503" s="165">
        <f t="shared" si="2"/>
        <v>0</v>
      </c>
      <c r="R1503" s="220" t="s">
        <v>8597</v>
      </c>
      <c r="S1503" s="167">
        <v>1270.0</v>
      </c>
      <c r="T1503" s="167"/>
      <c r="U1503" s="334" t="s">
        <v>7271</v>
      </c>
      <c r="V1503" s="168">
        <f t="shared" si="3"/>
        <v>2439.55</v>
      </c>
      <c r="W1503" s="168">
        <f t="shared" si="4"/>
        <v>0</v>
      </c>
      <c r="X1503" s="168">
        <f t="shared" si="5"/>
        <v>0</v>
      </c>
      <c r="Y1503" s="168">
        <f t="shared" si="6"/>
        <v>0</v>
      </c>
      <c r="Z1503" s="168">
        <f t="shared" si="7"/>
        <v>0</v>
      </c>
      <c r="AA1503" s="168">
        <f t="shared" si="8"/>
        <v>0</v>
      </c>
      <c r="AB1503" s="168">
        <f t="shared" si="9"/>
        <v>0</v>
      </c>
    </row>
    <row r="1504" ht="14.25" customHeight="1">
      <c r="A1504" s="157" t="s">
        <v>8598</v>
      </c>
      <c r="B1504" s="169" t="s">
        <v>38</v>
      </c>
      <c r="C1504" s="169" t="s">
        <v>3261</v>
      </c>
      <c r="D1504" s="336">
        <v>44522.0</v>
      </c>
      <c r="E1504" s="157" t="s">
        <v>600</v>
      </c>
      <c r="F1504" s="160">
        <v>11479.86</v>
      </c>
      <c r="G1504" s="160">
        <v>1836.78</v>
      </c>
      <c r="H1504" s="160">
        <f t="shared" si="47"/>
        <v>13316.64</v>
      </c>
      <c r="I1504" s="172"/>
      <c r="J1504" s="169"/>
      <c r="K1504" s="172"/>
      <c r="L1504" s="172">
        <f>+'FACUS$'!$H1504-'FACUS$'!$I1504-'FACUS$'!$K1504</f>
        <v>13316.64</v>
      </c>
      <c r="M1504" s="162" t="s">
        <v>145</v>
      </c>
      <c r="N1504" s="337" t="s">
        <v>554</v>
      </c>
      <c r="O1504" s="338">
        <v>44554.0</v>
      </c>
      <c r="P1504" s="164">
        <f t="array" ref="P1504">XLOOKUP('FACUS$'!$B1504,'perfil de pagos'!$A$4:$A$46,'perfil de pagos'!$C$4:$C$46+'FACUS$'!$D1504)</f>
        <v>44552</v>
      </c>
      <c r="Q1504" s="165">
        <f t="shared" si="2"/>
        <v>0</v>
      </c>
      <c r="R1504" s="167"/>
      <c r="S1504" s="167"/>
      <c r="T1504" s="167"/>
      <c r="U1504" s="334" t="s">
        <v>7271</v>
      </c>
      <c r="V1504" s="168">
        <f t="shared" si="3"/>
        <v>13316.64</v>
      </c>
      <c r="W1504" s="168">
        <f t="shared" si="4"/>
        <v>0</v>
      </c>
      <c r="X1504" s="168">
        <f t="shared" si="5"/>
        <v>0</v>
      </c>
      <c r="Y1504" s="168">
        <f t="shared" si="6"/>
        <v>0</v>
      </c>
      <c r="Z1504" s="168">
        <f t="shared" si="7"/>
        <v>0</v>
      </c>
      <c r="AA1504" s="168">
        <f t="shared" si="8"/>
        <v>0</v>
      </c>
      <c r="AB1504" s="168">
        <f t="shared" si="9"/>
        <v>0</v>
      </c>
    </row>
    <row r="1505" ht="14.25" customHeight="1">
      <c r="A1505" s="157" t="s">
        <v>8599</v>
      </c>
      <c r="B1505" s="169" t="s">
        <v>43</v>
      </c>
      <c r="C1505" s="169" t="s">
        <v>3261</v>
      </c>
      <c r="D1505" s="336">
        <v>44522.0</v>
      </c>
      <c r="E1505" s="157" t="s">
        <v>600</v>
      </c>
      <c r="F1505" s="160">
        <v>48676.84</v>
      </c>
      <c r="G1505" s="160">
        <v>7788.29</v>
      </c>
      <c r="H1505" s="160">
        <f t="shared" si="47"/>
        <v>56465.13</v>
      </c>
      <c r="I1505" s="172"/>
      <c r="J1505" s="169"/>
      <c r="K1505" s="172"/>
      <c r="L1505" s="172">
        <f>+'FACUS$'!$H1505-'FACUS$'!$I1505-'FACUS$'!$K1505</f>
        <v>56465.13</v>
      </c>
      <c r="M1505" s="162" t="s">
        <v>43</v>
      </c>
      <c r="N1505" s="337" t="s">
        <v>554</v>
      </c>
      <c r="O1505" s="338">
        <v>44554.0</v>
      </c>
      <c r="P1505" s="164">
        <f t="array" ref="P1505">XLOOKUP('FACUS$'!$B1505,'perfil de pagos'!$A$4:$A$46,'perfil de pagos'!$C$4:$C$46+'FACUS$'!$D1505)</f>
        <v>44547</v>
      </c>
      <c r="Q1505" s="165">
        <f t="shared" si="2"/>
        <v>0</v>
      </c>
      <c r="R1505" s="167"/>
      <c r="S1505" s="167"/>
      <c r="T1505" s="167"/>
      <c r="U1505" s="334" t="s">
        <v>7271</v>
      </c>
      <c r="V1505" s="168">
        <f t="shared" si="3"/>
        <v>56465.13</v>
      </c>
      <c r="W1505" s="168">
        <f t="shared" si="4"/>
        <v>0</v>
      </c>
      <c r="X1505" s="168">
        <f t="shared" si="5"/>
        <v>0</v>
      </c>
      <c r="Y1505" s="168">
        <f t="shared" si="6"/>
        <v>0</v>
      </c>
      <c r="Z1505" s="168">
        <f t="shared" si="7"/>
        <v>0</v>
      </c>
      <c r="AA1505" s="168">
        <f t="shared" si="8"/>
        <v>0</v>
      </c>
      <c r="AB1505" s="168">
        <f t="shared" si="9"/>
        <v>0</v>
      </c>
    </row>
    <row r="1506" ht="14.25" customHeight="1">
      <c r="A1506" s="157" t="s">
        <v>8600</v>
      </c>
      <c r="B1506" s="169" t="s">
        <v>31</v>
      </c>
      <c r="C1506" s="169" t="s">
        <v>8601</v>
      </c>
      <c r="D1506" s="336">
        <v>44522.0</v>
      </c>
      <c r="E1506" s="157" t="s">
        <v>600</v>
      </c>
      <c r="F1506" s="160">
        <v>933.65</v>
      </c>
      <c r="G1506" s="160">
        <v>149.38</v>
      </c>
      <c r="H1506" s="160">
        <f t="shared" si="47"/>
        <v>1083.03</v>
      </c>
      <c r="I1506" s="172"/>
      <c r="J1506" s="169"/>
      <c r="K1506" s="172"/>
      <c r="L1506" s="172">
        <f>+'FACUS$'!$H1506-'FACUS$'!$I1506-'FACUS$'!$K1506</f>
        <v>1083.03</v>
      </c>
      <c r="M1506" s="162" t="s">
        <v>3183</v>
      </c>
      <c r="N1506" s="337" t="s">
        <v>127</v>
      </c>
      <c r="O1506" s="338"/>
      <c r="P1506" s="164">
        <f t="array" ref="P1506">XLOOKUP('FACUS$'!$B1506,'perfil de pagos'!$A$4:$A$46,'perfil de pagos'!$C$4:$C$46+'FACUS$'!$D1506)</f>
        <v>44525</v>
      </c>
      <c r="Q1506" s="165" t="str">
        <f t="shared" si="2"/>
        <v>N/A</v>
      </c>
      <c r="R1506" s="167"/>
      <c r="S1506" s="167"/>
      <c r="T1506" s="167"/>
      <c r="U1506" s="334" t="s">
        <v>7271</v>
      </c>
      <c r="V1506" s="168">
        <f t="shared" si="3"/>
        <v>0</v>
      </c>
      <c r="W1506" s="168">
        <f t="shared" si="4"/>
        <v>0</v>
      </c>
      <c r="X1506" s="168">
        <f t="shared" si="5"/>
        <v>0</v>
      </c>
      <c r="Y1506" s="168">
        <f t="shared" si="6"/>
        <v>0</v>
      </c>
      <c r="Z1506" s="168">
        <f t="shared" si="7"/>
        <v>0</v>
      </c>
      <c r="AA1506" s="168">
        <f t="shared" si="8"/>
        <v>0</v>
      </c>
      <c r="AB1506" s="168">
        <f t="shared" si="9"/>
        <v>1083.03</v>
      </c>
    </row>
    <row r="1507" ht="14.25" customHeight="1">
      <c r="A1507" s="157" t="s">
        <v>8602</v>
      </c>
      <c r="B1507" s="169" t="s">
        <v>20</v>
      </c>
      <c r="C1507" s="169" t="s">
        <v>3261</v>
      </c>
      <c r="D1507" s="336">
        <v>44522.0</v>
      </c>
      <c r="E1507" s="157" t="s">
        <v>600</v>
      </c>
      <c r="F1507" s="160">
        <v>12420.68</v>
      </c>
      <c r="G1507" s="160">
        <v>1987.31</v>
      </c>
      <c r="H1507" s="160">
        <f t="shared" si="47"/>
        <v>14407.99</v>
      </c>
      <c r="I1507" s="172"/>
      <c r="J1507" s="169"/>
      <c r="K1507" s="172"/>
      <c r="L1507" s="172">
        <f>+'FACUS$'!$H1507-'FACUS$'!$I1507-'FACUS$'!$K1507</f>
        <v>14407.99</v>
      </c>
      <c r="M1507" s="162" t="s">
        <v>732</v>
      </c>
      <c r="N1507" s="337" t="s">
        <v>554</v>
      </c>
      <c r="O1507" s="338">
        <v>44529.0</v>
      </c>
      <c r="P1507" s="164">
        <f t="array" ref="P1507">XLOOKUP('FACUS$'!$B1507,'perfil de pagos'!$A$4:$A$46,'perfil de pagos'!$C$4:$C$46+'FACUS$'!$D1507)</f>
        <v>44532</v>
      </c>
      <c r="Q1507" s="165">
        <f t="shared" si="2"/>
        <v>0</v>
      </c>
      <c r="R1507" s="167"/>
      <c r="S1507" s="167"/>
      <c r="T1507" s="167"/>
      <c r="U1507" s="334" t="s">
        <v>7271</v>
      </c>
      <c r="V1507" s="168">
        <f t="shared" si="3"/>
        <v>14407.99</v>
      </c>
      <c r="W1507" s="168">
        <f t="shared" si="4"/>
        <v>0</v>
      </c>
      <c r="X1507" s="168">
        <f t="shared" si="5"/>
        <v>0</v>
      </c>
      <c r="Y1507" s="168">
        <f t="shared" si="6"/>
        <v>0</v>
      </c>
      <c r="Z1507" s="168">
        <f t="shared" si="7"/>
        <v>0</v>
      </c>
      <c r="AA1507" s="168">
        <f t="shared" si="8"/>
        <v>0</v>
      </c>
      <c r="AB1507" s="168">
        <f t="shared" si="9"/>
        <v>0</v>
      </c>
    </row>
    <row r="1508" ht="14.25" customHeight="1">
      <c r="A1508" s="157" t="s">
        <v>8603</v>
      </c>
      <c r="B1508" s="169" t="s">
        <v>31</v>
      </c>
      <c r="C1508" s="169" t="s">
        <v>8601</v>
      </c>
      <c r="D1508" s="336">
        <v>44523.0</v>
      </c>
      <c r="E1508" s="157" t="s">
        <v>600</v>
      </c>
      <c r="F1508" s="160">
        <v>9336.48</v>
      </c>
      <c r="G1508" s="160">
        <v>1493.84</v>
      </c>
      <c r="H1508" s="160">
        <f t="shared" si="47"/>
        <v>10830.32</v>
      </c>
      <c r="I1508" s="172"/>
      <c r="J1508" s="169"/>
      <c r="K1508" s="172"/>
      <c r="L1508" s="172">
        <f>+'FACUS$'!$H1508-'FACUS$'!$I1508-'FACUS$'!$K1508</f>
        <v>10830.32</v>
      </c>
      <c r="M1508" s="162" t="s">
        <v>3183</v>
      </c>
      <c r="N1508" s="337" t="s">
        <v>554</v>
      </c>
      <c r="O1508" s="338">
        <v>44526.0</v>
      </c>
      <c r="P1508" s="164">
        <f t="array" ref="P1508">XLOOKUP('FACUS$'!$B1508,'perfil de pagos'!$A$4:$A$46,'perfil de pagos'!$C$4:$C$46+'FACUS$'!$D1508)</f>
        <v>44526</v>
      </c>
      <c r="Q1508" s="165">
        <f t="shared" si="2"/>
        <v>0</v>
      </c>
      <c r="R1508" s="167" t="s">
        <v>8604</v>
      </c>
      <c r="S1508" s="167"/>
      <c r="T1508" s="167"/>
      <c r="U1508" s="334" t="s">
        <v>7271</v>
      </c>
      <c r="V1508" s="168">
        <f t="shared" si="3"/>
        <v>10830.32</v>
      </c>
      <c r="W1508" s="168">
        <f t="shared" si="4"/>
        <v>0</v>
      </c>
      <c r="X1508" s="168">
        <f t="shared" si="5"/>
        <v>0</v>
      </c>
      <c r="Y1508" s="168">
        <f t="shared" si="6"/>
        <v>0</v>
      </c>
      <c r="Z1508" s="168">
        <f t="shared" si="7"/>
        <v>0</v>
      </c>
      <c r="AA1508" s="168">
        <f t="shared" si="8"/>
        <v>0</v>
      </c>
      <c r="AB1508" s="168">
        <f t="shared" si="9"/>
        <v>0</v>
      </c>
    </row>
    <row r="1509" ht="14.25" customHeight="1">
      <c r="A1509" s="157" t="s">
        <v>8605</v>
      </c>
      <c r="B1509" s="169" t="s">
        <v>37</v>
      </c>
      <c r="C1509" s="169" t="s">
        <v>3261</v>
      </c>
      <c r="D1509" s="336">
        <v>44523.0</v>
      </c>
      <c r="E1509" s="157" t="s">
        <v>600</v>
      </c>
      <c r="F1509" s="160">
        <v>74429.92</v>
      </c>
      <c r="G1509" s="160">
        <v>11908.79</v>
      </c>
      <c r="H1509" s="160">
        <f t="shared" si="47"/>
        <v>86338.71</v>
      </c>
      <c r="I1509" s="172"/>
      <c r="J1509" s="169"/>
      <c r="K1509" s="172"/>
      <c r="L1509" s="172">
        <f>+'FACUS$'!$H1509-'FACUS$'!$I1509-'FACUS$'!$K1509</f>
        <v>86338.71</v>
      </c>
      <c r="M1509" s="162" t="s">
        <v>116</v>
      </c>
      <c r="N1509" s="337" t="s">
        <v>554</v>
      </c>
      <c r="O1509" s="338">
        <v>44536.0</v>
      </c>
      <c r="P1509" s="164">
        <f t="array" ref="P1509">XLOOKUP('FACUS$'!$B1509,'perfil de pagos'!$A$4:$A$46,'perfil de pagos'!$C$4:$C$46+'FACUS$'!$D1509)</f>
        <v>44533</v>
      </c>
      <c r="Q1509" s="165">
        <f t="shared" si="2"/>
        <v>0</v>
      </c>
      <c r="R1509" s="167" t="s">
        <v>8606</v>
      </c>
      <c r="S1509" s="167"/>
      <c r="T1509" s="167"/>
      <c r="U1509" s="334" t="s">
        <v>7271</v>
      </c>
      <c r="V1509" s="168">
        <f t="shared" si="3"/>
        <v>86338.71</v>
      </c>
      <c r="W1509" s="168">
        <f t="shared" si="4"/>
        <v>0</v>
      </c>
      <c r="X1509" s="168">
        <f t="shared" si="5"/>
        <v>0</v>
      </c>
      <c r="Y1509" s="168">
        <f t="shared" si="6"/>
        <v>0</v>
      </c>
      <c r="Z1509" s="168">
        <f t="shared" si="7"/>
        <v>0</v>
      </c>
      <c r="AA1509" s="168">
        <f t="shared" si="8"/>
        <v>0</v>
      </c>
      <c r="AB1509" s="168">
        <f t="shared" si="9"/>
        <v>0</v>
      </c>
    </row>
    <row r="1510" ht="14.25" customHeight="1">
      <c r="A1510" s="157" t="s">
        <v>8607</v>
      </c>
      <c r="B1510" s="169" t="s">
        <v>31</v>
      </c>
      <c r="C1510" s="169" t="s">
        <v>8608</v>
      </c>
      <c r="D1510" s="336">
        <v>44524.0</v>
      </c>
      <c r="E1510" s="157" t="s">
        <v>600</v>
      </c>
      <c r="F1510" s="160">
        <v>13797.8</v>
      </c>
      <c r="G1510" s="160">
        <v>2207.65</v>
      </c>
      <c r="H1510" s="160">
        <f t="shared" si="47"/>
        <v>16005.45</v>
      </c>
      <c r="I1510" s="172"/>
      <c r="J1510" s="169"/>
      <c r="K1510" s="172"/>
      <c r="L1510" s="172">
        <f>+'FACUS$'!$H1510-'FACUS$'!$I1510-'FACUS$'!$K1510</f>
        <v>16005.45</v>
      </c>
      <c r="M1510" s="162" t="s">
        <v>3183</v>
      </c>
      <c r="N1510" s="337" t="s">
        <v>554</v>
      </c>
      <c r="O1510" s="338">
        <v>44533.0</v>
      </c>
      <c r="P1510" s="164">
        <f t="array" ref="P1510">XLOOKUP('FACUS$'!$B1510,'perfil de pagos'!$A$4:$A$46,'perfil de pagos'!$C$4:$C$46+'FACUS$'!$D1510)</f>
        <v>44527</v>
      </c>
      <c r="Q1510" s="165">
        <f t="shared" si="2"/>
        <v>0</v>
      </c>
      <c r="R1510" s="167"/>
      <c r="S1510" s="167"/>
      <c r="T1510" s="167"/>
      <c r="U1510" s="334" t="s">
        <v>7271</v>
      </c>
      <c r="V1510" s="168">
        <f t="shared" si="3"/>
        <v>16005.45</v>
      </c>
      <c r="W1510" s="168">
        <f t="shared" si="4"/>
        <v>0</v>
      </c>
      <c r="X1510" s="168">
        <f t="shared" si="5"/>
        <v>0</v>
      </c>
      <c r="Y1510" s="168">
        <f t="shared" si="6"/>
        <v>0</v>
      </c>
      <c r="Z1510" s="168">
        <f t="shared" si="7"/>
        <v>0</v>
      </c>
      <c r="AA1510" s="168">
        <f t="shared" si="8"/>
        <v>0</v>
      </c>
      <c r="AB1510" s="168">
        <f t="shared" si="9"/>
        <v>0</v>
      </c>
    </row>
    <row r="1511" ht="14.25" customHeight="1">
      <c r="A1511" s="157" t="s">
        <v>8609</v>
      </c>
      <c r="B1511" s="169" t="s">
        <v>37</v>
      </c>
      <c r="C1511" s="374" t="s">
        <v>8610</v>
      </c>
      <c r="D1511" s="336">
        <v>44531.0</v>
      </c>
      <c r="E1511" s="157" t="s">
        <v>600</v>
      </c>
      <c r="F1511" s="160">
        <v>3616.76</v>
      </c>
      <c r="G1511" s="160">
        <v>578.68</v>
      </c>
      <c r="H1511" s="160">
        <f t="shared" si="47"/>
        <v>4195.44</v>
      </c>
      <c r="I1511" s="172"/>
      <c r="J1511" s="169"/>
      <c r="K1511" s="172"/>
      <c r="L1511" s="172">
        <f>+'FACUS$'!$H1511-'FACUS$'!$I1511-'FACUS$'!$K1511</f>
        <v>4195.44</v>
      </c>
      <c r="M1511" s="162" t="s">
        <v>116</v>
      </c>
      <c r="N1511" s="337" t="s">
        <v>554</v>
      </c>
      <c r="O1511" s="338">
        <v>44550.0</v>
      </c>
      <c r="P1511" s="164">
        <f t="array" ref="P1511">XLOOKUP('FACUS$'!$B1511,'perfil de pagos'!$A$4:$A$46,'perfil de pagos'!$C$4:$C$46+'FACUS$'!$D1511)</f>
        <v>44541</v>
      </c>
      <c r="Q1511" s="165">
        <f t="shared" si="2"/>
        <v>0</v>
      </c>
      <c r="R1511" s="167" t="s">
        <v>8611</v>
      </c>
      <c r="S1511" s="167"/>
      <c r="T1511" s="167"/>
      <c r="U1511" s="334" t="s">
        <v>7271</v>
      </c>
      <c r="V1511" s="168">
        <f t="shared" si="3"/>
        <v>4195.44</v>
      </c>
      <c r="W1511" s="168">
        <f t="shared" si="4"/>
        <v>0</v>
      </c>
      <c r="X1511" s="168">
        <f t="shared" si="5"/>
        <v>0</v>
      </c>
      <c r="Y1511" s="168">
        <f t="shared" si="6"/>
        <v>0</v>
      </c>
      <c r="Z1511" s="168">
        <f t="shared" si="7"/>
        <v>0</v>
      </c>
      <c r="AA1511" s="168">
        <f t="shared" si="8"/>
        <v>0</v>
      </c>
      <c r="AB1511" s="168">
        <f t="shared" si="9"/>
        <v>0</v>
      </c>
    </row>
    <row r="1512" ht="14.25" customHeight="1">
      <c r="A1512" s="157" t="s">
        <v>8612</v>
      </c>
      <c r="B1512" s="169" t="s">
        <v>37</v>
      </c>
      <c r="C1512" s="366" t="s">
        <v>8613</v>
      </c>
      <c r="D1512" s="336">
        <v>44531.0</v>
      </c>
      <c r="E1512" s="157" t="s">
        <v>600</v>
      </c>
      <c r="F1512" s="160">
        <v>11560.63</v>
      </c>
      <c r="G1512" s="160">
        <v>1849.7</v>
      </c>
      <c r="H1512" s="160">
        <f t="shared" si="47"/>
        <v>13410.33</v>
      </c>
      <c r="I1512" s="172"/>
      <c r="J1512" s="169"/>
      <c r="K1512" s="172"/>
      <c r="L1512" s="172">
        <f>+'FACUS$'!$H1512-'FACUS$'!$I1512-'FACUS$'!$K1512</f>
        <v>13410.33</v>
      </c>
      <c r="M1512" s="162" t="s">
        <v>116</v>
      </c>
      <c r="N1512" s="337" t="s">
        <v>554</v>
      </c>
      <c r="O1512" s="338">
        <v>44550.0</v>
      </c>
      <c r="P1512" s="164">
        <f t="array" ref="P1512">XLOOKUP('FACUS$'!$B1512,'perfil de pagos'!$A$4:$A$46,'perfil de pagos'!$C$4:$C$46+'FACUS$'!$D1512)</f>
        <v>44541</v>
      </c>
      <c r="Q1512" s="165">
        <f t="shared" si="2"/>
        <v>0</v>
      </c>
      <c r="R1512" s="167"/>
      <c r="S1512" s="167"/>
      <c r="T1512" s="167"/>
      <c r="U1512" s="334" t="s">
        <v>7271</v>
      </c>
      <c r="V1512" s="168">
        <f t="shared" si="3"/>
        <v>13410.33</v>
      </c>
      <c r="W1512" s="168">
        <f t="shared" si="4"/>
        <v>0</v>
      </c>
      <c r="X1512" s="168">
        <f t="shared" si="5"/>
        <v>0</v>
      </c>
      <c r="Y1512" s="168">
        <f t="shared" si="6"/>
        <v>0</v>
      </c>
      <c r="Z1512" s="168">
        <f t="shared" si="7"/>
        <v>0</v>
      </c>
      <c r="AA1512" s="168">
        <f t="shared" si="8"/>
        <v>0</v>
      </c>
      <c r="AB1512" s="168">
        <f t="shared" si="9"/>
        <v>0</v>
      </c>
    </row>
    <row r="1513" ht="14.25" customHeight="1">
      <c r="A1513" s="157" t="s">
        <v>8614</v>
      </c>
      <c r="B1513" s="169" t="s">
        <v>31</v>
      </c>
      <c r="C1513" s="169" t="s">
        <v>8615</v>
      </c>
      <c r="D1513" s="336">
        <v>44532.0</v>
      </c>
      <c r="E1513" s="157" t="s">
        <v>600</v>
      </c>
      <c r="F1513" s="160">
        <v>10463.9</v>
      </c>
      <c r="G1513" s="160">
        <v>1674.22</v>
      </c>
      <c r="H1513" s="160">
        <f t="shared" si="47"/>
        <v>12138.12</v>
      </c>
      <c r="I1513" s="172"/>
      <c r="J1513" s="169"/>
      <c r="K1513" s="172"/>
      <c r="L1513" s="172">
        <f>+'FACUS$'!$H1513-'FACUS$'!$I1513-'FACUS$'!$K1513</f>
        <v>12138.12</v>
      </c>
      <c r="M1513" s="162" t="s">
        <v>3183</v>
      </c>
      <c r="N1513" s="337" t="s">
        <v>554</v>
      </c>
      <c r="O1513" s="338">
        <v>44540.0</v>
      </c>
      <c r="P1513" s="164">
        <f t="array" ref="P1513">XLOOKUP('FACUS$'!$B1513,'perfil de pagos'!$A$4:$A$46,'perfil de pagos'!$C$4:$C$46+'FACUS$'!$D1513)</f>
        <v>44535</v>
      </c>
      <c r="Q1513" s="165">
        <f t="shared" si="2"/>
        <v>0</v>
      </c>
      <c r="R1513" s="167"/>
      <c r="S1513" s="167"/>
      <c r="T1513" s="167"/>
      <c r="U1513" s="334" t="s">
        <v>7271</v>
      </c>
      <c r="V1513" s="168">
        <f t="shared" si="3"/>
        <v>12138.12</v>
      </c>
      <c r="W1513" s="168">
        <f t="shared" si="4"/>
        <v>0</v>
      </c>
      <c r="X1513" s="168">
        <f t="shared" si="5"/>
        <v>0</v>
      </c>
      <c r="Y1513" s="168">
        <f t="shared" si="6"/>
        <v>0</v>
      </c>
      <c r="Z1513" s="168">
        <f t="shared" si="7"/>
        <v>0</v>
      </c>
      <c r="AA1513" s="168">
        <f t="shared" si="8"/>
        <v>0</v>
      </c>
      <c r="AB1513" s="168">
        <f t="shared" si="9"/>
        <v>0</v>
      </c>
    </row>
    <row r="1514" ht="14.25" customHeight="1">
      <c r="A1514" s="157" t="s">
        <v>8616</v>
      </c>
      <c r="B1514" s="169" t="s">
        <v>17</v>
      </c>
      <c r="C1514" s="169" t="s">
        <v>3309</v>
      </c>
      <c r="D1514" s="336">
        <v>44533.0</v>
      </c>
      <c r="E1514" s="157" t="s">
        <v>600</v>
      </c>
      <c r="F1514" s="160">
        <v>24621.71</v>
      </c>
      <c r="G1514" s="160">
        <v>3939.47</v>
      </c>
      <c r="H1514" s="160">
        <f t="shared" si="47"/>
        <v>28561.18</v>
      </c>
      <c r="I1514" s="172"/>
      <c r="J1514" s="169"/>
      <c r="K1514" s="172"/>
      <c r="L1514" s="172">
        <f>+'FACUS$'!$H1514-'FACUS$'!$I1514-'FACUS$'!$K1514</f>
        <v>28561.18</v>
      </c>
      <c r="M1514" s="162" t="s">
        <v>17</v>
      </c>
      <c r="N1514" s="337" t="s">
        <v>554</v>
      </c>
      <c r="O1514" s="338">
        <v>44539.0</v>
      </c>
      <c r="P1514" s="164">
        <f t="array" ref="P1514">XLOOKUP('FACUS$'!$B1514,'perfil de pagos'!$A$4:$A$46,'perfil de pagos'!$C$4:$C$46+'FACUS$'!$D1514)</f>
        <v>44543</v>
      </c>
      <c r="Q1514" s="165">
        <f t="shared" si="2"/>
        <v>0</v>
      </c>
      <c r="R1514" s="167"/>
      <c r="S1514" s="167"/>
      <c r="T1514" s="167"/>
      <c r="U1514" s="334" t="s">
        <v>7271</v>
      </c>
      <c r="V1514" s="168">
        <f t="shared" si="3"/>
        <v>28561.18</v>
      </c>
      <c r="W1514" s="168">
        <f t="shared" si="4"/>
        <v>0</v>
      </c>
      <c r="X1514" s="168">
        <f t="shared" si="5"/>
        <v>0</v>
      </c>
      <c r="Y1514" s="168">
        <f t="shared" si="6"/>
        <v>0</v>
      </c>
      <c r="Z1514" s="168">
        <f t="shared" si="7"/>
        <v>0</v>
      </c>
      <c r="AA1514" s="168">
        <f t="shared" si="8"/>
        <v>0</v>
      </c>
      <c r="AB1514" s="168">
        <f t="shared" si="9"/>
        <v>0</v>
      </c>
    </row>
    <row r="1515" ht="14.25" customHeight="1">
      <c r="A1515" s="157" t="s">
        <v>8617</v>
      </c>
      <c r="B1515" s="169" t="s">
        <v>17</v>
      </c>
      <c r="C1515" s="169" t="s">
        <v>3316</v>
      </c>
      <c r="D1515" s="336">
        <v>44533.0</v>
      </c>
      <c r="E1515" s="157" t="s">
        <v>600</v>
      </c>
      <c r="F1515" s="160">
        <v>27714.3</v>
      </c>
      <c r="G1515" s="160">
        <v>4434.29</v>
      </c>
      <c r="H1515" s="160">
        <f t="shared" si="47"/>
        <v>32148.59</v>
      </c>
      <c r="I1515" s="172"/>
      <c r="J1515" s="169"/>
      <c r="K1515" s="172"/>
      <c r="L1515" s="172">
        <f>+'FACUS$'!$H1515-'FACUS$'!$I1515-'FACUS$'!$K1515</f>
        <v>32148.59</v>
      </c>
      <c r="M1515" s="162" t="s">
        <v>17</v>
      </c>
      <c r="N1515" s="337" t="s">
        <v>554</v>
      </c>
      <c r="O1515" s="338">
        <v>44539.0</v>
      </c>
      <c r="P1515" s="164">
        <f t="array" ref="P1515">XLOOKUP('FACUS$'!$B1515,'perfil de pagos'!$A$4:$A$46,'perfil de pagos'!$C$4:$C$46+'FACUS$'!$D1515)</f>
        <v>44543</v>
      </c>
      <c r="Q1515" s="165">
        <f t="shared" si="2"/>
        <v>0</v>
      </c>
      <c r="R1515" s="167"/>
      <c r="S1515" s="167"/>
      <c r="T1515" s="167"/>
      <c r="U1515" s="334" t="s">
        <v>7271</v>
      </c>
      <c r="V1515" s="168">
        <f t="shared" si="3"/>
        <v>32148.59</v>
      </c>
      <c r="W1515" s="168">
        <f t="shared" si="4"/>
        <v>0</v>
      </c>
      <c r="X1515" s="168">
        <f t="shared" si="5"/>
        <v>0</v>
      </c>
      <c r="Y1515" s="168">
        <f t="shared" si="6"/>
        <v>0</v>
      </c>
      <c r="Z1515" s="168">
        <f t="shared" si="7"/>
        <v>0</v>
      </c>
      <c r="AA1515" s="168">
        <f t="shared" si="8"/>
        <v>0</v>
      </c>
      <c r="AB1515" s="168">
        <f t="shared" si="9"/>
        <v>0</v>
      </c>
    </row>
    <row r="1516" ht="14.25" customHeight="1">
      <c r="A1516" s="157" t="s">
        <v>8618</v>
      </c>
      <c r="B1516" s="169" t="s">
        <v>39</v>
      </c>
      <c r="C1516" s="169" t="s">
        <v>3309</v>
      </c>
      <c r="D1516" s="336">
        <v>44533.0</v>
      </c>
      <c r="E1516" s="157" t="s">
        <v>600</v>
      </c>
      <c r="F1516" s="160">
        <v>38603.12</v>
      </c>
      <c r="G1516" s="160">
        <v>6176.5</v>
      </c>
      <c r="H1516" s="160">
        <f t="shared" si="47"/>
        <v>44779.62</v>
      </c>
      <c r="I1516" s="172"/>
      <c r="J1516" s="169"/>
      <c r="K1516" s="172"/>
      <c r="L1516" s="172">
        <f>+'FACUS$'!$H1516-'FACUS$'!$I1516-'FACUS$'!$K1516</f>
        <v>44779.62</v>
      </c>
      <c r="M1516" s="162" t="s">
        <v>570</v>
      </c>
      <c r="N1516" s="337" t="s">
        <v>554</v>
      </c>
      <c r="O1516" s="338">
        <v>44551.0</v>
      </c>
      <c r="P1516" s="164">
        <f t="array" ref="P1516">XLOOKUP('FACUS$'!$B1516,'perfil de pagos'!$A$4:$A$46,'perfil de pagos'!$C$4:$C$46+'FACUS$'!$D1516)</f>
        <v>44543</v>
      </c>
      <c r="Q1516" s="165">
        <f t="shared" si="2"/>
        <v>0</v>
      </c>
      <c r="R1516" s="167"/>
      <c r="S1516" s="167"/>
      <c r="T1516" s="167"/>
      <c r="U1516" s="334" t="s">
        <v>7271</v>
      </c>
      <c r="V1516" s="168">
        <f t="shared" si="3"/>
        <v>44779.62</v>
      </c>
      <c r="W1516" s="168">
        <f t="shared" si="4"/>
        <v>0</v>
      </c>
      <c r="X1516" s="168">
        <f t="shared" si="5"/>
        <v>0</v>
      </c>
      <c r="Y1516" s="168">
        <f t="shared" si="6"/>
        <v>0</v>
      </c>
      <c r="Z1516" s="168">
        <f t="shared" si="7"/>
        <v>0</v>
      </c>
      <c r="AA1516" s="168">
        <f t="shared" si="8"/>
        <v>0</v>
      </c>
      <c r="AB1516" s="168">
        <f t="shared" si="9"/>
        <v>0</v>
      </c>
    </row>
    <row r="1517" ht="14.25" customHeight="1">
      <c r="A1517" s="157" t="s">
        <v>8619</v>
      </c>
      <c r="B1517" s="169" t="s">
        <v>39</v>
      </c>
      <c r="C1517" s="169" t="s">
        <v>3316</v>
      </c>
      <c r="D1517" s="336">
        <v>44533.0</v>
      </c>
      <c r="E1517" s="157" t="s">
        <v>600</v>
      </c>
      <c r="F1517" s="160">
        <v>31713.72</v>
      </c>
      <c r="G1517" s="160">
        <v>5074.2</v>
      </c>
      <c r="H1517" s="160">
        <f t="shared" si="47"/>
        <v>36787.92</v>
      </c>
      <c r="I1517" s="172"/>
      <c r="J1517" s="169"/>
      <c r="K1517" s="172"/>
      <c r="L1517" s="172">
        <f>+'FACUS$'!$H1517-'FACUS$'!$I1517-'FACUS$'!$K1517</f>
        <v>36787.92</v>
      </c>
      <c r="M1517" s="162" t="s">
        <v>570</v>
      </c>
      <c r="N1517" s="337" t="s">
        <v>554</v>
      </c>
      <c r="O1517" s="338">
        <v>44551.0</v>
      </c>
      <c r="P1517" s="164">
        <f t="array" ref="P1517">XLOOKUP('FACUS$'!$B1517,'perfil de pagos'!$A$4:$A$46,'perfil de pagos'!$C$4:$C$46+'FACUS$'!$D1517)</f>
        <v>44543</v>
      </c>
      <c r="Q1517" s="165">
        <f t="shared" si="2"/>
        <v>0</v>
      </c>
      <c r="R1517" s="167"/>
      <c r="S1517" s="167"/>
      <c r="T1517" s="167"/>
      <c r="U1517" s="334" t="s">
        <v>7271</v>
      </c>
      <c r="V1517" s="168">
        <f t="shared" si="3"/>
        <v>36787.92</v>
      </c>
      <c r="W1517" s="168">
        <f t="shared" si="4"/>
        <v>0</v>
      </c>
      <c r="X1517" s="168">
        <f t="shared" si="5"/>
        <v>0</v>
      </c>
      <c r="Y1517" s="168">
        <f t="shared" si="6"/>
        <v>0</v>
      </c>
      <c r="Z1517" s="168">
        <f t="shared" si="7"/>
        <v>0</v>
      </c>
      <c r="AA1517" s="168">
        <f t="shared" si="8"/>
        <v>0</v>
      </c>
      <c r="AB1517" s="168">
        <f t="shared" si="9"/>
        <v>0</v>
      </c>
    </row>
    <row r="1518" ht="14.25" customHeight="1">
      <c r="A1518" s="157" t="s">
        <v>8620</v>
      </c>
      <c r="B1518" s="169" t="s">
        <v>33</v>
      </c>
      <c r="C1518" s="169" t="s">
        <v>3316</v>
      </c>
      <c r="D1518" s="336">
        <v>44533.0</v>
      </c>
      <c r="E1518" s="157" t="s">
        <v>600</v>
      </c>
      <c r="F1518" s="160">
        <v>58915.53</v>
      </c>
      <c r="G1518" s="160">
        <v>9426.48</v>
      </c>
      <c r="H1518" s="160">
        <f t="shared" si="47"/>
        <v>68342.01</v>
      </c>
      <c r="I1518" s="172"/>
      <c r="J1518" s="169"/>
      <c r="K1518" s="172"/>
      <c r="L1518" s="172">
        <f>+'FACUS$'!$H1518-'FACUS$'!$I1518-'FACUS$'!$K1518</f>
        <v>68342.01</v>
      </c>
      <c r="M1518" s="162" t="s">
        <v>958</v>
      </c>
      <c r="N1518" s="337" t="s">
        <v>554</v>
      </c>
      <c r="O1518" s="338">
        <v>44552.0</v>
      </c>
      <c r="P1518" s="164">
        <f t="array" ref="P1518">XLOOKUP('FACUS$'!$B1518,'perfil de pagos'!$A$4:$A$46,'perfil de pagos'!$C$4:$C$46+'FACUS$'!$D1518)</f>
        <v>44543</v>
      </c>
      <c r="Q1518" s="165">
        <f t="shared" si="2"/>
        <v>0</v>
      </c>
      <c r="R1518" s="167"/>
      <c r="S1518" s="167"/>
      <c r="T1518" s="167"/>
      <c r="U1518" s="334" t="s">
        <v>7271</v>
      </c>
      <c r="V1518" s="168">
        <f t="shared" si="3"/>
        <v>68342.01</v>
      </c>
      <c r="W1518" s="168">
        <f t="shared" si="4"/>
        <v>0</v>
      </c>
      <c r="X1518" s="168">
        <f t="shared" si="5"/>
        <v>0</v>
      </c>
      <c r="Y1518" s="168">
        <f t="shared" si="6"/>
        <v>0</v>
      </c>
      <c r="Z1518" s="168">
        <f t="shared" si="7"/>
        <v>0</v>
      </c>
      <c r="AA1518" s="168">
        <f t="shared" si="8"/>
        <v>0</v>
      </c>
      <c r="AB1518" s="168">
        <f t="shared" si="9"/>
        <v>0</v>
      </c>
    </row>
    <row r="1519" ht="14.25" customHeight="1">
      <c r="A1519" s="157" t="s">
        <v>8621</v>
      </c>
      <c r="B1519" s="169" t="s">
        <v>35</v>
      </c>
      <c r="C1519" s="169" t="s">
        <v>3316</v>
      </c>
      <c r="D1519" s="336">
        <v>44533.0</v>
      </c>
      <c r="E1519" s="157" t="s">
        <v>600</v>
      </c>
      <c r="F1519" s="160">
        <v>19108.68</v>
      </c>
      <c r="G1519" s="160">
        <v>3057.39</v>
      </c>
      <c r="H1519" s="160">
        <f t="shared" si="47"/>
        <v>22166.07</v>
      </c>
      <c r="I1519" s="172"/>
      <c r="J1519" s="169"/>
      <c r="K1519" s="172"/>
      <c r="L1519" s="172">
        <f>+'FACUS$'!$H1519-'FACUS$'!$I1519-'FACUS$'!$K1519</f>
        <v>22166.07</v>
      </c>
      <c r="M1519" s="162" t="s">
        <v>276</v>
      </c>
      <c r="N1519" s="337" t="s">
        <v>554</v>
      </c>
      <c r="O1519" s="338">
        <v>44558.0</v>
      </c>
      <c r="P1519" s="164">
        <f t="array" ref="P1519">XLOOKUP('FACUS$'!$B1519,'perfil de pagos'!$A$4:$A$46,'perfil de pagos'!$C$4:$C$46+'FACUS$'!$D1519)</f>
        <v>44543</v>
      </c>
      <c r="Q1519" s="165">
        <f t="shared" si="2"/>
        <v>0</v>
      </c>
      <c r="R1519" s="167"/>
      <c r="S1519" s="167"/>
      <c r="T1519" s="167"/>
      <c r="U1519" s="334" t="s">
        <v>7271</v>
      </c>
      <c r="V1519" s="168">
        <f t="shared" si="3"/>
        <v>22166.07</v>
      </c>
      <c r="W1519" s="168">
        <f t="shared" si="4"/>
        <v>0</v>
      </c>
      <c r="X1519" s="168">
        <f t="shared" si="5"/>
        <v>0</v>
      </c>
      <c r="Y1519" s="168">
        <f t="shared" si="6"/>
        <v>0</v>
      </c>
      <c r="Z1519" s="168">
        <f t="shared" si="7"/>
        <v>0</v>
      </c>
      <c r="AA1519" s="168">
        <f t="shared" si="8"/>
        <v>0</v>
      </c>
      <c r="AB1519" s="168">
        <f t="shared" si="9"/>
        <v>0</v>
      </c>
    </row>
    <row r="1520" ht="14.25" customHeight="1">
      <c r="A1520" s="157" t="s">
        <v>8622</v>
      </c>
      <c r="B1520" s="169" t="s">
        <v>36</v>
      </c>
      <c r="C1520" s="169" t="s">
        <v>3316</v>
      </c>
      <c r="D1520" s="336">
        <v>44533.0</v>
      </c>
      <c r="E1520" s="157" t="s">
        <v>600</v>
      </c>
      <c r="F1520" s="160">
        <v>2519.17</v>
      </c>
      <c r="G1520" s="160">
        <v>403.07</v>
      </c>
      <c r="H1520" s="160">
        <f t="shared" si="47"/>
        <v>2922.24</v>
      </c>
      <c r="I1520" s="172"/>
      <c r="J1520" s="169"/>
      <c r="K1520" s="172"/>
      <c r="L1520" s="172">
        <f>+'FACUS$'!$H1520-'FACUS$'!$I1520-'FACUS$'!$K1520</f>
        <v>2922.24</v>
      </c>
      <c r="M1520" s="162" t="s">
        <v>278</v>
      </c>
      <c r="N1520" s="337" t="s">
        <v>554</v>
      </c>
      <c r="O1520" s="338">
        <v>44586.0</v>
      </c>
      <c r="P1520" s="164">
        <f t="array" ref="P1520">XLOOKUP('FACUS$'!$B1520,'perfil de pagos'!$A$4:$A$46,'perfil de pagos'!$C$4:$C$46+'FACUS$'!$D1520)</f>
        <v>44543</v>
      </c>
      <c r="Q1520" s="165">
        <f t="shared" si="2"/>
        <v>0</v>
      </c>
      <c r="R1520" s="220" t="s">
        <v>8623</v>
      </c>
      <c r="S1520" s="167">
        <v>1271.0</v>
      </c>
      <c r="T1520" s="167"/>
      <c r="U1520" s="334" t="s">
        <v>7271</v>
      </c>
      <c r="V1520" s="168">
        <f t="shared" si="3"/>
        <v>2922.24</v>
      </c>
      <c r="W1520" s="168">
        <f t="shared" si="4"/>
        <v>0</v>
      </c>
      <c r="X1520" s="168">
        <f t="shared" si="5"/>
        <v>0</v>
      </c>
      <c r="Y1520" s="168">
        <f t="shared" si="6"/>
        <v>0</v>
      </c>
      <c r="Z1520" s="168">
        <f t="shared" si="7"/>
        <v>0</v>
      </c>
      <c r="AA1520" s="168">
        <f t="shared" si="8"/>
        <v>0</v>
      </c>
      <c r="AB1520" s="168">
        <f t="shared" si="9"/>
        <v>0</v>
      </c>
    </row>
    <row r="1521" ht="14.25" customHeight="1">
      <c r="A1521" s="157" t="s">
        <v>8624</v>
      </c>
      <c r="B1521" s="169" t="s">
        <v>43</v>
      </c>
      <c r="C1521" s="169" t="s">
        <v>3316</v>
      </c>
      <c r="D1521" s="336">
        <v>44533.0</v>
      </c>
      <c r="E1521" s="157" t="s">
        <v>600</v>
      </c>
      <c r="F1521" s="160">
        <v>75515.83</v>
      </c>
      <c r="G1521" s="160">
        <v>12082.53</v>
      </c>
      <c r="H1521" s="160">
        <f t="shared" si="47"/>
        <v>87598.36</v>
      </c>
      <c r="I1521" s="172"/>
      <c r="J1521" s="169"/>
      <c r="K1521" s="172"/>
      <c r="L1521" s="172">
        <f>+'FACUS$'!$H1521-'FACUS$'!$I1521-'FACUS$'!$K1521</f>
        <v>87598.36</v>
      </c>
      <c r="M1521" s="162" t="s">
        <v>43</v>
      </c>
      <c r="N1521" s="337" t="s">
        <v>554</v>
      </c>
      <c r="O1521" s="338">
        <v>44572.0</v>
      </c>
      <c r="P1521" s="164">
        <f t="array" ref="P1521">XLOOKUP('FACUS$'!$B1521,'perfil de pagos'!$A$4:$A$46,'perfil de pagos'!$C$4:$C$46+'FACUS$'!$D1521)</f>
        <v>44558</v>
      </c>
      <c r="Q1521" s="165">
        <f t="shared" si="2"/>
        <v>0</v>
      </c>
      <c r="R1521" s="220" t="s">
        <v>8625</v>
      </c>
      <c r="S1521" s="167"/>
      <c r="T1521" s="167"/>
      <c r="U1521" s="334" t="s">
        <v>7271</v>
      </c>
      <c r="V1521" s="168">
        <f t="shared" si="3"/>
        <v>87598.36</v>
      </c>
      <c r="W1521" s="168">
        <f t="shared" si="4"/>
        <v>0</v>
      </c>
      <c r="X1521" s="168">
        <f t="shared" si="5"/>
        <v>0</v>
      </c>
      <c r="Y1521" s="168">
        <f t="shared" si="6"/>
        <v>0</v>
      </c>
      <c r="Z1521" s="168">
        <f t="shared" si="7"/>
        <v>0</v>
      </c>
      <c r="AA1521" s="168">
        <f t="shared" si="8"/>
        <v>0</v>
      </c>
      <c r="AB1521" s="168">
        <f t="shared" si="9"/>
        <v>0</v>
      </c>
    </row>
    <row r="1522" ht="14.25" customHeight="1">
      <c r="A1522" s="157" t="s">
        <v>8626</v>
      </c>
      <c r="B1522" s="169" t="s">
        <v>41</v>
      </c>
      <c r="C1522" s="169" t="s">
        <v>3316</v>
      </c>
      <c r="D1522" s="336">
        <v>44533.0</v>
      </c>
      <c r="E1522" s="157" t="s">
        <v>600</v>
      </c>
      <c r="F1522" s="160">
        <v>70554.01</v>
      </c>
      <c r="G1522" s="160">
        <v>11288.64</v>
      </c>
      <c r="H1522" s="160">
        <f t="shared" si="47"/>
        <v>81842.65</v>
      </c>
      <c r="I1522" s="172"/>
      <c r="J1522" s="169"/>
      <c r="K1522" s="172"/>
      <c r="L1522" s="172">
        <f>+'FACUS$'!$H1522-'FACUS$'!$I1522-'FACUS$'!$K1522</f>
        <v>81842.65</v>
      </c>
      <c r="M1522" s="162" t="s">
        <v>875</v>
      </c>
      <c r="N1522" s="337" t="s">
        <v>554</v>
      </c>
      <c r="O1522" s="338">
        <v>44596.0</v>
      </c>
      <c r="P1522" s="164">
        <f t="array" ref="P1522">XLOOKUP('FACUS$'!$B1522,'perfil de pagos'!$A$4:$A$46,'perfil de pagos'!$C$4:$C$46+'FACUS$'!$D1522)</f>
        <v>44543</v>
      </c>
      <c r="Q1522" s="165">
        <f t="shared" si="2"/>
        <v>0</v>
      </c>
      <c r="R1522" s="167"/>
      <c r="S1522" s="167"/>
      <c r="T1522" s="167"/>
      <c r="U1522" s="334" t="s">
        <v>7271</v>
      </c>
      <c r="V1522" s="168">
        <f t="shared" si="3"/>
        <v>81842.65</v>
      </c>
      <c r="W1522" s="168">
        <f t="shared" si="4"/>
        <v>0</v>
      </c>
      <c r="X1522" s="168">
        <f t="shared" si="5"/>
        <v>0</v>
      </c>
      <c r="Y1522" s="168">
        <f t="shared" si="6"/>
        <v>0</v>
      </c>
      <c r="Z1522" s="168">
        <f t="shared" si="7"/>
        <v>0</v>
      </c>
      <c r="AA1522" s="168">
        <f t="shared" si="8"/>
        <v>0</v>
      </c>
      <c r="AB1522" s="168">
        <f t="shared" si="9"/>
        <v>0</v>
      </c>
    </row>
    <row r="1523" ht="14.25" customHeight="1">
      <c r="A1523" s="157" t="s">
        <v>8627</v>
      </c>
      <c r="B1523" s="169" t="s">
        <v>18</v>
      </c>
      <c r="C1523" s="169" t="s">
        <v>3316</v>
      </c>
      <c r="D1523" s="336">
        <v>44533.0</v>
      </c>
      <c r="E1523" s="157" t="s">
        <v>600</v>
      </c>
      <c r="F1523" s="160">
        <v>11540.59</v>
      </c>
      <c r="G1523" s="160">
        <v>1846.49</v>
      </c>
      <c r="H1523" s="160">
        <f t="shared" si="47"/>
        <v>13387.08</v>
      </c>
      <c r="I1523" s="172"/>
      <c r="J1523" s="169"/>
      <c r="K1523" s="172"/>
      <c r="L1523" s="172">
        <f>+'FACUS$'!$H1523-'FACUS$'!$I1523-'FACUS$'!$K1523</f>
        <v>13387.08</v>
      </c>
      <c r="M1523" s="162" t="s">
        <v>586</v>
      </c>
      <c r="N1523" s="337" t="s">
        <v>554</v>
      </c>
      <c r="O1523" s="338">
        <v>44539.0</v>
      </c>
      <c r="P1523" s="164">
        <f t="array" ref="P1523">XLOOKUP('FACUS$'!$B1523,'perfil de pagos'!$A$4:$A$46,'perfil de pagos'!$C$4:$C$46+'FACUS$'!$D1523)</f>
        <v>44543</v>
      </c>
      <c r="Q1523" s="165">
        <f t="shared" si="2"/>
        <v>0</v>
      </c>
      <c r="R1523" s="167"/>
      <c r="S1523" s="167"/>
      <c r="T1523" s="167"/>
      <c r="U1523" s="334" t="s">
        <v>7271</v>
      </c>
      <c r="V1523" s="168">
        <f t="shared" si="3"/>
        <v>13387.08</v>
      </c>
      <c r="W1523" s="168">
        <f t="shared" si="4"/>
        <v>0</v>
      </c>
      <c r="X1523" s="168">
        <f t="shared" si="5"/>
        <v>0</v>
      </c>
      <c r="Y1523" s="168">
        <f t="shared" si="6"/>
        <v>0</v>
      </c>
      <c r="Z1523" s="168">
        <f t="shared" si="7"/>
        <v>0</v>
      </c>
      <c r="AA1523" s="168">
        <f t="shared" si="8"/>
        <v>0</v>
      </c>
      <c r="AB1523" s="168">
        <f t="shared" si="9"/>
        <v>0</v>
      </c>
    </row>
    <row r="1524" ht="14.25" customHeight="1">
      <c r="A1524" s="157" t="s">
        <v>8628</v>
      </c>
      <c r="B1524" s="169" t="s">
        <v>20</v>
      </c>
      <c r="C1524" s="169" t="s">
        <v>3316</v>
      </c>
      <c r="D1524" s="336">
        <v>44533.0</v>
      </c>
      <c r="E1524" s="157" t="s">
        <v>600</v>
      </c>
      <c r="F1524" s="160">
        <v>13695.51</v>
      </c>
      <c r="G1524" s="160">
        <v>2191.28</v>
      </c>
      <c r="H1524" s="160">
        <f t="shared" si="47"/>
        <v>15886.79</v>
      </c>
      <c r="I1524" s="172"/>
      <c r="J1524" s="169"/>
      <c r="K1524" s="172"/>
      <c r="L1524" s="172">
        <f>+'FACUS$'!$H1524-'FACUS$'!$I1524-'FACUS$'!$K1524</f>
        <v>15886.79</v>
      </c>
      <c r="M1524" s="162" t="s">
        <v>732</v>
      </c>
      <c r="N1524" s="337" t="s">
        <v>554</v>
      </c>
      <c r="O1524" s="338">
        <v>44539.0</v>
      </c>
      <c r="P1524" s="164">
        <f t="array" ref="P1524">XLOOKUP('FACUS$'!$B1524,'perfil de pagos'!$A$4:$A$46,'perfil de pagos'!$C$4:$C$46+'FACUS$'!$D1524)</f>
        <v>44543</v>
      </c>
      <c r="Q1524" s="165">
        <f t="shared" si="2"/>
        <v>0</v>
      </c>
      <c r="R1524" s="167"/>
      <c r="S1524" s="167"/>
      <c r="T1524" s="167"/>
      <c r="U1524" s="334" t="s">
        <v>7271</v>
      </c>
      <c r="V1524" s="168">
        <f t="shared" si="3"/>
        <v>15886.79</v>
      </c>
      <c r="W1524" s="168">
        <f t="shared" si="4"/>
        <v>0</v>
      </c>
      <c r="X1524" s="168">
        <f t="shared" si="5"/>
        <v>0</v>
      </c>
      <c r="Y1524" s="168">
        <f t="shared" si="6"/>
        <v>0</v>
      </c>
      <c r="Z1524" s="168">
        <f t="shared" si="7"/>
        <v>0</v>
      </c>
      <c r="AA1524" s="168">
        <f t="shared" si="8"/>
        <v>0</v>
      </c>
      <c r="AB1524" s="168">
        <f t="shared" si="9"/>
        <v>0</v>
      </c>
    </row>
    <row r="1525" ht="14.25" customHeight="1">
      <c r="A1525" s="157" t="s">
        <v>8629</v>
      </c>
      <c r="B1525" s="169" t="s">
        <v>37</v>
      </c>
      <c r="C1525" s="169" t="s">
        <v>3316</v>
      </c>
      <c r="D1525" s="336">
        <v>44533.0</v>
      </c>
      <c r="E1525" s="157" t="s">
        <v>600</v>
      </c>
      <c r="F1525" s="160">
        <v>103508.04</v>
      </c>
      <c r="G1525" s="160">
        <v>16561.29</v>
      </c>
      <c r="H1525" s="160">
        <f t="shared" si="47"/>
        <v>120069.33</v>
      </c>
      <c r="I1525" s="172"/>
      <c r="J1525" s="169"/>
      <c r="K1525" s="172"/>
      <c r="L1525" s="172">
        <f>+'FACUS$'!$H1525-'FACUS$'!$I1525-'FACUS$'!$K1525</f>
        <v>120069.33</v>
      </c>
      <c r="M1525" s="162" t="s">
        <v>116</v>
      </c>
      <c r="N1525" s="337" t="s">
        <v>554</v>
      </c>
      <c r="O1525" s="338">
        <v>44565.0</v>
      </c>
      <c r="P1525" s="164">
        <f t="array" ref="P1525">XLOOKUP('FACUS$'!$B1525,'perfil de pagos'!$A$4:$A$46,'perfil de pagos'!$C$4:$C$46+'FACUS$'!$D1525)</f>
        <v>44543</v>
      </c>
      <c r="Q1525" s="165">
        <f t="shared" si="2"/>
        <v>0</v>
      </c>
      <c r="R1525" s="167" t="s">
        <v>8630</v>
      </c>
      <c r="S1525" s="167"/>
      <c r="T1525" s="167"/>
      <c r="U1525" s="334" t="s">
        <v>7271</v>
      </c>
      <c r="V1525" s="168">
        <f t="shared" si="3"/>
        <v>120069.33</v>
      </c>
      <c r="W1525" s="168">
        <f t="shared" si="4"/>
        <v>0</v>
      </c>
      <c r="X1525" s="168">
        <f t="shared" si="5"/>
        <v>0</v>
      </c>
      <c r="Y1525" s="168">
        <f t="shared" si="6"/>
        <v>0</v>
      </c>
      <c r="Z1525" s="168">
        <f t="shared" si="7"/>
        <v>0</v>
      </c>
      <c r="AA1525" s="168">
        <f t="shared" si="8"/>
        <v>0</v>
      </c>
      <c r="AB1525" s="168">
        <f t="shared" si="9"/>
        <v>0</v>
      </c>
    </row>
    <row r="1526" ht="14.25" customHeight="1">
      <c r="A1526" s="157" t="s">
        <v>8631</v>
      </c>
      <c r="B1526" s="169" t="s">
        <v>38</v>
      </c>
      <c r="C1526" s="169" t="s">
        <v>3316</v>
      </c>
      <c r="D1526" s="336">
        <v>44533.0</v>
      </c>
      <c r="E1526" s="157" t="s">
        <v>600</v>
      </c>
      <c r="F1526" s="160">
        <v>12680.49</v>
      </c>
      <c r="G1526" s="160">
        <v>2028.88</v>
      </c>
      <c r="H1526" s="160">
        <f t="shared" si="47"/>
        <v>14709.37</v>
      </c>
      <c r="I1526" s="172"/>
      <c r="J1526" s="169"/>
      <c r="K1526" s="172"/>
      <c r="L1526" s="172">
        <f>+'FACUS$'!$H1526-'FACUS$'!$I1526-'FACUS$'!$K1526</f>
        <v>14709.37</v>
      </c>
      <c r="M1526" s="162" t="s">
        <v>145</v>
      </c>
      <c r="N1526" s="337" t="s">
        <v>554</v>
      </c>
      <c r="O1526" s="338">
        <v>44554.0</v>
      </c>
      <c r="P1526" s="164">
        <f t="array" ref="P1526">XLOOKUP('FACUS$'!$B1526,'perfil de pagos'!$A$4:$A$46,'perfil de pagos'!$C$4:$C$46+'FACUS$'!$D1526)</f>
        <v>44563</v>
      </c>
      <c r="Q1526" s="165">
        <f t="shared" si="2"/>
        <v>0</v>
      </c>
      <c r="R1526" s="167"/>
      <c r="S1526" s="167"/>
      <c r="T1526" s="167"/>
      <c r="U1526" s="334" t="s">
        <v>7271</v>
      </c>
      <c r="V1526" s="168">
        <f t="shared" si="3"/>
        <v>14709.37</v>
      </c>
      <c r="W1526" s="168">
        <f t="shared" si="4"/>
        <v>0</v>
      </c>
      <c r="X1526" s="168">
        <f t="shared" si="5"/>
        <v>0</v>
      </c>
      <c r="Y1526" s="168">
        <f t="shared" si="6"/>
        <v>0</v>
      </c>
      <c r="Z1526" s="168">
        <f t="shared" si="7"/>
        <v>0</v>
      </c>
      <c r="AA1526" s="168">
        <f t="shared" si="8"/>
        <v>0</v>
      </c>
      <c r="AB1526" s="168">
        <f t="shared" si="9"/>
        <v>0</v>
      </c>
    </row>
    <row r="1527" ht="14.25" customHeight="1">
      <c r="A1527" s="157" t="s">
        <v>8632</v>
      </c>
      <c r="B1527" s="169" t="s">
        <v>22</v>
      </c>
      <c r="C1527" s="169" t="s">
        <v>3316</v>
      </c>
      <c r="D1527" s="336">
        <v>44533.0</v>
      </c>
      <c r="E1527" s="157" t="s">
        <v>600</v>
      </c>
      <c r="F1527" s="160">
        <v>816.77</v>
      </c>
      <c r="G1527" s="160">
        <v>130.68</v>
      </c>
      <c r="H1527" s="160">
        <f t="shared" si="47"/>
        <v>947.45</v>
      </c>
      <c r="I1527" s="172"/>
      <c r="J1527" s="169"/>
      <c r="K1527" s="172"/>
      <c r="L1527" s="172">
        <f>+'FACUS$'!$H1527-'FACUS$'!$I1527-'FACUS$'!$K1527</f>
        <v>947.45</v>
      </c>
      <c r="M1527" s="162" t="s">
        <v>220</v>
      </c>
      <c r="N1527" s="337" t="s">
        <v>554</v>
      </c>
      <c r="O1527" s="338">
        <v>44634.0</v>
      </c>
      <c r="P1527" s="164">
        <f t="array" ref="P1527">XLOOKUP('FACUS$'!$B1527,'perfil de pagos'!$A$4:$A$46,'perfil de pagos'!$C$4:$C$46+'FACUS$'!$D1527)</f>
        <v>44543</v>
      </c>
      <c r="Q1527" s="165">
        <f t="shared" si="2"/>
        <v>0</v>
      </c>
      <c r="R1527" s="167"/>
      <c r="S1527" s="167"/>
      <c r="T1527" s="167"/>
      <c r="U1527" s="334" t="s">
        <v>7271</v>
      </c>
      <c r="V1527" s="168">
        <f t="shared" si="3"/>
        <v>947.45</v>
      </c>
      <c r="W1527" s="168">
        <f t="shared" si="4"/>
        <v>0</v>
      </c>
      <c r="X1527" s="168">
        <f t="shared" si="5"/>
        <v>0</v>
      </c>
      <c r="Y1527" s="168">
        <f t="shared" si="6"/>
        <v>0</v>
      </c>
      <c r="Z1527" s="168">
        <f t="shared" si="7"/>
        <v>0</v>
      </c>
      <c r="AA1527" s="168">
        <f t="shared" si="8"/>
        <v>0</v>
      </c>
      <c r="AB1527" s="168">
        <f t="shared" si="9"/>
        <v>0</v>
      </c>
    </row>
    <row r="1528" ht="14.25" customHeight="1">
      <c r="A1528" s="157" t="s">
        <v>8633</v>
      </c>
      <c r="B1528" s="169" t="s">
        <v>26</v>
      </c>
      <c r="C1528" s="169" t="s">
        <v>3316</v>
      </c>
      <c r="D1528" s="336">
        <v>44533.0</v>
      </c>
      <c r="E1528" s="157" t="s">
        <v>600</v>
      </c>
      <c r="F1528" s="160">
        <v>3180.28</v>
      </c>
      <c r="G1528" s="160">
        <v>508.84</v>
      </c>
      <c r="H1528" s="160">
        <f>F1528+G1528-3398.89</f>
        <v>290.23</v>
      </c>
      <c r="I1528" s="172"/>
      <c r="J1528" s="169"/>
      <c r="K1528" s="172"/>
      <c r="L1528" s="172">
        <f>+'FACUS$'!$H1528-'FACUS$'!$I1528-'FACUS$'!$K1528</f>
        <v>290.23</v>
      </c>
      <c r="M1528" s="162" t="s">
        <v>188</v>
      </c>
      <c r="N1528" s="337" t="s">
        <v>554</v>
      </c>
      <c r="O1528" s="338">
        <v>44757.0</v>
      </c>
      <c r="P1528" s="164">
        <f t="array" ref="P1528">XLOOKUP('FACUS$'!$B1528,'perfil de pagos'!$A$4:$A$46,'perfil de pagos'!$C$4:$C$46+'FACUS$'!$D1528)</f>
        <v>44563</v>
      </c>
      <c r="Q1528" s="165">
        <f t="shared" si="2"/>
        <v>0</v>
      </c>
      <c r="R1528" s="220" t="s">
        <v>8634</v>
      </c>
      <c r="S1528" s="167" t="s">
        <v>8635</v>
      </c>
      <c r="T1528" s="167"/>
      <c r="U1528" s="334" t="s">
        <v>7271</v>
      </c>
      <c r="V1528" s="168">
        <f t="shared" si="3"/>
        <v>290.23</v>
      </c>
      <c r="W1528" s="168">
        <f t="shared" si="4"/>
        <v>0</v>
      </c>
      <c r="X1528" s="168">
        <f t="shared" si="5"/>
        <v>0</v>
      </c>
      <c r="Y1528" s="168">
        <f t="shared" si="6"/>
        <v>0</v>
      </c>
      <c r="Z1528" s="168">
        <f t="shared" si="7"/>
        <v>0</v>
      </c>
      <c r="AA1528" s="168">
        <f t="shared" si="8"/>
        <v>0</v>
      </c>
      <c r="AB1528" s="168">
        <f t="shared" si="9"/>
        <v>0</v>
      </c>
    </row>
    <row r="1529" ht="14.25" customHeight="1">
      <c r="A1529" s="157" t="s">
        <v>8636</v>
      </c>
      <c r="B1529" s="169" t="s">
        <v>31</v>
      </c>
      <c r="C1529" s="169" t="s">
        <v>8637</v>
      </c>
      <c r="D1529" s="336">
        <v>44539.0</v>
      </c>
      <c r="E1529" s="157" t="s">
        <v>600</v>
      </c>
      <c r="F1529" s="160">
        <v>3804.85</v>
      </c>
      <c r="G1529" s="160">
        <v>608.78</v>
      </c>
      <c r="H1529" s="160">
        <f t="shared" ref="H1529:H1534" si="48">F1529+G1529</f>
        <v>4413.63</v>
      </c>
      <c r="I1529" s="172"/>
      <c r="J1529" s="169"/>
      <c r="K1529" s="172"/>
      <c r="L1529" s="172">
        <f>+'FACUS$'!$H1529-'FACUS$'!$I1529-'FACUS$'!$K1529</f>
        <v>4413.63</v>
      </c>
      <c r="M1529" s="162" t="s">
        <v>3183</v>
      </c>
      <c r="N1529" s="337" t="s">
        <v>554</v>
      </c>
      <c r="O1529" s="338">
        <v>44547.0</v>
      </c>
      <c r="P1529" s="164">
        <f t="array" ref="P1529">XLOOKUP('FACUS$'!$B1529,'perfil de pagos'!$A$4:$A$46,'perfil de pagos'!$C$4:$C$46+'FACUS$'!$D1529)</f>
        <v>44542</v>
      </c>
      <c r="Q1529" s="165">
        <f t="shared" si="2"/>
        <v>0</v>
      </c>
      <c r="R1529" s="167"/>
      <c r="S1529" s="167"/>
      <c r="T1529" s="167"/>
      <c r="U1529" s="334" t="s">
        <v>7271</v>
      </c>
      <c r="V1529" s="168">
        <f t="shared" si="3"/>
        <v>4413.63</v>
      </c>
      <c r="W1529" s="168">
        <f t="shared" si="4"/>
        <v>0</v>
      </c>
      <c r="X1529" s="168">
        <f t="shared" si="5"/>
        <v>0</v>
      </c>
      <c r="Y1529" s="168">
        <f t="shared" si="6"/>
        <v>0</v>
      </c>
      <c r="Z1529" s="168">
        <f t="shared" si="7"/>
        <v>0</v>
      </c>
      <c r="AA1529" s="168">
        <f t="shared" si="8"/>
        <v>0</v>
      </c>
      <c r="AB1529" s="168">
        <f t="shared" si="9"/>
        <v>0</v>
      </c>
    </row>
    <row r="1530" ht="14.25" customHeight="1">
      <c r="A1530" s="157" t="s">
        <v>8638</v>
      </c>
      <c r="B1530" s="169" t="s">
        <v>31</v>
      </c>
      <c r="C1530" s="169" t="s">
        <v>8639</v>
      </c>
      <c r="D1530" s="336">
        <v>44539.0</v>
      </c>
      <c r="E1530" s="157" t="s">
        <v>600</v>
      </c>
      <c r="F1530" s="160">
        <v>7178.41</v>
      </c>
      <c r="G1530" s="160">
        <v>1148.55</v>
      </c>
      <c r="H1530" s="160">
        <f t="shared" si="48"/>
        <v>8326.96</v>
      </c>
      <c r="I1530" s="172"/>
      <c r="J1530" s="169"/>
      <c r="K1530" s="172"/>
      <c r="L1530" s="172">
        <f>+'FACUS$'!$H1530-'FACUS$'!$I1530-'FACUS$'!$K1530</f>
        <v>8326.96</v>
      </c>
      <c r="M1530" s="162" t="s">
        <v>3183</v>
      </c>
      <c r="N1530" s="337" t="s">
        <v>554</v>
      </c>
      <c r="O1530" s="338">
        <v>44547.0</v>
      </c>
      <c r="P1530" s="164">
        <f t="array" ref="P1530">XLOOKUP('FACUS$'!$B1530,'perfil de pagos'!$A$4:$A$46,'perfil de pagos'!$C$4:$C$46+'FACUS$'!$D1530)</f>
        <v>44542</v>
      </c>
      <c r="Q1530" s="165">
        <f t="shared" si="2"/>
        <v>0</v>
      </c>
      <c r="R1530" s="167"/>
      <c r="S1530" s="167"/>
      <c r="T1530" s="167"/>
      <c r="U1530" s="334" t="s">
        <v>7271</v>
      </c>
      <c r="V1530" s="168">
        <f t="shared" si="3"/>
        <v>8326.96</v>
      </c>
      <c r="W1530" s="168">
        <f t="shared" si="4"/>
        <v>0</v>
      </c>
      <c r="X1530" s="168">
        <f t="shared" si="5"/>
        <v>0</v>
      </c>
      <c r="Y1530" s="168">
        <f t="shared" si="6"/>
        <v>0</v>
      </c>
      <c r="Z1530" s="168">
        <f t="shared" si="7"/>
        <v>0</v>
      </c>
      <c r="AA1530" s="168">
        <f t="shared" si="8"/>
        <v>0</v>
      </c>
      <c r="AB1530" s="168">
        <f t="shared" si="9"/>
        <v>0</v>
      </c>
    </row>
    <row r="1531" ht="14.25" customHeight="1">
      <c r="A1531" s="157" t="s">
        <v>8640</v>
      </c>
      <c r="B1531" s="169" t="s">
        <v>36</v>
      </c>
      <c r="C1531" s="169" t="s">
        <v>8641</v>
      </c>
      <c r="D1531" s="336">
        <v>44539.0</v>
      </c>
      <c r="E1531" s="157" t="s">
        <v>600</v>
      </c>
      <c r="F1531" s="160">
        <v>613.25</v>
      </c>
      <c r="G1531" s="160">
        <f>83.4-91.99</f>
        <v>-8.59</v>
      </c>
      <c r="H1531" s="160">
        <f t="shared" si="48"/>
        <v>604.66</v>
      </c>
      <c r="I1531" s="172"/>
      <c r="J1531" s="169"/>
      <c r="K1531" s="172"/>
      <c r="L1531" s="172">
        <f>+'FACUS$'!$H1531-'FACUS$'!$I1531-'FACUS$'!$K1531</f>
        <v>604.66</v>
      </c>
      <c r="M1531" s="162" t="s">
        <v>278</v>
      </c>
      <c r="N1531" s="337" t="s">
        <v>554</v>
      </c>
      <c r="O1531" s="338">
        <v>44587.0</v>
      </c>
      <c r="P1531" s="164">
        <f t="array" ref="P1531">XLOOKUP('FACUS$'!$B1531,'perfil de pagos'!$A$4:$A$46,'perfil de pagos'!$C$4:$C$46+'FACUS$'!$D1531)</f>
        <v>44549</v>
      </c>
      <c r="Q1531" s="165">
        <f t="shared" si="2"/>
        <v>0</v>
      </c>
      <c r="R1531" s="220" t="s">
        <v>8642</v>
      </c>
      <c r="S1531" s="167"/>
      <c r="T1531" s="167"/>
      <c r="U1531" s="334" t="s">
        <v>7271</v>
      </c>
      <c r="V1531" s="168">
        <f t="shared" si="3"/>
        <v>604.66</v>
      </c>
      <c r="W1531" s="168">
        <f t="shared" si="4"/>
        <v>0</v>
      </c>
      <c r="X1531" s="168">
        <f t="shared" si="5"/>
        <v>0</v>
      </c>
      <c r="Y1531" s="168">
        <f t="shared" si="6"/>
        <v>0</v>
      </c>
      <c r="Z1531" s="168">
        <f t="shared" si="7"/>
        <v>0</v>
      </c>
      <c r="AA1531" s="168">
        <f t="shared" si="8"/>
        <v>0</v>
      </c>
      <c r="AB1531" s="168">
        <f t="shared" si="9"/>
        <v>0</v>
      </c>
    </row>
    <row r="1532" ht="14.25" customHeight="1">
      <c r="A1532" s="157" t="s">
        <v>8643</v>
      </c>
      <c r="B1532" s="169" t="s">
        <v>17</v>
      </c>
      <c r="C1532" s="169" t="s">
        <v>3333</v>
      </c>
      <c r="D1532" s="336">
        <v>44547.0</v>
      </c>
      <c r="E1532" s="157" t="s">
        <v>600</v>
      </c>
      <c r="F1532" s="160">
        <v>17740.26</v>
      </c>
      <c r="G1532" s="160">
        <v>2838.44</v>
      </c>
      <c r="H1532" s="160">
        <f t="shared" si="48"/>
        <v>20578.7</v>
      </c>
      <c r="I1532" s="172"/>
      <c r="J1532" s="169"/>
      <c r="K1532" s="172"/>
      <c r="L1532" s="172">
        <f>+'FACUS$'!$H1532-'FACUS$'!$I1532-'FACUS$'!$K1532</f>
        <v>20578.7</v>
      </c>
      <c r="M1532" s="162" t="s">
        <v>17</v>
      </c>
      <c r="N1532" s="337" t="s">
        <v>554</v>
      </c>
      <c r="O1532" s="338">
        <v>44553.0</v>
      </c>
      <c r="P1532" s="164">
        <f t="array" ref="P1532">XLOOKUP('FACUS$'!$B1532,'perfil de pagos'!$A$4:$A$46,'perfil de pagos'!$C$4:$C$46+'FACUS$'!$D1532)</f>
        <v>44557</v>
      </c>
      <c r="Q1532" s="165">
        <f t="shared" si="2"/>
        <v>0</v>
      </c>
      <c r="R1532" s="167"/>
      <c r="S1532" s="167"/>
      <c r="T1532" s="167"/>
      <c r="U1532" s="334" t="s">
        <v>7271</v>
      </c>
      <c r="V1532" s="168">
        <f t="shared" si="3"/>
        <v>20578.7</v>
      </c>
      <c r="W1532" s="168">
        <f t="shared" si="4"/>
        <v>0</v>
      </c>
      <c r="X1532" s="168">
        <f t="shared" si="5"/>
        <v>0</v>
      </c>
      <c r="Y1532" s="168">
        <f t="shared" si="6"/>
        <v>0</v>
      </c>
      <c r="Z1532" s="168">
        <f t="shared" si="7"/>
        <v>0</v>
      </c>
      <c r="AA1532" s="168">
        <f t="shared" si="8"/>
        <v>0</v>
      </c>
      <c r="AB1532" s="168">
        <f t="shared" si="9"/>
        <v>0</v>
      </c>
    </row>
    <row r="1533" ht="14.25" customHeight="1">
      <c r="A1533" s="157" t="s">
        <v>8644</v>
      </c>
      <c r="B1533" s="169" t="s">
        <v>17</v>
      </c>
      <c r="C1533" s="169" t="s">
        <v>3335</v>
      </c>
      <c r="D1533" s="336">
        <v>44547.0</v>
      </c>
      <c r="E1533" s="157" t="s">
        <v>600</v>
      </c>
      <c r="F1533" s="160">
        <v>23139.25</v>
      </c>
      <c r="G1533" s="160">
        <v>3702.28</v>
      </c>
      <c r="H1533" s="160">
        <f t="shared" si="48"/>
        <v>26841.53</v>
      </c>
      <c r="I1533" s="172"/>
      <c r="J1533" s="169"/>
      <c r="K1533" s="172"/>
      <c r="L1533" s="172">
        <f>+'FACUS$'!$H1533-'FACUS$'!$I1533-'FACUS$'!$K1533</f>
        <v>26841.53</v>
      </c>
      <c r="M1533" s="162" t="s">
        <v>17</v>
      </c>
      <c r="N1533" s="337" t="s">
        <v>554</v>
      </c>
      <c r="O1533" s="338">
        <v>44553.0</v>
      </c>
      <c r="P1533" s="164">
        <f t="array" ref="P1533">XLOOKUP('FACUS$'!$B1533,'perfil de pagos'!$A$4:$A$46,'perfil de pagos'!$C$4:$C$46+'FACUS$'!$D1533)</f>
        <v>44557</v>
      </c>
      <c r="Q1533" s="165">
        <f t="shared" si="2"/>
        <v>0</v>
      </c>
      <c r="R1533" s="167"/>
      <c r="S1533" s="167"/>
      <c r="T1533" s="167"/>
      <c r="U1533" s="334" t="s">
        <v>7271</v>
      </c>
      <c r="V1533" s="168">
        <f t="shared" si="3"/>
        <v>26841.53</v>
      </c>
      <c r="W1533" s="168">
        <f t="shared" si="4"/>
        <v>0</v>
      </c>
      <c r="X1533" s="168">
        <f t="shared" si="5"/>
        <v>0</v>
      </c>
      <c r="Y1533" s="168">
        <f t="shared" si="6"/>
        <v>0</v>
      </c>
      <c r="Z1533" s="168">
        <f t="shared" si="7"/>
        <v>0</v>
      </c>
      <c r="AA1533" s="168">
        <f t="shared" si="8"/>
        <v>0</v>
      </c>
      <c r="AB1533" s="168">
        <f t="shared" si="9"/>
        <v>0</v>
      </c>
    </row>
    <row r="1534" ht="14.25" customHeight="1">
      <c r="A1534" s="157" t="s">
        <v>8645</v>
      </c>
      <c r="B1534" s="169" t="s">
        <v>18</v>
      </c>
      <c r="C1534" s="169" t="s">
        <v>3335</v>
      </c>
      <c r="D1534" s="336">
        <v>44547.0</v>
      </c>
      <c r="E1534" s="157" t="s">
        <v>600</v>
      </c>
      <c r="F1534" s="160">
        <v>8585.36</v>
      </c>
      <c r="G1534" s="160">
        <v>1373.66</v>
      </c>
      <c r="H1534" s="160">
        <f t="shared" si="48"/>
        <v>9959.02</v>
      </c>
      <c r="I1534" s="172"/>
      <c r="J1534" s="169"/>
      <c r="K1534" s="172"/>
      <c r="L1534" s="172">
        <f>+'FACUS$'!$H1534-'FACUS$'!$I1534-'FACUS$'!$K1534</f>
        <v>9959.02</v>
      </c>
      <c r="M1534" s="162" t="s">
        <v>586</v>
      </c>
      <c r="N1534" s="337" t="s">
        <v>554</v>
      </c>
      <c r="O1534" s="338">
        <v>44557.0</v>
      </c>
      <c r="P1534" s="164">
        <f t="array" ref="P1534">XLOOKUP('FACUS$'!$B1534,'perfil de pagos'!$A$4:$A$46,'perfil de pagos'!$C$4:$C$46+'FACUS$'!$D1534)</f>
        <v>44557</v>
      </c>
      <c r="Q1534" s="165">
        <f t="shared" si="2"/>
        <v>0</v>
      </c>
      <c r="R1534" s="167"/>
      <c r="S1534" s="167"/>
      <c r="T1534" s="167"/>
      <c r="U1534" s="334" t="s">
        <v>7271</v>
      </c>
      <c r="V1534" s="168">
        <f t="shared" si="3"/>
        <v>9959.02</v>
      </c>
      <c r="W1534" s="168">
        <f t="shared" si="4"/>
        <v>0</v>
      </c>
      <c r="X1534" s="168">
        <f t="shared" si="5"/>
        <v>0</v>
      </c>
      <c r="Y1534" s="168">
        <f t="shared" si="6"/>
        <v>0</v>
      </c>
      <c r="Z1534" s="168">
        <f t="shared" si="7"/>
        <v>0</v>
      </c>
      <c r="AA1534" s="168">
        <f t="shared" si="8"/>
        <v>0</v>
      </c>
      <c r="AB1534" s="168">
        <f t="shared" si="9"/>
        <v>0</v>
      </c>
    </row>
    <row r="1535" ht="14.25" customHeight="1">
      <c r="A1535" s="157" t="s">
        <v>8646</v>
      </c>
      <c r="B1535" s="169" t="s">
        <v>22</v>
      </c>
      <c r="C1535" s="169" t="s">
        <v>3335</v>
      </c>
      <c r="D1535" s="336">
        <v>44547.0</v>
      </c>
      <c r="E1535" s="157" t="s">
        <v>600</v>
      </c>
      <c r="F1535" s="160">
        <v>5950.51</v>
      </c>
      <c r="G1535" s="160">
        <v>952.08</v>
      </c>
      <c r="H1535" s="160">
        <f>F1535+G1535-3001.73</f>
        <v>3900.86</v>
      </c>
      <c r="I1535" s="172"/>
      <c r="J1535" s="169"/>
      <c r="K1535" s="172"/>
      <c r="L1535" s="172">
        <f>+'FACUS$'!$H1535-'FACUS$'!$I1535-'FACUS$'!$K1535</f>
        <v>3900.86</v>
      </c>
      <c r="M1535" s="162" t="s">
        <v>220</v>
      </c>
      <c r="N1535" s="337" t="s">
        <v>554</v>
      </c>
      <c r="O1535" s="338">
        <v>44634.0</v>
      </c>
      <c r="P1535" s="164">
        <f t="array" ref="P1535">XLOOKUP('FACUS$'!$B1535,'perfil de pagos'!$A$4:$A$46,'perfil de pagos'!$C$4:$C$46+'FACUS$'!$D1535)</f>
        <v>44557</v>
      </c>
      <c r="Q1535" s="165">
        <f t="shared" si="2"/>
        <v>0</v>
      </c>
      <c r="R1535" s="167"/>
      <c r="S1535" s="167"/>
      <c r="T1535" s="167"/>
      <c r="U1535" s="334" t="s">
        <v>7271</v>
      </c>
      <c r="V1535" s="168">
        <f t="shared" si="3"/>
        <v>3900.86</v>
      </c>
      <c r="W1535" s="168">
        <f t="shared" si="4"/>
        <v>0</v>
      </c>
      <c r="X1535" s="168">
        <f t="shared" si="5"/>
        <v>0</v>
      </c>
      <c r="Y1535" s="168">
        <f t="shared" si="6"/>
        <v>0</v>
      </c>
      <c r="Z1535" s="168">
        <f t="shared" si="7"/>
        <v>0</v>
      </c>
      <c r="AA1535" s="168">
        <f t="shared" si="8"/>
        <v>0</v>
      </c>
      <c r="AB1535" s="168">
        <f t="shared" si="9"/>
        <v>0</v>
      </c>
    </row>
    <row r="1536" ht="14.25" customHeight="1">
      <c r="A1536" s="157" t="s">
        <v>8647</v>
      </c>
      <c r="B1536" s="169" t="s">
        <v>41</v>
      </c>
      <c r="C1536" s="169" t="s">
        <v>3335</v>
      </c>
      <c r="D1536" s="336">
        <v>44547.0</v>
      </c>
      <c r="E1536" s="157" t="s">
        <v>600</v>
      </c>
      <c r="F1536" s="160">
        <v>53295.42</v>
      </c>
      <c r="G1536" s="160">
        <v>8527.27</v>
      </c>
      <c r="H1536" s="160">
        <f t="shared" ref="H1536:H1554" si="49">F1536+G1536</f>
        <v>61822.69</v>
      </c>
      <c r="I1536" s="172"/>
      <c r="J1536" s="169"/>
      <c r="K1536" s="172"/>
      <c r="L1536" s="172">
        <f>+'FACUS$'!$H1536-'FACUS$'!$I1536-'FACUS$'!$K1536</f>
        <v>61822.69</v>
      </c>
      <c r="M1536" s="162" t="s">
        <v>875</v>
      </c>
      <c r="N1536" s="337" t="s">
        <v>554</v>
      </c>
      <c r="O1536" s="338">
        <v>44610.0</v>
      </c>
      <c r="P1536" s="164">
        <f t="array" ref="P1536">XLOOKUP('FACUS$'!$B1536,'perfil de pagos'!$A$4:$A$46,'perfil de pagos'!$C$4:$C$46+'FACUS$'!$D1536)</f>
        <v>44557</v>
      </c>
      <c r="Q1536" s="165">
        <f t="shared" si="2"/>
        <v>0</v>
      </c>
      <c r="R1536" s="167"/>
      <c r="S1536" s="167"/>
      <c r="T1536" s="167"/>
      <c r="U1536" s="334" t="s">
        <v>7271</v>
      </c>
      <c r="V1536" s="168">
        <f t="shared" si="3"/>
        <v>61822.69</v>
      </c>
      <c r="W1536" s="168">
        <f t="shared" si="4"/>
        <v>0</v>
      </c>
      <c r="X1536" s="168">
        <f t="shared" si="5"/>
        <v>0</v>
      </c>
      <c r="Y1536" s="168">
        <f t="shared" si="6"/>
        <v>0</v>
      </c>
      <c r="Z1536" s="168">
        <f t="shared" si="7"/>
        <v>0</v>
      </c>
      <c r="AA1536" s="168">
        <f t="shared" si="8"/>
        <v>0</v>
      </c>
      <c r="AB1536" s="168">
        <f t="shared" si="9"/>
        <v>0</v>
      </c>
    </row>
    <row r="1537" ht="14.25" customHeight="1">
      <c r="A1537" s="157" t="s">
        <v>8648</v>
      </c>
      <c r="B1537" s="169" t="s">
        <v>37</v>
      </c>
      <c r="C1537" s="169" t="s">
        <v>3335</v>
      </c>
      <c r="D1537" s="336">
        <v>44547.0</v>
      </c>
      <c r="E1537" s="157" t="s">
        <v>600</v>
      </c>
      <c r="F1537" s="160">
        <v>90985.71</v>
      </c>
      <c r="G1537" s="160">
        <v>14557.71</v>
      </c>
      <c r="H1537" s="160">
        <f t="shared" si="49"/>
        <v>105543.42</v>
      </c>
      <c r="I1537" s="172"/>
      <c r="J1537" s="169"/>
      <c r="K1537" s="172"/>
      <c r="L1537" s="172">
        <f>+'FACUS$'!$H1537-'FACUS$'!$I1537-'FACUS$'!$K1537</f>
        <v>105543.42</v>
      </c>
      <c r="M1537" s="162" t="s">
        <v>116</v>
      </c>
      <c r="N1537" s="337" t="s">
        <v>554</v>
      </c>
      <c r="O1537" s="338">
        <v>44565.0</v>
      </c>
      <c r="P1537" s="164">
        <f t="array" ref="P1537">XLOOKUP('FACUS$'!$B1537,'perfil de pagos'!$A$4:$A$46,'perfil de pagos'!$C$4:$C$46+'FACUS$'!$D1537)</f>
        <v>44557</v>
      </c>
      <c r="Q1537" s="165">
        <f t="shared" si="2"/>
        <v>0</v>
      </c>
      <c r="R1537" s="167"/>
      <c r="S1537" s="167"/>
      <c r="T1537" s="167"/>
      <c r="U1537" s="334" t="s">
        <v>7271</v>
      </c>
      <c r="V1537" s="168">
        <f t="shared" si="3"/>
        <v>105543.42</v>
      </c>
      <c r="W1537" s="168">
        <f t="shared" si="4"/>
        <v>0</v>
      </c>
      <c r="X1537" s="168">
        <f t="shared" si="5"/>
        <v>0</v>
      </c>
      <c r="Y1537" s="168">
        <f t="shared" si="6"/>
        <v>0</v>
      </c>
      <c r="Z1537" s="168">
        <f t="shared" si="7"/>
        <v>0</v>
      </c>
      <c r="AA1537" s="168">
        <f t="shared" si="8"/>
        <v>0</v>
      </c>
      <c r="AB1537" s="168">
        <f t="shared" si="9"/>
        <v>0</v>
      </c>
    </row>
    <row r="1538" ht="14.25" customHeight="1">
      <c r="A1538" s="157" t="s">
        <v>8649</v>
      </c>
      <c r="B1538" s="169" t="s">
        <v>33</v>
      </c>
      <c r="C1538" s="169" t="s">
        <v>3335</v>
      </c>
      <c r="D1538" s="336">
        <v>44547.0</v>
      </c>
      <c r="E1538" s="157" t="s">
        <v>600</v>
      </c>
      <c r="F1538" s="160">
        <v>59427.74</v>
      </c>
      <c r="G1538" s="160">
        <v>9508.44</v>
      </c>
      <c r="H1538" s="160">
        <f t="shared" si="49"/>
        <v>68936.18</v>
      </c>
      <c r="I1538" s="172"/>
      <c r="J1538" s="169"/>
      <c r="K1538" s="172"/>
      <c r="L1538" s="172">
        <f>+'FACUS$'!$H1538-'FACUS$'!$I1538-'FACUS$'!$K1538</f>
        <v>68936.18</v>
      </c>
      <c r="M1538" s="162" t="s">
        <v>958</v>
      </c>
      <c r="N1538" s="337" t="s">
        <v>554</v>
      </c>
      <c r="O1538" s="338">
        <v>44561.0</v>
      </c>
      <c r="P1538" s="164">
        <f t="array" ref="P1538">XLOOKUP('FACUS$'!$B1538,'perfil de pagos'!$A$4:$A$46,'perfil de pagos'!$C$4:$C$46+'FACUS$'!$D1538)</f>
        <v>44557</v>
      </c>
      <c r="Q1538" s="165">
        <f t="shared" si="2"/>
        <v>0</v>
      </c>
      <c r="R1538" s="167"/>
      <c r="S1538" s="167"/>
      <c r="T1538" s="167"/>
      <c r="U1538" s="334" t="s">
        <v>7271</v>
      </c>
      <c r="V1538" s="168">
        <f t="shared" si="3"/>
        <v>68936.18</v>
      </c>
      <c r="W1538" s="168">
        <f t="shared" si="4"/>
        <v>0</v>
      </c>
      <c r="X1538" s="168">
        <f t="shared" si="5"/>
        <v>0</v>
      </c>
      <c r="Y1538" s="168">
        <f t="shared" si="6"/>
        <v>0</v>
      </c>
      <c r="Z1538" s="168">
        <f t="shared" si="7"/>
        <v>0</v>
      </c>
      <c r="AA1538" s="168">
        <f t="shared" si="8"/>
        <v>0</v>
      </c>
      <c r="AB1538" s="168">
        <f t="shared" si="9"/>
        <v>0</v>
      </c>
    </row>
    <row r="1539" ht="14.25" customHeight="1">
      <c r="A1539" s="157" t="s">
        <v>8650</v>
      </c>
      <c r="B1539" s="169" t="s">
        <v>26</v>
      </c>
      <c r="C1539" s="169" t="s">
        <v>3335</v>
      </c>
      <c r="D1539" s="336">
        <v>44547.0</v>
      </c>
      <c r="E1539" s="157" t="s">
        <v>600</v>
      </c>
      <c r="F1539" s="160">
        <v>5293.36</v>
      </c>
      <c r="G1539" s="160">
        <v>846.94</v>
      </c>
      <c r="H1539" s="160">
        <f t="shared" si="49"/>
        <v>6140.3</v>
      </c>
      <c r="I1539" s="172"/>
      <c r="J1539" s="169"/>
      <c r="K1539" s="172"/>
      <c r="L1539" s="172">
        <f>+'FACUS$'!$H1539-'FACUS$'!$I1539-'FACUS$'!$K1539</f>
        <v>6140.3</v>
      </c>
      <c r="M1539" s="162" t="s">
        <v>2386</v>
      </c>
      <c r="N1539" s="337" t="s">
        <v>554</v>
      </c>
      <c r="O1539" s="338">
        <v>44757.0</v>
      </c>
      <c r="P1539" s="164">
        <f t="array" ref="P1539">XLOOKUP('FACUS$'!$B1539,'perfil de pagos'!$A$4:$A$46,'perfil de pagos'!$C$4:$C$46+'FACUS$'!$D1539)</f>
        <v>44577</v>
      </c>
      <c r="Q1539" s="165">
        <f t="shared" si="2"/>
        <v>0</v>
      </c>
      <c r="R1539" s="167" t="s">
        <v>8651</v>
      </c>
      <c r="S1539" s="167">
        <v>1472.0</v>
      </c>
      <c r="T1539" s="167"/>
      <c r="U1539" s="334" t="s">
        <v>7271</v>
      </c>
      <c r="V1539" s="168">
        <f t="shared" si="3"/>
        <v>6140.3</v>
      </c>
      <c r="W1539" s="168">
        <f t="shared" si="4"/>
        <v>0</v>
      </c>
      <c r="X1539" s="168">
        <f t="shared" si="5"/>
        <v>0</v>
      </c>
      <c r="Y1539" s="168">
        <f t="shared" si="6"/>
        <v>0</v>
      </c>
      <c r="Z1539" s="168">
        <f t="shared" si="7"/>
        <v>0</v>
      </c>
      <c r="AA1539" s="168">
        <f t="shared" si="8"/>
        <v>0</v>
      </c>
      <c r="AB1539" s="168">
        <f t="shared" si="9"/>
        <v>0</v>
      </c>
    </row>
    <row r="1540" ht="14.25" customHeight="1">
      <c r="A1540" s="157" t="s">
        <v>8652</v>
      </c>
      <c r="B1540" s="169" t="s">
        <v>35</v>
      </c>
      <c r="C1540" s="169" t="s">
        <v>3335</v>
      </c>
      <c r="D1540" s="336">
        <v>44547.0</v>
      </c>
      <c r="E1540" s="157" t="s">
        <v>600</v>
      </c>
      <c r="F1540" s="160">
        <v>20180.11</v>
      </c>
      <c r="G1540" s="160">
        <v>3228.82</v>
      </c>
      <c r="H1540" s="160">
        <f t="shared" si="49"/>
        <v>23408.93</v>
      </c>
      <c r="I1540" s="172"/>
      <c r="J1540" s="169"/>
      <c r="K1540" s="172"/>
      <c r="L1540" s="172">
        <f>+'FACUS$'!$H1540-'FACUS$'!$I1540-'FACUS$'!$K1540</f>
        <v>23408.93</v>
      </c>
      <c r="M1540" s="162" t="s">
        <v>276</v>
      </c>
      <c r="N1540" s="337" t="s">
        <v>554</v>
      </c>
      <c r="O1540" s="338">
        <v>44575.0</v>
      </c>
      <c r="P1540" s="164">
        <f t="array" ref="P1540">XLOOKUP('FACUS$'!$B1540,'perfil de pagos'!$A$4:$A$46,'perfil de pagos'!$C$4:$C$46+'FACUS$'!$D1540)</f>
        <v>44557</v>
      </c>
      <c r="Q1540" s="165">
        <f t="shared" si="2"/>
        <v>0</v>
      </c>
      <c r="R1540" s="167"/>
      <c r="S1540" s="167">
        <v>1224.0</v>
      </c>
      <c r="T1540" s="167"/>
      <c r="U1540" s="334" t="s">
        <v>7271</v>
      </c>
      <c r="V1540" s="168">
        <f t="shared" si="3"/>
        <v>23408.93</v>
      </c>
      <c r="W1540" s="168">
        <f t="shared" si="4"/>
        <v>0</v>
      </c>
      <c r="X1540" s="168">
        <f t="shared" si="5"/>
        <v>0</v>
      </c>
      <c r="Y1540" s="168">
        <f t="shared" si="6"/>
        <v>0</v>
      </c>
      <c r="Z1540" s="168">
        <f t="shared" si="7"/>
        <v>0</v>
      </c>
      <c r="AA1540" s="168">
        <f t="shared" si="8"/>
        <v>0</v>
      </c>
      <c r="AB1540" s="168">
        <f t="shared" si="9"/>
        <v>0</v>
      </c>
    </row>
    <row r="1541" ht="14.25" customHeight="1">
      <c r="A1541" s="157" t="s">
        <v>8653</v>
      </c>
      <c r="B1541" s="169" t="s">
        <v>36</v>
      </c>
      <c r="C1541" s="169" t="s">
        <v>3335</v>
      </c>
      <c r="D1541" s="336">
        <v>44547.0</v>
      </c>
      <c r="E1541" s="157" t="s">
        <v>600</v>
      </c>
      <c r="F1541" s="160">
        <v>2201.5</v>
      </c>
      <c r="G1541" s="160">
        <v>352.24</v>
      </c>
      <c r="H1541" s="160">
        <f t="shared" si="49"/>
        <v>2553.74</v>
      </c>
      <c r="I1541" s="172"/>
      <c r="J1541" s="169"/>
      <c r="K1541" s="172"/>
      <c r="L1541" s="172">
        <f>+'FACUS$'!$H1541-'FACUS$'!$I1541-'FACUS$'!$K1541</f>
        <v>2553.74</v>
      </c>
      <c r="M1541" s="162" t="s">
        <v>278</v>
      </c>
      <c r="N1541" s="337" t="s">
        <v>554</v>
      </c>
      <c r="O1541" s="338">
        <v>44600.0</v>
      </c>
      <c r="P1541" s="164">
        <f t="array" ref="P1541">XLOOKUP('FACUS$'!$B1541,'perfil de pagos'!$A$4:$A$46,'perfil de pagos'!$C$4:$C$46+'FACUS$'!$D1541)</f>
        <v>44557</v>
      </c>
      <c r="Q1541" s="165">
        <f t="shared" si="2"/>
        <v>0</v>
      </c>
      <c r="R1541" s="167" t="s">
        <v>8654</v>
      </c>
      <c r="S1541" s="167"/>
      <c r="T1541" s="167"/>
      <c r="U1541" s="334" t="s">
        <v>7271</v>
      </c>
      <c r="V1541" s="168">
        <f t="shared" si="3"/>
        <v>2553.74</v>
      </c>
      <c r="W1541" s="168">
        <f t="shared" si="4"/>
        <v>0</v>
      </c>
      <c r="X1541" s="168">
        <f t="shared" si="5"/>
        <v>0</v>
      </c>
      <c r="Y1541" s="168">
        <f t="shared" si="6"/>
        <v>0</v>
      </c>
      <c r="Z1541" s="168">
        <f t="shared" si="7"/>
        <v>0</v>
      </c>
      <c r="AA1541" s="168">
        <f t="shared" si="8"/>
        <v>0</v>
      </c>
      <c r="AB1541" s="168">
        <f t="shared" si="9"/>
        <v>0</v>
      </c>
    </row>
    <row r="1542" ht="14.25" customHeight="1">
      <c r="A1542" s="157" t="s">
        <v>8655</v>
      </c>
      <c r="B1542" s="169" t="s">
        <v>38</v>
      </c>
      <c r="C1542" s="169" t="s">
        <v>3335</v>
      </c>
      <c r="D1542" s="336">
        <v>44547.0</v>
      </c>
      <c r="E1542" s="157" t="s">
        <v>600</v>
      </c>
      <c r="F1542" s="160">
        <v>11352.42</v>
      </c>
      <c r="G1542" s="160">
        <v>1816.39</v>
      </c>
      <c r="H1542" s="160">
        <f t="shared" si="49"/>
        <v>13168.81</v>
      </c>
      <c r="I1542" s="172"/>
      <c r="J1542" s="169"/>
      <c r="K1542" s="172"/>
      <c r="L1542" s="172">
        <f>+'FACUS$'!$H1542-'FACUS$'!$I1542-'FACUS$'!$K1542</f>
        <v>13168.81</v>
      </c>
      <c r="M1542" s="162" t="s">
        <v>145</v>
      </c>
      <c r="N1542" s="337" t="s">
        <v>554</v>
      </c>
      <c r="O1542" s="338">
        <v>44606.0</v>
      </c>
      <c r="P1542" s="164">
        <f t="array" ref="P1542">XLOOKUP('FACUS$'!$B1542,'perfil de pagos'!$A$4:$A$46,'perfil de pagos'!$C$4:$C$46+'FACUS$'!$D1542)</f>
        <v>44577</v>
      </c>
      <c r="Q1542" s="165">
        <f t="shared" si="2"/>
        <v>0</v>
      </c>
      <c r="R1542" s="167"/>
      <c r="S1542" s="167">
        <v>1288.0</v>
      </c>
      <c r="T1542" s="167"/>
      <c r="U1542" s="334" t="s">
        <v>7271</v>
      </c>
      <c r="V1542" s="168">
        <f t="shared" si="3"/>
        <v>13168.81</v>
      </c>
      <c r="W1542" s="168">
        <f t="shared" si="4"/>
        <v>0</v>
      </c>
      <c r="X1542" s="168">
        <f t="shared" si="5"/>
        <v>0</v>
      </c>
      <c r="Y1542" s="168">
        <f t="shared" si="6"/>
        <v>0</v>
      </c>
      <c r="Z1542" s="168">
        <f t="shared" si="7"/>
        <v>0</v>
      </c>
      <c r="AA1542" s="168">
        <f t="shared" si="8"/>
        <v>0</v>
      </c>
      <c r="AB1542" s="168">
        <f t="shared" si="9"/>
        <v>0</v>
      </c>
    </row>
    <row r="1543" ht="14.25" customHeight="1">
      <c r="A1543" s="157" t="s">
        <v>8656</v>
      </c>
      <c r="B1543" s="169" t="s">
        <v>43</v>
      </c>
      <c r="C1543" s="169" t="s">
        <v>3335</v>
      </c>
      <c r="D1543" s="336">
        <v>44547.0</v>
      </c>
      <c r="E1543" s="157" t="s">
        <v>600</v>
      </c>
      <c r="F1543" s="160">
        <v>85268.6</v>
      </c>
      <c r="G1543" s="160">
        <v>13642.98</v>
      </c>
      <c r="H1543" s="160">
        <f t="shared" si="49"/>
        <v>98911.58</v>
      </c>
      <c r="I1543" s="172"/>
      <c r="J1543" s="169"/>
      <c r="K1543" s="172"/>
      <c r="L1543" s="172">
        <f>+'FACUS$'!$H1543-'FACUS$'!$I1543-'FACUS$'!$K1543</f>
        <v>98911.58</v>
      </c>
      <c r="M1543" s="162" t="s">
        <v>43</v>
      </c>
      <c r="N1543" s="337" t="s">
        <v>554</v>
      </c>
      <c r="O1543" s="338">
        <v>44586.0</v>
      </c>
      <c r="P1543" s="164">
        <f t="array" ref="P1543">XLOOKUP('FACUS$'!$B1543,'perfil de pagos'!$A$4:$A$46,'perfil de pagos'!$C$4:$C$46+'FACUS$'!$D1543)</f>
        <v>44572</v>
      </c>
      <c r="Q1543" s="165">
        <f t="shared" si="2"/>
        <v>0</v>
      </c>
      <c r="R1543" s="167"/>
      <c r="S1543" s="167">
        <v>1274.0</v>
      </c>
      <c r="T1543" s="167"/>
      <c r="U1543" s="334" t="s">
        <v>7271</v>
      </c>
      <c r="V1543" s="168">
        <f t="shared" si="3"/>
        <v>98911.58</v>
      </c>
      <c r="W1543" s="168">
        <f t="shared" si="4"/>
        <v>0</v>
      </c>
      <c r="X1543" s="168">
        <f t="shared" si="5"/>
        <v>0</v>
      </c>
      <c r="Y1543" s="168">
        <f t="shared" si="6"/>
        <v>0</v>
      </c>
      <c r="Z1543" s="168">
        <f t="shared" si="7"/>
        <v>0</v>
      </c>
      <c r="AA1543" s="168">
        <f t="shared" si="8"/>
        <v>0</v>
      </c>
      <c r="AB1543" s="168">
        <f t="shared" si="9"/>
        <v>0</v>
      </c>
    </row>
    <row r="1544" ht="14.25" customHeight="1">
      <c r="A1544" s="157" t="s">
        <v>8657</v>
      </c>
      <c r="B1544" s="169" t="s">
        <v>31</v>
      </c>
      <c r="C1544" s="169" t="s">
        <v>8658</v>
      </c>
      <c r="D1544" s="336">
        <v>44547.0</v>
      </c>
      <c r="E1544" s="157" t="s">
        <v>600</v>
      </c>
      <c r="F1544" s="160">
        <v>6744.01</v>
      </c>
      <c r="G1544" s="160">
        <v>1079.04</v>
      </c>
      <c r="H1544" s="160">
        <f t="shared" si="49"/>
        <v>7823.05</v>
      </c>
      <c r="I1544" s="172"/>
      <c r="J1544" s="169"/>
      <c r="K1544" s="172"/>
      <c r="L1544" s="172">
        <f>+'FACUS$'!$H1544-'FACUS$'!$I1544-'FACUS$'!$K1544</f>
        <v>7823.05</v>
      </c>
      <c r="M1544" s="162" t="s">
        <v>3183</v>
      </c>
      <c r="N1544" s="337" t="s">
        <v>554</v>
      </c>
      <c r="O1544" s="338">
        <v>44553.0</v>
      </c>
      <c r="P1544" s="164">
        <f t="array" ref="P1544">XLOOKUP('FACUS$'!$B1544,'perfil de pagos'!$A$4:$A$46,'perfil de pagos'!$C$4:$C$46+'FACUS$'!$D1544)</f>
        <v>44550</v>
      </c>
      <c r="Q1544" s="165">
        <f t="shared" si="2"/>
        <v>0</v>
      </c>
      <c r="R1544" s="167"/>
      <c r="S1544" s="167"/>
      <c r="T1544" s="167"/>
      <c r="U1544" s="334" t="s">
        <v>7271</v>
      </c>
      <c r="V1544" s="168">
        <f t="shared" si="3"/>
        <v>7823.05</v>
      </c>
      <c r="W1544" s="168">
        <f t="shared" si="4"/>
        <v>0</v>
      </c>
      <c r="X1544" s="168">
        <f t="shared" si="5"/>
        <v>0</v>
      </c>
      <c r="Y1544" s="168">
        <f t="shared" si="6"/>
        <v>0</v>
      </c>
      <c r="Z1544" s="168">
        <f t="shared" si="7"/>
        <v>0</v>
      </c>
      <c r="AA1544" s="168">
        <f t="shared" si="8"/>
        <v>0</v>
      </c>
      <c r="AB1544" s="168">
        <f t="shared" si="9"/>
        <v>0</v>
      </c>
    </row>
    <row r="1545" ht="14.25" customHeight="1">
      <c r="A1545" s="157" t="s">
        <v>8659</v>
      </c>
      <c r="B1545" s="169" t="s">
        <v>20</v>
      </c>
      <c r="C1545" s="169" t="s">
        <v>3335</v>
      </c>
      <c r="D1545" s="336">
        <v>44547.0</v>
      </c>
      <c r="E1545" s="157" t="s">
        <v>600</v>
      </c>
      <c r="F1545" s="160">
        <v>13306.62</v>
      </c>
      <c r="G1545" s="160">
        <v>2129.06</v>
      </c>
      <c r="H1545" s="160">
        <f t="shared" si="49"/>
        <v>15435.68</v>
      </c>
      <c r="I1545" s="172"/>
      <c r="J1545" s="169"/>
      <c r="K1545" s="172"/>
      <c r="L1545" s="172">
        <f>+'FACUS$'!$H1545-'FACUS$'!$I1545-'FACUS$'!$K1545</f>
        <v>15435.68</v>
      </c>
      <c r="M1545" s="162" t="s">
        <v>732</v>
      </c>
      <c r="N1545" s="337" t="s">
        <v>554</v>
      </c>
      <c r="O1545" s="338">
        <v>44558.0</v>
      </c>
      <c r="P1545" s="164">
        <f t="array" ref="P1545">XLOOKUP('FACUS$'!$B1545,'perfil de pagos'!$A$4:$A$46,'perfil de pagos'!$C$4:$C$46+'FACUS$'!$D1545)</f>
        <v>44557</v>
      </c>
      <c r="Q1545" s="165">
        <f t="shared" si="2"/>
        <v>0</v>
      </c>
      <c r="R1545" s="167"/>
      <c r="S1545" s="167"/>
      <c r="T1545" s="167"/>
      <c r="U1545" s="334" t="s">
        <v>7271</v>
      </c>
      <c r="V1545" s="168">
        <f t="shared" si="3"/>
        <v>15435.68</v>
      </c>
      <c r="W1545" s="168">
        <f t="shared" si="4"/>
        <v>0</v>
      </c>
      <c r="X1545" s="168">
        <f t="shared" si="5"/>
        <v>0</v>
      </c>
      <c r="Y1545" s="168">
        <f t="shared" si="6"/>
        <v>0</v>
      </c>
      <c r="Z1545" s="168">
        <f t="shared" si="7"/>
        <v>0</v>
      </c>
      <c r="AA1545" s="168">
        <f t="shared" si="8"/>
        <v>0</v>
      </c>
      <c r="AB1545" s="168">
        <f t="shared" si="9"/>
        <v>0</v>
      </c>
      <c r="AC1545" s="81"/>
      <c r="AD1545" s="81"/>
      <c r="AE1545" s="81"/>
    </row>
    <row r="1546" ht="14.25" customHeight="1">
      <c r="A1546" s="210" t="s">
        <v>8660</v>
      </c>
      <c r="B1546" s="189" t="s">
        <v>39</v>
      </c>
      <c r="C1546" s="189" t="s">
        <v>8661</v>
      </c>
      <c r="D1546" s="375">
        <v>44561.0</v>
      </c>
      <c r="E1546" s="210" t="s">
        <v>600</v>
      </c>
      <c r="F1546" s="211">
        <v>3656.14</v>
      </c>
      <c r="G1546" s="211">
        <v>584.98</v>
      </c>
      <c r="H1546" s="211">
        <f t="shared" si="49"/>
        <v>4241.12</v>
      </c>
      <c r="I1546" s="188"/>
      <c r="J1546" s="189"/>
      <c r="K1546" s="188"/>
      <c r="L1546" s="188">
        <f>+'FACUS$'!$H1546-'FACUS$'!$I1546-'FACUS$'!$K1546</f>
        <v>4241.12</v>
      </c>
      <c r="M1546" s="227" t="s">
        <v>570</v>
      </c>
      <c r="N1546" s="376" t="s">
        <v>127</v>
      </c>
      <c r="O1546" s="377">
        <v>44564.0</v>
      </c>
      <c r="P1546" s="245">
        <f t="array" ref="P1546">XLOOKUP('FACUS$'!$B1546,'perfil de pagos'!$A$4:$A$46,'perfil de pagos'!$C$4:$C$46+'FACUS$'!$D1546)</f>
        <v>44571</v>
      </c>
      <c r="Q1546" s="246" t="str">
        <f t="shared" si="2"/>
        <v>N/A</v>
      </c>
      <c r="R1546" s="223" t="s">
        <v>8662</v>
      </c>
      <c r="S1546" s="223"/>
      <c r="T1546" s="223"/>
      <c r="U1546" s="378" t="s">
        <v>7271</v>
      </c>
      <c r="V1546" s="168">
        <f t="shared" si="3"/>
        <v>0</v>
      </c>
      <c r="W1546" s="168">
        <f t="shared" si="4"/>
        <v>0</v>
      </c>
      <c r="X1546" s="168">
        <f t="shared" si="5"/>
        <v>0</v>
      </c>
      <c r="Y1546" s="168">
        <f t="shared" si="6"/>
        <v>0</v>
      </c>
      <c r="Z1546" s="168">
        <f t="shared" si="7"/>
        <v>0</v>
      </c>
      <c r="AA1546" s="168">
        <f t="shared" si="8"/>
        <v>0</v>
      </c>
      <c r="AB1546" s="168">
        <f t="shared" si="9"/>
        <v>4241.12</v>
      </c>
    </row>
    <row r="1547" ht="14.25" customHeight="1">
      <c r="A1547" s="157" t="s">
        <v>8663</v>
      </c>
      <c r="B1547" s="169" t="s">
        <v>39</v>
      </c>
      <c r="C1547" s="169" t="s">
        <v>8664</v>
      </c>
      <c r="D1547" s="336">
        <v>44561.0</v>
      </c>
      <c r="E1547" s="157" t="s">
        <v>600</v>
      </c>
      <c r="F1547" s="160">
        <v>35070.21</v>
      </c>
      <c r="G1547" s="160">
        <v>5611.23</v>
      </c>
      <c r="H1547" s="160">
        <f t="shared" si="49"/>
        <v>40681.44</v>
      </c>
      <c r="I1547" s="172"/>
      <c r="J1547" s="169"/>
      <c r="K1547" s="172"/>
      <c r="L1547" s="172">
        <f>+'FACUS$'!$H1547-'FACUS$'!$I1547-'FACUS$'!$K1547</f>
        <v>40681.44</v>
      </c>
      <c r="M1547" s="162" t="s">
        <v>570</v>
      </c>
      <c r="N1547" s="337" t="s">
        <v>554</v>
      </c>
      <c r="O1547" s="338">
        <v>44568.0</v>
      </c>
      <c r="P1547" s="164">
        <f t="array" ref="P1547">XLOOKUP('FACUS$'!$B1547,'perfil de pagos'!$A$4:$A$46,'perfil de pagos'!$C$4:$C$46+'FACUS$'!$D1547)</f>
        <v>44571</v>
      </c>
      <c r="Q1547" s="165">
        <f t="shared" si="2"/>
        <v>0</v>
      </c>
      <c r="R1547" s="220" t="s">
        <v>8665</v>
      </c>
      <c r="S1547" s="167"/>
      <c r="T1547" s="167"/>
      <c r="U1547" s="334" t="s">
        <v>7271</v>
      </c>
      <c r="V1547" s="168">
        <f t="shared" si="3"/>
        <v>40681.44</v>
      </c>
      <c r="W1547" s="168">
        <f t="shared" si="4"/>
        <v>0</v>
      </c>
      <c r="X1547" s="168">
        <f t="shared" si="5"/>
        <v>0</v>
      </c>
      <c r="Y1547" s="168">
        <f t="shared" si="6"/>
        <v>0</v>
      </c>
      <c r="Z1547" s="168">
        <f t="shared" si="7"/>
        <v>0</v>
      </c>
      <c r="AA1547" s="168">
        <f t="shared" si="8"/>
        <v>0</v>
      </c>
      <c r="AB1547" s="168">
        <f t="shared" si="9"/>
        <v>0</v>
      </c>
    </row>
    <row r="1548" ht="14.25" customHeight="1">
      <c r="A1548" s="157" t="s">
        <v>8666</v>
      </c>
      <c r="B1548" s="169" t="s">
        <v>39</v>
      </c>
      <c r="C1548" s="169" t="s">
        <v>8667</v>
      </c>
      <c r="D1548" s="336">
        <v>44564.0</v>
      </c>
      <c r="E1548" s="157" t="s">
        <v>600</v>
      </c>
      <c r="F1548" s="160">
        <v>36561.39</v>
      </c>
      <c r="G1548" s="160">
        <v>5849.82</v>
      </c>
      <c r="H1548" s="160">
        <f t="shared" si="49"/>
        <v>42411.21</v>
      </c>
      <c r="I1548" s="172"/>
      <c r="J1548" s="169"/>
      <c r="K1548" s="172"/>
      <c r="L1548" s="172">
        <f>+'FACUS$'!$H1548-'FACUS$'!$I1548-'FACUS$'!$K1548</f>
        <v>42411.21</v>
      </c>
      <c r="M1548" s="162" t="s">
        <v>570</v>
      </c>
      <c r="N1548" s="337" t="s">
        <v>554</v>
      </c>
      <c r="O1548" s="338">
        <v>44586.0</v>
      </c>
      <c r="P1548" s="164">
        <f t="array" ref="P1548">XLOOKUP('FACUS$'!$B1548,'perfil de pagos'!$A$4:$A$46,'perfil de pagos'!$C$4:$C$46+'FACUS$'!$D1548)</f>
        <v>44574</v>
      </c>
      <c r="Q1548" s="165">
        <f t="shared" si="2"/>
        <v>0</v>
      </c>
      <c r="R1548" s="167"/>
      <c r="S1548" s="167"/>
      <c r="T1548" s="167"/>
      <c r="U1548" s="334" t="s">
        <v>7271</v>
      </c>
      <c r="V1548" s="168">
        <f t="shared" si="3"/>
        <v>42411.21</v>
      </c>
      <c r="W1548" s="168">
        <f t="shared" si="4"/>
        <v>0</v>
      </c>
      <c r="X1548" s="168">
        <f t="shared" si="5"/>
        <v>0</v>
      </c>
      <c r="Y1548" s="168">
        <f t="shared" si="6"/>
        <v>0</v>
      </c>
      <c r="Z1548" s="168">
        <f t="shared" si="7"/>
        <v>0</v>
      </c>
      <c r="AA1548" s="168">
        <f t="shared" si="8"/>
        <v>0</v>
      </c>
      <c r="AB1548" s="168">
        <f t="shared" si="9"/>
        <v>0</v>
      </c>
      <c r="AC1548" s="81"/>
      <c r="AD1548" s="81"/>
      <c r="AE1548" s="81"/>
    </row>
    <row r="1549" ht="14.25" customHeight="1">
      <c r="A1549" s="210" t="s">
        <v>8668</v>
      </c>
      <c r="B1549" s="189" t="s">
        <v>39</v>
      </c>
      <c r="C1549" s="379" t="s">
        <v>3378</v>
      </c>
      <c r="D1549" s="375">
        <v>44564.0</v>
      </c>
      <c r="E1549" s="210" t="s">
        <v>600</v>
      </c>
      <c r="F1549" s="211">
        <v>2878.56</v>
      </c>
      <c r="G1549" s="211">
        <v>460.57</v>
      </c>
      <c r="H1549" s="211">
        <f t="shared" si="49"/>
        <v>3339.13</v>
      </c>
      <c r="I1549" s="188"/>
      <c r="J1549" s="189"/>
      <c r="K1549" s="188"/>
      <c r="L1549" s="188">
        <f>+'FACUS$'!$H1549-'FACUS$'!$I1549-'FACUS$'!$K1549</f>
        <v>3339.13</v>
      </c>
      <c r="M1549" s="227" t="s">
        <v>570</v>
      </c>
      <c r="N1549" s="376" t="s">
        <v>127</v>
      </c>
      <c r="O1549" s="377"/>
      <c r="P1549" s="245">
        <f t="array" ref="P1549">XLOOKUP('FACUS$'!$B1549,'perfil de pagos'!$A$4:$A$46,'perfil de pagos'!$C$4:$C$46+'FACUS$'!$D1549)</f>
        <v>44574</v>
      </c>
      <c r="Q1549" s="246" t="str">
        <f t="shared" si="2"/>
        <v>N/A</v>
      </c>
      <c r="R1549" s="223"/>
      <c r="S1549" s="223"/>
      <c r="T1549" s="223"/>
      <c r="U1549" s="378" t="s">
        <v>7271</v>
      </c>
      <c r="V1549" s="168">
        <f t="shared" si="3"/>
        <v>0</v>
      </c>
      <c r="W1549" s="168">
        <f t="shared" si="4"/>
        <v>0</v>
      </c>
      <c r="X1549" s="168">
        <f t="shared" si="5"/>
        <v>0</v>
      </c>
      <c r="Y1549" s="168">
        <f t="shared" si="6"/>
        <v>0</v>
      </c>
      <c r="Z1549" s="168">
        <f t="shared" si="7"/>
        <v>0</v>
      </c>
      <c r="AA1549" s="168">
        <f t="shared" si="8"/>
        <v>0</v>
      </c>
      <c r="AB1549" s="168">
        <f t="shared" si="9"/>
        <v>3339.13</v>
      </c>
      <c r="AC1549" s="81"/>
      <c r="AD1549" s="81"/>
      <c r="AE1549" s="81"/>
    </row>
    <row r="1550" ht="14.25" customHeight="1">
      <c r="A1550" s="210" t="s">
        <v>8669</v>
      </c>
      <c r="B1550" s="189" t="s">
        <v>17</v>
      </c>
      <c r="C1550" s="189" t="s">
        <v>8670</v>
      </c>
      <c r="D1550" s="375">
        <v>44564.0</v>
      </c>
      <c r="E1550" s="210" t="s">
        <v>600</v>
      </c>
      <c r="F1550" s="211">
        <v>874.53</v>
      </c>
      <c r="G1550" s="211">
        <v>139.92</v>
      </c>
      <c r="H1550" s="211">
        <f t="shared" si="49"/>
        <v>1014.45</v>
      </c>
      <c r="I1550" s="188"/>
      <c r="J1550" s="189"/>
      <c r="K1550" s="188"/>
      <c r="L1550" s="188">
        <f>+'FACUS$'!$H1550-'FACUS$'!$I1550-'FACUS$'!$K1550</f>
        <v>1014.45</v>
      </c>
      <c r="M1550" s="227" t="s">
        <v>17</v>
      </c>
      <c r="N1550" s="376" t="s">
        <v>127</v>
      </c>
      <c r="O1550" s="377"/>
      <c r="P1550" s="245">
        <f t="array" ref="P1550">XLOOKUP('FACUS$'!$B1550,'perfil de pagos'!$A$4:$A$46,'perfil de pagos'!$C$4:$C$46+'FACUS$'!$D1550)</f>
        <v>44574</v>
      </c>
      <c r="Q1550" s="246" t="str">
        <f t="shared" si="2"/>
        <v>N/A</v>
      </c>
      <c r="R1550" s="223"/>
      <c r="S1550" s="223"/>
      <c r="T1550" s="223"/>
      <c r="U1550" s="378" t="s">
        <v>7271</v>
      </c>
      <c r="V1550" s="168">
        <f t="shared" si="3"/>
        <v>0</v>
      </c>
      <c r="W1550" s="168">
        <f t="shared" si="4"/>
        <v>0</v>
      </c>
      <c r="X1550" s="168">
        <f t="shared" si="5"/>
        <v>0</v>
      </c>
      <c r="Y1550" s="168">
        <f t="shared" si="6"/>
        <v>0</v>
      </c>
      <c r="Z1550" s="168">
        <f t="shared" si="7"/>
        <v>0</v>
      </c>
      <c r="AA1550" s="168">
        <f t="shared" si="8"/>
        <v>0</v>
      </c>
      <c r="AB1550" s="168">
        <f t="shared" si="9"/>
        <v>1014.45</v>
      </c>
    </row>
    <row r="1551" ht="14.25" customHeight="1">
      <c r="A1551" s="157" t="s">
        <v>8671</v>
      </c>
      <c r="B1551" s="169" t="s">
        <v>17</v>
      </c>
      <c r="C1551" s="169" t="s">
        <v>3366</v>
      </c>
      <c r="D1551" s="336">
        <v>44567.0</v>
      </c>
      <c r="E1551" s="157" t="s">
        <v>600</v>
      </c>
      <c r="F1551" s="160">
        <v>22961.52</v>
      </c>
      <c r="G1551" s="160">
        <v>3673.84</v>
      </c>
      <c r="H1551" s="160">
        <f t="shared" si="49"/>
        <v>26635.36</v>
      </c>
      <c r="I1551" s="172"/>
      <c r="J1551" s="169"/>
      <c r="K1551" s="172"/>
      <c r="L1551" s="172">
        <f>+'FACUS$'!$H1551-'FACUS$'!$I1551-'FACUS$'!$K1551</f>
        <v>26635.36</v>
      </c>
      <c r="M1551" s="162" t="s">
        <v>17</v>
      </c>
      <c r="N1551" s="337" t="s">
        <v>554</v>
      </c>
      <c r="O1551" s="338">
        <v>44578.0</v>
      </c>
      <c r="P1551" s="164">
        <f t="array" ref="P1551">XLOOKUP('FACUS$'!$B1551,'perfil de pagos'!$A$4:$A$46,'perfil de pagos'!$C$4:$C$46+'FACUS$'!$D1551)</f>
        <v>44577</v>
      </c>
      <c r="Q1551" s="165">
        <f t="shared" si="2"/>
        <v>0</v>
      </c>
      <c r="R1551" s="167"/>
      <c r="S1551" s="167">
        <v>1296.0</v>
      </c>
      <c r="T1551" s="167"/>
      <c r="U1551" s="334" t="s">
        <v>7271</v>
      </c>
      <c r="V1551" s="168">
        <f t="shared" si="3"/>
        <v>26635.36</v>
      </c>
      <c r="W1551" s="168">
        <f t="shared" si="4"/>
        <v>0</v>
      </c>
      <c r="X1551" s="168">
        <f t="shared" si="5"/>
        <v>0</v>
      </c>
      <c r="Y1551" s="168">
        <f t="shared" si="6"/>
        <v>0</v>
      </c>
      <c r="Z1551" s="168">
        <f t="shared" si="7"/>
        <v>0</v>
      </c>
      <c r="AA1551" s="168">
        <f t="shared" si="8"/>
        <v>0</v>
      </c>
      <c r="AB1551" s="168">
        <f t="shared" si="9"/>
        <v>0</v>
      </c>
    </row>
    <row r="1552" ht="14.25" customHeight="1">
      <c r="A1552" s="157" t="s">
        <v>8672</v>
      </c>
      <c r="B1552" s="169" t="s">
        <v>17</v>
      </c>
      <c r="C1552" s="169" t="s">
        <v>3368</v>
      </c>
      <c r="D1552" s="336">
        <v>44567.0</v>
      </c>
      <c r="E1552" s="157" t="s">
        <v>600</v>
      </c>
      <c r="F1552" s="160">
        <v>33425.22</v>
      </c>
      <c r="G1552" s="160">
        <v>5348.04</v>
      </c>
      <c r="H1552" s="160">
        <f t="shared" si="49"/>
        <v>38773.26</v>
      </c>
      <c r="I1552" s="172"/>
      <c r="J1552" s="169"/>
      <c r="K1552" s="172"/>
      <c r="L1552" s="172">
        <f>+'FACUS$'!$H1552-'FACUS$'!$I1552-'FACUS$'!$K1552</f>
        <v>38773.26</v>
      </c>
      <c r="M1552" s="162" t="s">
        <v>17</v>
      </c>
      <c r="N1552" s="337" t="s">
        <v>554</v>
      </c>
      <c r="O1552" s="338">
        <v>44578.0</v>
      </c>
      <c r="P1552" s="164">
        <f t="array" ref="P1552">XLOOKUP('FACUS$'!$B1552,'perfil de pagos'!$A$4:$A$46,'perfil de pagos'!$C$4:$C$46+'FACUS$'!$D1552)</f>
        <v>44577</v>
      </c>
      <c r="Q1552" s="165">
        <f t="shared" si="2"/>
        <v>0</v>
      </c>
      <c r="R1552" s="167"/>
      <c r="S1552" s="167">
        <v>1295.0</v>
      </c>
      <c r="T1552" s="167"/>
      <c r="U1552" s="334" t="s">
        <v>7271</v>
      </c>
      <c r="V1552" s="168">
        <f t="shared" si="3"/>
        <v>38773.26</v>
      </c>
      <c r="W1552" s="168">
        <f t="shared" si="4"/>
        <v>0</v>
      </c>
      <c r="X1552" s="168">
        <f t="shared" si="5"/>
        <v>0</v>
      </c>
      <c r="Y1552" s="168">
        <f t="shared" si="6"/>
        <v>0</v>
      </c>
      <c r="Z1552" s="168">
        <f t="shared" si="7"/>
        <v>0</v>
      </c>
      <c r="AA1552" s="168">
        <f t="shared" si="8"/>
        <v>0</v>
      </c>
      <c r="AB1552" s="168">
        <f t="shared" si="9"/>
        <v>0</v>
      </c>
    </row>
    <row r="1553" ht="14.25" customHeight="1">
      <c r="A1553" s="157" t="s">
        <v>8673</v>
      </c>
      <c r="B1553" s="169" t="s">
        <v>18</v>
      </c>
      <c r="C1553" s="169" t="s">
        <v>3368</v>
      </c>
      <c r="D1553" s="336">
        <v>44567.0</v>
      </c>
      <c r="E1553" s="157" t="s">
        <v>600</v>
      </c>
      <c r="F1553" s="160">
        <v>10781.52</v>
      </c>
      <c r="G1553" s="160">
        <v>1725.04</v>
      </c>
      <c r="H1553" s="160">
        <f t="shared" si="49"/>
        <v>12506.56</v>
      </c>
      <c r="I1553" s="172"/>
      <c r="J1553" s="169"/>
      <c r="K1553" s="172"/>
      <c r="L1553" s="172">
        <f>+'FACUS$'!$H1553-'FACUS$'!$I1553-'FACUS$'!$K1553</f>
        <v>12506.56</v>
      </c>
      <c r="M1553" s="162" t="s">
        <v>586</v>
      </c>
      <c r="N1553" s="337" t="s">
        <v>554</v>
      </c>
      <c r="O1553" s="338">
        <v>44617.0</v>
      </c>
      <c r="P1553" s="164">
        <f t="array" ref="P1553">XLOOKUP('FACUS$'!$B1553,'perfil de pagos'!$A$4:$A$46,'perfil de pagos'!$C$4:$C$46+'FACUS$'!$D1553)</f>
        <v>44577</v>
      </c>
      <c r="Q1553" s="165">
        <f t="shared" si="2"/>
        <v>0</v>
      </c>
      <c r="R1553" s="167"/>
      <c r="S1553" s="167">
        <v>1302.0</v>
      </c>
      <c r="T1553" s="167"/>
      <c r="U1553" s="334" t="s">
        <v>7271</v>
      </c>
      <c r="V1553" s="168">
        <f t="shared" si="3"/>
        <v>12506.56</v>
      </c>
      <c r="W1553" s="168">
        <f t="shared" si="4"/>
        <v>0</v>
      </c>
      <c r="X1553" s="168">
        <f t="shared" si="5"/>
        <v>0</v>
      </c>
      <c r="Y1553" s="168">
        <f t="shared" si="6"/>
        <v>0</v>
      </c>
      <c r="Z1553" s="168">
        <f t="shared" si="7"/>
        <v>0</v>
      </c>
      <c r="AA1553" s="168">
        <f t="shared" si="8"/>
        <v>0</v>
      </c>
      <c r="AB1553" s="168">
        <f t="shared" si="9"/>
        <v>0</v>
      </c>
    </row>
    <row r="1554" ht="14.25" customHeight="1">
      <c r="A1554" s="157" t="s">
        <v>8674</v>
      </c>
      <c r="B1554" s="169" t="s">
        <v>20</v>
      </c>
      <c r="C1554" s="169" t="s">
        <v>3368</v>
      </c>
      <c r="D1554" s="336">
        <v>44567.0</v>
      </c>
      <c r="E1554" s="157" t="s">
        <v>600</v>
      </c>
      <c r="F1554" s="160">
        <v>16138.74</v>
      </c>
      <c r="G1554" s="160">
        <v>2582.2</v>
      </c>
      <c r="H1554" s="160">
        <f t="shared" si="49"/>
        <v>18720.94</v>
      </c>
      <c r="I1554" s="172"/>
      <c r="J1554" s="169"/>
      <c r="K1554" s="172"/>
      <c r="L1554" s="172">
        <f>+'FACUS$'!$H1554-'FACUS$'!$I1554-'FACUS$'!$K1554</f>
        <v>18720.94</v>
      </c>
      <c r="M1554" s="162" t="s">
        <v>732</v>
      </c>
      <c r="N1554" s="337" t="s">
        <v>554</v>
      </c>
      <c r="O1554" s="338">
        <v>44617.0</v>
      </c>
      <c r="P1554" s="164">
        <f t="array" ref="P1554">XLOOKUP('FACUS$'!$B1554,'perfil de pagos'!$A$4:$A$46,'perfil de pagos'!$C$4:$C$46+'FACUS$'!$D1554)</f>
        <v>44577</v>
      </c>
      <c r="Q1554" s="165">
        <f t="shared" si="2"/>
        <v>0</v>
      </c>
      <c r="R1554" s="167"/>
      <c r="S1554" s="167">
        <v>1302.0</v>
      </c>
      <c r="T1554" s="167"/>
      <c r="U1554" s="334" t="s">
        <v>7271</v>
      </c>
      <c r="V1554" s="168">
        <f t="shared" si="3"/>
        <v>18720.94</v>
      </c>
      <c r="W1554" s="168">
        <f t="shared" si="4"/>
        <v>0</v>
      </c>
      <c r="X1554" s="168">
        <f t="shared" si="5"/>
        <v>0</v>
      </c>
      <c r="Y1554" s="168">
        <f t="shared" si="6"/>
        <v>0</v>
      </c>
      <c r="Z1554" s="168">
        <f t="shared" si="7"/>
        <v>0</v>
      </c>
      <c r="AA1554" s="168">
        <f t="shared" si="8"/>
        <v>0</v>
      </c>
      <c r="AB1554" s="168">
        <f t="shared" si="9"/>
        <v>0</v>
      </c>
    </row>
    <row r="1555" ht="14.25" customHeight="1">
      <c r="A1555" s="157" t="s">
        <v>8675</v>
      </c>
      <c r="B1555" s="169" t="s">
        <v>26</v>
      </c>
      <c r="C1555" s="169" t="s">
        <v>3368</v>
      </c>
      <c r="D1555" s="336">
        <v>44567.0</v>
      </c>
      <c r="E1555" s="157" t="s">
        <v>600</v>
      </c>
      <c r="F1555" s="160">
        <v>3580.98</v>
      </c>
      <c r="G1555" s="160">
        <v>572.96</v>
      </c>
      <c r="H1555" s="160">
        <f>F1555+G1555-3133.15</f>
        <v>1020.79</v>
      </c>
      <c r="I1555" s="172"/>
      <c r="J1555" s="169"/>
      <c r="K1555" s="172"/>
      <c r="L1555" s="172">
        <f>+'FACUS$'!$H1555-'FACUS$'!$I1555-'FACUS$'!$K1555</f>
        <v>1020.79</v>
      </c>
      <c r="M1555" s="162" t="s">
        <v>2386</v>
      </c>
      <c r="N1555" s="337" t="s">
        <v>554</v>
      </c>
      <c r="O1555" s="338">
        <v>44770.0</v>
      </c>
      <c r="P1555" s="164">
        <f t="array" ref="P1555">XLOOKUP('FACUS$'!$B1555,'perfil de pagos'!$A$4:$A$46,'perfil de pagos'!$C$4:$C$46+'FACUS$'!$D1555)</f>
        <v>44597</v>
      </c>
      <c r="Q1555" s="165">
        <f t="shared" si="2"/>
        <v>0</v>
      </c>
      <c r="R1555" s="220" t="s">
        <v>8676</v>
      </c>
      <c r="S1555" s="167">
        <v>1472.0</v>
      </c>
      <c r="T1555" s="167"/>
      <c r="U1555" s="334" t="s">
        <v>7271</v>
      </c>
      <c r="V1555" s="168">
        <f t="shared" si="3"/>
        <v>1020.79</v>
      </c>
      <c r="W1555" s="168">
        <f t="shared" si="4"/>
        <v>0</v>
      </c>
      <c r="X1555" s="168">
        <f t="shared" si="5"/>
        <v>0</v>
      </c>
      <c r="Y1555" s="168">
        <f t="shared" si="6"/>
        <v>0</v>
      </c>
      <c r="Z1555" s="168">
        <f t="shared" si="7"/>
        <v>0</v>
      </c>
      <c r="AA1555" s="168">
        <f t="shared" si="8"/>
        <v>0</v>
      </c>
      <c r="AB1555" s="168">
        <f t="shared" si="9"/>
        <v>0</v>
      </c>
    </row>
    <row r="1556" ht="14.25" customHeight="1">
      <c r="A1556" s="157" t="s">
        <v>8677</v>
      </c>
      <c r="B1556" s="169" t="s">
        <v>41</v>
      </c>
      <c r="C1556" s="169" t="s">
        <v>3368</v>
      </c>
      <c r="D1556" s="336">
        <v>44567.0</v>
      </c>
      <c r="E1556" s="157" t="s">
        <v>600</v>
      </c>
      <c r="F1556" s="160">
        <v>61791.5</v>
      </c>
      <c r="G1556" s="160">
        <v>9886.64</v>
      </c>
      <c r="H1556" s="160">
        <f t="shared" ref="H1556:H1562" si="50">F1556+G1556</f>
        <v>71678.14</v>
      </c>
      <c r="I1556" s="172"/>
      <c r="J1556" s="169"/>
      <c r="K1556" s="172"/>
      <c r="L1556" s="172">
        <f>+'FACUS$'!$H1556-'FACUS$'!$I1556-'FACUS$'!$K1556</f>
        <v>71678.14</v>
      </c>
      <c r="M1556" s="162" t="s">
        <v>875</v>
      </c>
      <c r="N1556" s="337" t="s">
        <v>554</v>
      </c>
      <c r="O1556" s="338">
        <v>44624.0</v>
      </c>
      <c r="P1556" s="164">
        <f t="array" ref="P1556">XLOOKUP('FACUS$'!$B1556,'perfil de pagos'!$A$4:$A$46,'perfil de pagos'!$C$4:$C$46+'FACUS$'!$D1556)</f>
        <v>44577</v>
      </c>
      <c r="Q1556" s="165">
        <f t="shared" si="2"/>
        <v>0</v>
      </c>
      <c r="R1556" s="167"/>
      <c r="S1556" s="167">
        <v>1312.0</v>
      </c>
      <c r="T1556" s="167"/>
      <c r="U1556" s="334" t="s">
        <v>7271</v>
      </c>
      <c r="V1556" s="168">
        <f t="shared" si="3"/>
        <v>71678.14</v>
      </c>
      <c r="W1556" s="168">
        <f t="shared" si="4"/>
        <v>0</v>
      </c>
      <c r="X1556" s="168">
        <f t="shared" si="5"/>
        <v>0</v>
      </c>
      <c r="Y1556" s="168">
        <f t="shared" si="6"/>
        <v>0</v>
      </c>
      <c r="Z1556" s="168">
        <f t="shared" si="7"/>
        <v>0</v>
      </c>
      <c r="AA1556" s="168">
        <f t="shared" si="8"/>
        <v>0</v>
      </c>
      <c r="AB1556" s="168">
        <f t="shared" si="9"/>
        <v>0</v>
      </c>
    </row>
    <row r="1557" ht="14.25" customHeight="1">
      <c r="A1557" s="157" t="s">
        <v>8678</v>
      </c>
      <c r="B1557" s="169" t="s">
        <v>37</v>
      </c>
      <c r="C1557" s="169" t="s">
        <v>3368</v>
      </c>
      <c r="D1557" s="336">
        <v>44567.0</v>
      </c>
      <c r="E1557" s="157" t="s">
        <v>600</v>
      </c>
      <c r="F1557" s="160">
        <v>97123.42</v>
      </c>
      <c r="G1557" s="160">
        <v>15539.75</v>
      </c>
      <c r="H1557" s="160">
        <f t="shared" si="50"/>
        <v>112663.17</v>
      </c>
      <c r="I1557" s="172"/>
      <c r="J1557" s="169"/>
      <c r="K1557" s="172"/>
      <c r="L1557" s="172">
        <f>+'FACUS$'!$H1557-'FACUS$'!$I1557-'FACUS$'!$K1557</f>
        <v>112663.17</v>
      </c>
      <c r="M1557" s="162" t="s">
        <v>116</v>
      </c>
      <c r="N1557" s="337" t="s">
        <v>554</v>
      </c>
      <c r="O1557" s="338">
        <v>44594.0</v>
      </c>
      <c r="P1557" s="164">
        <f t="array" ref="P1557">XLOOKUP('FACUS$'!$B1557,'perfil de pagos'!$A$4:$A$46,'perfil de pagos'!$C$4:$C$46+'FACUS$'!$D1557)</f>
        <v>44577</v>
      </c>
      <c r="Q1557" s="165">
        <f t="shared" si="2"/>
        <v>0</v>
      </c>
      <c r="R1557" s="167" t="s">
        <v>8679</v>
      </c>
      <c r="S1557" s="167"/>
      <c r="T1557" s="167"/>
      <c r="U1557" s="334" t="s">
        <v>7271</v>
      </c>
      <c r="V1557" s="168">
        <f t="shared" si="3"/>
        <v>112663.17</v>
      </c>
      <c r="W1557" s="168">
        <f t="shared" si="4"/>
        <v>0</v>
      </c>
      <c r="X1557" s="168">
        <f t="shared" si="5"/>
        <v>0</v>
      </c>
      <c r="Y1557" s="168">
        <f t="shared" si="6"/>
        <v>0</v>
      </c>
      <c r="Z1557" s="168">
        <f t="shared" si="7"/>
        <v>0</v>
      </c>
      <c r="AA1557" s="168">
        <f t="shared" si="8"/>
        <v>0</v>
      </c>
      <c r="AB1557" s="168">
        <f t="shared" si="9"/>
        <v>0</v>
      </c>
    </row>
    <row r="1558" ht="14.25" customHeight="1">
      <c r="A1558" s="157" t="s">
        <v>8680</v>
      </c>
      <c r="B1558" s="169" t="s">
        <v>33</v>
      </c>
      <c r="C1558" s="169" t="s">
        <v>3368</v>
      </c>
      <c r="D1558" s="336">
        <v>44567.0</v>
      </c>
      <c r="E1558" s="157" t="s">
        <v>600</v>
      </c>
      <c r="F1558" s="160">
        <v>74029.96</v>
      </c>
      <c r="G1558" s="160">
        <v>11844.79</v>
      </c>
      <c r="H1558" s="160">
        <f t="shared" si="50"/>
        <v>85874.75</v>
      </c>
      <c r="I1558" s="172"/>
      <c r="J1558" s="169"/>
      <c r="K1558" s="172"/>
      <c r="L1558" s="172">
        <f>+'FACUS$'!$H1558-'FACUS$'!$I1558-'FACUS$'!$K1558</f>
        <v>85874.75</v>
      </c>
      <c r="M1558" s="162" t="s">
        <v>8681</v>
      </c>
      <c r="N1558" s="337" t="s">
        <v>554</v>
      </c>
      <c r="O1558" s="338">
        <v>44575.0</v>
      </c>
      <c r="P1558" s="164">
        <f t="array" ref="P1558">XLOOKUP('FACUS$'!$B1558,'perfil de pagos'!$A$4:$A$46,'perfil de pagos'!$C$4:$C$46+'FACUS$'!$D1558)</f>
        <v>44577</v>
      </c>
      <c r="Q1558" s="165">
        <f t="shared" si="2"/>
        <v>0</v>
      </c>
      <c r="R1558" s="167"/>
      <c r="S1558" s="167"/>
      <c r="T1558" s="167"/>
      <c r="U1558" s="334" t="s">
        <v>7271</v>
      </c>
      <c r="V1558" s="168">
        <f t="shared" si="3"/>
        <v>85874.75</v>
      </c>
      <c r="W1558" s="168">
        <f t="shared" si="4"/>
        <v>0</v>
      </c>
      <c r="X1558" s="168">
        <f t="shared" si="5"/>
        <v>0</v>
      </c>
      <c r="Y1558" s="168">
        <f t="shared" si="6"/>
        <v>0</v>
      </c>
      <c r="Z1558" s="168">
        <f t="shared" si="7"/>
        <v>0</v>
      </c>
      <c r="AA1558" s="168">
        <f t="shared" si="8"/>
        <v>0</v>
      </c>
      <c r="AB1558" s="168">
        <f t="shared" si="9"/>
        <v>0</v>
      </c>
    </row>
    <row r="1559" ht="14.25" customHeight="1">
      <c r="A1559" s="157" t="s">
        <v>8682</v>
      </c>
      <c r="B1559" s="169" t="s">
        <v>35</v>
      </c>
      <c r="C1559" s="169" t="s">
        <v>3368</v>
      </c>
      <c r="D1559" s="336">
        <v>44567.0</v>
      </c>
      <c r="E1559" s="157" t="s">
        <v>600</v>
      </c>
      <c r="F1559" s="160">
        <v>24609.21</v>
      </c>
      <c r="G1559" s="160">
        <v>3937.47</v>
      </c>
      <c r="H1559" s="160">
        <f t="shared" si="50"/>
        <v>28546.68</v>
      </c>
      <c r="I1559" s="172"/>
      <c r="J1559" s="169"/>
      <c r="K1559" s="172"/>
      <c r="L1559" s="172">
        <f>+'FACUS$'!$H1559-'FACUS$'!$I1559-'FACUS$'!$K1559</f>
        <v>28546.68</v>
      </c>
      <c r="M1559" s="162" t="s">
        <v>276</v>
      </c>
      <c r="N1559" s="337" t="s">
        <v>554</v>
      </c>
      <c r="O1559" s="338">
        <v>44595.0</v>
      </c>
      <c r="P1559" s="164">
        <f t="array" ref="P1559">XLOOKUP('FACUS$'!$B1559,'perfil de pagos'!$A$4:$A$46,'perfil de pagos'!$C$4:$C$46+'FACUS$'!$D1559)</f>
        <v>44577</v>
      </c>
      <c r="Q1559" s="165">
        <f t="shared" si="2"/>
        <v>0</v>
      </c>
      <c r="R1559" s="167"/>
      <c r="S1559" s="167">
        <v>1281.0</v>
      </c>
      <c r="T1559" s="167"/>
      <c r="U1559" s="334" t="s">
        <v>7271</v>
      </c>
      <c r="V1559" s="168">
        <f t="shared" si="3"/>
        <v>28546.68</v>
      </c>
      <c r="W1559" s="168">
        <f t="shared" si="4"/>
        <v>0</v>
      </c>
      <c r="X1559" s="168">
        <f t="shared" si="5"/>
        <v>0</v>
      </c>
      <c r="Y1559" s="168">
        <f t="shared" si="6"/>
        <v>0</v>
      </c>
      <c r="Z1559" s="168">
        <f t="shared" si="7"/>
        <v>0</v>
      </c>
      <c r="AA1559" s="168">
        <f t="shared" si="8"/>
        <v>0</v>
      </c>
      <c r="AB1559" s="168">
        <f t="shared" si="9"/>
        <v>0</v>
      </c>
    </row>
    <row r="1560" ht="14.25" customHeight="1">
      <c r="A1560" s="157" t="s">
        <v>8683</v>
      </c>
      <c r="B1560" s="169" t="s">
        <v>36</v>
      </c>
      <c r="C1560" s="169" t="s">
        <v>3368</v>
      </c>
      <c r="D1560" s="336">
        <v>44567.0</v>
      </c>
      <c r="E1560" s="157" t="s">
        <v>600</v>
      </c>
      <c r="F1560" s="160">
        <v>2362.8</v>
      </c>
      <c r="G1560" s="160">
        <v>378.05</v>
      </c>
      <c r="H1560" s="160">
        <f t="shared" si="50"/>
        <v>2740.85</v>
      </c>
      <c r="I1560" s="172"/>
      <c r="J1560" s="169"/>
      <c r="K1560" s="172"/>
      <c r="L1560" s="172">
        <f>+'FACUS$'!$H1560-'FACUS$'!$I1560-'FACUS$'!$K1560</f>
        <v>2740.85</v>
      </c>
      <c r="M1560" s="162" t="s">
        <v>278</v>
      </c>
      <c r="N1560" s="337" t="s">
        <v>554</v>
      </c>
      <c r="O1560" s="338">
        <v>44601.0</v>
      </c>
      <c r="P1560" s="164">
        <f t="array" ref="P1560">XLOOKUP('FACUS$'!$B1560,'perfil de pagos'!$A$4:$A$46,'perfil de pagos'!$C$4:$C$46+'FACUS$'!$D1560)</f>
        <v>44577</v>
      </c>
      <c r="Q1560" s="165">
        <f t="shared" si="2"/>
        <v>0</v>
      </c>
      <c r="R1560" s="167" t="s">
        <v>8684</v>
      </c>
      <c r="S1560" s="167"/>
      <c r="T1560" s="167"/>
      <c r="U1560" s="334" t="s">
        <v>7271</v>
      </c>
      <c r="V1560" s="168">
        <f t="shared" si="3"/>
        <v>2740.85</v>
      </c>
      <c r="W1560" s="168">
        <f t="shared" si="4"/>
        <v>0</v>
      </c>
      <c r="X1560" s="168">
        <f t="shared" si="5"/>
        <v>0</v>
      </c>
      <c r="Y1560" s="168">
        <f t="shared" si="6"/>
        <v>0</v>
      </c>
      <c r="Z1560" s="168">
        <f t="shared" si="7"/>
        <v>0</v>
      </c>
      <c r="AA1560" s="168">
        <f t="shared" si="8"/>
        <v>0</v>
      </c>
      <c r="AB1560" s="168">
        <f t="shared" si="9"/>
        <v>0</v>
      </c>
    </row>
    <row r="1561" ht="14.25" customHeight="1">
      <c r="A1561" s="157" t="s">
        <v>8685</v>
      </c>
      <c r="B1561" s="169" t="s">
        <v>38</v>
      </c>
      <c r="C1561" s="169" t="s">
        <v>3368</v>
      </c>
      <c r="D1561" s="336">
        <v>44567.0</v>
      </c>
      <c r="E1561" s="157" t="s">
        <v>600</v>
      </c>
      <c r="F1561" s="160">
        <v>11029.77</v>
      </c>
      <c r="G1561" s="160">
        <v>1764.76</v>
      </c>
      <c r="H1561" s="160">
        <f t="shared" si="50"/>
        <v>12794.53</v>
      </c>
      <c r="I1561" s="172"/>
      <c r="J1561" s="169"/>
      <c r="K1561" s="172"/>
      <c r="L1561" s="172">
        <f>+'FACUS$'!$H1561-'FACUS$'!$I1561-'FACUS$'!$K1561</f>
        <v>12794.53</v>
      </c>
      <c r="M1561" s="162" t="s">
        <v>145</v>
      </c>
      <c r="N1561" s="337" t="s">
        <v>554</v>
      </c>
      <c r="O1561" s="338">
        <v>44606.0</v>
      </c>
      <c r="P1561" s="164">
        <f t="array" ref="P1561">XLOOKUP('FACUS$'!$B1561,'perfil de pagos'!$A$4:$A$46,'perfil de pagos'!$C$4:$C$46+'FACUS$'!$D1561)</f>
        <v>44597</v>
      </c>
      <c r="Q1561" s="165">
        <f t="shared" si="2"/>
        <v>0</v>
      </c>
      <c r="R1561" s="167"/>
      <c r="S1561" s="167">
        <v>1288.0</v>
      </c>
      <c r="T1561" s="167"/>
      <c r="U1561" s="334" t="s">
        <v>7271</v>
      </c>
      <c r="V1561" s="168">
        <f t="shared" si="3"/>
        <v>12794.53</v>
      </c>
      <c r="W1561" s="168">
        <f t="shared" si="4"/>
        <v>0</v>
      </c>
      <c r="X1561" s="168">
        <f t="shared" si="5"/>
        <v>0</v>
      </c>
      <c r="Y1561" s="168">
        <f t="shared" si="6"/>
        <v>0</v>
      </c>
      <c r="Z1561" s="168">
        <f t="shared" si="7"/>
        <v>0</v>
      </c>
      <c r="AA1561" s="168">
        <f t="shared" si="8"/>
        <v>0</v>
      </c>
      <c r="AB1561" s="168">
        <f t="shared" si="9"/>
        <v>0</v>
      </c>
    </row>
    <row r="1562" ht="14.25" customHeight="1">
      <c r="A1562" s="157" t="s">
        <v>8686</v>
      </c>
      <c r="B1562" s="169" t="s">
        <v>43</v>
      </c>
      <c r="C1562" s="169" t="s">
        <v>3368</v>
      </c>
      <c r="D1562" s="336">
        <v>44567.0</v>
      </c>
      <c r="E1562" s="157" t="s">
        <v>600</v>
      </c>
      <c r="F1562" s="160">
        <v>112056.52</v>
      </c>
      <c r="G1562" s="160">
        <v>17929.04</v>
      </c>
      <c r="H1562" s="160">
        <f t="shared" si="50"/>
        <v>129985.56</v>
      </c>
      <c r="I1562" s="172"/>
      <c r="J1562" s="169"/>
      <c r="K1562" s="172"/>
      <c r="L1562" s="172">
        <f>+'FACUS$'!$H1562-'FACUS$'!$I1562-'FACUS$'!$K1562</f>
        <v>129985.56</v>
      </c>
      <c r="M1562" s="162" t="s">
        <v>43</v>
      </c>
      <c r="N1562" s="337" t="s">
        <v>554</v>
      </c>
      <c r="O1562" s="338">
        <v>44592.0</v>
      </c>
      <c r="P1562" s="164">
        <f t="array" ref="P1562">XLOOKUP('FACUS$'!$B1562,'perfil de pagos'!$A$4:$A$46,'perfil de pagos'!$C$4:$C$46+'FACUS$'!$D1562)</f>
        <v>44592</v>
      </c>
      <c r="Q1562" s="165">
        <f t="shared" si="2"/>
        <v>0</v>
      </c>
      <c r="R1562" s="167"/>
      <c r="S1562" s="167">
        <v>1278.0</v>
      </c>
      <c r="T1562" s="167"/>
      <c r="U1562" s="334" t="s">
        <v>7271</v>
      </c>
      <c r="V1562" s="168">
        <f t="shared" si="3"/>
        <v>129985.56</v>
      </c>
      <c r="W1562" s="168">
        <f t="shared" si="4"/>
        <v>0</v>
      </c>
      <c r="X1562" s="168">
        <f t="shared" si="5"/>
        <v>0</v>
      </c>
      <c r="Y1562" s="168">
        <f t="shared" si="6"/>
        <v>0</v>
      </c>
      <c r="Z1562" s="168">
        <f t="shared" si="7"/>
        <v>0</v>
      </c>
      <c r="AA1562" s="168">
        <f t="shared" si="8"/>
        <v>0</v>
      </c>
      <c r="AB1562" s="168">
        <f t="shared" si="9"/>
        <v>0</v>
      </c>
    </row>
    <row r="1563" ht="14.25" customHeight="1">
      <c r="A1563" s="157" t="s">
        <v>8687</v>
      </c>
      <c r="B1563" s="169" t="s">
        <v>22</v>
      </c>
      <c r="C1563" s="169" t="s">
        <v>8688</v>
      </c>
      <c r="D1563" s="336">
        <v>44567.0</v>
      </c>
      <c r="E1563" s="157" t="s">
        <v>600</v>
      </c>
      <c r="F1563" s="160">
        <v>3237.07</v>
      </c>
      <c r="G1563" s="160">
        <v>517.93</v>
      </c>
      <c r="H1563" s="160">
        <f>F1563+G1563-1765.42</f>
        <v>1989.58</v>
      </c>
      <c r="I1563" s="172"/>
      <c r="J1563" s="169"/>
      <c r="K1563" s="172"/>
      <c r="L1563" s="172">
        <f>+'FACUS$'!$H1563-'FACUS$'!$I1563-'FACUS$'!$K1563</f>
        <v>1989.58</v>
      </c>
      <c r="M1563" s="162" t="s">
        <v>220</v>
      </c>
      <c r="N1563" s="337" t="s">
        <v>554</v>
      </c>
      <c r="O1563" s="338">
        <v>44634.0</v>
      </c>
      <c r="P1563" s="164">
        <f t="array" ref="P1563">XLOOKUP('FACUS$'!$B1563,'perfil de pagos'!$A$4:$A$46,'perfil de pagos'!$C$4:$C$46+'FACUS$'!$D1563)</f>
        <v>44577</v>
      </c>
      <c r="Q1563" s="165">
        <f t="shared" si="2"/>
        <v>0</v>
      </c>
      <c r="R1563" s="220" t="s">
        <v>8689</v>
      </c>
      <c r="S1563" s="167"/>
      <c r="T1563" s="167"/>
      <c r="U1563" s="334" t="s">
        <v>7271</v>
      </c>
      <c r="V1563" s="168">
        <f t="shared" si="3"/>
        <v>1989.58</v>
      </c>
      <c r="W1563" s="168">
        <f t="shared" si="4"/>
        <v>0</v>
      </c>
      <c r="X1563" s="168">
        <f t="shared" si="5"/>
        <v>0</v>
      </c>
      <c r="Y1563" s="168">
        <f t="shared" si="6"/>
        <v>0</v>
      </c>
      <c r="Z1563" s="168">
        <f t="shared" si="7"/>
        <v>0</v>
      </c>
      <c r="AA1563" s="168">
        <f t="shared" si="8"/>
        <v>0</v>
      </c>
      <c r="AB1563" s="168">
        <f t="shared" si="9"/>
        <v>0</v>
      </c>
    </row>
    <row r="1564" ht="14.25" customHeight="1">
      <c r="A1564" s="157" t="s">
        <v>8690</v>
      </c>
      <c r="B1564" s="169" t="s">
        <v>31</v>
      </c>
      <c r="C1564" s="169" t="s">
        <v>8691</v>
      </c>
      <c r="D1564" s="336">
        <v>44568.0</v>
      </c>
      <c r="E1564" s="157" t="s">
        <v>600</v>
      </c>
      <c r="F1564" s="160">
        <v>7316.92</v>
      </c>
      <c r="G1564" s="160">
        <v>1170.71</v>
      </c>
      <c r="H1564" s="160">
        <f t="shared" ref="H1564:H1565" si="51">F1564+G1564</f>
        <v>8487.63</v>
      </c>
      <c r="I1564" s="172"/>
      <c r="J1564" s="169"/>
      <c r="K1564" s="172"/>
      <c r="L1564" s="172">
        <f>+'FACUS$'!$H1564-'FACUS$'!$I1564-'FACUS$'!$K1564</f>
        <v>8487.63</v>
      </c>
      <c r="M1564" s="162" t="s">
        <v>3183</v>
      </c>
      <c r="N1564" s="337" t="s">
        <v>554</v>
      </c>
      <c r="O1564" s="338">
        <v>44586.0</v>
      </c>
      <c r="P1564" s="164">
        <f t="array" ref="P1564">XLOOKUP('FACUS$'!$B1564,'perfil de pagos'!$A$4:$A$46,'perfil de pagos'!$C$4:$C$46+'FACUS$'!$D1564)</f>
        <v>44571</v>
      </c>
      <c r="Q1564" s="165">
        <f t="shared" si="2"/>
        <v>0</v>
      </c>
      <c r="R1564" s="167"/>
      <c r="S1564" s="167"/>
      <c r="T1564" s="167"/>
      <c r="U1564" s="334" t="s">
        <v>7271</v>
      </c>
      <c r="V1564" s="168">
        <f t="shared" si="3"/>
        <v>8487.63</v>
      </c>
      <c r="W1564" s="168">
        <f t="shared" si="4"/>
        <v>0</v>
      </c>
      <c r="X1564" s="168">
        <f t="shared" si="5"/>
        <v>0</v>
      </c>
      <c r="Y1564" s="168">
        <f t="shared" si="6"/>
        <v>0</v>
      </c>
      <c r="Z1564" s="168">
        <f t="shared" si="7"/>
        <v>0</v>
      </c>
      <c r="AA1564" s="168">
        <f t="shared" si="8"/>
        <v>0</v>
      </c>
      <c r="AB1564" s="168">
        <f t="shared" si="9"/>
        <v>0</v>
      </c>
    </row>
    <row r="1565" ht="14.25" customHeight="1">
      <c r="A1565" s="157" t="s">
        <v>8692</v>
      </c>
      <c r="B1565" s="169" t="s">
        <v>31</v>
      </c>
      <c r="C1565" s="169" t="s">
        <v>8693</v>
      </c>
      <c r="D1565" s="336">
        <v>44568.0</v>
      </c>
      <c r="E1565" s="157" t="s">
        <v>600</v>
      </c>
      <c r="F1565" s="160">
        <v>9265.0</v>
      </c>
      <c r="G1565" s="160">
        <v>1482.4</v>
      </c>
      <c r="H1565" s="160">
        <f t="shared" si="51"/>
        <v>10747.4</v>
      </c>
      <c r="I1565" s="172"/>
      <c r="J1565" s="169"/>
      <c r="K1565" s="172"/>
      <c r="L1565" s="172">
        <f>+'FACUS$'!$H1565-'FACUS$'!$I1565-'FACUS$'!$K1565</f>
        <v>10747.4</v>
      </c>
      <c r="M1565" s="162" t="s">
        <v>3183</v>
      </c>
      <c r="N1565" s="337" t="s">
        <v>554</v>
      </c>
      <c r="O1565" s="338">
        <v>44575.0</v>
      </c>
      <c r="P1565" s="164">
        <f t="array" ref="P1565">XLOOKUP('FACUS$'!$B1565,'perfil de pagos'!$A$4:$A$46,'perfil de pagos'!$C$4:$C$46+'FACUS$'!$D1565)</f>
        <v>44571</v>
      </c>
      <c r="Q1565" s="165">
        <f t="shared" si="2"/>
        <v>0</v>
      </c>
      <c r="R1565" s="167"/>
      <c r="S1565" s="167"/>
      <c r="T1565" s="167"/>
      <c r="U1565" s="334" t="s">
        <v>7271</v>
      </c>
      <c r="V1565" s="168">
        <f t="shared" si="3"/>
        <v>10747.4</v>
      </c>
      <c r="W1565" s="168">
        <f t="shared" si="4"/>
        <v>0</v>
      </c>
      <c r="X1565" s="168">
        <f t="shared" si="5"/>
        <v>0</v>
      </c>
      <c r="Y1565" s="168">
        <f t="shared" si="6"/>
        <v>0</v>
      </c>
      <c r="Z1565" s="168">
        <f t="shared" si="7"/>
        <v>0</v>
      </c>
      <c r="AA1565" s="168">
        <f t="shared" si="8"/>
        <v>0</v>
      </c>
      <c r="AB1565" s="168">
        <f t="shared" si="9"/>
        <v>0</v>
      </c>
    </row>
    <row r="1566" ht="14.25" customHeight="1">
      <c r="A1566" s="157" t="s">
        <v>8694</v>
      </c>
      <c r="B1566" s="169" t="s">
        <v>31</v>
      </c>
      <c r="C1566" s="169" t="s">
        <v>8695</v>
      </c>
      <c r="D1566" s="336">
        <v>44568.0</v>
      </c>
      <c r="E1566" s="157" t="s">
        <v>600</v>
      </c>
      <c r="F1566" s="160">
        <v>5743.97</v>
      </c>
      <c r="G1566" s="160">
        <v>919.04</v>
      </c>
      <c r="H1566" s="160">
        <f>F1566+G1566-3331.51</f>
        <v>3331.5</v>
      </c>
      <c r="I1566" s="172"/>
      <c r="J1566" s="169"/>
      <c r="K1566" s="172"/>
      <c r="L1566" s="172">
        <f>+'FACUS$'!$H1566-'FACUS$'!$I1566-'FACUS$'!$K1566</f>
        <v>3331.5</v>
      </c>
      <c r="M1566" s="162" t="s">
        <v>3183</v>
      </c>
      <c r="N1566" s="337" t="s">
        <v>554</v>
      </c>
      <c r="O1566" s="338">
        <v>44603.0</v>
      </c>
      <c r="P1566" s="164">
        <f t="array" ref="P1566">XLOOKUP('FACUS$'!$B1566,'perfil de pagos'!$A$4:$A$46,'perfil de pagos'!$C$4:$C$46+'FACUS$'!$D1566)</f>
        <v>44571</v>
      </c>
      <c r="Q1566" s="165">
        <f t="shared" si="2"/>
        <v>0</v>
      </c>
      <c r="R1566" s="220" t="s">
        <v>8696</v>
      </c>
      <c r="S1566" s="167"/>
      <c r="T1566" s="167"/>
      <c r="U1566" s="334" t="s">
        <v>7271</v>
      </c>
      <c r="V1566" s="168">
        <f t="shared" si="3"/>
        <v>3331.5</v>
      </c>
      <c r="W1566" s="168">
        <f t="shared" si="4"/>
        <v>0</v>
      </c>
      <c r="X1566" s="168">
        <f t="shared" si="5"/>
        <v>0</v>
      </c>
      <c r="Y1566" s="168">
        <f t="shared" si="6"/>
        <v>0</v>
      </c>
      <c r="Z1566" s="168">
        <f t="shared" si="7"/>
        <v>0</v>
      </c>
      <c r="AA1566" s="168">
        <f t="shared" si="8"/>
        <v>0</v>
      </c>
      <c r="AB1566" s="168">
        <f t="shared" si="9"/>
        <v>0</v>
      </c>
      <c r="AC1566" s="147"/>
      <c r="AD1566" s="147"/>
      <c r="AE1566" s="147"/>
    </row>
    <row r="1567" ht="14.25" customHeight="1">
      <c r="A1567" s="258" t="s">
        <v>8697</v>
      </c>
      <c r="B1567" s="380" t="s">
        <v>8698</v>
      </c>
      <c r="C1567" s="380" t="s">
        <v>146</v>
      </c>
      <c r="D1567" s="381"/>
      <c r="E1567" s="258"/>
      <c r="F1567" s="259"/>
      <c r="G1567" s="259"/>
      <c r="H1567" s="259">
        <f t="shared" ref="H1567:H1568" si="52">F1567+G1567</f>
        <v>0</v>
      </c>
      <c r="I1567" s="382"/>
      <c r="J1567" s="380"/>
      <c r="K1567" s="382"/>
      <c r="L1567" s="382">
        <f>+'FACUS$'!$H1567-'FACUS$'!$I1567-'FACUS$'!$K1567</f>
        <v>0</v>
      </c>
      <c r="M1567" s="261"/>
      <c r="N1567" s="383" t="s">
        <v>127</v>
      </c>
      <c r="O1567" s="384"/>
      <c r="P1567" s="262" t="str">
        <f t="array" ref="P1567">XLOOKUP('FACUS$'!$B1567,'perfil de pagos'!$A$4:$A$46,'perfil de pagos'!$C$4:$C$46+'FACUS$'!$D1567)</f>
        <v>#N/A</v>
      </c>
      <c r="Q1567" s="263" t="str">
        <f t="shared" si="2"/>
        <v>N/A</v>
      </c>
      <c r="R1567" s="264" t="s">
        <v>81</v>
      </c>
      <c r="S1567" s="264"/>
      <c r="T1567" s="264"/>
      <c r="U1567" s="385" t="s">
        <v>7271</v>
      </c>
      <c r="V1567" s="269">
        <f t="shared" si="3"/>
        <v>0</v>
      </c>
      <c r="W1567" s="269">
        <f t="shared" si="4"/>
        <v>0</v>
      </c>
      <c r="X1567" s="269">
        <f t="shared" si="5"/>
        <v>0</v>
      </c>
      <c r="Y1567" s="269">
        <f t="shared" si="6"/>
        <v>0</v>
      </c>
      <c r="Z1567" s="269">
        <f t="shared" si="7"/>
        <v>0</v>
      </c>
      <c r="AA1567" s="269">
        <f t="shared" si="8"/>
        <v>0</v>
      </c>
      <c r="AB1567" s="269">
        <f t="shared" si="9"/>
        <v>0</v>
      </c>
    </row>
    <row r="1568" ht="14.25" customHeight="1">
      <c r="A1568" s="157" t="s">
        <v>8699</v>
      </c>
      <c r="B1568" s="169" t="s">
        <v>8698</v>
      </c>
      <c r="C1568" s="169" t="s">
        <v>8700</v>
      </c>
      <c r="D1568" s="336">
        <v>44572.0</v>
      </c>
      <c r="E1568" s="157" t="s">
        <v>600</v>
      </c>
      <c r="F1568" s="160">
        <v>206724.14</v>
      </c>
      <c r="G1568" s="160">
        <v>33075.86</v>
      </c>
      <c r="H1568" s="160">
        <f t="shared" si="52"/>
        <v>239800</v>
      </c>
      <c r="I1568" s="172"/>
      <c r="J1568" s="169"/>
      <c r="K1568" s="172"/>
      <c r="L1568" s="172">
        <f>+'FACUS$'!$H1568-'FACUS$'!$I1568-'FACUS$'!$K1568</f>
        <v>239800</v>
      </c>
      <c r="M1568" s="162"/>
      <c r="N1568" s="337" t="s">
        <v>554</v>
      </c>
      <c r="O1568" s="338"/>
      <c r="P1568" s="164" t="str">
        <f t="array" ref="P1568">XLOOKUP('FACUS$'!$B1568,'perfil de pagos'!$A$4:$A$46,'perfil de pagos'!$C$4:$C$46+'FACUS$'!$D1568)</f>
        <v>#N/A</v>
      </c>
      <c r="Q1568" s="165">
        <f t="shared" si="2"/>
        <v>0</v>
      </c>
      <c r="R1568" s="167"/>
      <c r="S1568" s="167"/>
      <c r="T1568" s="167"/>
      <c r="U1568" s="334" t="s">
        <v>7271</v>
      </c>
      <c r="V1568" s="168">
        <f t="shared" si="3"/>
        <v>239800</v>
      </c>
      <c r="W1568" s="168">
        <f t="shared" si="4"/>
        <v>0</v>
      </c>
      <c r="X1568" s="168">
        <f t="shared" si="5"/>
        <v>0</v>
      </c>
      <c r="Y1568" s="168">
        <f t="shared" si="6"/>
        <v>0</v>
      </c>
      <c r="Z1568" s="168">
        <f t="shared" si="7"/>
        <v>0</v>
      </c>
      <c r="AA1568" s="168">
        <f t="shared" si="8"/>
        <v>0</v>
      </c>
      <c r="AB1568" s="168">
        <f t="shared" si="9"/>
        <v>0</v>
      </c>
    </row>
    <row r="1569" ht="14.25" customHeight="1">
      <c r="A1569" s="157" t="s">
        <v>8701</v>
      </c>
      <c r="B1569" s="169" t="s">
        <v>36</v>
      </c>
      <c r="C1569" s="169" t="s">
        <v>8702</v>
      </c>
      <c r="D1569" s="336">
        <v>44578.0</v>
      </c>
      <c r="E1569" s="157" t="s">
        <v>600</v>
      </c>
      <c r="F1569" s="160">
        <v>613.25</v>
      </c>
      <c r="G1569" s="160">
        <v>83.4</v>
      </c>
      <c r="H1569" s="160">
        <v>604.66</v>
      </c>
      <c r="I1569" s="172"/>
      <c r="J1569" s="169"/>
      <c r="K1569" s="172"/>
      <c r="L1569" s="172">
        <f>+'FACUS$'!$H1569-'FACUS$'!$I1569-'FACUS$'!$K1569</f>
        <v>604.66</v>
      </c>
      <c r="M1569" s="162" t="s">
        <v>278</v>
      </c>
      <c r="N1569" s="337" t="s">
        <v>554</v>
      </c>
      <c r="O1569" s="338">
        <v>44601.0</v>
      </c>
      <c r="P1569" s="164">
        <f t="array" ref="P1569">XLOOKUP('FACUS$'!$B1569,'perfil de pagos'!$A$4:$A$46,'perfil de pagos'!$C$4:$C$46+'FACUS$'!$D1569)</f>
        <v>44588</v>
      </c>
      <c r="Q1569" s="165">
        <f t="shared" si="2"/>
        <v>0</v>
      </c>
      <c r="R1569" s="167" t="s">
        <v>8703</v>
      </c>
      <c r="S1569" s="167"/>
      <c r="T1569" s="167"/>
      <c r="U1569" s="334" t="s">
        <v>7271</v>
      </c>
      <c r="V1569" s="168">
        <f t="shared" si="3"/>
        <v>604.66</v>
      </c>
      <c r="W1569" s="168">
        <f t="shared" si="4"/>
        <v>0</v>
      </c>
      <c r="X1569" s="168">
        <f t="shared" si="5"/>
        <v>0</v>
      </c>
      <c r="Y1569" s="168">
        <f t="shared" si="6"/>
        <v>0</v>
      </c>
      <c r="Z1569" s="168">
        <f t="shared" si="7"/>
        <v>0</v>
      </c>
      <c r="AA1569" s="168">
        <f t="shared" si="8"/>
        <v>0</v>
      </c>
      <c r="AB1569" s="168">
        <f t="shared" si="9"/>
        <v>0</v>
      </c>
    </row>
    <row r="1570" ht="14.25" customHeight="1">
      <c r="A1570" s="157" t="s">
        <v>8704</v>
      </c>
      <c r="B1570" s="169" t="s">
        <v>17</v>
      </c>
      <c r="C1570" s="169" t="s">
        <v>8705</v>
      </c>
      <c r="D1570" s="336">
        <v>44579.0</v>
      </c>
      <c r="E1570" s="157" t="s">
        <v>600</v>
      </c>
      <c r="F1570" s="160">
        <v>1749.05</v>
      </c>
      <c r="G1570" s="160">
        <v>279.85</v>
      </c>
      <c r="H1570" s="160">
        <f t="shared" ref="H1570:H1571" si="53">F1570+G1570</f>
        <v>2028.9</v>
      </c>
      <c r="I1570" s="172"/>
      <c r="J1570" s="169"/>
      <c r="K1570" s="172"/>
      <c r="L1570" s="172">
        <f>+'FACUS$'!$H1570-'FACUS$'!$I1570-'FACUS$'!$K1570</f>
        <v>2028.9</v>
      </c>
      <c r="M1570" s="162" t="s">
        <v>17</v>
      </c>
      <c r="N1570" s="337" t="s">
        <v>554</v>
      </c>
      <c r="O1570" s="338">
        <v>44588.0</v>
      </c>
      <c r="P1570" s="164">
        <f t="array" ref="P1570">XLOOKUP('FACUS$'!$B1570,'perfil de pagos'!$A$4:$A$46,'perfil de pagos'!$C$4:$C$46+'FACUS$'!$D1570)</f>
        <v>44589</v>
      </c>
      <c r="Q1570" s="165">
        <f t="shared" si="2"/>
        <v>0</v>
      </c>
      <c r="R1570" s="167"/>
      <c r="S1570" s="167">
        <v>1297.0</v>
      </c>
      <c r="T1570" s="167"/>
      <c r="U1570" s="334" t="s">
        <v>7271</v>
      </c>
      <c r="V1570" s="168">
        <f t="shared" si="3"/>
        <v>2028.9</v>
      </c>
      <c r="W1570" s="168">
        <f t="shared" si="4"/>
        <v>0</v>
      </c>
      <c r="X1570" s="168">
        <f t="shared" si="5"/>
        <v>0</v>
      </c>
      <c r="Y1570" s="168">
        <f t="shared" si="6"/>
        <v>0</v>
      </c>
      <c r="Z1570" s="168">
        <f t="shared" si="7"/>
        <v>0</v>
      </c>
      <c r="AA1570" s="168">
        <f t="shared" si="8"/>
        <v>0</v>
      </c>
      <c r="AB1570" s="168">
        <f t="shared" si="9"/>
        <v>0</v>
      </c>
    </row>
    <row r="1571" ht="14.25" customHeight="1">
      <c r="A1571" s="157" t="s">
        <v>8706</v>
      </c>
      <c r="B1571" s="169" t="s">
        <v>39</v>
      </c>
      <c r="C1571" s="169" t="s">
        <v>3427</v>
      </c>
      <c r="D1571" s="336">
        <v>44579.0</v>
      </c>
      <c r="E1571" s="157" t="s">
        <v>600</v>
      </c>
      <c r="F1571" s="160">
        <v>5037.48</v>
      </c>
      <c r="G1571" s="160">
        <v>806.0</v>
      </c>
      <c r="H1571" s="160">
        <f t="shared" si="53"/>
        <v>5843.48</v>
      </c>
      <c r="I1571" s="172"/>
      <c r="J1571" s="169"/>
      <c r="K1571" s="172"/>
      <c r="L1571" s="172">
        <f>+'FACUS$'!$H1571-'FACUS$'!$I1571-'FACUS$'!$K1571</f>
        <v>5843.48</v>
      </c>
      <c r="M1571" s="162" t="s">
        <v>570</v>
      </c>
      <c r="N1571" s="337" t="s">
        <v>554</v>
      </c>
      <c r="O1571" s="338"/>
      <c r="P1571" s="164">
        <f t="array" ref="P1571">XLOOKUP('FACUS$'!$B1571,'perfil de pagos'!$A$4:$A$46,'perfil de pagos'!$C$4:$C$46+'FACUS$'!$D1571)</f>
        <v>44589</v>
      </c>
      <c r="Q1571" s="165">
        <f t="shared" si="2"/>
        <v>0</v>
      </c>
      <c r="R1571" s="167"/>
      <c r="S1571" s="167"/>
      <c r="T1571" s="167"/>
      <c r="U1571" s="334" t="s">
        <v>7271</v>
      </c>
      <c r="V1571" s="168">
        <f t="shared" si="3"/>
        <v>5843.48</v>
      </c>
      <c r="W1571" s="168">
        <f t="shared" si="4"/>
        <v>0</v>
      </c>
      <c r="X1571" s="168">
        <f t="shared" si="5"/>
        <v>0</v>
      </c>
      <c r="Y1571" s="168">
        <f t="shared" si="6"/>
        <v>0</v>
      </c>
      <c r="Z1571" s="168">
        <f t="shared" si="7"/>
        <v>0</v>
      </c>
      <c r="AA1571" s="168">
        <f t="shared" si="8"/>
        <v>0</v>
      </c>
      <c r="AB1571" s="168">
        <f t="shared" si="9"/>
        <v>0</v>
      </c>
    </row>
    <row r="1572" ht="14.25" customHeight="1">
      <c r="A1572" s="157" t="s">
        <v>8707</v>
      </c>
      <c r="B1572" s="169" t="s">
        <v>31</v>
      </c>
      <c r="C1572" s="169" t="s">
        <v>8708</v>
      </c>
      <c r="D1572" s="336">
        <v>44579.0</v>
      </c>
      <c r="E1572" s="157" t="s">
        <v>600</v>
      </c>
      <c r="F1572" s="160">
        <v>7491.98</v>
      </c>
      <c r="G1572" s="160">
        <v>1198.72</v>
      </c>
      <c r="H1572" s="160">
        <f>F1572+G1572-5000</f>
        <v>3690.7</v>
      </c>
      <c r="I1572" s="172"/>
      <c r="J1572" s="169"/>
      <c r="K1572" s="172"/>
      <c r="L1572" s="172">
        <f>+'FACUS$'!$H1572-'FACUS$'!$I1572-'FACUS$'!$K1572</f>
        <v>3690.7</v>
      </c>
      <c r="M1572" s="162" t="s">
        <v>3183</v>
      </c>
      <c r="N1572" s="337" t="s">
        <v>554</v>
      </c>
      <c r="O1572" s="338">
        <v>44687.0</v>
      </c>
      <c r="P1572" s="164">
        <f t="array" ref="P1572">XLOOKUP('FACUS$'!$B1572,'perfil de pagos'!$A$4:$A$46,'perfil de pagos'!$C$4:$C$46+'FACUS$'!$D1572)</f>
        <v>44582</v>
      </c>
      <c r="Q1572" s="165">
        <f t="shared" si="2"/>
        <v>0</v>
      </c>
      <c r="R1572" s="220" t="s">
        <v>8709</v>
      </c>
      <c r="S1572" s="167"/>
      <c r="T1572" s="167"/>
      <c r="U1572" s="334" t="s">
        <v>7271</v>
      </c>
      <c r="V1572" s="168">
        <f t="shared" si="3"/>
        <v>3690.7</v>
      </c>
      <c r="W1572" s="168">
        <f t="shared" si="4"/>
        <v>0</v>
      </c>
      <c r="X1572" s="168">
        <f t="shared" si="5"/>
        <v>0</v>
      </c>
      <c r="Y1572" s="168">
        <f t="shared" si="6"/>
        <v>0</v>
      </c>
      <c r="Z1572" s="168">
        <f t="shared" si="7"/>
        <v>0</v>
      </c>
      <c r="AA1572" s="168">
        <f t="shared" si="8"/>
        <v>0</v>
      </c>
      <c r="AB1572" s="168">
        <f t="shared" si="9"/>
        <v>0</v>
      </c>
    </row>
    <row r="1573" ht="14.25" customHeight="1">
      <c r="A1573" s="157" t="s">
        <v>8710</v>
      </c>
      <c r="B1573" s="169" t="s">
        <v>17</v>
      </c>
      <c r="C1573" s="169" t="s">
        <v>8711</v>
      </c>
      <c r="D1573" s="336">
        <v>44581.0</v>
      </c>
      <c r="E1573" s="157" t="s">
        <v>600</v>
      </c>
      <c r="F1573" s="160">
        <v>27042.95</v>
      </c>
      <c r="G1573" s="160">
        <v>4326.87</v>
      </c>
      <c r="H1573" s="160">
        <f t="shared" ref="H1573:H1591" si="54">F1573+G1573</f>
        <v>31369.82</v>
      </c>
      <c r="I1573" s="172"/>
      <c r="J1573" s="169"/>
      <c r="K1573" s="172"/>
      <c r="L1573" s="172">
        <f>+'FACUS$'!$H1573-'FACUS$'!$I1573-'FACUS$'!$K1573</f>
        <v>31369.82</v>
      </c>
      <c r="M1573" s="162" t="s">
        <v>17</v>
      </c>
      <c r="N1573" s="337" t="s">
        <v>554</v>
      </c>
      <c r="O1573" s="338">
        <v>44595.0</v>
      </c>
      <c r="P1573" s="164">
        <f t="array" ref="P1573">XLOOKUP('FACUS$'!$B1573,'perfil de pagos'!$A$4:$A$46,'perfil de pagos'!$C$4:$C$46+'FACUS$'!$D1573)</f>
        <v>44591</v>
      </c>
      <c r="Q1573" s="165">
        <f t="shared" si="2"/>
        <v>0</v>
      </c>
      <c r="R1573" s="167"/>
      <c r="S1573" s="167">
        <v>1314.0</v>
      </c>
      <c r="T1573" s="167"/>
      <c r="U1573" s="334" t="s">
        <v>7271</v>
      </c>
      <c r="V1573" s="168">
        <f t="shared" si="3"/>
        <v>31369.82</v>
      </c>
      <c r="W1573" s="168">
        <f t="shared" si="4"/>
        <v>0</v>
      </c>
      <c r="X1573" s="168">
        <f t="shared" si="5"/>
        <v>0</v>
      </c>
      <c r="Y1573" s="168">
        <f t="shared" si="6"/>
        <v>0</v>
      </c>
      <c r="Z1573" s="168">
        <f t="shared" si="7"/>
        <v>0</v>
      </c>
      <c r="AA1573" s="168">
        <f t="shared" si="8"/>
        <v>0</v>
      </c>
      <c r="AB1573" s="168">
        <f t="shared" si="9"/>
        <v>0</v>
      </c>
    </row>
    <row r="1574" ht="14.25" customHeight="1">
      <c r="A1574" s="157" t="s">
        <v>8712</v>
      </c>
      <c r="B1574" s="169" t="s">
        <v>35</v>
      </c>
      <c r="C1574" s="169" t="s">
        <v>8711</v>
      </c>
      <c r="D1574" s="336">
        <v>44581.0</v>
      </c>
      <c r="E1574" s="157" t="s">
        <v>600</v>
      </c>
      <c r="F1574" s="160">
        <v>17420.96</v>
      </c>
      <c r="G1574" s="160">
        <v>2787.35</v>
      </c>
      <c r="H1574" s="160">
        <f t="shared" si="54"/>
        <v>20208.31</v>
      </c>
      <c r="I1574" s="172"/>
      <c r="J1574" s="169"/>
      <c r="K1574" s="172"/>
      <c r="L1574" s="172">
        <f>+'FACUS$'!$H1574-'FACUS$'!$I1574-'FACUS$'!$K1574</f>
        <v>20208.31</v>
      </c>
      <c r="M1574" s="162" t="s">
        <v>276</v>
      </c>
      <c r="N1574" s="337" t="s">
        <v>554</v>
      </c>
      <c r="O1574" s="338">
        <v>44614.0</v>
      </c>
      <c r="P1574" s="164">
        <f t="array" ref="P1574">XLOOKUP('FACUS$'!$B1574,'perfil de pagos'!$A$4:$A$46,'perfil de pagos'!$C$4:$C$46+'FACUS$'!$D1574)</f>
        <v>44591</v>
      </c>
      <c r="Q1574" s="165">
        <f t="shared" si="2"/>
        <v>0</v>
      </c>
      <c r="R1574" s="167"/>
      <c r="S1574" s="167">
        <v>1292.0</v>
      </c>
      <c r="T1574" s="167"/>
      <c r="U1574" s="334" t="s">
        <v>7271</v>
      </c>
      <c r="V1574" s="168">
        <f t="shared" si="3"/>
        <v>20208.31</v>
      </c>
      <c r="W1574" s="168">
        <f t="shared" si="4"/>
        <v>0</v>
      </c>
      <c r="X1574" s="168">
        <f t="shared" si="5"/>
        <v>0</v>
      </c>
      <c r="Y1574" s="168">
        <f t="shared" si="6"/>
        <v>0</v>
      </c>
      <c r="Z1574" s="168">
        <f t="shared" si="7"/>
        <v>0</v>
      </c>
      <c r="AA1574" s="168">
        <f t="shared" si="8"/>
        <v>0</v>
      </c>
      <c r="AB1574" s="168">
        <f t="shared" si="9"/>
        <v>0</v>
      </c>
    </row>
    <row r="1575" ht="14.25" customHeight="1">
      <c r="A1575" s="157" t="s">
        <v>8713</v>
      </c>
      <c r="B1575" s="169" t="s">
        <v>36</v>
      </c>
      <c r="C1575" s="169" t="s">
        <v>8711</v>
      </c>
      <c r="D1575" s="336">
        <v>44581.0</v>
      </c>
      <c r="E1575" s="157" t="s">
        <v>600</v>
      </c>
      <c r="F1575" s="160">
        <v>1609.74</v>
      </c>
      <c r="G1575" s="160">
        <v>257.56</v>
      </c>
      <c r="H1575" s="160">
        <f t="shared" si="54"/>
        <v>1867.3</v>
      </c>
      <c r="I1575" s="172"/>
      <c r="J1575" s="169"/>
      <c r="K1575" s="172"/>
      <c r="L1575" s="172">
        <f>+'FACUS$'!$H1575-'FACUS$'!$I1575-'FACUS$'!$K1575</f>
        <v>1867.3</v>
      </c>
      <c r="M1575" s="162" t="s">
        <v>278</v>
      </c>
      <c r="N1575" s="337" t="s">
        <v>554</v>
      </c>
      <c r="O1575" s="338">
        <v>44606.0</v>
      </c>
      <c r="P1575" s="164">
        <f t="array" ref="P1575">XLOOKUP('FACUS$'!$B1575,'perfil de pagos'!$A$4:$A$46,'perfil de pagos'!$C$4:$C$46+'FACUS$'!$D1575)</f>
        <v>44591</v>
      </c>
      <c r="Q1575" s="165">
        <f t="shared" si="2"/>
        <v>0</v>
      </c>
      <c r="R1575" s="247" t="s">
        <v>8714</v>
      </c>
      <c r="S1575" s="167"/>
      <c r="T1575" s="167"/>
      <c r="U1575" s="334" t="s">
        <v>7271</v>
      </c>
      <c r="V1575" s="168">
        <f t="shared" si="3"/>
        <v>1867.3</v>
      </c>
      <c r="W1575" s="168">
        <f t="shared" si="4"/>
        <v>0</v>
      </c>
      <c r="X1575" s="168">
        <f t="shared" si="5"/>
        <v>0</v>
      </c>
      <c r="Y1575" s="168">
        <f t="shared" si="6"/>
        <v>0</v>
      </c>
      <c r="Z1575" s="168">
        <f t="shared" si="7"/>
        <v>0</v>
      </c>
      <c r="AA1575" s="168">
        <f t="shared" si="8"/>
        <v>0</v>
      </c>
      <c r="AB1575" s="168">
        <f t="shared" si="9"/>
        <v>0</v>
      </c>
    </row>
    <row r="1576" ht="14.25" customHeight="1">
      <c r="A1576" s="157" t="s">
        <v>8715</v>
      </c>
      <c r="B1576" s="169" t="s">
        <v>41</v>
      </c>
      <c r="C1576" s="169" t="s">
        <v>8711</v>
      </c>
      <c r="D1576" s="336">
        <v>44581.0</v>
      </c>
      <c r="E1576" s="157" t="s">
        <v>600</v>
      </c>
      <c r="F1576" s="160">
        <v>60312.51</v>
      </c>
      <c r="G1576" s="160">
        <f>'FACUS$'!$F1576*0.16</f>
        <v>9650.0016</v>
      </c>
      <c r="H1576" s="160">
        <f t="shared" si="54"/>
        <v>69962.5116</v>
      </c>
      <c r="I1576" s="172"/>
      <c r="J1576" s="169"/>
      <c r="K1576" s="172"/>
      <c r="L1576" s="172">
        <f>+'FACUS$'!$H1576-'FACUS$'!$I1576-'FACUS$'!$K1576</f>
        <v>69962.5116</v>
      </c>
      <c r="M1576" s="162" t="s">
        <v>875</v>
      </c>
      <c r="N1576" s="337" t="s">
        <v>554</v>
      </c>
      <c r="O1576" s="338">
        <v>44624.0</v>
      </c>
      <c r="P1576" s="164">
        <f t="array" ref="P1576">XLOOKUP('FACUS$'!$B1576,'perfil de pagos'!$A$4:$A$46,'perfil de pagos'!$C$4:$C$46+'FACUS$'!$D1576)</f>
        <v>44591</v>
      </c>
      <c r="Q1576" s="165">
        <f t="shared" si="2"/>
        <v>0</v>
      </c>
      <c r="R1576" s="167"/>
      <c r="S1576" s="167">
        <v>1312.0</v>
      </c>
      <c r="T1576" s="167"/>
      <c r="U1576" s="334" t="s">
        <v>7271</v>
      </c>
      <c r="V1576" s="168">
        <f t="shared" si="3"/>
        <v>69962.5116</v>
      </c>
      <c r="W1576" s="168">
        <f t="shared" si="4"/>
        <v>0</v>
      </c>
      <c r="X1576" s="168">
        <f t="shared" si="5"/>
        <v>0</v>
      </c>
      <c r="Y1576" s="168">
        <f t="shared" si="6"/>
        <v>0</v>
      </c>
      <c r="Z1576" s="168">
        <f t="shared" si="7"/>
        <v>0</v>
      </c>
      <c r="AA1576" s="168">
        <f t="shared" si="8"/>
        <v>0</v>
      </c>
      <c r="AB1576" s="168">
        <f t="shared" si="9"/>
        <v>0</v>
      </c>
    </row>
    <row r="1577" ht="14.25" customHeight="1">
      <c r="A1577" s="157" t="s">
        <v>8716</v>
      </c>
      <c r="B1577" s="169" t="s">
        <v>43</v>
      </c>
      <c r="C1577" s="169" t="s">
        <v>8711</v>
      </c>
      <c r="D1577" s="336">
        <v>44581.0</v>
      </c>
      <c r="E1577" s="157" t="s">
        <v>600</v>
      </c>
      <c r="F1577" s="160">
        <v>80963.41</v>
      </c>
      <c r="G1577" s="160">
        <v>12954.15</v>
      </c>
      <c r="H1577" s="160">
        <f t="shared" si="54"/>
        <v>93917.56</v>
      </c>
      <c r="I1577" s="172"/>
      <c r="J1577" s="169"/>
      <c r="K1577" s="172"/>
      <c r="L1577" s="172">
        <f>+'FACUS$'!$H1577-'FACUS$'!$I1577-'FACUS$'!$K1577</f>
        <v>93917.56</v>
      </c>
      <c r="M1577" s="162" t="s">
        <v>43</v>
      </c>
      <c r="N1577" s="337" t="s">
        <v>554</v>
      </c>
      <c r="O1577" s="338">
        <v>44620.0</v>
      </c>
      <c r="P1577" s="164">
        <f t="array" ref="P1577">XLOOKUP('FACUS$'!$B1577,'perfil de pagos'!$A$4:$A$46,'perfil de pagos'!$C$4:$C$46+'FACUS$'!$D1577)</f>
        <v>44606</v>
      </c>
      <c r="Q1577" s="165">
        <f t="shared" si="2"/>
        <v>0</v>
      </c>
      <c r="R1577" s="167"/>
      <c r="S1577" s="167">
        <v>1303.0</v>
      </c>
      <c r="T1577" s="167"/>
      <c r="U1577" s="334" t="s">
        <v>7271</v>
      </c>
      <c r="V1577" s="168">
        <f t="shared" si="3"/>
        <v>93917.56</v>
      </c>
      <c r="W1577" s="168">
        <f t="shared" si="4"/>
        <v>0</v>
      </c>
      <c r="X1577" s="168">
        <f t="shared" si="5"/>
        <v>0</v>
      </c>
      <c r="Y1577" s="168">
        <f t="shared" si="6"/>
        <v>0</v>
      </c>
      <c r="Z1577" s="168">
        <f t="shared" si="7"/>
        <v>0</v>
      </c>
      <c r="AA1577" s="168">
        <f t="shared" si="8"/>
        <v>0</v>
      </c>
      <c r="AB1577" s="168">
        <f t="shared" si="9"/>
        <v>0</v>
      </c>
    </row>
    <row r="1578" ht="14.25" customHeight="1">
      <c r="A1578" s="157" t="s">
        <v>8717</v>
      </c>
      <c r="B1578" s="169" t="s">
        <v>33</v>
      </c>
      <c r="C1578" s="169" t="s">
        <v>8711</v>
      </c>
      <c r="D1578" s="336">
        <v>44581.0</v>
      </c>
      <c r="E1578" s="157" t="s">
        <v>600</v>
      </c>
      <c r="F1578" s="160">
        <v>58935.76</v>
      </c>
      <c r="G1578" s="160">
        <v>9429.72</v>
      </c>
      <c r="H1578" s="160">
        <f t="shared" si="54"/>
        <v>68365.48</v>
      </c>
      <c r="I1578" s="172"/>
      <c r="J1578" s="169"/>
      <c r="K1578" s="172"/>
      <c r="L1578" s="172">
        <f>+'FACUS$'!$H1578-'FACUS$'!$I1578-'FACUS$'!$K1578</f>
        <v>68365.48</v>
      </c>
      <c r="M1578" s="162" t="s">
        <v>958</v>
      </c>
      <c r="N1578" s="337" t="s">
        <v>554</v>
      </c>
      <c r="O1578" s="338">
        <v>44596.0</v>
      </c>
      <c r="P1578" s="164">
        <f t="array" ref="P1578">XLOOKUP('FACUS$'!$B1578,'perfil de pagos'!$A$4:$A$46,'perfil de pagos'!$C$4:$C$46+'FACUS$'!$D1578)</f>
        <v>44591</v>
      </c>
      <c r="Q1578" s="165">
        <f t="shared" si="2"/>
        <v>0</v>
      </c>
      <c r="R1578" s="167"/>
      <c r="S1578" s="167"/>
      <c r="T1578" s="167"/>
      <c r="U1578" s="334" t="s">
        <v>7271</v>
      </c>
      <c r="V1578" s="168">
        <f t="shared" si="3"/>
        <v>68365.48</v>
      </c>
      <c r="W1578" s="168">
        <f t="shared" si="4"/>
        <v>0</v>
      </c>
      <c r="X1578" s="168">
        <f t="shared" si="5"/>
        <v>0</v>
      </c>
      <c r="Y1578" s="168">
        <f t="shared" si="6"/>
        <v>0</v>
      </c>
      <c r="Z1578" s="168">
        <f t="shared" si="7"/>
        <v>0</v>
      </c>
      <c r="AA1578" s="168">
        <f t="shared" si="8"/>
        <v>0</v>
      </c>
      <c r="AB1578" s="168">
        <f t="shared" si="9"/>
        <v>0</v>
      </c>
    </row>
    <row r="1579" ht="14.25" customHeight="1">
      <c r="A1579" s="157" t="s">
        <v>8718</v>
      </c>
      <c r="B1579" s="169" t="s">
        <v>39</v>
      </c>
      <c r="C1579" s="169" t="s">
        <v>8719</v>
      </c>
      <c r="D1579" s="336">
        <v>44581.0</v>
      </c>
      <c r="E1579" s="157" t="s">
        <v>600</v>
      </c>
      <c r="F1579" s="160">
        <v>31746.89</v>
      </c>
      <c r="G1579" s="160">
        <v>5079.5</v>
      </c>
      <c r="H1579" s="160">
        <f t="shared" si="54"/>
        <v>36826.39</v>
      </c>
      <c r="I1579" s="172"/>
      <c r="J1579" s="169"/>
      <c r="K1579" s="172"/>
      <c r="L1579" s="172">
        <f>+'FACUS$'!$H1579-'FACUS$'!$I1579-'FACUS$'!$K1579</f>
        <v>36826.39</v>
      </c>
      <c r="M1579" s="162" t="s">
        <v>570</v>
      </c>
      <c r="N1579" s="337" t="s">
        <v>554</v>
      </c>
      <c r="O1579" s="338">
        <v>44596.0</v>
      </c>
      <c r="P1579" s="164">
        <f t="array" ref="P1579">XLOOKUP('FACUS$'!$B1579,'perfil de pagos'!$A$4:$A$46,'perfil de pagos'!$C$4:$C$46+'FACUS$'!$D1579)</f>
        <v>44591</v>
      </c>
      <c r="Q1579" s="165">
        <f t="shared" si="2"/>
        <v>0</v>
      </c>
      <c r="R1579" s="167"/>
      <c r="S1579" s="167"/>
      <c r="T1579" s="167"/>
      <c r="U1579" s="334" t="s">
        <v>7271</v>
      </c>
      <c r="V1579" s="168">
        <f t="shared" si="3"/>
        <v>36826.39</v>
      </c>
      <c r="W1579" s="168">
        <f t="shared" si="4"/>
        <v>0</v>
      </c>
      <c r="X1579" s="168">
        <f t="shared" si="5"/>
        <v>0</v>
      </c>
      <c r="Y1579" s="168">
        <f t="shared" si="6"/>
        <v>0</v>
      </c>
      <c r="Z1579" s="168">
        <f t="shared" si="7"/>
        <v>0</v>
      </c>
      <c r="AA1579" s="168">
        <f t="shared" si="8"/>
        <v>0</v>
      </c>
      <c r="AB1579" s="168">
        <f t="shared" si="9"/>
        <v>0</v>
      </c>
    </row>
    <row r="1580" ht="14.25" customHeight="1">
      <c r="A1580" s="157" t="s">
        <v>8720</v>
      </c>
      <c r="B1580" s="169" t="s">
        <v>39</v>
      </c>
      <c r="C1580" s="169" t="s">
        <v>8711</v>
      </c>
      <c r="D1580" s="336">
        <v>44581.0</v>
      </c>
      <c r="E1580" s="157" t="s">
        <v>600</v>
      </c>
      <c r="F1580" s="160">
        <v>30433.12</v>
      </c>
      <c r="G1580" s="160">
        <v>4869.3</v>
      </c>
      <c r="H1580" s="160">
        <f t="shared" si="54"/>
        <v>35302.42</v>
      </c>
      <c r="I1580" s="172"/>
      <c r="J1580" s="169"/>
      <c r="K1580" s="172"/>
      <c r="L1580" s="172">
        <f>+'FACUS$'!$H1580-'FACUS$'!$I1580-'FACUS$'!$K1580</f>
        <v>35302.42</v>
      </c>
      <c r="M1580" s="162" t="s">
        <v>570</v>
      </c>
      <c r="N1580" s="337" t="s">
        <v>554</v>
      </c>
      <c r="O1580" s="338">
        <v>44596.0</v>
      </c>
      <c r="P1580" s="164">
        <f t="array" ref="P1580">XLOOKUP('FACUS$'!$B1580,'perfil de pagos'!$A$4:$A$46,'perfil de pagos'!$C$4:$C$46+'FACUS$'!$D1580)</f>
        <v>44591</v>
      </c>
      <c r="Q1580" s="165">
        <f t="shared" si="2"/>
        <v>0</v>
      </c>
      <c r="R1580" s="167"/>
      <c r="S1580" s="167"/>
      <c r="T1580" s="167"/>
      <c r="U1580" s="334" t="s">
        <v>7271</v>
      </c>
      <c r="V1580" s="168">
        <f t="shared" si="3"/>
        <v>35302.42</v>
      </c>
      <c r="W1580" s="168">
        <f t="shared" si="4"/>
        <v>0</v>
      </c>
      <c r="X1580" s="168">
        <f t="shared" si="5"/>
        <v>0</v>
      </c>
      <c r="Y1580" s="168">
        <f t="shared" si="6"/>
        <v>0</v>
      </c>
      <c r="Z1580" s="168">
        <f t="shared" si="7"/>
        <v>0</v>
      </c>
      <c r="AA1580" s="168">
        <f t="shared" si="8"/>
        <v>0</v>
      </c>
      <c r="AB1580" s="168">
        <f t="shared" si="9"/>
        <v>0</v>
      </c>
    </row>
    <row r="1581" ht="14.25" customHeight="1">
      <c r="A1581" s="157" t="s">
        <v>8721</v>
      </c>
      <c r="B1581" s="169" t="s">
        <v>31</v>
      </c>
      <c r="C1581" s="169" t="s">
        <v>8722</v>
      </c>
      <c r="D1581" s="336">
        <v>44581.0</v>
      </c>
      <c r="E1581" s="157" t="s">
        <v>600</v>
      </c>
      <c r="F1581" s="160">
        <v>3515.11</v>
      </c>
      <c r="G1581" s="160">
        <v>562.42</v>
      </c>
      <c r="H1581" s="160">
        <f t="shared" si="54"/>
        <v>4077.53</v>
      </c>
      <c r="I1581" s="172"/>
      <c r="J1581" s="169"/>
      <c r="K1581" s="172"/>
      <c r="L1581" s="172">
        <f>+'FACUS$'!$H1581-'FACUS$'!$I1581-'FACUS$'!$K1581</f>
        <v>4077.53</v>
      </c>
      <c r="M1581" s="162" t="s">
        <v>3183</v>
      </c>
      <c r="N1581" s="337" t="s">
        <v>554</v>
      </c>
      <c r="O1581" s="338">
        <v>44729.0</v>
      </c>
      <c r="P1581" s="164">
        <f t="array" ref="P1581">XLOOKUP('FACUS$'!$B1581,'perfil de pagos'!$A$4:$A$46,'perfil de pagos'!$C$4:$C$46+'FACUS$'!$D1581)</f>
        <v>44584</v>
      </c>
      <c r="Q1581" s="165">
        <f t="shared" si="2"/>
        <v>0</v>
      </c>
      <c r="R1581" s="220" t="s">
        <v>8723</v>
      </c>
      <c r="S1581" s="167"/>
      <c r="T1581" s="167"/>
      <c r="U1581" s="334" t="s">
        <v>7271</v>
      </c>
      <c r="V1581" s="168">
        <f t="shared" si="3"/>
        <v>4077.53</v>
      </c>
      <c r="W1581" s="168">
        <f t="shared" si="4"/>
        <v>0</v>
      </c>
      <c r="X1581" s="168">
        <f t="shared" si="5"/>
        <v>0</v>
      </c>
      <c r="Y1581" s="168">
        <f t="shared" si="6"/>
        <v>0</v>
      </c>
      <c r="Z1581" s="168">
        <f t="shared" si="7"/>
        <v>0</v>
      </c>
      <c r="AA1581" s="168">
        <f t="shared" si="8"/>
        <v>0</v>
      </c>
      <c r="AB1581" s="168">
        <f t="shared" si="9"/>
        <v>0</v>
      </c>
    </row>
    <row r="1582" ht="14.25" customHeight="1">
      <c r="A1582" s="157" t="s">
        <v>8724</v>
      </c>
      <c r="B1582" s="169" t="s">
        <v>17</v>
      </c>
      <c r="C1582" s="169" t="s">
        <v>3444</v>
      </c>
      <c r="D1582" s="336">
        <v>44581.0</v>
      </c>
      <c r="E1582" s="157" t="s">
        <v>600</v>
      </c>
      <c r="F1582" s="160">
        <v>19657.96</v>
      </c>
      <c r="G1582" s="160">
        <v>3145.27</v>
      </c>
      <c r="H1582" s="160">
        <f t="shared" si="54"/>
        <v>22803.23</v>
      </c>
      <c r="I1582" s="172"/>
      <c r="J1582" s="169"/>
      <c r="K1582" s="172"/>
      <c r="L1582" s="172">
        <f>+'FACUS$'!$H1582-'FACUS$'!$I1582-'FACUS$'!$K1582</f>
        <v>22803.23</v>
      </c>
      <c r="M1582" s="162" t="s">
        <v>17</v>
      </c>
      <c r="N1582" s="337" t="s">
        <v>554</v>
      </c>
      <c r="O1582" s="338">
        <v>44595.0</v>
      </c>
      <c r="P1582" s="164">
        <f t="array" ref="P1582">XLOOKUP('FACUS$'!$B1582,'perfil de pagos'!$A$4:$A$46,'perfil de pagos'!$C$4:$C$46+'FACUS$'!$D1582)</f>
        <v>44591</v>
      </c>
      <c r="Q1582" s="165">
        <f t="shared" si="2"/>
        <v>0</v>
      </c>
      <c r="R1582" s="167"/>
      <c r="S1582" s="167">
        <v>1315.0</v>
      </c>
      <c r="T1582" s="167"/>
      <c r="U1582" s="334" t="s">
        <v>7271</v>
      </c>
      <c r="V1582" s="168">
        <f t="shared" si="3"/>
        <v>22803.23</v>
      </c>
      <c r="W1582" s="168">
        <f t="shared" si="4"/>
        <v>0</v>
      </c>
      <c r="X1582" s="168">
        <f t="shared" si="5"/>
        <v>0</v>
      </c>
      <c r="Y1582" s="168">
        <f t="shared" si="6"/>
        <v>0</v>
      </c>
      <c r="Z1582" s="168">
        <f t="shared" si="7"/>
        <v>0</v>
      </c>
      <c r="AA1582" s="168">
        <f t="shared" si="8"/>
        <v>0</v>
      </c>
      <c r="AB1582" s="168">
        <f t="shared" si="9"/>
        <v>0</v>
      </c>
    </row>
    <row r="1583" ht="14.25" customHeight="1">
      <c r="A1583" s="157" t="s">
        <v>8725</v>
      </c>
      <c r="B1583" s="169" t="s">
        <v>39</v>
      </c>
      <c r="C1583" s="169" t="s">
        <v>3366</v>
      </c>
      <c r="D1583" s="336">
        <v>44581.0</v>
      </c>
      <c r="E1583" s="157" t="s">
        <v>600</v>
      </c>
      <c r="F1583" s="160">
        <v>37287.17</v>
      </c>
      <c r="G1583" s="160">
        <v>5965.95</v>
      </c>
      <c r="H1583" s="160">
        <f t="shared" si="54"/>
        <v>43253.12</v>
      </c>
      <c r="I1583" s="172"/>
      <c r="J1583" s="169"/>
      <c r="K1583" s="172"/>
      <c r="L1583" s="172">
        <f>+'FACUS$'!$H1583-'FACUS$'!$I1583-'FACUS$'!$K1583</f>
        <v>43253.12</v>
      </c>
      <c r="M1583" s="162" t="s">
        <v>570</v>
      </c>
      <c r="N1583" s="337" t="s">
        <v>554</v>
      </c>
      <c r="O1583" s="338">
        <v>44589.0</v>
      </c>
      <c r="P1583" s="164">
        <f t="array" ref="P1583">XLOOKUP('FACUS$'!$B1583,'perfil de pagos'!$A$4:$A$46,'perfil de pagos'!$C$4:$C$46+'FACUS$'!$D1583)</f>
        <v>44591</v>
      </c>
      <c r="Q1583" s="165">
        <f t="shared" si="2"/>
        <v>0</v>
      </c>
      <c r="R1583" s="167"/>
      <c r="S1583" s="167"/>
      <c r="T1583" s="167"/>
      <c r="U1583" s="334" t="s">
        <v>7271</v>
      </c>
      <c r="V1583" s="168">
        <f t="shared" si="3"/>
        <v>43253.12</v>
      </c>
      <c r="W1583" s="168">
        <f t="shared" si="4"/>
        <v>0</v>
      </c>
      <c r="X1583" s="168">
        <f t="shared" si="5"/>
        <v>0</v>
      </c>
      <c r="Y1583" s="168">
        <f t="shared" si="6"/>
        <v>0</v>
      </c>
      <c r="Z1583" s="168">
        <f t="shared" si="7"/>
        <v>0</v>
      </c>
      <c r="AA1583" s="168">
        <f t="shared" si="8"/>
        <v>0</v>
      </c>
      <c r="AB1583" s="168">
        <f t="shared" si="9"/>
        <v>0</v>
      </c>
    </row>
    <row r="1584" ht="14.25" customHeight="1">
      <c r="A1584" s="157" t="s">
        <v>8726</v>
      </c>
      <c r="B1584" s="169" t="s">
        <v>39</v>
      </c>
      <c r="C1584" s="169" t="s">
        <v>8727</v>
      </c>
      <c r="D1584" s="336">
        <v>44581.0</v>
      </c>
      <c r="E1584" s="157" t="s">
        <v>600</v>
      </c>
      <c r="F1584" s="160">
        <v>37822.59</v>
      </c>
      <c r="G1584" s="160">
        <v>6051.61</v>
      </c>
      <c r="H1584" s="160">
        <f t="shared" si="54"/>
        <v>43874.2</v>
      </c>
      <c r="I1584" s="172"/>
      <c r="J1584" s="169"/>
      <c r="K1584" s="172"/>
      <c r="L1584" s="172">
        <f>+'FACUS$'!$H1584-'FACUS$'!$I1584-'FACUS$'!$K1584</f>
        <v>43874.2</v>
      </c>
      <c r="M1584" s="162" t="s">
        <v>570</v>
      </c>
      <c r="N1584" s="337" t="s">
        <v>554</v>
      </c>
      <c r="O1584" s="338">
        <v>44589.0</v>
      </c>
      <c r="P1584" s="164">
        <f t="array" ref="P1584">XLOOKUP('FACUS$'!$B1584,'perfil de pagos'!$A$4:$A$46,'perfil de pagos'!$C$4:$C$46+'FACUS$'!$D1584)</f>
        <v>44591</v>
      </c>
      <c r="Q1584" s="165">
        <f t="shared" si="2"/>
        <v>0</v>
      </c>
      <c r="R1584" s="167"/>
      <c r="S1584" s="167"/>
      <c r="T1584" s="167"/>
      <c r="U1584" s="334" t="s">
        <v>7271</v>
      </c>
      <c r="V1584" s="168">
        <f t="shared" si="3"/>
        <v>43874.2</v>
      </c>
      <c r="W1584" s="168">
        <f t="shared" si="4"/>
        <v>0</v>
      </c>
      <c r="X1584" s="168">
        <f t="shared" si="5"/>
        <v>0</v>
      </c>
      <c r="Y1584" s="168">
        <f t="shared" si="6"/>
        <v>0</v>
      </c>
      <c r="Z1584" s="168">
        <f t="shared" si="7"/>
        <v>0</v>
      </c>
      <c r="AA1584" s="168">
        <f t="shared" si="8"/>
        <v>0</v>
      </c>
      <c r="AB1584" s="168">
        <f t="shared" si="9"/>
        <v>0</v>
      </c>
      <c r="AC1584" s="81"/>
      <c r="AD1584" s="81"/>
      <c r="AE1584" s="81"/>
    </row>
    <row r="1585" ht="14.25" customHeight="1">
      <c r="A1585" s="210" t="s">
        <v>8728</v>
      </c>
      <c r="B1585" s="189" t="s">
        <v>31</v>
      </c>
      <c r="C1585" s="189" t="s">
        <v>8729</v>
      </c>
      <c r="D1585" s="375">
        <v>44581.0</v>
      </c>
      <c r="E1585" s="210" t="s">
        <v>600</v>
      </c>
      <c r="F1585" s="211">
        <v>65432.16</v>
      </c>
      <c r="G1585" s="211">
        <v>10469.15</v>
      </c>
      <c r="H1585" s="211">
        <f t="shared" si="54"/>
        <v>75901.31</v>
      </c>
      <c r="I1585" s="188"/>
      <c r="J1585" s="189"/>
      <c r="K1585" s="188"/>
      <c r="L1585" s="188">
        <f>+'FACUS$'!$H1585-'FACUS$'!$I1585-'FACUS$'!$K1585</f>
        <v>75901.31</v>
      </c>
      <c r="M1585" s="227" t="s">
        <v>3183</v>
      </c>
      <c r="N1585" s="376" t="s">
        <v>127</v>
      </c>
      <c r="O1585" s="377"/>
      <c r="P1585" s="245">
        <f t="array" ref="P1585">XLOOKUP('FACUS$'!$B1585,'perfil de pagos'!$A$4:$A$46,'perfil de pagos'!$C$4:$C$46+'FACUS$'!$D1585)</f>
        <v>44584</v>
      </c>
      <c r="Q1585" s="246" t="str">
        <f t="shared" si="2"/>
        <v>N/A</v>
      </c>
      <c r="R1585" s="223" t="s">
        <v>8730</v>
      </c>
      <c r="S1585" s="223"/>
      <c r="T1585" s="223"/>
      <c r="U1585" s="378" t="s">
        <v>7271</v>
      </c>
      <c r="V1585" s="168">
        <f t="shared" si="3"/>
        <v>0</v>
      </c>
      <c r="W1585" s="168">
        <f t="shared" si="4"/>
        <v>0</v>
      </c>
      <c r="X1585" s="168">
        <f t="shared" si="5"/>
        <v>0</v>
      </c>
      <c r="Y1585" s="168">
        <f t="shared" si="6"/>
        <v>0</v>
      </c>
      <c r="Z1585" s="168">
        <f t="shared" si="7"/>
        <v>0</v>
      </c>
      <c r="AA1585" s="168">
        <f t="shared" si="8"/>
        <v>0</v>
      </c>
      <c r="AB1585" s="168">
        <f t="shared" si="9"/>
        <v>75901.31</v>
      </c>
    </row>
    <row r="1586" ht="14.25" customHeight="1">
      <c r="A1586" s="157" t="s">
        <v>8731</v>
      </c>
      <c r="B1586" s="169" t="s">
        <v>18</v>
      </c>
      <c r="C1586" s="169" t="s">
        <v>8732</v>
      </c>
      <c r="D1586" s="336">
        <v>44582.0</v>
      </c>
      <c r="E1586" s="157" t="s">
        <v>600</v>
      </c>
      <c r="F1586" s="160">
        <v>9358.34</v>
      </c>
      <c r="G1586" s="160">
        <v>1497.33</v>
      </c>
      <c r="H1586" s="160">
        <f t="shared" si="54"/>
        <v>10855.67</v>
      </c>
      <c r="I1586" s="172"/>
      <c r="J1586" s="169"/>
      <c r="K1586" s="172"/>
      <c r="L1586" s="172">
        <f>+'FACUS$'!$H1586-'FACUS$'!$I1586-'FACUS$'!$K1586</f>
        <v>10855.67</v>
      </c>
      <c r="M1586" s="162" t="s">
        <v>586</v>
      </c>
      <c r="N1586" s="337" t="s">
        <v>554</v>
      </c>
      <c r="O1586" s="338">
        <v>44617.0</v>
      </c>
      <c r="P1586" s="164">
        <f t="array" ref="P1586">XLOOKUP('FACUS$'!$B1586,'perfil de pagos'!$A$4:$A$46,'perfil de pagos'!$C$4:$C$46+'FACUS$'!$D1586)</f>
        <v>44592</v>
      </c>
      <c r="Q1586" s="165">
        <f t="shared" si="2"/>
        <v>0</v>
      </c>
      <c r="R1586" s="167"/>
      <c r="S1586" s="167">
        <v>1302.0</v>
      </c>
      <c r="T1586" s="167"/>
      <c r="U1586" s="334" t="s">
        <v>7271</v>
      </c>
      <c r="V1586" s="168">
        <f t="shared" si="3"/>
        <v>10855.67</v>
      </c>
      <c r="W1586" s="168">
        <f t="shared" si="4"/>
        <v>0</v>
      </c>
      <c r="X1586" s="168">
        <f t="shared" si="5"/>
        <v>0</v>
      </c>
      <c r="Y1586" s="168">
        <f t="shared" si="6"/>
        <v>0</v>
      </c>
      <c r="Z1586" s="168">
        <f t="shared" si="7"/>
        <v>0</v>
      </c>
      <c r="AA1586" s="168">
        <f t="shared" si="8"/>
        <v>0</v>
      </c>
      <c r="AB1586" s="168">
        <f t="shared" si="9"/>
        <v>0</v>
      </c>
    </row>
    <row r="1587" ht="14.25" customHeight="1">
      <c r="A1587" s="157" t="s">
        <v>8733</v>
      </c>
      <c r="B1587" s="169" t="s">
        <v>20</v>
      </c>
      <c r="C1587" s="169" t="s">
        <v>8734</v>
      </c>
      <c r="D1587" s="336">
        <v>44582.0</v>
      </c>
      <c r="E1587" s="157" t="s">
        <v>600</v>
      </c>
      <c r="F1587" s="160">
        <v>11485.35</v>
      </c>
      <c r="G1587" s="160">
        <v>1837.66</v>
      </c>
      <c r="H1587" s="160">
        <f t="shared" si="54"/>
        <v>13323.01</v>
      </c>
      <c r="I1587" s="172"/>
      <c r="J1587" s="169"/>
      <c r="K1587" s="172"/>
      <c r="L1587" s="172">
        <f>+'FACUS$'!$H1587-'FACUS$'!$I1587-'FACUS$'!$K1587</f>
        <v>13323.01</v>
      </c>
      <c r="M1587" s="162" t="s">
        <v>732</v>
      </c>
      <c r="N1587" s="337" t="s">
        <v>554</v>
      </c>
      <c r="O1587" s="338">
        <v>44617.0</v>
      </c>
      <c r="P1587" s="164">
        <f t="array" ref="P1587">XLOOKUP('FACUS$'!$B1587,'perfil de pagos'!$A$4:$A$46,'perfil de pagos'!$C$4:$C$46+'FACUS$'!$D1587)</f>
        <v>44592</v>
      </c>
      <c r="Q1587" s="165">
        <f t="shared" si="2"/>
        <v>0</v>
      </c>
      <c r="R1587" s="167"/>
      <c r="S1587" s="167">
        <v>1302.0</v>
      </c>
      <c r="T1587" s="167"/>
      <c r="U1587" s="334" t="s">
        <v>7271</v>
      </c>
      <c r="V1587" s="168">
        <f t="shared" si="3"/>
        <v>13323.01</v>
      </c>
      <c r="W1587" s="168">
        <f t="shared" si="4"/>
        <v>0</v>
      </c>
      <c r="X1587" s="168">
        <f t="shared" si="5"/>
        <v>0</v>
      </c>
      <c r="Y1587" s="168">
        <f t="shared" si="6"/>
        <v>0</v>
      </c>
      <c r="Z1587" s="168">
        <f t="shared" si="7"/>
        <v>0</v>
      </c>
      <c r="AA1587" s="168">
        <f t="shared" si="8"/>
        <v>0</v>
      </c>
      <c r="AB1587" s="168">
        <f t="shared" si="9"/>
        <v>0</v>
      </c>
    </row>
    <row r="1588" ht="14.25" customHeight="1">
      <c r="A1588" s="157" t="s">
        <v>8735</v>
      </c>
      <c r="B1588" s="169" t="s">
        <v>22</v>
      </c>
      <c r="C1588" s="169" t="s">
        <v>8711</v>
      </c>
      <c r="D1588" s="336">
        <v>44582.0</v>
      </c>
      <c r="E1588" s="157" t="s">
        <v>600</v>
      </c>
      <c r="F1588" s="160">
        <v>2770.47</v>
      </c>
      <c r="G1588" s="160">
        <v>443.28</v>
      </c>
      <c r="H1588" s="160">
        <f t="shared" si="54"/>
        <v>3213.75</v>
      </c>
      <c r="I1588" s="172"/>
      <c r="J1588" s="169"/>
      <c r="K1588" s="172"/>
      <c r="L1588" s="172">
        <f>+'FACUS$'!$H1588-'FACUS$'!$I1588-'FACUS$'!$K1588</f>
        <v>3213.75</v>
      </c>
      <c r="M1588" s="162" t="s">
        <v>220</v>
      </c>
      <c r="N1588" s="337" t="s">
        <v>554</v>
      </c>
      <c r="O1588" s="338">
        <v>44634.0</v>
      </c>
      <c r="P1588" s="164">
        <f t="array" ref="P1588">XLOOKUP('FACUS$'!$B1588,'perfil de pagos'!$A$4:$A$46,'perfil de pagos'!$C$4:$C$46+'FACUS$'!$D1588)</f>
        <v>44592</v>
      </c>
      <c r="Q1588" s="165">
        <f t="shared" si="2"/>
        <v>0</v>
      </c>
      <c r="R1588" s="386"/>
      <c r="S1588" s="167"/>
      <c r="T1588" s="167"/>
      <c r="U1588" s="334" t="s">
        <v>7271</v>
      </c>
      <c r="V1588" s="168">
        <f t="shared" si="3"/>
        <v>3213.75</v>
      </c>
      <c r="W1588" s="168">
        <f t="shared" si="4"/>
        <v>0</v>
      </c>
      <c r="X1588" s="168">
        <f t="shared" si="5"/>
        <v>0</v>
      </c>
      <c r="Y1588" s="168">
        <f t="shared" si="6"/>
        <v>0</v>
      </c>
      <c r="Z1588" s="168">
        <f t="shared" si="7"/>
        <v>0</v>
      </c>
      <c r="AA1588" s="168">
        <f t="shared" si="8"/>
        <v>0</v>
      </c>
      <c r="AB1588" s="168">
        <f t="shared" si="9"/>
        <v>0</v>
      </c>
    </row>
    <row r="1589" ht="14.25" customHeight="1">
      <c r="A1589" s="157" t="s">
        <v>8736</v>
      </c>
      <c r="B1589" s="169" t="s">
        <v>26</v>
      </c>
      <c r="C1589" s="169" t="s">
        <v>8711</v>
      </c>
      <c r="D1589" s="336">
        <v>44582.0</v>
      </c>
      <c r="E1589" s="157" t="s">
        <v>600</v>
      </c>
      <c r="F1589" s="160">
        <v>5246.48</v>
      </c>
      <c r="G1589" s="160">
        <v>839.44</v>
      </c>
      <c r="H1589" s="160">
        <f t="shared" si="54"/>
        <v>6085.92</v>
      </c>
      <c r="I1589" s="172"/>
      <c r="J1589" s="169"/>
      <c r="K1589" s="172"/>
      <c r="L1589" s="172">
        <f>+'FACUS$'!$H1589-'FACUS$'!$I1589-'FACUS$'!$K1589</f>
        <v>6085.92</v>
      </c>
      <c r="M1589" s="162" t="s">
        <v>2386</v>
      </c>
      <c r="N1589" s="337" t="s">
        <v>554</v>
      </c>
      <c r="O1589" s="338">
        <v>44781.0</v>
      </c>
      <c r="P1589" s="164">
        <f t="array" ref="P1589">XLOOKUP('FACUS$'!$B1589,'perfil de pagos'!$A$4:$A$46,'perfil de pagos'!$C$4:$C$46+'FACUS$'!$D1589)</f>
        <v>44612</v>
      </c>
      <c r="Q1589" s="165">
        <f t="shared" si="2"/>
        <v>0</v>
      </c>
      <c r="R1589" s="220" t="s">
        <v>8737</v>
      </c>
      <c r="S1589" s="167">
        <v>1521.0</v>
      </c>
      <c r="T1589" s="167"/>
      <c r="U1589" s="334" t="s">
        <v>7271</v>
      </c>
      <c r="V1589" s="168">
        <f t="shared" si="3"/>
        <v>6085.92</v>
      </c>
      <c r="W1589" s="168">
        <f t="shared" si="4"/>
        <v>0</v>
      </c>
      <c r="X1589" s="168">
        <f t="shared" si="5"/>
        <v>0</v>
      </c>
      <c r="Y1589" s="168">
        <f t="shared" si="6"/>
        <v>0</v>
      </c>
      <c r="Z1589" s="168">
        <f t="shared" si="7"/>
        <v>0</v>
      </c>
      <c r="AA1589" s="168">
        <f t="shared" si="8"/>
        <v>0</v>
      </c>
      <c r="AB1589" s="168">
        <f t="shared" si="9"/>
        <v>0</v>
      </c>
    </row>
    <row r="1590" ht="14.25" customHeight="1">
      <c r="A1590" s="157" t="s">
        <v>8738</v>
      </c>
      <c r="B1590" s="169" t="s">
        <v>37</v>
      </c>
      <c r="C1590" s="169" t="s">
        <v>8711</v>
      </c>
      <c r="D1590" s="336">
        <v>44582.0</v>
      </c>
      <c r="E1590" s="157" t="s">
        <v>600</v>
      </c>
      <c r="F1590" s="160">
        <v>93770.74</v>
      </c>
      <c r="G1590" s="160">
        <v>15003.32</v>
      </c>
      <c r="H1590" s="160">
        <f t="shared" si="54"/>
        <v>108774.06</v>
      </c>
      <c r="I1590" s="172"/>
      <c r="J1590" s="169"/>
      <c r="K1590" s="172"/>
      <c r="L1590" s="172">
        <f>+'FACUS$'!$H1590-'FACUS$'!$I1590-'FACUS$'!$K1590</f>
        <v>108774.06</v>
      </c>
      <c r="M1590" s="162" t="s">
        <v>116</v>
      </c>
      <c r="N1590" s="337" t="s">
        <v>554</v>
      </c>
      <c r="O1590" s="338">
        <v>44600.0</v>
      </c>
      <c r="P1590" s="164">
        <f t="array" ref="P1590">XLOOKUP('FACUS$'!$B1590,'perfil de pagos'!$A$4:$A$46,'perfil de pagos'!$C$4:$C$46+'FACUS$'!$D1590)</f>
        <v>44592</v>
      </c>
      <c r="Q1590" s="165">
        <f t="shared" si="2"/>
        <v>0</v>
      </c>
      <c r="R1590" s="167" t="s">
        <v>8739</v>
      </c>
      <c r="S1590" s="167"/>
      <c r="T1590" s="167"/>
      <c r="U1590" s="334" t="s">
        <v>7271</v>
      </c>
      <c r="V1590" s="168">
        <f t="shared" si="3"/>
        <v>108774.06</v>
      </c>
      <c r="W1590" s="168">
        <f t="shared" si="4"/>
        <v>0</v>
      </c>
      <c r="X1590" s="168">
        <f t="shared" si="5"/>
        <v>0</v>
      </c>
      <c r="Y1590" s="168">
        <f t="shared" si="6"/>
        <v>0</v>
      </c>
      <c r="Z1590" s="168">
        <f t="shared" si="7"/>
        <v>0</v>
      </c>
      <c r="AA1590" s="168">
        <f t="shared" si="8"/>
        <v>0</v>
      </c>
      <c r="AB1590" s="168">
        <f t="shared" si="9"/>
        <v>0</v>
      </c>
    </row>
    <row r="1591" ht="14.25" customHeight="1">
      <c r="A1591" s="157" t="s">
        <v>8740</v>
      </c>
      <c r="B1591" s="169" t="s">
        <v>38</v>
      </c>
      <c r="C1591" s="169" t="s">
        <v>8741</v>
      </c>
      <c r="D1591" s="336">
        <v>44582.0</v>
      </c>
      <c r="E1591" s="157" t="s">
        <v>600</v>
      </c>
      <c r="F1591" s="160">
        <v>8700.04</v>
      </c>
      <c r="G1591" s="160">
        <v>1392.01</v>
      </c>
      <c r="H1591" s="160">
        <f t="shared" si="54"/>
        <v>10092.05</v>
      </c>
      <c r="I1591" s="172"/>
      <c r="J1591" s="169"/>
      <c r="K1591" s="172"/>
      <c r="L1591" s="172">
        <f>+'FACUS$'!$H1591-'FACUS$'!$I1591-'FACUS$'!$K1591</f>
        <v>10092.05</v>
      </c>
      <c r="M1591" s="162" t="s">
        <v>145</v>
      </c>
      <c r="N1591" s="337" t="s">
        <v>554</v>
      </c>
      <c r="O1591" s="338">
        <v>44648.0</v>
      </c>
      <c r="P1591" s="164">
        <f t="array" ref="P1591">XLOOKUP('FACUS$'!$B1591,'perfil de pagos'!$A$4:$A$46,'perfil de pagos'!$C$4:$C$46+'FACUS$'!$D1591)</f>
        <v>44612</v>
      </c>
      <c r="Q1591" s="165">
        <f t="shared" si="2"/>
        <v>0</v>
      </c>
      <c r="R1591" s="167"/>
      <c r="S1591" s="167"/>
      <c r="T1591" s="167"/>
      <c r="U1591" s="334" t="s">
        <v>7271</v>
      </c>
      <c r="V1591" s="168">
        <f t="shared" si="3"/>
        <v>10092.05</v>
      </c>
      <c r="W1591" s="168">
        <f t="shared" si="4"/>
        <v>0</v>
      </c>
      <c r="X1591" s="168">
        <f t="shared" si="5"/>
        <v>0</v>
      </c>
      <c r="Y1591" s="168">
        <f t="shared" si="6"/>
        <v>0</v>
      </c>
      <c r="Z1591" s="168">
        <f t="shared" si="7"/>
        <v>0</v>
      </c>
      <c r="AA1591" s="168">
        <f t="shared" si="8"/>
        <v>0</v>
      </c>
      <c r="AB1591" s="168">
        <f t="shared" si="9"/>
        <v>0</v>
      </c>
    </row>
    <row r="1592" ht="14.25" customHeight="1">
      <c r="A1592" s="157" t="s">
        <v>8742</v>
      </c>
      <c r="B1592" s="169" t="s">
        <v>31</v>
      </c>
      <c r="C1592" s="169" t="s">
        <v>8743</v>
      </c>
      <c r="D1592" s="336">
        <v>44588.0</v>
      </c>
      <c r="E1592" s="157" t="s">
        <v>600</v>
      </c>
      <c r="F1592" s="160">
        <v>4089.27</v>
      </c>
      <c r="G1592" s="160">
        <v>654.28</v>
      </c>
      <c r="H1592" s="160">
        <f>F1592+G1592-922.57</f>
        <v>3820.98</v>
      </c>
      <c r="I1592" s="172"/>
      <c r="J1592" s="169"/>
      <c r="K1592" s="172"/>
      <c r="L1592" s="172">
        <f>+'FACUS$'!$H1592-'FACUS$'!$I1592-'FACUS$'!$K1592</f>
        <v>3820.98</v>
      </c>
      <c r="M1592" s="162" t="s">
        <v>3183</v>
      </c>
      <c r="N1592" s="337" t="s">
        <v>554</v>
      </c>
      <c r="O1592" s="338">
        <v>44834.0</v>
      </c>
      <c r="P1592" s="164">
        <f t="array" ref="P1592">XLOOKUP('FACUS$'!$B1592,'perfil de pagos'!$A$4:$A$46,'perfil de pagos'!$C$4:$C$46+'FACUS$'!$D1592)</f>
        <v>44591</v>
      </c>
      <c r="Q1592" s="165">
        <f t="shared" si="2"/>
        <v>0</v>
      </c>
      <c r="R1592" s="220" t="s">
        <v>8744</v>
      </c>
      <c r="S1592" s="167"/>
      <c r="T1592" s="167"/>
      <c r="U1592" s="334" t="s">
        <v>7271</v>
      </c>
      <c r="V1592" s="168">
        <f t="shared" si="3"/>
        <v>3820.98</v>
      </c>
      <c r="W1592" s="168">
        <f t="shared" si="4"/>
        <v>0</v>
      </c>
      <c r="X1592" s="168">
        <f t="shared" si="5"/>
        <v>0</v>
      </c>
      <c r="Y1592" s="168">
        <f t="shared" si="6"/>
        <v>0</v>
      </c>
      <c r="Z1592" s="168">
        <f t="shared" si="7"/>
        <v>0</v>
      </c>
      <c r="AA1592" s="168">
        <f t="shared" si="8"/>
        <v>0</v>
      </c>
      <c r="AB1592" s="168">
        <f t="shared" si="9"/>
        <v>0</v>
      </c>
    </row>
    <row r="1593" ht="14.25" customHeight="1">
      <c r="A1593" s="157" t="s">
        <v>8745</v>
      </c>
      <c r="B1593" s="169" t="s">
        <v>31</v>
      </c>
      <c r="C1593" s="169" t="s">
        <v>8729</v>
      </c>
      <c r="D1593" s="336">
        <v>44589.0</v>
      </c>
      <c r="E1593" s="157" t="s">
        <v>600</v>
      </c>
      <c r="F1593" s="160">
        <v>2486.56</v>
      </c>
      <c r="G1593" s="160">
        <v>397.21</v>
      </c>
      <c r="H1593" s="160">
        <f t="shared" ref="H1593:H1642" si="55">F1593+G1593</f>
        <v>2883.77</v>
      </c>
      <c r="I1593" s="172"/>
      <c r="J1593" s="169"/>
      <c r="K1593" s="172"/>
      <c r="L1593" s="172">
        <f>+'FACUS$'!$H1593-'FACUS$'!$I1593-'FACUS$'!$K1593</f>
        <v>2883.77</v>
      </c>
      <c r="M1593" s="162" t="s">
        <v>3183</v>
      </c>
      <c r="N1593" s="337" t="s">
        <v>554</v>
      </c>
      <c r="O1593" s="338">
        <v>44617.0</v>
      </c>
      <c r="P1593" s="164">
        <f t="array" ref="P1593">XLOOKUP('FACUS$'!$B1593,'perfil de pagos'!$A$4:$A$46,'perfil de pagos'!$C$4:$C$46+'FACUS$'!$D1593)</f>
        <v>44592</v>
      </c>
      <c r="Q1593" s="165">
        <f t="shared" si="2"/>
        <v>0</v>
      </c>
      <c r="R1593" s="167"/>
      <c r="S1593" s="167"/>
      <c r="T1593" s="167"/>
      <c r="U1593" s="334" t="s">
        <v>7271</v>
      </c>
      <c r="V1593" s="168">
        <f t="shared" si="3"/>
        <v>2883.77</v>
      </c>
      <c r="W1593" s="168">
        <f t="shared" si="4"/>
        <v>0</v>
      </c>
      <c r="X1593" s="168">
        <f t="shared" si="5"/>
        <v>0</v>
      </c>
      <c r="Y1593" s="168">
        <f t="shared" si="6"/>
        <v>0</v>
      </c>
      <c r="Z1593" s="168">
        <f t="shared" si="7"/>
        <v>0</v>
      </c>
      <c r="AA1593" s="168">
        <f t="shared" si="8"/>
        <v>0</v>
      </c>
      <c r="AB1593" s="168">
        <f t="shared" si="9"/>
        <v>0</v>
      </c>
    </row>
    <row r="1594" ht="14.25" customHeight="1">
      <c r="A1594" s="157" t="s">
        <v>8746</v>
      </c>
      <c r="B1594" s="169" t="s">
        <v>17</v>
      </c>
      <c r="C1594" s="169" t="s">
        <v>3501</v>
      </c>
      <c r="D1594" s="336">
        <v>44596.0</v>
      </c>
      <c r="E1594" s="157" t="s">
        <v>600</v>
      </c>
      <c r="F1594" s="160">
        <v>20928.17</v>
      </c>
      <c r="G1594" s="160">
        <v>3348.51</v>
      </c>
      <c r="H1594" s="160">
        <f t="shared" si="55"/>
        <v>24276.68</v>
      </c>
      <c r="I1594" s="172"/>
      <c r="J1594" s="169"/>
      <c r="K1594" s="172"/>
      <c r="L1594" s="172">
        <f>+'FACUS$'!$H1594-'FACUS$'!$I1594-'FACUS$'!$K1594</f>
        <v>24276.68</v>
      </c>
      <c r="M1594" s="162" t="s">
        <v>17</v>
      </c>
      <c r="N1594" s="337" t="s">
        <v>554</v>
      </c>
      <c r="O1594" s="338">
        <v>44609.0</v>
      </c>
      <c r="P1594" s="164">
        <f t="array" ref="P1594">XLOOKUP('FACUS$'!$B1594,'perfil de pagos'!$A$4:$A$46,'perfil de pagos'!$C$4:$C$46+'FACUS$'!$D1594)</f>
        <v>44606</v>
      </c>
      <c r="Q1594" s="165">
        <f t="shared" si="2"/>
        <v>0</v>
      </c>
      <c r="R1594" s="167"/>
      <c r="S1594" s="167">
        <v>1316.0</v>
      </c>
      <c r="T1594" s="167"/>
      <c r="U1594" s="334" t="s">
        <v>7271</v>
      </c>
      <c r="V1594" s="168">
        <f t="shared" si="3"/>
        <v>24276.68</v>
      </c>
      <c r="W1594" s="168">
        <f t="shared" si="4"/>
        <v>0</v>
      </c>
      <c r="X1594" s="168">
        <f t="shared" si="5"/>
        <v>0</v>
      </c>
      <c r="Y1594" s="168">
        <f t="shared" si="6"/>
        <v>0</v>
      </c>
      <c r="Z1594" s="168">
        <f t="shared" si="7"/>
        <v>0</v>
      </c>
      <c r="AA1594" s="168">
        <f t="shared" si="8"/>
        <v>0</v>
      </c>
      <c r="AB1594" s="168">
        <f t="shared" si="9"/>
        <v>0</v>
      </c>
    </row>
    <row r="1595" ht="14.25" customHeight="1">
      <c r="A1595" s="157" t="s">
        <v>8747</v>
      </c>
      <c r="B1595" s="169" t="s">
        <v>17</v>
      </c>
      <c r="C1595" s="169" t="s">
        <v>8748</v>
      </c>
      <c r="D1595" s="336">
        <v>44596.0</v>
      </c>
      <c r="E1595" s="157" t="s">
        <v>600</v>
      </c>
      <c r="F1595" s="160">
        <v>25895.89</v>
      </c>
      <c r="G1595" s="160">
        <v>4143.34</v>
      </c>
      <c r="H1595" s="160">
        <f t="shared" si="55"/>
        <v>30039.23</v>
      </c>
      <c r="I1595" s="172"/>
      <c r="J1595" s="169"/>
      <c r="K1595" s="172"/>
      <c r="L1595" s="172">
        <f>+'FACUS$'!$H1595-'FACUS$'!$I1595-'FACUS$'!$K1595</f>
        <v>30039.23</v>
      </c>
      <c r="M1595" s="162" t="s">
        <v>17</v>
      </c>
      <c r="N1595" s="337" t="s">
        <v>554</v>
      </c>
      <c r="O1595" s="338">
        <v>44609.0</v>
      </c>
      <c r="P1595" s="164">
        <f t="array" ref="P1595">XLOOKUP('FACUS$'!$B1595,'perfil de pagos'!$A$4:$A$46,'perfil de pagos'!$C$4:$C$46+'FACUS$'!$D1595)</f>
        <v>44606</v>
      </c>
      <c r="Q1595" s="165">
        <f t="shared" si="2"/>
        <v>0</v>
      </c>
      <c r="R1595" s="167"/>
      <c r="S1595" s="167">
        <v>1317.0</v>
      </c>
      <c r="T1595" s="167"/>
      <c r="U1595" s="334" t="s">
        <v>7271</v>
      </c>
      <c r="V1595" s="168">
        <f t="shared" si="3"/>
        <v>30039.23</v>
      </c>
      <c r="W1595" s="168">
        <f t="shared" si="4"/>
        <v>0</v>
      </c>
      <c r="X1595" s="168">
        <f t="shared" si="5"/>
        <v>0</v>
      </c>
      <c r="Y1595" s="168">
        <f t="shared" si="6"/>
        <v>0</v>
      </c>
      <c r="Z1595" s="168">
        <f t="shared" si="7"/>
        <v>0</v>
      </c>
      <c r="AA1595" s="168">
        <f t="shared" si="8"/>
        <v>0</v>
      </c>
      <c r="AB1595" s="168">
        <f t="shared" si="9"/>
        <v>0</v>
      </c>
    </row>
    <row r="1596" ht="14.25" customHeight="1">
      <c r="A1596" s="157" t="s">
        <v>8749</v>
      </c>
      <c r="B1596" s="169" t="s">
        <v>18</v>
      </c>
      <c r="C1596" s="169" t="s">
        <v>8748</v>
      </c>
      <c r="D1596" s="336">
        <v>44596.0</v>
      </c>
      <c r="E1596" s="157" t="s">
        <v>600</v>
      </c>
      <c r="F1596" s="160">
        <v>10445.22</v>
      </c>
      <c r="G1596" s="160">
        <v>1671.24</v>
      </c>
      <c r="H1596" s="160">
        <f t="shared" si="55"/>
        <v>12116.46</v>
      </c>
      <c r="I1596" s="172"/>
      <c r="J1596" s="169"/>
      <c r="K1596" s="172"/>
      <c r="L1596" s="172">
        <f>+'FACUS$'!$H1596-'FACUS$'!$I1596-'FACUS$'!$K1596</f>
        <v>12116.46</v>
      </c>
      <c r="M1596" s="162" t="s">
        <v>586</v>
      </c>
      <c r="N1596" s="337" t="s">
        <v>554</v>
      </c>
      <c r="O1596" s="338">
        <v>44617.0</v>
      </c>
      <c r="P1596" s="164">
        <f t="array" ref="P1596">XLOOKUP('FACUS$'!$B1596,'perfil de pagos'!$A$4:$A$46,'perfil de pagos'!$C$4:$C$46+'FACUS$'!$D1596)</f>
        <v>44606</v>
      </c>
      <c r="Q1596" s="165">
        <f t="shared" si="2"/>
        <v>0</v>
      </c>
      <c r="R1596" s="167"/>
      <c r="S1596" s="167">
        <v>1302.0</v>
      </c>
      <c r="T1596" s="167"/>
      <c r="U1596" s="334" t="s">
        <v>7271</v>
      </c>
      <c r="V1596" s="168">
        <f t="shared" si="3"/>
        <v>12116.46</v>
      </c>
      <c r="W1596" s="168">
        <f t="shared" si="4"/>
        <v>0</v>
      </c>
      <c r="X1596" s="168">
        <f t="shared" si="5"/>
        <v>0</v>
      </c>
      <c r="Y1596" s="168">
        <f t="shared" si="6"/>
        <v>0</v>
      </c>
      <c r="Z1596" s="168">
        <f t="shared" si="7"/>
        <v>0</v>
      </c>
      <c r="AA1596" s="168">
        <f t="shared" si="8"/>
        <v>0</v>
      </c>
      <c r="AB1596" s="168">
        <f t="shared" si="9"/>
        <v>0</v>
      </c>
    </row>
    <row r="1597" ht="14.25" customHeight="1">
      <c r="A1597" s="157" t="s">
        <v>8750</v>
      </c>
      <c r="B1597" s="169" t="s">
        <v>20</v>
      </c>
      <c r="C1597" s="169" t="s">
        <v>8748</v>
      </c>
      <c r="D1597" s="336">
        <v>44596.0</v>
      </c>
      <c r="E1597" s="157" t="s">
        <v>600</v>
      </c>
      <c r="F1597" s="160">
        <v>13124.48</v>
      </c>
      <c r="G1597" s="160">
        <v>2099.92</v>
      </c>
      <c r="H1597" s="160">
        <f t="shared" si="55"/>
        <v>15224.4</v>
      </c>
      <c r="I1597" s="172"/>
      <c r="J1597" s="169"/>
      <c r="K1597" s="172"/>
      <c r="L1597" s="172">
        <f>+'FACUS$'!$H1597-'FACUS$'!$I1597-'FACUS$'!$K1597</f>
        <v>15224.4</v>
      </c>
      <c r="M1597" s="162" t="s">
        <v>732</v>
      </c>
      <c r="N1597" s="337" t="s">
        <v>554</v>
      </c>
      <c r="O1597" s="338">
        <v>44617.0</v>
      </c>
      <c r="P1597" s="164">
        <f t="array" ref="P1597">XLOOKUP('FACUS$'!$B1597,'perfil de pagos'!$A$4:$A$46,'perfil de pagos'!$C$4:$C$46+'FACUS$'!$D1597)</f>
        <v>44606</v>
      </c>
      <c r="Q1597" s="165">
        <f t="shared" si="2"/>
        <v>0</v>
      </c>
      <c r="R1597" s="167"/>
      <c r="S1597" s="167">
        <v>1302.0</v>
      </c>
      <c r="T1597" s="167"/>
      <c r="U1597" s="334" t="s">
        <v>7271</v>
      </c>
      <c r="V1597" s="168">
        <f t="shared" si="3"/>
        <v>15224.4</v>
      </c>
      <c r="W1597" s="168">
        <f t="shared" si="4"/>
        <v>0</v>
      </c>
      <c r="X1597" s="168">
        <f t="shared" si="5"/>
        <v>0</v>
      </c>
      <c r="Y1597" s="168">
        <f t="shared" si="6"/>
        <v>0</v>
      </c>
      <c r="Z1597" s="168">
        <f t="shared" si="7"/>
        <v>0</v>
      </c>
      <c r="AA1597" s="168">
        <f t="shared" si="8"/>
        <v>0</v>
      </c>
      <c r="AB1597" s="168">
        <f t="shared" si="9"/>
        <v>0</v>
      </c>
    </row>
    <row r="1598" ht="14.25" customHeight="1">
      <c r="A1598" s="157" t="s">
        <v>8751</v>
      </c>
      <c r="B1598" s="169" t="s">
        <v>26</v>
      </c>
      <c r="C1598" s="169" t="s">
        <v>3499</v>
      </c>
      <c r="D1598" s="336">
        <v>44596.0</v>
      </c>
      <c r="E1598" s="157" t="s">
        <v>600</v>
      </c>
      <c r="F1598" s="160">
        <v>1478.41</v>
      </c>
      <c r="G1598" s="160">
        <v>236.55</v>
      </c>
      <c r="H1598" s="160">
        <f t="shared" si="55"/>
        <v>1714.96</v>
      </c>
      <c r="I1598" s="172"/>
      <c r="J1598" s="169"/>
      <c r="K1598" s="172"/>
      <c r="L1598" s="172">
        <f>+'FACUS$'!$H1598-'FACUS$'!$I1598-'FACUS$'!$K1598</f>
        <v>1714.96</v>
      </c>
      <c r="M1598" s="162" t="s">
        <v>2386</v>
      </c>
      <c r="N1598" s="337" t="s">
        <v>554</v>
      </c>
      <c r="O1598" s="338">
        <v>44637.0</v>
      </c>
      <c r="P1598" s="164">
        <f t="array" ref="P1598">XLOOKUP('FACUS$'!$B1598,'perfil de pagos'!$A$4:$A$46,'perfil de pagos'!$C$4:$C$46+'FACUS$'!$D1598)</f>
        <v>44626</v>
      </c>
      <c r="Q1598" s="165">
        <f t="shared" si="2"/>
        <v>0</v>
      </c>
      <c r="R1598" s="167"/>
      <c r="S1598" s="167"/>
      <c r="T1598" s="167"/>
      <c r="U1598" s="334" t="s">
        <v>7271</v>
      </c>
      <c r="V1598" s="168">
        <f t="shared" si="3"/>
        <v>1714.96</v>
      </c>
      <c r="W1598" s="168">
        <f t="shared" si="4"/>
        <v>0</v>
      </c>
      <c r="X1598" s="168">
        <f t="shared" si="5"/>
        <v>0</v>
      </c>
      <c r="Y1598" s="168">
        <f t="shared" si="6"/>
        <v>0</v>
      </c>
      <c r="Z1598" s="168">
        <f t="shared" si="7"/>
        <v>0</v>
      </c>
      <c r="AA1598" s="168">
        <f t="shared" si="8"/>
        <v>0</v>
      </c>
      <c r="AB1598" s="168">
        <f t="shared" si="9"/>
        <v>0</v>
      </c>
    </row>
    <row r="1599" ht="14.25" customHeight="1">
      <c r="A1599" s="157" t="s">
        <v>8752</v>
      </c>
      <c r="B1599" s="169" t="s">
        <v>31</v>
      </c>
      <c r="C1599" s="169" t="s">
        <v>8748</v>
      </c>
      <c r="D1599" s="336">
        <v>44596.0</v>
      </c>
      <c r="E1599" s="157" t="s">
        <v>600</v>
      </c>
      <c r="F1599" s="160">
        <v>6225.75</v>
      </c>
      <c r="G1599" s="160">
        <v>996.12</v>
      </c>
      <c r="H1599" s="160">
        <f t="shared" si="55"/>
        <v>7221.87</v>
      </c>
      <c r="I1599" s="172"/>
      <c r="J1599" s="169"/>
      <c r="K1599" s="172"/>
      <c r="L1599" s="172">
        <f>+'FACUS$'!$H1599-'FACUS$'!$I1599-'FACUS$'!$K1599</f>
        <v>7221.87</v>
      </c>
      <c r="M1599" s="271" t="s">
        <v>3183</v>
      </c>
      <c r="N1599" s="337" t="s">
        <v>554</v>
      </c>
      <c r="O1599" s="338">
        <v>44834.0</v>
      </c>
      <c r="P1599" s="164">
        <f t="array" ref="P1599">XLOOKUP('FACUS$'!$B1599,'perfil de pagos'!$A$4:$A$46,'perfil de pagos'!$C$4:$C$46+'FACUS$'!$D1599)</f>
        <v>44599</v>
      </c>
      <c r="Q1599" s="165">
        <f t="shared" si="2"/>
        <v>0</v>
      </c>
      <c r="R1599" s="167"/>
      <c r="S1599" s="167"/>
      <c r="T1599" s="167"/>
      <c r="U1599" s="334" t="s">
        <v>7271</v>
      </c>
      <c r="V1599" s="168">
        <f t="shared" si="3"/>
        <v>7221.87</v>
      </c>
      <c r="W1599" s="168">
        <f t="shared" si="4"/>
        <v>0</v>
      </c>
      <c r="X1599" s="168">
        <f t="shared" si="5"/>
        <v>0</v>
      </c>
      <c r="Y1599" s="168">
        <f t="shared" si="6"/>
        <v>0</v>
      </c>
      <c r="Z1599" s="168">
        <f t="shared" si="7"/>
        <v>0</v>
      </c>
      <c r="AA1599" s="168">
        <f t="shared" si="8"/>
        <v>0</v>
      </c>
      <c r="AB1599" s="168">
        <f t="shared" si="9"/>
        <v>0</v>
      </c>
    </row>
    <row r="1600" ht="14.25" customHeight="1">
      <c r="A1600" s="157" t="s">
        <v>8753</v>
      </c>
      <c r="B1600" s="169" t="s">
        <v>33</v>
      </c>
      <c r="C1600" s="169" t="s">
        <v>3499</v>
      </c>
      <c r="D1600" s="336">
        <v>44596.0</v>
      </c>
      <c r="E1600" s="157" t="s">
        <v>600</v>
      </c>
      <c r="F1600" s="160">
        <v>66129.13</v>
      </c>
      <c r="G1600" s="160">
        <v>10580.66</v>
      </c>
      <c r="H1600" s="160">
        <f t="shared" si="55"/>
        <v>76709.79</v>
      </c>
      <c r="I1600" s="172"/>
      <c r="J1600" s="169"/>
      <c r="K1600" s="172"/>
      <c r="L1600" s="172">
        <f>+'FACUS$'!$H1600-'FACUS$'!$I1600-'FACUS$'!$K1600</f>
        <v>76709.79</v>
      </c>
      <c r="M1600" s="162" t="s">
        <v>958</v>
      </c>
      <c r="N1600" s="337" t="s">
        <v>554</v>
      </c>
      <c r="O1600" s="338">
        <v>44610.0</v>
      </c>
      <c r="P1600" s="164">
        <f t="array" ref="P1600">XLOOKUP('FACUS$'!$B1600,'perfil de pagos'!$A$4:$A$46,'perfil de pagos'!$C$4:$C$46+'FACUS$'!$D1600)</f>
        <v>44606</v>
      </c>
      <c r="Q1600" s="165">
        <f t="shared" si="2"/>
        <v>0</v>
      </c>
      <c r="R1600" s="167"/>
      <c r="S1600" s="167">
        <v>1293.0</v>
      </c>
      <c r="T1600" s="167"/>
      <c r="U1600" s="334" t="s">
        <v>7271</v>
      </c>
      <c r="V1600" s="168">
        <f t="shared" si="3"/>
        <v>76709.79</v>
      </c>
      <c r="W1600" s="168">
        <f t="shared" si="4"/>
        <v>0</v>
      </c>
      <c r="X1600" s="168">
        <f t="shared" si="5"/>
        <v>0</v>
      </c>
      <c r="Y1600" s="168">
        <f t="shared" si="6"/>
        <v>0</v>
      </c>
      <c r="Z1600" s="168">
        <f t="shared" si="7"/>
        <v>0</v>
      </c>
      <c r="AA1600" s="168">
        <f t="shared" si="8"/>
        <v>0</v>
      </c>
      <c r="AB1600" s="168">
        <f t="shared" si="9"/>
        <v>0</v>
      </c>
    </row>
    <row r="1601" ht="14.25" customHeight="1">
      <c r="A1601" s="157" t="s">
        <v>8754</v>
      </c>
      <c r="B1601" s="169" t="s">
        <v>35</v>
      </c>
      <c r="C1601" s="169" t="s">
        <v>3499</v>
      </c>
      <c r="D1601" s="336">
        <v>44596.0</v>
      </c>
      <c r="E1601" s="157" t="s">
        <v>600</v>
      </c>
      <c r="F1601" s="160">
        <v>22922.61</v>
      </c>
      <c r="G1601" s="160">
        <v>3667.62</v>
      </c>
      <c r="H1601" s="160">
        <f t="shared" si="55"/>
        <v>26590.23</v>
      </c>
      <c r="I1601" s="172"/>
      <c r="J1601" s="169"/>
      <c r="K1601" s="172"/>
      <c r="L1601" s="172">
        <f>+'FACUS$'!$H1601-'FACUS$'!$I1601-'FACUS$'!$K1601</f>
        <v>26590.23</v>
      </c>
      <c r="M1601" s="162" t="s">
        <v>276</v>
      </c>
      <c r="N1601" s="337" t="s">
        <v>554</v>
      </c>
      <c r="O1601" s="338">
        <v>44623.0</v>
      </c>
      <c r="P1601" s="164">
        <f t="array" ref="P1601">XLOOKUP('FACUS$'!$B1601,'perfil de pagos'!$A$4:$A$46,'perfil de pagos'!$C$4:$C$46+'FACUS$'!$D1601)</f>
        <v>44606</v>
      </c>
      <c r="Q1601" s="165">
        <f t="shared" si="2"/>
        <v>0</v>
      </c>
      <c r="R1601" s="167"/>
      <c r="S1601" s="167"/>
      <c r="T1601" s="167"/>
      <c r="U1601" s="334" t="s">
        <v>7271</v>
      </c>
      <c r="V1601" s="168">
        <f t="shared" si="3"/>
        <v>26590.23</v>
      </c>
      <c r="W1601" s="168">
        <f t="shared" si="4"/>
        <v>0</v>
      </c>
      <c r="X1601" s="168">
        <f t="shared" si="5"/>
        <v>0</v>
      </c>
      <c r="Y1601" s="168">
        <f t="shared" si="6"/>
        <v>0</v>
      </c>
      <c r="Z1601" s="168">
        <f t="shared" si="7"/>
        <v>0</v>
      </c>
      <c r="AA1601" s="168">
        <f t="shared" si="8"/>
        <v>0</v>
      </c>
      <c r="AB1601" s="168">
        <f t="shared" si="9"/>
        <v>0</v>
      </c>
    </row>
    <row r="1602" ht="14.25" customHeight="1">
      <c r="A1602" s="157" t="s">
        <v>8755</v>
      </c>
      <c r="B1602" s="169" t="s">
        <v>36</v>
      </c>
      <c r="C1602" s="169" t="s">
        <v>3499</v>
      </c>
      <c r="D1602" s="336">
        <v>44596.0</v>
      </c>
      <c r="E1602" s="157" t="s">
        <v>600</v>
      </c>
      <c r="F1602" s="160">
        <v>2540.13</v>
      </c>
      <c r="G1602" s="160">
        <v>406.42</v>
      </c>
      <c r="H1602" s="160">
        <f t="shared" si="55"/>
        <v>2946.55</v>
      </c>
      <c r="I1602" s="172"/>
      <c r="J1602" s="169"/>
      <c r="K1602" s="172"/>
      <c r="L1602" s="172">
        <f>+'FACUS$'!$H1602-'FACUS$'!$I1602-'FACUS$'!$K1602</f>
        <v>2946.55</v>
      </c>
      <c r="M1602" s="162" t="s">
        <v>278</v>
      </c>
      <c r="N1602" s="337" t="s">
        <v>554</v>
      </c>
      <c r="O1602" s="338">
        <v>44620.0</v>
      </c>
      <c r="P1602" s="164">
        <f t="array" ref="P1602">XLOOKUP('FACUS$'!$B1602,'perfil de pagos'!$A$4:$A$46,'perfil de pagos'!$C$4:$C$46+'FACUS$'!$D1602)</f>
        <v>44606</v>
      </c>
      <c r="Q1602" s="165">
        <f t="shared" si="2"/>
        <v>0</v>
      </c>
      <c r="R1602" s="220" t="s">
        <v>8756</v>
      </c>
      <c r="S1602" s="167"/>
      <c r="T1602" s="167"/>
      <c r="U1602" s="334" t="s">
        <v>7271</v>
      </c>
      <c r="V1602" s="168">
        <f t="shared" si="3"/>
        <v>2946.55</v>
      </c>
      <c r="W1602" s="168">
        <f t="shared" si="4"/>
        <v>0</v>
      </c>
      <c r="X1602" s="168">
        <f t="shared" si="5"/>
        <v>0</v>
      </c>
      <c r="Y1602" s="168">
        <f t="shared" si="6"/>
        <v>0</v>
      </c>
      <c r="Z1602" s="168">
        <f t="shared" si="7"/>
        <v>0</v>
      </c>
      <c r="AA1602" s="168">
        <f t="shared" si="8"/>
        <v>0</v>
      </c>
      <c r="AB1602" s="168">
        <f t="shared" si="9"/>
        <v>0</v>
      </c>
    </row>
    <row r="1603" ht="14.25" customHeight="1">
      <c r="A1603" s="157" t="s">
        <v>8757</v>
      </c>
      <c r="B1603" s="169" t="s">
        <v>37</v>
      </c>
      <c r="C1603" s="169" t="s">
        <v>3499</v>
      </c>
      <c r="D1603" s="336">
        <v>44596.0</v>
      </c>
      <c r="E1603" s="157" t="s">
        <v>600</v>
      </c>
      <c r="F1603" s="160">
        <v>115052.48</v>
      </c>
      <c r="G1603" s="160">
        <v>18408.4</v>
      </c>
      <c r="H1603" s="160">
        <f t="shared" si="55"/>
        <v>133460.88</v>
      </c>
      <c r="I1603" s="172"/>
      <c r="J1603" s="169"/>
      <c r="K1603" s="172"/>
      <c r="L1603" s="172">
        <f>+'FACUS$'!$H1603-'FACUS$'!$I1603-'FACUS$'!$K1603</f>
        <v>133460.88</v>
      </c>
      <c r="M1603" s="162" t="s">
        <v>116</v>
      </c>
      <c r="N1603" s="337" t="s">
        <v>554</v>
      </c>
      <c r="O1603" s="338">
        <v>44622.0</v>
      </c>
      <c r="P1603" s="164">
        <f t="array" ref="P1603">XLOOKUP('FACUS$'!$B1603,'perfil de pagos'!$A$4:$A$46,'perfil de pagos'!$C$4:$C$46+'FACUS$'!$D1603)</f>
        <v>44606</v>
      </c>
      <c r="Q1603" s="165">
        <f t="shared" si="2"/>
        <v>0</v>
      </c>
      <c r="R1603" s="167" t="s">
        <v>8758</v>
      </c>
      <c r="S1603" s="167"/>
      <c r="T1603" s="167"/>
      <c r="U1603" s="334" t="s">
        <v>7271</v>
      </c>
      <c r="V1603" s="168">
        <f t="shared" si="3"/>
        <v>133460.88</v>
      </c>
      <c r="W1603" s="168">
        <f t="shared" si="4"/>
        <v>0</v>
      </c>
      <c r="X1603" s="168">
        <f t="shared" si="5"/>
        <v>0</v>
      </c>
      <c r="Y1603" s="168">
        <f t="shared" si="6"/>
        <v>0</v>
      </c>
      <c r="Z1603" s="168">
        <f t="shared" si="7"/>
        <v>0</v>
      </c>
      <c r="AA1603" s="168">
        <f t="shared" si="8"/>
        <v>0</v>
      </c>
      <c r="AB1603" s="168">
        <f t="shared" si="9"/>
        <v>0</v>
      </c>
    </row>
    <row r="1604" ht="14.25" customHeight="1">
      <c r="A1604" s="157" t="s">
        <v>8759</v>
      </c>
      <c r="B1604" s="169" t="s">
        <v>38</v>
      </c>
      <c r="C1604" s="169" t="s">
        <v>3499</v>
      </c>
      <c r="D1604" s="336">
        <v>44596.0</v>
      </c>
      <c r="E1604" s="157" t="s">
        <v>600</v>
      </c>
      <c r="F1604" s="160">
        <v>14267.4</v>
      </c>
      <c r="G1604" s="160">
        <v>2282.78</v>
      </c>
      <c r="H1604" s="160">
        <f t="shared" si="55"/>
        <v>16550.18</v>
      </c>
      <c r="I1604" s="172"/>
      <c r="J1604" s="169"/>
      <c r="K1604" s="172"/>
      <c r="L1604" s="172">
        <f>+'FACUS$'!$H1604-'FACUS$'!$I1604-'FACUS$'!$K1604</f>
        <v>16550.18</v>
      </c>
      <c r="M1604" s="162" t="s">
        <v>145</v>
      </c>
      <c r="N1604" s="337" t="s">
        <v>554</v>
      </c>
      <c r="O1604" s="338">
        <v>44648.0</v>
      </c>
      <c r="P1604" s="164">
        <f t="array" ref="P1604">XLOOKUP('FACUS$'!$B1604,'perfil de pagos'!$A$4:$A$46,'perfil de pagos'!$C$4:$C$46+'FACUS$'!$D1604)</f>
        <v>44626</v>
      </c>
      <c r="Q1604" s="165">
        <f t="shared" si="2"/>
        <v>0</v>
      </c>
      <c r="R1604" s="167"/>
      <c r="S1604" s="167"/>
      <c r="T1604" s="167"/>
      <c r="U1604" s="334" t="s">
        <v>7271</v>
      </c>
      <c r="V1604" s="168">
        <f t="shared" si="3"/>
        <v>16550.18</v>
      </c>
      <c r="W1604" s="168">
        <f t="shared" si="4"/>
        <v>0</v>
      </c>
      <c r="X1604" s="168">
        <f t="shared" si="5"/>
        <v>0</v>
      </c>
      <c r="Y1604" s="168">
        <f t="shared" si="6"/>
        <v>0</v>
      </c>
      <c r="Z1604" s="168">
        <f t="shared" si="7"/>
        <v>0</v>
      </c>
      <c r="AA1604" s="168">
        <f t="shared" si="8"/>
        <v>0</v>
      </c>
      <c r="AB1604" s="168">
        <f t="shared" si="9"/>
        <v>0</v>
      </c>
    </row>
    <row r="1605" ht="14.25" customHeight="1">
      <c r="A1605" s="157" t="s">
        <v>8760</v>
      </c>
      <c r="B1605" s="169" t="s">
        <v>39</v>
      </c>
      <c r="C1605" s="169" t="s">
        <v>3501</v>
      </c>
      <c r="D1605" s="336">
        <v>44596.0</v>
      </c>
      <c r="E1605" s="157" t="s">
        <v>600</v>
      </c>
      <c r="F1605" s="160">
        <v>24462.73</v>
      </c>
      <c r="G1605" s="160">
        <v>3914.04</v>
      </c>
      <c r="H1605" s="160">
        <f t="shared" si="55"/>
        <v>28376.77</v>
      </c>
      <c r="I1605" s="172"/>
      <c r="J1605" s="169"/>
      <c r="K1605" s="172"/>
      <c r="L1605" s="172">
        <f>+'FACUS$'!$H1605-'FACUS$'!$I1605-'FACUS$'!$K1605</f>
        <v>28376.77</v>
      </c>
      <c r="M1605" s="162" t="s">
        <v>570</v>
      </c>
      <c r="N1605" s="337" t="s">
        <v>554</v>
      </c>
      <c r="O1605" s="338">
        <v>44603.0</v>
      </c>
      <c r="P1605" s="164">
        <f t="array" ref="P1605">XLOOKUP('FACUS$'!$B1605,'perfil de pagos'!$A$4:$A$46,'perfil de pagos'!$C$4:$C$46+'FACUS$'!$D1605)</f>
        <v>44606</v>
      </c>
      <c r="Q1605" s="165">
        <f t="shared" si="2"/>
        <v>0</v>
      </c>
      <c r="R1605" s="167"/>
      <c r="S1605" s="167"/>
      <c r="T1605" s="167"/>
      <c r="U1605" s="334" t="s">
        <v>7271</v>
      </c>
      <c r="V1605" s="168">
        <f t="shared" si="3"/>
        <v>28376.77</v>
      </c>
      <c r="W1605" s="168">
        <f t="shared" si="4"/>
        <v>0</v>
      </c>
      <c r="X1605" s="168">
        <f t="shared" si="5"/>
        <v>0</v>
      </c>
      <c r="Y1605" s="168">
        <f t="shared" si="6"/>
        <v>0</v>
      </c>
      <c r="Z1605" s="168">
        <f t="shared" si="7"/>
        <v>0</v>
      </c>
      <c r="AA1605" s="168">
        <f t="shared" si="8"/>
        <v>0</v>
      </c>
      <c r="AB1605" s="168">
        <f t="shared" si="9"/>
        <v>0</v>
      </c>
    </row>
    <row r="1606" ht="14.25" customHeight="1">
      <c r="A1606" s="157" t="s">
        <v>8761</v>
      </c>
      <c r="B1606" s="169" t="s">
        <v>39</v>
      </c>
      <c r="C1606" s="169" t="s">
        <v>3499</v>
      </c>
      <c r="D1606" s="336">
        <v>44596.0</v>
      </c>
      <c r="E1606" s="157" t="s">
        <v>600</v>
      </c>
      <c r="F1606" s="160">
        <v>21090.8</v>
      </c>
      <c r="G1606" s="160">
        <v>3374.53</v>
      </c>
      <c r="H1606" s="160">
        <f t="shared" si="55"/>
        <v>24465.33</v>
      </c>
      <c r="I1606" s="172"/>
      <c r="J1606" s="169"/>
      <c r="K1606" s="172"/>
      <c r="L1606" s="172">
        <f>+'FACUS$'!$H1606-'FACUS$'!$I1606-'FACUS$'!$K1606</f>
        <v>24465.33</v>
      </c>
      <c r="M1606" s="162" t="s">
        <v>570</v>
      </c>
      <c r="N1606" s="337" t="s">
        <v>554</v>
      </c>
      <c r="O1606" s="338">
        <v>44603.0</v>
      </c>
      <c r="P1606" s="164">
        <f t="array" ref="P1606">XLOOKUP('FACUS$'!$B1606,'perfil de pagos'!$A$4:$A$46,'perfil de pagos'!$C$4:$C$46+'FACUS$'!$D1606)</f>
        <v>44606</v>
      </c>
      <c r="Q1606" s="165">
        <f t="shared" si="2"/>
        <v>0</v>
      </c>
      <c r="R1606" s="167"/>
      <c r="S1606" s="167"/>
      <c r="T1606" s="167"/>
      <c r="U1606" s="334" t="s">
        <v>7271</v>
      </c>
      <c r="V1606" s="168">
        <f t="shared" si="3"/>
        <v>24465.33</v>
      </c>
      <c r="W1606" s="168">
        <f t="shared" si="4"/>
        <v>0</v>
      </c>
      <c r="X1606" s="168">
        <f t="shared" si="5"/>
        <v>0</v>
      </c>
      <c r="Y1606" s="168">
        <f t="shared" si="6"/>
        <v>0</v>
      </c>
      <c r="Z1606" s="168">
        <f t="shared" si="7"/>
        <v>0</v>
      </c>
      <c r="AA1606" s="168">
        <f t="shared" si="8"/>
        <v>0</v>
      </c>
      <c r="AB1606" s="168">
        <f t="shared" si="9"/>
        <v>0</v>
      </c>
    </row>
    <row r="1607" ht="14.25" customHeight="1">
      <c r="A1607" s="157" t="s">
        <v>8762</v>
      </c>
      <c r="B1607" s="169" t="s">
        <v>41</v>
      </c>
      <c r="C1607" s="169" t="s">
        <v>3499</v>
      </c>
      <c r="D1607" s="336">
        <v>44596.0</v>
      </c>
      <c r="E1607" s="157" t="s">
        <v>600</v>
      </c>
      <c r="F1607" s="160">
        <v>70564.95</v>
      </c>
      <c r="G1607" s="160">
        <v>11290.39</v>
      </c>
      <c r="H1607" s="160">
        <f t="shared" si="55"/>
        <v>81855.34</v>
      </c>
      <c r="I1607" s="172"/>
      <c r="J1607" s="169"/>
      <c r="K1607" s="172"/>
      <c r="L1607" s="172">
        <f>+'FACUS$'!$H1607-'FACUS$'!$I1607-'FACUS$'!$K1607</f>
        <v>81855.34</v>
      </c>
      <c r="M1607" s="162" t="s">
        <v>875</v>
      </c>
      <c r="N1607" s="337" t="s">
        <v>554</v>
      </c>
      <c r="O1607" s="338">
        <v>44643.0</v>
      </c>
      <c r="P1607" s="164">
        <f t="array" ref="P1607">XLOOKUP('FACUS$'!$B1607,'perfil de pagos'!$A$4:$A$46,'perfil de pagos'!$C$4:$C$46+'FACUS$'!$D1607)</f>
        <v>44606</v>
      </c>
      <c r="Q1607" s="165">
        <f t="shared" si="2"/>
        <v>0</v>
      </c>
      <c r="R1607" s="167"/>
      <c r="S1607" s="167">
        <v>1332.0</v>
      </c>
      <c r="T1607" s="167"/>
      <c r="U1607" s="334" t="s">
        <v>7271</v>
      </c>
      <c r="V1607" s="168">
        <f t="shared" si="3"/>
        <v>81855.34</v>
      </c>
      <c r="W1607" s="168">
        <f t="shared" si="4"/>
        <v>0</v>
      </c>
      <c r="X1607" s="168">
        <f t="shared" si="5"/>
        <v>0</v>
      </c>
      <c r="Y1607" s="168">
        <f t="shared" si="6"/>
        <v>0</v>
      </c>
      <c r="Z1607" s="168">
        <f t="shared" si="7"/>
        <v>0</v>
      </c>
      <c r="AA1607" s="168">
        <f t="shared" si="8"/>
        <v>0</v>
      </c>
      <c r="AB1607" s="168">
        <f t="shared" si="9"/>
        <v>0</v>
      </c>
    </row>
    <row r="1608" ht="14.25" customHeight="1">
      <c r="A1608" s="157" t="s">
        <v>8763</v>
      </c>
      <c r="B1608" s="169" t="s">
        <v>43</v>
      </c>
      <c r="C1608" s="169" t="s">
        <v>3499</v>
      </c>
      <c r="D1608" s="336">
        <v>44596.0</v>
      </c>
      <c r="E1608" s="157" t="s">
        <v>600</v>
      </c>
      <c r="F1608" s="160">
        <v>98167.6</v>
      </c>
      <c r="G1608" s="160">
        <v>15706.82</v>
      </c>
      <c r="H1608" s="160">
        <f t="shared" si="55"/>
        <v>113874.42</v>
      </c>
      <c r="I1608" s="172"/>
      <c r="J1608" s="169"/>
      <c r="K1608" s="172"/>
      <c r="L1608" s="172">
        <f>+'FACUS$'!$H1608-'FACUS$'!$I1608-'FACUS$'!$K1608</f>
        <v>113874.42</v>
      </c>
      <c r="M1608" s="162" t="s">
        <v>43</v>
      </c>
      <c r="N1608" s="337" t="s">
        <v>554</v>
      </c>
      <c r="O1608" s="338">
        <v>44620.0</v>
      </c>
      <c r="P1608" s="164">
        <f t="array" ref="P1608">XLOOKUP('FACUS$'!$B1608,'perfil de pagos'!$A$4:$A$46,'perfil de pagos'!$C$4:$C$46+'FACUS$'!$D1608)</f>
        <v>44621</v>
      </c>
      <c r="Q1608" s="165">
        <f t="shared" si="2"/>
        <v>0</v>
      </c>
      <c r="R1608" s="167"/>
      <c r="S1608" s="167">
        <v>1304.0</v>
      </c>
      <c r="T1608" s="167"/>
      <c r="U1608" s="334" t="s">
        <v>7271</v>
      </c>
      <c r="V1608" s="168">
        <f t="shared" si="3"/>
        <v>113874.42</v>
      </c>
      <c r="W1608" s="168">
        <f t="shared" si="4"/>
        <v>0</v>
      </c>
      <c r="X1608" s="168">
        <f t="shared" si="5"/>
        <v>0</v>
      </c>
      <c r="Y1608" s="168">
        <f t="shared" si="6"/>
        <v>0</v>
      </c>
      <c r="Z1608" s="168">
        <f t="shared" si="7"/>
        <v>0</v>
      </c>
      <c r="AA1608" s="168">
        <f t="shared" si="8"/>
        <v>0</v>
      </c>
      <c r="AB1608" s="168">
        <f t="shared" si="9"/>
        <v>0</v>
      </c>
    </row>
    <row r="1609" ht="14.25" customHeight="1">
      <c r="A1609" s="157" t="s">
        <v>8764</v>
      </c>
      <c r="B1609" s="169" t="s">
        <v>36</v>
      </c>
      <c r="C1609" s="169" t="s">
        <v>8765</v>
      </c>
      <c r="D1609" s="336">
        <v>44600.0</v>
      </c>
      <c r="E1609" s="157" t="s">
        <v>600</v>
      </c>
      <c r="F1609" s="160">
        <v>521.26</v>
      </c>
      <c r="G1609" s="160">
        <v>83.4</v>
      </c>
      <c r="H1609" s="160">
        <f t="shared" si="55"/>
        <v>604.66</v>
      </c>
      <c r="I1609" s="172"/>
      <c r="J1609" s="169"/>
      <c r="K1609" s="172"/>
      <c r="L1609" s="172">
        <f>+'FACUS$'!$H1609-'FACUS$'!$I1609-'FACUS$'!$K1609</f>
        <v>604.66</v>
      </c>
      <c r="M1609" s="162" t="s">
        <v>278</v>
      </c>
      <c r="N1609" s="337" t="s">
        <v>554</v>
      </c>
      <c r="O1609" s="338">
        <v>44620.0</v>
      </c>
      <c r="P1609" s="164">
        <f t="array" ref="P1609">XLOOKUP('FACUS$'!$B1609,'perfil de pagos'!$A$4:$A$46,'perfil de pagos'!$C$4:$C$46+'FACUS$'!$D1609)</f>
        <v>44610</v>
      </c>
      <c r="Q1609" s="165">
        <f t="shared" si="2"/>
        <v>0</v>
      </c>
      <c r="R1609" s="220" t="s">
        <v>8766</v>
      </c>
      <c r="S1609" s="167"/>
      <c r="T1609" s="167"/>
      <c r="U1609" s="334" t="s">
        <v>7271</v>
      </c>
      <c r="V1609" s="168">
        <f t="shared" si="3"/>
        <v>604.66</v>
      </c>
      <c r="W1609" s="168">
        <f t="shared" si="4"/>
        <v>0</v>
      </c>
      <c r="X1609" s="168">
        <f t="shared" si="5"/>
        <v>0</v>
      </c>
      <c r="Y1609" s="168">
        <f t="shared" si="6"/>
        <v>0</v>
      </c>
      <c r="Z1609" s="168">
        <f t="shared" si="7"/>
        <v>0</v>
      </c>
      <c r="AA1609" s="168">
        <f t="shared" si="8"/>
        <v>0</v>
      </c>
      <c r="AB1609" s="168">
        <f t="shared" si="9"/>
        <v>0</v>
      </c>
    </row>
    <row r="1610" ht="14.25" customHeight="1">
      <c r="A1610" s="157" t="s">
        <v>8767</v>
      </c>
      <c r="B1610" s="169" t="s">
        <v>17</v>
      </c>
      <c r="C1610" s="169" t="s">
        <v>8768</v>
      </c>
      <c r="D1610" s="336">
        <v>44600.0</v>
      </c>
      <c r="E1610" s="157" t="s">
        <v>600</v>
      </c>
      <c r="F1610" s="160">
        <v>1402.16</v>
      </c>
      <c r="G1610" s="160">
        <v>224.34</v>
      </c>
      <c r="H1610" s="160">
        <f t="shared" si="55"/>
        <v>1626.5</v>
      </c>
      <c r="I1610" s="172"/>
      <c r="J1610" s="169"/>
      <c r="K1610" s="172"/>
      <c r="L1610" s="172">
        <f>+'FACUS$'!$H1610-'FACUS$'!$I1610-'FACUS$'!$K1610</f>
        <v>1626.5</v>
      </c>
      <c r="M1610" s="162" t="s">
        <v>17</v>
      </c>
      <c r="N1610" s="337" t="s">
        <v>554</v>
      </c>
      <c r="O1610" s="338">
        <v>44623.0</v>
      </c>
      <c r="P1610" s="164">
        <f t="array" ref="P1610">XLOOKUP('FACUS$'!$B1610,'perfil de pagos'!$A$4:$A$46,'perfil de pagos'!$C$4:$C$46+'FACUS$'!$D1610)</f>
        <v>44610</v>
      </c>
      <c r="Q1610" s="165">
        <f t="shared" si="2"/>
        <v>0</v>
      </c>
      <c r="R1610" s="167"/>
      <c r="S1610" s="167">
        <v>1347.0</v>
      </c>
      <c r="T1610" s="167"/>
      <c r="U1610" s="334" t="s">
        <v>7271</v>
      </c>
      <c r="V1610" s="168">
        <f t="shared" si="3"/>
        <v>1626.5</v>
      </c>
      <c r="W1610" s="168">
        <f t="shared" si="4"/>
        <v>0</v>
      </c>
      <c r="X1610" s="168">
        <f t="shared" si="5"/>
        <v>0</v>
      </c>
      <c r="Y1610" s="168">
        <f t="shared" si="6"/>
        <v>0</v>
      </c>
      <c r="Z1610" s="168">
        <f t="shared" si="7"/>
        <v>0</v>
      </c>
      <c r="AA1610" s="168">
        <f t="shared" si="8"/>
        <v>0</v>
      </c>
      <c r="AB1610" s="168">
        <f t="shared" si="9"/>
        <v>0</v>
      </c>
    </row>
    <row r="1611" ht="14.25" customHeight="1">
      <c r="A1611" s="157" t="s">
        <v>8769</v>
      </c>
      <c r="B1611" s="169" t="s">
        <v>39</v>
      </c>
      <c r="C1611" s="169" t="s">
        <v>8768</v>
      </c>
      <c r="D1611" s="336">
        <v>44600.0</v>
      </c>
      <c r="E1611" s="157" t="s">
        <v>600</v>
      </c>
      <c r="F1611" s="160">
        <v>6389.97</v>
      </c>
      <c r="G1611" s="160">
        <v>1022.39</v>
      </c>
      <c r="H1611" s="160">
        <f t="shared" si="55"/>
        <v>7412.36</v>
      </c>
      <c r="I1611" s="172"/>
      <c r="J1611" s="169"/>
      <c r="K1611" s="172"/>
      <c r="L1611" s="172">
        <f>+'FACUS$'!$H1611-'FACUS$'!$I1611-'FACUS$'!$K1611</f>
        <v>7412.36</v>
      </c>
      <c r="M1611" s="162" t="s">
        <v>570</v>
      </c>
      <c r="N1611" s="337" t="s">
        <v>554</v>
      </c>
      <c r="O1611" s="338">
        <v>44617.0</v>
      </c>
      <c r="P1611" s="164">
        <f t="array" ref="P1611">XLOOKUP('FACUS$'!$B1611,'perfil de pagos'!$A$4:$A$46,'perfil de pagos'!$C$4:$C$46+'FACUS$'!$D1611)</f>
        <v>44610</v>
      </c>
      <c r="Q1611" s="165">
        <f t="shared" si="2"/>
        <v>0</v>
      </c>
      <c r="R1611" s="167"/>
      <c r="S1611" s="167"/>
      <c r="T1611" s="167"/>
      <c r="U1611" s="334" t="s">
        <v>7271</v>
      </c>
      <c r="V1611" s="168">
        <f t="shared" si="3"/>
        <v>7412.36</v>
      </c>
      <c r="W1611" s="168">
        <f t="shared" si="4"/>
        <v>0</v>
      </c>
      <c r="X1611" s="168">
        <f t="shared" si="5"/>
        <v>0</v>
      </c>
      <c r="Y1611" s="168">
        <f t="shared" si="6"/>
        <v>0</v>
      </c>
      <c r="Z1611" s="168">
        <f t="shared" si="7"/>
        <v>0</v>
      </c>
      <c r="AA1611" s="168">
        <f t="shared" si="8"/>
        <v>0</v>
      </c>
      <c r="AB1611" s="168">
        <f t="shared" si="9"/>
        <v>0</v>
      </c>
    </row>
    <row r="1612" ht="14.25" customHeight="1">
      <c r="A1612" s="157" t="s">
        <v>8770</v>
      </c>
      <c r="B1612" s="169" t="s">
        <v>31</v>
      </c>
      <c r="C1612" s="169" t="s">
        <v>8771</v>
      </c>
      <c r="D1612" s="336">
        <v>44602.0</v>
      </c>
      <c r="E1612" s="157" t="s">
        <v>600</v>
      </c>
      <c r="F1612" s="160">
        <v>4440.01</v>
      </c>
      <c r="G1612" s="160">
        <v>710.4</v>
      </c>
      <c r="H1612" s="160">
        <f t="shared" si="55"/>
        <v>5150.41</v>
      </c>
      <c r="I1612" s="172"/>
      <c r="J1612" s="169"/>
      <c r="K1612" s="172"/>
      <c r="L1612" s="172">
        <f>+'FACUS$'!$H1612-'FACUS$'!$I1612-'FACUS$'!$K1612</f>
        <v>5150.41</v>
      </c>
      <c r="M1612" s="162" t="s">
        <v>3183</v>
      </c>
      <c r="N1612" s="337" t="s">
        <v>554</v>
      </c>
      <c r="O1612" s="338">
        <v>44834.0</v>
      </c>
      <c r="P1612" s="164">
        <f t="array" ref="P1612">XLOOKUP('FACUS$'!$B1612,'perfil de pagos'!$A$4:$A$46,'perfil de pagos'!$C$4:$C$46+'FACUS$'!$D1612)</f>
        <v>44605</v>
      </c>
      <c r="Q1612" s="165">
        <f t="shared" si="2"/>
        <v>0</v>
      </c>
      <c r="R1612" s="167"/>
      <c r="S1612" s="167"/>
      <c r="T1612" s="167"/>
      <c r="U1612" s="334" t="s">
        <v>7271</v>
      </c>
      <c r="V1612" s="168">
        <f t="shared" si="3"/>
        <v>5150.41</v>
      </c>
      <c r="W1612" s="168">
        <f t="shared" si="4"/>
        <v>0</v>
      </c>
      <c r="X1612" s="168">
        <f t="shared" si="5"/>
        <v>0</v>
      </c>
      <c r="Y1612" s="168">
        <f t="shared" si="6"/>
        <v>0</v>
      </c>
      <c r="Z1612" s="168">
        <f t="shared" si="7"/>
        <v>0</v>
      </c>
      <c r="AA1612" s="168">
        <f t="shared" si="8"/>
        <v>0</v>
      </c>
      <c r="AB1612" s="168">
        <f t="shared" si="9"/>
        <v>0</v>
      </c>
    </row>
    <row r="1613" ht="14.25" customHeight="1">
      <c r="A1613" s="157" t="s">
        <v>8772</v>
      </c>
      <c r="B1613" s="169" t="s">
        <v>22</v>
      </c>
      <c r="C1613" s="169" t="s">
        <v>8748</v>
      </c>
      <c r="D1613" s="336">
        <v>44606.0</v>
      </c>
      <c r="E1613" s="157" t="s">
        <v>600</v>
      </c>
      <c r="F1613" s="160">
        <v>1116.56</v>
      </c>
      <c r="G1613" s="160">
        <v>178.65</v>
      </c>
      <c r="H1613" s="160">
        <f t="shared" si="55"/>
        <v>1295.21</v>
      </c>
      <c r="I1613" s="172"/>
      <c r="J1613" s="169"/>
      <c r="K1613" s="172"/>
      <c r="L1613" s="172">
        <f>+'FACUS$'!$H1613-'FACUS$'!$I1613-'FACUS$'!$K1613</f>
        <v>1295.21</v>
      </c>
      <c r="M1613" s="162" t="s">
        <v>2386</v>
      </c>
      <c r="N1613" s="337" t="s">
        <v>554</v>
      </c>
      <c r="O1613" s="338">
        <v>44634.0</v>
      </c>
      <c r="P1613" s="164">
        <f t="array" ref="P1613">XLOOKUP('FACUS$'!$B1613,'perfil de pagos'!$A$4:$A$46,'perfil de pagos'!$C$4:$C$46+'FACUS$'!$D1613)</f>
        <v>44616</v>
      </c>
      <c r="Q1613" s="165">
        <f t="shared" si="2"/>
        <v>0</v>
      </c>
      <c r="R1613" s="167"/>
      <c r="S1613" s="167"/>
      <c r="T1613" s="167"/>
      <c r="U1613" s="334" t="s">
        <v>7271</v>
      </c>
      <c r="V1613" s="168">
        <f t="shared" si="3"/>
        <v>1295.21</v>
      </c>
      <c r="W1613" s="168">
        <f t="shared" si="4"/>
        <v>0</v>
      </c>
      <c r="X1613" s="168">
        <f t="shared" si="5"/>
        <v>0</v>
      </c>
      <c r="Y1613" s="168">
        <f t="shared" si="6"/>
        <v>0</v>
      </c>
      <c r="Z1613" s="168">
        <f t="shared" si="7"/>
        <v>0</v>
      </c>
      <c r="AA1613" s="168">
        <f t="shared" si="8"/>
        <v>0</v>
      </c>
      <c r="AB1613" s="168">
        <f t="shared" si="9"/>
        <v>0</v>
      </c>
    </row>
    <row r="1614" ht="14.25" customHeight="1">
      <c r="A1614" s="157" t="s">
        <v>8773</v>
      </c>
      <c r="B1614" s="169" t="s">
        <v>17</v>
      </c>
      <c r="C1614" s="169" t="s">
        <v>730</v>
      </c>
      <c r="D1614" s="336">
        <v>44610.0</v>
      </c>
      <c r="E1614" s="157" t="s">
        <v>600</v>
      </c>
      <c r="F1614" s="160">
        <v>19729.87</v>
      </c>
      <c r="G1614" s="160">
        <v>3156.78</v>
      </c>
      <c r="H1614" s="160">
        <f t="shared" si="55"/>
        <v>22886.65</v>
      </c>
      <c r="I1614" s="172"/>
      <c r="J1614" s="169"/>
      <c r="K1614" s="172"/>
      <c r="L1614" s="172">
        <f>+'FACUS$'!$H1614-'FACUS$'!$I1614-'FACUS$'!$K1614</f>
        <v>22886.65</v>
      </c>
      <c r="M1614" s="162" t="s">
        <v>17</v>
      </c>
      <c r="N1614" s="337" t="s">
        <v>554</v>
      </c>
      <c r="O1614" s="338">
        <v>44616.0</v>
      </c>
      <c r="P1614" s="164">
        <f t="array" ref="P1614">XLOOKUP('FACUS$'!$B1614,'perfil de pagos'!$A$4:$A$46,'perfil de pagos'!$C$4:$C$46+'FACUS$'!$D1614)</f>
        <v>44620</v>
      </c>
      <c r="Q1614" s="165">
        <f t="shared" si="2"/>
        <v>0</v>
      </c>
      <c r="R1614" s="167"/>
      <c r="S1614" s="167">
        <v>1318.0</v>
      </c>
      <c r="T1614" s="167"/>
      <c r="U1614" s="334" t="s">
        <v>7271</v>
      </c>
      <c r="V1614" s="168">
        <f t="shared" si="3"/>
        <v>22886.65</v>
      </c>
      <c r="W1614" s="168">
        <f t="shared" si="4"/>
        <v>0</v>
      </c>
      <c r="X1614" s="168">
        <f t="shared" si="5"/>
        <v>0</v>
      </c>
      <c r="Y1614" s="168">
        <f t="shared" si="6"/>
        <v>0</v>
      </c>
      <c r="Z1614" s="168">
        <f t="shared" si="7"/>
        <v>0</v>
      </c>
      <c r="AA1614" s="168">
        <f t="shared" si="8"/>
        <v>0</v>
      </c>
      <c r="AB1614" s="168">
        <f t="shared" si="9"/>
        <v>0</v>
      </c>
    </row>
    <row r="1615" ht="14.25" customHeight="1">
      <c r="A1615" s="157" t="s">
        <v>8774</v>
      </c>
      <c r="B1615" s="169" t="s">
        <v>17</v>
      </c>
      <c r="C1615" s="169" t="s">
        <v>3569</v>
      </c>
      <c r="D1615" s="336">
        <v>44610.0</v>
      </c>
      <c r="E1615" s="157" t="s">
        <v>600</v>
      </c>
      <c r="F1615" s="160">
        <v>23256.73</v>
      </c>
      <c r="G1615" s="160">
        <v>3721.08</v>
      </c>
      <c r="H1615" s="160">
        <f t="shared" si="55"/>
        <v>26977.81</v>
      </c>
      <c r="I1615" s="172"/>
      <c r="J1615" s="169"/>
      <c r="K1615" s="172"/>
      <c r="L1615" s="172">
        <f>+'FACUS$'!$H1615-'FACUS$'!$I1615-'FACUS$'!$K1615</f>
        <v>26977.81</v>
      </c>
      <c r="M1615" s="162" t="s">
        <v>17</v>
      </c>
      <c r="N1615" s="337" t="s">
        <v>554</v>
      </c>
      <c r="O1615" s="338">
        <v>44616.0</v>
      </c>
      <c r="P1615" s="164">
        <f t="array" ref="P1615">XLOOKUP('FACUS$'!$B1615,'perfil de pagos'!$A$4:$A$46,'perfil de pagos'!$C$4:$C$46+'FACUS$'!$D1615)</f>
        <v>44620</v>
      </c>
      <c r="Q1615" s="165">
        <f t="shared" si="2"/>
        <v>0</v>
      </c>
      <c r="R1615" s="167"/>
      <c r="S1615" s="167">
        <v>1319.0</v>
      </c>
      <c r="T1615" s="167"/>
      <c r="U1615" s="334" t="s">
        <v>7271</v>
      </c>
      <c r="V1615" s="168">
        <f t="shared" si="3"/>
        <v>26977.81</v>
      </c>
      <c r="W1615" s="168">
        <f t="shared" si="4"/>
        <v>0</v>
      </c>
      <c r="X1615" s="168">
        <f t="shared" si="5"/>
        <v>0</v>
      </c>
      <c r="Y1615" s="168">
        <f t="shared" si="6"/>
        <v>0</v>
      </c>
      <c r="Z1615" s="168">
        <f t="shared" si="7"/>
        <v>0</v>
      </c>
      <c r="AA1615" s="168">
        <f t="shared" si="8"/>
        <v>0</v>
      </c>
      <c r="AB1615" s="168">
        <f t="shared" si="9"/>
        <v>0</v>
      </c>
    </row>
    <row r="1616" ht="14.25" customHeight="1">
      <c r="A1616" s="157" t="s">
        <v>8775</v>
      </c>
      <c r="B1616" s="169" t="s">
        <v>39</v>
      </c>
      <c r="C1616" s="169" t="s">
        <v>730</v>
      </c>
      <c r="D1616" s="336">
        <v>44610.0</v>
      </c>
      <c r="E1616" s="157" t="s">
        <v>600</v>
      </c>
      <c r="F1616" s="160">
        <v>16898.35</v>
      </c>
      <c r="G1616" s="160">
        <v>2703.74</v>
      </c>
      <c r="H1616" s="160">
        <f t="shared" si="55"/>
        <v>19602.09</v>
      </c>
      <c r="I1616" s="172"/>
      <c r="J1616" s="169"/>
      <c r="K1616" s="172"/>
      <c r="L1616" s="172">
        <f>+'FACUS$'!$H1616-'FACUS$'!$I1616-'FACUS$'!$K1616</f>
        <v>19602.09</v>
      </c>
      <c r="M1616" s="162" t="s">
        <v>570</v>
      </c>
      <c r="N1616" s="337" t="s">
        <v>554</v>
      </c>
      <c r="O1616" s="338">
        <v>44617.0</v>
      </c>
      <c r="P1616" s="164">
        <f t="array" ref="P1616">XLOOKUP('FACUS$'!$B1616,'perfil de pagos'!$A$4:$A$46,'perfil de pagos'!$C$4:$C$46+'FACUS$'!$D1616)</f>
        <v>44620</v>
      </c>
      <c r="Q1616" s="165">
        <f t="shared" si="2"/>
        <v>0</v>
      </c>
      <c r="R1616" s="167"/>
      <c r="S1616" s="167"/>
      <c r="T1616" s="167"/>
      <c r="U1616" s="334" t="s">
        <v>7271</v>
      </c>
      <c r="V1616" s="168">
        <f t="shared" si="3"/>
        <v>19602.09</v>
      </c>
      <c r="W1616" s="168">
        <f t="shared" si="4"/>
        <v>0</v>
      </c>
      <c r="X1616" s="168">
        <f t="shared" si="5"/>
        <v>0</v>
      </c>
      <c r="Y1616" s="168">
        <f t="shared" si="6"/>
        <v>0</v>
      </c>
      <c r="Z1616" s="168">
        <f t="shared" si="7"/>
        <v>0</v>
      </c>
      <c r="AA1616" s="168">
        <f t="shared" si="8"/>
        <v>0</v>
      </c>
      <c r="AB1616" s="168">
        <f t="shared" si="9"/>
        <v>0</v>
      </c>
    </row>
    <row r="1617" ht="14.25" customHeight="1">
      <c r="A1617" s="157" t="s">
        <v>8776</v>
      </c>
      <c r="B1617" s="169" t="s">
        <v>39</v>
      </c>
      <c r="C1617" s="169" t="s">
        <v>3569</v>
      </c>
      <c r="D1617" s="336">
        <v>44610.0</v>
      </c>
      <c r="E1617" s="157" t="s">
        <v>600</v>
      </c>
      <c r="F1617" s="160">
        <v>13878.37</v>
      </c>
      <c r="G1617" s="160">
        <v>2220.54</v>
      </c>
      <c r="H1617" s="160">
        <f t="shared" si="55"/>
        <v>16098.91</v>
      </c>
      <c r="I1617" s="172"/>
      <c r="J1617" s="169"/>
      <c r="K1617" s="172"/>
      <c r="L1617" s="172">
        <f>+'FACUS$'!$H1617-'FACUS$'!$I1617-'FACUS$'!$K1617</f>
        <v>16098.91</v>
      </c>
      <c r="M1617" s="162" t="s">
        <v>570</v>
      </c>
      <c r="N1617" s="337" t="s">
        <v>554</v>
      </c>
      <c r="O1617" s="338">
        <v>44617.0</v>
      </c>
      <c r="P1617" s="164">
        <f t="array" ref="P1617">XLOOKUP('FACUS$'!$B1617,'perfil de pagos'!$A$4:$A$46,'perfil de pagos'!$C$4:$C$46+'FACUS$'!$D1617)</f>
        <v>44620</v>
      </c>
      <c r="Q1617" s="165">
        <f t="shared" si="2"/>
        <v>0</v>
      </c>
      <c r="R1617" s="167"/>
      <c r="S1617" s="167"/>
      <c r="T1617" s="167"/>
      <c r="U1617" s="334" t="s">
        <v>7271</v>
      </c>
      <c r="V1617" s="168">
        <f t="shared" si="3"/>
        <v>16098.91</v>
      </c>
      <c r="W1617" s="168">
        <f t="shared" si="4"/>
        <v>0</v>
      </c>
      <c r="X1617" s="168">
        <f t="shared" si="5"/>
        <v>0</v>
      </c>
      <c r="Y1617" s="168">
        <f t="shared" si="6"/>
        <v>0</v>
      </c>
      <c r="Z1617" s="168">
        <f t="shared" si="7"/>
        <v>0</v>
      </c>
      <c r="AA1617" s="168">
        <f t="shared" si="8"/>
        <v>0</v>
      </c>
      <c r="AB1617" s="168">
        <f t="shared" si="9"/>
        <v>0</v>
      </c>
    </row>
    <row r="1618" ht="14.25" customHeight="1">
      <c r="A1618" s="157" t="s">
        <v>8777</v>
      </c>
      <c r="B1618" s="169" t="s">
        <v>35</v>
      </c>
      <c r="C1618" s="169" t="s">
        <v>3569</v>
      </c>
      <c r="D1618" s="336">
        <v>44610.0</v>
      </c>
      <c r="E1618" s="157" t="s">
        <v>600</v>
      </c>
      <c r="F1618" s="160">
        <v>20611.48</v>
      </c>
      <c r="G1618" s="160">
        <v>3297.84</v>
      </c>
      <c r="H1618" s="160">
        <f t="shared" si="55"/>
        <v>23909.32</v>
      </c>
      <c r="I1618" s="172"/>
      <c r="J1618" s="169"/>
      <c r="K1618" s="172"/>
      <c r="L1618" s="172">
        <f>+'FACUS$'!$H1618-'FACUS$'!$I1618-'FACUS$'!$K1618</f>
        <v>23909.32</v>
      </c>
      <c r="M1618" s="162" t="s">
        <v>276</v>
      </c>
      <c r="N1618" s="337" t="s">
        <v>554</v>
      </c>
      <c r="O1618" s="338">
        <v>44637.0</v>
      </c>
      <c r="P1618" s="164">
        <f t="array" ref="P1618">XLOOKUP('FACUS$'!$B1618,'perfil de pagos'!$A$4:$A$46,'perfil de pagos'!$C$4:$C$46+'FACUS$'!$D1618)</f>
        <v>44620</v>
      </c>
      <c r="Q1618" s="165">
        <f t="shared" si="2"/>
        <v>0</v>
      </c>
      <c r="R1618" s="167"/>
      <c r="S1618" s="167">
        <v>1327.0</v>
      </c>
      <c r="T1618" s="167"/>
      <c r="U1618" s="334" t="s">
        <v>7271</v>
      </c>
      <c r="V1618" s="168">
        <f t="shared" si="3"/>
        <v>23909.32</v>
      </c>
      <c r="W1618" s="168">
        <f t="shared" si="4"/>
        <v>0</v>
      </c>
      <c r="X1618" s="168">
        <f t="shared" si="5"/>
        <v>0</v>
      </c>
      <c r="Y1618" s="168">
        <f t="shared" si="6"/>
        <v>0</v>
      </c>
      <c r="Z1618" s="168">
        <f t="shared" si="7"/>
        <v>0</v>
      </c>
      <c r="AA1618" s="168">
        <f t="shared" si="8"/>
        <v>0</v>
      </c>
      <c r="AB1618" s="168">
        <f t="shared" si="9"/>
        <v>0</v>
      </c>
    </row>
    <row r="1619" ht="14.25" customHeight="1">
      <c r="A1619" s="157" t="s">
        <v>8778</v>
      </c>
      <c r="B1619" s="169" t="s">
        <v>33</v>
      </c>
      <c r="C1619" s="169" t="s">
        <v>3569</v>
      </c>
      <c r="D1619" s="336">
        <v>44610.0</v>
      </c>
      <c r="E1619" s="157" t="s">
        <v>600</v>
      </c>
      <c r="F1619" s="160">
        <v>56974.48</v>
      </c>
      <c r="G1619" s="160">
        <v>9115.92</v>
      </c>
      <c r="H1619" s="160">
        <f t="shared" si="55"/>
        <v>66090.4</v>
      </c>
      <c r="I1619" s="172"/>
      <c r="J1619" s="169"/>
      <c r="K1619" s="172"/>
      <c r="L1619" s="172">
        <f>+'FACUS$'!$H1619-'FACUS$'!$I1619-'FACUS$'!$K1619</f>
        <v>66090.4</v>
      </c>
      <c r="M1619" s="162" t="s">
        <v>958</v>
      </c>
      <c r="N1619" s="337" t="s">
        <v>554</v>
      </c>
      <c r="O1619" s="338">
        <v>44624.0</v>
      </c>
      <c r="P1619" s="164">
        <f t="array" ref="P1619">XLOOKUP('FACUS$'!$B1619,'perfil de pagos'!$A$4:$A$46,'perfil de pagos'!$C$4:$C$46+'FACUS$'!$D1619)</f>
        <v>44620</v>
      </c>
      <c r="Q1619" s="165">
        <f t="shared" si="2"/>
        <v>0</v>
      </c>
      <c r="R1619" s="167"/>
      <c r="S1619" s="167"/>
      <c r="T1619" s="167"/>
      <c r="U1619" s="334" t="s">
        <v>7271</v>
      </c>
      <c r="V1619" s="168">
        <f t="shared" si="3"/>
        <v>66090.4</v>
      </c>
      <c r="W1619" s="168">
        <f t="shared" si="4"/>
        <v>0</v>
      </c>
      <c r="X1619" s="168">
        <f t="shared" si="5"/>
        <v>0</v>
      </c>
      <c r="Y1619" s="168">
        <f t="shared" si="6"/>
        <v>0</v>
      </c>
      <c r="Z1619" s="168">
        <f t="shared" si="7"/>
        <v>0</v>
      </c>
      <c r="AA1619" s="168">
        <f t="shared" si="8"/>
        <v>0</v>
      </c>
      <c r="AB1619" s="168">
        <f t="shared" si="9"/>
        <v>0</v>
      </c>
    </row>
    <row r="1620" ht="14.25" customHeight="1">
      <c r="A1620" s="157" t="s">
        <v>8779</v>
      </c>
      <c r="B1620" s="169" t="s">
        <v>36</v>
      </c>
      <c r="C1620" s="169" t="s">
        <v>3569</v>
      </c>
      <c r="D1620" s="336">
        <v>44610.0</v>
      </c>
      <c r="E1620" s="157" t="s">
        <v>600</v>
      </c>
      <c r="F1620" s="160">
        <v>1752.11</v>
      </c>
      <c r="G1620" s="160">
        <v>280.34</v>
      </c>
      <c r="H1620" s="160">
        <f t="shared" si="55"/>
        <v>2032.45</v>
      </c>
      <c r="I1620" s="172"/>
      <c r="J1620" s="169"/>
      <c r="K1620" s="172"/>
      <c r="L1620" s="172">
        <f>+'FACUS$'!$H1620-'FACUS$'!$I1620-'FACUS$'!$K1620</f>
        <v>2032.45</v>
      </c>
      <c r="M1620" s="162" t="s">
        <v>278</v>
      </c>
      <c r="N1620" s="337" t="s">
        <v>554</v>
      </c>
      <c r="O1620" s="338">
        <v>44628.0</v>
      </c>
      <c r="P1620" s="164">
        <f t="array" ref="P1620">XLOOKUP('FACUS$'!$B1620,'perfil de pagos'!$A$4:$A$46,'perfil de pagos'!$C$4:$C$46+'FACUS$'!$D1620)</f>
        <v>44620</v>
      </c>
      <c r="Q1620" s="165">
        <f t="shared" si="2"/>
        <v>0</v>
      </c>
      <c r="R1620" s="220" t="s">
        <v>8780</v>
      </c>
      <c r="S1620" s="167">
        <v>1309.0</v>
      </c>
      <c r="T1620" s="167"/>
      <c r="U1620" s="334" t="s">
        <v>7271</v>
      </c>
      <c r="V1620" s="168">
        <f t="shared" si="3"/>
        <v>2032.45</v>
      </c>
      <c r="W1620" s="168">
        <f t="shared" si="4"/>
        <v>0</v>
      </c>
      <c r="X1620" s="168">
        <f t="shared" si="5"/>
        <v>0</v>
      </c>
      <c r="Y1620" s="168">
        <f t="shared" si="6"/>
        <v>0</v>
      </c>
      <c r="Z1620" s="168">
        <f t="shared" si="7"/>
        <v>0</v>
      </c>
      <c r="AA1620" s="168">
        <f t="shared" si="8"/>
        <v>0</v>
      </c>
      <c r="AB1620" s="168">
        <f t="shared" si="9"/>
        <v>0</v>
      </c>
    </row>
    <row r="1621" ht="14.25" customHeight="1">
      <c r="A1621" s="157" t="s">
        <v>8781</v>
      </c>
      <c r="B1621" s="169" t="s">
        <v>31</v>
      </c>
      <c r="C1621" s="169" t="s">
        <v>8782</v>
      </c>
      <c r="D1621" s="336">
        <v>44610.0</v>
      </c>
      <c r="E1621" s="157" t="s">
        <v>600</v>
      </c>
      <c r="F1621" s="160">
        <v>6905.31</v>
      </c>
      <c r="G1621" s="160">
        <v>1104.85</v>
      </c>
      <c r="H1621" s="160">
        <f t="shared" si="55"/>
        <v>8010.16</v>
      </c>
      <c r="I1621" s="172"/>
      <c r="J1621" s="169"/>
      <c r="K1621" s="172"/>
      <c r="L1621" s="172">
        <f>+'FACUS$'!$H1621-'FACUS$'!$I1621-'FACUS$'!$K1621</f>
        <v>8010.16</v>
      </c>
      <c r="M1621" s="162" t="s">
        <v>3183</v>
      </c>
      <c r="N1621" s="337" t="s">
        <v>554</v>
      </c>
      <c r="O1621" s="338">
        <v>44841.0</v>
      </c>
      <c r="P1621" s="164">
        <f t="array" ref="P1621">XLOOKUP('FACUS$'!$B1621,'perfil de pagos'!$A$4:$A$46,'perfil de pagos'!$C$4:$C$46+'FACUS$'!$D1621)</f>
        <v>44613</v>
      </c>
      <c r="Q1621" s="165">
        <f t="shared" si="2"/>
        <v>0</v>
      </c>
      <c r="R1621" s="167"/>
      <c r="S1621" s="167">
        <v>1623.0</v>
      </c>
      <c r="T1621" s="167"/>
      <c r="U1621" s="334" t="s">
        <v>7271</v>
      </c>
      <c r="V1621" s="168">
        <f t="shared" si="3"/>
        <v>8010.16</v>
      </c>
      <c r="W1621" s="168">
        <f t="shared" si="4"/>
        <v>0</v>
      </c>
      <c r="X1621" s="168">
        <f t="shared" si="5"/>
        <v>0</v>
      </c>
      <c r="Y1621" s="168">
        <f t="shared" si="6"/>
        <v>0</v>
      </c>
      <c r="Z1621" s="168">
        <f t="shared" si="7"/>
        <v>0</v>
      </c>
      <c r="AA1621" s="168">
        <f t="shared" si="8"/>
        <v>0</v>
      </c>
      <c r="AB1621" s="168">
        <f t="shared" si="9"/>
        <v>0</v>
      </c>
    </row>
    <row r="1622" ht="14.25" customHeight="1">
      <c r="A1622" s="157" t="s">
        <v>8783</v>
      </c>
      <c r="B1622" s="169" t="s">
        <v>41</v>
      </c>
      <c r="C1622" s="169" t="s">
        <v>3569</v>
      </c>
      <c r="D1622" s="336">
        <v>44610.0</v>
      </c>
      <c r="E1622" s="157" t="s">
        <v>600</v>
      </c>
      <c r="F1622" s="160">
        <v>61767.77</v>
      </c>
      <c r="G1622" s="160">
        <v>9882.84</v>
      </c>
      <c r="H1622" s="160">
        <f t="shared" si="55"/>
        <v>71650.61</v>
      </c>
      <c r="I1622" s="172"/>
      <c r="J1622" s="169"/>
      <c r="K1622" s="172"/>
      <c r="L1622" s="172">
        <f>+'FACUS$'!$H1622-'FACUS$'!$I1622-'FACUS$'!$K1622</f>
        <v>71650.61</v>
      </c>
      <c r="M1622" s="162" t="s">
        <v>875</v>
      </c>
      <c r="N1622" s="337" t="s">
        <v>554</v>
      </c>
      <c r="O1622" s="338">
        <v>44659.0</v>
      </c>
      <c r="P1622" s="164">
        <f t="array" ref="P1622">XLOOKUP('FACUS$'!$B1622,'perfil de pagos'!$A$4:$A$46,'perfil de pagos'!$C$4:$C$46+'FACUS$'!$D1622)</f>
        <v>44620</v>
      </c>
      <c r="Q1622" s="165">
        <f t="shared" si="2"/>
        <v>0</v>
      </c>
      <c r="R1622" s="167"/>
      <c r="S1622" s="167"/>
      <c r="T1622" s="167"/>
      <c r="U1622" s="334" t="s">
        <v>7271</v>
      </c>
      <c r="V1622" s="168">
        <f t="shared" si="3"/>
        <v>71650.61</v>
      </c>
      <c r="W1622" s="168">
        <f t="shared" si="4"/>
        <v>0</v>
      </c>
      <c r="X1622" s="168">
        <f t="shared" si="5"/>
        <v>0</v>
      </c>
      <c r="Y1622" s="168">
        <f t="shared" si="6"/>
        <v>0</v>
      </c>
      <c r="Z1622" s="168">
        <f t="shared" si="7"/>
        <v>0</v>
      </c>
      <c r="AA1622" s="168">
        <f t="shared" si="8"/>
        <v>0</v>
      </c>
      <c r="AB1622" s="168">
        <f t="shared" si="9"/>
        <v>0</v>
      </c>
    </row>
    <row r="1623" ht="14.25" customHeight="1">
      <c r="A1623" s="157" t="s">
        <v>8784</v>
      </c>
      <c r="B1623" s="169" t="s">
        <v>43</v>
      </c>
      <c r="C1623" s="169" t="s">
        <v>3569</v>
      </c>
      <c r="D1623" s="336">
        <v>44610.0</v>
      </c>
      <c r="E1623" s="157" t="s">
        <v>600</v>
      </c>
      <c r="F1623" s="160">
        <v>76641.92</v>
      </c>
      <c r="G1623" s="160">
        <v>12262.71</v>
      </c>
      <c r="H1623" s="160">
        <f t="shared" si="55"/>
        <v>88904.63</v>
      </c>
      <c r="I1623" s="172"/>
      <c r="J1623" s="169"/>
      <c r="K1623" s="172"/>
      <c r="L1623" s="172">
        <f>+'FACUS$'!$H1623-'FACUS$'!$I1623-'FACUS$'!$K1623</f>
        <v>88904.63</v>
      </c>
      <c r="M1623" s="162" t="s">
        <v>43</v>
      </c>
      <c r="N1623" s="337" t="s">
        <v>554</v>
      </c>
      <c r="O1623" s="338">
        <v>44648.0</v>
      </c>
      <c r="P1623" s="164">
        <f t="array" ref="P1623">XLOOKUP('FACUS$'!$B1623,'perfil de pagos'!$A$4:$A$46,'perfil de pagos'!$C$4:$C$46+'FACUS$'!$D1623)</f>
        <v>44635</v>
      </c>
      <c r="Q1623" s="165">
        <f t="shared" si="2"/>
        <v>0</v>
      </c>
      <c r="R1623" s="167"/>
      <c r="S1623" s="167">
        <v>1343.0</v>
      </c>
      <c r="T1623" s="167"/>
      <c r="U1623" s="334" t="s">
        <v>7271</v>
      </c>
      <c r="V1623" s="168">
        <f t="shared" si="3"/>
        <v>88904.63</v>
      </c>
      <c r="W1623" s="168">
        <f t="shared" si="4"/>
        <v>0</v>
      </c>
      <c r="X1623" s="168">
        <f t="shared" si="5"/>
        <v>0</v>
      </c>
      <c r="Y1623" s="168">
        <f t="shared" si="6"/>
        <v>0</v>
      </c>
      <c r="Z1623" s="168">
        <f t="shared" si="7"/>
        <v>0</v>
      </c>
      <c r="AA1623" s="168">
        <f t="shared" si="8"/>
        <v>0</v>
      </c>
      <c r="AB1623" s="168">
        <f t="shared" si="9"/>
        <v>0</v>
      </c>
    </row>
    <row r="1624" ht="14.25" customHeight="1">
      <c r="A1624" s="157" t="s">
        <v>8785</v>
      </c>
      <c r="B1624" s="169" t="s">
        <v>18</v>
      </c>
      <c r="C1624" s="169" t="s">
        <v>3569</v>
      </c>
      <c r="D1624" s="336">
        <v>44614.0</v>
      </c>
      <c r="E1624" s="157" t="s">
        <v>600</v>
      </c>
      <c r="F1624" s="160">
        <v>7847.07</v>
      </c>
      <c r="G1624" s="160">
        <v>1255.53</v>
      </c>
      <c r="H1624" s="160">
        <f t="shared" si="55"/>
        <v>9102.6</v>
      </c>
      <c r="I1624" s="172"/>
      <c r="J1624" s="169"/>
      <c r="K1624" s="172"/>
      <c r="L1624" s="172">
        <f>+'FACUS$'!$H1624-'FACUS$'!$I1624-'FACUS$'!$K1624</f>
        <v>9102.6</v>
      </c>
      <c r="M1624" s="162" t="s">
        <v>586</v>
      </c>
      <c r="N1624" s="337" t="s">
        <v>554</v>
      </c>
      <c r="O1624" s="338">
        <v>44637.0</v>
      </c>
      <c r="P1624" s="164">
        <f t="array" ref="P1624">XLOOKUP('FACUS$'!$B1624,'perfil de pagos'!$A$4:$A$46,'perfil de pagos'!$C$4:$C$46+'FACUS$'!$D1624)</f>
        <v>44624</v>
      </c>
      <c r="Q1624" s="165">
        <f t="shared" si="2"/>
        <v>0</v>
      </c>
      <c r="R1624" s="167"/>
      <c r="S1624" s="167">
        <v>1328.0</v>
      </c>
      <c r="T1624" s="167"/>
      <c r="U1624" s="334" t="s">
        <v>7271</v>
      </c>
      <c r="V1624" s="168">
        <f t="shared" si="3"/>
        <v>9102.6</v>
      </c>
      <c r="W1624" s="168">
        <f t="shared" si="4"/>
        <v>0</v>
      </c>
      <c r="X1624" s="168">
        <f t="shared" si="5"/>
        <v>0</v>
      </c>
      <c r="Y1624" s="168">
        <f t="shared" si="6"/>
        <v>0</v>
      </c>
      <c r="Z1624" s="168">
        <f t="shared" si="7"/>
        <v>0</v>
      </c>
      <c r="AA1624" s="168">
        <f t="shared" si="8"/>
        <v>0</v>
      </c>
      <c r="AB1624" s="168">
        <f t="shared" si="9"/>
        <v>0</v>
      </c>
    </row>
    <row r="1625" ht="14.25" customHeight="1">
      <c r="A1625" s="157" t="s">
        <v>8786</v>
      </c>
      <c r="B1625" s="169" t="s">
        <v>20</v>
      </c>
      <c r="C1625" s="169" t="s">
        <v>3569</v>
      </c>
      <c r="D1625" s="336">
        <v>44614.0</v>
      </c>
      <c r="E1625" s="157" t="s">
        <v>600</v>
      </c>
      <c r="F1625" s="160">
        <v>9036.82</v>
      </c>
      <c r="G1625" s="160">
        <v>1445.89</v>
      </c>
      <c r="H1625" s="160">
        <f t="shared" si="55"/>
        <v>10482.71</v>
      </c>
      <c r="I1625" s="172"/>
      <c r="J1625" s="169"/>
      <c r="K1625" s="172"/>
      <c r="L1625" s="172">
        <f>+'FACUS$'!$H1625-'FACUS$'!$I1625-'FACUS$'!$K1625</f>
        <v>10482.71</v>
      </c>
      <c r="M1625" s="162" t="s">
        <v>732</v>
      </c>
      <c r="N1625" s="337" t="s">
        <v>554</v>
      </c>
      <c r="O1625" s="338">
        <v>44637.0</v>
      </c>
      <c r="P1625" s="164">
        <f t="array" ref="P1625">XLOOKUP('FACUS$'!$B1625,'perfil de pagos'!$A$4:$A$46,'perfil de pagos'!$C$4:$C$46+'FACUS$'!$D1625)</f>
        <v>44624</v>
      </c>
      <c r="Q1625" s="165">
        <f t="shared" si="2"/>
        <v>0</v>
      </c>
      <c r="R1625" s="167"/>
      <c r="S1625" s="167">
        <v>1328.0</v>
      </c>
      <c r="T1625" s="167"/>
      <c r="U1625" s="334" t="s">
        <v>7271</v>
      </c>
      <c r="V1625" s="168">
        <f t="shared" si="3"/>
        <v>10482.71</v>
      </c>
      <c r="W1625" s="168">
        <f t="shared" si="4"/>
        <v>0</v>
      </c>
      <c r="X1625" s="168">
        <f t="shared" si="5"/>
        <v>0</v>
      </c>
      <c r="Y1625" s="168">
        <f t="shared" si="6"/>
        <v>0</v>
      </c>
      <c r="Z1625" s="168">
        <f t="shared" si="7"/>
        <v>0</v>
      </c>
      <c r="AA1625" s="168">
        <f t="shared" si="8"/>
        <v>0</v>
      </c>
      <c r="AB1625" s="168">
        <f t="shared" si="9"/>
        <v>0</v>
      </c>
    </row>
    <row r="1626" ht="14.25" customHeight="1">
      <c r="A1626" s="157" t="s">
        <v>8787</v>
      </c>
      <c r="B1626" s="169" t="s">
        <v>22</v>
      </c>
      <c r="C1626" s="169" t="s">
        <v>3569</v>
      </c>
      <c r="D1626" s="336">
        <v>44614.0</v>
      </c>
      <c r="E1626" s="157" t="s">
        <v>600</v>
      </c>
      <c r="F1626" s="160">
        <v>3158.93</v>
      </c>
      <c r="G1626" s="160">
        <v>505.43</v>
      </c>
      <c r="H1626" s="160">
        <f t="shared" si="55"/>
        <v>3664.36</v>
      </c>
      <c r="I1626" s="172"/>
      <c r="J1626" s="169"/>
      <c r="K1626" s="172"/>
      <c r="L1626" s="172">
        <f>+'FACUS$'!$H1626-'FACUS$'!$I1626-'FACUS$'!$K1626</f>
        <v>3664.36</v>
      </c>
      <c r="M1626" s="162" t="s">
        <v>220</v>
      </c>
      <c r="N1626" s="337" t="s">
        <v>554</v>
      </c>
      <c r="O1626" s="338">
        <v>44634.0</v>
      </c>
      <c r="P1626" s="164">
        <f t="array" ref="P1626">XLOOKUP('FACUS$'!$B1626,'perfil de pagos'!$A$4:$A$46,'perfil de pagos'!$C$4:$C$46+'FACUS$'!$D1626)</f>
        <v>44624</v>
      </c>
      <c r="Q1626" s="165">
        <f t="shared" si="2"/>
        <v>0</v>
      </c>
      <c r="R1626" s="220" t="s">
        <v>8788</v>
      </c>
      <c r="S1626" s="167"/>
      <c r="T1626" s="167"/>
      <c r="U1626" s="334" t="s">
        <v>7271</v>
      </c>
      <c r="V1626" s="168">
        <f t="shared" si="3"/>
        <v>3664.36</v>
      </c>
      <c r="W1626" s="168">
        <f t="shared" si="4"/>
        <v>0</v>
      </c>
      <c r="X1626" s="168">
        <f t="shared" si="5"/>
        <v>0</v>
      </c>
      <c r="Y1626" s="168">
        <f t="shared" si="6"/>
        <v>0</v>
      </c>
      <c r="Z1626" s="168">
        <f t="shared" si="7"/>
        <v>0</v>
      </c>
      <c r="AA1626" s="168">
        <f t="shared" si="8"/>
        <v>0</v>
      </c>
      <c r="AB1626" s="168">
        <f t="shared" si="9"/>
        <v>0</v>
      </c>
    </row>
    <row r="1627" ht="14.25" customHeight="1">
      <c r="A1627" s="157" t="s">
        <v>8789</v>
      </c>
      <c r="B1627" s="169" t="s">
        <v>26</v>
      </c>
      <c r="C1627" s="169" t="s">
        <v>3569</v>
      </c>
      <c r="D1627" s="336">
        <v>44614.0</v>
      </c>
      <c r="E1627" s="157" t="s">
        <v>600</v>
      </c>
      <c r="F1627" s="160">
        <v>3370.71</v>
      </c>
      <c r="G1627" s="160">
        <v>539.31</v>
      </c>
      <c r="H1627" s="160">
        <f t="shared" si="55"/>
        <v>3910.02</v>
      </c>
      <c r="I1627" s="172"/>
      <c r="J1627" s="169"/>
      <c r="K1627" s="172"/>
      <c r="L1627" s="172">
        <f>+'FACUS$'!$H1627-'FACUS$'!$I1627-'FACUS$'!$K1627</f>
        <v>3910.02</v>
      </c>
      <c r="M1627" s="162" t="s">
        <v>2386</v>
      </c>
      <c r="N1627" s="337" t="s">
        <v>554</v>
      </c>
      <c r="O1627" s="338">
        <v>44652.0</v>
      </c>
      <c r="P1627" s="164">
        <f t="array" ref="P1627">XLOOKUP('FACUS$'!$B1627,'perfil de pagos'!$A$4:$A$46,'perfil de pagos'!$C$4:$C$46+'FACUS$'!$D1627)</f>
        <v>44644</v>
      </c>
      <c r="Q1627" s="165">
        <f t="shared" si="2"/>
        <v>0</v>
      </c>
      <c r="R1627" s="167"/>
      <c r="S1627" s="167"/>
      <c r="T1627" s="167"/>
      <c r="U1627" s="334" t="s">
        <v>7271</v>
      </c>
      <c r="V1627" s="168">
        <f t="shared" si="3"/>
        <v>3910.02</v>
      </c>
      <c r="W1627" s="168">
        <f t="shared" si="4"/>
        <v>0</v>
      </c>
      <c r="X1627" s="168">
        <f t="shared" si="5"/>
        <v>0</v>
      </c>
      <c r="Y1627" s="168">
        <f t="shared" si="6"/>
        <v>0</v>
      </c>
      <c r="Z1627" s="168">
        <f t="shared" si="7"/>
        <v>0</v>
      </c>
      <c r="AA1627" s="168">
        <f t="shared" si="8"/>
        <v>0</v>
      </c>
      <c r="AB1627" s="168">
        <f t="shared" si="9"/>
        <v>0</v>
      </c>
    </row>
    <row r="1628" ht="14.25" customHeight="1">
      <c r="A1628" s="157" t="s">
        <v>8790</v>
      </c>
      <c r="B1628" s="169" t="s">
        <v>37</v>
      </c>
      <c r="C1628" s="169" t="s">
        <v>3569</v>
      </c>
      <c r="D1628" s="336">
        <v>44614.0</v>
      </c>
      <c r="E1628" s="157" t="s">
        <v>600</v>
      </c>
      <c r="F1628" s="160">
        <v>66844.92</v>
      </c>
      <c r="G1628" s="160">
        <v>10695.19</v>
      </c>
      <c r="H1628" s="160">
        <f t="shared" si="55"/>
        <v>77540.11</v>
      </c>
      <c r="I1628" s="172"/>
      <c r="J1628" s="169"/>
      <c r="K1628" s="172"/>
      <c r="L1628" s="172">
        <f>+'FACUS$'!$H1628-'FACUS$'!$I1628-'FACUS$'!$K1628</f>
        <v>77540.11</v>
      </c>
      <c r="M1628" s="162" t="s">
        <v>116</v>
      </c>
      <c r="N1628" s="337" t="s">
        <v>554</v>
      </c>
      <c r="O1628" s="338">
        <v>44627.0</v>
      </c>
      <c r="P1628" s="164">
        <f t="array" ref="P1628">XLOOKUP('FACUS$'!$B1628,'perfil de pagos'!$A$4:$A$46,'perfil de pagos'!$C$4:$C$46+'FACUS$'!$D1628)</f>
        <v>44624</v>
      </c>
      <c r="Q1628" s="165">
        <f t="shared" si="2"/>
        <v>0</v>
      </c>
      <c r="R1628" s="247" t="s">
        <v>8791</v>
      </c>
      <c r="S1628" s="167">
        <v>1323.0</v>
      </c>
      <c r="T1628" s="167"/>
      <c r="U1628" s="334" t="s">
        <v>7271</v>
      </c>
      <c r="V1628" s="168">
        <f t="shared" si="3"/>
        <v>77540.11</v>
      </c>
      <c r="W1628" s="168">
        <f t="shared" si="4"/>
        <v>0</v>
      </c>
      <c r="X1628" s="168">
        <f t="shared" si="5"/>
        <v>0</v>
      </c>
      <c r="Y1628" s="168">
        <f t="shared" si="6"/>
        <v>0</v>
      </c>
      <c r="Z1628" s="168">
        <f t="shared" si="7"/>
        <v>0</v>
      </c>
      <c r="AA1628" s="168">
        <f t="shared" si="8"/>
        <v>0</v>
      </c>
      <c r="AB1628" s="168">
        <f t="shared" si="9"/>
        <v>0</v>
      </c>
    </row>
    <row r="1629" ht="14.25" customHeight="1">
      <c r="A1629" s="157" t="s">
        <v>8792</v>
      </c>
      <c r="B1629" s="169" t="s">
        <v>38</v>
      </c>
      <c r="C1629" s="169" t="s">
        <v>3569</v>
      </c>
      <c r="D1629" s="336">
        <v>44614.0</v>
      </c>
      <c r="E1629" s="157" t="s">
        <v>600</v>
      </c>
      <c r="F1629" s="160">
        <v>9120.95</v>
      </c>
      <c r="G1629" s="160">
        <v>1459.35</v>
      </c>
      <c r="H1629" s="160">
        <f t="shared" si="55"/>
        <v>10580.3</v>
      </c>
      <c r="I1629" s="172"/>
      <c r="J1629" s="169"/>
      <c r="K1629" s="172"/>
      <c r="L1629" s="172">
        <f>+'FACUS$'!$H1629-'FACUS$'!$I1629-'FACUS$'!$K1629</f>
        <v>10580.3</v>
      </c>
      <c r="M1629" s="162" t="s">
        <v>145</v>
      </c>
      <c r="N1629" s="337" t="s">
        <v>554</v>
      </c>
      <c r="O1629" s="338">
        <v>44687.0</v>
      </c>
      <c r="P1629" s="164">
        <f t="array" ref="P1629">XLOOKUP('FACUS$'!$B1629,'perfil de pagos'!$A$4:$A$46,'perfil de pagos'!$C$4:$C$46+'FACUS$'!$D1629)</f>
        <v>44644</v>
      </c>
      <c r="Q1629" s="165">
        <f t="shared" si="2"/>
        <v>0</v>
      </c>
      <c r="R1629" s="167"/>
      <c r="S1629" s="167"/>
      <c r="T1629" s="167"/>
      <c r="U1629" s="334" t="s">
        <v>7271</v>
      </c>
      <c r="V1629" s="168">
        <f t="shared" si="3"/>
        <v>10580.3</v>
      </c>
      <c r="W1629" s="168">
        <f t="shared" si="4"/>
        <v>0</v>
      </c>
      <c r="X1629" s="168">
        <f t="shared" si="5"/>
        <v>0</v>
      </c>
      <c r="Y1629" s="168">
        <f t="shared" si="6"/>
        <v>0</v>
      </c>
      <c r="Z1629" s="168">
        <f t="shared" si="7"/>
        <v>0</v>
      </c>
      <c r="AA1629" s="168">
        <f t="shared" si="8"/>
        <v>0</v>
      </c>
      <c r="AB1629" s="168">
        <f t="shared" si="9"/>
        <v>0</v>
      </c>
    </row>
    <row r="1630" ht="14.25" customHeight="1">
      <c r="A1630" s="157" t="s">
        <v>8793</v>
      </c>
      <c r="B1630" s="169" t="s">
        <v>26</v>
      </c>
      <c r="C1630" s="169" t="s">
        <v>8794</v>
      </c>
      <c r="D1630" s="336">
        <v>44615.0</v>
      </c>
      <c r="E1630" s="157" t="s">
        <v>600</v>
      </c>
      <c r="F1630" s="160">
        <v>1623.8</v>
      </c>
      <c r="G1630" s="160">
        <v>259.81</v>
      </c>
      <c r="H1630" s="160">
        <f t="shared" si="55"/>
        <v>1883.61</v>
      </c>
      <c r="I1630" s="172"/>
      <c r="J1630" s="169"/>
      <c r="K1630" s="172"/>
      <c r="L1630" s="172">
        <f>+'FACUS$'!$H1630-'FACUS$'!$I1630-'FACUS$'!$K1630</f>
        <v>1883.61</v>
      </c>
      <c r="M1630" s="162" t="s">
        <v>2386</v>
      </c>
      <c r="N1630" s="337" t="s">
        <v>554</v>
      </c>
      <c r="O1630" s="338">
        <v>44652.0</v>
      </c>
      <c r="P1630" s="164">
        <f t="array" ref="P1630">XLOOKUP('FACUS$'!$B1630,'perfil de pagos'!$A$4:$A$46,'perfil de pagos'!$C$4:$C$46+'FACUS$'!$D1630)</f>
        <v>44645</v>
      </c>
      <c r="Q1630" s="165">
        <f t="shared" si="2"/>
        <v>0</v>
      </c>
      <c r="R1630" s="167"/>
      <c r="S1630" s="167"/>
      <c r="T1630" s="167"/>
      <c r="U1630" s="334" t="s">
        <v>7271</v>
      </c>
      <c r="V1630" s="168">
        <f t="shared" si="3"/>
        <v>1883.61</v>
      </c>
      <c r="W1630" s="168">
        <f t="shared" si="4"/>
        <v>0</v>
      </c>
      <c r="X1630" s="168">
        <f t="shared" si="5"/>
        <v>0</v>
      </c>
      <c r="Y1630" s="168">
        <f t="shared" si="6"/>
        <v>0</v>
      </c>
      <c r="Z1630" s="168">
        <f t="shared" si="7"/>
        <v>0</v>
      </c>
      <c r="AA1630" s="168">
        <f t="shared" si="8"/>
        <v>0</v>
      </c>
      <c r="AB1630" s="168">
        <f t="shared" si="9"/>
        <v>0</v>
      </c>
      <c r="AC1630" s="81"/>
      <c r="AD1630" s="81"/>
      <c r="AE1630" s="81"/>
    </row>
    <row r="1631" ht="14.25" customHeight="1">
      <c r="A1631" s="210" t="s">
        <v>8795</v>
      </c>
      <c r="B1631" s="189" t="s">
        <v>127</v>
      </c>
      <c r="C1631" s="189"/>
      <c r="D1631" s="375"/>
      <c r="E1631" s="210"/>
      <c r="F1631" s="211"/>
      <c r="G1631" s="211"/>
      <c r="H1631" s="211">
        <f t="shared" si="55"/>
        <v>0</v>
      </c>
      <c r="I1631" s="188"/>
      <c r="J1631" s="189"/>
      <c r="K1631" s="188"/>
      <c r="L1631" s="188">
        <f>+'FACUS$'!$H1631-'FACUS$'!$I1631-'FACUS$'!$K1631</f>
        <v>0</v>
      </c>
      <c r="M1631" s="227"/>
      <c r="N1631" s="376" t="s">
        <v>127</v>
      </c>
      <c r="O1631" s="377"/>
      <c r="P1631" s="245" t="str">
        <f t="array" ref="P1631">XLOOKUP('FACUS$'!$B1631,'perfil de pagos'!$A$4:$A$46,'perfil de pagos'!$C$4:$C$46+'FACUS$'!$D1631)</f>
        <v>#N/A</v>
      </c>
      <c r="Q1631" s="246" t="str">
        <f t="shared" si="2"/>
        <v>N/A</v>
      </c>
      <c r="R1631" s="223"/>
      <c r="S1631" s="223"/>
      <c r="T1631" s="223"/>
      <c r="U1631" s="378" t="s">
        <v>7271</v>
      </c>
      <c r="V1631" s="168">
        <f t="shared" si="3"/>
        <v>0</v>
      </c>
      <c r="W1631" s="168">
        <f t="shared" si="4"/>
        <v>0</v>
      </c>
      <c r="X1631" s="168">
        <f t="shared" si="5"/>
        <v>0</v>
      </c>
      <c r="Y1631" s="168">
        <f t="shared" si="6"/>
        <v>0</v>
      </c>
      <c r="Z1631" s="168">
        <f t="shared" si="7"/>
        <v>0</v>
      </c>
      <c r="AA1631" s="168">
        <f t="shared" si="8"/>
        <v>0</v>
      </c>
      <c r="AB1631" s="168">
        <f t="shared" si="9"/>
        <v>0</v>
      </c>
    </row>
    <row r="1632" ht="14.25" customHeight="1">
      <c r="A1632" s="157" t="s">
        <v>8796</v>
      </c>
      <c r="B1632" s="169" t="s">
        <v>8797</v>
      </c>
      <c r="C1632" s="169" t="s">
        <v>8798</v>
      </c>
      <c r="D1632" s="336">
        <v>44621.0</v>
      </c>
      <c r="E1632" s="157" t="s">
        <v>600</v>
      </c>
      <c r="F1632" s="160">
        <v>761.12</v>
      </c>
      <c r="G1632" s="160">
        <v>121.78</v>
      </c>
      <c r="H1632" s="160">
        <f t="shared" si="55"/>
        <v>882.9</v>
      </c>
      <c r="I1632" s="172"/>
      <c r="J1632" s="169"/>
      <c r="K1632" s="172"/>
      <c r="L1632" s="172">
        <f>+'FACUS$'!$H1632-'FACUS$'!$I1632-'FACUS$'!$K1632</f>
        <v>882.9</v>
      </c>
      <c r="M1632" s="162" t="s">
        <v>8799</v>
      </c>
      <c r="N1632" s="337" t="s">
        <v>554</v>
      </c>
      <c r="O1632" s="338">
        <v>44649.0</v>
      </c>
      <c r="P1632" s="164" t="str">
        <f t="array" ref="P1632">XLOOKUP('FACUS$'!$B1632,'perfil de pagos'!$A$4:$A$46,'perfil de pagos'!$C$4:$C$46+'FACUS$'!$D1632)</f>
        <v>#N/A</v>
      </c>
      <c r="Q1632" s="165">
        <f t="shared" si="2"/>
        <v>0</v>
      </c>
      <c r="R1632" s="167"/>
      <c r="S1632" s="167">
        <v>1336.0</v>
      </c>
      <c r="T1632" s="167"/>
      <c r="U1632" s="334" t="s">
        <v>7271</v>
      </c>
      <c r="V1632" s="168">
        <f t="shared" si="3"/>
        <v>882.9</v>
      </c>
      <c r="W1632" s="168">
        <f t="shared" si="4"/>
        <v>0</v>
      </c>
      <c r="X1632" s="168">
        <f t="shared" si="5"/>
        <v>0</v>
      </c>
      <c r="Y1632" s="168">
        <f t="shared" si="6"/>
        <v>0</v>
      </c>
      <c r="Z1632" s="168">
        <f t="shared" si="7"/>
        <v>0</v>
      </c>
      <c r="AA1632" s="168">
        <f t="shared" si="8"/>
        <v>0</v>
      </c>
      <c r="AB1632" s="168">
        <f t="shared" si="9"/>
        <v>0</v>
      </c>
    </row>
    <row r="1633" ht="14.25" customHeight="1">
      <c r="A1633" s="157" t="s">
        <v>8800</v>
      </c>
      <c r="B1633" s="169" t="s">
        <v>39</v>
      </c>
      <c r="C1633" s="169" t="s">
        <v>8801</v>
      </c>
      <c r="D1633" s="336">
        <v>44623.0</v>
      </c>
      <c r="E1633" s="157" t="s">
        <v>600</v>
      </c>
      <c r="F1633" s="160">
        <v>3018.39</v>
      </c>
      <c r="G1633" s="160">
        <v>482.94</v>
      </c>
      <c r="H1633" s="160">
        <f t="shared" si="55"/>
        <v>3501.33</v>
      </c>
      <c r="I1633" s="172"/>
      <c r="J1633" s="169"/>
      <c r="K1633" s="172"/>
      <c r="L1633" s="172">
        <f>+'FACUS$'!$H1633-'FACUS$'!$I1633-'FACUS$'!$K1633</f>
        <v>3501.33</v>
      </c>
      <c r="M1633" s="162" t="s">
        <v>570</v>
      </c>
      <c r="N1633" s="337" t="s">
        <v>554</v>
      </c>
      <c r="O1633" s="338">
        <v>44648.0</v>
      </c>
      <c r="P1633" s="164">
        <f t="array" ref="P1633">XLOOKUP('FACUS$'!$B1633,'perfil de pagos'!$A$4:$A$46,'perfil de pagos'!$C$4:$C$46+'FACUS$'!$D1633)</f>
        <v>44633</v>
      </c>
      <c r="Q1633" s="165">
        <f t="shared" si="2"/>
        <v>0</v>
      </c>
      <c r="R1633" s="167"/>
      <c r="S1633" s="167"/>
      <c r="T1633" s="167"/>
      <c r="U1633" s="334" t="s">
        <v>7271</v>
      </c>
      <c r="V1633" s="168">
        <f t="shared" si="3"/>
        <v>3501.33</v>
      </c>
      <c r="W1633" s="168">
        <f t="shared" si="4"/>
        <v>0</v>
      </c>
      <c r="X1633" s="168">
        <f t="shared" si="5"/>
        <v>0</v>
      </c>
      <c r="Y1633" s="168">
        <f t="shared" si="6"/>
        <v>0</v>
      </c>
      <c r="Z1633" s="168">
        <f t="shared" si="7"/>
        <v>0</v>
      </c>
      <c r="AA1633" s="168">
        <f t="shared" si="8"/>
        <v>0</v>
      </c>
      <c r="AB1633" s="168">
        <f t="shared" si="9"/>
        <v>0</v>
      </c>
    </row>
    <row r="1634" ht="14.25" customHeight="1">
      <c r="A1634" s="157" t="s">
        <v>8802</v>
      </c>
      <c r="B1634" s="169" t="s">
        <v>39</v>
      </c>
      <c r="C1634" s="169" t="s">
        <v>8803</v>
      </c>
      <c r="D1634" s="336">
        <v>44623.0</v>
      </c>
      <c r="E1634" s="157" t="s">
        <v>600</v>
      </c>
      <c r="F1634" s="160">
        <v>2480.69</v>
      </c>
      <c r="G1634" s="160">
        <v>396.91</v>
      </c>
      <c r="H1634" s="160">
        <f t="shared" si="55"/>
        <v>2877.6</v>
      </c>
      <c r="I1634" s="172"/>
      <c r="J1634" s="169"/>
      <c r="K1634" s="172"/>
      <c r="L1634" s="172">
        <f>+'FACUS$'!$H1634-'FACUS$'!$I1634-'FACUS$'!$K1634</f>
        <v>2877.6</v>
      </c>
      <c r="M1634" s="162" t="s">
        <v>570</v>
      </c>
      <c r="N1634" s="337" t="s">
        <v>554</v>
      </c>
      <c r="O1634" s="338">
        <v>44648.0</v>
      </c>
      <c r="P1634" s="164">
        <f t="array" ref="P1634">XLOOKUP('FACUS$'!$B1634,'perfil de pagos'!$A$4:$A$46,'perfil de pagos'!$C$4:$C$46+'FACUS$'!$D1634)</f>
        <v>44633</v>
      </c>
      <c r="Q1634" s="165">
        <f t="shared" si="2"/>
        <v>0</v>
      </c>
      <c r="R1634" s="167"/>
      <c r="S1634" s="167"/>
      <c r="T1634" s="167"/>
      <c r="U1634" s="334" t="s">
        <v>7271</v>
      </c>
      <c r="V1634" s="168">
        <f t="shared" si="3"/>
        <v>2877.6</v>
      </c>
      <c r="W1634" s="168">
        <f t="shared" si="4"/>
        <v>0</v>
      </c>
      <c r="X1634" s="168">
        <f t="shared" si="5"/>
        <v>0</v>
      </c>
      <c r="Y1634" s="168">
        <f t="shared" si="6"/>
        <v>0</v>
      </c>
      <c r="Z1634" s="168">
        <f t="shared" si="7"/>
        <v>0</v>
      </c>
      <c r="AA1634" s="168">
        <f t="shared" si="8"/>
        <v>0</v>
      </c>
      <c r="AB1634" s="168">
        <f t="shared" si="9"/>
        <v>0</v>
      </c>
    </row>
    <row r="1635" ht="14.25" customHeight="1">
      <c r="A1635" s="157" t="s">
        <v>8804</v>
      </c>
      <c r="B1635" s="169" t="s">
        <v>17</v>
      </c>
      <c r="C1635" s="169" t="s">
        <v>3608</v>
      </c>
      <c r="D1635" s="336">
        <v>44624.0</v>
      </c>
      <c r="E1635" s="157" t="s">
        <v>600</v>
      </c>
      <c r="F1635" s="160">
        <v>13415.25</v>
      </c>
      <c r="G1635" s="160">
        <v>2146.44</v>
      </c>
      <c r="H1635" s="160">
        <f t="shared" si="55"/>
        <v>15561.69</v>
      </c>
      <c r="I1635" s="172"/>
      <c r="J1635" s="169"/>
      <c r="K1635" s="172"/>
      <c r="L1635" s="172">
        <f>+'FACUS$'!$H1635-'FACUS$'!$I1635-'FACUS$'!$K1635</f>
        <v>15561.69</v>
      </c>
      <c r="M1635" s="162" t="s">
        <v>17</v>
      </c>
      <c r="N1635" s="337" t="s">
        <v>554</v>
      </c>
      <c r="O1635" s="338">
        <v>44651.0</v>
      </c>
      <c r="P1635" s="164">
        <f t="array" ref="P1635">XLOOKUP('FACUS$'!$B1635,'perfil de pagos'!$A$4:$A$46,'perfil de pagos'!$C$4:$C$46+'FACUS$'!$D1635)</f>
        <v>44634</v>
      </c>
      <c r="Q1635" s="165">
        <f t="shared" si="2"/>
        <v>0</v>
      </c>
      <c r="R1635" s="167"/>
      <c r="S1635" s="167">
        <v>1349.0</v>
      </c>
      <c r="T1635" s="167"/>
      <c r="U1635" s="334" t="s">
        <v>7271</v>
      </c>
      <c r="V1635" s="168">
        <f t="shared" si="3"/>
        <v>15561.69</v>
      </c>
      <c r="W1635" s="168">
        <f t="shared" si="4"/>
        <v>0</v>
      </c>
      <c r="X1635" s="168">
        <f t="shared" si="5"/>
        <v>0</v>
      </c>
      <c r="Y1635" s="168">
        <f t="shared" si="6"/>
        <v>0</v>
      </c>
      <c r="Z1635" s="168">
        <f t="shared" si="7"/>
        <v>0</v>
      </c>
      <c r="AA1635" s="168">
        <f t="shared" si="8"/>
        <v>0</v>
      </c>
      <c r="AB1635" s="168">
        <f t="shared" si="9"/>
        <v>0</v>
      </c>
    </row>
    <row r="1636" ht="14.25" customHeight="1">
      <c r="A1636" s="157" t="s">
        <v>8805</v>
      </c>
      <c r="B1636" s="169" t="s">
        <v>17</v>
      </c>
      <c r="C1636" s="169" t="s">
        <v>8806</v>
      </c>
      <c r="D1636" s="336">
        <v>44624.0</v>
      </c>
      <c r="E1636" s="157" t="s">
        <v>600</v>
      </c>
      <c r="F1636" s="160">
        <v>15802.47</v>
      </c>
      <c r="G1636" s="160">
        <v>2528.4</v>
      </c>
      <c r="H1636" s="160">
        <f t="shared" si="55"/>
        <v>18330.87</v>
      </c>
      <c r="I1636" s="172"/>
      <c r="J1636" s="169"/>
      <c r="K1636" s="172"/>
      <c r="L1636" s="172">
        <f>+'FACUS$'!$H1636-'FACUS$'!$I1636-'FACUS$'!$K1636</f>
        <v>18330.87</v>
      </c>
      <c r="M1636" s="162" t="s">
        <v>17</v>
      </c>
      <c r="N1636" s="337" t="s">
        <v>554</v>
      </c>
      <c r="O1636" s="338">
        <v>44651.0</v>
      </c>
      <c r="P1636" s="164">
        <f t="array" ref="P1636">XLOOKUP('FACUS$'!$B1636,'perfil de pagos'!$A$4:$A$46,'perfil de pagos'!$C$4:$C$46+'FACUS$'!$D1636)</f>
        <v>44634</v>
      </c>
      <c r="Q1636" s="165">
        <f t="shared" si="2"/>
        <v>0</v>
      </c>
      <c r="R1636" s="167"/>
      <c r="S1636" s="167">
        <v>1348.0</v>
      </c>
      <c r="T1636" s="167"/>
      <c r="U1636" s="334" t="s">
        <v>7271</v>
      </c>
      <c r="V1636" s="168">
        <f t="shared" si="3"/>
        <v>18330.87</v>
      </c>
      <c r="W1636" s="168">
        <f t="shared" si="4"/>
        <v>0</v>
      </c>
      <c r="X1636" s="168">
        <f t="shared" si="5"/>
        <v>0</v>
      </c>
      <c r="Y1636" s="168">
        <f t="shared" si="6"/>
        <v>0</v>
      </c>
      <c r="Z1636" s="168">
        <f t="shared" si="7"/>
        <v>0</v>
      </c>
      <c r="AA1636" s="168">
        <f t="shared" si="8"/>
        <v>0</v>
      </c>
      <c r="AB1636" s="168">
        <f t="shared" si="9"/>
        <v>0</v>
      </c>
    </row>
    <row r="1637" ht="14.25" customHeight="1">
      <c r="A1637" s="157" t="s">
        <v>8807</v>
      </c>
      <c r="B1637" s="169" t="s">
        <v>39</v>
      </c>
      <c r="C1637" s="169" t="s">
        <v>3608</v>
      </c>
      <c r="D1637" s="336">
        <v>44624.0</v>
      </c>
      <c r="E1637" s="157" t="s">
        <v>600</v>
      </c>
      <c r="F1637" s="160">
        <v>19220.1</v>
      </c>
      <c r="G1637" s="160">
        <v>3075.22</v>
      </c>
      <c r="H1637" s="160">
        <f t="shared" si="55"/>
        <v>22295.32</v>
      </c>
      <c r="I1637" s="172"/>
      <c r="J1637" s="169"/>
      <c r="K1637" s="172"/>
      <c r="L1637" s="172">
        <f>+'FACUS$'!$H1637-'FACUS$'!$I1637-'FACUS$'!$K1637</f>
        <v>22295.32</v>
      </c>
      <c r="M1637" s="162" t="s">
        <v>570</v>
      </c>
      <c r="N1637" s="337" t="s">
        <v>554</v>
      </c>
      <c r="O1637" s="338">
        <v>44631.0</v>
      </c>
      <c r="P1637" s="164">
        <f t="array" ref="P1637">XLOOKUP('FACUS$'!$B1637,'perfil de pagos'!$A$4:$A$46,'perfil de pagos'!$C$4:$C$46+'FACUS$'!$D1637)</f>
        <v>44634</v>
      </c>
      <c r="Q1637" s="165">
        <f t="shared" si="2"/>
        <v>0</v>
      </c>
      <c r="R1637" s="167"/>
      <c r="S1637" s="167"/>
      <c r="T1637" s="167"/>
      <c r="U1637" s="334" t="s">
        <v>7271</v>
      </c>
      <c r="V1637" s="168">
        <f t="shared" si="3"/>
        <v>22295.32</v>
      </c>
      <c r="W1637" s="168">
        <f t="shared" si="4"/>
        <v>0</v>
      </c>
      <c r="X1637" s="168">
        <f t="shared" si="5"/>
        <v>0</v>
      </c>
      <c r="Y1637" s="168">
        <f t="shared" si="6"/>
        <v>0</v>
      </c>
      <c r="Z1637" s="168">
        <f t="shared" si="7"/>
        <v>0</v>
      </c>
      <c r="AA1637" s="168">
        <f t="shared" si="8"/>
        <v>0</v>
      </c>
      <c r="AB1637" s="168">
        <f t="shared" si="9"/>
        <v>0</v>
      </c>
    </row>
    <row r="1638" ht="14.25" customHeight="1">
      <c r="A1638" s="157" t="s">
        <v>8808</v>
      </c>
      <c r="B1638" s="169" t="s">
        <v>39</v>
      </c>
      <c r="C1638" s="169" t="s">
        <v>8806</v>
      </c>
      <c r="D1638" s="336">
        <v>44624.0</v>
      </c>
      <c r="E1638" s="157" t="s">
        <v>600</v>
      </c>
      <c r="F1638" s="160">
        <v>16563.34</v>
      </c>
      <c r="G1638" s="160">
        <v>2650.13</v>
      </c>
      <c r="H1638" s="160">
        <f t="shared" si="55"/>
        <v>19213.47</v>
      </c>
      <c r="I1638" s="172"/>
      <c r="J1638" s="169"/>
      <c r="K1638" s="172"/>
      <c r="L1638" s="172">
        <f>+'FACUS$'!$H1638-'FACUS$'!$I1638-'FACUS$'!$K1638</f>
        <v>19213.47</v>
      </c>
      <c r="M1638" s="162" t="s">
        <v>570</v>
      </c>
      <c r="N1638" s="337" t="s">
        <v>554</v>
      </c>
      <c r="O1638" s="338">
        <v>44631.0</v>
      </c>
      <c r="P1638" s="164">
        <f t="array" ref="P1638">XLOOKUP('FACUS$'!$B1638,'perfil de pagos'!$A$4:$A$46,'perfil de pagos'!$C$4:$C$46+'FACUS$'!$D1638)</f>
        <v>44634</v>
      </c>
      <c r="Q1638" s="165">
        <f t="shared" si="2"/>
        <v>0</v>
      </c>
      <c r="R1638" s="167"/>
      <c r="S1638" s="167"/>
      <c r="T1638" s="167"/>
      <c r="U1638" s="334" t="s">
        <v>7271</v>
      </c>
      <c r="V1638" s="168">
        <f t="shared" si="3"/>
        <v>19213.47</v>
      </c>
      <c r="W1638" s="168">
        <f t="shared" si="4"/>
        <v>0</v>
      </c>
      <c r="X1638" s="168">
        <f t="shared" si="5"/>
        <v>0</v>
      </c>
      <c r="Y1638" s="168">
        <f t="shared" si="6"/>
        <v>0</v>
      </c>
      <c r="Z1638" s="168">
        <f t="shared" si="7"/>
        <v>0</v>
      </c>
      <c r="AA1638" s="168">
        <f t="shared" si="8"/>
        <v>0</v>
      </c>
      <c r="AB1638" s="168">
        <f t="shared" si="9"/>
        <v>0</v>
      </c>
    </row>
    <row r="1639" ht="14.25" customHeight="1">
      <c r="A1639" s="157" t="s">
        <v>8809</v>
      </c>
      <c r="B1639" s="169" t="s">
        <v>35</v>
      </c>
      <c r="C1639" s="169" t="s">
        <v>8806</v>
      </c>
      <c r="D1639" s="336">
        <v>44624.0</v>
      </c>
      <c r="E1639" s="157" t="s">
        <v>600</v>
      </c>
      <c r="F1639" s="160">
        <v>14847.03</v>
      </c>
      <c r="G1639" s="160">
        <v>2375.52</v>
      </c>
      <c r="H1639" s="160">
        <f t="shared" si="55"/>
        <v>17222.55</v>
      </c>
      <c r="I1639" s="172"/>
      <c r="J1639" s="169"/>
      <c r="K1639" s="172"/>
      <c r="L1639" s="172">
        <f>+'FACUS$'!$H1639-'FACUS$'!$I1639-'FACUS$'!$K1639</f>
        <v>17222.55</v>
      </c>
      <c r="M1639" s="162" t="s">
        <v>276</v>
      </c>
      <c r="N1639" s="337" t="s">
        <v>554</v>
      </c>
      <c r="O1639" s="338">
        <v>44652.0</v>
      </c>
      <c r="P1639" s="164">
        <f t="array" ref="P1639">XLOOKUP('FACUS$'!$B1639,'perfil de pagos'!$A$4:$A$46,'perfil de pagos'!$C$4:$C$46+'FACUS$'!$D1639)</f>
        <v>44634</v>
      </c>
      <c r="Q1639" s="165">
        <f t="shared" si="2"/>
        <v>0</v>
      </c>
      <c r="R1639" s="167"/>
      <c r="S1639" s="167">
        <v>1342.0</v>
      </c>
      <c r="T1639" s="167"/>
      <c r="U1639" s="334" t="s">
        <v>7271</v>
      </c>
      <c r="V1639" s="168">
        <f t="shared" si="3"/>
        <v>17222.55</v>
      </c>
      <c r="W1639" s="168">
        <f t="shared" si="4"/>
        <v>0</v>
      </c>
      <c r="X1639" s="168">
        <f t="shared" si="5"/>
        <v>0</v>
      </c>
      <c r="Y1639" s="168">
        <f t="shared" si="6"/>
        <v>0</v>
      </c>
      <c r="Z1639" s="168">
        <f t="shared" si="7"/>
        <v>0</v>
      </c>
      <c r="AA1639" s="168">
        <f t="shared" si="8"/>
        <v>0</v>
      </c>
      <c r="AB1639" s="168">
        <f t="shared" si="9"/>
        <v>0</v>
      </c>
    </row>
    <row r="1640" ht="14.25" customHeight="1">
      <c r="A1640" s="157" t="s">
        <v>8810</v>
      </c>
      <c r="B1640" s="169" t="s">
        <v>33</v>
      </c>
      <c r="C1640" s="169" t="s">
        <v>8806</v>
      </c>
      <c r="D1640" s="336">
        <v>44624.0</v>
      </c>
      <c r="E1640" s="157" t="s">
        <v>600</v>
      </c>
      <c r="F1640" s="160">
        <v>54537.5</v>
      </c>
      <c r="G1640" s="160">
        <v>8726.0</v>
      </c>
      <c r="H1640" s="160">
        <f t="shared" si="55"/>
        <v>63263.5</v>
      </c>
      <c r="I1640" s="172"/>
      <c r="J1640" s="169"/>
      <c r="K1640" s="172"/>
      <c r="L1640" s="172">
        <f>+'FACUS$'!$H1640-'FACUS$'!$I1640-'FACUS$'!$K1640</f>
        <v>63263.5</v>
      </c>
      <c r="M1640" s="162" t="s">
        <v>958</v>
      </c>
      <c r="N1640" s="337" t="s">
        <v>554</v>
      </c>
      <c r="O1640" s="338">
        <v>44638.0</v>
      </c>
      <c r="P1640" s="164">
        <f t="array" ref="P1640">XLOOKUP('FACUS$'!$B1640,'perfil de pagos'!$A$4:$A$46,'perfil de pagos'!$C$4:$C$46+'FACUS$'!$D1640)</f>
        <v>44634</v>
      </c>
      <c r="Q1640" s="165">
        <f t="shared" si="2"/>
        <v>0</v>
      </c>
      <c r="R1640" s="167"/>
      <c r="S1640" s="167">
        <v>1331.0</v>
      </c>
      <c r="T1640" s="167"/>
      <c r="U1640" s="334" t="s">
        <v>7271</v>
      </c>
      <c r="V1640" s="168">
        <f t="shared" si="3"/>
        <v>63263.5</v>
      </c>
      <c r="W1640" s="168">
        <f t="shared" si="4"/>
        <v>0</v>
      </c>
      <c r="X1640" s="168">
        <f t="shared" si="5"/>
        <v>0</v>
      </c>
      <c r="Y1640" s="168">
        <f t="shared" si="6"/>
        <v>0</v>
      </c>
      <c r="Z1640" s="168">
        <f t="shared" si="7"/>
        <v>0</v>
      </c>
      <c r="AA1640" s="168">
        <f t="shared" si="8"/>
        <v>0</v>
      </c>
      <c r="AB1640" s="168">
        <f t="shared" si="9"/>
        <v>0</v>
      </c>
    </row>
    <row r="1641" ht="14.25" customHeight="1">
      <c r="A1641" s="157" t="s">
        <v>8811</v>
      </c>
      <c r="B1641" s="169" t="s">
        <v>36</v>
      </c>
      <c r="C1641" s="169" t="s">
        <v>8806</v>
      </c>
      <c r="D1641" s="336">
        <v>44624.0</v>
      </c>
      <c r="E1641" s="157" t="s">
        <v>600</v>
      </c>
      <c r="F1641" s="160">
        <v>2155.5</v>
      </c>
      <c r="G1641" s="160">
        <v>344.88</v>
      </c>
      <c r="H1641" s="160">
        <f t="shared" si="55"/>
        <v>2500.38</v>
      </c>
      <c r="I1641" s="172"/>
      <c r="J1641" s="169"/>
      <c r="K1641" s="172"/>
      <c r="L1641" s="172">
        <f>+'FACUS$'!$H1641-'FACUS$'!$I1641-'FACUS$'!$K1641</f>
        <v>2500.38</v>
      </c>
      <c r="M1641" s="162" t="s">
        <v>278</v>
      </c>
      <c r="N1641" s="337" t="s">
        <v>554</v>
      </c>
      <c r="O1641" s="338">
        <v>44644.0</v>
      </c>
      <c r="P1641" s="164">
        <f t="array" ref="P1641">XLOOKUP('FACUS$'!$B1641,'perfil de pagos'!$A$4:$A$46,'perfil de pagos'!$C$4:$C$46+'FACUS$'!$D1641)</f>
        <v>44634</v>
      </c>
      <c r="Q1641" s="165">
        <f t="shared" si="2"/>
        <v>0</v>
      </c>
      <c r="R1641" s="220" t="s">
        <v>8812</v>
      </c>
      <c r="S1641" s="167"/>
      <c r="T1641" s="167"/>
      <c r="U1641" s="334" t="s">
        <v>7271</v>
      </c>
      <c r="V1641" s="168">
        <f t="shared" si="3"/>
        <v>2500.38</v>
      </c>
      <c r="W1641" s="168">
        <f t="shared" si="4"/>
        <v>0</v>
      </c>
      <c r="X1641" s="168">
        <f t="shared" si="5"/>
        <v>0</v>
      </c>
      <c r="Y1641" s="168">
        <f t="shared" si="6"/>
        <v>0</v>
      </c>
      <c r="Z1641" s="168">
        <f t="shared" si="7"/>
        <v>0</v>
      </c>
      <c r="AA1641" s="168">
        <f t="shared" si="8"/>
        <v>0</v>
      </c>
      <c r="AB1641" s="168">
        <f t="shared" si="9"/>
        <v>0</v>
      </c>
    </row>
    <row r="1642" ht="14.25" customHeight="1">
      <c r="A1642" s="157" t="s">
        <v>8813</v>
      </c>
      <c r="B1642" s="169" t="s">
        <v>31</v>
      </c>
      <c r="C1642" s="169" t="s">
        <v>8814</v>
      </c>
      <c r="D1642" s="336">
        <v>44624.0</v>
      </c>
      <c r="E1642" s="157" t="s">
        <v>600</v>
      </c>
      <c r="F1642" s="160">
        <v>3185.49</v>
      </c>
      <c r="G1642" s="160">
        <v>509.68</v>
      </c>
      <c r="H1642" s="160">
        <f t="shared" si="55"/>
        <v>3695.17</v>
      </c>
      <c r="I1642" s="172"/>
      <c r="J1642" s="169"/>
      <c r="K1642" s="172"/>
      <c r="L1642" s="172">
        <f>+'FACUS$'!$H1642-'FACUS$'!$I1642-'FACUS$'!$K1642</f>
        <v>3695.17</v>
      </c>
      <c r="M1642" s="162" t="s">
        <v>3183</v>
      </c>
      <c r="N1642" s="337" t="s">
        <v>554</v>
      </c>
      <c r="O1642" s="338">
        <v>44834.0</v>
      </c>
      <c r="P1642" s="164">
        <f t="array" ref="P1642">XLOOKUP('FACUS$'!$B1642,'perfil de pagos'!$A$4:$A$46,'perfil de pagos'!$C$4:$C$46+'FACUS$'!$D1642)</f>
        <v>44627</v>
      </c>
      <c r="Q1642" s="165">
        <f t="shared" si="2"/>
        <v>0</v>
      </c>
      <c r="R1642" s="167"/>
      <c r="S1642" s="167"/>
      <c r="T1642" s="167"/>
      <c r="U1642" s="334" t="s">
        <v>7271</v>
      </c>
      <c r="V1642" s="168">
        <f t="shared" si="3"/>
        <v>3695.17</v>
      </c>
      <c r="W1642" s="168">
        <f t="shared" si="4"/>
        <v>0</v>
      </c>
      <c r="X1642" s="168">
        <f t="shared" si="5"/>
        <v>0</v>
      </c>
      <c r="Y1642" s="168">
        <f t="shared" si="6"/>
        <v>0</v>
      </c>
      <c r="Z1642" s="168">
        <f t="shared" si="7"/>
        <v>0</v>
      </c>
      <c r="AA1642" s="168">
        <f t="shared" si="8"/>
        <v>0</v>
      </c>
      <c r="AB1642" s="168">
        <f t="shared" si="9"/>
        <v>0</v>
      </c>
    </row>
    <row r="1643" ht="14.25" customHeight="1">
      <c r="A1643" s="157" t="s">
        <v>8815</v>
      </c>
      <c r="B1643" s="169" t="s">
        <v>41</v>
      </c>
      <c r="C1643" s="169" t="s">
        <v>8806</v>
      </c>
      <c r="D1643" s="336">
        <v>44624.0</v>
      </c>
      <c r="E1643" s="157" t="s">
        <v>600</v>
      </c>
      <c r="F1643" s="160">
        <v>50303.41</v>
      </c>
      <c r="G1643" s="160">
        <v>8048.55</v>
      </c>
      <c r="H1643" s="160">
        <f>F1643+G1643-30000</f>
        <v>28351.96</v>
      </c>
      <c r="I1643" s="172"/>
      <c r="J1643" s="169"/>
      <c r="K1643" s="172"/>
      <c r="L1643" s="172">
        <f>+'FACUS$'!$H1643-'FACUS$'!$I1643-'FACUS$'!$K1643</f>
        <v>28351.96</v>
      </c>
      <c r="M1643" s="162" t="s">
        <v>875</v>
      </c>
      <c r="N1643" s="337" t="s">
        <v>554</v>
      </c>
      <c r="O1643" s="338">
        <v>44704.0</v>
      </c>
      <c r="P1643" s="164">
        <f t="array" ref="P1643">XLOOKUP('FACUS$'!$B1643,'perfil de pagos'!$A$4:$A$46,'perfil de pagos'!$C$4:$C$46+'FACUS$'!$D1643)</f>
        <v>44634</v>
      </c>
      <c r="Q1643" s="165">
        <f t="shared" si="2"/>
        <v>0</v>
      </c>
      <c r="R1643" s="220" t="s">
        <v>8816</v>
      </c>
      <c r="S1643" s="167"/>
      <c r="T1643" s="167"/>
      <c r="U1643" s="334" t="s">
        <v>7271</v>
      </c>
      <c r="V1643" s="168">
        <f t="shared" si="3"/>
        <v>28351.96</v>
      </c>
      <c r="W1643" s="168">
        <f t="shared" si="4"/>
        <v>0</v>
      </c>
      <c r="X1643" s="168">
        <f t="shared" si="5"/>
        <v>0</v>
      </c>
      <c r="Y1643" s="168">
        <f t="shared" si="6"/>
        <v>0</v>
      </c>
      <c r="Z1643" s="168">
        <f t="shared" si="7"/>
        <v>0</v>
      </c>
      <c r="AA1643" s="168">
        <f t="shared" si="8"/>
        <v>0</v>
      </c>
      <c r="AB1643" s="168">
        <f t="shared" si="9"/>
        <v>0</v>
      </c>
    </row>
    <row r="1644" ht="14.25" customHeight="1">
      <c r="A1644" s="157" t="s">
        <v>8817</v>
      </c>
      <c r="B1644" s="169" t="s">
        <v>43</v>
      </c>
      <c r="C1644" s="169" t="s">
        <v>8806</v>
      </c>
      <c r="D1644" s="336">
        <v>44627.0</v>
      </c>
      <c r="E1644" s="157" t="s">
        <v>600</v>
      </c>
      <c r="F1644" s="160">
        <v>65940.98</v>
      </c>
      <c r="G1644" s="160">
        <v>10550.56</v>
      </c>
      <c r="H1644" s="160">
        <f t="shared" ref="H1644:H1660" si="56">F1644+G1644</f>
        <v>76491.54</v>
      </c>
      <c r="I1644" s="172"/>
      <c r="J1644" s="169"/>
      <c r="K1644" s="172"/>
      <c r="L1644" s="172">
        <f>+'FACUS$'!$H1644-'FACUS$'!$I1644-'FACUS$'!$K1644</f>
        <v>76491.54</v>
      </c>
      <c r="M1644" s="162" t="s">
        <v>43</v>
      </c>
      <c r="N1644" s="337" t="s">
        <v>554</v>
      </c>
      <c r="O1644" s="338">
        <v>44648.0</v>
      </c>
      <c r="P1644" s="164">
        <f t="array" ref="P1644">XLOOKUP('FACUS$'!$B1644,'perfil de pagos'!$A$4:$A$46,'perfil de pagos'!$C$4:$C$46+'FACUS$'!$D1644)</f>
        <v>44652</v>
      </c>
      <c r="Q1644" s="165">
        <f t="shared" si="2"/>
        <v>0</v>
      </c>
      <c r="R1644" s="167"/>
      <c r="S1644" s="167">
        <v>1344.0</v>
      </c>
      <c r="T1644" s="167"/>
      <c r="U1644" s="334" t="s">
        <v>7271</v>
      </c>
      <c r="V1644" s="168">
        <f t="shared" si="3"/>
        <v>76491.54</v>
      </c>
      <c r="W1644" s="168">
        <f t="shared" si="4"/>
        <v>0</v>
      </c>
      <c r="X1644" s="168">
        <f t="shared" si="5"/>
        <v>0</v>
      </c>
      <c r="Y1644" s="168">
        <f t="shared" si="6"/>
        <v>0</v>
      </c>
      <c r="Z1644" s="168">
        <f t="shared" si="7"/>
        <v>0</v>
      </c>
      <c r="AA1644" s="168">
        <f t="shared" si="8"/>
        <v>0</v>
      </c>
      <c r="AB1644" s="168">
        <f t="shared" si="9"/>
        <v>0</v>
      </c>
    </row>
    <row r="1645" ht="14.25" customHeight="1">
      <c r="A1645" s="157" t="s">
        <v>8818</v>
      </c>
      <c r="B1645" s="169" t="s">
        <v>20</v>
      </c>
      <c r="C1645" s="169" t="s">
        <v>8806</v>
      </c>
      <c r="D1645" s="336">
        <v>44627.0</v>
      </c>
      <c r="E1645" s="157" t="s">
        <v>600</v>
      </c>
      <c r="F1645" s="160">
        <v>9146.65</v>
      </c>
      <c r="G1645" s="160">
        <v>1463.46</v>
      </c>
      <c r="H1645" s="160">
        <f t="shared" si="56"/>
        <v>10610.11</v>
      </c>
      <c r="I1645" s="172"/>
      <c r="J1645" s="169"/>
      <c r="K1645" s="172"/>
      <c r="L1645" s="172">
        <f>+'FACUS$'!$H1645-'FACUS$'!$I1645-'FACUS$'!$K1645</f>
        <v>10610.11</v>
      </c>
      <c r="M1645" s="162" t="s">
        <v>732</v>
      </c>
      <c r="N1645" s="337" t="s">
        <v>554</v>
      </c>
      <c r="O1645" s="338">
        <v>44637.0</v>
      </c>
      <c r="P1645" s="164">
        <f t="array" ref="P1645">XLOOKUP('FACUS$'!$B1645,'perfil de pagos'!$A$4:$A$46,'perfil de pagos'!$C$4:$C$46+'FACUS$'!$D1645)</f>
        <v>44637</v>
      </c>
      <c r="Q1645" s="165">
        <f t="shared" si="2"/>
        <v>0</v>
      </c>
      <c r="R1645" s="167"/>
      <c r="S1645" s="167">
        <v>1328.0</v>
      </c>
      <c r="T1645" s="167"/>
      <c r="U1645" s="334" t="s">
        <v>7271</v>
      </c>
      <c r="V1645" s="168">
        <f t="shared" si="3"/>
        <v>10610.11</v>
      </c>
      <c r="W1645" s="168">
        <f t="shared" si="4"/>
        <v>0</v>
      </c>
      <c r="X1645" s="168">
        <f t="shared" si="5"/>
        <v>0</v>
      </c>
      <c r="Y1645" s="168">
        <f t="shared" si="6"/>
        <v>0</v>
      </c>
      <c r="Z1645" s="168">
        <f t="shared" si="7"/>
        <v>0</v>
      </c>
      <c r="AA1645" s="168">
        <f t="shared" si="8"/>
        <v>0</v>
      </c>
      <c r="AB1645" s="168">
        <f t="shared" si="9"/>
        <v>0</v>
      </c>
    </row>
    <row r="1646" ht="14.25" customHeight="1">
      <c r="A1646" s="157" t="s">
        <v>8819</v>
      </c>
      <c r="B1646" s="169" t="s">
        <v>26</v>
      </c>
      <c r="C1646" s="169" t="s">
        <v>8806</v>
      </c>
      <c r="D1646" s="336">
        <v>44627.0</v>
      </c>
      <c r="E1646" s="157" t="s">
        <v>600</v>
      </c>
      <c r="F1646" s="160">
        <v>3285.0</v>
      </c>
      <c r="G1646" s="160">
        <v>525.6</v>
      </c>
      <c r="H1646" s="160">
        <f t="shared" si="56"/>
        <v>3810.6</v>
      </c>
      <c r="I1646" s="172"/>
      <c r="J1646" s="169"/>
      <c r="K1646" s="172"/>
      <c r="L1646" s="172">
        <f>+'FACUS$'!$H1646-'FACUS$'!$I1646-'FACUS$'!$K1646</f>
        <v>3810.6</v>
      </c>
      <c r="M1646" s="162" t="s">
        <v>2386</v>
      </c>
      <c r="N1646" s="337" t="s">
        <v>554</v>
      </c>
      <c r="O1646" s="338">
        <v>44687.0</v>
      </c>
      <c r="P1646" s="164">
        <f t="array" ref="P1646">XLOOKUP('FACUS$'!$B1646,'perfil de pagos'!$A$4:$A$46,'perfil de pagos'!$C$4:$C$46+'FACUS$'!$D1646)</f>
        <v>44657</v>
      </c>
      <c r="Q1646" s="165">
        <f t="shared" si="2"/>
        <v>0</v>
      </c>
      <c r="R1646" s="167" t="s">
        <v>8820</v>
      </c>
      <c r="S1646" s="167"/>
      <c r="T1646" s="167"/>
      <c r="U1646" s="334" t="s">
        <v>7271</v>
      </c>
      <c r="V1646" s="168">
        <f t="shared" si="3"/>
        <v>3810.6</v>
      </c>
      <c r="W1646" s="168">
        <f t="shared" si="4"/>
        <v>0</v>
      </c>
      <c r="X1646" s="168">
        <f t="shared" si="5"/>
        <v>0</v>
      </c>
      <c r="Y1646" s="168">
        <f t="shared" si="6"/>
        <v>0</v>
      </c>
      <c r="Z1646" s="168">
        <f t="shared" si="7"/>
        <v>0</v>
      </c>
      <c r="AA1646" s="168">
        <f t="shared" si="8"/>
        <v>0</v>
      </c>
      <c r="AB1646" s="168">
        <f t="shared" si="9"/>
        <v>0</v>
      </c>
    </row>
    <row r="1647" ht="14.25" customHeight="1">
      <c r="A1647" s="157" t="s">
        <v>8821</v>
      </c>
      <c r="B1647" s="169" t="s">
        <v>37</v>
      </c>
      <c r="C1647" s="169" t="s">
        <v>8806</v>
      </c>
      <c r="D1647" s="336">
        <v>44627.0</v>
      </c>
      <c r="E1647" s="157" t="s">
        <v>600</v>
      </c>
      <c r="F1647" s="160">
        <v>61595.78</v>
      </c>
      <c r="G1647" s="160">
        <v>9855.32</v>
      </c>
      <c r="H1647" s="160">
        <f t="shared" si="56"/>
        <v>71451.1</v>
      </c>
      <c r="I1647" s="172"/>
      <c r="J1647" s="169"/>
      <c r="K1647" s="172"/>
      <c r="L1647" s="172">
        <f>+'FACUS$'!$H1647-'FACUS$'!$I1647-'FACUS$'!$K1647</f>
        <v>71451.1</v>
      </c>
      <c r="M1647" s="162" t="s">
        <v>116</v>
      </c>
      <c r="N1647" s="337" t="s">
        <v>554</v>
      </c>
      <c r="O1647" s="338">
        <v>44648.0</v>
      </c>
      <c r="P1647" s="164">
        <f t="array" ref="P1647">XLOOKUP('FACUS$'!$B1647,'perfil de pagos'!$A$4:$A$46,'perfil de pagos'!$C$4:$C$46+'FACUS$'!$D1647)</f>
        <v>44637</v>
      </c>
      <c r="Q1647" s="165">
        <f t="shared" si="2"/>
        <v>0</v>
      </c>
      <c r="R1647" s="247" t="s">
        <v>8822</v>
      </c>
      <c r="S1647" s="167"/>
      <c r="T1647" s="167"/>
      <c r="U1647" s="334" t="s">
        <v>7271</v>
      </c>
      <c r="V1647" s="168">
        <f t="shared" si="3"/>
        <v>71451.1</v>
      </c>
      <c r="W1647" s="168">
        <f t="shared" si="4"/>
        <v>0</v>
      </c>
      <c r="X1647" s="168">
        <f t="shared" si="5"/>
        <v>0</v>
      </c>
      <c r="Y1647" s="168">
        <f t="shared" si="6"/>
        <v>0</v>
      </c>
      <c r="Z1647" s="168">
        <f t="shared" si="7"/>
        <v>0</v>
      </c>
      <c r="AA1647" s="168">
        <f t="shared" si="8"/>
        <v>0</v>
      </c>
      <c r="AB1647" s="168">
        <f t="shared" si="9"/>
        <v>0</v>
      </c>
    </row>
    <row r="1648" ht="14.25" customHeight="1">
      <c r="A1648" s="157" t="s">
        <v>8823</v>
      </c>
      <c r="B1648" s="169" t="s">
        <v>38</v>
      </c>
      <c r="C1648" s="169" t="s">
        <v>8806</v>
      </c>
      <c r="D1648" s="336">
        <v>44627.0</v>
      </c>
      <c r="E1648" s="157" t="s">
        <v>600</v>
      </c>
      <c r="F1648" s="160">
        <v>10675.83</v>
      </c>
      <c r="G1648" s="160">
        <v>1708.13</v>
      </c>
      <c r="H1648" s="160">
        <f t="shared" si="56"/>
        <v>12383.96</v>
      </c>
      <c r="I1648" s="172"/>
      <c r="J1648" s="169"/>
      <c r="K1648" s="172"/>
      <c r="L1648" s="172">
        <f>+'FACUS$'!$H1648-'FACUS$'!$I1648-'FACUS$'!$K1648</f>
        <v>12383.96</v>
      </c>
      <c r="M1648" s="162" t="s">
        <v>145</v>
      </c>
      <c r="N1648" s="337" t="s">
        <v>554</v>
      </c>
      <c r="O1648" s="338">
        <v>44687.0</v>
      </c>
      <c r="P1648" s="164">
        <f t="array" ref="P1648">XLOOKUP('FACUS$'!$B1648,'perfil de pagos'!$A$4:$A$46,'perfil de pagos'!$C$4:$C$46+'FACUS$'!$D1648)</f>
        <v>44657</v>
      </c>
      <c r="Q1648" s="165">
        <f t="shared" si="2"/>
        <v>0</v>
      </c>
      <c r="R1648" s="167"/>
      <c r="S1648" s="167"/>
      <c r="T1648" s="167"/>
      <c r="U1648" s="334" t="s">
        <v>7271</v>
      </c>
      <c r="V1648" s="168">
        <f t="shared" si="3"/>
        <v>12383.96</v>
      </c>
      <c r="W1648" s="168">
        <f t="shared" si="4"/>
        <v>0</v>
      </c>
      <c r="X1648" s="168">
        <f t="shared" si="5"/>
        <v>0</v>
      </c>
      <c r="Y1648" s="168">
        <f t="shared" si="6"/>
        <v>0</v>
      </c>
      <c r="Z1648" s="168">
        <f t="shared" si="7"/>
        <v>0</v>
      </c>
      <c r="AA1648" s="168">
        <f t="shared" si="8"/>
        <v>0</v>
      </c>
      <c r="AB1648" s="168">
        <f t="shared" si="9"/>
        <v>0</v>
      </c>
    </row>
    <row r="1649" ht="14.25" customHeight="1">
      <c r="A1649" s="157" t="s">
        <v>8824</v>
      </c>
      <c r="B1649" s="169" t="s">
        <v>18</v>
      </c>
      <c r="C1649" s="169" t="s">
        <v>8806</v>
      </c>
      <c r="D1649" s="336">
        <v>44628.0</v>
      </c>
      <c r="E1649" s="157" t="s">
        <v>600</v>
      </c>
      <c r="F1649" s="160">
        <v>8065.72</v>
      </c>
      <c r="G1649" s="160">
        <f>'FACUS$'!$F1649*0.16</f>
        <v>1290.5152</v>
      </c>
      <c r="H1649" s="160">
        <f t="shared" si="56"/>
        <v>9356.2352</v>
      </c>
      <c r="I1649" s="172"/>
      <c r="J1649" s="169"/>
      <c r="K1649" s="172"/>
      <c r="L1649" s="172">
        <f>+'FACUS$'!$H1649-'FACUS$'!$I1649-'FACUS$'!$K1649</f>
        <v>9356.2352</v>
      </c>
      <c r="M1649" s="162" t="s">
        <v>586</v>
      </c>
      <c r="N1649" s="337" t="s">
        <v>554</v>
      </c>
      <c r="O1649" s="338">
        <v>44637.0</v>
      </c>
      <c r="P1649" s="164">
        <f t="array" ref="P1649">XLOOKUP('FACUS$'!$B1649,'perfil de pagos'!$A$4:$A$46,'perfil de pagos'!$C$4:$C$46+'FACUS$'!$D1649)</f>
        <v>44638</v>
      </c>
      <c r="Q1649" s="165">
        <f t="shared" si="2"/>
        <v>0</v>
      </c>
      <c r="R1649" s="167"/>
      <c r="S1649" s="167">
        <v>1328.0</v>
      </c>
      <c r="T1649" s="167"/>
      <c r="U1649" s="334" t="s">
        <v>7271</v>
      </c>
      <c r="V1649" s="168">
        <f t="shared" si="3"/>
        <v>9356.2352</v>
      </c>
      <c r="W1649" s="168">
        <f t="shared" si="4"/>
        <v>0</v>
      </c>
      <c r="X1649" s="168">
        <f t="shared" si="5"/>
        <v>0</v>
      </c>
      <c r="Y1649" s="168">
        <f t="shared" si="6"/>
        <v>0</v>
      </c>
      <c r="Z1649" s="168">
        <f t="shared" si="7"/>
        <v>0</v>
      </c>
      <c r="AA1649" s="168">
        <f t="shared" si="8"/>
        <v>0</v>
      </c>
      <c r="AB1649" s="168">
        <f t="shared" si="9"/>
        <v>0</v>
      </c>
    </row>
    <row r="1650" ht="14.25" customHeight="1">
      <c r="A1650" s="157" t="s">
        <v>8825</v>
      </c>
      <c r="B1650" s="169" t="s">
        <v>22</v>
      </c>
      <c r="C1650" s="169" t="s">
        <v>8806</v>
      </c>
      <c r="D1650" s="336">
        <v>44631.0</v>
      </c>
      <c r="E1650" s="157" t="s">
        <v>600</v>
      </c>
      <c r="F1650" s="160">
        <v>4574.93</v>
      </c>
      <c r="G1650" s="160">
        <v>731.99</v>
      </c>
      <c r="H1650" s="160">
        <f t="shared" si="56"/>
        <v>5306.92</v>
      </c>
      <c r="I1650" s="172"/>
      <c r="J1650" s="169"/>
      <c r="K1650" s="172"/>
      <c r="L1650" s="172">
        <f>+'FACUS$'!$H1650-'FACUS$'!$I1650-'FACUS$'!$K1650</f>
        <v>5306.92</v>
      </c>
      <c r="M1650" s="162" t="s">
        <v>220</v>
      </c>
      <c r="N1650" s="337" t="s">
        <v>554</v>
      </c>
      <c r="O1650" s="338">
        <v>44697.0</v>
      </c>
      <c r="P1650" s="164">
        <f t="array" ref="P1650">XLOOKUP('FACUS$'!$B1650,'perfil de pagos'!$A$4:$A$46,'perfil de pagos'!$C$4:$C$46+'FACUS$'!$D1650)</f>
        <v>44641</v>
      </c>
      <c r="Q1650" s="165">
        <f t="shared" si="2"/>
        <v>0</v>
      </c>
      <c r="R1650" s="167"/>
      <c r="S1650" s="167">
        <v>1379.0</v>
      </c>
      <c r="T1650" s="167"/>
      <c r="U1650" s="334" t="s">
        <v>7271</v>
      </c>
      <c r="V1650" s="168">
        <f t="shared" si="3"/>
        <v>5306.92</v>
      </c>
      <c r="W1650" s="168">
        <f t="shared" si="4"/>
        <v>0</v>
      </c>
      <c r="X1650" s="168">
        <f t="shared" si="5"/>
        <v>0</v>
      </c>
      <c r="Y1650" s="168">
        <f t="shared" si="6"/>
        <v>0</v>
      </c>
      <c r="Z1650" s="168">
        <f t="shared" si="7"/>
        <v>0</v>
      </c>
      <c r="AA1650" s="168">
        <f t="shared" si="8"/>
        <v>0</v>
      </c>
      <c r="AB1650" s="168">
        <f t="shared" si="9"/>
        <v>0</v>
      </c>
    </row>
    <row r="1651" ht="14.25" customHeight="1">
      <c r="A1651" s="157" t="s">
        <v>8826</v>
      </c>
      <c r="B1651" s="169" t="s">
        <v>127</v>
      </c>
      <c r="C1651" s="169"/>
      <c r="D1651" s="336"/>
      <c r="E1651" s="157"/>
      <c r="F1651" s="160"/>
      <c r="G1651" s="160"/>
      <c r="H1651" s="160">
        <f t="shared" si="56"/>
        <v>0</v>
      </c>
      <c r="I1651" s="172"/>
      <c r="J1651" s="169"/>
      <c r="K1651" s="172"/>
      <c r="L1651" s="172">
        <f>+'FACUS$'!$H1651-'FACUS$'!$I1651-'FACUS$'!$K1651</f>
        <v>0</v>
      </c>
      <c r="M1651" s="162"/>
      <c r="N1651" s="337" t="s">
        <v>127</v>
      </c>
      <c r="O1651" s="338"/>
      <c r="P1651" s="164" t="str">
        <f t="array" ref="P1651">XLOOKUP('FACUS$'!$B1651,'perfil de pagos'!$A$4:$A$46,'perfil de pagos'!$C$4:$C$46+'FACUS$'!$D1651)</f>
        <v>#N/A</v>
      </c>
      <c r="Q1651" s="165" t="str">
        <f t="shared" si="2"/>
        <v>N/A</v>
      </c>
      <c r="R1651" s="167" t="s">
        <v>8827</v>
      </c>
      <c r="S1651" s="167"/>
      <c r="T1651" s="167"/>
      <c r="U1651" s="334" t="s">
        <v>7271</v>
      </c>
      <c r="V1651" s="168">
        <f t="shared" si="3"/>
        <v>0</v>
      </c>
      <c r="W1651" s="168">
        <f t="shared" si="4"/>
        <v>0</v>
      </c>
      <c r="X1651" s="168">
        <f t="shared" si="5"/>
        <v>0</v>
      </c>
      <c r="Y1651" s="168">
        <f t="shared" si="6"/>
        <v>0</v>
      </c>
      <c r="Z1651" s="168">
        <f t="shared" si="7"/>
        <v>0</v>
      </c>
      <c r="AA1651" s="168">
        <f t="shared" si="8"/>
        <v>0</v>
      </c>
      <c r="AB1651" s="168">
        <f t="shared" si="9"/>
        <v>0</v>
      </c>
    </row>
    <row r="1652" ht="14.25" customHeight="1">
      <c r="A1652" s="157" t="s">
        <v>8828</v>
      </c>
      <c r="B1652" s="169" t="s">
        <v>39</v>
      </c>
      <c r="C1652" s="169" t="s">
        <v>3632</v>
      </c>
      <c r="D1652" s="336">
        <v>44636.0</v>
      </c>
      <c r="E1652" s="157" t="s">
        <v>600</v>
      </c>
      <c r="F1652" s="160">
        <v>120.24</v>
      </c>
      <c r="G1652" s="160">
        <v>19.24</v>
      </c>
      <c r="H1652" s="160">
        <f t="shared" si="56"/>
        <v>139.48</v>
      </c>
      <c r="I1652" s="172"/>
      <c r="J1652" s="169"/>
      <c r="K1652" s="172"/>
      <c r="L1652" s="172">
        <f>+'FACUS$'!$H1652-'FACUS$'!$I1652-'FACUS$'!$K1652</f>
        <v>139.48</v>
      </c>
      <c r="M1652" s="162" t="s">
        <v>570</v>
      </c>
      <c r="N1652" s="337" t="s">
        <v>554</v>
      </c>
      <c r="O1652" s="338">
        <v>44648.0</v>
      </c>
      <c r="P1652" s="164">
        <f t="array" ref="P1652">XLOOKUP('FACUS$'!$B1652,'perfil de pagos'!$A$4:$A$46,'perfil de pagos'!$C$4:$C$46+'FACUS$'!$D1652)</f>
        <v>44646</v>
      </c>
      <c r="Q1652" s="165">
        <f t="shared" si="2"/>
        <v>0</v>
      </c>
      <c r="R1652" s="167"/>
      <c r="S1652" s="167"/>
      <c r="T1652" s="167"/>
      <c r="U1652" s="334" t="s">
        <v>7271</v>
      </c>
      <c r="V1652" s="168">
        <f t="shared" si="3"/>
        <v>139.48</v>
      </c>
      <c r="W1652" s="168">
        <f t="shared" si="4"/>
        <v>0</v>
      </c>
      <c r="X1652" s="168">
        <f t="shared" si="5"/>
        <v>0</v>
      </c>
      <c r="Y1652" s="168">
        <f t="shared" si="6"/>
        <v>0</v>
      </c>
      <c r="Z1652" s="168">
        <f t="shared" si="7"/>
        <v>0</v>
      </c>
      <c r="AA1652" s="168">
        <f t="shared" si="8"/>
        <v>0</v>
      </c>
      <c r="AB1652" s="168">
        <f t="shared" si="9"/>
        <v>0</v>
      </c>
    </row>
    <row r="1653" ht="14.25" customHeight="1">
      <c r="A1653" s="157" t="s">
        <v>8829</v>
      </c>
      <c r="B1653" s="169" t="s">
        <v>17</v>
      </c>
      <c r="C1653" s="169" t="s">
        <v>3632</v>
      </c>
      <c r="D1653" s="336">
        <v>44636.0</v>
      </c>
      <c r="E1653" s="157" t="s">
        <v>600</v>
      </c>
      <c r="F1653" s="160">
        <v>280.8</v>
      </c>
      <c r="G1653" s="160">
        <v>44.93</v>
      </c>
      <c r="H1653" s="160">
        <f t="shared" si="56"/>
        <v>325.73</v>
      </c>
      <c r="I1653" s="172"/>
      <c r="J1653" s="169"/>
      <c r="K1653" s="172"/>
      <c r="L1653" s="172">
        <f>+'FACUS$'!$H1653-'FACUS$'!$I1653-'FACUS$'!$K1653</f>
        <v>325.73</v>
      </c>
      <c r="M1653" s="162" t="s">
        <v>17</v>
      </c>
      <c r="N1653" s="337" t="s">
        <v>554</v>
      </c>
      <c r="O1653" s="338">
        <v>44679.0</v>
      </c>
      <c r="P1653" s="164">
        <f t="array" ref="P1653">XLOOKUP('FACUS$'!$B1653,'perfil de pagos'!$A$4:$A$46,'perfil de pagos'!$C$4:$C$46+'FACUS$'!$D1653)</f>
        <v>44646</v>
      </c>
      <c r="Q1653" s="165">
        <f t="shared" si="2"/>
        <v>0</v>
      </c>
      <c r="R1653" s="167"/>
      <c r="S1653" s="167"/>
      <c r="T1653" s="167"/>
      <c r="U1653" s="334" t="s">
        <v>7271</v>
      </c>
      <c r="V1653" s="168">
        <f t="shared" si="3"/>
        <v>325.73</v>
      </c>
      <c r="W1653" s="168">
        <f t="shared" si="4"/>
        <v>0</v>
      </c>
      <c r="X1653" s="168">
        <f t="shared" si="5"/>
        <v>0</v>
      </c>
      <c r="Y1653" s="168">
        <f t="shared" si="6"/>
        <v>0</v>
      </c>
      <c r="Z1653" s="168">
        <f t="shared" si="7"/>
        <v>0</v>
      </c>
      <c r="AA1653" s="168">
        <f t="shared" si="8"/>
        <v>0</v>
      </c>
      <c r="AB1653" s="168">
        <f t="shared" si="9"/>
        <v>0</v>
      </c>
    </row>
    <row r="1654" ht="14.25" customHeight="1">
      <c r="A1654" s="157" t="s">
        <v>8830</v>
      </c>
      <c r="B1654" s="169" t="s">
        <v>39</v>
      </c>
      <c r="C1654" s="169" t="s">
        <v>3642</v>
      </c>
      <c r="D1654" s="336">
        <v>44636.0</v>
      </c>
      <c r="E1654" s="157" t="s">
        <v>600</v>
      </c>
      <c r="F1654" s="160">
        <v>2259.17</v>
      </c>
      <c r="G1654" s="160">
        <v>361.47</v>
      </c>
      <c r="H1654" s="160">
        <f t="shared" si="56"/>
        <v>2620.64</v>
      </c>
      <c r="I1654" s="172"/>
      <c r="J1654" s="169"/>
      <c r="K1654" s="172"/>
      <c r="L1654" s="172">
        <f>+'FACUS$'!$H1654-'FACUS$'!$I1654-'FACUS$'!$K1654</f>
        <v>2620.64</v>
      </c>
      <c r="M1654" s="162" t="s">
        <v>570</v>
      </c>
      <c r="N1654" s="337" t="s">
        <v>554</v>
      </c>
      <c r="O1654" s="338">
        <v>44648.0</v>
      </c>
      <c r="P1654" s="164">
        <f t="array" ref="P1654">XLOOKUP('FACUS$'!$B1654,'perfil de pagos'!$A$4:$A$46,'perfil de pagos'!$C$4:$C$46+'FACUS$'!$D1654)</f>
        <v>44646</v>
      </c>
      <c r="Q1654" s="165">
        <f t="shared" si="2"/>
        <v>0</v>
      </c>
      <c r="R1654" s="167"/>
      <c r="S1654" s="167"/>
      <c r="T1654" s="167"/>
      <c r="U1654" s="334" t="s">
        <v>7271</v>
      </c>
      <c r="V1654" s="168">
        <f t="shared" si="3"/>
        <v>2620.64</v>
      </c>
      <c r="W1654" s="168">
        <f t="shared" si="4"/>
        <v>0</v>
      </c>
      <c r="X1654" s="168">
        <f t="shared" si="5"/>
        <v>0</v>
      </c>
      <c r="Y1654" s="168">
        <f t="shared" si="6"/>
        <v>0</v>
      </c>
      <c r="Z1654" s="168">
        <f t="shared" si="7"/>
        <v>0</v>
      </c>
      <c r="AA1654" s="168">
        <f t="shared" si="8"/>
        <v>0</v>
      </c>
      <c r="AB1654" s="168">
        <f t="shared" si="9"/>
        <v>0</v>
      </c>
    </row>
    <row r="1655" ht="14.25" customHeight="1">
      <c r="A1655" s="157" t="s">
        <v>8831</v>
      </c>
      <c r="B1655" s="169" t="s">
        <v>17</v>
      </c>
      <c r="C1655" s="169" t="s">
        <v>3642</v>
      </c>
      <c r="D1655" s="336">
        <v>44636.0</v>
      </c>
      <c r="E1655" s="157" t="s">
        <v>600</v>
      </c>
      <c r="F1655" s="160">
        <v>1457.89</v>
      </c>
      <c r="G1655" s="160">
        <v>233.26</v>
      </c>
      <c r="H1655" s="160">
        <f t="shared" si="56"/>
        <v>1691.15</v>
      </c>
      <c r="I1655" s="172"/>
      <c r="J1655" s="169"/>
      <c r="K1655" s="172"/>
      <c r="L1655" s="172">
        <f>+'FACUS$'!$H1655-'FACUS$'!$I1655-'FACUS$'!$K1655</f>
        <v>1691.15</v>
      </c>
      <c r="M1655" s="162" t="s">
        <v>17</v>
      </c>
      <c r="N1655" s="337" t="s">
        <v>554</v>
      </c>
      <c r="O1655" s="338">
        <v>44679.0</v>
      </c>
      <c r="P1655" s="164">
        <f t="array" ref="P1655">XLOOKUP('FACUS$'!$B1655,'perfil de pagos'!$A$4:$A$46,'perfil de pagos'!$C$4:$C$46+'FACUS$'!$D1655)</f>
        <v>44646</v>
      </c>
      <c r="Q1655" s="165">
        <f t="shared" si="2"/>
        <v>0</v>
      </c>
      <c r="R1655" s="167"/>
      <c r="S1655" s="167"/>
      <c r="T1655" s="167"/>
      <c r="U1655" s="334" t="s">
        <v>7271</v>
      </c>
      <c r="V1655" s="168">
        <f t="shared" si="3"/>
        <v>1691.15</v>
      </c>
      <c r="W1655" s="168">
        <f t="shared" si="4"/>
        <v>0</v>
      </c>
      <c r="X1655" s="168">
        <f t="shared" si="5"/>
        <v>0</v>
      </c>
      <c r="Y1655" s="168">
        <f t="shared" si="6"/>
        <v>0</v>
      </c>
      <c r="Z1655" s="168">
        <f t="shared" si="7"/>
        <v>0</v>
      </c>
      <c r="AA1655" s="168">
        <f t="shared" si="8"/>
        <v>0</v>
      </c>
      <c r="AB1655" s="168">
        <f t="shared" si="9"/>
        <v>0</v>
      </c>
    </row>
    <row r="1656" ht="14.25" customHeight="1">
      <c r="A1656" s="157" t="s">
        <v>8832</v>
      </c>
      <c r="B1656" s="169" t="s">
        <v>17</v>
      </c>
      <c r="C1656" s="169" t="s">
        <v>3791</v>
      </c>
      <c r="D1656" s="336">
        <v>44638.0</v>
      </c>
      <c r="E1656" s="157" t="s">
        <v>600</v>
      </c>
      <c r="F1656" s="160">
        <v>12702.18</v>
      </c>
      <c r="G1656" s="160">
        <v>2032.35</v>
      </c>
      <c r="H1656" s="160">
        <f t="shared" si="56"/>
        <v>14734.53</v>
      </c>
      <c r="I1656" s="172"/>
      <c r="J1656" s="169"/>
      <c r="K1656" s="172"/>
      <c r="L1656" s="172">
        <f>+'FACUS$'!$H1656-'FACUS$'!$I1656-'FACUS$'!$K1656</f>
        <v>14734.53</v>
      </c>
      <c r="M1656" s="162" t="s">
        <v>17</v>
      </c>
      <c r="N1656" s="337" t="s">
        <v>554</v>
      </c>
      <c r="O1656" s="338">
        <v>44672.0</v>
      </c>
      <c r="P1656" s="164">
        <f t="array" ref="P1656">XLOOKUP('FACUS$'!$B1656,'perfil de pagos'!$A$4:$A$46,'perfil de pagos'!$C$4:$C$46+'FACUS$'!$D1656)</f>
        <v>44648</v>
      </c>
      <c r="Q1656" s="165">
        <f t="shared" si="2"/>
        <v>0</v>
      </c>
      <c r="R1656" s="167"/>
      <c r="S1656" s="167"/>
      <c r="T1656" s="167"/>
      <c r="U1656" s="334" t="s">
        <v>7271</v>
      </c>
      <c r="V1656" s="168">
        <f t="shared" si="3"/>
        <v>14734.53</v>
      </c>
      <c r="W1656" s="168">
        <f t="shared" si="4"/>
        <v>0</v>
      </c>
      <c r="X1656" s="168">
        <f t="shared" si="5"/>
        <v>0</v>
      </c>
      <c r="Y1656" s="168">
        <f t="shared" si="6"/>
        <v>0</v>
      </c>
      <c r="Z1656" s="168">
        <f t="shared" si="7"/>
        <v>0</v>
      </c>
      <c r="AA1656" s="168">
        <f t="shared" si="8"/>
        <v>0</v>
      </c>
      <c r="AB1656" s="168">
        <f t="shared" si="9"/>
        <v>0</v>
      </c>
    </row>
    <row r="1657" ht="14.25" customHeight="1">
      <c r="A1657" s="157" t="s">
        <v>8833</v>
      </c>
      <c r="B1657" s="169" t="s">
        <v>17</v>
      </c>
      <c r="C1657" s="169" t="s">
        <v>3677</v>
      </c>
      <c r="D1657" s="336">
        <v>44638.0</v>
      </c>
      <c r="E1657" s="157" t="s">
        <v>600</v>
      </c>
      <c r="F1657" s="160">
        <v>15747.75</v>
      </c>
      <c r="G1657" s="160">
        <v>2519.64</v>
      </c>
      <c r="H1657" s="160">
        <f t="shared" si="56"/>
        <v>18267.39</v>
      </c>
      <c r="I1657" s="172"/>
      <c r="J1657" s="169"/>
      <c r="K1657" s="172"/>
      <c r="L1657" s="172">
        <f>+'FACUS$'!$H1657-'FACUS$'!$I1657-'FACUS$'!$K1657</f>
        <v>18267.39</v>
      </c>
      <c r="M1657" s="162" t="s">
        <v>17</v>
      </c>
      <c r="N1657" s="337" t="s">
        <v>554</v>
      </c>
      <c r="O1657" s="338">
        <v>44664.0</v>
      </c>
      <c r="P1657" s="164">
        <f t="array" ref="P1657">XLOOKUP('FACUS$'!$B1657,'perfil de pagos'!$A$4:$A$46,'perfil de pagos'!$C$4:$C$46+'FACUS$'!$D1657)</f>
        <v>44648</v>
      </c>
      <c r="Q1657" s="165">
        <f t="shared" si="2"/>
        <v>0</v>
      </c>
      <c r="R1657" s="167"/>
      <c r="S1657" s="167"/>
      <c r="T1657" s="167"/>
      <c r="U1657" s="334" t="s">
        <v>7271</v>
      </c>
      <c r="V1657" s="168">
        <f t="shared" si="3"/>
        <v>18267.39</v>
      </c>
      <c r="W1657" s="168">
        <f t="shared" si="4"/>
        <v>0</v>
      </c>
      <c r="X1657" s="168">
        <f t="shared" si="5"/>
        <v>0</v>
      </c>
      <c r="Y1657" s="168">
        <f t="shared" si="6"/>
        <v>0</v>
      </c>
      <c r="Z1657" s="168">
        <f t="shared" si="7"/>
        <v>0</v>
      </c>
      <c r="AA1657" s="168">
        <f t="shared" si="8"/>
        <v>0</v>
      </c>
      <c r="AB1657" s="168">
        <f t="shared" si="9"/>
        <v>0</v>
      </c>
    </row>
    <row r="1658" ht="14.25" customHeight="1">
      <c r="A1658" s="157" t="s">
        <v>8834</v>
      </c>
      <c r="B1658" s="169" t="s">
        <v>35</v>
      </c>
      <c r="C1658" s="169" t="s">
        <v>3677</v>
      </c>
      <c r="D1658" s="336">
        <v>44638.0</v>
      </c>
      <c r="E1658" s="157" t="s">
        <v>600</v>
      </c>
      <c r="F1658" s="160">
        <v>18517.51</v>
      </c>
      <c r="G1658" s="160">
        <v>2962.8</v>
      </c>
      <c r="H1658" s="160">
        <f t="shared" si="56"/>
        <v>21480.31</v>
      </c>
      <c r="I1658" s="172"/>
      <c r="J1658" s="169"/>
      <c r="K1658" s="172"/>
      <c r="L1658" s="172">
        <f>+'FACUS$'!$H1658-'FACUS$'!$I1658-'FACUS$'!$K1658</f>
        <v>21480.31</v>
      </c>
      <c r="M1658" s="162" t="s">
        <v>276</v>
      </c>
      <c r="N1658" s="337" t="s">
        <v>554</v>
      </c>
      <c r="O1658" s="338">
        <v>44664.0</v>
      </c>
      <c r="P1658" s="164">
        <f t="array" ref="P1658">XLOOKUP('FACUS$'!$B1658,'perfil de pagos'!$A$4:$A$46,'perfil de pagos'!$C$4:$C$46+'FACUS$'!$D1658)</f>
        <v>44648</v>
      </c>
      <c r="Q1658" s="165">
        <f t="shared" si="2"/>
        <v>0</v>
      </c>
      <c r="R1658" s="167"/>
      <c r="S1658" s="167">
        <v>1352.0</v>
      </c>
      <c r="T1658" s="167"/>
      <c r="U1658" s="334" t="s">
        <v>7271</v>
      </c>
      <c r="V1658" s="168">
        <f t="shared" si="3"/>
        <v>21480.31</v>
      </c>
      <c r="W1658" s="168">
        <f t="shared" si="4"/>
        <v>0</v>
      </c>
      <c r="X1658" s="168">
        <f t="shared" si="5"/>
        <v>0</v>
      </c>
      <c r="Y1658" s="168">
        <f t="shared" si="6"/>
        <v>0</v>
      </c>
      <c r="Z1658" s="168">
        <f t="shared" si="7"/>
        <v>0</v>
      </c>
      <c r="AA1658" s="168">
        <f t="shared" si="8"/>
        <v>0</v>
      </c>
      <c r="AB1658" s="168">
        <f t="shared" si="9"/>
        <v>0</v>
      </c>
    </row>
    <row r="1659" ht="14.25" customHeight="1">
      <c r="A1659" s="157" t="s">
        <v>8835</v>
      </c>
      <c r="B1659" s="169" t="s">
        <v>33</v>
      </c>
      <c r="C1659" s="169" t="s">
        <v>3677</v>
      </c>
      <c r="D1659" s="336">
        <v>44638.0</v>
      </c>
      <c r="E1659" s="157" t="s">
        <v>600</v>
      </c>
      <c r="F1659" s="160">
        <v>55468.97</v>
      </c>
      <c r="G1659" s="160">
        <v>8875.04</v>
      </c>
      <c r="H1659" s="160">
        <f t="shared" si="56"/>
        <v>64344.01</v>
      </c>
      <c r="I1659" s="172"/>
      <c r="J1659" s="169"/>
      <c r="K1659" s="172"/>
      <c r="L1659" s="172">
        <f>+'FACUS$'!$H1659-'FACUS$'!$I1659-'FACUS$'!$K1659</f>
        <v>64344.01</v>
      </c>
      <c r="M1659" s="162" t="s">
        <v>958</v>
      </c>
      <c r="N1659" s="337" t="s">
        <v>554</v>
      </c>
      <c r="O1659" s="338">
        <v>44652.0</v>
      </c>
      <c r="P1659" s="164">
        <f t="array" ref="P1659">XLOOKUP('FACUS$'!$B1659,'perfil de pagos'!$A$4:$A$46,'perfil de pagos'!$C$4:$C$46+'FACUS$'!$D1659)</f>
        <v>44648</v>
      </c>
      <c r="Q1659" s="165">
        <f t="shared" si="2"/>
        <v>0</v>
      </c>
      <c r="R1659" s="167"/>
      <c r="S1659" s="167"/>
      <c r="T1659" s="167"/>
      <c r="U1659" s="334" t="s">
        <v>7271</v>
      </c>
      <c r="V1659" s="168">
        <f t="shared" si="3"/>
        <v>64344.01</v>
      </c>
      <c r="W1659" s="168">
        <f t="shared" si="4"/>
        <v>0</v>
      </c>
      <c r="X1659" s="168">
        <f t="shared" si="5"/>
        <v>0</v>
      </c>
      <c r="Y1659" s="168">
        <f t="shared" si="6"/>
        <v>0</v>
      </c>
      <c r="Z1659" s="168">
        <f t="shared" si="7"/>
        <v>0</v>
      </c>
      <c r="AA1659" s="168">
        <f t="shared" si="8"/>
        <v>0</v>
      </c>
      <c r="AB1659" s="168">
        <f t="shared" si="9"/>
        <v>0</v>
      </c>
    </row>
    <row r="1660" ht="14.25" customHeight="1">
      <c r="A1660" s="157" t="s">
        <v>8836</v>
      </c>
      <c r="B1660" s="169" t="s">
        <v>36</v>
      </c>
      <c r="C1660" s="169" t="s">
        <v>3677</v>
      </c>
      <c r="D1660" s="336">
        <v>44638.0</v>
      </c>
      <c r="E1660" s="157" t="s">
        <v>600</v>
      </c>
      <c r="F1660" s="160">
        <v>1631.39</v>
      </c>
      <c r="G1660" s="160">
        <v>261.02</v>
      </c>
      <c r="H1660" s="160">
        <f t="shared" si="56"/>
        <v>1892.41</v>
      </c>
      <c r="I1660" s="172"/>
      <c r="J1660" s="169"/>
      <c r="K1660" s="172"/>
      <c r="L1660" s="172">
        <f>+'FACUS$'!$H1660-'FACUS$'!$I1660-'FACUS$'!$K1660</f>
        <v>1892.41</v>
      </c>
      <c r="M1660" s="162" t="s">
        <v>278</v>
      </c>
      <c r="N1660" s="337" t="s">
        <v>554</v>
      </c>
      <c r="O1660" s="338">
        <v>44656.0</v>
      </c>
      <c r="P1660" s="164">
        <f t="array" ref="P1660">XLOOKUP('FACUS$'!$B1660,'perfil de pagos'!$A$4:$A$46,'perfil de pagos'!$C$4:$C$46+'FACUS$'!$D1660)</f>
        <v>44648</v>
      </c>
      <c r="Q1660" s="165">
        <f t="shared" si="2"/>
        <v>0</v>
      </c>
      <c r="R1660" s="220" t="s">
        <v>8837</v>
      </c>
      <c r="S1660" s="167"/>
      <c r="T1660" s="167"/>
      <c r="U1660" s="334" t="s">
        <v>7271</v>
      </c>
      <c r="V1660" s="168">
        <f t="shared" si="3"/>
        <v>1892.41</v>
      </c>
      <c r="W1660" s="168">
        <f t="shared" si="4"/>
        <v>0</v>
      </c>
      <c r="X1660" s="168">
        <f t="shared" si="5"/>
        <v>0</v>
      </c>
      <c r="Y1660" s="168">
        <f t="shared" si="6"/>
        <v>0</v>
      </c>
      <c r="Z1660" s="168">
        <f t="shared" si="7"/>
        <v>0</v>
      </c>
      <c r="AA1660" s="168">
        <f t="shared" si="8"/>
        <v>0</v>
      </c>
      <c r="AB1660" s="168">
        <f t="shared" si="9"/>
        <v>0</v>
      </c>
    </row>
    <row r="1661" ht="14.25" customHeight="1">
      <c r="A1661" s="157" t="s">
        <v>8838</v>
      </c>
      <c r="B1661" s="169" t="s">
        <v>31</v>
      </c>
      <c r="C1661" s="169" t="s">
        <v>8839</v>
      </c>
      <c r="D1661" s="336">
        <v>44638.0</v>
      </c>
      <c r="E1661" s="157" t="s">
        <v>600</v>
      </c>
      <c r="F1661" s="160">
        <v>3602.36</v>
      </c>
      <c r="G1661" s="160">
        <v>576.38</v>
      </c>
      <c r="H1661" s="160">
        <f>F1661+G1661-3989.84</f>
        <v>188.9</v>
      </c>
      <c r="I1661" s="172"/>
      <c r="J1661" s="169"/>
      <c r="K1661" s="172"/>
      <c r="L1661" s="172">
        <f>+'FACUS$'!$H1661-'FACUS$'!$I1661-'FACUS$'!$K1661</f>
        <v>188.9</v>
      </c>
      <c r="M1661" s="162" t="s">
        <v>3183</v>
      </c>
      <c r="N1661" s="337" t="s">
        <v>554</v>
      </c>
      <c r="O1661" s="338">
        <v>44862.0</v>
      </c>
      <c r="P1661" s="164">
        <f t="array" ref="P1661">XLOOKUP('FACUS$'!$B1661,'perfil de pagos'!$A$4:$A$46,'perfil de pagos'!$C$4:$C$46+'FACUS$'!$D1661)</f>
        <v>44641</v>
      </c>
      <c r="Q1661" s="165">
        <f t="shared" si="2"/>
        <v>0</v>
      </c>
      <c r="R1661" s="220" t="s">
        <v>8840</v>
      </c>
      <c r="S1661" s="167">
        <v>1623.0</v>
      </c>
      <c r="T1661" s="167"/>
      <c r="U1661" s="334" t="s">
        <v>7271</v>
      </c>
      <c r="V1661" s="168">
        <f t="shared" si="3"/>
        <v>188.9</v>
      </c>
      <c r="W1661" s="168">
        <f t="shared" si="4"/>
        <v>0</v>
      </c>
      <c r="X1661" s="168">
        <f t="shared" si="5"/>
        <v>0</v>
      </c>
      <c r="Y1661" s="168">
        <f t="shared" si="6"/>
        <v>0</v>
      </c>
      <c r="Z1661" s="168">
        <f t="shared" si="7"/>
        <v>0</v>
      </c>
      <c r="AA1661" s="168">
        <f t="shared" si="8"/>
        <v>0</v>
      </c>
      <c r="AB1661" s="168">
        <f t="shared" si="9"/>
        <v>0</v>
      </c>
    </row>
    <row r="1662" ht="14.25" customHeight="1">
      <c r="A1662" s="157" t="s">
        <v>8841</v>
      </c>
      <c r="B1662" s="169" t="s">
        <v>41</v>
      </c>
      <c r="C1662" s="169" t="s">
        <v>3677</v>
      </c>
      <c r="D1662" s="336">
        <v>44638.0</v>
      </c>
      <c r="E1662" s="157" t="s">
        <v>600</v>
      </c>
      <c r="F1662" s="160">
        <v>28427.71</v>
      </c>
      <c r="G1662" s="160">
        <v>4548.43</v>
      </c>
      <c r="H1662" s="160">
        <f>F1662+G1662</f>
        <v>32976.14</v>
      </c>
      <c r="I1662" s="172"/>
      <c r="J1662" s="169"/>
      <c r="K1662" s="172"/>
      <c r="L1662" s="172">
        <f>+'FACUS$'!$H1662-'FACUS$'!$I1662-'FACUS$'!$K1662</f>
        <v>32976.14</v>
      </c>
      <c r="M1662" s="162" t="s">
        <v>875</v>
      </c>
      <c r="N1662" s="337" t="s">
        <v>554</v>
      </c>
      <c r="O1662" s="338">
        <v>44704.0</v>
      </c>
      <c r="P1662" s="164">
        <f t="array" ref="P1662">XLOOKUP('FACUS$'!$B1662,'perfil de pagos'!$A$4:$A$46,'perfil de pagos'!$C$4:$C$46+'FACUS$'!$D1662)</f>
        <v>44648</v>
      </c>
      <c r="Q1662" s="165">
        <f t="shared" si="2"/>
        <v>0</v>
      </c>
      <c r="R1662" s="167"/>
      <c r="S1662" s="167"/>
      <c r="T1662" s="167"/>
      <c r="U1662" s="334" t="s">
        <v>7271</v>
      </c>
      <c r="V1662" s="168">
        <f t="shared" si="3"/>
        <v>32976.14</v>
      </c>
      <c r="W1662" s="168">
        <f t="shared" si="4"/>
        <v>0</v>
      </c>
      <c r="X1662" s="168">
        <f t="shared" si="5"/>
        <v>0</v>
      </c>
      <c r="Y1662" s="168">
        <f t="shared" si="6"/>
        <v>0</v>
      </c>
      <c r="Z1662" s="168">
        <f t="shared" si="7"/>
        <v>0</v>
      </c>
      <c r="AA1662" s="168">
        <f t="shared" si="8"/>
        <v>0</v>
      </c>
      <c r="AB1662" s="168">
        <f t="shared" si="9"/>
        <v>0</v>
      </c>
    </row>
    <row r="1663" ht="14.25" customHeight="1">
      <c r="A1663" s="157" t="s">
        <v>8842</v>
      </c>
      <c r="B1663" s="169" t="s">
        <v>43</v>
      </c>
      <c r="C1663" s="169" t="s">
        <v>3677</v>
      </c>
      <c r="D1663" s="336">
        <v>44638.0</v>
      </c>
      <c r="E1663" s="157" t="s">
        <v>600</v>
      </c>
      <c r="F1663" s="160">
        <v>56152.17</v>
      </c>
      <c r="G1663" s="160">
        <v>8984.35</v>
      </c>
      <c r="H1663" s="160">
        <f>F1663+G1663-975.98</f>
        <v>64160.54</v>
      </c>
      <c r="I1663" s="172"/>
      <c r="J1663" s="169"/>
      <c r="K1663" s="172"/>
      <c r="L1663" s="172">
        <f>+'FACUS$'!$H1663-'FACUS$'!$I1663-'FACUS$'!$K1663</f>
        <v>64160.54</v>
      </c>
      <c r="M1663" s="162" t="s">
        <v>43</v>
      </c>
      <c r="N1663" s="337" t="s">
        <v>554</v>
      </c>
      <c r="O1663" s="338">
        <v>44676.0</v>
      </c>
      <c r="P1663" s="164">
        <f t="array" ref="P1663">XLOOKUP('FACUS$'!$B1663,'perfil de pagos'!$A$4:$A$46,'perfil de pagos'!$C$4:$C$46+'FACUS$'!$D1663)</f>
        <v>44663</v>
      </c>
      <c r="Q1663" s="165">
        <f t="shared" si="2"/>
        <v>0</v>
      </c>
      <c r="R1663" s="220" t="s">
        <v>8843</v>
      </c>
      <c r="S1663" s="167"/>
      <c r="T1663" s="167"/>
      <c r="U1663" s="334" t="s">
        <v>7271</v>
      </c>
      <c r="V1663" s="168">
        <f t="shared" si="3"/>
        <v>64160.54</v>
      </c>
      <c r="W1663" s="168">
        <f t="shared" si="4"/>
        <v>0</v>
      </c>
      <c r="X1663" s="168">
        <f t="shared" si="5"/>
        <v>0</v>
      </c>
      <c r="Y1663" s="168">
        <f t="shared" si="6"/>
        <v>0</v>
      </c>
      <c r="Z1663" s="168">
        <f t="shared" si="7"/>
        <v>0</v>
      </c>
      <c r="AA1663" s="168">
        <f t="shared" si="8"/>
        <v>0</v>
      </c>
      <c r="AB1663" s="168">
        <f t="shared" si="9"/>
        <v>0</v>
      </c>
    </row>
    <row r="1664" ht="14.25" customHeight="1">
      <c r="A1664" s="157" t="s">
        <v>8844</v>
      </c>
      <c r="B1664" s="169" t="s">
        <v>39</v>
      </c>
      <c r="C1664" s="169" t="s">
        <v>3666</v>
      </c>
      <c r="D1664" s="336">
        <v>44643.0</v>
      </c>
      <c r="E1664" s="157" t="s">
        <v>600</v>
      </c>
      <c r="F1664" s="160">
        <v>26211.66</v>
      </c>
      <c r="G1664" s="160">
        <v>4193.87</v>
      </c>
      <c r="H1664" s="160">
        <f t="shared" ref="H1664:H1696" si="57">F1664+G1664</f>
        <v>30405.53</v>
      </c>
      <c r="I1664" s="172"/>
      <c r="J1664" s="169"/>
      <c r="K1664" s="172"/>
      <c r="L1664" s="172">
        <f>+'FACUS$'!$H1664-'FACUS$'!$I1664-'FACUS$'!$K1664</f>
        <v>30405.53</v>
      </c>
      <c r="M1664" s="162" t="s">
        <v>570</v>
      </c>
      <c r="N1664" s="337" t="s">
        <v>554</v>
      </c>
      <c r="O1664" s="338">
        <v>44652.0</v>
      </c>
      <c r="P1664" s="164">
        <f t="array" ref="P1664">XLOOKUP('FACUS$'!$B1664,'perfil de pagos'!$A$4:$A$46,'perfil de pagos'!$C$4:$C$46+'FACUS$'!$D1664)</f>
        <v>44653</v>
      </c>
      <c r="Q1664" s="165">
        <f t="shared" si="2"/>
        <v>0</v>
      </c>
      <c r="R1664" s="167"/>
      <c r="S1664" s="167"/>
      <c r="T1664" s="167"/>
      <c r="U1664" s="334" t="s">
        <v>7271</v>
      </c>
      <c r="V1664" s="168">
        <f t="shared" si="3"/>
        <v>30405.53</v>
      </c>
      <c r="W1664" s="168">
        <f t="shared" si="4"/>
        <v>0</v>
      </c>
      <c r="X1664" s="168">
        <f t="shared" si="5"/>
        <v>0</v>
      </c>
      <c r="Y1664" s="168">
        <f t="shared" si="6"/>
        <v>0</v>
      </c>
      <c r="Z1664" s="168">
        <f t="shared" si="7"/>
        <v>0</v>
      </c>
      <c r="AA1664" s="168">
        <f t="shared" si="8"/>
        <v>0</v>
      </c>
      <c r="AB1664" s="168">
        <f t="shared" si="9"/>
        <v>0</v>
      </c>
    </row>
    <row r="1665" ht="14.25" customHeight="1">
      <c r="A1665" s="157" t="s">
        <v>8845</v>
      </c>
      <c r="B1665" s="169" t="s">
        <v>39</v>
      </c>
      <c r="C1665" s="169" t="s">
        <v>3677</v>
      </c>
      <c r="D1665" s="336">
        <v>44643.0</v>
      </c>
      <c r="E1665" s="157" t="s">
        <v>600</v>
      </c>
      <c r="F1665" s="160">
        <v>22638.44</v>
      </c>
      <c r="G1665" s="160">
        <v>3622.15</v>
      </c>
      <c r="H1665" s="160">
        <f t="shared" si="57"/>
        <v>26260.59</v>
      </c>
      <c r="I1665" s="172"/>
      <c r="J1665" s="169"/>
      <c r="K1665" s="172"/>
      <c r="L1665" s="172">
        <f>+'FACUS$'!$H1665-'FACUS$'!$I1665-'FACUS$'!$K1665</f>
        <v>26260.59</v>
      </c>
      <c r="M1665" s="162" t="s">
        <v>570</v>
      </c>
      <c r="N1665" s="337" t="s">
        <v>554</v>
      </c>
      <c r="O1665" s="338">
        <v>44652.0</v>
      </c>
      <c r="P1665" s="164">
        <f t="array" ref="P1665">XLOOKUP('FACUS$'!$B1665,'perfil de pagos'!$A$4:$A$46,'perfil de pagos'!$C$4:$C$46+'FACUS$'!$D1665)</f>
        <v>44653</v>
      </c>
      <c r="Q1665" s="165">
        <f t="shared" si="2"/>
        <v>0</v>
      </c>
      <c r="R1665" s="167"/>
      <c r="S1665" s="167"/>
      <c r="T1665" s="167"/>
      <c r="U1665" s="334" t="s">
        <v>7271</v>
      </c>
      <c r="V1665" s="168">
        <f t="shared" si="3"/>
        <v>26260.59</v>
      </c>
      <c r="W1665" s="168">
        <f t="shared" si="4"/>
        <v>0</v>
      </c>
      <c r="X1665" s="168">
        <f t="shared" si="5"/>
        <v>0</v>
      </c>
      <c r="Y1665" s="168">
        <f t="shared" si="6"/>
        <v>0</v>
      </c>
      <c r="Z1665" s="168">
        <f t="shared" si="7"/>
        <v>0</v>
      </c>
      <c r="AA1665" s="168">
        <f t="shared" si="8"/>
        <v>0</v>
      </c>
      <c r="AB1665" s="168">
        <f t="shared" si="9"/>
        <v>0</v>
      </c>
    </row>
    <row r="1666" ht="14.25" customHeight="1">
      <c r="A1666" s="157" t="s">
        <v>8846</v>
      </c>
      <c r="B1666" s="169" t="s">
        <v>35</v>
      </c>
      <c r="C1666" s="169" t="s">
        <v>8847</v>
      </c>
      <c r="D1666" s="336">
        <v>44643.0</v>
      </c>
      <c r="E1666" s="157" t="s">
        <v>600</v>
      </c>
      <c r="F1666" s="160">
        <v>993.78</v>
      </c>
      <c r="G1666" s="160">
        <v>159.0</v>
      </c>
      <c r="H1666" s="160">
        <f t="shared" si="57"/>
        <v>1152.78</v>
      </c>
      <c r="I1666" s="172"/>
      <c r="J1666" s="169"/>
      <c r="K1666" s="172"/>
      <c r="L1666" s="172">
        <f>+'FACUS$'!$H1666-'FACUS$'!$I1666-'FACUS$'!$K1666</f>
        <v>1152.78</v>
      </c>
      <c r="M1666" s="162" t="s">
        <v>276</v>
      </c>
      <c r="N1666" s="337" t="s">
        <v>554</v>
      </c>
      <c r="O1666" s="338">
        <v>44672.0</v>
      </c>
      <c r="P1666" s="164">
        <f t="array" ref="P1666">XLOOKUP('FACUS$'!$B1666,'perfil de pagos'!$A$4:$A$46,'perfil de pagos'!$C$4:$C$46+'FACUS$'!$D1666)</f>
        <v>44653</v>
      </c>
      <c r="Q1666" s="165">
        <f t="shared" si="2"/>
        <v>0</v>
      </c>
      <c r="R1666" s="167"/>
      <c r="S1666" s="167">
        <v>1361.0</v>
      </c>
      <c r="T1666" s="167"/>
      <c r="U1666" s="334" t="s">
        <v>7271</v>
      </c>
      <c r="V1666" s="168">
        <f t="shared" si="3"/>
        <v>1152.78</v>
      </c>
      <c r="W1666" s="168">
        <f t="shared" si="4"/>
        <v>0</v>
      </c>
      <c r="X1666" s="168">
        <f t="shared" si="5"/>
        <v>0</v>
      </c>
      <c r="Y1666" s="168">
        <f t="shared" si="6"/>
        <v>0</v>
      </c>
      <c r="Z1666" s="168">
        <f t="shared" si="7"/>
        <v>0</v>
      </c>
      <c r="AA1666" s="168">
        <f t="shared" si="8"/>
        <v>0</v>
      </c>
      <c r="AB1666" s="168">
        <f t="shared" si="9"/>
        <v>0</v>
      </c>
    </row>
    <row r="1667" ht="14.25" customHeight="1">
      <c r="A1667" s="157" t="s">
        <v>8848</v>
      </c>
      <c r="B1667" s="169" t="s">
        <v>18</v>
      </c>
      <c r="C1667" s="169" t="s">
        <v>3677</v>
      </c>
      <c r="D1667" s="336">
        <v>44645.0</v>
      </c>
      <c r="E1667" s="157" t="s">
        <v>600</v>
      </c>
      <c r="F1667" s="160">
        <v>8000.49</v>
      </c>
      <c r="G1667" s="160">
        <v>1280.08</v>
      </c>
      <c r="H1667" s="160">
        <f t="shared" si="57"/>
        <v>9280.57</v>
      </c>
      <c r="I1667" s="172"/>
      <c r="J1667" s="169"/>
      <c r="K1667" s="172"/>
      <c r="L1667" s="172">
        <f>+'FACUS$'!$H1667-'FACUS$'!$I1667-'FACUS$'!$K1667</f>
        <v>9280.57</v>
      </c>
      <c r="M1667" s="162" t="s">
        <v>586</v>
      </c>
      <c r="N1667" s="337" t="s">
        <v>554</v>
      </c>
      <c r="O1667" s="338">
        <v>44669.0</v>
      </c>
      <c r="P1667" s="164">
        <f t="array" ref="P1667">XLOOKUP('FACUS$'!$B1667,'perfil de pagos'!$A$4:$A$46,'perfil de pagos'!$C$4:$C$46+'FACUS$'!$D1667)</f>
        <v>44655</v>
      </c>
      <c r="Q1667" s="165">
        <f t="shared" si="2"/>
        <v>0</v>
      </c>
      <c r="R1667" s="167"/>
      <c r="S1667" s="167">
        <v>1358.0</v>
      </c>
      <c r="T1667" s="167"/>
      <c r="U1667" s="334" t="s">
        <v>7271</v>
      </c>
      <c r="V1667" s="168">
        <f t="shared" si="3"/>
        <v>9280.57</v>
      </c>
      <c r="W1667" s="168">
        <f t="shared" si="4"/>
        <v>0</v>
      </c>
      <c r="X1667" s="168">
        <f t="shared" si="5"/>
        <v>0</v>
      </c>
      <c r="Y1667" s="168">
        <f t="shared" si="6"/>
        <v>0</v>
      </c>
      <c r="Z1667" s="168">
        <f t="shared" si="7"/>
        <v>0</v>
      </c>
      <c r="AA1667" s="168">
        <f t="shared" si="8"/>
        <v>0</v>
      </c>
      <c r="AB1667" s="168">
        <f t="shared" si="9"/>
        <v>0</v>
      </c>
    </row>
    <row r="1668" ht="14.25" customHeight="1">
      <c r="A1668" s="157" t="s">
        <v>8849</v>
      </c>
      <c r="B1668" s="169" t="s">
        <v>20</v>
      </c>
      <c r="C1668" s="169" t="s">
        <v>3677</v>
      </c>
      <c r="D1668" s="336">
        <v>44645.0</v>
      </c>
      <c r="E1668" s="157" t="s">
        <v>600</v>
      </c>
      <c r="F1668" s="160">
        <v>9316.36</v>
      </c>
      <c r="G1668" s="160">
        <v>1490.62</v>
      </c>
      <c r="H1668" s="160">
        <f t="shared" si="57"/>
        <v>10806.98</v>
      </c>
      <c r="I1668" s="172"/>
      <c r="J1668" s="169"/>
      <c r="K1668" s="172"/>
      <c r="L1668" s="172">
        <f>+'FACUS$'!$H1668-'FACUS$'!$I1668-'FACUS$'!$K1668</f>
        <v>10806.98</v>
      </c>
      <c r="M1668" s="162" t="s">
        <v>732</v>
      </c>
      <c r="N1668" s="337" t="s">
        <v>554</v>
      </c>
      <c r="O1668" s="338">
        <v>44669.0</v>
      </c>
      <c r="P1668" s="164">
        <f t="array" ref="P1668">XLOOKUP('FACUS$'!$B1668,'perfil de pagos'!$A$4:$A$46,'perfil de pagos'!$C$4:$C$46+'FACUS$'!$D1668)</f>
        <v>44655</v>
      </c>
      <c r="Q1668" s="165">
        <f t="shared" si="2"/>
        <v>0</v>
      </c>
      <c r="R1668" s="167"/>
      <c r="S1668" s="167">
        <v>1358.0</v>
      </c>
      <c r="T1668" s="167"/>
      <c r="U1668" s="334" t="s">
        <v>7271</v>
      </c>
      <c r="V1668" s="168">
        <f t="shared" si="3"/>
        <v>10806.98</v>
      </c>
      <c r="W1668" s="168">
        <f t="shared" si="4"/>
        <v>0</v>
      </c>
      <c r="X1668" s="168">
        <f t="shared" si="5"/>
        <v>0</v>
      </c>
      <c r="Y1668" s="168">
        <f t="shared" si="6"/>
        <v>0</v>
      </c>
      <c r="Z1668" s="168">
        <f t="shared" si="7"/>
        <v>0</v>
      </c>
      <c r="AA1668" s="168">
        <f t="shared" si="8"/>
        <v>0</v>
      </c>
      <c r="AB1668" s="168">
        <f t="shared" si="9"/>
        <v>0</v>
      </c>
    </row>
    <row r="1669" ht="14.25" customHeight="1">
      <c r="A1669" s="157" t="s">
        <v>8850</v>
      </c>
      <c r="B1669" s="169" t="s">
        <v>22</v>
      </c>
      <c r="C1669" s="169" t="s">
        <v>3677</v>
      </c>
      <c r="D1669" s="336">
        <v>44645.0</v>
      </c>
      <c r="E1669" s="157" t="s">
        <v>600</v>
      </c>
      <c r="F1669" s="160">
        <v>5467.76</v>
      </c>
      <c r="G1669" s="160">
        <v>874.84</v>
      </c>
      <c r="H1669" s="160">
        <f t="shared" si="57"/>
        <v>6342.6</v>
      </c>
      <c r="I1669" s="172"/>
      <c r="J1669" s="169"/>
      <c r="K1669" s="172"/>
      <c r="L1669" s="172">
        <f>+'FACUS$'!$H1669-'FACUS$'!$I1669-'FACUS$'!$K1669</f>
        <v>6342.6</v>
      </c>
      <c r="M1669" s="162" t="s">
        <v>220</v>
      </c>
      <c r="N1669" s="337" t="s">
        <v>554</v>
      </c>
      <c r="O1669" s="338">
        <v>44663.0</v>
      </c>
      <c r="P1669" s="164">
        <f t="array" ref="P1669">XLOOKUP('FACUS$'!$B1669,'perfil de pagos'!$A$4:$A$46,'perfil de pagos'!$C$4:$C$46+'FACUS$'!$D1669)</f>
        <v>44655</v>
      </c>
      <c r="Q1669" s="165">
        <f t="shared" si="2"/>
        <v>0</v>
      </c>
      <c r="R1669" s="167"/>
      <c r="S1669" s="167">
        <v>1351.0</v>
      </c>
      <c r="T1669" s="167"/>
      <c r="U1669" s="334" t="s">
        <v>7271</v>
      </c>
      <c r="V1669" s="168">
        <f t="shared" si="3"/>
        <v>6342.6</v>
      </c>
      <c r="W1669" s="168">
        <f t="shared" si="4"/>
        <v>0</v>
      </c>
      <c r="X1669" s="168">
        <f t="shared" si="5"/>
        <v>0</v>
      </c>
      <c r="Y1669" s="168">
        <f t="shared" si="6"/>
        <v>0</v>
      </c>
      <c r="Z1669" s="168">
        <f t="shared" si="7"/>
        <v>0</v>
      </c>
      <c r="AA1669" s="168">
        <f t="shared" si="8"/>
        <v>0</v>
      </c>
      <c r="AB1669" s="168">
        <f t="shared" si="9"/>
        <v>0</v>
      </c>
    </row>
    <row r="1670" ht="14.25" customHeight="1">
      <c r="A1670" s="157" t="s">
        <v>8851</v>
      </c>
      <c r="B1670" s="169" t="s">
        <v>37</v>
      </c>
      <c r="C1670" s="169" t="s">
        <v>3677</v>
      </c>
      <c r="D1670" s="336">
        <v>44645.0</v>
      </c>
      <c r="E1670" s="157" t="s">
        <v>600</v>
      </c>
      <c r="F1670" s="160">
        <v>62428.7</v>
      </c>
      <c r="G1670" s="160">
        <v>9988.59</v>
      </c>
      <c r="H1670" s="160">
        <f t="shared" si="57"/>
        <v>72417.29</v>
      </c>
      <c r="I1670" s="172"/>
      <c r="J1670" s="169"/>
      <c r="K1670" s="172"/>
      <c r="L1670" s="172">
        <f>+'FACUS$'!$H1670-'FACUS$'!$I1670-'FACUS$'!$K1670</f>
        <v>72417.29</v>
      </c>
      <c r="M1670" s="162" t="s">
        <v>116</v>
      </c>
      <c r="N1670" s="337" t="s">
        <v>554</v>
      </c>
      <c r="O1670" s="338">
        <v>44662.0</v>
      </c>
      <c r="P1670" s="164">
        <f t="array" ref="P1670">XLOOKUP('FACUS$'!$B1670,'perfil de pagos'!$A$4:$A$46,'perfil de pagos'!$C$4:$C$46+'FACUS$'!$D1670)</f>
        <v>44655</v>
      </c>
      <c r="Q1670" s="165">
        <f t="shared" si="2"/>
        <v>0</v>
      </c>
      <c r="R1670" s="247" t="s">
        <v>8852</v>
      </c>
      <c r="S1670" s="386"/>
      <c r="T1670" s="167"/>
      <c r="U1670" s="334" t="s">
        <v>7271</v>
      </c>
      <c r="V1670" s="168">
        <f t="shared" si="3"/>
        <v>72417.29</v>
      </c>
      <c r="W1670" s="168">
        <f t="shared" si="4"/>
        <v>0</v>
      </c>
      <c r="X1670" s="168">
        <f t="shared" si="5"/>
        <v>0</v>
      </c>
      <c r="Y1670" s="168">
        <f t="shared" si="6"/>
        <v>0</v>
      </c>
      <c r="Z1670" s="168">
        <f t="shared" si="7"/>
        <v>0</v>
      </c>
      <c r="AA1670" s="168">
        <f t="shared" si="8"/>
        <v>0</v>
      </c>
      <c r="AB1670" s="168">
        <f t="shared" si="9"/>
        <v>0</v>
      </c>
    </row>
    <row r="1671" ht="14.25" customHeight="1">
      <c r="A1671" s="157" t="s">
        <v>8853</v>
      </c>
      <c r="B1671" s="169" t="s">
        <v>26</v>
      </c>
      <c r="C1671" s="169" t="s">
        <v>3677</v>
      </c>
      <c r="D1671" s="336">
        <v>44645.0</v>
      </c>
      <c r="E1671" s="157" t="s">
        <v>600</v>
      </c>
      <c r="F1671" s="160">
        <v>5121.57</v>
      </c>
      <c r="G1671" s="160">
        <v>819.45</v>
      </c>
      <c r="H1671" s="160">
        <f t="shared" si="57"/>
        <v>5941.02</v>
      </c>
      <c r="I1671" s="172">
        <v>2689.95</v>
      </c>
      <c r="J1671" s="169"/>
      <c r="K1671" s="172"/>
      <c r="L1671" s="172">
        <f>+'FACUS$'!$H1671-'FACUS$'!$I1671-'FACUS$'!$K1671</f>
        <v>3251.07</v>
      </c>
      <c r="M1671" s="162" t="s">
        <v>2386</v>
      </c>
      <c r="N1671" s="337" t="s">
        <v>554</v>
      </c>
      <c r="O1671" s="338">
        <v>45282.0</v>
      </c>
      <c r="P1671" s="164">
        <f t="array" ref="P1671">XLOOKUP('FACUS$'!$B1671,'perfil de pagos'!$A$4:$A$46,'perfil de pagos'!$C$4:$C$46+'FACUS$'!$D1671)</f>
        <v>44675</v>
      </c>
      <c r="Q1671" s="165">
        <f t="shared" si="2"/>
        <v>0</v>
      </c>
      <c r="R1671" s="220" t="s">
        <v>8854</v>
      </c>
      <c r="S1671" s="337" t="s">
        <v>8855</v>
      </c>
      <c r="T1671" s="167"/>
      <c r="U1671" s="334" t="s">
        <v>7271</v>
      </c>
      <c r="V1671" s="168">
        <f t="shared" si="3"/>
        <v>3251.07</v>
      </c>
      <c r="W1671" s="168">
        <f t="shared" si="4"/>
        <v>0</v>
      </c>
      <c r="X1671" s="168">
        <f t="shared" si="5"/>
        <v>0</v>
      </c>
      <c r="Y1671" s="168">
        <f t="shared" si="6"/>
        <v>0</v>
      </c>
      <c r="Z1671" s="168">
        <f t="shared" si="7"/>
        <v>0</v>
      </c>
      <c r="AA1671" s="168">
        <f t="shared" si="8"/>
        <v>0</v>
      </c>
      <c r="AB1671" s="168">
        <f t="shared" si="9"/>
        <v>0</v>
      </c>
    </row>
    <row r="1672" ht="14.25" customHeight="1">
      <c r="A1672" s="157" t="s">
        <v>8856</v>
      </c>
      <c r="B1672" s="169" t="s">
        <v>38</v>
      </c>
      <c r="C1672" s="169" t="s">
        <v>3677</v>
      </c>
      <c r="D1672" s="336">
        <v>44645.0</v>
      </c>
      <c r="E1672" s="157" t="s">
        <v>600</v>
      </c>
      <c r="F1672" s="160">
        <v>8783.78</v>
      </c>
      <c r="G1672" s="160">
        <v>1405.4</v>
      </c>
      <c r="H1672" s="160">
        <f t="shared" si="57"/>
        <v>10189.18</v>
      </c>
      <c r="I1672" s="172"/>
      <c r="J1672" s="169"/>
      <c r="K1672" s="172"/>
      <c r="L1672" s="172">
        <f>+'FACUS$'!$H1672-'FACUS$'!$I1672-'FACUS$'!$K1672</f>
        <v>10189.18</v>
      </c>
      <c r="M1672" s="162" t="s">
        <v>145</v>
      </c>
      <c r="N1672" s="337" t="s">
        <v>554</v>
      </c>
      <c r="O1672" s="338">
        <v>44687.0</v>
      </c>
      <c r="P1672" s="164">
        <f t="array" ref="P1672">XLOOKUP('FACUS$'!$B1672,'perfil de pagos'!$A$4:$A$46,'perfil de pagos'!$C$4:$C$46+'FACUS$'!$D1672)</f>
        <v>44675</v>
      </c>
      <c r="Q1672" s="165">
        <f t="shared" si="2"/>
        <v>0</v>
      </c>
      <c r="R1672" s="167"/>
      <c r="S1672" s="167"/>
      <c r="T1672" s="167"/>
      <c r="U1672" s="334" t="s">
        <v>7271</v>
      </c>
      <c r="V1672" s="168">
        <f t="shared" si="3"/>
        <v>10189.18</v>
      </c>
      <c r="W1672" s="168">
        <f t="shared" si="4"/>
        <v>0</v>
      </c>
      <c r="X1672" s="168">
        <f t="shared" si="5"/>
        <v>0</v>
      </c>
      <c r="Y1672" s="168">
        <f t="shared" si="6"/>
        <v>0</v>
      </c>
      <c r="Z1672" s="168">
        <f t="shared" si="7"/>
        <v>0</v>
      </c>
      <c r="AA1672" s="168">
        <f t="shared" si="8"/>
        <v>0</v>
      </c>
      <c r="AB1672" s="168">
        <f t="shared" si="9"/>
        <v>0</v>
      </c>
    </row>
    <row r="1673" ht="14.25" customHeight="1">
      <c r="A1673" s="157" t="s">
        <v>8857</v>
      </c>
      <c r="B1673" s="169" t="s">
        <v>17</v>
      </c>
      <c r="C1673" s="169" t="s">
        <v>8858</v>
      </c>
      <c r="D1673" s="336">
        <v>44656.0</v>
      </c>
      <c r="E1673" s="157" t="s">
        <v>600</v>
      </c>
      <c r="F1673" s="160">
        <v>6574.41</v>
      </c>
      <c r="G1673" s="160">
        <v>1051.91</v>
      </c>
      <c r="H1673" s="160">
        <f t="shared" si="57"/>
        <v>7626.32</v>
      </c>
      <c r="I1673" s="172"/>
      <c r="J1673" s="169"/>
      <c r="K1673" s="172"/>
      <c r="L1673" s="172">
        <f>+'FACUS$'!$H1673-'FACUS$'!$I1673-'FACUS$'!$K1673</f>
        <v>7626.32</v>
      </c>
      <c r="M1673" s="162" t="s">
        <v>17</v>
      </c>
      <c r="N1673" s="337" t="s">
        <v>554</v>
      </c>
      <c r="O1673" s="338">
        <v>44664.0</v>
      </c>
      <c r="P1673" s="164">
        <f t="array" ref="P1673">XLOOKUP('FACUS$'!$B1673,'perfil de pagos'!$A$4:$A$46,'perfil de pagos'!$C$4:$C$46+'FACUS$'!$D1673)</f>
        <v>44666</v>
      </c>
      <c r="Q1673" s="165">
        <f t="shared" si="2"/>
        <v>0</v>
      </c>
      <c r="R1673" s="167"/>
      <c r="S1673" s="167"/>
      <c r="T1673" s="167"/>
      <c r="U1673" s="334" t="s">
        <v>7271</v>
      </c>
      <c r="V1673" s="168">
        <f t="shared" si="3"/>
        <v>7626.32</v>
      </c>
      <c r="W1673" s="168">
        <f t="shared" si="4"/>
        <v>0</v>
      </c>
      <c r="X1673" s="168">
        <f t="shared" si="5"/>
        <v>0</v>
      </c>
      <c r="Y1673" s="168">
        <f t="shared" si="6"/>
        <v>0</v>
      </c>
      <c r="Z1673" s="168">
        <f t="shared" si="7"/>
        <v>0</v>
      </c>
      <c r="AA1673" s="168">
        <f t="shared" si="8"/>
        <v>0</v>
      </c>
      <c r="AB1673" s="168">
        <f t="shared" si="9"/>
        <v>0</v>
      </c>
    </row>
    <row r="1674" ht="14.25" customHeight="1">
      <c r="A1674" s="157" t="s">
        <v>8859</v>
      </c>
      <c r="B1674" s="169" t="s">
        <v>17</v>
      </c>
      <c r="C1674" s="169" t="s">
        <v>3723</v>
      </c>
      <c r="D1674" s="336">
        <v>44656.0</v>
      </c>
      <c r="E1674" s="157" t="s">
        <v>600</v>
      </c>
      <c r="F1674" s="160">
        <v>8120.12</v>
      </c>
      <c r="G1674" s="160">
        <v>1299.22</v>
      </c>
      <c r="H1674" s="160">
        <f t="shared" si="57"/>
        <v>9419.34</v>
      </c>
      <c r="I1674" s="172"/>
      <c r="J1674" s="169"/>
      <c r="K1674" s="172"/>
      <c r="L1674" s="172">
        <f>+'FACUS$'!$H1674-'FACUS$'!$I1674-'FACUS$'!$K1674</f>
        <v>9419.34</v>
      </c>
      <c r="M1674" s="162" t="s">
        <v>17</v>
      </c>
      <c r="N1674" s="337" t="s">
        <v>554</v>
      </c>
      <c r="O1674" s="338">
        <v>44664.0</v>
      </c>
      <c r="P1674" s="164">
        <f t="array" ref="P1674">XLOOKUP('FACUS$'!$B1674,'perfil de pagos'!$A$4:$A$46,'perfil de pagos'!$C$4:$C$46+'FACUS$'!$D1674)</f>
        <v>44666</v>
      </c>
      <c r="Q1674" s="165">
        <f t="shared" si="2"/>
        <v>0</v>
      </c>
      <c r="R1674" s="167"/>
      <c r="S1674" s="167"/>
      <c r="T1674" s="167"/>
      <c r="U1674" s="334" t="s">
        <v>7271</v>
      </c>
      <c r="V1674" s="168">
        <f t="shared" si="3"/>
        <v>9419.34</v>
      </c>
      <c r="W1674" s="168">
        <f t="shared" si="4"/>
        <v>0</v>
      </c>
      <c r="X1674" s="168">
        <f t="shared" si="5"/>
        <v>0</v>
      </c>
      <c r="Y1674" s="168">
        <f t="shared" si="6"/>
        <v>0</v>
      </c>
      <c r="Z1674" s="168">
        <f t="shared" si="7"/>
        <v>0</v>
      </c>
      <c r="AA1674" s="168">
        <f t="shared" si="8"/>
        <v>0</v>
      </c>
      <c r="AB1674" s="168">
        <f t="shared" si="9"/>
        <v>0</v>
      </c>
    </row>
    <row r="1675" ht="14.25" customHeight="1">
      <c r="A1675" s="157" t="s">
        <v>8860</v>
      </c>
      <c r="B1675" s="169" t="s">
        <v>35</v>
      </c>
      <c r="C1675" s="169" t="s">
        <v>3723</v>
      </c>
      <c r="D1675" s="336">
        <v>44656.0</v>
      </c>
      <c r="E1675" s="157" t="s">
        <v>600</v>
      </c>
      <c r="F1675" s="160">
        <v>21482.95</v>
      </c>
      <c r="G1675" s="160">
        <v>3437.27</v>
      </c>
      <c r="H1675" s="160">
        <f t="shared" si="57"/>
        <v>24920.22</v>
      </c>
      <c r="I1675" s="172"/>
      <c r="J1675" s="169"/>
      <c r="K1675" s="172"/>
      <c r="L1675" s="172">
        <f>+'FACUS$'!$H1675-'FACUS$'!$I1675-'FACUS$'!$K1675</f>
        <v>24920.22</v>
      </c>
      <c r="M1675" s="162" t="s">
        <v>276</v>
      </c>
      <c r="N1675" s="337" t="s">
        <v>554</v>
      </c>
      <c r="O1675" s="338">
        <v>44687.0</v>
      </c>
      <c r="P1675" s="164">
        <f t="array" ref="P1675">XLOOKUP('FACUS$'!$B1675,'perfil de pagos'!$A$4:$A$46,'perfil de pagos'!$C$4:$C$46+'FACUS$'!$D1675)</f>
        <v>44666</v>
      </c>
      <c r="Q1675" s="165">
        <f t="shared" si="2"/>
        <v>0</v>
      </c>
      <c r="R1675" s="167"/>
      <c r="S1675" s="167">
        <v>1371.0</v>
      </c>
      <c r="T1675" s="167"/>
      <c r="U1675" s="334" t="s">
        <v>7271</v>
      </c>
      <c r="V1675" s="168">
        <f t="shared" si="3"/>
        <v>24920.22</v>
      </c>
      <c r="W1675" s="168">
        <f t="shared" si="4"/>
        <v>0</v>
      </c>
      <c r="X1675" s="168">
        <f t="shared" si="5"/>
        <v>0</v>
      </c>
      <c r="Y1675" s="168">
        <f t="shared" si="6"/>
        <v>0</v>
      </c>
      <c r="Z1675" s="168">
        <f t="shared" si="7"/>
        <v>0</v>
      </c>
      <c r="AA1675" s="168">
        <f t="shared" si="8"/>
        <v>0</v>
      </c>
      <c r="AB1675" s="168">
        <f t="shared" si="9"/>
        <v>0</v>
      </c>
    </row>
    <row r="1676" ht="14.25" customHeight="1">
      <c r="A1676" s="157" t="s">
        <v>8861</v>
      </c>
      <c r="B1676" s="169" t="s">
        <v>33</v>
      </c>
      <c r="C1676" s="169" t="s">
        <v>3723</v>
      </c>
      <c r="D1676" s="336">
        <v>44656.0</v>
      </c>
      <c r="E1676" s="157" t="s">
        <v>600</v>
      </c>
      <c r="F1676" s="160">
        <v>65801.74</v>
      </c>
      <c r="G1676" s="160">
        <v>10528.28</v>
      </c>
      <c r="H1676" s="160">
        <f t="shared" si="57"/>
        <v>76330.02</v>
      </c>
      <c r="I1676" s="172"/>
      <c r="J1676" s="169"/>
      <c r="K1676" s="172"/>
      <c r="L1676" s="172">
        <f>+'FACUS$'!$H1676-'FACUS$'!$I1676-'FACUS$'!$K1676</f>
        <v>76330.02</v>
      </c>
      <c r="M1676" s="162" t="s">
        <v>958</v>
      </c>
      <c r="N1676" s="337" t="s">
        <v>554</v>
      </c>
      <c r="O1676" s="338">
        <v>44705.0</v>
      </c>
      <c r="P1676" s="164">
        <f t="array" ref="P1676">XLOOKUP('FACUS$'!$B1676,'perfil de pagos'!$A$4:$A$46,'perfil de pagos'!$C$4:$C$46+'FACUS$'!$D1676)</f>
        <v>44666</v>
      </c>
      <c r="Q1676" s="165">
        <f t="shared" si="2"/>
        <v>0</v>
      </c>
      <c r="R1676" s="167"/>
      <c r="S1676" s="167"/>
      <c r="T1676" s="167"/>
      <c r="U1676" s="334" t="s">
        <v>7271</v>
      </c>
      <c r="V1676" s="168">
        <f t="shared" si="3"/>
        <v>76330.02</v>
      </c>
      <c r="W1676" s="168">
        <f t="shared" si="4"/>
        <v>0</v>
      </c>
      <c r="X1676" s="168">
        <f t="shared" si="5"/>
        <v>0</v>
      </c>
      <c r="Y1676" s="168">
        <f t="shared" si="6"/>
        <v>0</v>
      </c>
      <c r="Z1676" s="168">
        <f t="shared" si="7"/>
        <v>0</v>
      </c>
      <c r="AA1676" s="168">
        <f t="shared" si="8"/>
        <v>0</v>
      </c>
      <c r="AB1676" s="168">
        <f t="shared" si="9"/>
        <v>0</v>
      </c>
    </row>
    <row r="1677" ht="14.25" customHeight="1">
      <c r="A1677" s="157" t="s">
        <v>8862</v>
      </c>
      <c r="B1677" s="169" t="s">
        <v>36</v>
      </c>
      <c r="C1677" s="169" t="s">
        <v>3723</v>
      </c>
      <c r="D1677" s="336">
        <v>44656.0</v>
      </c>
      <c r="E1677" s="157" t="s">
        <v>600</v>
      </c>
      <c r="F1677" s="160">
        <v>2310.71</v>
      </c>
      <c r="G1677" s="160">
        <v>369.71</v>
      </c>
      <c r="H1677" s="160">
        <f t="shared" si="57"/>
        <v>2680.42</v>
      </c>
      <c r="I1677" s="172"/>
      <c r="J1677" s="169"/>
      <c r="K1677" s="172"/>
      <c r="L1677" s="172">
        <f>+'FACUS$'!$H1677-'FACUS$'!$I1677-'FACUS$'!$K1677</f>
        <v>2680.42</v>
      </c>
      <c r="M1677" s="162" t="s">
        <v>278</v>
      </c>
      <c r="N1677" s="337" t="s">
        <v>554</v>
      </c>
      <c r="O1677" s="338">
        <v>44672.0</v>
      </c>
      <c r="P1677" s="164">
        <f t="array" ref="P1677">XLOOKUP('FACUS$'!$B1677,'perfil de pagos'!$A$4:$A$46,'perfil de pagos'!$C$4:$C$46+'FACUS$'!$D1677)</f>
        <v>44666</v>
      </c>
      <c r="Q1677" s="165">
        <f t="shared" si="2"/>
        <v>0</v>
      </c>
      <c r="R1677" s="247" t="s">
        <v>8863</v>
      </c>
      <c r="S1677" s="167">
        <v>1404.0</v>
      </c>
      <c r="T1677" s="167"/>
      <c r="U1677" s="334" t="s">
        <v>7271</v>
      </c>
      <c r="V1677" s="168">
        <f t="shared" si="3"/>
        <v>2680.42</v>
      </c>
      <c r="W1677" s="168">
        <f t="shared" si="4"/>
        <v>0</v>
      </c>
      <c r="X1677" s="168">
        <f t="shared" si="5"/>
        <v>0</v>
      </c>
      <c r="Y1677" s="168">
        <f t="shared" si="6"/>
        <v>0</v>
      </c>
      <c r="Z1677" s="168">
        <f t="shared" si="7"/>
        <v>0</v>
      </c>
      <c r="AA1677" s="168">
        <f t="shared" si="8"/>
        <v>0</v>
      </c>
      <c r="AB1677" s="168">
        <f t="shared" si="9"/>
        <v>0</v>
      </c>
    </row>
    <row r="1678" ht="14.25" customHeight="1">
      <c r="A1678" s="157" t="s">
        <v>8864</v>
      </c>
      <c r="B1678" s="169" t="s">
        <v>41</v>
      </c>
      <c r="C1678" s="169" t="s">
        <v>3723</v>
      </c>
      <c r="D1678" s="336">
        <v>44656.0</v>
      </c>
      <c r="E1678" s="157" t="s">
        <v>600</v>
      </c>
      <c r="F1678" s="160">
        <v>37314.59</v>
      </c>
      <c r="G1678" s="160">
        <v>5970.33</v>
      </c>
      <c r="H1678" s="160">
        <f t="shared" si="57"/>
        <v>43284.92</v>
      </c>
      <c r="I1678" s="172"/>
      <c r="J1678" s="169"/>
      <c r="K1678" s="172"/>
      <c r="L1678" s="172">
        <f>+'FACUS$'!$H1678-'FACUS$'!$I1678-'FACUS$'!$K1678</f>
        <v>43284.92</v>
      </c>
      <c r="M1678" s="162" t="s">
        <v>875</v>
      </c>
      <c r="N1678" s="337" t="s">
        <v>554</v>
      </c>
      <c r="O1678" s="338">
        <v>44748.0</v>
      </c>
      <c r="P1678" s="164">
        <f t="array" ref="P1678">XLOOKUP('FACUS$'!$B1678,'perfil de pagos'!$A$4:$A$46,'perfil de pagos'!$C$4:$C$46+'FACUS$'!$D1678)</f>
        <v>44666</v>
      </c>
      <c r="Q1678" s="165">
        <f t="shared" si="2"/>
        <v>0</v>
      </c>
      <c r="R1678" s="220" t="s">
        <v>8865</v>
      </c>
      <c r="S1678" s="167"/>
      <c r="T1678" s="167"/>
      <c r="U1678" s="334" t="s">
        <v>7271</v>
      </c>
      <c r="V1678" s="168">
        <f t="shared" si="3"/>
        <v>43284.92</v>
      </c>
      <c r="W1678" s="168">
        <f t="shared" si="4"/>
        <v>0</v>
      </c>
      <c r="X1678" s="168">
        <f t="shared" si="5"/>
        <v>0</v>
      </c>
      <c r="Y1678" s="168">
        <f t="shared" si="6"/>
        <v>0</v>
      </c>
      <c r="Z1678" s="168">
        <f t="shared" si="7"/>
        <v>0</v>
      </c>
      <c r="AA1678" s="168">
        <f t="shared" si="8"/>
        <v>0</v>
      </c>
      <c r="AB1678" s="168">
        <f t="shared" si="9"/>
        <v>0</v>
      </c>
    </row>
    <row r="1679" ht="14.25" customHeight="1">
      <c r="A1679" s="157" t="s">
        <v>8866</v>
      </c>
      <c r="B1679" s="169" t="s">
        <v>43</v>
      </c>
      <c r="C1679" s="169" t="s">
        <v>3723</v>
      </c>
      <c r="D1679" s="336">
        <v>44656.0</v>
      </c>
      <c r="E1679" s="157" t="s">
        <v>600</v>
      </c>
      <c r="F1679" s="160">
        <v>66646.32</v>
      </c>
      <c r="G1679" s="160">
        <v>10663.41</v>
      </c>
      <c r="H1679" s="160">
        <f t="shared" si="57"/>
        <v>77309.73</v>
      </c>
      <c r="I1679" s="172"/>
      <c r="J1679" s="169"/>
      <c r="K1679" s="172"/>
      <c r="L1679" s="172">
        <f>+'FACUS$'!$H1679-'FACUS$'!$I1679-'FACUS$'!$K1679</f>
        <v>77309.73</v>
      </c>
      <c r="M1679" s="162" t="s">
        <v>43</v>
      </c>
      <c r="N1679" s="337" t="s">
        <v>554</v>
      </c>
      <c r="O1679" s="338">
        <v>44676.0</v>
      </c>
      <c r="P1679" s="164">
        <f t="array" ref="P1679">XLOOKUP('FACUS$'!$B1679,'perfil de pagos'!$A$4:$A$46,'perfil de pagos'!$C$4:$C$46+'FACUS$'!$D1679)</f>
        <v>44681</v>
      </c>
      <c r="Q1679" s="165">
        <f t="shared" si="2"/>
        <v>0</v>
      </c>
      <c r="R1679" s="167"/>
      <c r="S1679" s="167"/>
      <c r="T1679" s="167"/>
      <c r="U1679" s="334" t="s">
        <v>7271</v>
      </c>
      <c r="V1679" s="168">
        <f t="shared" si="3"/>
        <v>77309.73</v>
      </c>
      <c r="W1679" s="168">
        <f t="shared" si="4"/>
        <v>0</v>
      </c>
      <c r="X1679" s="168">
        <f t="shared" si="5"/>
        <v>0</v>
      </c>
      <c r="Y1679" s="168">
        <f t="shared" si="6"/>
        <v>0</v>
      </c>
      <c r="Z1679" s="168">
        <f t="shared" si="7"/>
        <v>0</v>
      </c>
      <c r="AA1679" s="168">
        <f t="shared" si="8"/>
        <v>0</v>
      </c>
      <c r="AB1679" s="168">
        <f t="shared" si="9"/>
        <v>0</v>
      </c>
    </row>
    <row r="1680" ht="14.25" customHeight="1">
      <c r="A1680" s="157" t="s">
        <v>8867</v>
      </c>
      <c r="B1680" s="169" t="s">
        <v>39</v>
      </c>
      <c r="C1680" s="169" t="s">
        <v>3703</v>
      </c>
      <c r="D1680" s="336">
        <v>44656.0</v>
      </c>
      <c r="E1680" s="157" t="s">
        <v>600</v>
      </c>
      <c r="F1680" s="160">
        <v>35243.59</v>
      </c>
      <c r="G1680" s="160">
        <v>5638.97</v>
      </c>
      <c r="H1680" s="160">
        <f t="shared" si="57"/>
        <v>40882.56</v>
      </c>
      <c r="I1680" s="172"/>
      <c r="J1680" s="169"/>
      <c r="K1680" s="172"/>
      <c r="L1680" s="172">
        <f>+'FACUS$'!$H1680-'FACUS$'!$I1680-'FACUS$'!$K1680</f>
        <v>40882.56</v>
      </c>
      <c r="M1680" s="162" t="s">
        <v>570</v>
      </c>
      <c r="N1680" s="337" t="s">
        <v>554</v>
      </c>
      <c r="O1680" s="338">
        <v>44673.0</v>
      </c>
      <c r="P1680" s="164">
        <f t="array" ref="P1680">XLOOKUP('FACUS$'!$B1680,'perfil de pagos'!$A$4:$A$46,'perfil de pagos'!$C$4:$C$46+'FACUS$'!$D1680)</f>
        <v>44666</v>
      </c>
      <c r="Q1680" s="165">
        <f t="shared" si="2"/>
        <v>0</v>
      </c>
      <c r="R1680" s="167"/>
      <c r="S1680" s="167"/>
      <c r="T1680" s="167"/>
      <c r="U1680" s="334" t="s">
        <v>7271</v>
      </c>
      <c r="V1680" s="168">
        <f t="shared" si="3"/>
        <v>40882.56</v>
      </c>
      <c r="W1680" s="168">
        <f t="shared" si="4"/>
        <v>0</v>
      </c>
      <c r="X1680" s="168">
        <f t="shared" si="5"/>
        <v>0</v>
      </c>
      <c r="Y1680" s="168">
        <f t="shared" si="6"/>
        <v>0</v>
      </c>
      <c r="Z1680" s="168">
        <f t="shared" si="7"/>
        <v>0</v>
      </c>
      <c r="AA1680" s="168">
        <f t="shared" si="8"/>
        <v>0</v>
      </c>
      <c r="AB1680" s="168">
        <f t="shared" si="9"/>
        <v>0</v>
      </c>
    </row>
    <row r="1681" ht="14.25" customHeight="1">
      <c r="A1681" s="157" t="s">
        <v>8868</v>
      </c>
      <c r="B1681" s="169" t="s">
        <v>39</v>
      </c>
      <c r="C1681" s="169" t="s">
        <v>3723</v>
      </c>
      <c r="D1681" s="336">
        <v>44656.0</v>
      </c>
      <c r="E1681" s="157" t="s">
        <v>600</v>
      </c>
      <c r="F1681" s="160">
        <v>28844.63</v>
      </c>
      <c r="G1681" s="160">
        <v>4615.14</v>
      </c>
      <c r="H1681" s="160">
        <f t="shared" si="57"/>
        <v>33459.77</v>
      </c>
      <c r="I1681" s="172"/>
      <c r="J1681" s="169"/>
      <c r="K1681" s="172"/>
      <c r="L1681" s="172">
        <f>+'FACUS$'!$H1681-'FACUS$'!$I1681-'FACUS$'!$K1681</f>
        <v>33459.77</v>
      </c>
      <c r="M1681" s="162" t="s">
        <v>570</v>
      </c>
      <c r="N1681" s="337" t="s">
        <v>554</v>
      </c>
      <c r="O1681" s="338">
        <v>44673.0</v>
      </c>
      <c r="P1681" s="164">
        <f t="array" ref="P1681">XLOOKUP('FACUS$'!$B1681,'perfil de pagos'!$A$4:$A$46,'perfil de pagos'!$C$4:$C$46+'FACUS$'!$D1681)</f>
        <v>44666</v>
      </c>
      <c r="Q1681" s="165">
        <f t="shared" si="2"/>
        <v>0</v>
      </c>
      <c r="R1681" s="167"/>
      <c r="S1681" s="167"/>
      <c r="T1681" s="167"/>
      <c r="U1681" s="334" t="s">
        <v>7271</v>
      </c>
      <c r="V1681" s="168">
        <f t="shared" si="3"/>
        <v>33459.77</v>
      </c>
      <c r="W1681" s="168">
        <f t="shared" si="4"/>
        <v>0</v>
      </c>
      <c r="X1681" s="168">
        <f t="shared" si="5"/>
        <v>0</v>
      </c>
      <c r="Y1681" s="168">
        <f t="shared" si="6"/>
        <v>0</v>
      </c>
      <c r="Z1681" s="168">
        <f t="shared" si="7"/>
        <v>0</v>
      </c>
      <c r="AA1681" s="168">
        <f t="shared" si="8"/>
        <v>0</v>
      </c>
      <c r="AB1681" s="168">
        <f t="shared" si="9"/>
        <v>0</v>
      </c>
    </row>
    <row r="1682" ht="14.25" customHeight="1">
      <c r="A1682" s="157" t="s">
        <v>8869</v>
      </c>
      <c r="B1682" s="169" t="s">
        <v>36</v>
      </c>
      <c r="C1682" s="169" t="s">
        <v>8870</v>
      </c>
      <c r="D1682" s="336">
        <v>44656.0</v>
      </c>
      <c r="E1682" s="157" t="s">
        <v>600</v>
      </c>
      <c r="F1682" s="160">
        <f>613.25-91.99</f>
        <v>521.26</v>
      </c>
      <c r="G1682" s="160">
        <v>83.4</v>
      </c>
      <c r="H1682" s="160">
        <f t="shared" si="57"/>
        <v>604.66</v>
      </c>
      <c r="I1682" s="172"/>
      <c r="J1682" s="169"/>
      <c r="K1682" s="172"/>
      <c r="L1682" s="172">
        <f>+'FACUS$'!$H1682-'FACUS$'!$I1682-'FACUS$'!$K1682</f>
        <v>604.66</v>
      </c>
      <c r="M1682" s="162" t="s">
        <v>278</v>
      </c>
      <c r="N1682" s="337" t="s">
        <v>554</v>
      </c>
      <c r="O1682" s="338">
        <v>44672.0</v>
      </c>
      <c r="P1682" s="164">
        <f t="array" ref="P1682">XLOOKUP('FACUS$'!$B1682,'perfil de pagos'!$A$4:$A$46,'perfil de pagos'!$C$4:$C$46+'FACUS$'!$D1682)</f>
        <v>44666</v>
      </c>
      <c r="Q1682" s="165">
        <f t="shared" si="2"/>
        <v>0</v>
      </c>
      <c r="R1682" s="247" t="s">
        <v>7277</v>
      </c>
      <c r="S1682" s="167">
        <v>1406.0</v>
      </c>
      <c r="T1682" s="167"/>
      <c r="U1682" s="334" t="s">
        <v>7271</v>
      </c>
      <c r="V1682" s="168">
        <f t="shared" si="3"/>
        <v>604.66</v>
      </c>
      <c r="W1682" s="168">
        <f t="shared" si="4"/>
        <v>0</v>
      </c>
      <c r="X1682" s="168">
        <f t="shared" si="5"/>
        <v>0</v>
      </c>
      <c r="Y1682" s="168">
        <f t="shared" si="6"/>
        <v>0</v>
      </c>
      <c r="Z1682" s="168">
        <f t="shared" si="7"/>
        <v>0</v>
      </c>
      <c r="AA1682" s="168">
        <f t="shared" si="8"/>
        <v>0</v>
      </c>
      <c r="AB1682" s="168">
        <f t="shared" si="9"/>
        <v>0</v>
      </c>
    </row>
    <row r="1683" ht="14.25" customHeight="1">
      <c r="A1683" s="157" t="s">
        <v>8871</v>
      </c>
      <c r="B1683" s="169" t="s">
        <v>18</v>
      </c>
      <c r="C1683" s="169" t="s">
        <v>3723</v>
      </c>
      <c r="D1683" s="336">
        <v>44657.0</v>
      </c>
      <c r="E1683" s="157" t="s">
        <v>600</v>
      </c>
      <c r="F1683" s="160">
        <v>9869.08</v>
      </c>
      <c r="G1683" s="160">
        <v>1579.05</v>
      </c>
      <c r="H1683" s="160">
        <f t="shared" si="57"/>
        <v>11448.13</v>
      </c>
      <c r="I1683" s="172"/>
      <c r="J1683" s="169"/>
      <c r="K1683" s="172"/>
      <c r="L1683" s="172">
        <f>+'FACUS$'!$H1683-'FACUS$'!$I1683-'FACUS$'!$K1683</f>
        <v>11448.13</v>
      </c>
      <c r="M1683" s="162" t="s">
        <v>586</v>
      </c>
      <c r="N1683" s="337" t="s">
        <v>554</v>
      </c>
      <c r="O1683" s="338">
        <v>44669.0</v>
      </c>
      <c r="P1683" s="164">
        <f t="array" ref="P1683">XLOOKUP('FACUS$'!$B1683,'perfil de pagos'!$A$4:$A$46,'perfil de pagos'!$C$4:$C$46+'FACUS$'!$D1683)</f>
        <v>44667</v>
      </c>
      <c r="Q1683" s="165">
        <f t="shared" si="2"/>
        <v>0</v>
      </c>
      <c r="R1683" s="167"/>
      <c r="S1683" s="167">
        <v>1358.0</v>
      </c>
      <c r="T1683" s="167"/>
      <c r="U1683" s="334" t="s">
        <v>7271</v>
      </c>
      <c r="V1683" s="168">
        <f t="shared" si="3"/>
        <v>11448.13</v>
      </c>
      <c r="W1683" s="168">
        <f t="shared" si="4"/>
        <v>0</v>
      </c>
      <c r="X1683" s="168">
        <f t="shared" si="5"/>
        <v>0</v>
      </c>
      <c r="Y1683" s="168">
        <f t="shared" si="6"/>
        <v>0</v>
      </c>
      <c r="Z1683" s="168">
        <f t="shared" si="7"/>
        <v>0</v>
      </c>
      <c r="AA1683" s="168">
        <f t="shared" si="8"/>
        <v>0</v>
      </c>
      <c r="AB1683" s="168">
        <f t="shared" si="9"/>
        <v>0</v>
      </c>
    </row>
    <row r="1684" ht="14.25" customHeight="1">
      <c r="A1684" s="157" t="s">
        <v>8872</v>
      </c>
      <c r="B1684" s="169" t="s">
        <v>20</v>
      </c>
      <c r="C1684" s="169" t="s">
        <v>3723</v>
      </c>
      <c r="D1684" s="336">
        <v>44657.0</v>
      </c>
      <c r="E1684" s="157" t="s">
        <v>600</v>
      </c>
      <c r="F1684" s="160">
        <v>12567.5</v>
      </c>
      <c r="G1684" s="160">
        <v>2010.8</v>
      </c>
      <c r="H1684" s="160">
        <f t="shared" si="57"/>
        <v>14578.3</v>
      </c>
      <c r="I1684" s="172"/>
      <c r="J1684" s="169"/>
      <c r="K1684" s="172"/>
      <c r="L1684" s="172">
        <f>+'FACUS$'!$H1684-'FACUS$'!$I1684-'FACUS$'!$K1684</f>
        <v>14578.3</v>
      </c>
      <c r="M1684" s="162" t="s">
        <v>732</v>
      </c>
      <c r="N1684" s="337" t="s">
        <v>554</v>
      </c>
      <c r="O1684" s="338">
        <v>44669.0</v>
      </c>
      <c r="P1684" s="164">
        <f t="array" ref="P1684">XLOOKUP('FACUS$'!$B1684,'perfil de pagos'!$A$4:$A$46,'perfil de pagos'!$C$4:$C$46+'FACUS$'!$D1684)</f>
        <v>44667</v>
      </c>
      <c r="Q1684" s="165">
        <f t="shared" si="2"/>
        <v>0</v>
      </c>
      <c r="R1684" s="167"/>
      <c r="S1684" s="167">
        <v>1358.0</v>
      </c>
      <c r="T1684" s="167"/>
      <c r="U1684" s="334" t="s">
        <v>7271</v>
      </c>
      <c r="V1684" s="168">
        <f t="shared" si="3"/>
        <v>14578.3</v>
      </c>
      <c r="W1684" s="168">
        <f t="shared" si="4"/>
        <v>0</v>
      </c>
      <c r="X1684" s="168">
        <f t="shared" si="5"/>
        <v>0</v>
      </c>
      <c r="Y1684" s="168">
        <f t="shared" si="6"/>
        <v>0</v>
      </c>
      <c r="Z1684" s="168">
        <f t="shared" si="7"/>
        <v>0</v>
      </c>
      <c r="AA1684" s="168">
        <f t="shared" si="8"/>
        <v>0</v>
      </c>
      <c r="AB1684" s="168">
        <f t="shared" si="9"/>
        <v>0</v>
      </c>
    </row>
    <row r="1685" ht="14.25" customHeight="1">
      <c r="A1685" s="157" t="s">
        <v>8873</v>
      </c>
      <c r="B1685" s="169" t="s">
        <v>22</v>
      </c>
      <c r="C1685" s="169" t="s">
        <v>3723</v>
      </c>
      <c r="D1685" s="336">
        <v>44657.0</v>
      </c>
      <c r="E1685" s="157" t="s">
        <v>600</v>
      </c>
      <c r="F1685" s="160">
        <v>6582.11</v>
      </c>
      <c r="G1685" s="160">
        <v>1053.14</v>
      </c>
      <c r="H1685" s="160">
        <f t="shared" si="57"/>
        <v>7635.25</v>
      </c>
      <c r="I1685" s="172"/>
      <c r="J1685" s="169"/>
      <c r="K1685" s="172"/>
      <c r="L1685" s="172">
        <f>+'FACUS$'!$H1685-'FACUS$'!$I1685-'FACUS$'!$K1685</f>
        <v>7635.25</v>
      </c>
      <c r="M1685" s="162" t="s">
        <v>220</v>
      </c>
      <c r="N1685" s="337" t="s">
        <v>554</v>
      </c>
      <c r="O1685" s="338">
        <v>44697.0</v>
      </c>
      <c r="P1685" s="164">
        <f t="array" ref="P1685">XLOOKUP('FACUS$'!$B1685,'perfil de pagos'!$A$4:$A$46,'perfil de pagos'!$C$4:$C$46+'FACUS$'!$D1685)</f>
        <v>44667</v>
      </c>
      <c r="Q1685" s="165">
        <f t="shared" si="2"/>
        <v>0</v>
      </c>
      <c r="R1685" s="167"/>
      <c r="S1685" s="167">
        <v>1379.0</v>
      </c>
      <c r="T1685" s="167"/>
      <c r="U1685" s="334" t="s">
        <v>7271</v>
      </c>
      <c r="V1685" s="168">
        <f t="shared" si="3"/>
        <v>7635.25</v>
      </c>
      <c r="W1685" s="168">
        <f t="shared" si="4"/>
        <v>0</v>
      </c>
      <c r="X1685" s="168">
        <f t="shared" si="5"/>
        <v>0</v>
      </c>
      <c r="Y1685" s="168">
        <f t="shared" si="6"/>
        <v>0</v>
      </c>
      <c r="Z1685" s="168">
        <f t="shared" si="7"/>
        <v>0</v>
      </c>
      <c r="AA1685" s="168">
        <f t="shared" si="8"/>
        <v>0</v>
      </c>
      <c r="AB1685" s="168">
        <f t="shared" si="9"/>
        <v>0</v>
      </c>
    </row>
    <row r="1686" ht="14.25" customHeight="1">
      <c r="A1686" s="157" t="s">
        <v>8874</v>
      </c>
      <c r="B1686" s="169" t="s">
        <v>26</v>
      </c>
      <c r="C1686" s="169" t="s">
        <v>3723</v>
      </c>
      <c r="D1686" s="336">
        <v>44657.0</v>
      </c>
      <c r="E1686" s="157" t="s">
        <v>600</v>
      </c>
      <c r="F1686" s="160">
        <v>3235.56</v>
      </c>
      <c r="G1686" s="160">
        <v>517.69</v>
      </c>
      <c r="H1686" s="160">
        <f t="shared" si="57"/>
        <v>3753.25</v>
      </c>
      <c r="I1686" s="172"/>
      <c r="J1686" s="169"/>
      <c r="K1686" s="172"/>
      <c r="L1686" s="172">
        <f>+'FACUS$'!$H1686-'FACUS$'!$I1686-'FACUS$'!$K1686</f>
        <v>3753.25</v>
      </c>
      <c r="M1686" s="162" t="s">
        <v>2386</v>
      </c>
      <c r="N1686" s="337" t="s">
        <v>554</v>
      </c>
      <c r="O1686" s="338">
        <v>45282.0</v>
      </c>
      <c r="P1686" s="164">
        <f t="array" ref="P1686">XLOOKUP('FACUS$'!$B1686,'perfil de pagos'!$A$4:$A$46,'perfil de pagos'!$C$4:$C$46+'FACUS$'!$D1686)</f>
        <v>44687</v>
      </c>
      <c r="Q1686" s="165">
        <f t="shared" si="2"/>
        <v>0</v>
      </c>
      <c r="R1686" s="167"/>
      <c r="S1686" s="167">
        <v>2680.0</v>
      </c>
      <c r="T1686" s="167"/>
      <c r="U1686" s="334" t="s">
        <v>7271</v>
      </c>
      <c r="V1686" s="168">
        <f t="shared" si="3"/>
        <v>3753.25</v>
      </c>
      <c r="W1686" s="168">
        <f t="shared" si="4"/>
        <v>0</v>
      </c>
      <c r="X1686" s="168">
        <f t="shared" si="5"/>
        <v>0</v>
      </c>
      <c r="Y1686" s="168">
        <f t="shared" si="6"/>
        <v>0</v>
      </c>
      <c r="Z1686" s="168">
        <f t="shared" si="7"/>
        <v>0</v>
      </c>
      <c r="AA1686" s="168">
        <f t="shared" si="8"/>
        <v>0</v>
      </c>
      <c r="AB1686" s="168">
        <f t="shared" si="9"/>
        <v>0</v>
      </c>
    </row>
    <row r="1687" ht="14.25" customHeight="1">
      <c r="A1687" s="157" t="s">
        <v>8875</v>
      </c>
      <c r="B1687" s="169" t="s">
        <v>37</v>
      </c>
      <c r="C1687" s="169" t="s">
        <v>3723</v>
      </c>
      <c r="D1687" s="336">
        <v>44657.0</v>
      </c>
      <c r="E1687" s="157" t="s">
        <v>600</v>
      </c>
      <c r="F1687" s="160">
        <v>71160.97</v>
      </c>
      <c r="G1687" s="160">
        <v>11385.76</v>
      </c>
      <c r="H1687" s="160">
        <f t="shared" si="57"/>
        <v>82546.73</v>
      </c>
      <c r="I1687" s="172"/>
      <c r="J1687" s="169"/>
      <c r="K1687" s="172"/>
      <c r="L1687" s="172">
        <f>+'FACUS$'!$H1687-'FACUS$'!$I1687-'FACUS$'!$K1687</f>
        <v>82546.73</v>
      </c>
      <c r="M1687" s="162" t="s">
        <v>116</v>
      </c>
      <c r="N1687" s="337" t="s">
        <v>554</v>
      </c>
      <c r="O1687" s="338">
        <v>44676.0</v>
      </c>
      <c r="P1687" s="164">
        <f t="array" ref="P1687">XLOOKUP('FACUS$'!$B1687,'perfil de pagos'!$A$4:$A$46,'perfil de pagos'!$C$4:$C$46+'FACUS$'!$D1687)</f>
        <v>44667</v>
      </c>
      <c r="Q1687" s="165">
        <f t="shared" si="2"/>
        <v>0</v>
      </c>
      <c r="R1687" s="220" t="s">
        <v>8876</v>
      </c>
      <c r="S1687" s="167"/>
      <c r="T1687" s="167"/>
      <c r="U1687" s="334" t="s">
        <v>7271</v>
      </c>
      <c r="V1687" s="168">
        <f t="shared" si="3"/>
        <v>82546.73</v>
      </c>
      <c r="W1687" s="168">
        <f t="shared" si="4"/>
        <v>0</v>
      </c>
      <c r="X1687" s="168">
        <f t="shared" si="5"/>
        <v>0</v>
      </c>
      <c r="Y1687" s="168">
        <f t="shared" si="6"/>
        <v>0</v>
      </c>
      <c r="Z1687" s="168">
        <f t="shared" si="7"/>
        <v>0</v>
      </c>
      <c r="AA1687" s="168">
        <f t="shared" si="8"/>
        <v>0</v>
      </c>
      <c r="AB1687" s="168">
        <f t="shared" si="9"/>
        <v>0</v>
      </c>
    </row>
    <row r="1688" ht="14.25" customHeight="1">
      <c r="A1688" s="157" t="s">
        <v>8877</v>
      </c>
      <c r="B1688" s="169" t="s">
        <v>38</v>
      </c>
      <c r="C1688" s="169" t="s">
        <v>3723</v>
      </c>
      <c r="D1688" s="336">
        <v>44657.0</v>
      </c>
      <c r="E1688" s="157" t="s">
        <v>600</v>
      </c>
      <c r="F1688" s="160">
        <v>13304.69</v>
      </c>
      <c r="G1688" s="160">
        <v>2128.75</v>
      </c>
      <c r="H1688" s="160">
        <f t="shared" si="57"/>
        <v>15433.44</v>
      </c>
      <c r="I1688" s="172"/>
      <c r="J1688" s="169"/>
      <c r="K1688" s="172"/>
      <c r="L1688" s="172">
        <f>+'FACUS$'!$H1688-'FACUS$'!$I1688-'FACUS$'!$K1688</f>
        <v>15433.44</v>
      </c>
      <c r="M1688" s="162" t="s">
        <v>145</v>
      </c>
      <c r="N1688" s="337" t="s">
        <v>554</v>
      </c>
      <c r="O1688" s="338">
        <v>44711.0</v>
      </c>
      <c r="P1688" s="164">
        <f t="array" ref="P1688">XLOOKUP('FACUS$'!$B1688,'perfil de pagos'!$A$4:$A$46,'perfil de pagos'!$C$4:$C$46+'FACUS$'!$D1688)</f>
        <v>44687</v>
      </c>
      <c r="Q1688" s="165">
        <f t="shared" si="2"/>
        <v>0</v>
      </c>
      <c r="R1688" s="167"/>
      <c r="S1688" s="167"/>
      <c r="T1688" s="167"/>
      <c r="U1688" s="334" t="s">
        <v>7271</v>
      </c>
      <c r="V1688" s="168">
        <f t="shared" si="3"/>
        <v>15433.44</v>
      </c>
      <c r="W1688" s="168">
        <f t="shared" si="4"/>
        <v>0</v>
      </c>
      <c r="X1688" s="168">
        <f t="shared" si="5"/>
        <v>0</v>
      </c>
      <c r="Y1688" s="168">
        <f t="shared" si="6"/>
        <v>0</v>
      </c>
      <c r="Z1688" s="168">
        <f t="shared" si="7"/>
        <v>0</v>
      </c>
      <c r="AA1688" s="168">
        <f t="shared" si="8"/>
        <v>0</v>
      </c>
      <c r="AB1688" s="168">
        <f t="shared" si="9"/>
        <v>0</v>
      </c>
    </row>
    <row r="1689" ht="14.25" customHeight="1">
      <c r="A1689" s="157" t="s">
        <v>8878</v>
      </c>
      <c r="B1689" s="169" t="s">
        <v>37</v>
      </c>
      <c r="C1689" s="169" t="s">
        <v>8879</v>
      </c>
      <c r="D1689" s="336">
        <v>44659.0</v>
      </c>
      <c r="E1689" s="157" t="s">
        <v>600</v>
      </c>
      <c r="F1689" s="160">
        <v>15087.44</v>
      </c>
      <c r="G1689" s="160">
        <v>2413.99</v>
      </c>
      <c r="H1689" s="160">
        <f t="shared" si="57"/>
        <v>17501.43</v>
      </c>
      <c r="I1689" s="172"/>
      <c r="J1689" s="169"/>
      <c r="K1689" s="172"/>
      <c r="L1689" s="172">
        <f>+'FACUS$'!$H1689-'FACUS$'!$I1689-'FACUS$'!$K1689</f>
        <v>17501.43</v>
      </c>
      <c r="M1689" s="162" t="s">
        <v>116</v>
      </c>
      <c r="N1689" s="337" t="s">
        <v>554</v>
      </c>
      <c r="O1689" s="338">
        <v>44676.0</v>
      </c>
      <c r="P1689" s="164">
        <f t="array" ref="P1689">XLOOKUP('FACUS$'!$B1689,'perfil de pagos'!$A$4:$A$46,'perfil de pagos'!$C$4:$C$46+'FACUS$'!$D1689)</f>
        <v>44669</v>
      </c>
      <c r="Q1689" s="165">
        <f t="shared" si="2"/>
        <v>0</v>
      </c>
      <c r="R1689" s="220" t="s">
        <v>8876</v>
      </c>
      <c r="S1689" s="167"/>
      <c r="T1689" s="167"/>
      <c r="U1689" s="334" t="s">
        <v>7271</v>
      </c>
      <c r="V1689" s="168">
        <f t="shared" si="3"/>
        <v>17501.43</v>
      </c>
      <c r="W1689" s="168">
        <f t="shared" si="4"/>
        <v>0</v>
      </c>
      <c r="X1689" s="168">
        <f t="shared" si="5"/>
        <v>0</v>
      </c>
      <c r="Y1689" s="168">
        <f t="shared" si="6"/>
        <v>0</v>
      </c>
      <c r="Z1689" s="168">
        <f t="shared" si="7"/>
        <v>0</v>
      </c>
      <c r="AA1689" s="168">
        <f t="shared" si="8"/>
        <v>0</v>
      </c>
      <c r="AB1689" s="168">
        <f t="shared" si="9"/>
        <v>0</v>
      </c>
    </row>
    <row r="1690" ht="14.25" customHeight="1">
      <c r="A1690" s="157" t="s">
        <v>8880</v>
      </c>
      <c r="B1690" s="169" t="s">
        <v>17</v>
      </c>
      <c r="C1690" s="169" t="s">
        <v>8881</v>
      </c>
      <c r="D1690" s="336">
        <v>44670.0</v>
      </c>
      <c r="E1690" s="157" t="s">
        <v>600</v>
      </c>
      <c r="F1690" s="160">
        <v>505.68</v>
      </c>
      <c r="G1690" s="160">
        <v>80.91</v>
      </c>
      <c r="H1690" s="160">
        <f t="shared" si="57"/>
        <v>586.59</v>
      </c>
      <c r="I1690" s="172"/>
      <c r="J1690" s="169"/>
      <c r="K1690" s="172"/>
      <c r="L1690" s="172">
        <f>+'FACUS$'!$H1690-'FACUS$'!$I1690-'FACUS$'!$K1690</f>
        <v>586.59</v>
      </c>
      <c r="M1690" s="162" t="s">
        <v>17</v>
      </c>
      <c r="N1690" s="337" t="s">
        <v>127</v>
      </c>
      <c r="O1690" s="338"/>
      <c r="P1690" s="164">
        <f t="array" ref="P1690">XLOOKUP('FACUS$'!$B1690,'perfil de pagos'!$A$4:$A$46,'perfil de pagos'!$C$4:$C$46+'FACUS$'!$D1690)</f>
        <v>44680</v>
      </c>
      <c r="Q1690" s="165" t="str">
        <f t="shared" si="2"/>
        <v>N/A</v>
      </c>
      <c r="R1690" s="167" t="s">
        <v>8882</v>
      </c>
      <c r="S1690" s="167"/>
      <c r="T1690" s="167"/>
      <c r="U1690" s="334" t="s">
        <v>7271</v>
      </c>
      <c r="V1690" s="168">
        <f t="shared" si="3"/>
        <v>0</v>
      </c>
      <c r="W1690" s="168">
        <f t="shared" si="4"/>
        <v>0</v>
      </c>
      <c r="X1690" s="168">
        <f t="shared" si="5"/>
        <v>0</v>
      </c>
      <c r="Y1690" s="168">
        <f t="shared" si="6"/>
        <v>0</v>
      </c>
      <c r="Z1690" s="168">
        <f t="shared" si="7"/>
        <v>0</v>
      </c>
      <c r="AA1690" s="168">
        <f t="shared" si="8"/>
        <v>0</v>
      </c>
      <c r="AB1690" s="168">
        <f t="shared" si="9"/>
        <v>586.59</v>
      </c>
    </row>
    <row r="1691" ht="14.25" customHeight="1">
      <c r="A1691" s="157" t="s">
        <v>8883</v>
      </c>
      <c r="B1691" s="169" t="s">
        <v>39</v>
      </c>
      <c r="C1691" s="169" t="s">
        <v>8881</v>
      </c>
      <c r="D1691" s="336">
        <v>44670.0</v>
      </c>
      <c r="E1691" s="157" t="s">
        <v>600</v>
      </c>
      <c r="F1691" s="160">
        <v>1062.44</v>
      </c>
      <c r="G1691" s="160">
        <v>169.99</v>
      </c>
      <c r="H1691" s="160">
        <f t="shared" si="57"/>
        <v>1232.43</v>
      </c>
      <c r="I1691" s="172"/>
      <c r="J1691" s="169"/>
      <c r="K1691" s="172"/>
      <c r="L1691" s="172">
        <f>+'FACUS$'!$H1691-'FACUS$'!$I1691-'FACUS$'!$K1691</f>
        <v>1232.43</v>
      </c>
      <c r="M1691" s="162" t="s">
        <v>570</v>
      </c>
      <c r="N1691" s="337" t="s">
        <v>554</v>
      </c>
      <c r="O1691" s="338">
        <v>44680.0</v>
      </c>
      <c r="P1691" s="164">
        <f t="array" ref="P1691">XLOOKUP('FACUS$'!$B1691,'perfil de pagos'!$A$4:$A$46,'perfil de pagos'!$C$4:$C$46+'FACUS$'!$D1691)</f>
        <v>44680</v>
      </c>
      <c r="Q1691" s="165">
        <f t="shared" si="2"/>
        <v>0</v>
      </c>
      <c r="R1691" s="167"/>
      <c r="S1691" s="167"/>
      <c r="T1691" s="167"/>
      <c r="U1691" s="334" t="s">
        <v>7271</v>
      </c>
      <c r="V1691" s="168">
        <f t="shared" si="3"/>
        <v>1232.43</v>
      </c>
      <c r="W1691" s="168">
        <f t="shared" si="4"/>
        <v>0</v>
      </c>
      <c r="X1691" s="168">
        <f t="shared" si="5"/>
        <v>0</v>
      </c>
      <c r="Y1691" s="168">
        <f t="shared" si="6"/>
        <v>0</v>
      </c>
      <c r="Z1691" s="168">
        <f t="shared" si="7"/>
        <v>0</v>
      </c>
      <c r="AA1691" s="168">
        <f t="shared" si="8"/>
        <v>0</v>
      </c>
      <c r="AB1691" s="168">
        <f t="shared" si="9"/>
        <v>0</v>
      </c>
    </row>
    <row r="1692" ht="14.25" customHeight="1">
      <c r="A1692" s="157" t="s">
        <v>8884</v>
      </c>
      <c r="B1692" s="169" t="s">
        <v>39</v>
      </c>
      <c r="C1692" s="169" t="s">
        <v>8885</v>
      </c>
      <c r="D1692" s="336">
        <v>44671.0</v>
      </c>
      <c r="E1692" s="157" t="s">
        <v>600</v>
      </c>
      <c r="F1692" s="160">
        <v>24926.89</v>
      </c>
      <c r="G1692" s="160">
        <v>3988.3</v>
      </c>
      <c r="H1692" s="160">
        <f t="shared" si="57"/>
        <v>28915.19</v>
      </c>
      <c r="I1692" s="172"/>
      <c r="J1692" s="169"/>
      <c r="K1692" s="172"/>
      <c r="L1692" s="172">
        <f>+'FACUS$'!$H1692-'FACUS$'!$I1692-'FACUS$'!$K1692</f>
        <v>28915.19</v>
      </c>
      <c r="M1692" s="162" t="s">
        <v>570</v>
      </c>
      <c r="N1692" s="337" t="s">
        <v>554</v>
      </c>
      <c r="O1692" s="338">
        <v>44680.0</v>
      </c>
      <c r="P1692" s="164">
        <f t="array" ref="P1692">XLOOKUP('FACUS$'!$B1692,'perfil de pagos'!$A$4:$A$46,'perfil de pagos'!$C$4:$C$46+'FACUS$'!$D1692)</f>
        <v>44681</v>
      </c>
      <c r="Q1692" s="165">
        <f t="shared" si="2"/>
        <v>0</v>
      </c>
      <c r="R1692" s="167"/>
      <c r="S1692" s="167"/>
      <c r="T1692" s="167"/>
      <c r="U1692" s="334" t="s">
        <v>7271</v>
      </c>
      <c r="V1692" s="168">
        <f t="shared" si="3"/>
        <v>28915.19</v>
      </c>
      <c r="W1692" s="168">
        <f t="shared" si="4"/>
        <v>0</v>
      </c>
      <c r="X1692" s="168">
        <f t="shared" si="5"/>
        <v>0</v>
      </c>
      <c r="Y1692" s="168">
        <f t="shared" si="6"/>
        <v>0</v>
      </c>
      <c r="Z1692" s="168">
        <f t="shared" si="7"/>
        <v>0</v>
      </c>
      <c r="AA1692" s="168">
        <f t="shared" si="8"/>
        <v>0</v>
      </c>
      <c r="AB1692" s="168">
        <f t="shared" si="9"/>
        <v>0</v>
      </c>
    </row>
    <row r="1693" ht="14.25" customHeight="1">
      <c r="A1693" s="157" t="s">
        <v>8886</v>
      </c>
      <c r="B1693" s="169" t="s">
        <v>39</v>
      </c>
      <c r="C1693" s="169" t="s">
        <v>3765</v>
      </c>
      <c r="D1693" s="336">
        <v>44671.0</v>
      </c>
      <c r="E1693" s="157" t="s">
        <v>600</v>
      </c>
      <c r="F1693" s="160">
        <v>16575.73</v>
      </c>
      <c r="G1693" s="160">
        <v>2652.12</v>
      </c>
      <c r="H1693" s="160">
        <f t="shared" si="57"/>
        <v>19227.85</v>
      </c>
      <c r="I1693" s="172"/>
      <c r="J1693" s="169"/>
      <c r="K1693" s="172"/>
      <c r="L1693" s="172">
        <f>+'FACUS$'!$H1693-'FACUS$'!$I1693-'FACUS$'!$K1693</f>
        <v>19227.85</v>
      </c>
      <c r="M1693" s="162" t="s">
        <v>570</v>
      </c>
      <c r="N1693" s="337" t="s">
        <v>554</v>
      </c>
      <c r="O1693" s="338">
        <v>44680.0</v>
      </c>
      <c r="P1693" s="164">
        <f t="array" ref="P1693">XLOOKUP('FACUS$'!$B1693,'perfil de pagos'!$A$4:$A$46,'perfil de pagos'!$C$4:$C$46+'FACUS$'!$D1693)</f>
        <v>44681</v>
      </c>
      <c r="Q1693" s="165">
        <f t="shared" si="2"/>
        <v>0</v>
      </c>
      <c r="R1693" s="167"/>
      <c r="S1693" s="167"/>
      <c r="T1693" s="167"/>
      <c r="U1693" s="334" t="s">
        <v>7271</v>
      </c>
      <c r="V1693" s="168">
        <f t="shared" si="3"/>
        <v>19227.85</v>
      </c>
      <c r="W1693" s="168">
        <f t="shared" si="4"/>
        <v>0</v>
      </c>
      <c r="X1693" s="168">
        <f t="shared" si="5"/>
        <v>0</v>
      </c>
      <c r="Y1693" s="168">
        <f t="shared" si="6"/>
        <v>0</v>
      </c>
      <c r="Z1693" s="168">
        <f t="shared" si="7"/>
        <v>0</v>
      </c>
      <c r="AA1693" s="168">
        <f t="shared" si="8"/>
        <v>0</v>
      </c>
      <c r="AB1693" s="168">
        <f t="shared" si="9"/>
        <v>0</v>
      </c>
    </row>
    <row r="1694" ht="14.25" customHeight="1">
      <c r="A1694" s="157" t="s">
        <v>8887</v>
      </c>
      <c r="B1694" s="169" t="s">
        <v>35</v>
      </c>
      <c r="C1694" s="169" t="s">
        <v>3765</v>
      </c>
      <c r="D1694" s="336">
        <v>44671.0</v>
      </c>
      <c r="E1694" s="157" t="s">
        <v>600</v>
      </c>
      <c r="F1694" s="160">
        <v>11931.13</v>
      </c>
      <c r="G1694" s="160">
        <v>1908.98</v>
      </c>
      <c r="H1694" s="160">
        <f t="shared" si="57"/>
        <v>13840.11</v>
      </c>
      <c r="I1694" s="172"/>
      <c r="J1694" s="169"/>
      <c r="K1694" s="172"/>
      <c r="L1694" s="172">
        <f>+'FACUS$'!$H1694-'FACUS$'!$I1694-'FACUS$'!$K1694</f>
        <v>13840.11</v>
      </c>
      <c r="M1694" s="162" t="s">
        <v>276</v>
      </c>
      <c r="N1694" s="337" t="s">
        <v>554</v>
      </c>
      <c r="O1694" s="338">
        <v>44700.0</v>
      </c>
      <c r="P1694" s="164">
        <f t="array" ref="P1694">XLOOKUP('FACUS$'!$B1694,'perfil de pagos'!$A$4:$A$46,'perfil de pagos'!$C$4:$C$46+'FACUS$'!$D1694)</f>
        <v>44681</v>
      </c>
      <c r="Q1694" s="165">
        <f t="shared" si="2"/>
        <v>0</v>
      </c>
      <c r="R1694" s="167"/>
      <c r="S1694" s="167"/>
      <c r="T1694" s="167"/>
      <c r="U1694" s="334" t="s">
        <v>7271</v>
      </c>
      <c r="V1694" s="168">
        <f t="shared" si="3"/>
        <v>13840.11</v>
      </c>
      <c r="W1694" s="168">
        <f t="shared" si="4"/>
        <v>0</v>
      </c>
      <c r="X1694" s="168">
        <f t="shared" si="5"/>
        <v>0</v>
      </c>
      <c r="Y1694" s="168">
        <f t="shared" si="6"/>
        <v>0</v>
      </c>
      <c r="Z1694" s="168">
        <f t="shared" si="7"/>
        <v>0</v>
      </c>
      <c r="AA1694" s="168">
        <f t="shared" si="8"/>
        <v>0</v>
      </c>
      <c r="AB1694" s="168">
        <f t="shared" si="9"/>
        <v>0</v>
      </c>
    </row>
    <row r="1695" ht="15.0" customHeight="1">
      <c r="A1695" s="157" t="s">
        <v>8888</v>
      </c>
      <c r="B1695" s="169" t="s">
        <v>33</v>
      </c>
      <c r="C1695" s="169" t="s">
        <v>3765</v>
      </c>
      <c r="D1695" s="336">
        <v>44671.0</v>
      </c>
      <c r="E1695" s="157" t="s">
        <v>600</v>
      </c>
      <c r="F1695" s="160">
        <v>36721.0</v>
      </c>
      <c r="G1695" s="160">
        <v>5875.36</v>
      </c>
      <c r="H1695" s="160">
        <f t="shared" si="57"/>
        <v>42596.36</v>
      </c>
      <c r="I1695" s="172"/>
      <c r="J1695" s="169"/>
      <c r="K1695" s="172"/>
      <c r="L1695" s="172">
        <f>+'FACUS$'!$H1695-'FACUS$'!$I1695-'FACUS$'!$K1695</f>
        <v>42596.36</v>
      </c>
      <c r="M1695" s="162" t="s">
        <v>958</v>
      </c>
      <c r="N1695" s="337" t="s">
        <v>554</v>
      </c>
      <c r="O1695" s="338">
        <v>44694.0</v>
      </c>
      <c r="P1695" s="164">
        <f t="array" ref="P1695">XLOOKUP('FACUS$'!$B1695,'perfil de pagos'!$A$4:$A$46,'perfil de pagos'!$C$4:$C$46+'FACUS$'!$D1695)</f>
        <v>44681</v>
      </c>
      <c r="Q1695" s="165">
        <f t="shared" si="2"/>
        <v>0</v>
      </c>
      <c r="R1695" s="167"/>
      <c r="S1695" s="167"/>
      <c r="T1695" s="167"/>
      <c r="U1695" s="334" t="s">
        <v>7271</v>
      </c>
      <c r="V1695" s="168">
        <f t="shared" si="3"/>
        <v>42596.36</v>
      </c>
      <c r="W1695" s="168">
        <f t="shared" si="4"/>
        <v>0</v>
      </c>
      <c r="X1695" s="168">
        <f t="shared" si="5"/>
        <v>0</v>
      </c>
      <c r="Y1695" s="168">
        <f t="shared" si="6"/>
        <v>0</v>
      </c>
      <c r="Z1695" s="168">
        <f t="shared" si="7"/>
        <v>0</v>
      </c>
      <c r="AA1695" s="168">
        <f t="shared" si="8"/>
        <v>0</v>
      </c>
      <c r="AB1695" s="168">
        <f t="shared" si="9"/>
        <v>0</v>
      </c>
    </row>
    <row r="1696" ht="15.0" customHeight="1">
      <c r="A1696" s="157" t="s">
        <v>8889</v>
      </c>
      <c r="B1696" s="169" t="s">
        <v>36</v>
      </c>
      <c r="C1696" s="169" t="s">
        <v>3765</v>
      </c>
      <c r="D1696" s="336">
        <v>44671.0</v>
      </c>
      <c r="E1696" s="157" t="s">
        <v>600</v>
      </c>
      <c r="F1696" s="160">
        <v>2886.88</v>
      </c>
      <c r="G1696" s="160">
        <v>461.9</v>
      </c>
      <c r="H1696" s="160">
        <f t="shared" si="57"/>
        <v>3348.78</v>
      </c>
      <c r="I1696" s="172"/>
      <c r="J1696" s="169"/>
      <c r="K1696" s="172"/>
      <c r="L1696" s="172">
        <f>+'FACUS$'!$H1696-'FACUS$'!$I1696-'FACUS$'!$K1696</f>
        <v>3348.78</v>
      </c>
      <c r="M1696" s="162" t="s">
        <v>278</v>
      </c>
      <c r="N1696" s="337" t="s">
        <v>554</v>
      </c>
      <c r="O1696" s="338">
        <v>44680.0</v>
      </c>
      <c r="P1696" s="164">
        <f t="array" ref="P1696">XLOOKUP('FACUS$'!$B1696,'perfil de pagos'!$A$4:$A$46,'perfil de pagos'!$C$4:$C$46+'FACUS$'!$D1696)</f>
        <v>44681</v>
      </c>
      <c r="Q1696" s="165">
        <f t="shared" si="2"/>
        <v>0</v>
      </c>
      <c r="R1696" s="220" t="s">
        <v>8890</v>
      </c>
      <c r="S1696" s="167">
        <v>1401.0</v>
      </c>
      <c r="T1696" s="167"/>
      <c r="U1696" s="334" t="s">
        <v>7271</v>
      </c>
      <c r="V1696" s="168">
        <f t="shared" si="3"/>
        <v>3348.78</v>
      </c>
      <c r="W1696" s="168">
        <f t="shared" si="4"/>
        <v>0</v>
      </c>
      <c r="X1696" s="168">
        <f t="shared" si="5"/>
        <v>0</v>
      </c>
      <c r="Y1696" s="168">
        <f t="shared" si="6"/>
        <v>0</v>
      </c>
      <c r="Z1696" s="168">
        <f t="shared" si="7"/>
        <v>0</v>
      </c>
      <c r="AA1696" s="168">
        <f t="shared" si="8"/>
        <v>0</v>
      </c>
      <c r="AB1696" s="168">
        <f t="shared" si="9"/>
        <v>0</v>
      </c>
    </row>
    <row r="1697" ht="15.0" customHeight="1">
      <c r="A1697" s="157" t="s">
        <v>8891</v>
      </c>
      <c r="B1697" s="169" t="s">
        <v>41</v>
      </c>
      <c r="C1697" s="169" t="s">
        <v>3765</v>
      </c>
      <c r="D1697" s="336">
        <v>44671.0</v>
      </c>
      <c r="E1697" s="157" t="s">
        <v>600</v>
      </c>
      <c r="F1697" s="160">
        <v>28836.44</v>
      </c>
      <c r="G1697" s="160">
        <v>4613.83</v>
      </c>
      <c r="H1697" s="160">
        <f>F1697+G1697-20000</f>
        <v>13450.27</v>
      </c>
      <c r="I1697" s="172"/>
      <c r="J1697" s="169"/>
      <c r="K1697" s="172"/>
      <c r="L1697" s="172">
        <f>+'FACUS$'!$H1697-'FACUS$'!$I1697-'FACUS$'!$K1697</f>
        <v>13450.27</v>
      </c>
      <c r="M1697" s="162" t="s">
        <v>875</v>
      </c>
      <c r="N1697" s="337" t="s">
        <v>554</v>
      </c>
      <c r="O1697" s="338">
        <v>44762.0</v>
      </c>
      <c r="P1697" s="164">
        <f t="array" ref="P1697">XLOOKUP('FACUS$'!$B1697,'perfil de pagos'!$A$4:$A$46,'perfil de pagos'!$C$4:$C$46+'FACUS$'!$D1697)</f>
        <v>44681</v>
      </c>
      <c r="Q1697" s="165">
        <f t="shared" si="2"/>
        <v>0</v>
      </c>
      <c r="R1697" s="220" t="s">
        <v>8892</v>
      </c>
      <c r="S1697" s="167">
        <v>1499.0</v>
      </c>
      <c r="T1697" s="167"/>
      <c r="U1697" s="334" t="s">
        <v>7271</v>
      </c>
      <c r="V1697" s="168">
        <f t="shared" si="3"/>
        <v>13450.27</v>
      </c>
      <c r="W1697" s="168">
        <f t="shared" si="4"/>
        <v>0</v>
      </c>
      <c r="X1697" s="168">
        <f t="shared" si="5"/>
        <v>0</v>
      </c>
      <c r="Y1697" s="168">
        <f t="shared" si="6"/>
        <v>0</v>
      </c>
      <c r="Z1697" s="168">
        <f t="shared" si="7"/>
        <v>0</v>
      </c>
      <c r="AA1697" s="168">
        <f t="shared" si="8"/>
        <v>0</v>
      </c>
      <c r="AB1697" s="168">
        <f t="shared" si="9"/>
        <v>0</v>
      </c>
    </row>
    <row r="1698" ht="15.0" customHeight="1">
      <c r="A1698" s="210" t="s">
        <v>8893</v>
      </c>
      <c r="B1698" s="189" t="s">
        <v>43</v>
      </c>
      <c r="C1698" s="189" t="s">
        <v>3765</v>
      </c>
      <c r="D1698" s="375">
        <v>44671.0</v>
      </c>
      <c r="E1698" s="210" t="s">
        <v>600</v>
      </c>
      <c r="F1698" s="211">
        <v>28110.87</v>
      </c>
      <c r="G1698" s="211">
        <v>4497.74</v>
      </c>
      <c r="H1698" s="211">
        <f>F1698+G1698-32608.61</f>
        <v>0</v>
      </c>
      <c r="I1698" s="188"/>
      <c r="J1698" s="189"/>
      <c r="K1698" s="188"/>
      <c r="L1698" s="188">
        <f>+'FACUS$'!$H1698-'FACUS$'!$I1698-'FACUS$'!$K1698</f>
        <v>0</v>
      </c>
      <c r="M1698" s="227" t="s">
        <v>43</v>
      </c>
      <c r="N1698" s="376" t="s">
        <v>127</v>
      </c>
      <c r="O1698" s="377"/>
      <c r="P1698" s="245">
        <f t="array" ref="P1698">XLOOKUP('FACUS$'!$B1698,'perfil de pagos'!$A$4:$A$46,'perfil de pagos'!$C$4:$C$46+'FACUS$'!$D1698)</f>
        <v>44696</v>
      </c>
      <c r="Q1698" s="246" t="str">
        <f t="shared" si="2"/>
        <v>N/A</v>
      </c>
      <c r="R1698" s="223" t="s">
        <v>8894</v>
      </c>
      <c r="S1698" s="223"/>
      <c r="T1698" s="223"/>
      <c r="U1698" s="378" t="s">
        <v>7271</v>
      </c>
      <c r="V1698" s="168">
        <f t="shared" si="3"/>
        <v>0</v>
      </c>
      <c r="W1698" s="168">
        <f t="shared" si="4"/>
        <v>0</v>
      </c>
      <c r="X1698" s="168">
        <f t="shared" si="5"/>
        <v>0</v>
      </c>
      <c r="Y1698" s="168">
        <f t="shared" si="6"/>
        <v>0</v>
      </c>
      <c r="Z1698" s="168">
        <f t="shared" si="7"/>
        <v>0</v>
      </c>
      <c r="AA1698" s="168">
        <f t="shared" si="8"/>
        <v>0</v>
      </c>
      <c r="AB1698" s="168">
        <f t="shared" si="9"/>
        <v>0</v>
      </c>
      <c r="AC1698" s="81"/>
      <c r="AD1698" s="81"/>
      <c r="AE1698" s="81"/>
    </row>
    <row r="1699" ht="15.0" customHeight="1">
      <c r="A1699" s="157" t="s">
        <v>8895</v>
      </c>
      <c r="B1699" s="169" t="s">
        <v>20</v>
      </c>
      <c r="C1699" s="169" t="s">
        <v>3765</v>
      </c>
      <c r="D1699" s="336">
        <v>44671.0</v>
      </c>
      <c r="E1699" s="157" t="s">
        <v>600</v>
      </c>
      <c r="F1699" s="160">
        <v>10703.25</v>
      </c>
      <c r="G1699" s="160">
        <v>1712.52</v>
      </c>
      <c r="H1699" s="160">
        <f t="shared" ref="H1699:H1754" si="58">F1699+G1699</f>
        <v>12415.77</v>
      </c>
      <c r="I1699" s="172"/>
      <c r="J1699" s="169"/>
      <c r="K1699" s="172"/>
      <c r="L1699" s="172">
        <f>+'FACUS$'!$H1699-'FACUS$'!$I1699-'FACUS$'!$K1699</f>
        <v>12415.77</v>
      </c>
      <c r="M1699" s="162" t="s">
        <v>732</v>
      </c>
      <c r="N1699" s="337" t="s">
        <v>554</v>
      </c>
      <c r="O1699" s="338">
        <v>44699.0</v>
      </c>
      <c r="P1699" s="164">
        <f t="array" ref="P1699">XLOOKUP('FACUS$'!$B1699,'perfil de pagos'!$A$4:$A$46,'perfil de pagos'!$C$4:$C$46+'FACUS$'!$D1699)</f>
        <v>44681</v>
      </c>
      <c r="Q1699" s="165">
        <f t="shared" si="2"/>
        <v>0</v>
      </c>
      <c r="R1699" s="167"/>
      <c r="S1699" s="167">
        <v>1380.0</v>
      </c>
      <c r="T1699" s="167"/>
      <c r="U1699" s="334" t="s">
        <v>7271</v>
      </c>
      <c r="V1699" s="168">
        <f t="shared" si="3"/>
        <v>12415.77</v>
      </c>
      <c r="W1699" s="168">
        <f t="shared" si="4"/>
        <v>0</v>
      </c>
      <c r="X1699" s="168">
        <f t="shared" si="5"/>
        <v>0</v>
      </c>
      <c r="Y1699" s="168">
        <f t="shared" si="6"/>
        <v>0</v>
      </c>
      <c r="Z1699" s="168">
        <f t="shared" si="7"/>
        <v>0</v>
      </c>
      <c r="AA1699" s="168">
        <f t="shared" si="8"/>
        <v>0</v>
      </c>
      <c r="AB1699" s="168">
        <f t="shared" si="9"/>
        <v>0</v>
      </c>
    </row>
    <row r="1700" ht="15.0" customHeight="1">
      <c r="A1700" s="157" t="s">
        <v>8896</v>
      </c>
      <c r="B1700" s="169" t="s">
        <v>18</v>
      </c>
      <c r="C1700" s="169" t="s">
        <v>3765</v>
      </c>
      <c r="D1700" s="336">
        <v>44671.0</v>
      </c>
      <c r="E1700" s="157" t="s">
        <v>600</v>
      </c>
      <c r="F1700" s="160">
        <v>8958.85</v>
      </c>
      <c r="G1700" s="160">
        <v>1433.42</v>
      </c>
      <c r="H1700" s="160">
        <f t="shared" si="58"/>
        <v>10392.27</v>
      </c>
      <c r="I1700" s="172"/>
      <c r="J1700" s="169"/>
      <c r="K1700" s="172"/>
      <c r="L1700" s="172">
        <f>+'FACUS$'!$H1700-'FACUS$'!$I1700-'FACUS$'!$K1700</f>
        <v>10392.27</v>
      </c>
      <c r="M1700" s="162" t="s">
        <v>586</v>
      </c>
      <c r="N1700" s="337" t="s">
        <v>554</v>
      </c>
      <c r="O1700" s="338">
        <v>44699.0</v>
      </c>
      <c r="P1700" s="164">
        <f t="array" ref="P1700">XLOOKUP('FACUS$'!$B1700,'perfil de pagos'!$A$4:$A$46,'perfil de pagos'!$C$4:$C$46+'FACUS$'!$D1700)</f>
        <v>44681</v>
      </c>
      <c r="Q1700" s="165">
        <f t="shared" si="2"/>
        <v>0</v>
      </c>
      <c r="R1700" s="167"/>
      <c r="S1700" s="167">
        <v>1380.0</v>
      </c>
      <c r="T1700" s="167"/>
      <c r="U1700" s="334" t="s">
        <v>7271</v>
      </c>
      <c r="V1700" s="168">
        <f t="shared" si="3"/>
        <v>10392.27</v>
      </c>
      <c r="W1700" s="168">
        <f t="shared" si="4"/>
        <v>0</v>
      </c>
      <c r="X1700" s="168">
        <f t="shared" si="5"/>
        <v>0</v>
      </c>
      <c r="Y1700" s="168">
        <f t="shared" si="6"/>
        <v>0</v>
      </c>
      <c r="Z1700" s="168">
        <f t="shared" si="7"/>
        <v>0</v>
      </c>
      <c r="AA1700" s="168">
        <f t="shared" si="8"/>
        <v>0</v>
      </c>
      <c r="AB1700" s="168">
        <f t="shared" si="9"/>
        <v>0</v>
      </c>
    </row>
    <row r="1701" ht="15.0" customHeight="1">
      <c r="A1701" s="157" t="s">
        <v>8897</v>
      </c>
      <c r="B1701" s="169" t="s">
        <v>22</v>
      </c>
      <c r="C1701" s="169" t="s">
        <v>3765</v>
      </c>
      <c r="D1701" s="336">
        <v>44671.0</v>
      </c>
      <c r="E1701" s="157" t="s">
        <v>600</v>
      </c>
      <c r="F1701" s="160">
        <v>7748.92</v>
      </c>
      <c r="G1701" s="160">
        <v>1239.83</v>
      </c>
      <c r="H1701" s="160">
        <f t="shared" si="58"/>
        <v>8988.75</v>
      </c>
      <c r="I1701" s="172"/>
      <c r="J1701" s="169"/>
      <c r="K1701" s="172"/>
      <c r="L1701" s="172">
        <f>+'FACUS$'!$H1701-'FACUS$'!$I1701-'FACUS$'!$K1701</f>
        <v>8988.75</v>
      </c>
      <c r="M1701" s="162" t="s">
        <v>220</v>
      </c>
      <c r="N1701" s="337" t="s">
        <v>554</v>
      </c>
      <c r="O1701" s="338">
        <v>44727.0</v>
      </c>
      <c r="P1701" s="164">
        <f t="array" ref="P1701">XLOOKUP('FACUS$'!$B1701,'perfil de pagos'!$A$4:$A$46,'perfil de pagos'!$C$4:$C$46+'FACUS$'!$D1701)</f>
        <v>44681</v>
      </c>
      <c r="Q1701" s="165">
        <f t="shared" si="2"/>
        <v>0</v>
      </c>
      <c r="R1701" s="167"/>
      <c r="S1701" s="167"/>
      <c r="T1701" s="167"/>
      <c r="U1701" s="334" t="s">
        <v>7271</v>
      </c>
      <c r="V1701" s="168">
        <f t="shared" si="3"/>
        <v>8988.75</v>
      </c>
      <c r="W1701" s="168">
        <f t="shared" si="4"/>
        <v>0</v>
      </c>
      <c r="X1701" s="168">
        <f t="shared" si="5"/>
        <v>0</v>
      </c>
      <c r="Y1701" s="168">
        <f t="shared" si="6"/>
        <v>0</v>
      </c>
      <c r="Z1701" s="168">
        <f t="shared" si="7"/>
        <v>0</v>
      </c>
      <c r="AA1701" s="168">
        <f t="shared" si="8"/>
        <v>0</v>
      </c>
      <c r="AB1701" s="168">
        <f t="shared" si="9"/>
        <v>0</v>
      </c>
    </row>
    <row r="1702" ht="15.0" customHeight="1">
      <c r="A1702" s="157" t="s">
        <v>8898</v>
      </c>
      <c r="B1702" s="169" t="s">
        <v>26</v>
      </c>
      <c r="C1702" s="169" t="s">
        <v>3765</v>
      </c>
      <c r="D1702" s="336">
        <v>44671.0</v>
      </c>
      <c r="E1702" s="157" t="s">
        <v>600</v>
      </c>
      <c r="F1702" s="160">
        <v>6143.82</v>
      </c>
      <c r="G1702" s="160">
        <v>983.01</v>
      </c>
      <c r="H1702" s="160">
        <f t="shared" si="58"/>
        <v>7126.83</v>
      </c>
      <c r="I1702" s="172">
        <v>5776.4</v>
      </c>
      <c r="J1702" s="169"/>
      <c r="K1702" s="172"/>
      <c r="L1702" s="172">
        <f>+'FACUS$'!$H1702-'FACUS$'!$I1702-'FACUS$'!$K1702</f>
        <v>1350.43</v>
      </c>
      <c r="M1702" s="162" t="s">
        <v>2386</v>
      </c>
      <c r="N1702" s="337" t="s">
        <v>554</v>
      </c>
      <c r="O1702" s="338">
        <v>45293.0</v>
      </c>
      <c r="P1702" s="164">
        <f t="array" ref="P1702">XLOOKUP('FACUS$'!$B1702,'perfil de pagos'!$A$4:$A$46,'perfil de pagos'!$C$4:$C$46+'FACUS$'!$D1702)</f>
        <v>44701</v>
      </c>
      <c r="Q1702" s="165">
        <f t="shared" si="2"/>
        <v>0</v>
      </c>
      <c r="R1702" s="220" t="s">
        <v>8899</v>
      </c>
      <c r="S1702" s="167" t="s">
        <v>8900</v>
      </c>
      <c r="T1702" s="167"/>
      <c r="U1702" s="334" t="s">
        <v>7271</v>
      </c>
      <c r="V1702" s="168">
        <f t="shared" si="3"/>
        <v>1350.43</v>
      </c>
      <c r="W1702" s="168">
        <f t="shared" si="4"/>
        <v>0</v>
      </c>
      <c r="X1702" s="168">
        <f t="shared" si="5"/>
        <v>0</v>
      </c>
      <c r="Y1702" s="168">
        <f t="shared" si="6"/>
        <v>0</v>
      </c>
      <c r="Z1702" s="168">
        <f t="shared" si="7"/>
        <v>0</v>
      </c>
      <c r="AA1702" s="168">
        <f t="shared" si="8"/>
        <v>0</v>
      </c>
      <c r="AB1702" s="168">
        <f t="shared" si="9"/>
        <v>0</v>
      </c>
    </row>
    <row r="1703" ht="15.0" customHeight="1">
      <c r="A1703" s="157" t="s">
        <v>8901</v>
      </c>
      <c r="B1703" s="169" t="s">
        <v>37</v>
      </c>
      <c r="C1703" s="169" t="s">
        <v>3765</v>
      </c>
      <c r="D1703" s="336">
        <v>44671.0</v>
      </c>
      <c r="E1703" s="157" t="s">
        <v>600</v>
      </c>
      <c r="F1703" s="160">
        <v>79758.23</v>
      </c>
      <c r="G1703" s="160">
        <v>12761.32</v>
      </c>
      <c r="H1703" s="160">
        <f t="shared" si="58"/>
        <v>92519.55</v>
      </c>
      <c r="I1703" s="172"/>
      <c r="J1703" s="169"/>
      <c r="K1703" s="172"/>
      <c r="L1703" s="172">
        <f>+'FACUS$'!$H1703-'FACUS$'!$I1703-'FACUS$'!$K1703</f>
        <v>92519.55</v>
      </c>
      <c r="M1703" s="162" t="s">
        <v>116</v>
      </c>
      <c r="N1703" s="337" t="s">
        <v>554</v>
      </c>
      <c r="O1703" s="338">
        <v>44690.0</v>
      </c>
      <c r="P1703" s="164">
        <f t="array" ref="P1703">XLOOKUP('FACUS$'!$B1703,'perfil de pagos'!$A$4:$A$46,'perfil de pagos'!$C$4:$C$46+'FACUS$'!$D1703)</f>
        <v>44681</v>
      </c>
      <c r="Q1703" s="165">
        <f t="shared" si="2"/>
        <v>0</v>
      </c>
      <c r="R1703" s="247" t="s">
        <v>8902</v>
      </c>
      <c r="S1703" s="167"/>
      <c r="T1703" s="167"/>
      <c r="U1703" s="334" t="s">
        <v>7271</v>
      </c>
      <c r="V1703" s="168">
        <f t="shared" si="3"/>
        <v>92519.55</v>
      </c>
      <c r="W1703" s="168">
        <f t="shared" si="4"/>
        <v>0</v>
      </c>
      <c r="X1703" s="168">
        <f t="shared" si="5"/>
        <v>0</v>
      </c>
      <c r="Y1703" s="168">
        <f t="shared" si="6"/>
        <v>0</v>
      </c>
      <c r="Z1703" s="168">
        <f t="shared" si="7"/>
        <v>0</v>
      </c>
      <c r="AA1703" s="168">
        <f t="shared" si="8"/>
        <v>0</v>
      </c>
      <c r="AB1703" s="168">
        <f t="shared" si="9"/>
        <v>0</v>
      </c>
    </row>
    <row r="1704" ht="15.0" customHeight="1">
      <c r="A1704" s="157" t="s">
        <v>8903</v>
      </c>
      <c r="B1704" s="169" t="s">
        <v>38</v>
      </c>
      <c r="C1704" s="169" t="s">
        <v>3765</v>
      </c>
      <c r="D1704" s="336">
        <v>44671.0</v>
      </c>
      <c r="E1704" s="157" t="s">
        <v>600</v>
      </c>
      <c r="F1704" s="160">
        <v>8342.28</v>
      </c>
      <c r="G1704" s="160">
        <v>1334.76</v>
      </c>
      <c r="H1704" s="160">
        <f t="shared" si="58"/>
        <v>9677.04</v>
      </c>
      <c r="I1704" s="172"/>
      <c r="J1704" s="169"/>
      <c r="K1704" s="172"/>
      <c r="L1704" s="172">
        <f>+'FACUS$'!$H1704-'FACUS$'!$I1704-'FACUS$'!$K1704</f>
        <v>9677.04</v>
      </c>
      <c r="M1704" s="162" t="s">
        <v>145</v>
      </c>
      <c r="N1704" s="337" t="s">
        <v>554</v>
      </c>
      <c r="O1704" s="338">
        <v>44729.0</v>
      </c>
      <c r="P1704" s="164">
        <f t="array" ref="P1704">XLOOKUP('FACUS$'!$B1704,'perfil de pagos'!$A$4:$A$46,'perfil de pagos'!$C$4:$C$46+'FACUS$'!$D1704)</f>
        <v>44701</v>
      </c>
      <c r="Q1704" s="165">
        <f t="shared" si="2"/>
        <v>0</v>
      </c>
      <c r="R1704" s="387" t="s">
        <v>8904</v>
      </c>
      <c r="S1704" s="167"/>
      <c r="T1704" s="167"/>
      <c r="U1704" s="334" t="s">
        <v>7271</v>
      </c>
      <c r="V1704" s="168">
        <f t="shared" si="3"/>
        <v>9677.04</v>
      </c>
      <c r="W1704" s="168">
        <f t="shared" si="4"/>
        <v>0</v>
      </c>
      <c r="X1704" s="168">
        <f t="shared" si="5"/>
        <v>0</v>
      </c>
      <c r="Y1704" s="168">
        <f t="shared" si="6"/>
        <v>0</v>
      </c>
      <c r="Z1704" s="168">
        <f t="shared" si="7"/>
        <v>0</v>
      </c>
      <c r="AA1704" s="168">
        <f t="shared" si="8"/>
        <v>0</v>
      </c>
      <c r="AB1704" s="168">
        <f t="shared" si="9"/>
        <v>0</v>
      </c>
    </row>
    <row r="1705" ht="15.0" customHeight="1">
      <c r="A1705" s="157" t="s">
        <v>8905</v>
      </c>
      <c r="B1705" s="169" t="s">
        <v>39</v>
      </c>
      <c r="C1705" s="169" t="s">
        <v>8906</v>
      </c>
      <c r="D1705" s="317">
        <v>44684.0</v>
      </c>
      <c r="E1705" s="157" t="s">
        <v>600</v>
      </c>
      <c r="F1705" s="160">
        <v>28272.94</v>
      </c>
      <c r="G1705" s="160">
        <v>4523.67</v>
      </c>
      <c r="H1705" s="160">
        <f t="shared" si="58"/>
        <v>32796.61</v>
      </c>
      <c r="I1705" s="172"/>
      <c r="J1705" s="169"/>
      <c r="K1705" s="172"/>
      <c r="L1705" s="172">
        <f>+'FACUS$'!$H1705-'FACUS$'!$I1705-'FACUS$'!$K1705</f>
        <v>32796.61</v>
      </c>
      <c r="M1705" s="162" t="s">
        <v>570</v>
      </c>
      <c r="N1705" s="337" t="s">
        <v>554</v>
      </c>
      <c r="O1705" s="338">
        <v>44694.0</v>
      </c>
      <c r="P1705" s="164">
        <f t="array" ref="P1705">XLOOKUP('FACUS$'!$B1705,'perfil de pagos'!$A$4:$A$46,'perfil de pagos'!$C$4:$C$46+'FACUS$'!$D1705)</f>
        <v>44694</v>
      </c>
      <c r="Q1705" s="165">
        <f t="shared" si="2"/>
        <v>0</v>
      </c>
      <c r="R1705" s="167"/>
      <c r="S1705" s="167"/>
      <c r="T1705" s="167"/>
      <c r="U1705" s="334" t="s">
        <v>7271</v>
      </c>
      <c r="V1705" s="168">
        <f t="shared" si="3"/>
        <v>32796.61</v>
      </c>
      <c r="W1705" s="168">
        <f t="shared" si="4"/>
        <v>0</v>
      </c>
      <c r="X1705" s="168">
        <f t="shared" si="5"/>
        <v>0</v>
      </c>
      <c r="Y1705" s="168">
        <f t="shared" si="6"/>
        <v>0</v>
      </c>
      <c r="Z1705" s="168">
        <f t="shared" si="7"/>
        <v>0</v>
      </c>
      <c r="AA1705" s="168">
        <f t="shared" si="8"/>
        <v>0</v>
      </c>
      <c r="AB1705" s="168">
        <f t="shared" si="9"/>
        <v>0</v>
      </c>
    </row>
    <row r="1706" ht="15.0" customHeight="1">
      <c r="A1706" s="157" t="s">
        <v>8907</v>
      </c>
      <c r="B1706" s="169" t="s">
        <v>39</v>
      </c>
      <c r="C1706" s="169" t="s">
        <v>3799</v>
      </c>
      <c r="D1706" s="317">
        <v>44684.0</v>
      </c>
      <c r="E1706" s="157" t="s">
        <v>600</v>
      </c>
      <c r="F1706" s="160">
        <v>16836.55</v>
      </c>
      <c r="G1706" s="160">
        <v>2693.85</v>
      </c>
      <c r="H1706" s="160">
        <f t="shared" si="58"/>
        <v>19530.4</v>
      </c>
      <c r="I1706" s="172"/>
      <c r="J1706" s="169"/>
      <c r="K1706" s="172"/>
      <c r="L1706" s="172">
        <f>+'FACUS$'!$H1706-'FACUS$'!$I1706-'FACUS$'!$K1706</f>
        <v>19530.4</v>
      </c>
      <c r="M1706" s="162" t="s">
        <v>570</v>
      </c>
      <c r="N1706" s="337" t="s">
        <v>554</v>
      </c>
      <c r="O1706" s="338">
        <v>44694.0</v>
      </c>
      <c r="P1706" s="164">
        <f t="array" ref="P1706">XLOOKUP('FACUS$'!$B1706,'perfil de pagos'!$A$4:$A$46,'perfil de pagos'!$C$4:$C$46+'FACUS$'!$D1706)</f>
        <v>44694</v>
      </c>
      <c r="Q1706" s="165">
        <f t="shared" si="2"/>
        <v>0</v>
      </c>
      <c r="R1706" s="167"/>
      <c r="S1706" s="167"/>
      <c r="T1706" s="167"/>
      <c r="U1706" s="334" t="s">
        <v>7271</v>
      </c>
      <c r="V1706" s="168">
        <f t="shared" si="3"/>
        <v>19530.4</v>
      </c>
      <c r="W1706" s="168">
        <f t="shared" si="4"/>
        <v>0</v>
      </c>
      <c r="X1706" s="168">
        <f t="shared" si="5"/>
        <v>0</v>
      </c>
      <c r="Y1706" s="168">
        <f t="shared" si="6"/>
        <v>0</v>
      </c>
      <c r="Z1706" s="168">
        <f t="shared" si="7"/>
        <v>0</v>
      </c>
      <c r="AA1706" s="168">
        <f t="shared" si="8"/>
        <v>0</v>
      </c>
      <c r="AB1706" s="168">
        <f t="shared" si="9"/>
        <v>0</v>
      </c>
    </row>
    <row r="1707" ht="15.0" customHeight="1">
      <c r="A1707" s="157" t="s">
        <v>8908</v>
      </c>
      <c r="B1707" s="169" t="s">
        <v>35</v>
      </c>
      <c r="C1707" s="169" t="s">
        <v>3799</v>
      </c>
      <c r="D1707" s="317">
        <v>44684.0</v>
      </c>
      <c r="E1707" s="157" t="s">
        <v>600</v>
      </c>
      <c r="F1707" s="160">
        <v>10115.5</v>
      </c>
      <c r="G1707" s="160">
        <v>1618.48</v>
      </c>
      <c r="H1707" s="160">
        <f t="shared" si="58"/>
        <v>11733.98</v>
      </c>
      <c r="I1707" s="172"/>
      <c r="J1707" s="169"/>
      <c r="K1707" s="172"/>
      <c r="L1707" s="172">
        <f>+'FACUS$'!$H1707-'FACUS$'!$I1707-'FACUS$'!$K1707</f>
        <v>11733.98</v>
      </c>
      <c r="M1707" s="162" t="s">
        <v>276</v>
      </c>
      <c r="N1707" s="337" t="s">
        <v>554</v>
      </c>
      <c r="O1707" s="338">
        <v>44722.0</v>
      </c>
      <c r="P1707" s="164">
        <f t="array" ref="P1707">XLOOKUP('FACUS$'!$B1707,'perfil de pagos'!$A$4:$A$46,'perfil de pagos'!$C$4:$C$46+'FACUS$'!$D1707)</f>
        <v>44694</v>
      </c>
      <c r="Q1707" s="165">
        <f t="shared" si="2"/>
        <v>0</v>
      </c>
      <c r="R1707" s="167"/>
      <c r="S1707" s="167"/>
      <c r="T1707" s="167"/>
      <c r="U1707" s="334" t="s">
        <v>7271</v>
      </c>
      <c r="V1707" s="168">
        <f t="shared" si="3"/>
        <v>11733.98</v>
      </c>
      <c r="W1707" s="168">
        <f t="shared" si="4"/>
        <v>0</v>
      </c>
      <c r="X1707" s="168">
        <f t="shared" si="5"/>
        <v>0</v>
      </c>
      <c r="Y1707" s="168">
        <f t="shared" si="6"/>
        <v>0</v>
      </c>
      <c r="Z1707" s="168">
        <f t="shared" si="7"/>
        <v>0</v>
      </c>
      <c r="AA1707" s="168">
        <f t="shared" si="8"/>
        <v>0</v>
      </c>
      <c r="AB1707" s="168">
        <f t="shared" si="9"/>
        <v>0</v>
      </c>
    </row>
    <row r="1708" ht="15.0" customHeight="1">
      <c r="A1708" s="157" t="s">
        <v>8909</v>
      </c>
      <c r="B1708" s="169" t="s">
        <v>36</v>
      </c>
      <c r="C1708" s="169" t="s">
        <v>3799</v>
      </c>
      <c r="D1708" s="317">
        <v>44684.0</v>
      </c>
      <c r="E1708" s="157" t="s">
        <v>600</v>
      </c>
      <c r="F1708" s="160">
        <v>3011.63</v>
      </c>
      <c r="G1708" s="160">
        <v>481.86</v>
      </c>
      <c r="H1708" s="160">
        <f t="shared" si="58"/>
        <v>3493.49</v>
      </c>
      <c r="I1708" s="172"/>
      <c r="J1708" s="169"/>
      <c r="K1708" s="172"/>
      <c r="L1708" s="172">
        <f>+'FACUS$'!$H1708-'FACUS$'!$I1708-'FACUS$'!$K1708</f>
        <v>3493.49</v>
      </c>
      <c r="M1708" s="162" t="s">
        <v>278</v>
      </c>
      <c r="N1708" s="337" t="s">
        <v>554</v>
      </c>
      <c r="O1708" s="338">
        <v>44701.0</v>
      </c>
      <c r="P1708" s="164">
        <f t="array" ref="P1708">XLOOKUP('FACUS$'!$B1708,'perfil de pagos'!$A$4:$A$46,'perfil de pagos'!$C$4:$C$46+'FACUS$'!$D1708)</f>
        <v>44694</v>
      </c>
      <c r="Q1708" s="165">
        <f t="shared" si="2"/>
        <v>0</v>
      </c>
      <c r="R1708" s="247" t="s">
        <v>8910</v>
      </c>
      <c r="S1708" s="167">
        <v>1400.0</v>
      </c>
      <c r="T1708" s="167"/>
      <c r="U1708" s="334" t="s">
        <v>7271</v>
      </c>
      <c r="V1708" s="168">
        <f t="shared" si="3"/>
        <v>3493.49</v>
      </c>
      <c r="W1708" s="168">
        <f t="shared" si="4"/>
        <v>0</v>
      </c>
      <c r="X1708" s="168">
        <f t="shared" si="5"/>
        <v>0</v>
      </c>
      <c r="Y1708" s="168">
        <f t="shared" si="6"/>
        <v>0</v>
      </c>
      <c r="Z1708" s="168">
        <f t="shared" si="7"/>
        <v>0</v>
      </c>
      <c r="AA1708" s="168">
        <f t="shared" si="8"/>
        <v>0</v>
      </c>
      <c r="AB1708" s="168">
        <f t="shared" si="9"/>
        <v>0</v>
      </c>
    </row>
    <row r="1709" ht="15.0" customHeight="1">
      <c r="A1709" s="157" t="s">
        <v>8911</v>
      </c>
      <c r="B1709" s="169" t="s">
        <v>41</v>
      </c>
      <c r="C1709" s="169" t="s">
        <v>3799</v>
      </c>
      <c r="D1709" s="317">
        <v>44684.0</v>
      </c>
      <c r="E1709" s="157" t="s">
        <v>600</v>
      </c>
      <c r="F1709" s="160">
        <v>19257.14</v>
      </c>
      <c r="G1709" s="160">
        <v>3081.14</v>
      </c>
      <c r="H1709" s="160">
        <f t="shared" si="58"/>
        <v>22338.28</v>
      </c>
      <c r="I1709" s="172"/>
      <c r="J1709" s="169"/>
      <c r="K1709" s="172"/>
      <c r="L1709" s="172">
        <f>+'FACUS$'!$H1709-'FACUS$'!$I1709-'FACUS$'!$K1709</f>
        <v>22338.28</v>
      </c>
      <c r="M1709" s="162" t="s">
        <v>875</v>
      </c>
      <c r="N1709" s="337" t="s">
        <v>554</v>
      </c>
      <c r="O1709" s="338">
        <v>44762.0</v>
      </c>
      <c r="P1709" s="164">
        <f t="array" ref="P1709">XLOOKUP('FACUS$'!$B1709,'perfil de pagos'!$A$4:$A$46,'perfil de pagos'!$C$4:$C$46+'FACUS$'!$D1709)</f>
        <v>44694</v>
      </c>
      <c r="Q1709" s="165">
        <f t="shared" si="2"/>
        <v>0</v>
      </c>
      <c r="R1709" s="167"/>
      <c r="S1709" s="167">
        <v>1499.0</v>
      </c>
      <c r="T1709" s="167"/>
      <c r="U1709" s="334" t="s">
        <v>7271</v>
      </c>
      <c r="V1709" s="168">
        <f t="shared" si="3"/>
        <v>22338.28</v>
      </c>
      <c r="W1709" s="168">
        <f t="shared" si="4"/>
        <v>0</v>
      </c>
      <c r="X1709" s="168">
        <f t="shared" si="5"/>
        <v>0</v>
      </c>
      <c r="Y1709" s="168">
        <f t="shared" si="6"/>
        <v>0</v>
      </c>
      <c r="Z1709" s="168">
        <f t="shared" si="7"/>
        <v>0</v>
      </c>
      <c r="AA1709" s="168">
        <f t="shared" si="8"/>
        <v>0</v>
      </c>
      <c r="AB1709" s="168">
        <f t="shared" si="9"/>
        <v>0</v>
      </c>
    </row>
    <row r="1710" ht="15.0" customHeight="1">
      <c r="A1710" s="157" t="s">
        <v>8912</v>
      </c>
      <c r="B1710" s="169" t="s">
        <v>43</v>
      </c>
      <c r="C1710" s="169" t="s">
        <v>3799</v>
      </c>
      <c r="D1710" s="317">
        <v>44684.0</v>
      </c>
      <c r="E1710" s="157" t="s">
        <v>600</v>
      </c>
      <c r="F1710" s="160">
        <v>29799.35</v>
      </c>
      <c r="G1710" s="160">
        <v>4767.9</v>
      </c>
      <c r="H1710" s="160">
        <f t="shared" si="58"/>
        <v>34567.25</v>
      </c>
      <c r="I1710" s="172"/>
      <c r="J1710" s="169"/>
      <c r="K1710" s="172"/>
      <c r="L1710" s="172">
        <f>+'FACUS$'!$H1710-'FACUS$'!$I1710-'FACUS$'!$K1710</f>
        <v>34567.25</v>
      </c>
      <c r="M1710" s="162" t="s">
        <v>43</v>
      </c>
      <c r="N1710" s="337" t="s">
        <v>554</v>
      </c>
      <c r="O1710" s="338">
        <v>44711.0</v>
      </c>
      <c r="P1710" s="164">
        <f t="array" ref="P1710">XLOOKUP('FACUS$'!$B1710,'perfil de pagos'!$A$4:$A$46,'perfil de pagos'!$C$4:$C$46+'FACUS$'!$D1710)</f>
        <v>44709</v>
      </c>
      <c r="Q1710" s="165">
        <f t="shared" si="2"/>
        <v>0</v>
      </c>
      <c r="R1710" s="167"/>
      <c r="S1710" s="167">
        <v>1387.0</v>
      </c>
      <c r="T1710" s="167"/>
      <c r="U1710" s="334" t="s">
        <v>7271</v>
      </c>
      <c r="V1710" s="168">
        <f t="shared" si="3"/>
        <v>34567.25</v>
      </c>
      <c r="W1710" s="168">
        <f t="shared" si="4"/>
        <v>0</v>
      </c>
      <c r="X1710" s="168">
        <f t="shared" si="5"/>
        <v>0</v>
      </c>
      <c r="Y1710" s="168">
        <f t="shared" si="6"/>
        <v>0</v>
      </c>
      <c r="Z1710" s="168">
        <f t="shared" si="7"/>
        <v>0</v>
      </c>
      <c r="AA1710" s="168">
        <f t="shared" si="8"/>
        <v>0</v>
      </c>
      <c r="AB1710" s="168">
        <f t="shared" si="9"/>
        <v>0</v>
      </c>
    </row>
    <row r="1711" ht="15.0" customHeight="1">
      <c r="A1711" s="157" t="s">
        <v>8913</v>
      </c>
      <c r="B1711" s="169" t="s">
        <v>36</v>
      </c>
      <c r="C1711" s="169" t="s">
        <v>8914</v>
      </c>
      <c r="D1711" s="317">
        <v>44624.0</v>
      </c>
      <c r="E1711" s="157" t="s">
        <v>600</v>
      </c>
      <c r="F1711" s="160">
        <f>613.25-91.99</f>
        <v>521.26</v>
      </c>
      <c r="G1711" s="160">
        <v>83.4</v>
      </c>
      <c r="H1711" s="160">
        <f t="shared" si="58"/>
        <v>604.66</v>
      </c>
      <c r="I1711" s="172"/>
      <c r="J1711" s="169"/>
      <c r="K1711" s="172"/>
      <c r="L1711" s="172">
        <f>+'FACUS$'!$H1711-'FACUS$'!$I1711-'FACUS$'!$K1711</f>
        <v>604.66</v>
      </c>
      <c r="M1711" s="162" t="s">
        <v>278</v>
      </c>
      <c r="N1711" s="337" t="s">
        <v>554</v>
      </c>
      <c r="O1711" s="338">
        <v>44720.0</v>
      </c>
      <c r="P1711" s="164">
        <f t="array" ref="P1711">XLOOKUP('FACUS$'!$B1711,'perfil de pagos'!$A$4:$A$46,'perfil de pagos'!$C$4:$C$46+'FACUS$'!$D1711)</f>
        <v>44634</v>
      </c>
      <c r="Q1711" s="165">
        <f t="shared" si="2"/>
        <v>0</v>
      </c>
      <c r="R1711" s="220" t="s">
        <v>8915</v>
      </c>
      <c r="S1711" s="167">
        <v>1395.0</v>
      </c>
      <c r="T1711" s="167"/>
      <c r="U1711" s="334" t="s">
        <v>7271</v>
      </c>
      <c r="V1711" s="168">
        <f t="shared" si="3"/>
        <v>604.66</v>
      </c>
      <c r="W1711" s="168">
        <f t="shared" si="4"/>
        <v>0</v>
      </c>
      <c r="X1711" s="168">
        <f t="shared" si="5"/>
        <v>0</v>
      </c>
      <c r="Y1711" s="168">
        <f t="shared" si="6"/>
        <v>0</v>
      </c>
      <c r="Z1711" s="168">
        <f t="shared" si="7"/>
        <v>0</v>
      </c>
      <c r="AA1711" s="168">
        <f t="shared" si="8"/>
        <v>0</v>
      </c>
      <c r="AB1711" s="168">
        <f t="shared" si="9"/>
        <v>0</v>
      </c>
    </row>
    <row r="1712" ht="15.0" customHeight="1">
      <c r="A1712" s="157" t="s">
        <v>8916</v>
      </c>
      <c r="B1712" s="169" t="s">
        <v>18</v>
      </c>
      <c r="C1712" s="169" t="s">
        <v>3799</v>
      </c>
      <c r="D1712" s="317">
        <v>44686.0</v>
      </c>
      <c r="E1712" s="157" t="s">
        <v>600</v>
      </c>
      <c r="F1712" s="160">
        <v>8839.6</v>
      </c>
      <c r="G1712" s="160">
        <v>1414.34</v>
      </c>
      <c r="H1712" s="160">
        <f t="shared" si="58"/>
        <v>10253.94</v>
      </c>
      <c r="I1712" s="172"/>
      <c r="J1712" s="169"/>
      <c r="K1712" s="172"/>
      <c r="L1712" s="172">
        <f>+'FACUS$'!$H1712-'FACUS$'!$I1712-'FACUS$'!$K1712</f>
        <v>10253.94</v>
      </c>
      <c r="M1712" s="162" t="s">
        <v>586</v>
      </c>
      <c r="N1712" s="337" t="s">
        <v>554</v>
      </c>
      <c r="O1712" s="338">
        <v>44704.0</v>
      </c>
      <c r="P1712" s="164">
        <f t="array" ref="P1712">XLOOKUP('FACUS$'!$B1712,'perfil de pagos'!$A$4:$A$46,'perfil de pagos'!$C$4:$C$46+'FACUS$'!$D1712)</f>
        <v>44696</v>
      </c>
      <c r="Q1712" s="165">
        <f t="shared" si="2"/>
        <v>0</v>
      </c>
      <c r="R1712" s="167"/>
      <c r="S1712" s="167"/>
      <c r="T1712" s="167"/>
      <c r="U1712" s="334" t="s">
        <v>7271</v>
      </c>
      <c r="V1712" s="168">
        <f t="shared" si="3"/>
        <v>10253.94</v>
      </c>
      <c r="W1712" s="168">
        <f t="shared" si="4"/>
        <v>0</v>
      </c>
      <c r="X1712" s="168">
        <f t="shared" si="5"/>
        <v>0</v>
      </c>
      <c r="Y1712" s="168">
        <f t="shared" si="6"/>
        <v>0</v>
      </c>
      <c r="Z1712" s="168">
        <f t="shared" si="7"/>
        <v>0</v>
      </c>
      <c r="AA1712" s="168">
        <f t="shared" si="8"/>
        <v>0</v>
      </c>
      <c r="AB1712" s="168">
        <f t="shared" si="9"/>
        <v>0</v>
      </c>
    </row>
    <row r="1713" ht="15.0" customHeight="1">
      <c r="A1713" s="157" t="s">
        <v>8917</v>
      </c>
      <c r="B1713" s="169" t="s">
        <v>20</v>
      </c>
      <c r="C1713" s="169" t="s">
        <v>3799</v>
      </c>
      <c r="D1713" s="317">
        <v>44686.0</v>
      </c>
      <c r="E1713" s="157" t="s">
        <v>600</v>
      </c>
      <c r="F1713" s="160">
        <v>9696.24</v>
      </c>
      <c r="G1713" s="160">
        <v>1551.4</v>
      </c>
      <c r="H1713" s="160">
        <f t="shared" si="58"/>
        <v>11247.64</v>
      </c>
      <c r="I1713" s="172"/>
      <c r="J1713" s="169"/>
      <c r="K1713" s="172"/>
      <c r="L1713" s="172">
        <f>+'FACUS$'!$H1713-'FACUS$'!$I1713-'FACUS$'!$K1713</f>
        <v>11247.64</v>
      </c>
      <c r="M1713" s="162" t="s">
        <v>732</v>
      </c>
      <c r="N1713" s="337" t="s">
        <v>554</v>
      </c>
      <c r="O1713" s="338">
        <v>44704.0</v>
      </c>
      <c r="P1713" s="164">
        <f t="array" ref="P1713">XLOOKUP('FACUS$'!$B1713,'perfil de pagos'!$A$4:$A$46,'perfil de pagos'!$C$4:$C$46+'FACUS$'!$D1713)</f>
        <v>44696</v>
      </c>
      <c r="Q1713" s="165">
        <f t="shared" si="2"/>
        <v>0</v>
      </c>
      <c r="R1713" s="167"/>
      <c r="S1713" s="167"/>
      <c r="T1713" s="167"/>
      <c r="U1713" s="334" t="s">
        <v>7271</v>
      </c>
      <c r="V1713" s="168">
        <f t="shared" si="3"/>
        <v>11247.64</v>
      </c>
      <c r="W1713" s="168">
        <f t="shared" si="4"/>
        <v>0</v>
      </c>
      <c r="X1713" s="168">
        <f t="shared" si="5"/>
        <v>0</v>
      </c>
      <c r="Y1713" s="168">
        <f t="shared" si="6"/>
        <v>0</v>
      </c>
      <c r="Z1713" s="168">
        <f t="shared" si="7"/>
        <v>0</v>
      </c>
      <c r="AA1713" s="168">
        <f t="shared" si="8"/>
        <v>0</v>
      </c>
      <c r="AB1713" s="168">
        <f t="shared" si="9"/>
        <v>0</v>
      </c>
    </row>
    <row r="1714" ht="15.0" customHeight="1">
      <c r="A1714" s="157" t="s">
        <v>8918</v>
      </c>
      <c r="B1714" s="169" t="s">
        <v>22</v>
      </c>
      <c r="C1714" s="169" t="s">
        <v>3799</v>
      </c>
      <c r="D1714" s="317">
        <v>44686.0</v>
      </c>
      <c r="E1714" s="157" t="s">
        <v>600</v>
      </c>
      <c r="F1714" s="160">
        <v>7522.73</v>
      </c>
      <c r="G1714" s="160">
        <v>1203.64</v>
      </c>
      <c r="H1714" s="160">
        <f t="shared" si="58"/>
        <v>8726.37</v>
      </c>
      <c r="I1714" s="172"/>
      <c r="J1714" s="169"/>
      <c r="K1714" s="172"/>
      <c r="L1714" s="172">
        <f>+'FACUS$'!$H1714-'FACUS$'!$I1714-'FACUS$'!$K1714</f>
        <v>8726.37</v>
      </c>
      <c r="M1714" s="162" t="s">
        <v>220</v>
      </c>
      <c r="N1714" s="337" t="s">
        <v>554</v>
      </c>
      <c r="O1714" s="338">
        <v>44696.0</v>
      </c>
      <c r="P1714" s="164">
        <f t="array" ref="P1714">XLOOKUP('FACUS$'!$B1714,'perfil de pagos'!$A$4:$A$46,'perfil de pagos'!$C$4:$C$46+'FACUS$'!$D1714)</f>
        <v>44696</v>
      </c>
      <c r="Q1714" s="165">
        <f t="shared" si="2"/>
        <v>0</v>
      </c>
      <c r="R1714" s="167"/>
      <c r="S1714" s="167"/>
      <c r="T1714" s="167"/>
      <c r="U1714" s="334" t="s">
        <v>7271</v>
      </c>
      <c r="V1714" s="168">
        <f t="shared" si="3"/>
        <v>8726.37</v>
      </c>
      <c r="W1714" s="168">
        <f t="shared" si="4"/>
        <v>0</v>
      </c>
      <c r="X1714" s="168">
        <f t="shared" si="5"/>
        <v>0</v>
      </c>
      <c r="Y1714" s="168">
        <f t="shared" si="6"/>
        <v>0</v>
      </c>
      <c r="Z1714" s="168">
        <f t="shared" si="7"/>
        <v>0</v>
      </c>
      <c r="AA1714" s="168">
        <f t="shared" si="8"/>
        <v>0</v>
      </c>
      <c r="AB1714" s="168">
        <f t="shared" si="9"/>
        <v>0</v>
      </c>
    </row>
    <row r="1715" ht="15.0" customHeight="1">
      <c r="A1715" s="157" t="s">
        <v>8919</v>
      </c>
      <c r="B1715" s="169" t="s">
        <v>26</v>
      </c>
      <c r="C1715" s="169" t="s">
        <v>3799</v>
      </c>
      <c r="D1715" s="317">
        <v>44686.0</v>
      </c>
      <c r="E1715" s="157" t="s">
        <v>600</v>
      </c>
      <c r="F1715" s="160">
        <v>4624.17</v>
      </c>
      <c r="G1715" s="160">
        <v>739.87</v>
      </c>
      <c r="H1715" s="160">
        <f t="shared" si="58"/>
        <v>5364.04</v>
      </c>
      <c r="I1715" s="172"/>
      <c r="J1715" s="169"/>
      <c r="K1715" s="172"/>
      <c r="L1715" s="172">
        <f>+'FACUS$'!$H1715-'FACUS$'!$I1715-'FACUS$'!$K1715</f>
        <v>5364.04</v>
      </c>
      <c r="M1715" s="162" t="s">
        <v>2386</v>
      </c>
      <c r="N1715" s="337" t="s">
        <v>554</v>
      </c>
      <c r="O1715" s="338">
        <v>45293.0</v>
      </c>
      <c r="P1715" s="164">
        <f t="array" ref="P1715">XLOOKUP('FACUS$'!$B1715,'perfil de pagos'!$A$4:$A$46,'perfil de pagos'!$C$4:$C$46+'FACUS$'!$D1715)</f>
        <v>44716</v>
      </c>
      <c r="Q1715" s="165">
        <f t="shared" si="2"/>
        <v>0</v>
      </c>
      <c r="R1715" s="167"/>
      <c r="S1715" s="167">
        <v>2713.0</v>
      </c>
      <c r="T1715" s="167"/>
      <c r="U1715" s="334" t="s">
        <v>7271</v>
      </c>
      <c r="V1715" s="168">
        <f t="shared" si="3"/>
        <v>5364.04</v>
      </c>
      <c r="W1715" s="168">
        <f t="shared" si="4"/>
        <v>0</v>
      </c>
      <c r="X1715" s="168">
        <f t="shared" si="5"/>
        <v>0</v>
      </c>
      <c r="Y1715" s="168">
        <f t="shared" si="6"/>
        <v>0</v>
      </c>
      <c r="Z1715" s="168">
        <f t="shared" si="7"/>
        <v>0</v>
      </c>
      <c r="AA1715" s="168">
        <f t="shared" si="8"/>
        <v>0</v>
      </c>
      <c r="AB1715" s="168">
        <f t="shared" si="9"/>
        <v>0</v>
      </c>
    </row>
    <row r="1716" ht="15.0" customHeight="1">
      <c r="A1716" s="157" t="s">
        <v>8920</v>
      </c>
      <c r="B1716" s="169" t="s">
        <v>37</v>
      </c>
      <c r="C1716" s="169" t="s">
        <v>3799</v>
      </c>
      <c r="D1716" s="317">
        <v>44686.0</v>
      </c>
      <c r="E1716" s="157" t="s">
        <v>600</v>
      </c>
      <c r="F1716" s="160">
        <v>83530.13</v>
      </c>
      <c r="G1716" s="160">
        <v>13364.82</v>
      </c>
      <c r="H1716" s="160">
        <f t="shared" si="58"/>
        <v>96894.95</v>
      </c>
      <c r="I1716" s="172"/>
      <c r="J1716" s="169"/>
      <c r="K1716" s="172"/>
      <c r="L1716" s="172">
        <f>+'FACUS$'!$H1716-'FACUS$'!$I1716-'FACUS$'!$K1716</f>
        <v>96894.95</v>
      </c>
      <c r="M1716" s="162" t="s">
        <v>116</v>
      </c>
      <c r="N1716" s="337" t="s">
        <v>554</v>
      </c>
      <c r="O1716" s="338">
        <v>44704.0</v>
      </c>
      <c r="P1716" s="164">
        <f t="array" ref="P1716">XLOOKUP('FACUS$'!$B1716,'perfil de pagos'!$A$4:$A$46,'perfil de pagos'!$C$4:$C$46+'FACUS$'!$D1716)</f>
        <v>44696</v>
      </c>
      <c r="Q1716" s="165">
        <f t="shared" si="2"/>
        <v>0</v>
      </c>
      <c r="R1716" s="220" t="s">
        <v>8921</v>
      </c>
      <c r="S1716" s="167"/>
      <c r="T1716" s="167"/>
      <c r="U1716" s="334" t="s">
        <v>7271</v>
      </c>
      <c r="V1716" s="168">
        <f t="shared" si="3"/>
        <v>96894.95</v>
      </c>
      <c r="W1716" s="168">
        <f t="shared" si="4"/>
        <v>0</v>
      </c>
      <c r="X1716" s="168">
        <f t="shared" si="5"/>
        <v>0</v>
      </c>
      <c r="Y1716" s="168">
        <f t="shared" si="6"/>
        <v>0</v>
      </c>
      <c r="Z1716" s="168">
        <f t="shared" si="7"/>
        <v>0</v>
      </c>
      <c r="AA1716" s="168">
        <f t="shared" si="8"/>
        <v>0</v>
      </c>
      <c r="AB1716" s="168">
        <f t="shared" si="9"/>
        <v>0</v>
      </c>
    </row>
    <row r="1717" ht="15.0" customHeight="1">
      <c r="A1717" s="157" t="s">
        <v>8922</v>
      </c>
      <c r="B1717" s="169" t="s">
        <v>38</v>
      </c>
      <c r="C1717" s="169" t="s">
        <v>3799</v>
      </c>
      <c r="D1717" s="317">
        <v>44686.0</v>
      </c>
      <c r="E1717" s="157" t="s">
        <v>600</v>
      </c>
      <c r="F1717" s="160">
        <v>9837.19</v>
      </c>
      <c r="G1717" s="160">
        <v>1573.95</v>
      </c>
      <c r="H1717" s="160">
        <f t="shared" si="58"/>
        <v>11411.14</v>
      </c>
      <c r="I1717" s="172"/>
      <c r="J1717" s="169"/>
      <c r="K1717" s="172"/>
      <c r="L1717" s="172">
        <f>+'FACUS$'!$H1717-'FACUS$'!$I1717-'FACUS$'!$K1717</f>
        <v>11411.14</v>
      </c>
      <c r="M1717" s="162" t="s">
        <v>145</v>
      </c>
      <c r="N1717" s="337" t="s">
        <v>554</v>
      </c>
      <c r="O1717" s="338">
        <v>44750.0</v>
      </c>
      <c r="P1717" s="164">
        <f t="array" ref="P1717">XLOOKUP('FACUS$'!$B1717,'perfil de pagos'!$A$4:$A$46,'perfil de pagos'!$C$4:$C$46+'FACUS$'!$D1717)</f>
        <v>44716</v>
      </c>
      <c r="Q1717" s="165">
        <f t="shared" si="2"/>
        <v>0</v>
      </c>
      <c r="R1717" s="220" t="s">
        <v>8923</v>
      </c>
      <c r="S1717" s="167"/>
      <c r="T1717" s="167"/>
      <c r="U1717" s="334" t="s">
        <v>7271</v>
      </c>
      <c r="V1717" s="168">
        <f t="shared" si="3"/>
        <v>11411.14</v>
      </c>
      <c r="W1717" s="168">
        <f t="shared" si="4"/>
        <v>0</v>
      </c>
      <c r="X1717" s="168">
        <f t="shared" si="5"/>
        <v>0</v>
      </c>
      <c r="Y1717" s="168">
        <f t="shared" si="6"/>
        <v>0</v>
      </c>
      <c r="Z1717" s="168">
        <f t="shared" si="7"/>
        <v>0</v>
      </c>
      <c r="AA1717" s="168">
        <f t="shared" si="8"/>
        <v>0</v>
      </c>
      <c r="AB1717" s="168">
        <f t="shared" si="9"/>
        <v>0</v>
      </c>
    </row>
    <row r="1718" ht="15.0" customHeight="1">
      <c r="A1718" s="157" t="s">
        <v>8924</v>
      </c>
      <c r="B1718" s="169" t="s">
        <v>43</v>
      </c>
      <c r="C1718" s="169" t="s">
        <v>8925</v>
      </c>
      <c r="D1718" s="317">
        <v>44686.0</v>
      </c>
      <c r="E1718" s="157" t="s">
        <v>600</v>
      </c>
      <c r="F1718" s="160">
        <v>28110.87</v>
      </c>
      <c r="G1718" s="160">
        <v>4497.74</v>
      </c>
      <c r="H1718" s="160">
        <f t="shared" si="58"/>
        <v>32608.61</v>
      </c>
      <c r="I1718" s="172"/>
      <c r="J1718" s="169"/>
      <c r="K1718" s="172"/>
      <c r="L1718" s="172">
        <f>+'FACUS$'!$H1718-'FACUS$'!$I1718-'FACUS$'!$K1718</f>
        <v>32608.61</v>
      </c>
      <c r="M1718" s="162" t="s">
        <v>43</v>
      </c>
      <c r="N1718" s="337" t="s">
        <v>554</v>
      </c>
      <c r="O1718" s="338">
        <v>44704.0</v>
      </c>
      <c r="P1718" s="164">
        <f t="array" ref="P1718">XLOOKUP('FACUS$'!$B1718,'perfil de pagos'!$A$4:$A$46,'perfil de pagos'!$C$4:$C$46+'FACUS$'!$D1718)</f>
        <v>44711</v>
      </c>
      <c r="Q1718" s="165">
        <f t="shared" si="2"/>
        <v>0</v>
      </c>
      <c r="R1718" s="167"/>
      <c r="S1718" s="167"/>
      <c r="T1718" s="167"/>
      <c r="U1718" s="334" t="s">
        <v>7271</v>
      </c>
      <c r="V1718" s="168">
        <f t="shared" si="3"/>
        <v>32608.61</v>
      </c>
      <c r="W1718" s="168">
        <f t="shared" si="4"/>
        <v>0</v>
      </c>
      <c r="X1718" s="168">
        <f t="shared" si="5"/>
        <v>0</v>
      </c>
      <c r="Y1718" s="168">
        <f t="shared" si="6"/>
        <v>0</v>
      </c>
      <c r="Z1718" s="168">
        <f t="shared" si="7"/>
        <v>0</v>
      </c>
      <c r="AA1718" s="168">
        <f t="shared" si="8"/>
        <v>0</v>
      </c>
      <c r="AB1718" s="168">
        <f t="shared" si="9"/>
        <v>0</v>
      </c>
    </row>
    <row r="1719" ht="15.0" customHeight="1">
      <c r="A1719" s="157" t="s">
        <v>8926</v>
      </c>
      <c r="B1719" s="169" t="s">
        <v>39</v>
      </c>
      <c r="C1719" s="169" t="s">
        <v>8927</v>
      </c>
      <c r="D1719" s="317">
        <v>44704.0</v>
      </c>
      <c r="E1719" s="157" t="s">
        <v>600</v>
      </c>
      <c r="F1719" s="160">
        <v>24550.15</v>
      </c>
      <c r="G1719" s="160">
        <v>3928.02</v>
      </c>
      <c r="H1719" s="160">
        <f t="shared" si="58"/>
        <v>28478.17</v>
      </c>
      <c r="I1719" s="172"/>
      <c r="J1719" s="169"/>
      <c r="K1719" s="172"/>
      <c r="L1719" s="172">
        <f>+'FACUS$'!$H1719-'FACUS$'!$I1719-'FACUS$'!$K1719</f>
        <v>28478.17</v>
      </c>
      <c r="M1719" s="162" t="s">
        <v>570</v>
      </c>
      <c r="N1719" s="337" t="s">
        <v>554</v>
      </c>
      <c r="O1719" s="338">
        <v>44684.0</v>
      </c>
      <c r="P1719" s="164">
        <f t="array" ref="P1719">XLOOKUP('FACUS$'!$B1719,'perfil de pagos'!$A$4:$A$46,'perfil de pagos'!$C$4:$C$46+'FACUS$'!$D1719)</f>
        <v>44714</v>
      </c>
      <c r="Q1719" s="165">
        <f t="shared" si="2"/>
        <v>0</v>
      </c>
      <c r="R1719" s="167"/>
      <c r="S1719" s="167"/>
      <c r="T1719" s="167"/>
      <c r="U1719" s="334" t="s">
        <v>7271</v>
      </c>
      <c r="V1719" s="168">
        <f t="shared" si="3"/>
        <v>28478.17</v>
      </c>
      <c r="W1719" s="168">
        <f t="shared" si="4"/>
        <v>0</v>
      </c>
      <c r="X1719" s="168">
        <f t="shared" si="5"/>
        <v>0</v>
      </c>
      <c r="Y1719" s="168">
        <f t="shared" si="6"/>
        <v>0</v>
      </c>
      <c r="Z1719" s="168">
        <f t="shared" si="7"/>
        <v>0</v>
      </c>
      <c r="AA1719" s="168">
        <f t="shared" si="8"/>
        <v>0</v>
      </c>
      <c r="AB1719" s="168">
        <f t="shared" si="9"/>
        <v>0</v>
      </c>
    </row>
    <row r="1720" ht="15.0" customHeight="1">
      <c r="A1720" s="157" t="s">
        <v>8928</v>
      </c>
      <c r="B1720" s="169" t="s">
        <v>39</v>
      </c>
      <c r="C1720" s="169" t="s">
        <v>3856</v>
      </c>
      <c r="D1720" s="317">
        <v>44704.0</v>
      </c>
      <c r="E1720" s="157" t="s">
        <v>600</v>
      </c>
      <c r="F1720" s="160">
        <v>14122.22</v>
      </c>
      <c r="G1720" s="160">
        <v>2259.56</v>
      </c>
      <c r="H1720" s="160">
        <f t="shared" si="58"/>
        <v>16381.78</v>
      </c>
      <c r="I1720" s="172"/>
      <c r="J1720" s="169"/>
      <c r="K1720" s="172"/>
      <c r="L1720" s="172">
        <f>+'FACUS$'!$H1720-'FACUS$'!$I1720-'FACUS$'!$K1720</f>
        <v>16381.78</v>
      </c>
      <c r="M1720" s="162" t="s">
        <v>570</v>
      </c>
      <c r="N1720" s="337" t="s">
        <v>554</v>
      </c>
      <c r="O1720" s="338">
        <v>44684.0</v>
      </c>
      <c r="P1720" s="164">
        <f t="array" ref="P1720">XLOOKUP('FACUS$'!$B1720,'perfil de pagos'!$A$4:$A$46,'perfil de pagos'!$C$4:$C$46+'FACUS$'!$D1720)</f>
        <v>44714</v>
      </c>
      <c r="Q1720" s="165">
        <f t="shared" si="2"/>
        <v>0</v>
      </c>
      <c r="R1720" s="167"/>
      <c r="S1720" s="167"/>
      <c r="T1720" s="167"/>
      <c r="U1720" s="334" t="s">
        <v>7271</v>
      </c>
      <c r="V1720" s="168">
        <f t="shared" si="3"/>
        <v>16381.78</v>
      </c>
      <c r="W1720" s="168">
        <f t="shared" si="4"/>
        <v>0</v>
      </c>
      <c r="X1720" s="168">
        <f t="shared" si="5"/>
        <v>0</v>
      </c>
      <c r="Y1720" s="168">
        <f t="shared" si="6"/>
        <v>0</v>
      </c>
      <c r="Z1720" s="168">
        <f t="shared" si="7"/>
        <v>0</v>
      </c>
      <c r="AA1720" s="168">
        <f t="shared" si="8"/>
        <v>0</v>
      </c>
      <c r="AB1720" s="168">
        <f t="shared" si="9"/>
        <v>0</v>
      </c>
    </row>
    <row r="1721" ht="15.0" customHeight="1">
      <c r="A1721" s="157" t="s">
        <v>8929</v>
      </c>
      <c r="B1721" s="169" t="s">
        <v>35</v>
      </c>
      <c r="C1721" s="169" t="s">
        <v>3856</v>
      </c>
      <c r="D1721" s="317">
        <v>44704.0</v>
      </c>
      <c r="E1721" s="157" t="s">
        <v>600</v>
      </c>
      <c r="F1721" s="160">
        <v>5026.84</v>
      </c>
      <c r="G1721" s="160">
        <v>804.29</v>
      </c>
      <c r="H1721" s="160">
        <f t="shared" si="58"/>
        <v>5831.13</v>
      </c>
      <c r="I1721" s="172"/>
      <c r="J1721" s="169"/>
      <c r="K1721" s="172"/>
      <c r="L1721" s="172">
        <f>+'FACUS$'!$H1721-'FACUS$'!$I1721-'FACUS$'!$K1721</f>
        <v>5831.13</v>
      </c>
      <c r="M1721" s="162" t="s">
        <v>276</v>
      </c>
      <c r="N1721" s="337" t="s">
        <v>554</v>
      </c>
      <c r="O1721" s="338">
        <v>44736.0</v>
      </c>
      <c r="P1721" s="164">
        <f t="array" ref="P1721">XLOOKUP('FACUS$'!$B1721,'perfil de pagos'!$A$4:$A$46,'perfil de pagos'!$C$4:$C$46+'FACUS$'!$D1721)</f>
        <v>44714</v>
      </c>
      <c r="Q1721" s="165">
        <f t="shared" si="2"/>
        <v>0</v>
      </c>
      <c r="R1721" s="167"/>
      <c r="S1721" s="167"/>
      <c r="T1721" s="167"/>
      <c r="U1721" s="334" t="s">
        <v>7271</v>
      </c>
      <c r="V1721" s="168">
        <f t="shared" si="3"/>
        <v>5831.13</v>
      </c>
      <c r="W1721" s="168">
        <f t="shared" si="4"/>
        <v>0</v>
      </c>
      <c r="X1721" s="168">
        <f t="shared" si="5"/>
        <v>0</v>
      </c>
      <c r="Y1721" s="168">
        <f t="shared" si="6"/>
        <v>0</v>
      </c>
      <c r="Z1721" s="168">
        <f t="shared" si="7"/>
        <v>0</v>
      </c>
      <c r="AA1721" s="168">
        <f t="shared" si="8"/>
        <v>0</v>
      </c>
      <c r="AB1721" s="168">
        <f t="shared" si="9"/>
        <v>0</v>
      </c>
    </row>
    <row r="1722" ht="15.0" customHeight="1">
      <c r="A1722" s="157" t="s">
        <v>8930</v>
      </c>
      <c r="B1722" s="169" t="s">
        <v>41</v>
      </c>
      <c r="C1722" s="169" t="s">
        <v>3856</v>
      </c>
      <c r="D1722" s="317">
        <v>44704.0</v>
      </c>
      <c r="E1722" s="157" t="s">
        <v>600</v>
      </c>
      <c r="F1722" s="160">
        <v>16632.0</v>
      </c>
      <c r="G1722" s="160">
        <v>2661.12</v>
      </c>
      <c r="H1722" s="160">
        <f t="shared" si="58"/>
        <v>19293.12</v>
      </c>
      <c r="I1722" s="172"/>
      <c r="J1722" s="169"/>
      <c r="K1722" s="172"/>
      <c r="L1722" s="172">
        <f>+'FACUS$'!$H1722-'FACUS$'!$I1722-'FACUS$'!$K1722</f>
        <v>19293.12</v>
      </c>
      <c r="M1722" s="162" t="s">
        <v>875</v>
      </c>
      <c r="N1722" s="337" t="s">
        <v>554</v>
      </c>
      <c r="O1722" s="338">
        <v>44775.0</v>
      </c>
      <c r="P1722" s="164">
        <f t="array" ref="P1722">XLOOKUP('FACUS$'!$B1722,'perfil de pagos'!$A$4:$A$46,'perfil de pagos'!$C$4:$C$46+'FACUS$'!$D1722)</f>
        <v>44714</v>
      </c>
      <c r="Q1722" s="165">
        <f t="shared" si="2"/>
        <v>0</v>
      </c>
      <c r="R1722" s="167"/>
      <c r="S1722" s="167">
        <v>1520.0</v>
      </c>
      <c r="T1722" s="167"/>
      <c r="U1722" s="334" t="s">
        <v>7271</v>
      </c>
      <c r="V1722" s="168">
        <f t="shared" si="3"/>
        <v>19293.12</v>
      </c>
      <c r="W1722" s="168">
        <f t="shared" si="4"/>
        <v>0</v>
      </c>
      <c r="X1722" s="168">
        <f t="shared" si="5"/>
        <v>0</v>
      </c>
      <c r="Y1722" s="168">
        <f t="shared" si="6"/>
        <v>0</v>
      </c>
      <c r="Z1722" s="168">
        <f t="shared" si="7"/>
        <v>0</v>
      </c>
      <c r="AA1722" s="168">
        <f t="shared" si="8"/>
        <v>0</v>
      </c>
      <c r="AB1722" s="168">
        <f t="shared" si="9"/>
        <v>0</v>
      </c>
    </row>
    <row r="1723" ht="15.0" customHeight="1">
      <c r="A1723" s="157" t="s">
        <v>8931</v>
      </c>
      <c r="B1723" s="169" t="s">
        <v>36</v>
      </c>
      <c r="C1723" s="169" t="s">
        <v>3856</v>
      </c>
      <c r="D1723" s="317">
        <v>44704.0</v>
      </c>
      <c r="E1723" s="157" t="s">
        <v>600</v>
      </c>
      <c r="F1723" s="160">
        <v>2074.42</v>
      </c>
      <c r="G1723" s="160">
        <v>331.91</v>
      </c>
      <c r="H1723" s="160">
        <f t="shared" si="58"/>
        <v>2406.33</v>
      </c>
      <c r="I1723" s="172"/>
      <c r="J1723" s="169"/>
      <c r="K1723" s="172"/>
      <c r="L1723" s="172">
        <f>+'FACUS$'!$H1723-'FACUS$'!$I1723-'FACUS$'!$K1723</f>
        <v>2406.33</v>
      </c>
      <c r="M1723" s="162" t="s">
        <v>278</v>
      </c>
      <c r="N1723" s="337" t="s">
        <v>554</v>
      </c>
      <c r="O1723" s="338">
        <v>44720.0</v>
      </c>
      <c r="P1723" s="164">
        <f t="array" ref="P1723">XLOOKUP('FACUS$'!$B1723,'perfil de pagos'!$A$4:$A$46,'perfil de pagos'!$C$4:$C$46+'FACUS$'!$D1723)</f>
        <v>44714</v>
      </c>
      <c r="Q1723" s="165">
        <f t="shared" si="2"/>
        <v>0</v>
      </c>
      <c r="R1723" s="167" t="s">
        <v>8932</v>
      </c>
      <c r="S1723" s="167">
        <v>1392.0</v>
      </c>
      <c r="T1723" s="167"/>
      <c r="U1723" s="334" t="s">
        <v>7271</v>
      </c>
      <c r="V1723" s="168">
        <f t="shared" si="3"/>
        <v>2406.33</v>
      </c>
      <c r="W1723" s="168">
        <f t="shared" si="4"/>
        <v>0</v>
      </c>
      <c r="X1723" s="168">
        <f t="shared" si="5"/>
        <v>0</v>
      </c>
      <c r="Y1723" s="168">
        <f t="shared" si="6"/>
        <v>0</v>
      </c>
      <c r="Z1723" s="168">
        <f t="shared" si="7"/>
        <v>0</v>
      </c>
      <c r="AA1723" s="168">
        <f t="shared" si="8"/>
        <v>0</v>
      </c>
      <c r="AB1723" s="168">
        <f t="shared" si="9"/>
        <v>0</v>
      </c>
    </row>
    <row r="1724" ht="15.0" customHeight="1">
      <c r="A1724" s="157" t="s">
        <v>8933</v>
      </c>
      <c r="B1724" s="169" t="s">
        <v>43</v>
      </c>
      <c r="C1724" s="169" t="s">
        <v>3856</v>
      </c>
      <c r="D1724" s="317">
        <v>44704.0</v>
      </c>
      <c r="E1724" s="157" t="s">
        <v>600</v>
      </c>
      <c r="F1724" s="160">
        <v>17516.58</v>
      </c>
      <c r="G1724" s="160">
        <v>2802.65</v>
      </c>
      <c r="H1724" s="160">
        <f t="shared" si="58"/>
        <v>20319.23</v>
      </c>
      <c r="I1724" s="172"/>
      <c r="J1724" s="169"/>
      <c r="K1724" s="172"/>
      <c r="L1724" s="172">
        <f>+'FACUS$'!$H1724-'FACUS$'!$I1724-'FACUS$'!$K1724</f>
        <v>20319.23</v>
      </c>
      <c r="M1724" s="162" t="s">
        <v>43</v>
      </c>
      <c r="N1724" s="337" t="s">
        <v>554</v>
      </c>
      <c r="O1724" s="338">
        <v>44736.0</v>
      </c>
      <c r="P1724" s="164">
        <f t="array" ref="P1724">XLOOKUP('FACUS$'!$B1724,'perfil de pagos'!$A$4:$A$46,'perfil de pagos'!$C$4:$C$46+'FACUS$'!$D1724)</f>
        <v>44729</v>
      </c>
      <c r="Q1724" s="165">
        <f t="shared" si="2"/>
        <v>0</v>
      </c>
      <c r="R1724" s="167"/>
      <c r="S1724" s="167"/>
      <c r="T1724" s="167"/>
      <c r="U1724" s="334" t="s">
        <v>7271</v>
      </c>
      <c r="V1724" s="168">
        <f t="shared" si="3"/>
        <v>20319.23</v>
      </c>
      <c r="W1724" s="168">
        <f t="shared" si="4"/>
        <v>0</v>
      </c>
      <c r="X1724" s="168">
        <f t="shared" si="5"/>
        <v>0</v>
      </c>
      <c r="Y1724" s="168">
        <f t="shared" si="6"/>
        <v>0</v>
      </c>
      <c r="Z1724" s="168">
        <f t="shared" si="7"/>
        <v>0</v>
      </c>
      <c r="AA1724" s="168">
        <f t="shared" si="8"/>
        <v>0</v>
      </c>
      <c r="AB1724" s="168">
        <f t="shared" si="9"/>
        <v>0</v>
      </c>
    </row>
    <row r="1725" ht="15.0" customHeight="1">
      <c r="A1725" s="157" t="s">
        <v>8934</v>
      </c>
      <c r="B1725" s="169" t="s">
        <v>26</v>
      </c>
      <c r="C1725" s="169" t="s">
        <v>3856</v>
      </c>
      <c r="D1725" s="317">
        <v>44705.0</v>
      </c>
      <c r="E1725" s="157" t="s">
        <v>600</v>
      </c>
      <c r="F1725" s="160">
        <v>5473.95</v>
      </c>
      <c r="G1725" s="160">
        <v>875.83</v>
      </c>
      <c r="H1725" s="160">
        <f t="shared" si="58"/>
        <v>6349.78</v>
      </c>
      <c r="I1725" s="172"/>
      <c r="J1725" s="169"/>
      <c r="K1725" s="172"/>
      <c r="L1725" s="172">
        <f>+'FACUS$'!$H1725-'FACUS$'!$I1725-'FACUS$'!$K1725</f>
        <v>6349.78</v>
      </c>
      <c r="M1725" s="162" t="s">
        <v>2386</v>
      </c>
      <c r="N1725" s="337" t="s">
        <v>554</v>
      </c>
      <c r="O1725" s="338">
        <v>45293.0</v>
      </c>
      <c r="P1725" s="164">
        <f t="array" ref="P1725">XLOOKUP('FACUS$'!$B1725,'perfil de pagos'!$A$4:$A$46,'perfil de pagos'!$C$4:$C$46+'FACUS$'!$D1725)</f>
        <v>44735</v>
      </c>
      <c r="Q1725" s="165">
        <f t="shared" si="2"/>
        <v>0</v>
      </c>
      <c r="R1725" s="220"/>
      <c r="S1725" s="167">
        <v>2713.0</v>
      </c>
      <c r="T1725" s="167"/>
      <c r="U1725" s="334" t="s">
        <v>7271</v>
      </c>
      <c r="V1725" s="168">
        <f t="shared" si="3"/>
        <v>6349.78</v>
      </c>
      <c r="W1725" s="168">
        <f t="shared" si="4"/>
        <v>0</v>
      </c>
      <c r="X1725" s="168">
        <f t="shared" si="5"/>
        <v>0</v>
      </c>
      <c r="Y1725" s="168">
        <f t="shared" si="6"/>
        <v>0</v>
      </c>
      <c r="Z1725" s="168">
        <f t="shared" si="7"/>
        <v>0</v>
      </c>
      <c r="AA1725" s="168">
        <f t="shared" si="8"/>
        <v>0</v>
      </c>
      <c r="AB1725" s="168">
        <f t="shared" si="9"/>
        <v>0</v>
      </c>
    </row>
    <row r="1726" ht="15.0" customHeight="1">
      <c r="A1726" s="157" t="s">
        <v>8935</v>
      </c>
      <c r="B1726" s="169" t="s">
        <v>37</v>
      </c>
      <c r="C1726" s="169" t="s">
        <v>3856</v>
      </c>
      <c r="D1726" s="317">
        <v>44705.0</v>
      </c>
      <c r="E1726" s="157" t="s">
        <v>600</v>
      </c>
      <c r="F1726" s="160">
        <v>74797.58</v>
      </c>
      <c r="G1726" s="160">
        <v>11967.61</v>
      </c>
      <c r="H1726" s="160">
        <f t="shared" si="58"/>
        <v>86765.19</v>
      </c>
      <c r="I1726" s="172"/>
      <c r="J1726" s="169"/>
      <c r="K1726" s="172"/>
      <c r="L1726" s="172">
        <f>+'FACUS$'!$H1726-'FACUS$'!$I1726-'FACUS$'!$K1726</f>
        <v>86765.19</v>
      </c>
      <c r="M1726" s="162" t="s">
        <v>116</v>
      </c>
      <c r="N1726" s="337" t="s">
        <v>554</v>
      </c>
      <c r="O1726" s="338">
        <v>44725.0</v>
      </c>
      <c r="P1726" s="164">
        <f t="array" ref="P1726">XLOOKUP('FACUS$'!$B1726,'perfil de pagos'!$A$4:$A$46,'perfil de pagos'!$C$4:$C$46+'FACUS$'!$D1726)</f>
        <v>44715</v>
      </c>
      <c r="Q1726" s="165">
        <f t="shared" si="2"/>
        <v>0</v>
      </c>
      <c r="R1726" s="220" t="s">
        <v>8936</v>
      </c>
      <c r="S1726" s="167"/>
      <c r="T1726" s="167"/>
      <c r="U1726" s="334" t="s">
        <v>7271</v>
      </c>
      <c r="V1726" s="168">
        <f t="shared" si="3"/>
        <v>86765.19</v>
      </c>
      <c r="W1726" s="168">
        <f t="shared" si="4"/>
        <v>0</v>
      </c>
      <c r="X1726" s="168">
        <f t="shared" si="5"/>
        <v>0</v>
      </c>
      <c r="Y1726" s="168">
        <f t="shared" si="6"/>
        <v>0</v>
      </c>
      <c r="Z1726" s="168">
        <f t="shared" si="7"/>
        <v>0</v>
      </c>
      <c r="AA1726" s="168">
        <f t="shared" si="8"/>
        <v>0</v>
      </c>
      <c r="AB1726" s="168">
        <f t="shared" si="9"/>
        <v>0</v>
      </c>
    </row>
    <row r="1727" ht="15.0" customHeight="1">
      <c r="A1727" s="157" t="s">
        <v>8937</v>
      </c>
      <c r="B1727" s="169" t="s">
        <v>38</v>
      </c>
      <c r="C1727" s="169" t="s">
        <v>3856</v>
      </c>
      <c r="D1727" s="317">
        <v>44705.0</v>
      </c>
      <c r="E1727" s="157" t="s">
        <v>600</v>
      </c>
      <c r="F1727" s="160">
        <v>9141.02</v>
      </c>
      <c r="G1727" s="160">
        <v>1462.56</v>
      </c>
      <c r="H1727" s="160">
        <f t="shared" si="58"/>
        <v>10603.58</v>
      </c>
      <c r="I1727" s="172"/>
      <c r="J1727" s="169"/>
      <c r="K1727" s="172"/>
      <c r="L1727" s="172">
        <f>+'FACUS$'!$H1727-'FACUS$'!$I1727-'FACUS$'!$K1727</f>
        <v>10603.58</v>
      </c>
      <c r="M1727" s="162" t="s">
        <v>145</v>
      </c>
      <c r="N1727" s="337" t="s">
        <v>554</v>
      </c>
      <c r="O1727" s="338">
        <v>44771.0</v>
      </c>
      <c r="P1727" s="164">
        <f t="array" ref="P1727">XLOOKUP('FACUS$'!$B1727,'perfil de pagos'!$A$4:$A$46,'perfil de pagos'!$C$4:$C$46+'FACUS$'!$D1727)</f>
        <v>44735</v>
      </c>
      <c r="Q1727" s="165">
        <f t="shared" si="2"/>
        <v>0</v>
      </c>
      <c r="R1727" s="167"/>
      <c r="S1727" s="167">
        <v>1508.0</v>
      </c>
      <c r="T1727" s="167"/>
      <c r="U1727" s="334" t="s">
        <v>7271</v>
      </c>
      <c r="V1727" s="168">
        <f t="shared" si="3"/>
        <v>10603.58</v>
      </c>
      <c r="W1727" s="168">
        <f t="shared" si="4"/>
        <v>0</v>
      </c>
      <c r="X1727" s="168">
        <f t="shared" si="5"/>
        <v>0</v>
      </c>
      <c r="Y1727" s="168">
        <f t="shared" si="6"/>
        <v>0</v>
      </c>
      <c r="Z1727" s="168">
        <f t="shared" si="7"/>
        <v>0</v>
      </c>
      <c r="AA1727" s="168">
        <f t="shared" si="8"/>
        <v>0</v>
      </c>
      <c r="AB1727" s="168">
        <f t="shared" si="9"/>
        <v>0</v>
      </c>
    </row>
    <row r="1728" ht="15.0" customHeight="1">
      <c r="A1728" s="157" t="s">
        <v>8938</v>
      </c>
      <c r="B1728" s="169" t="s">
        <v>18</v>
      </c>
      <c r="C1728" s="169" t="s">
        <v>3856</v>
      </c>
      <c r="D1728" s="317">
        <v>44705.0</v>
      </c>
      <c r="E1728" s="157" t="s">
        <v>600</v>
      </c>
      <c r="F1728" s="160">
        <v>7400.24</v>
      </c>
      <c r="G1728" s="160">
        <v>1184.04</v>
      </c>
      <c r="H1728" s="160">
        <f t="shared" si="58"/>
        <v>8584.28</v>
      </c>
      <c r="I1728" s="172"/>
      <c r="J1728" s="169"/>
      <c r="K1728" s="172"/>
      <c r="L1728" s="172">
        <f>+'FACUS$'!$H1728-'FACUS$'!$I1728-'FACUS$'!$K1728</f>
        <v>8584.28</v>
      </c>
      <c r="M1728" s="162" t="s">
        <v>586</v>
      </c>
      <c r="N1728" s="337" t="s">
        <v>554</v>
      </c>
      <c r="O1728" s="338">
        <v>44721.0</v>
      </c>
      <c r="P1728" s="164">
        <f t="array" ref="P1728">XLOOKUP('FACUS$'!$B1728,'perfil de pagos'!$A$4:$A$46,'perfil de pagos'!$C$4:$C$46+'FACUS$'!$D1728)</f>
        <v>44715</v>
      </c>
      <c r="Q1728" s="165">
        <f t="shared" si="2"/>
        <v>0</v>
      </c>
      <c r="R1728" s="167"/>
      <c r="S1728" s="167"/>
      <c r="T1728" s="167"/>
      <c r="U1728" s="334" t="s">
        <v>7271</v>
      </c>
      <c r="V1728" s="168">
        <f t="shared" si="3"/>
        <v>8584.28</v>
      </c>
      <c r="W1728" s="168">
        <f t="shared" si="4"/>
        <v>0</v>
      </c>
      <c r="X1728" s="168">
        <f t="shared" si="5"/>
        <v>0</v>
      </c>
      <c r="Y1728" s="168">
        <f t="shared" si="6"/>
        <v>0</v>
      </c>
      <c r="Z1728" s="168">
        <f t="shared" si="7"/>
        <v>0</v>
      </c>
      <c r="AA1728" s="168">
        <f t="shared" si="8"/>
        <v>0</v>
      </c>
      <c r="AB1728" s="168">
        <f t="shared" si="9"/>
        <v>0</v>
      </c>
    </row>
    <row r="1729" ht="15.0" customHeight="1">
      <c r="A1729" s="157" t="s">
        <v>8939</v>
      </c>
      <c r="B1729" s="169" t="s">
        <v>20</v>
      </c>
      <c r="C1729" s="169" t="s">
        <v>3856</v>
      </c>
      <c r="D1729" s="317">
        <v>44705.0</v>
      </c>
      <c r="E1729" s="157" t="s">
        <v>600</v>
      </c>
      <c r="F1729" s="160">
        <v>9235.58</v>
      </c>
      <c r="G1729" s="160">
        <v>1477.69</v>
      </c>
      <c r="H1729" s="160">
        <f t="shared" si="58"/>
        <v>10713.27</v>
      </c>
      <c r="I1729" s="172"/>
      <c r="J1729" s="169"/>
      <c r="K1729" s="172"/>
      <c r="L1729" s="172">
        <f>+'FACUS$'!$H1729-'FACUS$'!$I1729-'FACUS$'!$K1729</f>
        <v>10713.27</v>
      </c>
      <c r="M1729" s="162" t="s">
        <v>732</v>
      </c>
      <c r="N1729" s="337" t="s">
        <v>554</v>
      </c>
      <c r="O1729" s="338">
        <v>44721.0</v>
      </c>
      <c r="P1729" s="164">
        <f t="array" ref="P1729">XLOOKUP('FACUS$'!$B1729,'perfil de pagos'!$A$4:$A$46,'perfil de pagos'!$C$4:$C$46+'FACUS$'!$D1729)</f>
        <v>44715</v>
      </c>
      <c r="Q1729" s="165">
        <f t="shared" si="2"/>
        <v>0</v>
      </c>
      <c r="R1729" s="167"/>
      <c r="S1729" s="167"/>
      <c r="T1729" s="167"/>
      <c r="U1729" s="334" t="s">
        <v>7271</v>
      </c>
      <c r="V1729" s="168">
        <f t="shared" si="3"/>
        <v>10713.27</v>
      </c>
      <c r="W1729" s="168">
        <f t="shared" si="4"/>
        <v>0</v>
      </c>
      <c r="X1729" s="168">
        <f t="shared" si="5"/>
        <v>0</v>
      </c>
      <c r="Y1729" s="168">
        <f t="shared" si="6"/>
        <v>0</v>
      </c>
      <c r="Z1729" s="168">
        <f t="shared" si="7"/>
        <v>0</v>
      </c>
      <c r="AA1729" s="168">
        <f t="shared" si="8"/>
        <v>0</v>
      </c>
      <c r="AB1729" s="168">
        <f t="shared" si="9"/>
        <v>0</v>
      </c>
    </row>
    <row r="1730" ht="15.0" customHeight="1">
      <c r="A1730" s="157" t="s">
        <v>8940</v>
      </c>
      <c r="B1730" s="169" t="s">
        <v>22</v>
      </c>
      <c r="C1730" s="169" t="s">
        <v>3856</v>
      </c>
      <c r="D1730" s="317">
        <v>44705.0</v>
      </c>
      <c r="E1730" s="157" t="s">
        <v>600</v>
      </c>
      <c r="F1730" s="160">
        <v>8602.53</v>
      </c>
      <c r="G1730" s="160">
        <v>1376.4</v>
      </c>
      <c r="H1730" s="160">
        <f t="shared" si="58"/>
        <v>9978.93</v>
      </c>
      <c r="I1730" s="172"/>
      <c r="J1730" s="169"/>
      <c r="K1730" s="172"/>
      <c r="L1730" s="172">
        <f>+'FACUS$'!$H1730-'FACUS$'!$I1730-'FACUS$'!$K1730</f>
        <v>9978.93</v>
      </c>
      <c r="M1730" s="162" t="s">
        <v>220</v>
      </c>
      <c r="N1730" s="337" t="s">
        <v>554</v>
      </c>
      <c r="O1730" s="338">
        <v>44768.0</v>
      </c>
      <c r="P1730" s="164">
        <f t="array" ref="P1730">XLOOKUP('FACUS$'!$B1730,'perfil de pagos'!$A$4:$A$46,'perfil de pagos'!$C$4:$C$46+'FACUS$'!$D1730)</f>
        <v>44715</v>
      </c>
      <c r="Q1730" s="165">
        <f t="shared" si="2"/>
        <v>0</v>
      </c>
      <c r="R1730" s="167"/>
      <c r="S1730" s="167">
        <v>1507.0</v>
      </c>
      <c r="T1730" s="167"/>
      <c r="U1730" s="334" t="s">
        <v>7271</v>
      </c>
      <c r="V1730" s="168">
        <f t="shared" si="3"/>
        <v>9978.93</v>
      </c>
      <c r="W1730" s="168">
        <f t="shared" si="4"/>
        <v>0</v>
      </c>
      <c r="X1730" s="168">
        <f t="shared" si="5"/>
        <v>0</v>
      </c>
      <c r="Y1730" s="168">
        <f t="shared" si="6"/>
        <v>0</v>
      </c>
      <c r="Z1730" s="168">
        <f t="shared" si="7"/>
        <v>0</v>
      </c>
      <c r="AA1730" s="168">
        <f t="shared" si="8"/>
        <v>0</v>
      </c>
      <c r="AB1730" s="168">
        <f t="shared" si="9"/>
        <v>0</v>
      </c>
    </row>
    <row r="1731" ht="15.0" customHeight="1">
      <c r="A1731" s="210" t="s">
        <v>8941</v>
      </c>
      <c r="B1731" s="189" t="s">
        <v>127</v>
      </c>
      <c r="C1731" s="189"/>
      <c r="D1731" s="388"/>
      <c r="E1731" s="210"/>
      <c r="F1731" s="211"/>
      <c r="G1731" s="211"/>
      <c r="H1731" s="211">
        <f t="shared" si="58"/>
        <v>0</v>
      </c>
      <c r="I1731" s="188"/>
      <c r="J1731" s="189"/>
      <c r="K1731" s="188"/>
      <c r="L1731" s="188">
        <f>+'FACUS$'!$H1731-'FACUS$'!$I1731-'FACUS$'!$K1731</f>
        <v>0</v>
      </c>
      <c r="M1731" s="227"/>
      <c r="N1731" s="376" t="s">
        <v>127</v>
      </c>
      <c r="O1731" s="377"/>
      <c r="P1731" s="245" t="str">
        <f t="array" ref="P1731">XLOOKUP('FACUS$'!$B1731,'perfil de pagos'!$A$4:$A$46,'perfil de pagos'!$C$4:$C$46+'FACUS$'!$D1731)</f>
        <v>#N/A</v>
      </c>
      <c r="Q1731" s="246" t="str">
        <f t="shared" si="2"/>
        <v>N/A</v>
      </c>
      <c r="R1731" s="223"/>
      <c r="S1731" s="223"/>
      <c r="T1731" s="223"/>
      <c r="U1731" s="378" t="s">
        <v>7271</v>
      </c>
      <c r="V1731" s="168">
        <f t="shared" si="3"/>
        <v>0</v>
      </c>
      <c r="W1731" s="168">
        <f t="shared" si="4"/>
        <v>0</v>
      </c>
      <c r="X1731" s="168">
        <f t="shared" si="5"/>
        <v>0</v>
      </c>
      <c r="Y1731" s="168">
        <f t="shared" si="6"/>
        <v>0</v>
      </c>
      <c r="Z1731" s="168">
        <f t="shared" si="7"/>
        <v>0</v>
      </c>
      <c r="AA1731" s="168">
        <f t="shared" si="8"/>
        <v>0</v>
      </c>
      <c r="AB1731" s="168">
        <f t="shared" si="9"/>
        <v>0</v>
      </c>
      <c r="AC1731" s="81"/>
      <c r="AD1731" s="81"/>
      <c r="AE1731" s="81"/>
    </row>
    <row r="1732" ht="15.0" customHeight="1">
      <c r="A1732" s="157" t="s">
        <v>8942</v>
      </c>
      <c r="B1732" s="169" t="s">
        <v>18</v>
      </c>
      <c r="C1732" s="169" t="s">
        <v>8943</v>
      </c>
      <c r="D1732" s="317">
        <v>44719.0</v>
      </c>
      <c r="E1732" s="157" t="s">
        <v>600</v>
      </c>
      <c r="F1732" s="160">
        <v>9538.08</v>
      </c>
      <c r="G1732" s="160">
        <v>1526.09</v>
      </c>
      <c r="H1732" s="160">
        <f t="shared" si="58"/>
        <v>11064.17</v>
      </c>
      <c r="I1732" s="172"/>
      <c r="J1732" s="169"/>
      <c r="K1732" s="172"/>
      <c r="L1732" s="172">
        <f>+'FACUS$'!$H1732-'FACUS$'!$I1732-'FACUS$'!$K1732</f>
        <v>11064.17</v>
      </c>
      <c r="M1732" s="162" t="s">
        <v>586</v>
      </c>
      <c r="N1732" s="337" t="s">
        <v>554</v>
      </c>
      <c r="O1732" s="338">
        <v>44726.0</v>
      </c>
      <c r="P1732" s="164">
        <f t="array" ref="P1732">XLOOKUP('FACUS$'!$B1732,'perfil de pagos'!$A$4:$A$46,'perfil de pagos'!$C$4:$C$46+'FACUS$'!$D1732)</f>
        <v>44729</v>
      </c>
      <c r="Q1732" s="165">
        <f t="shared" si="2"/>
        <v>0</v>
      </c>
      <c r="R1732" s="167"/>
      <c r="S1732" s="167">
        <v>1410.0</v>
      </c>
      <c r="T1732" s="167"/>
      <c r="U1732" s="334" t="s">
        <v>7271</v>
      </c>
      <c r="V1732" s="168">
        <f t="shared" si="3"/>
        <v>11064.17</v>
      </c>
      <c r="W1732" s="168">
        <f t="shared" si="4"/>
        <v>0</v>
      </c>
      <c r="X1732" s="168">
        <f t="shared" si="5"/>
        <v>0</v>
      </c>
      <c r="Y1732" s="168">
        <f t="shared" si="6"/>
        <v>0</v>
      </c>
      <c r="Z1732" s="168">
        <f t="shared" si="7"/>
        <v>0</v>
      </c>
      <c r="AA1732" s="168">
        <f t="shared" si="8"/>
        <v>0</v>
      </c>
      <c r="AB1732" s="168">
        <f t="shared" si="9"/>
        <v>0</v>
      </c>
    </row>
    <row r="1733" ht="15.0" customHeight="1">
      <c r="A1733" s="157" t="s">
        <v>8944</v>
      </c>
      <c r="B1733" s="169" t="s">
        <v>20</v>
      </c>
      <c r="C1733" s="169" t="s">
        <v>8943</v>
      </c>
      <c r="D1733" s="317">
        <v>44719.0</v>
      </c>
      <c r="E1733" s="157" t="s">
        <v>600</v>
      </c>
      <c r="F1733" s="160">
        <v>11408.4</v>
      </c>
      <c r="G1733" s="160">
        <v>1825.34</v>
      </c>
      <c r="H1733" s="160">
        <f t="shared" si="58"/>
        <v>13233.74</v>
      </c>
      <c r="I1733" s="172"/>
      <c r="J1733" s="169"/>
      <c r="K1733" s="172"/>
      <c r="L1733" s="172">
        <f>+'FACUS$'!$H1733-'FACUS$'!$I1733-'FACUS$'!$K1733</f>
        <v>13233.74</v>
      </c>
      <c r="M1733" s="162" t="s">
        <v>732</v>
      </c>
      <c r="N1733" s="337" t="s">
        <v>554</v>
      </c>
      <c r="O1733" s="338">
        <v>44726.0</v>
      </c>
      <c r="P1733" s="164">
        <f t="array" ref="P1733">XLOOKUP('FACUS$'!$B1733,'perfil de pagos'!$A$4:$A$46,'perfil de pagos'!$C$4:$C$46+'FACUS$'!$D1733)</f>
        <v>44729</v>
      </c>
      <c r="Q1733" s="165">
        <f t="shared" si="2"/>
        <v>0</v>
      </c>
      <c r="R1733" s="167"/>
      <c r="S1733" s="167">
        <v>1410.0</v>
      </c>
      <c r="T1733" s="167"/>
      <c r="U1733" s="334" t="s">
        <v>7271</v>
      </c>
      <c r="V1733" s="168">
        <f t="shared" si="3"/>
        <v>13233.74</v>
      </c>
      <c r="W1733" s="168">
        <f t="shared" si="4"/>
        <v>0</v>
      </c>
      <c r="X1733" s="168">
        <f t="shared" si="5"/>
        <v>0</v>
      </c>
      <c r="Y1733" s="168">
        <f t="shared" si="6"/>
        <v>0</v>
      </c>
      <c r="Z1733" s="168">
        <f t="shared" si="7"/>
        <v>0</v>
      </c>
      <c r="AA1733" s="168">
        <f t="shared" si="8"/>
        <v>0</v>
      </c>
      <c r="AB1733" s="168">
        <f t="shared" si="9"/>
        <v>0</v>
      </c>
    </row>
    <row r="1734" ht="15.0" customHeight="1">
      <c r="A1734" s="157" t="s">
        <v>8945</v>
      </c>
      <c r="B1734" s="169" t="s">
        <v>22</v>
      </c>
      <c r="C1734" s="169" t="s">
        <v>8943</v>
      </c>
      <c r="D1734" s="317">
        <v>44719.0</v>
      </c>
      <c r="E1734" s="157" t="s">
        <v>600</v>
      </c>
      <c r="F1734" s="160">
        <v>12203.8</v>
      </c>
      <c r="G1734" s="160">
        <v>1952.61</v>
      </c>
      <c r="H1734" s="160">
        <f t="shared" si="58"/>
        <v>14156.41</v>
      </c>
      <c r="I1734" s="172"/>
      <c r="J1734" s="169"/>
      <c r="K1734" s="172"/>
      <c r="L1734" s="172">
        <f>+'FACUS$'!$H1734-'FACUS$'!$I1734-'FACUS$'!$K1734</f>
        <v>14156.41</v>
      </c>
      <c r="M1734" s="162" t="s">
        <v>220</v>
      </c>
      <c r="N1734" s="337" t="s">
        <v>554</v>
      </c>
      <c r="O1734" s="338">
        <v>44768.0</v>
      </c>
      <c r="P1734" s="164">
        <f t="array" ref="P1734">XLOOKUP('FACUS$'!$B1734,'perfil de pagos'!$A$4:$A$46,'perfil de pagos'!$C$4:$C$46+'FACUS$'!$D1734)</f>
        <v>44729</v>
      </c>
      <c r="Q1734" s="165">
        <f t="shared" si="2"/>
        <v>0</v>
      </c>
      <c r="R1734" s="167"/>
      <c r="S1734" s="167">
        <v>1507.0</v>
      </c>
      <c r="T1734" s="167"/>
      <c r="U1734" s="334" t="s">
        <v>7271</v>
      </c>
      <c r="V1734" s="168">
        <f t="shared" si="3"/>
        <v>14156.41</v>
      </c>
      <c r="W1734" s="168">
        <f t="shared" si="4"/>
        <v>0</v>
      </c>
      <c r="X1734" s="168">
        <f t="shared" si="5"/>
        <v>0</v>
      </c>
      <c r="Y1734" s="168">
        <f t="shared" si="6"/>
        <v>0</v>
      </c>
      <c r="Z1734" s="168">
        <f t="shared" si="7"/>
        <v>0</v>
      </c>
      <c r="AA1734" s="168">
        <f t="shared" si="8"/>
        <v>0</v>
      </c>
      <c r="AB1734" s="168">
        <f t="shared" si="9"/>
        <v>0</v>
      </c>
    </row>
    <row r="1735" ht="15.0" customHeight="1">
      <c r="A1735" s="210" t="s">
        <v>8946</v>
      </c>
      <c r="B1735" s="189" t="s">
        <v>26</v>
      </c>
      <c r="C1735" s="189" t="s">
        <v>8943</v>
      </c>
      <c r="D1735" s="388">
        <v>44719.0</v>
      </c>
      <c r="E1735" s="210" t="s">
        <v>600</v>
      </c>
      <c r="F1735" s="211">
        <v>5365.02</v>
      </c>
      <c r="G1735" s="211">
        <v>858.4</v>
      </c>
      <c r="H1735" s="211">
        <f t="shared" si="58"/>
        <v>6223.42</v>
      </c>
      <c r="I1735" s="188"/>
      <c r="J1735" s="189"/>
      <c r="K1735" s="188"/>
      <c r="L1735" s="188">
        <f>+'FACUS$'!$H1735-'FACUS$'!$I1735-'FACUS$'!$K1735</f>
        <v>6223.42</v>
      </c>
      <c r="M1735" s="227" t="s">
        <v>2386</v>
      </c>
      <c r="N1735" s="376" t="s">
        <v>127</v>
      </c>
      <c r="O1735" s="377"/>
      <c r="P1735" s="245">
        <f t="array" ref="P1735">XLOOKUP('FACUS$'!$B1735,'perfil de pagos'!$A$4:$A$46,'perfil de pagos'!$C$4:$C$46+'FACUS$'!$D1735)</f>
        <v>44749</v>
      </c>
      <c r="Q1735" s="246" t="str">
        <f t="shared" si="2"/>
        <v>N/A</v>
      </c>
      <c r="R1735" s="223"/>
      <c r="S1735" s="223"/>
      <c r="T1735" s="223"/>
      <c r="U1735" s="378" t="s">
        <v>7271</v>
      </c>
      <c r="V1735" s="168">
        <f t="shared" si="3"/>
        <v>0</v>
      </c>
      <c r="W1735" s="168">
        <f t="shared" si="4"/>
        <v>0</v>
      </c>
      <c r="X1735" s="168">
        <f t="shared" si="5"/>
        <v>0</v>
      </c>
      <c r="Y1735" s="168">
        <f t="shared" si="6"/>
        <v>0</v>
      </c>
      <c r="Z1735" s="168">
        <f t="shared" si="7"/>
        <v>0</v>
      </c>
      <c r="AA1735" s="168">
        <f t="shared" si="8"/>
        <v>0</v>
      </c>
      <c r="AB1735" s="168">
        <f t="shared" si="9"/>
        <v>6223.42</v>
      </c>
      <c r="AC1735" s="81"/>
      <c r="AD1735" s="81"/>
      <c r="AE1735" s="81"/>
    </row>
    <row r="1736" ht="15.0" customHeight="1">
      <c r="A1736" s="157" t="s">
        <v>8947</v>
      </c>
      <c r="B1736" s="169" t="s">
        <v>37</v>
      </c>
      <c r="C1736" s="169" t="s">
        <v>8943</v>
      </c>
      <c r="D1736" s="317">
        <v>44719.0</v>
      </c>
      <c r="E1736" s="157" t="s">
        <v>600</v>
      </c>
      <c r="F1736" s="160">
        <v>101540.07</v>
      </c>
      <c r="G1736" s="160">
        <v>16246.41</v>
      </c>
      <c r="H1736" s="160">
        <f t="shared" si="58"/>
        <v>117786.48</v>
      </c>
      <c r="I1736" s="172"/>
      <c r="J1736" s="169"/>
      <c r="K1736" s="172"/>
      <c r="L1736" s="172">
        <f>+'FACUS$'!$H1736-'FACUS$'!$I1736-'FACUS$'!$K1736</f>
        <v>117786.48</v>
      </c>
      <c r="M1736" s="162" t="s">
        <v>116</v>
      </c>
      <c r="N1736" s="337" t="s">
        <v>554</v>
      </c>
      <c r="O1736" s="338">
        <v>44701.0</v>
      </c>
      <c r="P1736" s="164">
        <f t="array" ref="P1736">XLOOKUP('FACUS$'!$B1736,'perfil de pagos'!$A$4:$A$46,'perfil de pagos'!$C$4:$C$46+'FACUS$'!$D1736)</f>
        <v>44729</v>
      </c>
      <c r="Q1736" s="165">
        <f t="shared" si="2"/>
        <v>0</v>
      </c>
      <c r="R1736" s="220" t="s">
        <v>8948</v>
      </c>
      <c r="S1736" s="167"/>
      <c r="T1736" s="167"/>
      <c r="U1736" s="334" t="s">
        <v>7271</v>
      </c>
      <c r="V1736" s="168">
        <f t="shared" si="3"/>
        <v>117786.48</v>
      </c>
      <c r="W1736" s="168">
        <f t="shared" si="4"/>
        <v>0</v>
      </c>
      <c r="X1736" s="168">
        <f t="shared" si="5"/>
        <v>0</v>
      </c>
      <c r="Y1736" s="168">
        <f t="shared" si="6"/>
        <v>0</v>
      </c>
      <c r="Z1736" s="168">
        <f t="shared" si="7"/>
        <v>0</v>
      </c>
      <c r="AA1736" s="168">
        <f t="shared" si="8"/>
        <v>0</v>
      </c>
      <c r="AB1736" s="168">
        <f t="shared" si="9"/>
        <v>0</v>
      </c>
    </row>
    <row r="1737" ht="15.0" customHeight="1">
      <c r="A1737" s="157" t="s">
        <v>8949</v>
      </c>
      <c r="B1737" s="169" t="s">
        <v>39</v>
      </c>
      <c r="C1737" s="169" t="s">
        <v>3896</v>
      </c>
      <c r="D1737" s="317">
        <v>44719.0</v>
      </c>
      <c r="E1737" s="157" t="s">
        <v>600</v>
      </c>
      <c r="F1737" s="160">
        <v>37634.77</v>
      </c>
      <c r="G1737" s="160">
        <v>6021.56</v>
      </c>
      <c r="H1737" s="160">
        <f t="shared" si="58"/>
        <v>43656.33</v>
      </c>
      <c r="I1737" s="172"/>
      <c r="J1737" s="169"/>
      <c r="K1737" s="172"/>
      <c r="L1737" s="172">
        <f>+'FACUS$'!$H1737-'FACUS$'!$I1737-'FACUS$'!$K1737</f>
        <v>43656.33</v>
      </c>
      <c r="M1737" s="162" t="s">
        <v>570</v>
      </c>
      <c r="N1737" s="337" t="s">
        <v>554</v>
      </c>
      <c r="O1737" s="338">
        <v>44729.0</v>
      </c>
      <c r="P1737" s="164">
        <f t="array" ref="P1737">XLOOKUP('FACUS$'!$B1737,'perfil de pagos'!$A$4:$A$46,'perfil de pagos'!$C$4:$C$46+'FACUS$'!$D1737)</f>
        <v>44729</v>
      </c>
      <c r="Q1737" s="165">
        <f t="shared" si="2"/>
        <v>0</v>
      </c>
      <c r="R1737" s="167"/>
      <c r="S1737" s="167"/>
      <c r="T1737" s="167"/>
      <c r="U1737" s="334" t="s">
        <v>7271</v>
      </c>
      <c r="V1737" s="168">
        <f t="shared" si="3"/>
        <v>43656.33</v>
      </c>
      <c r="W1737" s="168">
        <f t="shared" si="4"/>
        <v>0</v>
      </c>
      <c r="X1737" s="168">
        <f t="shared" si="5"/>
        <v>0</v>
      </c>
      <c r="Y1737" s="168">
        <f t="shared" si="6"/>
        <v>0</v>
      </c>
      <c r="Z1737" s="168">
        <f t="shared" si="7"/>
        <v>0</v>
      </c>
      <c r="AA1737" s="168">
        <f t="shared" si="8"/>
        <v>0</v>
      </c>
      <c r="AB1737" s="168">
        <f t="shared" si="9"/>
        <v>0</v>
      </c>
    </row>
    <row r="1738" ht="15.0" customHeight="1">
      <c r="A1738" s="157" t="s">
        <v>8950</v>
      </c>
      <c r="B1738" s="169" t="s">
        <v>39</v>
      </c>
      <c r="C1738" s="169" t="s">
        <v>8943</v>
      </c>
      <c r="D1738" s="317">
        <v>44719.0</v>
      </c>
      <c r="E1738" s="157" t="s">
        <v>600</v>
      </c>
      <c r="F1738" s="160">
        <v>20307.0</v>
      </c>
      <c r="G1738" s="160">
        <v>3249.12</v>
      </c>
      <c r="H1738" s="160">
        <f t="shared" si="58"/>
        <v>23556.12</v>
      </c>
      <c r="I1738" s="172"/>
      <c r="J1738" s="169"/>
      <c r="K1738" s="172"/>
      <c r="L1738" s="172">
        <f>+'FACUS$'!$H1738-'FACUS$'!$I1738-'FACUS$'!$K1738</f>
        <v>23556.12</v>
      </c>
      <c r="M1738" s="162" t="s">
        <v>570</v>
      </c>
      <c r="N1738" s="337" t="s">
        <v>554</v>
      </c>
      <c r="O1738" s="338">
        <v>44729.0</v>
      </c>
      <c r="P1738" s="164">
        <f t="array" ref="P1738">XLOOKUP('FACUS$'!$B1738,'perfil de pagos'!$A$4:$A$46,'perfil de pagos'!$C$4:$C$46+'FACUS$'!$D1738)</f>
        <v>44729</v>
      </c>
      <c r="Q1738" s="165">
        <f t="shared" si="2"/>
        <v>0</v>
      </c>
      <c r="R1738" s="167"/>
      <c r="S1738" s="167"/>
      <c r="T1738" s="167"/>
      <c r="U1738" s="334" t="s">
        <v>7271</v>
      </c>
      <c r="V1738" s="168">
        <f t="shared" si="3"/>
        <v>23556.12</v>
      </c>
      <c r="W1738" s="168">
        <f t="shared" si="4"/>
        <v>0</v>
      </c>
      <c r="X1738" s="168">
        <f t="shared" si="5"/>
        <v>0</v>
      </c>
      <c r="Y1738" s="168">
        <f t="shared" si="6"/>
        <v>0</v>
      </c>
      <c r="Z1738" s="168">
        <f t="shared" si="7"/>
        <v>0</v>
      </c>
      <c r="AA1738" s="168">
        <f t="shared" si="8"/>
        <v>0</v>
      </c>
      <c r="AB1738" s="168">
        <f t="shared" si="9"/>
        <v>0</v>
      </c>
    </row>
    <row r="1739" ht="15.0" customHeight="1">
      <c r="A1739" s="157" t="s">
        <v>8951</v>
      </c>
      <c r="B1739" s="169" t="s">
        <v>35</v>
      </c>
      <c r="C1739" s="169" t="s">
        <v>8943</v>
      </c>
      <c r="D1739" s="317">
        <v>44719.0</v>
      </c>
      <c r="E1739" s="157" t="s">
        <v>600</v>
      </c>
      <c r="F1739" s="160">
        <v>3534.98</v>
      </c>
      <c r="G1739" s="160">
        <v>565.6</v>
      </c>
      <c r="H1739" s="160">
        <f t="shared" si="58"/>
        <v>4100.58</v>
      </c>
      <c r="I1739" s="172"/>
      <c r="J1739" s="169"/>
      <c r="K1739" s="172"/>
      <c r="L1739" s="172">
        <f>+'FACUS$'!$H1739-'FACUS$'!$I1739-'FACUS$'!$K1739</f>
        <v>4100.58</v>
      </c>
      <c r="M1739" s="162" t="s">
        <v>276</v>
      </c>
      <c r="N1739" s="337" t="s">
        <v>554</v>
      </c>
      <c r="O1739" s="338">
        <v>44750.0</v>
      </c>
      <c r="P1739" s="164">
        <f t="array" ref="P1739">XLOOKUP('FACUS$'!$B1739,'perfil de pagos'!$A$4:$A$46,'perfil de pagos'!$C$4:$C$46+'FACUS$'!$D1739)</f>
        <v>44729</v>
      </c>
      <c r="Q1739" s="165">
        <f t="shared" si="2"/>
        <v>0</v>
      </c>
      <c r="R1739" s="167"/>
      <c r="S1739" s="167">
        <v>1430.0</v>
      </c>
      <c r="T1739" s="167"/>
      <c r="U1739" s="334" t="s">
        <v>7271</v>
      </c>
      <c r="V1739" s="168">
        <f t="shared" si="3"/>
        <v>4100.58</v>
      </c>
      <c r="W1739" s="168">
        <f t="shared" si="4"/>
        <v>0</v>
      </c>
      <c r="X1739" s="168">
        <f t="shared" si="5"/>
        <v>0</v>
      </c>
      <c r="Y1739" s="168">
        <f t="shared" si="6"/>
        <v>0</v>
      </c>
      <c r="Z1739" s="168">
        <f t="shared" si="7"/>
        <v>0</v>
      </c>
      <c r="AA1739" s="168">
        <f t="shared" si="8"/>
        <v>0</v>
      </c>
      <c r="AB1739" s="168">
        <f t="shared" si="9"/>
        <v>0</v>
      </c>
    </row>
    <row r="1740" ht="15.0" customHeight="1">
      <c r="A1740" s="157" t="s">
        <v>8952</v>
      </c>
      <c r="B1740" s="169" t="s">
        <v>36</v>
      </c>
      <c r="C1740" s="169" t="s">
        <v>8943</v>
      </c>
      <c r="D1740" s="317">
        <v>44719.0</v>
      </c>
      <c r="E1740" s="157" t="s">
        <v>600</v>
      </c>
      <c r="F1740" s="160">
        <v>3015.99</v>
      </c>
      <c r="G1740" s="160">
        <v>482.56</v>
      </c>
      <c r="H1740" s="160">
        <f t="shared" si="58"/>
        <v>3498.55</v>
      </c>
      <c r="I1740" s="172"/>
      <c r="J1740" s="169"/>
      <c r="K1740" s="172"/>
      <c r="L1740" s="172">
        <f>+'FACUS$'!$H1740-'FACUS$'!$I1740-'FACUS$'!$K1740</f>
        <v>3498.55</v>
      </c>
      <c r="M1740" s="162" t="s">
        <v>278</v>
      </c>
      <c r="N1740" s="337" t="s">
        <v>554</v>
      </c>
      <c r="O1740" s="338">
        <v>44740.0</v>
      </c>
      <c r="P1740" s="164">
        <f t="array" ref="P1740">XLOOKUP('FACUS$'!$B1740,'perfil de pagos'!$A$4:$A$46,'perfil de pagos'!$C$4:$C$46+'FACUS$'!$D1740)</f>
        <v>44729</v>
      </c>
      <c r="Q1740" s="165">
        <f t="shared" si="2"/>
        <v>0</v>
      </c>
      <c r="R1740" s="247" t="s">
        <v>8953</v>
      </c>
      <c r="S1740" s="167"/>
      <c r="T1740" s="167"/>
      <c r="U1740" s="334" t="s">
        <v>7271</v>
      </c>
      <c r="V1740" s="168">
        <f t="shared" si="3"/>
        <v>3498.55</v>
      </c>
      <c r="W1740" s="168">
        <f t="shared" si="4"/>
        <v>0</v>
      </c>
      <c r="X1740" s="168">
        <f t="shared" si="5"/>
        <v>0</v>
      </c>
      <c r="Y1740" s="168">
        <f t="shared" si="6"/>
        <v>0</v>
      </c>
      <c r="Z1740" s="168">
        <f t="shared" si="7"/>
        <v>0</v>
      </c>
      <c r="AA1740" s="168">
        <f t="shared" si="8"/>
        <v>0</v>
      </c>
      <c r="AB1740" s="168">
        <f t="shared" si="9"/>
        <v>0</v>
      </c>
    </row>
    <row r="1741" ht="15.0" customHeight="1">
      <c r="A1741" s="157" t="s">
        <v>8954</v>
      </c>
      <c r="B1741" s="169" t="s">
        <v>41</v>
      </c>
      <c r="C1741" s="169" t="s">
        <v>8943</v>
      </c>
      <c r="D1741" s="317">
        <v>44719.0</v>
      </c>
      <c r="E1741" s="157" t="s">
        <v>600</v>
      </c>
      <c r="F1741" s="160">
        <v>15564.3</v>
      </c>
      <c r="G1741" s="160">
        <v>2490.29</v>
      </c>
      <c r="H1741" s="160">
        <f t="shared" si="58"/>
        <v>18054.59</v>
      </c>
      <c r="I1741" s="172"/>
      <c r="J1741" s="169"/>
      <c r="K1741" s="172"/>
      <c r="L1741" s="172">
        <f>+'FACUS$'!$H1741-'FACUS$'!$I1741-'FACUS$'!$K1741</f>
        <v>18054.59</v>
      </c>
      <c r="M1741" s="162" t="s">
        <v>875</v>
      </c>
      <c r="N1741" s="337" t="s">
        <v>554</v>
      </c>
      <c r="O1741" s="338">
        <v>44775.0</v>
      </c>
      <c r="P1741" s="164">
        <f t="array" ref="P1741">XLOOKUP('FACUS$'!$B1741,'perfil de pagos'!$A$4:$A$46,'perfil de pagos'!$C$4:$C$46+'FACUS$'!$D1741)</f>
        <v>44729</v>
      </c>
      <c r="Q1741" s="165">
        <f t="shared" si="2"/>
        <v>0</v>
      </c>
      <c r="R1741" s="167"/>
      <c r="S1741" s="167">
        <v>1520.0</v>
      </c>
      <c r="T1741" s="167"/>
      <c r="U1741" s="334" t="s">
        <v>7271</v>
      </c>
      <c r="V1741" s="168">
        <f t="shared" si="3"/>
        <v>18054.59</v>
      </c>
      <c r="W1741" s="168">
        <f t="shared" si="4"/>
        <v>0</v>
      </c>
      <c r="X1741" s="168">
        <f t="shared" si="5"/>
        <v>0</v>
      </c>
      <c r="Y1741" s="168">
        <f t="shared" si="6"/>
        <v>0</v>
      </c>
      <c r="Z1741" s="168">
        <f t="shared" si="7"/>
        <v>0</v>
      </c>
      <c r="AA1741" s="168">
        <f t="shared" si="8"/>
        <v>0</v>
      </c>
      <c r="AB1741" s="168">
        <f t="shared" si="9"/>
        <v>0</v>
      </c>
    </row>
    <row r="1742" ht="15.0" customHeight="1">
      <c r="A1742" s="157" t="s">
        <v>8955</v>
      </c>
      <c r="B1742" s="169" t="s">
        <v>43</v>
      </c>
      <c r="C1742" s="169" t="s">
        <v>8943</v>
      </c>
      <c r="D1742" s="317">
        <v>44719.0</v>
      </c>
      <c r="E1742" s="157" t="s">
        <v>600</v>
      </c>
      <c r="F1742" s="160">
        <v>18529.61</v>
      </c>
      <c r="G1742" s="160">
        <v>2964.74</v>
      </c>
      <c r="H1742" s="160">
        <f t="shared" si="58"/>
        <v>21494.35</v>
      </c>
      <c r="I1742" s="172"/>
      <c r="J1742" s="169"/>
      <c r="K1742" s="172"/>
      <c r="L1742" s="172">
        <f>+'FACUS$'!$H1742-'FACUS$'!$I1742-'FACUS$'!$K1742</f>
        <v>21494.35</v>
      </c>
      <c r="M1742" s="162" t="s">
        <v>43</v>
      </c>
      <c r="N1742" s="337" t="s">
        <v>554</v>
      </c>
      <c r="O1742" s="338">
        <v>44771.0</v>
      </c>
      <c r="P1742" s="164">
        <f t="array" ref="P1742">XLOOKUP('FACUS$'!$B1742,'perfil de pagos'!$A$4:$A$46,'perfil de pagos'!$C$4:$C$46+'FACUS$'!$D1742)</f>
        <v>44744</v>
      </c>
      <c r="Q1742" s="165">
        <f t="shared" si="2"/>
        <v>0</v>
      </c>
      <c r="R1742" s="167"/>
      <c r="S1742" s="167">
        <v>1506.0</v>
      </c>
      <c r="T1742" s="167"/>
      <c r="U1742" s="334" t="s">
        <v>7271</v>
      </c>
      <c r="V1742" s="168">
        <f t="shared" si="3"/>
        <v>21494.35</v>
      </c>
      <c r="W1742" s="168">
        <f t="shared" si="4"/>
        <v>0</v>
      </c>
      <c r="X1742" s="168">
        <f t="shared" si="5"/>
        <v>0</v>
      </c>
      <c r="Y1742" s="168">
        <f t="shared" si="6"/>
        <v>0</v>
      </c>
      <c r="Z1742" s="168">
        <f t="shared" si="7"/>
        <v>0</v>
      </c>
      <c r="AA1742" s="168">
        <f t="shared" si="8"/>
        <v>0</v>
      </c>
      <c r="AB1742" s="168">
        <f t="shared" si="9"/>
        <v>0</v>
      </c>
    </row>
    <row r="1743" ht="15.0" customHeight="1">
      <c r="A1743" s="157" t="s">
        <v>8956</v>
      </c>
      <c r="B1743" s="169" t="s">
        <v>36</v>
      </c>
      <c r="C1743" s="169" t="s">
        <v>8957</v>
      </c>
      <c r="D1743" s="317">
        <v>44719.0</v>
      </c>
      <c r="E1743" s="157" t="s">
        <v>600</v>
      </c>
      <c r="F1743" s="160">
        <f>613.25-91.99</f>
        <v>521.26</v>
      </c>
      <c r="G1743" s="160">
        <v>83.4</v>
      </c>
      <c r="H1743" s="160">
        <f t="shared" si="58"/>
        <v>604.66</v>
      </c>
      <c r="I1743" s="172"/>
      <c r="J1743" s="169"/>
      <c r="K1743" s="172"/>
      <c r="L1743" s="172">
        <f>+'FACUS$'!$H1743-'FACUS$'!$I1743-'FACUS$'!$K1743</f>
        <v>604.66</v>
      </c>
      <c r="M1743" s="162" t="s">
        <v>278</v>
      </c>
      <c r="N1743" s="337" t="s">
        <v>554</v>
      </c>
      <c r="O1743" s="338">
        <v>44740.0</v>
      </c>
      <c r="P1743" s="164">
        <f t="array" ref="P1743">XLOOKUP('FACUS$'!$B1743,'perfil de pagos'!$A$4:$A$46,'perfil de pagos'!$C$4:$C$46+'FACUS$'!$D1743)</f>
        <v>44729</v>
      </c>
      <c r="Q1743" s="165">
        <f t="shared" si="2"/>
        <v>0</v>
      </c>
      <c r="R1743" s="247" t="s">
        <v>8958</v>
      </c>
      <c r="S1743" s="167"/>
      <c r="T1743" s="167"/>
      <c r="U1743" s="334" t="s">
        <v>7271</v>
      </c>
      <c r="V1743" s="168">
        <f t="shared" si="3"/>
        <v>604.66</v>
      </c>
      <c r="W1743" s="168">
        <f t="shared" si="4"/>
        <v>0</v>
      </c>
      <c r="X1743" s="168">
        <f t="shared" si="5"/>
        <v>0</v>
      </c>
      <c r="Y1743" s="168">
        <f t="shared" si="6"/>
        <v>0</v>
      </c>
      <c r="Z1743" s="168">
        <f t="shared" si="7"/>
        <v>0</v>
      </c>
      <c r="AA1743" s="168">
        <f t="shared" si="8"/>
        <v>0</v>
      </c>
      <c r="AB1743" s="168">
        <f t="shared" si="9"/>
        <v>0</v>
      </c>
    </row>
    <row r="1744" ht="15.75" customHeight="1">
      <c r="A1744" s="157" t="s">
        <v>8959</v>
      </c>
      <c r="B1744" s="169" t="s">
        <v>38</v>
      </c>
      <c r="C1744" s="169" t="s">
        <v>8943</v>
      </c>
      <c r="D1744" s="317">
        <v>44721.0</v>
      </c>
      <c r="E1744" s="157" t="s">
        <v>600</v>
      </c>
      <c r="F1744" s="160">
        <v>10878.8</v>
      </c>
      <c r="G1744" s="160">
        <v>1740.61</v>
      </c>
      <c r="H1744" s="160">
        <f t="shared" si="58"/>
        <v>12619.41</v>
      </c>
      <c r="I1744" s="172"/>
      <c r="J1744" s="169"/>
      <c r="K1744" s="172"/>
      <c r="L1744" s="172">
        <f>+'FACUS$'!$H1744-'FACUS$'!$I1744-'FACUS$'!$K1744</f>
        <v>12619.41</v>
      </c>
      <c r="M1744" s="162" t="s">
        <v>145</v>
      </c>
      <c r="N1744" s="337" t="s">
        <v>554</v>
      </c>
      <c r="O1744" s="338">
        <v>44789.0</v>
      </c>
      <c r="P1744" s="164">
        <f t="array" ref="P1744">XLOOKUP('FACUS$'!$B1744,'perfil de pagos'!$A$4:$A$46,'perfil de pagos'!$C$4:$C$46+'FACUS$'!$D1744)</f>
        <v>44751</v>
      </c>
      <c r="Q1744" s="165">
        <f t="shared" si="2"/>
        <v>0</v>
      </c>
      <c r="R1744" s="220" t="s">
        <v>8960</v>
      </c>
      <c r="S1744" s="167">
        <v>1529.0</v>
      </c>
      <c r="T1744" s="167"/>
      <c r="U1744" s="334" t="s">
        <v>7271</v>
      </c>
      <c r="V1744" s="168">
        <f t="shared" si="3"/>
        <v>12619.41</v>
      </c>
      <c r="W1744" s="168">
        <f t="shared" si="4"/>
        <v>0</v>
      </c>
      <c r="X1744" s="168">
        <f t="shared" si="5"/>
        <v>0</v>
      </c>
      <c r="Y1744" s="168">
        <f t="shared" si="6"/>
        <v>0</v>
      </c>
      <c r="Z1744" s="168">
        <f t="shared" si="7"/>
        <v>0</v>
      </c>
      <c r="AA1744" s="168">
        <f t="shared" si="8"/>
        <v>0</v>
      </c>
      <c r="AB1744" s="168">
        <f t="shared" si="9"/>
        <v>0</v>
      </c>
    </row>
    <row r="1745" ht="15.0" customHeight="1">
      <c r="A1745" s="157" t="s">
        <v>8961</v>
      </c>
      <c r="B1745" s="169" t="s">
        <v>26</v>
      </c>
      <c r="C1745" s="169" t="s">
        <v>8943</v>
      </c>
      <c r="D1745" s="317">
        <v>44728.0</v>
      </c>
      <c r="E1745" s="157" t="s">
        <v>600</v>
      </c>
      <c r="F1745" s="160">
        <v>5370.94</v>
      </c>
      <c r="G1745" s="160">
        <v>859.35</v>
      </c>
      <c r="H1745" s="160">
        <f t="shared" si="58"/>
        <v>6230.29</v>
      </c>
      <c r="I1745" s="172">
        <v>1734.34</v>
      </c>
      <c r="J1745" s="169"/>
      <c r="K1745" s="172"/>
      <c r="L1745" s="172">
        <f>+'FACUS$'!$H1745-'FACUS$'!$I1745-'FACUS$'!$K1745</f>
        <v>4495.95</v>
      </c>
      <c r="M1745" s="162" t="s">
        <v>2386</v>
      </c>
      <c r="N1745" s="337" t="s">
        <v>554</v>
      </c>
      <c r="O1745" s="338">
        <v>45322.0</v>
      </c>
      <c r="P1745" s="164">
        <f t="array" ref="P1745">XLOOKUP('FACUS$'!$B1745,'perfil de pagos'!$A$4:$A$46,'perfil de pagos'!$C$4:$C$46+'FACUS$'!$D1745)</f>
        <v>44758</v>
      </c>
      <c r="Q1745" s="165">
        <f t="shared" si="2"/>
        <v>0</v>
      </c>
      <c r="R1745" s="220" t="s">
        <v>8962</v>
      </c>
      <c r="S1745" s="220" t="s">
        <v>8963</v>
      </c>
      <c r="T1745" s="167"/>
      <c r="U1745" s="334" t="s">
        <v>7271</v>
      </c>
      <c r="V1745" s="168">
        <f t="shared" si="3"/>
        <v>4495.95</v>
      </c>
      <c r="W1745" s="168">
        <f t="shared" si="4"/>
        <v>0</v>
      </c>
      <c r="X1745" s="168">
        <f t="shared" si="5"/>
        <v>0</v>
      </c>
      <c r="Y1745" s="168">
        <f t="shared" si="6"/>
        <v>0</v>
      </c>
      <c r="Z1745" s="168">
        <f t="shared" si="7"/>
        <v>0</v>
      </c>
      <c r="AA1745" s="168">
        <f t="shared" si="8"/>
        <v>0</v>
      </c>
      <c r="AB1745" s="168">
        <f t="shared" si="9"/>
        <v>0</v>
      </c>
    </row>
    <row r="1746" ht="15.0" customHeight="1">
      <c r="A1746" s="157" t="s">
        <v>8964</v>
      </c>
      <c r="B1746" s="169" t="s">
        <v>39</v>
      </c>
      <c r="C1746" s="169" t="s">
        <v>8965</v>
      </c>
      <c r="D1746" s="317">
        <v>44729.0</v>
      </c>
      <c r="E1746" s="157" t="s">
        <v>600</v>
      </c>
      <c r="F1746" s="160">
        <v>28773.36</v>
      </c>
      <c r="G1746" s="160">
        <v>4603.74</v>
      </c>
      <c r="H1746" s="160">
        <f t="shared" si="58"/>
        <v>33377.1</v>
      </c>
      <c r="I1746" s="172"/>
      <c r="J1746" s="169"/>
      <c r="K1746" s="172"/>
      <c r="L1746" s="172">
        <f>+'FACUS$'!$H1746-'FACUS$'!$I1746-'FACUS$'!$K1746</f>
        <v>33377.1</v>
      </c>
      <c r="M1746" s="162" t="s">
        <v>570</v>
      </c>
      <c r="N1746" s="337" t="s">
        <v>554</v>
      </c>
      <c r="O1746" s="338">
        <v>44736.0</v>
      </c>
      <c r="P1746" s="164">
        <f t="array" ref="P1746">XLOOKUP('FACUS$'!$B1746,'perfil de pagos'!$A$4:$A$46,'perfil de pagos'!$C$4:$C$46+'FACUS$'!$D1746)</f>
        <v>44739</v>
      </c>
      <c r="Q1746" s="165">
        <f t="shared" si="2"/>
        <v>0</v>
      </c>
      <c r="R1746" s="167"/>
      <c r="S1746" s="167"/>
      <c r="T1746" s="167"/>
      <c r="U1746" s="334" t="s">
        <v>7271</v>
      </c>
      <c r="V1746" s="168">
        <f t="shared" si="3"/>
        <v>33377.1</v>
      </c>
      <c r="W1746" s="168">
        <f t="shared" si="4"/>
        <v>0</v>
      </c>
      <c r="X1746" s="168">
        <f t="shared" si="5"/>
        <v>0</v>
      </c>
      <c r="Y1746" s="168">
        <f t="shared" si="6"/>
        <v>0</v>
      </c>
      <c r="Z1746" s="168">
        <f t="shared" si="7"/>
        <v>0</v>
      </c>
      <c r="AA1746" s="168">
        <f t="shared" si="8"/>
        <v>0</v>
      </c>
      <c r="AB1746" s="168">
        <f t="shared" si="9"/>
        <v>0</v>
      </c>
    </row>
    <row r="1747" ht="15.0" customHeight="1">
      <c r="A1747" s="157" t="s">
        <v>8966</v>
      </c>
      <c r="B1747" s="169" t="s">
        <v>39</v>
      </c>
      <c r="C1747" s="169" t="s">
        <v>3974</v>
      </c>
      <c r="D1747" s="317">
        <v>44729.0</v>
      </c>
      <c r="E1747" s="157" t="s">
        <v>600</v>
      </c>
      <c r="F1747" s="160">
        <v>15064.66</v>
      </c>
      <c r="G1747" s="160">
        <v>2410.35</v>
      </c>
      <c r="H1747" s="160">
        <f t="shared" si="58"/>
        <v>17475.01</v>
      </c>
      <c r="I1747" s="172"/>
      <c r="J1747" s="169"/>
      <c r="K1747" s="172"/>
      <c r="L1747" s="172">
        <f>+'FACUS$'!$H1747-'FACUS$'!$I1747-'FACUS$'!$K1747</f>
        <v>17475.01</v>
      </c>
      <c r="M1747" s="162" t="s">
        <v>570</v>
      </c>
      <c r="N1747" s="337" t="s">
        <v>554</v>
      </c>
      <c r="O1747" s="338">
        <v>44736.0</v>
      </c>
      <c r="P1747" s="164">
        <f t="array" ref="P1747">XLOOKUP('FACUS$'!$B1747,'perfil de pagos'!$A$4:$A$46,'perfil de pagos'!$C$4:$C$46+'FACUS$'!$D1747)</f>
        <v>44739</v>
      </c>
      <c r="Q1747" s="165">
        <f t="shared" si="2"/>
        <v>0</v>
      </c>
      <c r="R1747" s="167"/>
      <c r="S1747" s="167"/>
      <c r="T1747" s="167"/>
      <c r="U1747" s="334" t="s">
        <v>7271</v>
      </c>
      <c r="V1747" s="168">
        <f t="shared" si="3"/>
        <v>17475.01</v>
      </c>
      <c r="W1747" s="168">
        <f t="shared" si="4"/>
        <v>0</v>
      </c>
      <c r="X1747" s="168">
        <f t="shared" si="5"/>
        <v>0</v>
      </c>
      <c r="Y1747" s="168">
        <f t="shared" si="6"/>
        <v>0</v>
      </c>
      <c r="Z1747" s="168">
        <f t="shared" si="7"/>
        <v>0</v>
      </c>
      <c r="AA1747" s="168">
        <f t="shared" si="8"/>
        <v>0</v>
      </c>
      <c r="AB1747" s="168">
        <f t="shared" si="9"/>
        <v>0</v>
      </c>
    </row>
    <row r="1748" ht="15.0" customHeight="1">
      <c r="A1748" s="157" t="s">
        <v>8967</v>
      </c>
      <c r="B1748" s="169" t="s">
        <v>36</v>
      </c>
      <c r="C1748" s="169" t="s">
        <v>3974</v>
      </c>
      <c r="D1748" s="317">
        <v>44729.0</v>
      </c>
      <c r="E1748" s="157" t="s">
        <v>600</v>
      </c>
      <c r="F1748" s="160">
        <v>1997.19</v>
      </c>
      <c r="G1748" s="160">
        <v>319.55</v>
      </c>
      <c r="H1748" s="160">
        <f t="shared" si="58"/>
        <v>2316.74</v>
      </c>
      <c r="I1748" s="172"/>
      <c r="J1748" s="169"/>
      <c r="K1748" s="172"/>
      <c r="L1748" s="172">
        <f>+'FACUS$'!$H1748-'FACUS$'!$I1748-'FACUS$'!$K1748</f>
        <v>2316.74</v>
      </c>
      <c r="M1748" s="162" t="s">
        <v>278</v>
      </c>
      <c r="N1748" s="337" t="s">
        <v>554</v>
      </c>
      <c r="O1748" s="338">
        <v>44740.0</v>
      </c>
      <c r="P1748" s="164">
        <f t="array" ref="P1748">XLOOKUP('FACUS$'!$B1748,'perfil de pagos'!$A$4:$A$46,'perfil de pagos'!$C$4:$C$46+'FACUS$'!$D1748)</f>
        <v>44739</v>
      </c>
      <c r="Q1748" s="165">
        <f t="shared" si="2"/>
        <v>0</v>
      </c>
      <c r="R1748" s="247" t="s">
        <v>8968</v>
      </c>
      <c r="S1748" s="167"/>
      <c r="T1748" s="167"/>
      <c r="U1748" s="334" t="s">
        <v>7271</v>
      </c>
      <c r="V1748" s="168">
        <f t="shared" si="3"/>
        <v>2316.74</v>
      </c>
      <c r="W1748" s="168">
        <f t="shared" si="4"/>
        <v>0</v>
      </c>
      <c r="X1748" s="168">
        <f t="shared" si="5"/>
        <v>0</v>
      </c>
      <c r="Y1748" s="168">
        <f t="shared" si="6"/>
        <v>0</v>
      </c>
      <c r="Z1748" s="168">
        <f t="shared" si="7"/>
        <v>0</v>
      </c>
      <c r="AA1748" s="168">
        <f t="shared" si="8"/>
        <v>0</v>
      </c>
      <c r="AB1748" s="168">
        <f t="shared" si="9"/>
        <v>0</v>
      </c>
    </row>
    <row r="1749" ht="15.0" customHeight="1">
      <c r="A1749" s="157" t="s">
        <v>8969</v>
      </c>
      <c r="B1749" s="169" t="s">
        <v>41</v>
      </c>
      <c r="C1749" s="169" t="s">
        <v>3974</v>
      </c>
      <c r="D1749" s="317">
        <v>44729.0</v>
      </c>
      <c r="E1749" s="157" t="s">
        <v>600</v>
      </c>
      <c r="F1749" s="160">
        <v>13924.5</v>
      </c>
      <c r="G1749" s="160">
        <v>2227.92</v>
      </c>
      <c r="H1749" s="160">
        <f t="shared" si="58"/>
        <v>16152.42</v>
      </c>
      <c r="I1749" s="172"/>
      <c r="J1749" s="169"/>
      <c r="K1749" s="172"/>
      <c r="L1749" s="172">
        <f>+'FACUS$'!$H1749-'FACUS$'!$I1749-'FACUS$'!$K1749</f>
        <v>16152.42</v>
      </c>
      <c r="M1749" s="162" t="s">
        <v>875</v>
      </c>
      <c r="N1749" s="337" t="s">
        <v>554</v>
      </c>
      <c r="O1749" s="338">
        <v>44791.0</v>
      </c>
      <c r="P1749" s="164">
        <f t="array" ref="P1749">XLOOKUP('FACUS$'!$B1749,'perfil de pagos'!$A$4:$A$46,'perfil de pagos'!$C$4:$C$46+'FACUS$'!$D1749)</f>
        <v>44739</v>
      </c>
      <c r="Q1749" s="165">
        <f t="shared" si="2"/>
        <v>0</v>
      </c>
      <c r="R1749" s="167"/>
      <c r="S1749" s="167">
        <v>1536.0</v>
      </c>
      <c r="T1749" s="167"/>
      <c r="U1749" s="334" t="s">
        <v>7271</v>
      </c>
      <c r="V1749" s="168">
        <f t="shared" si="3"/>
        <v>16152.42</v>
      </c>
      <c r="W1749" s="168">
        <f t="shared" si="4"/>
        <v>0</v>
      </c>
      <c r="X1749" s="168">
        <f t="shared" si="5"/>
        <v>0</v>
      </c>
      <c r="Y1749" s="168">
        <f t="shared" si="6"/>
        <v>0</v>
      </c>
      <c r="Z1749" s="168">
        <f t="shared" si="7"/>
        <v>0</v>
      </c>
      <c r="AA1749" s="168">
        <f t="shared" si="8"/>
        <v>0</v>
      </c>
      <c r="AB1749" s="168">
        <f t="shared" si="9"/>
        <v>0</v>
      </c>
    </row>
    <row r="1750" ht="15.0" customHeight="1">
      <c r="A1750" s="157" t="s">
        <v>8970</v>
      </c>
      <c r="B1750" s="169" t="s">
        <v>22</v>
      </c>
      <c r="C1750" s="169" t="s">
        <v>3974</v>
      </c>
      <c r="D1750" s="317">
        <v>44740.0</v>
      </c>
      <c r="E1750" s="157" t="s">
        <v>600</v>
      </c>
      <c r="F1750" s="160">
        <v>10414.06</v>
      </c>
      <c r="G1750" s="160">
        <v>1666.25</v>
      </c>
      <c r="H1750" s="160">
        <f t="shared" si="58"/>
        <v>12080.31</v>
      </c>
      <c r="I1750" s="172"/>
      <c r="J1750" s="169"/>
      <c r="K1750" s="172"/>
      <c r="L1750" s="172">
        <f>+'FACUS$'!$H1750-'FACUS$'!$I1750-'FACUS$'!$K1750</f>
        <v>12080.31</v>
      </c>
      <c r="M1750" s="162" t="s">
        <v>220</v>
      </c>
      <c r="N1750" s="337" t="s">
        <v>554</v>
      </c>
      <c r="O1750" s="338">
        <v>44775.0</v>
      </c>
      <c r="P1750" s="164">
        <f t="array" ref="P1750">XLOOKUP('FACUS$'!$B1750,'perfil de pagos'!$A$4:$A$46,'perfil de pagos'!$C$4:$C$46+'FACUS$'!$D1750)</f>
        <v>44750</v>
      </c>
      <c r="Q1750" s="165">
        <f t="shared" si="2"/>
        <v>0</v>
      </c>
      <c r="R1750" s="167"/>
      <c r="S1750" s="167">
        <v>1517.0</v>
      </c>
      <c r="T1750" s="167"/>
      <c r="U1750" s="334" t="s">
        <v>7271</v>
      </c>
      <c r="V1750" s="168">
        <f t="shared" si="3"/>
        <v>12080.31</v>
      </c>
      <c r="W1750" s="168">
        <f t="shared" si="4"/>
        <v>0</v>
      </c>
      <c r="X1750" s="168">
        <f t="shared" si="5"/>
        <v>0</v>
      </c>
      <c r="Y1750" s="168">
        <f t="shared" si="6"/>
        <v>0</v>
      </c>
      <c r="Z1750" s="168">
        <f t="shared" si="7"/>
        <v>0</v>
      </c>
      <c r="AA1750" s="168">
        <f t="shared" si="8"/>
        <v>0</v>
      </c>
      <c r="AB1750" s="168">
        <f t="shared" si="9"/>
        <v>0</v>
      </c>
    </row>
    <row r="1751" ht="15.0" customHeight="1">
      <c r="A1751" s="157" t="s">
        <v>8971</v>
      </c>
      <c r="B1751" s="169" t="s">
        <v>18</v>
      </c>
      <c r="C1751" s="169" t="s">
        <v>3974</v>
      </c>
      <c r="D1751" s="317">
        <v>44740.0</v>
      </c>
      <c r="E1751" s="157" t="s">
        <v>600</v>
      </c>
      <c r="F1751" s="160">
        <v>8280.66</v>
      </c>
      <c r="G1751" s="160">
        <v>1324.91</v>
      </c>
      <c r="H1751" s="160">
        <f t="shared" si="58"/>
        <v>9605.57</v>
      </c>
      <c r="I1751" s="172"/>
      <c r="J1751" s="169"/>
      <c r="K1751" s="172"/>
      <c r="L1751" s="172">
        <f>+'FACUS$'!$H1751-'FACUS$'!$I1751-'FACUS$'!$K1751</f>
        <v>9605.57</v>
      </c>
      <c r="M1751" s="162" t="s">
        <v>586</v>
      </c>
      <c r="N1751" s="337" t="s">
        <v>554</v>
      </c>
      <c r="O1751" s="338">
        <v>44742.0</v>
      </c>
      <c r="P1751" s="164">
        <f t="array" ref="P1751">XLOOKUP('FACUS$'!$B1751,'perfil de pagos'!$A$4:$A$46,'perfil de pagos'!$C$4:$C$46+'FACUS$'!$D1751)</f>
        <v>44750</v>
      </c>
      <c r="Q1751" s="165">
        <f t="shared" si="2"/>
        <v>0</v>
      </c>
      <c r="R1751" s="167"/>
      <c r="S1751" s="167"/>
      <c r="T1751" s="167"/>
      <c r="U1751" s="334" t="s">
        <v>7271</v>
      </c>
      <c r="V1751" s="168">
        <f t="shared" si="3"/>
        <v>9605.57</v>
      </c>
      <c r="W1751" s="168">
        <f t="shared" si="4"/>
        <v>0</v>
      </c>
      <c r="X1751" s="168">
        <f t="shared" si="5"/>
        <v>0</v>
      </c>
      <c r="Y1751" s="168">
        <f t="shared" si="6"/>
        <v>0</v>
      </c>
      <c r="Z1751" s="168">
        <f t="shared" si="7"/>
        <v>0</v>
      </c>
      <c r="AA1751" s="168">
        <f t="shared" si="8"/>
        <v>0</v>
      </c>
      <c r="AB1751" s="168">
        <f t="shared" si="9"/>
        <v>0</v>
      </c>
    </row>
    <row r="1752" ht="15.0" customHeight="1">
      <c r="A1752" s="157" t="s">
        <v>8972</v>
      </c>
      <c r="B1752" s="169" t="s">
        <v>20</v>
      </c>
      <c r="C1752" s="169" t="s">
        <v>3974</v>
      </c>
      <c r="D1752" s="317">
        <v>44740.0</v>
      </c>
      <c r="E1752" s="157" t="s">
        <v>600</v>
      </c>
      <c r="F1752" s="160">
        <v>12335.82</v>
      </c>
      <c r="G1752" s="160">
        <v>1973.73</v>
      </c>
      <c r="H1752" s="160">
        <f t="shared" si="58"/>
        <v>14309.55</v>
      </c>
      <c r="I1752" s="172"/>
      <c r="J1752" s="169"/>
      <c r="K1752" s="172"/>
      <c r="L1752" s="172">
        <f>+'FACUS$'!$H1752-'FACUS$'!$I1752-'FACUS$'!$K1752</f>
        <v>14309.55</v>
      </c>
      <c r="M1752" s="162" t="s">
        <v>732</v>
      </c>
      <c r="N1752" s="337" t="s">
        <v>554</v>
      </c>
      <c r="O1752" s="338">
        <v>44742.0</v>
      </c>
      <c r="P1752" s="164">
        <f t="array" ref="P1752">XLOOKUP('FACUS$'!$B1752,'perfil de pagos'!$A$4:$A$46,'perfil de pagos'!$C$4:$C$46+'FACUS$'!$D1752)</f>
        <v>44750</v>
      </c>
      <c r="Q1752" s="165">
        <f t="shared" si="2"/>
        <v>0</v>
      </c>
      <c r="R1752" s="167"/>
      <c r="S1752" s="167"/>
      <c r="T1752" s="167"/>
      <c r="U1752" s="334" t="s">
        <v>7271</v>
      </c>
      <c r="V1752" s="168">
        <f t="shared" si="3"/>
        <v>14309.55</v>
      </c>
      <c r="W1752" s="168">
        <f t="shared" si="4"/>
        <v>0</v>
      </c>
      <c r="X1752" s="168">
        <f t="shared" si="5"/>
        <v>0</v>
      </c>
      <c r="Y1752" s="168">
        <f t="shared" si="6"/>
        <v>0</v>
      </c>
      <c r="Z1752" s="168">
        <f t="shared" si="7"/>
        <v>0</v>
      </c>
      <c r="AA1752" s="168">
        <f t="shared" si="8"/>
        <v>0</v>
      </c>
      <c r="AB1752" s="168">
        <f t="shared" si="9"/>
        <v>0</v>
      </c>
    </row>
    <row r="1753" ht="15.0" customHeight="1">
      <c r="A1753" s="157" t="s">
        <v>8973</v>
      </c>
      <c r="B1753" s="169" t="s">
        <v>26</v>
      </c>
      <c r="C1753" s="169" t="s">
        <v>3974</v>
      </c>
      <c r="D1753" s="317">
        <v>44740.0</v>
      </c>
      <c r="E1753" s="157" t="s">
        <v>600</v>
      </c>
      <c r="F1753" s="160">
        <v>4701.72</v>
      </c>
      <c r="G1753" s="160">
        <v>752.28</v>
      </c>
      <c r="H1753" s="160">
        <f t="shared" si="58"/>
        <v>5454</v>
      </c>
      <c r="I1753" s="172">
        <v>4208.12</v>
      </c>
      <c r="J1753" s="169"/>
      <c r="K1753" s="172"/>
      <c r="L1753" s="172">
        <f>+'FACUS$'!$H1753-'FACUS$'!$I1753-'FACUS$'!$K1753</f>
        <v>1245.88</v>
      </c>
      <c r="M1753" s="162" t="s">
        <v>2386</v>
      </c>
      <c r="N1753" s="337" t="s">
        <v>554</v>
      </c>
      <c r="O1753" s="338">
        <v>45370.0</v>
      </c>
      <c r="P1753" s="164">
        <f t="array" ref="P1753">XLOOKUP('FACUS$'!$B1753,'perfil de pagos'!$A$4:$A$46,'perfil de pagos'!$C$4:$C$46+'FACUS$'!$D1753)</f>
        <v>44770</v>
      </c>
      <c r="Q1753" s="165">
        <f t="shared" si="2"/>
        <v>0</v>
      </c>
      <c r="R1753" s="389" t="s">
        <v>8974</v>
      </c>
      <c r="S1753" s="220" t="s">
        <v>8975</v>
      </c>
      <c r="T1753" s="167"/>
      <c r="U1753" s="334" t="s">
        <v>7271</v>
      </c>
      <c r="V1753" s="168">
        <f t="shared" si="3"/>
        <v>1245.88</v>
      </c>
      <c r="W1753" s="168">
        <f t="shared" si="4"/>
        <v>0</v>
      </c>
      <c r="X1753" s="168">
        <f t="shared" si="5"/>
        <v>0</v>
      </c>
      <c r="Y1753" s="168">
        <f t="shared" si="6"/>
        <v>0</v>
      </c>
      <c r="Z1753" s="168">
        <f t="shared" si="7"/>
        <v>0</v>
      </c>
      <c r="AA1753" s="168">
        <f t="shared" si="8"/>
        <v>0</v>
      </c>
      <c r="AB1753" s="168">
        <f t="shared" si="9"/>
        <v>0</v>
      </c>
    </row>
    <row r="1754" ht="15.0" customHeight="1">
      <c r="A1754" s="157" t="s">
        <v>8976</v>
      </c>
      <c r="B1754" s="169" t="s">
        <v>37</v>
      </c>
      <c r="C1754" s="169" t="s">
        <v>3974</v>
      </c>
      <c r="D1754" s="317">
        <v>44740.0</v>
      </c>
      <c r="E1754" s="157" t="s">
        <v>600</v>
      </c>
      <c r="F1754" s="160">
        <v>88304.32</v>
      </c>
      <c r="G1754" s="160">
        <v>14128.69</v>
      </c>
      <c r="H1754" s="160">
        <f t="shared" si="58"/>
        <v>102433.01</v>
      </c>
      <c r="I1754" s="172"/>
      <c r="J1754" s="169"/>
      <c r="K1754" s="172"/>
      <c r="L1754" s="172">
        <f>+'FACUS$'!$H1754-'FACUS$'!$I1754-'FACUS$'!$K1754</f>
        <v>102433.01</v>
      </c>
      <c r="M1754" s="162" t="s">
        <v>116</v>
      </c>
      <c r="N1754" s="337" t="s">
        <v>554</v>
      </c>
      <c r="O1754" s="338">
        <v>44760.0</v>
      </c>
      <c r="P1754" s="164">
        <f t="array" ref="P1754">XLOOKUP('FACUS$'!$B1754,'perfil de pagos'!$A$4:$A$46,'perfil de pagos'!$C$4:$C$46+'FACUS$'!$D1754)</f>
        <v>44750</v>
      </c>
      <c r="Q1754" s="165">
        <f t="shared" si="2"/>
        <v>0</v>
      </c>
      <c r="R1754" s="220" t="s">
        <v>8977</v>
      </c>
      <c r="S1754" s="167"/>
      <c r="T1754" s="167"/>
      <c r="U1754" s="334" t="s">
        <v>7271</v>
      </c>
      <c r="V1754" s="168">
        <f t="shared" si="3"/>
        <v>102433.01</v>
      </c>
      <c r="W1754" s="168">
        <f t="shared" si="4"/>
        <v>0</v>
      </c>
      <c r="X1754" s="168">
        <f t="shared" si="5"/>
        <v>0</v>
      </c>
      <c r="Y1754" s="168">
        <f t="shared" si="6"/>
        <v>0</v>
      </c>
      <c r="Z1754" s="168">
        <f t="shared" si="7"/>
        <v>0</v>
      </c>
      <c r="AA1754" s="168">
        <f t="shared" si="8"/>
        <v>0</v>
      </c>
      <c r="AB1754" s="168">
        <f t="shared" si="9"/>
        <v>0</v>
      </c>
    </row>
    <row r="1755" ht="15.0" customHeight="1">
      <c r="A1755" s="157" t="s">
        <v>8978</v>
      </c>
      <c r="B1755" s="169" t="s">
        <v>38</v>
      </c>
      <c r="C1755" s="169" t="s">
        <v>3974</v>
      </c>
      <c r="D1755" s="317">
        <v>44740.0</v>
      </c>
      <c r="E1755" s="157" t="s">
        <v>600</v>
      </c>
      <c r="F1755" s="160">
        <v>11124.57</v>
      </c>
      <c r="G1755" s="160">
        <v>1779.93</v>
      </c>
      <c r="H1755" s="160">
        <f>F1755+G1755-638.03-214.18</f>
        <v>12052.29</v>
      </c>
      <c r="I1755" s="172"/>
      <c r="J1755" s="169"/>
      <c r="K1755" s="172"/>
      <c r="L1755" s="172">
        <f>+'FACUS$'!$H1755-'FACUS$'!$I1755-'FACUS$'!$K1755</f>
        <v>12052.29</v>
      </c>
      <c r="M1755" s="162" t="s">
        <v>145</v>
      </c>
      <c r="N1755" s="337" t="s">
        <v>554</v>
      </c>
      <c r="O1755" s="338">
        <v>44802.0</v>
      </c>
      <c r="P1755" s="164">
        <f t="array" ref="P1755">XLOOKUP('FACUS$'!$B1755,'perfil de pagos'!$A$4:$A$46,'perfil de pagos'!$C$4:$C$46+'FACUS$'!$D1755)</f>
        <v>44770</v>
      </c>
      <c r="Q1755" s="165">
        <f t="shared" si="2"/>
        <v>0</v>
      </c>
      <c r="R1755" s="167" t="s">
        <v>8979</v>
      </c>
      <c r="S1755" s="167"/>
      <c r="T1755" s="167"/>
      <c r="U1755" s="334" t="s">
        <v>7271</v>
      </c>
      <c r="V1755" s="168">
        <f t="shared" si="3"/>
        <v>12052.29</v>
      </c>
      <c r="W1755" s="168">
        <f t="shared" si="4"/>
        <v>0</v>
      </c>
      <c r="X1755" s="168">
        <f t="shared" si="5"/>
        <v>0</v>
      </c>
      <c r="Y1755" s="168">
        <f t="shared" si="6"/>
        <v>0</v>
      </c>
      <c r="Z1755" s="168">
        <f t="shared" si="7"/>
        <v>0</v>
      </c>
      <c r="AA1755" s="168">
        <f t="shared" si="8"/>
        <v>0</v>
      </c>
      <c r="AB1755" s="168">
        <f t="shared" si="9"/>
        <v>0</v>
      </c>
    </row>
    <row r="1756" ht="15.0" customHeight="1">
      <c r="A1756" s="157" t="s">
        <v>8980</v>
      </c>
      <c r="B1756" s="169" t="s">
        <v>39</v>
      </c>
      <c r="C1756" s="169" t="s">
        <v>3997</v>
      </c>
      <c r="D1756" s="317">
        <v>44747.0</v>
      </c>
      <c r="E1756" s="157" t="s">
        <v>600</v>
      </c>
      <c r="F1756" s="160">
        <v>39724.05</v>
      </c>
      <c r="G1756" s="160">
        <v>6355.85</v>
      </c>
      <c r="H1756" s="160">
        <f t="shared" ref="H1756:H1765" si="59">F1756+G1756</f>
        <v>46079.9</v>
      </c>
      <c r="I1756" s="172"/>
      <c r="J1756" s="169"/>
      <c r="K1756" s="172"/>
      <c r="L1756" s="172">
        <f>+'FACUS$'!$H1756-'FACUS$'!$I1756-'FACUS$'!$K1756</f>
        <v>46079.9</v>
      </c>
      <c r="M1756" s="162" t="s">
        <v>570</v>
      </c>
      <c r="N1756" s="337" t="s">
        <v>554</v>
      </c>
      <c r="O1756" s="338">
        <v>44760.0</v>
      </c>
      <c r="P1756" s="164">
        <f t="array" ref="P1756">XLOOKUP('FACUS$'!$B1756,'perfil de pagos'!$A$4:$A$46,'perfil de pagos'!$C$4:$C$46+'FACUS$'!$D1756)</f>
        <v>44757</v>
      </c>
      <c r="Q1756" s="165">
        <f t="shared" si="2"/>
        <v>0</v>
      </c>
      <c r="R1756" s="167"/>
      <c r="S1756" s="167"/>
      <c r="T1756" s="167"/>
      <c r="U1756" s="334" t="s">
        <v>7271</v>
      </c>
      <c r="V1756" s="168">
        <f t="shared" si="3"/>
        <v>46079.9</v>
      </c>
      <c r="W1756" s="168">
        <f t="shared" si="4"/>
        <v>0</v>
      </c>
      <c r="X1756" s="168">
        <f t="shared" si="5"/>
        <v>0</v>
      </c>
      <c r="Y1756" s="168">
        <f t="shared" si="6"/>
        <v>0</v>
      </c>
      <c r="Z1756" s="168">
        <f t="shared" si="7"/>
        <v>0</v>
      </c>
      <c r="AA1756" s="168">
        <f t="shared" si="8"/>
        <v>0</v>
      </c>
      <c r="AB1756" s="168">
        <f t="shared" si="9"/>
        <v>0</v>
      </c>
    </row>
    <row r="1757" ht="15.0" customHeight="1">
      <c r="A1757" s="157" t="s">
        <v>8981</v>
      </c>
      <c r="B1757" s="169" t="s">
        <v>39</v>
      </c>
      <c r="C1757" s="169" t="s">
        <v>4011</v>
      </c>
      <c r="D1757" s="317">
        <v>44747.0</v>
      </c>
      <c r="E1757" s="157" t="s">
        <v>600</v>
      </c>
      <c r="F1757" s="160">
        <v>25472.15</v>
      </c>
      <c r="G1757" s="160">
        <v>4075.54</v>
      </c>
      <c r="H1757" s="160">
        <f t="shared" si="59"/>
        <v>29547.69</v>
      </c>
      <c r="I1757" s="172"/>
      <c r="J1757" s="169"/>
      <c r="K1757" s="172"/>
      <c r="L1757" s="172">
        <f>+'FACUS$'!$H1757-'FACUS$'!$I1757-'FACUS$'!$K1757</f>
        <v>29547.69</v>
      </c>
      <c r="M1757" s="162" t="s">
        <v>570</v>
      </c>
      <c r="N1757" s="337" t="s">
        <v>554</v>
      </c>
      <c r="O1757" s="338">
        <v>44760.0</v>
      </c>
      <c r="P1757" s="164">
        <f t="array" ref="P1757">XLOOKUP('FACUS$'!$B1757,'perfil de pagos'!$A$4:$A$46,'perfil de pagos'!$C$4:$C$46+'FACUS$'!$D1757)</f>
        <v>44757</v>
      </c>
      <c r="Q1757" s="165">
        <f t="shared" si="2"/>
        <v>0</v>
      </c>
      <c r="R1757" s="167"/>
      <c r="S1757" s="167"/>
      <c r="T1757" s="167"/>
      <c r="U1757" s="334" t="s">
        <v>7271</v>
      </c>
      <c r="V1757" s="168">
        <f t="shared" si="3"/>
        <v>29547.69</v>
      </c>
      <c r="W1757" s="168">
        <f t="shared" si="4"/>
        <v>0</v>
      </c>
      <c r="X1757" s="168">
        <f t="shared" si="5"/>
        <v>0</v>
      </c>
      <c r="Y1757" s="168">
        <f t="shared" si="6"/>
        <v>0</v>
      </c>
      <c r="Z1757" s="168">
        <f t="shared" si="7"/>
        <v>0</v>
      </c>
      <c r="AA1757" s="168">
        <f t="shared" si="8"/>
        <v>0</v>
      </c>
      <c r="AB1757" s="168">
        <f t="shared" si="9"/>
        <v>0</v>
      </c>
    </row>
    <row r="1758" ht="15.0" customHeight="1">
      <c r="A1758" s="157" t="s">
        <v>8982</v>
      </c>
      <c r="B1758" s="169" t="s">
        <v>41</v>
      </c>
      <c r="C1758" s="169" t="s">
        <v>4011</v>
      </c>
      <c r="D1758" s="317">
        <v>44747.0</v>
      </c>
      <c r="E1758" s="157" t="s">
        <v>600</v>
      </c>
      <c r="F1758" s="160">
        <v>15235.0</v>
      </c>
      <c r="G1758" s="160">
        <v>2437.6</v>
      </c>
      <c r="H1758" s="160">
        <f t="shared" si="59"/>
        <v>17672.6</v>
      </c>
      <c r="I1758" s="172"/>
      <c r="J1758" s="169"/>
      <c r="K1758" s="172"/>
      <c r="L1758" s="172">
        <f>+'FACUS$'!$H1758-'FACUS$'!$I1758-'FACUS$'!$K1758</f>
        <v>17672.6</v>
      </c>
      <c r="M1758" s="162" t="s">
        <v>875</v>
      </c>
      <c r="N1758" s="337" t="s">
        <v>554</v>
      </c>
      <c r="O1758" s="338">
        <v>44791.0</v>
      </c>
      <c r="P1758" s="164">
        <f t="array" ref="P1758">XLOOKUP('FACUS$'!$B1758,'perfil de pagos'!$A$4:$A$46,'perfil de pagos'!$C$4:$C$46+'FACUS$'!$D1758)</f>
        <v>44757</v>
      </c>
      <c r="Q1758" s="165">
        <f t="shared" si="2"/>
        <v>0</v>
      </c>
      <c r="R1758" s="167"/>
      <c r="S1758" s="167">
        <v>1536.0</v>
      </c>
      <c r="T1758" s="167"/>
      <c r="U1758" s="334" t="s">
        <v>7271</v>
      </c>
      <c r="V1758" s="168">
        <f t="shared" si="3"/>
        <v>17672.6</v>
      </c>
      <c r="W1758" s="168">
        <f t="shared" si="4"/>
        <v>0</v>
      </c>
      <c r="X1758" s="168">
        <f t="shared" si="5"/>
        <v>0</v>
      </c>
      <c r="Y1758" s="168">
        <f t="shared" si="6"/>
        <v>0</v>
      </c>
      <c r="Z1758" s="168">
        <f t="shared" si="7"/>
        <v>0</v>
      </c>
      <c r="AA1758" s="168">
        <f t="shared" si="8"/>
        <v>0</v>
      </c>
      <c r="AB1758" s="168">
        <f t="shared" si="9"/>
        <v>0</v>
      </c>
    </row>
    <row r="1759" ht="15.0" customHeight="1">
      <c r="A1759" s="157" t="s">
        <v>8983</v>
      </c>
      <c r="B1759" s="169" t="s">
        <v>36</v>
      </c>
      <c r="C1759" s="169" t="s">
        <v>4011</v>
      </c>
      <c r="D1759" s="317">
        <v>44747.0</v>
      </c>
      <c r="E1759" s="157" t="s">
        <v>600</v>
      </c>
      <c r="F1759" s="160">
        <v>2772.93</v>
      </c>
      <c r="G1759" s="160">
        <v>443.67</v>
      </c>
      <c r="H1759" s="160">
        <f t="shared" si="59"/>
        <v>3216.6</v>
      </c>
      <c r="I1759" s="172"/>
      <c r="J1759" s="169"/>
      <c r="K1759" s="172"/>
      <c r="L1759" s="172">
        <f>+'FACUS$'!$H1759-'FACUS$'!$I1759-'FACUS$'!$K1759</f>
        <v>3216.6</v>
      </c>
      <c r="M1759" s="162" t="s">
        <v>278</v>
      </c>
      <c r="N1759" s="337" t="s">
        <v>554</v>
      </c>
      <c r="O1759" s="338">
        <v>44761.0</v>
      </c>
      <c r="P1759" s="164">
        <f t="array" ref="P1759">XLOOKUP('FACUS$'!$B1759,'perfil de pagos'!$A$4:$A$46,'perfil de pagos'!$C$4:$C$46+'FACUS$'!$D1759)</f>
        <v>44757</v>
      </c>
      <c r="Q1759" s="165">
        <f t="shared" si="2"/>
        <v>0</v>
      </c>
      <c r="R1759" s="247" t="s">
        <v>8984</v>
      </c>
      <c r="S1759" s="167"/>
      <c r="T1759" s="167"/>
      <c r="U1759" s="334" t="s">
        <v>7271</v>
      </c>
      <c r="V1759" s="168">
        <f t="shared" si="3"/>
        <v>3216.6</v>
      </c>
      <c r="W1759" s="168">
        <f t="shared" si="4"/>
        <v>0</v>
      </c>
      <c r="X1759" s="168">
        <f t="shared" si="5"/>
        <v>0</v>
      </c>
      <c r="Y1759" s="168">
        <f t="shared" si="6"/>
        <v>0</v>
      </c>
      <c r="Z1759" s="168">
        <f t="shared" si="7"/>
        <v>0</v>
      </c>
      <c r="AA1759" s="168">
        <f t="shared" si="8"/>
        <v>0</v>
      </c>
      <c r="AB1759" s="168">
        <f t="shared" si="9"/>
        <v>0</v>
      </c>
    </row>
    <row r="1760" ht="15.0" customHeight="1">
      <c r="A1760" s="157" t="s">
        <v>8985</v>
      </c>
      <c r="B1760" s="169" t="s">
        <v>36</v>
      </c>
      <c r="C1760" s="169" t="s">
        <v>8986</v>
      </c>
      <c r="D1760" s="317">
        <v>44747.0</v>
      </c>
      <c r="E1760" s="157" t="s">
        <v>600</v>
      </c>
      <c r="F1760" s="160">
        <v>521.26</v>
      </c>
      <c r="G1760" s="160">
        <v>83.4</v>
      </c>
      <c r="H1760" s="160">
        <f t="shared" si="59"/>
        <v>604.66</v>
      </c>
      <c r="I1760" s="172"/>
      <c r="J1760" s="169"/>
      <c r="K1760" s="172"/>
      <c r="L1760" s="172">
        <f>+'FACUS$'!$H1760-'FACUS$'!$I1760-'FACUS$'!$K1760</f>
        <v>604.66</v>
      </c>
      <c r="M1760" s="162" t="s">
        <v>278</v>
      </c>
      <c r="N1760" s="337" t="s">
        <v>554</v>
      </c>
      <c r="O1760" s="338">
        <v>44755.0</v>
      </c>
      <c r="P1760" s="164">
        <f t="array" ref="P1760">XLOOKUP('FACUS$'!$B1760,'perfil de pagos'!$A$4:$A$46,'perfil de pagos'!$C$4:$C$46+'FACUS$'!$D1760)</f>
        <v>44757</v>
      </c>
      <c r="Q1760" s="165">
        <f t="shared" si="2"/>
        <v>0</v>
      </c>
      <c r="R1760" s="390" t="s">
        <v>8987</v>
      </c>
      <c r="S1760" s="167"/>
      <c r="T1760" s="167"/>
      <c r="U1760" s="334" t="s">
        <v>7271</v>
      </c>
      <c r="V1760" s="168">
        <f t="shared" si="3"/>
        <v>604.66</v>
      </c>
      <c r="W1760" s="168">
        <f t="shared" si="4"/>
        <v>0</v>
      </c>
      <c r="X1760" s="168">
        <f t="shared" si="5"/>
        <v>0</v>
      </c>
      <c r="Y1760" s="168">
        <f t="shared" si="6"/>
        <v>0</v>
      </c>
      <c r="Z1760" s="168">
        <f t="shared" si="7"/>
        <v>0</v>
      </c>
      <c r="AA1760" s="168">
        <f t="shared" si="8"/>
        <v>0</v>
      </c>
      <c r="AB1760" s="168">
        <f t="shared" si="9"/>
        <v>0</v>
      </c>
    </row>
    <row r="1761" ht="15.0" customHeight="1">
      <c r="A1761" s="157" t="s">
        <v>8988</v>
      </c>
      <c r="B1761" s="169" t="s">
        <v>18</v>
      </c>
      <c r="C1761" s="169" t="s">
        <v>4011</v>
      </c>
      <c r="D1761" s="317">
        <v>44749.0</v>
      </c>
      <c r="E1761" s="157" t="s">
        <v>600</v>
      </c>
      <c r="F1761" s="160">
        <v>9210.55</v>
      </c>
      <c r="G1761" s="160">
        <v>1473.69</v>
      </c>
      <c r="H1761" s="160">
        <f t="shared" si="59"/>
        <v>10684.24</v>
      </c>
      <c r="I1761" s="172"/>
      <c r="J1761" s="169"/>
      <c r="K1761" s="172"/>
      <c r="L1761" s="172">
        <f>+'FACUS$'!$H1761-'FACUS$'!$I1761-'FACUS$'!$K1761</f>
        <v>10684.24</v>
      </c>
      <c r="M1761" s="162" t="s">
        <v>586</v>
      </c>
      <c r="N1761" s="337" t="s">
        <v>554</v>
      </c>
      <c r="O1761" s="338">
        <v>44827.0</v>
      </c>
      <c r="P1761" s="164">
        <f t="array" ref="P1761">XLOOKUP('FACUS$'!$B1761,'perfil de pagos'!$A$4:$A$46,'perfil de pagos'!$C$4:$C$46+'FACUS$'!$D1761)</f>
        <v>44759</v>
      </c>
      <c r="Q1761" s="165">
        <f t="shared" si="2"/>
        <v>0</v>
      </c>
      <c r="R1761" s="167"/>
      <c r="S1761" s="167"/>
      <c r="T1761" s="167"/>
      <c r="U1761" s="334" t="s">
        <v>7271</v>
      </c>
      <c r="V1761" s="168">
        <f t="shared" si="3"/>
        <v>10684.24</v>
      </c>
      <c r="W1761" s="168">
        <f t="shared" si="4"/>
        <v>0</v>
      </c>
      <c r="X1761" s="168">
        <f t="shared" si="5"/>
        <v>0</v>
      </c>
      <c r="Y1761" s="168">
        <f t="shared" si="6"/>
        <v>0</v>
      </c>
      <c r="Z1761" s="168">
        <f t="shared" si="7"/>
        <v>0</v>
      </c>
      <c r="AA1761" s="168">
        <f t="shared" si="8"/>
        <v>0</v>
      </c>
      <c r="AB1761" s="168">
        <f t="shared" si="9"/>
        <v>0</v>
      </c>
    </row>
    <row r="1762" ht="15.0" customHeight="1">
      <c r="A1762" s="157" t="s">
        <v>8989</v>
      </c>
      <c r="B1762" s="169" t="s">
        <v>20</v>
      </c>
      <c r="C1762" s="169" t="s">
        <v>4011</v>
      </c>
      <c r="D1762" s="317">
        <v>44749.0</v>
      </c>
      <c r="E1762" s="157" t="s">
        <v>600</v>
      </c>
      <c r="F1762" s="160">
        <v>13042.74</v>
      </c>
      <c r="G1762" s="160">
        <v>2086.84</v>
      </c>
      <c r="H1762" s="160">
        <f t="shared" si="59"/>
        <v>15129.58</v>
      </c>
      <c r="I1762" s="172"/>
      <c r="J1762" s="169"/>
      <c r="K1762" s="172"/>
      <c r="L1762" s="172">
        <f>+'FACUS$'!$H1762-'FACUS$'!$I1762-'FACUS$'!$K1762</f>
        <v>15129.58</v>
      </c>
      <c r="M1762" s="162" t="s">
        <v>732</v>
      </c>
      <c r="N1762" s="337" t="s">
        <v>554</v>
      </c>
      <c r="O1762" s="338">
        <v>44827.0</v>
      </c>
      <c r="P1762" s="164">
        <f t="array" ref="P1762">XLOOKUP('FACUS$'!$B1762,'perfil de pagos'!$A$4:$A$46,'perfil de pagos'!$C$4:$C$46+'FACUS$'!$D1762)</f>
        <v>44759</v>
      </c>
      <c r="Q1762" s="165">
        <f t="shared" si="2"/>
        <v>0</v>
      </c>
      <c r="R1762" s="167"/>
      <c r="S1762" s="167"/>
      <c r="T1762" s="167"/>
      <c r="U1762" s="334" t="s">
        <v>7271</v>
      </c>
      <c r="V1762" s="168">
        <f t="shared" si="3"/>
        <v>15129.58</v>
      </c>
      <c r="W1762" s="168">
        <f t="shared" si="4"/>
        <v>0</v>
      </c>
      <c r="X1762" s="168">
        <f t="shared" si="5"/>
        <v>0</v>
      </c>
      <c r="Y1762" s="168">
        <f t="shared" si="6"/>
        <v>0</v>
      </c>
      <c r="Z1762" s="168">
        <f t="shared" si="7"/>
        <v>0</v>
      </c>
      <c r="AA1762" s="168">
        <f t="shared" si="8"/>
        <v>0</v>
      </c>
      <c r="AB1762" s="168">
        <f t="shared" si="9"/>
        <v>0</v>
      </c>
    </row>
    <row r="1763" ht="15.0" customHeight="1">
      <c r="A1763" s="157" t="s">
        <v>8990</v>
      </c>
      <c r="B1763" s="169" t="s">
        <v>22</v>
      </c>
      <c r="C1763" s="169" t="s">
        <v>4011</v>
      </c>
      <c r="D1763" s="317">
        <v>44749.0</v>
      </c>
      <c r="E1763" s="157" t="s">
        <v>600</v>
      </c>
      <c r="F1763" s="160">
        <v>14626.69</v>
      </c>
      <c r="G1763" s="160">
        <v>2340.27</v>
      </c>
      <c r="H1763" s="160">
        <f t="shared" si="59"/>
        <v>16966.96</v>
      </c>
      <c r="I1763" s="172"/>
      <c r="J1763" s="169"/>
      <c r="K1763" s="172"/>
      <c r="L1763" s="172">
        <f>+'FACUS$'!$H1763-'FACUS$'!$I1763-'FACUS$'!$K1763</f>
        <v>16966.96</v>
      </c>
      <c r="M1763" s="162" t="s">
        <v>220</v>
      </c>
      <c r="N1763" s="337" t="s">
        <v>554</v>
      </c>
      <c r="O1763" s="338">
        <v>44803.0</v>
      </c>
      <c r="P1763" s="164">
        <f t="array" ref="P1763">XLOOKUP('FACUS$'!$B1763,'perfil de pagos'!$A$4:$A$46,'perfil de pagos'!$C$4:$C$46+'FACUS$'!$D1763)</f>
        <v>44759</v>
      </c>
      <c r="Q1763" s="165">
        <f t="shared" si="2"/>
        <v>0</v>
      </c>
      <c r="R1763" s="167"/>
      <c r="S1763" s="167"/>
      <c r="T1763" s="167"/>
      <c r="U1763" s="334" t="s">
        <v>7271</v>
      </c>
      <c r="V1763" s="168">
        <f t="shared" si="3"/>
        <v>16966.96</v>
      </c>
      <c r="W1763" s="168">
        <f t="shared" si="4"/>
        <v>0</v>
      </c>
      <c r="X1763" s="168">
        <f t="shared" si="5"/>
        <v>0</v>
      </c>
      <c r="Y1763" s="168">
        <f t="shared" si="6"/>
        <v>0</v>
      </c>
      <c r="Z1763" s="168">
        <f t="shared" si="7"/>
        <v>0</v>
      </c>
      <c r="AA1763" s="168">
        <f t="shared" si="8"/>
        <v>0</v>
      </c>
      <c r="AB1763" s="168">
        <f t="shared" si="9"/>
        <v>0</v>
      </c>
    </row>
    <row r="1764" ht="15.0" customHeight="1">
      <c r="A1764" s="157" t="s">
        <v>8991</v>
      </c>
      <c r="B1764" s="169" t="s">
        <v>26</v>
      </c>
      <c r="C1764" s="169" t="s">
        <v>4011</v>
      </c>
      <c r="D1764" s="317">
        <v>44749.0</v>
      </c>
      <c r="E1764" s="157" t="s">
        <v>600</v>
      </c>
      <c r="F1764" s="160">
        <v>3847.82</v>
      </c>
      <c r="G1764" s="160">
        <v>615.65</v>
      </c>
      <c r="H1764" s="160">
        <f t="shared" si="59"/>
        <v>4463.47</v>
      </c>
      <c r="I1764" s="172"/>
      <c r="J1764" s="169"/>
      <c r="K1764" s="172"/>
      <c r="L1764" s="172">
        <f>+'FACUS$'!$H1764-'FACUS$'!$I1764-'FACUS$'!$K1764</f>
        <v>4463.47</v>
      </c>
      <c r="M1764" s="162" t="s">
        <v>2386</v>
      </c>
      <c r="N1764" s="337" t="s">
        <v>554</v>
      </c>
      <c r="O1764" s="338">
        <v>45370.0</v>
      </c>
      <c r="P1764" s="164">
        <f t="array" ref="P1764">XLOOKUP('FACUS$'!$B1764,'perfil de pagos'!$A$4:$A$46,'perfil de pagos'!$C$4:$C$46+'FACUS$'!$D1764)</f>
        <v>44779</v>
      </c>
      <c r="Q1764" s="165">
        <f t="shared" si="2"/>
        <v>0</v>
      </c>
      <c r="R1764" s="167"/>
      <c r="S1764" s="167">
        <v>2868.0</v>
      </c>
      <c r="T1764" s="167"/>
      <c r="U1764" s="334" t="s">
        <v>7271</v>
      </c>
      <c r="V1764" s="168">
        <f t="shared" si="3"/>
        <v>4463.47</v>
      </c>
      <c r="W1764" s="168">
        <f t="shared" si="4"/>
        <v>0</v>
      </c>
      <c r="X1764" s="168">
        <f t="shared" si="5"/>
        <v>0</v>
      </c>
      <c r="Y1764" s="168">
        <f t="shared" si="6"/>
        <v>0</v>
      </c>
      <c r="Z1764" s="168">
        <f t="shared" si="7"/>
        <v>0</v>
      </c>
      <c r="AA1764" s="168">
        <f t="shared" si="8"/>
        <v>0</v>
      </c>
      <c r="AB1764" s="168">
        <f t="shared" si="9"/>
        <v>0</v>
      </c>
    </row>
    <row r="1765" ht="15.0" customHeight="1">
      <c r="A1765" s="157" t="s">
        <v>8992</v>
      </c>
      <c r="B1765" s="169" t="s">
        <v>37</v>
      </c>
      <c r="C1765" s="169" t="s">
        <v>4011</v>
      </c>
      <c r="D1765" s="317">
        <v>44749.0</v>
      </c>
      <c r="E1765" s="157" t="s">
        <v>600</v>
      </c>
      <c r="F1765" s="160">
        <v>90442.08</v>
      </c>
      <c r="G1765" s="160">
        <f>'FACUS$'!$F1765*0.16</f>
        <v>14470.7328</v>
      </c>
      <c r="H1765" s="160">
        <f t="shared" si="59"/>
        <v>104912.8128</v>
      </c>
      <c r="I1765" s="172"/>
      <c r="J1765" s="169"/>
      <c r="K1765" s="172"/>
      <c r="L1765" s="172">
        <f>+'FACUS$'!$H1765-'FACUS$'!$I1765-'FACUS$'!$K1765</f>
        <v>104912.8128</v>
      </c>
      <c r="M1765" s="162" t="s">
        <v>116</v>
      </c>
      <c r="N1765" s="337" t="s">
        <v>554</v>
      </c>
      <c r="O1765" s="338">
        <v>44795.0</v>
      </c>
      <c r="P1765" s="164">
        <f t="array" ref="P1765">XLOOKUP('FACUS$'!$B1765,'perfil de pagos'!$A$4:$A$46,'perfil de pagos'!$C$4:$C$46+'FACUS$'!$D1765)</f>
        <v>44759</v>
      </c>
      <c r="Q1765" s="165">
        <f t="shared" si="2"/>
        <v>0</v>
      </c>
      <c r="R1765" s="220" t="s">
        <v>8993</v>
      </c>
      <c r="S1765" s="167">
        <v>1535.0</v>
      </c>
      <c r="T1765" s="167"/>
      <c r="U1765" s="334" t="s">
        <v>7271</v>
      </c>
      <c r="V1765" s="168">
        <f t="shared" si="3"/>
        <v>104912.8128</v>
      </c>
      <c r="W1765" s="168">
        <f t="shared" si="4"/>
        <v>0</v>
      </c>
      <c r="X1765" s="168">
        <f t="shared" si="5"/>
        <v>0</v>
      </c>
      <c r="Y1765" s="168">
        <f t="shared" si="6"/>
        <v>0</v>
      </c>
      <c r="Z1765" s="168">
        <f t="shared" si="7"/>
        <v>0</v>
      </c>
      <c r="AA1765" s="168">
        <f t="shared" si="8"/>
        <v>0</v>
      </c>
      <c r="AB1765" s="168">
        <f t="shared" si="9"/>
        <v>0</v>
      </c>
    </row>
    <row r="1766" ht="15.0" customHeight="1">
      <c r="A1766" s="157" t="s">
        <v>8994</v>
      </c>
      <c r="B1766" s="169" t="s">
        <v>38</v>
      </c>
      <c r="C1766" s="169" t="s">
        <v>4011</v>
      </c>
      <c r="D1766" s="317">
        <v>44749.0</v>
      </c>
      <c r="E1766" s="157" t="s">
        <v>600</v>
      </c>
      <c r="F1766" s="160">
        <v>12586.41</v>
      </c>
      <c r="G1766" s="160">
        <v>2013.83</v>
      </c>
      <c r="H1766" s="160">
        <f>F1766+G1766-845.44</f>
        <v>13754.8</v>
      </c>
      <c r="I1766" s="172"/>
      <c r="J1766" s="169"/>
      <c r="K1766" s="172"/>
      <c r="L1766" s="172">
        <f>+'FACUS$'!$H1766-'FACUS$'!$I1766-'FACUS$'!$K1766</f>
        <v>13754.8</v>
      </c>
      <c r="M1766" s="162" t="s">
        <v>145</v>
      </c>
      <c r="N1766" s="337" t="s">
        <v>554</v>
      </c>
      <c r="O1766" s="338">
        <v>44795.0</v>
      </c>
      <c r="P1766" s="164">
        <f t="array" ref="P1766">XLOOKUP('FACUS$'!$B1766,'perfil de pagos'!$A$4:$A$46,'perfil de pagos'!$C$4:$C$46+'FACUS$'!$D1766)</f>
        <v>44779</v>
      </c>
      <c r="Q1766" s="165">
        <f t="shared" si="2"/>
        <v>0</v>
      </c>
      <c r="R1766" s="167" t="s">
        <v>8995</v>
      </c>
      <c r="S1766" s="167"/>
      <c r="T1766" s="167"/>
      <c r="U1766" s="334" t="s">
        <v>7271</v>
      </c>
      <c r="V1766" s="168">
        <f t="shared" si="3"/>
        <v>13754.8</v>
      </c>
      <c r="W1766" s="168">
        <f t="shared" si="4"/>
        <v>0</v>
      </c>
      <c r="X1766" s="168">
        <f t="shared" si="5"/>
        <v>0</v>
      </c>
      <c r="Y1766" s="168">
        <f t="shared" si="6"/>
        <v>0</v>
      </c>
      <c r="Z1766" s="168">
        <f t="shared" si="7"/>
        <v>0</v>
      </c>
      <c r="AA1766" s="168">
        <f t="shared" si="8"/>
        <v>0</v>
      </c>
      <c r="AB1766" s="168">
        <f t="shared" si="9"/>
        <v>0</v>
      </c>
    </row>
    <row r="1767" ht="15.0" customHeight="1">
      <c r="A1767" s="157" t="s">
        <v>8996</v>
      </c>
      <c r="B1767" s="169" t="s">
        <v>39</v>
      </c>
      <c r="C1767" s="169" t="s">
        <v>4032</v>
      </c>
      <c r="D1767" s="317">
        <v>44760.0</v>
      </c>
      <c r="E1767" s="157" t="s">
        <v>600</v>
      </c>
      <c r="F1767" s="160">
        <v>22153.22</v>
      </c>
      <c r="G1767" s="160">
        <f>'FACUS$'!$F1767*0.16</f>
        <v>3544.5152</v>
      </c>
      <c r="H1767" s="160">
        <f t="shared" ref="H1767:H1789" si="60">F1767+G1767</f>
        <v>25697.7352</v>
      </c>
      <c r="I1767" s="172"/>
      <c r="J1767" s="169"/>
      <c r="K1767" s="172"/>
      <c r="L1767" s="172">
        <f>+'FACUS$'!$H1767-'FACUS$'!$I1767-'FACUS$'!$K1767</f>
        <v>25697.7352</v>
      </c>
      <c r="M1767" s="162" t="s">
        <v>570</v>
      </c>
      <c r="N1767" s="337" t="s">
        <v>554</v>
      </c>
      <c r="O1767" s="338">
        <v>44771.0</v>
      </c>
      <c r="P1767" s="164">
        <f t="array" ref="P1767">XLOOKUP('FACUS$'!$B1767,'perfil de pagos'!$A$4:$A$46,'perfil de pagos'!$C$4:$C$46+'FACUS$'!$D1767)</f>
        <v>44770</v>
      </c>
      <c r="Q1767" s="165">
        <f t="shared" si="2"/>
        <v>0</v>
      </c>
      <c r="R1767" s="167"/>
      <c r="S1767" s="167">
        <v>1505.0</v>
      </c>
      <c r="T1767" s="167"/>
      <c r="U1767" s="334" t="s">
        <v>7271</v>
      </c>
      <c r="V1767" s="168">
        <f t="shared" si="3"/>
        <v>25697.7352</v>
      </c>
      <c r="W1767" s="168">
        <f t="shared" si="4"/>
        <v>0</v>
      </c>
      <c r="X1767" s="168">
        <f t="shared" si="5"/>
        <v>0</v>
      </c>
      <c r="Y1767" s="168">
        <f t="shared" si="6"/>
        <v>0</v>
      </c>
      <c r="Z1767" s="168">
        <f t="shared" si="7"/>
        <v>0</v>
      </c>
      <c r="AA1767" s="168">
        <f t="shared" si="8"/>
        <v>0</v>
      </c>
      <c r="AB1767" s="168">
        <f t="shared" si="9"/>
        <v>0</v>
      </c>
    </row>
    <row r="1768" ht="15.0" customHeight="1">
      <c r="A1768" s="157" t="s">
        <v>8997</v>
      </c>
      <c r="B1768" s="169" t="s">
        <v>39</v>
      </c>
      <c r="C1768" s="169" t="s">
        <v>4048</v>
      </c>
      <c r="D1768" s="317">
        <v>44760.0</v>
      </c>
      <c r="E1768" s="157" t="s">
        <v>600</v>
      </c>
      <c r="F1768" s="160">
        <v>15970.99</v>
      </c>
      <c r="G1768" s="160">
        <f>'FACUS$'!$F1768*0.16</f>
        <v>2555.3584</v>
      </c>
      <c r="H1768" s="160">
        <f t="shared" si="60"/>
        <v>18526.3484</v>
      </c>
      <c r="I1768" s="172"/>
      <c r="J1768" s="169"/>
      <c r="K1768" s="172"/>
      <c r="L1768" s="172">
        <f>+'FACUS$'!$H1768-'FACUS$'!$I1768-'FACUS$'!$K1768</f>
        <v>18526.3484</v>
      </c>
      <c r="M1768" s="162" t="s">
        <v>570</v>
      </c>
      <c r="N1768" s="337" t="s">
        <v>554</v>
      </c>
      <c r="O1768" s="338">
        <v>44771.0</v>
      </c>
      <c r="P1768" s="164">
        <f t="array" ref="P1768">XLOOKUP('FACUS$'!$B1768,'perfil de pagos'!$A$4:$A$46,'perfil de pagos'!$C$4:$C$46+'FACUS$'!$D1768)</f>
        <v>44770</v>
      </c>
      <c r="Q1768" s="165">
        <f t="shared" si="2"/>
        <v>0</v>
      </c>
      <c r="R1768" s="167"/>
      <c r="S1768" s="167">
        <v>1505.0</v>
      </c>
      <c r="T1768" s="167"/>
      <c r="U1768" s="334" t="s">
        <v>7271</v>
      </c>
      <c r="V1768" s="168">
        <f t="shared" si="3"/>
        <v>18526.3484</v>
      </c>
      <c r="W1768" s="168">
        <f t="shared" si="4"/>
        <v>0</v>
      </c>
      <c r="X1768" s="168">
        <f t="shared" si="5"/>
        <v>0</v>
      </c>
      <c r="Y1768" s="168">
        <f t="shared" si="6"/>
        <v>0</v>
      </c>
      <c r="Z1768" s="168">
        <f t="shared" si="7"/>
        <v>0</v>
      </c>
      <c r="AA1768" s="168">
        <f t="shared" si="8"/>
        <v>0</v>
      </c>
      <c r="AB1768" s="168">
        <f t="shared" si="9"/>
        <v>0</v>
      </c>
    </row>
    <row r="1769" ht="15.0" customHeight="1">
      <c r="A1769" s="157" t="s">
        <v>8998</v>
      </c>
      <c r="B1769" s="169" t="s">
        <v>36</v>
      </c>
      <c r="C1769" s="169" t="s">
        <v>4048</v>
      </c>
      <c r="D1769" s="317">
        <v>44760.0</v>
      </c>
      <c r="E1769" s="157" t="s">
        <v>600</v>
      </c>
      <c r="F1769" s="160">
        <v>2519.46</v>
      </c>
      <c r="G1769" s="160">
        <f>'FACUS$'!$F1769*0.16</f>
        <v>403.1136</v>
      </c>
      <c r="H1769" s="160">
        <f t="shared" si="60"/>
        <v>2922.5736</v>
      </c>
      <c r="I1769" s="172"/>
      <c r="J1769" s="169"/>
      <c r="K1769" s="172"/>
      <c r="L1769" s="172">
        <f>+'FACUS$'!$H1769-'FACUS$'!$I1769-'FACUS$'!$K1769</f>
        <v>2922.5736</v>
      </c>
      <c r="M1769" s="162" t="s">
        <v>278</v>
      </c>
      <c r="N1769" s="337" t="s">
        <v>554</v>
      </c>
      <c r="O1769" s="338">
        <v>44767.0</v>
      </c>
      <c r="P1769" s="164">
        <f t="array" ref="P1769">XLOOKUP('FACUS$'!$B1769,'perfil de pagos'!$A$4:$A$46,'perfil de pagos'!$C$4:$C$46+'FACUS$'!$D1769)</f>
        <v>44770</v>
      </c>
      <c r="Q1769" s="165">
        <f t="shared" si="2"/>
        <v>0</v>
      </c>
      <c r="R1769" s="247" t="s">
        <v>8999</v>
      </c>
      <c r="S1769" s="167"/>
      <c r="T1769" s="167"/>
      <c r="U1769" s="334" t="s">
        <v>7271</v>
      </c>
      <c r="V1769" s="168">
        <f t="shared" si="3"/>
        <v>2922.5736</v>
      </c>
      <c r="W1769" s="168">
        <f t="shared" si="4"/>
        <v>0</v>
      </c>
      <c r="X1769" s="168">
        <f t="shared" si="5"/>
        <v>0</v>
      </c>
      <c r="Y1769" s="168">
        <f t="shared" si="6"/>
        <v>0</v>
      </c>
      <c r="Z1769" s="168">
        <f t="shared" si="7"/>
        <v>0</v>
      </c>
      <c r="AA1769" s="168">
        <f t="shared" si="8"/>
        <v>0</v>
      </c>
      <c r="AB1769" s="168">
        <f t="shared" si="9"/>
        <v>0</v>
      </c>
    </row>
    <row r="1770" ht="15.0" customHeight="1">
      <c r="A1770" s="157" t="s">
        <v>9000</v>
      </c>
      <c r="B1770" s="169" t="s">
        <v>41</v>
      </c>
      <c r="C1770" s="169" t="s">
        <v>4048</v>
      </c>
      <c r="D1770" s="317">
        <v>44760.0</v>
      </c>
      <c r="E1770" s="157" t="s">
        <v>600</v>
      </c>
      <c r="F1770" s="160">
        <v>16496.16</v>
      </c>
      <c r="G1770" s="160">
        <f>'FACUS$'!$F1770*0.16</f>
        <v>2639.3856</v>
      </c>
      <c r="H1770" s="160">
        <f t="shared" si="60"/>
        <v>19135.5456</v>
      </c>
      <c r="I1770" s="172"/>
      <c r="J1770" s="169"/>
      <c r="K1770" s="172"/>
      <c r="L1770" s="172">
        <f>+'FACUS$'!$H1770-'FACUS$'!$I1770-'FACUS$'!$K1770</f>
        <v>19135.5456</v>
      </c>
      <c r="M1770" s="162" t="s">
        <v>875</v>
      </c>
      <c r="N1770" s="337" t="s">
        <v>554</v>
      </c>
      <c r="O1770" s="338">
        <v>44819.0</v>
      </c>
      <c r="P1770" s="164">
        <f t="array" ref="P1770">XLOOKUP('FACUS$'!$B1770,'perfil de pagos'!$A$4:$A$46,'perfil de pagos'!$C$4:$C$46+'FACUS$'!$D1770)</f>
        <v>44770</v>
      </c>
      <c r="Q1770" s="165">
        <f t="shared" si="2"/>
        <v>0</v>
      </c>
      <c r="R1770" s="167"/>
      <c r="S1770" s="167">
        <v>1577.0</v>
      </c>
      <c r="T1770" s="167"/>
      <c r="U1770" s="334" t="s">
        <v>7271</v>
      </c>
      <c r="V1770" s="168">
        <f t="shared" si="3"/>
        <v>19135.5456</v>
      </c>
      <c r="W1770" s="168">
        <f t="shared" si="4"/>
        <v>0</v>
      </c>
      <c r="X1770" s="168">
        <f t="shared" si="5"/>
        <v>0</v>
      </c>
      <c r="Y1770" s="168">
        <f t="shared" si="6"/>
        <v>0</v>
      </c>
      <c r="Z1770" s="168">
        <f t="shared" si="7"/>
        <v>0</v>
      </c>
      <c r="AA1770" s="168">
        <f t="shared" si="8"/>
        <v>0</v>
      </c>
      <c r="AB1770" s="168">
        <f t="shared" si="9"/>
        <v>0</v>
      </c>
    </row>
    <row r="1771" ht="15.0" customHeight="1">
      <c r="A1771" s="157" t="s">
        <v>9001</v>
      </c>
      <c r="B1771" s="169" t="s">
        <v>18</v>
      </c>
      <c r="C1771" s="169" t="s">
        <v>9002</v>
      </c>
      <c r="D1771" s="317">
        <v>44764.0</v>
      </c>
      <c r="E1771" s="157" t="s">
        <v>600</v>
      </c>
      <c r="F1771" s="160">
        <v>7447.37</v>
      </c>
      <c r="G1771" s="160">
        <f>'FACUS$'!$F1771*0.16</f>
        <v>1191.5792</v>
      </c>
      <c r="H1771" s="160">
        <f t="shared" si="60"/>
        <v>8638.9492</v>
      </c>
      <c r="I1771" s="172"/>
      <c r="J1771" s="169"/>
      <c r="K1771" s="172"/>
      <c r="L1771" s="172">
        <f>+'FACUS$'!$H1771-'FACUS$'!$I1771-'FACUS$'!$K1771</f>
        <v>8638.9492</v>
      </c>
      <c r="M1771" s="162" t="s">
        <v>586</v>
      </c>
      <c r="N1771" s="337" t="s">
        <v>554</v>
      </c>
      <c r="O1771" s="338">
        <v>44827.0</v>
      </c>
      <c r="P1771" s="164">
        <f t="array" ref="P1771">XLOOKUP('FACUS$'!$B1771,'perfil de pagos'!$A$4:$A$46,'perfil de pagos'!$C$4:$C$46+'FACUS$'!$D1771)</f>
        <v>44774</v>
      </c>
      <c r="Q1771" s="165">
        <f t="shared" si="2"/>
        <v>0</v>
      </c>
      <c r="R1771" s="167"/>
      <c r="S1771" s="167"/>
      <c r="T1771" s="167"/>
      <c r="U1771" s="334" t="s">
        <v>7271</v>
      </c>
      <c r="V1771" s="168">
        <f t="shared" si="3"/>
        <v>8638.9492</v>
      </c>
      <c r="W1771" s="168">
        <f t="shared" si="4"/>
        <v>0</v>
      </c>
      <c r="X1771" s="168">
        <f t="shared" si="5"/>
        <v>0</v>
      </c>
      <c r="Y1771" s="168">
        <f t="shared" si="6"/>
        <v>0</v>
      </c>
      <c r="Z1771" s="168">
        <f t="shared" si="7"/>
        <v>0</v>
      </c>
      <c r="AA1771" s="168">
        <f t="shared" si="8"/>
        <v>0</v>
      </c>
      <c r="AB1771" s="168">
        <f t="shared" si="9"/>
        <v>0</v>
      </c>
    </row>
    <row r="1772" ht="15.0" customHeight="1">
      <c r="A1772" s="210" t="s">
        <v>9003</v>
      </c>
      <c r="B1772" s="189" t="s">
        <v>127</v>
      </c>
      <c r="C1772" s="189"/>
      <c r="D1772" s="388"/>
      <c r="E1772" s="210"/>
      <c r="F1772" s="211"/>
      <c r="G1772" s="211"/>
      <c r="H1772" s="211">
        <f t="shared" si="60"/>
        <v>0</v>
      </c>
      <c r="I1772" s="188"/>
      <c r="J1772" s="189"/>
      <c r="K1772" s="188"/>
      <c r="L1772" s="188">
        <f>+'FACUS$'!$H1772-'FACUS$'!$I1772-'FACUS$'!$K1772</f>
        <v>0</v>
      </c>
      <c r="M1772" s="227"/>
      <c r="N1772" s="376" t="s">
        <v>554</v>
      </c>
      <c r="O1772" s="377"/>
      <c r="P1772" s="245" t="str">
        <f t="array" ref="P1772">XLOOKUP('FACUS$'!$B1772,'perfil de pagos'!$A$4:$A$46,'perfil de pagos'!$C$4:$C$46+'FACUS$'!$D1772)</f>
        <v>#N/A</v>
      </c>
      <c r="Q1772" s="246">
        <f t="shared" si="2"/>
        <v>0</v>
      </c>
      <c r="R1772" s="223"/>
      <c r="S1772" s="223"/>
      <c r="T1772" s="223"/>
      <c r="U1772" s="378" t="s">
        <v>7271</v>
      </c>
      <c r="V1772" s="168">
        <f t="shared" si="3"/>
        <v>0</v>
      </c>
      <c r="W1772" s="168">
        <f t="shared" si="4"/>
        <v>0</v>
      </c>
      <c r="X1772" s="168">
        <f t="shared" si="5"/>
        <v>0</v>
      </c>
      <c r="Y1772" s="168">
        <f t="shared" si="6"/>
        <v>0</v>
      </c>
      <c r="Z1772" s="168">
        <f t="shared" si="7"/>
        <v>0</v>
      </c>
      <c r="AA1772" s="168">
        <f t="shared" si="8"/>
        <v>0</v>
      </c>
      <c r="AB1772" s="168">
        <f t="shared" si="9"/>
        <v>0</v>
      </c>
      <c r="AC1772" s="81"/>
      <c r="AD1772" s="81"/>
      <c r="AE1772" s="81"/>
    </row>
    <row r="1773" ht="15.0" customHeight="1">
      <c r="A1773" s="157" t="s">
        <v>9004</v>
      </c>
      <c r="B1773" s="169" t="s">
        <v>26</v>
      </c>
      <c r="C1773" s="169" t="s">
        <v>9002</v>
      </c>
      <c r="D1773" s="317">
        <v>44764.0</v>
      </c>
      <c r="E1773" s="157" t="s">
        <v>600</v>
      </c>
      <c r="F1773" s="160">
        <v>6243.55</v>
      </c>
      <c r="G1773" s="160">
        <f>'FACUS$'!$F1773*0.16</f>
        <v>998.968</v>
      </c>
      <c r="H1773" s="160">
        <f t="shared" si="60"/>
        <v>7242.518</v>
      </c>
      <c r="I1773" s="172">
        <v>3276.99</v>
      </c>
      <c r="J1773" s="169"/>
      <c r="K1773" s="172"/>
      <c r="L1773" s="172">
        <f>+'FACUS$'!$H1773-'FACUS$'!$I1773-'FACUS$'!$K1773</f>
        <v>3965.528</v>
      </c>
      <c r="M1773" s="162" t="s">
        <v>2386</v>
      </c>
      <c r="N1773" s="337" t="s">
        <v>554</v>
      </c>
      <c r="O1773" s="338">
        <v>45412.0</v>
      </c>
      <c r="P1773" s="164">
        <f t="array" ref="P1773">XLOOKUP('FACUS$'!$B1773,'perfil de pagos'!$A$4:$A$46,'perfil de pagos'!$C$4:$C$46+'FACUS$'!$D1773)</f>
        <v>44794</v>
      </c>
      <c r="Q1773" s="165">
        <f t="shared" si="2"/>
        <v>0</v>
      </c>
      <c r="R1773" s="220" t="s">
        <v>9005</v>
      </c>
      <c r="S1773" s="220" t="s">
        <v>9006</v>
      </c>
      <c r="T1773" s="167"/>
      <c r="U1773" s="334" t="s">
        <v>7271</v>
      </c>
      <c r="V1773" s="168">
        <f t="shared" si="3"/>
        <v>3965.528</v>
      </c>
      <c r="W1773" s="168">
        <f t="shared" si="4"/>
        <v>0</v>
      </c>
      <c r="X1773" s="168">
        <f t="shared" si="5"/>
        <v>0</v>
      </c>
      <c r="Y1773" s="168">
        <f t="shared" si="6"/>
        <v>0</v>
      </c>
      <c r="Z1773" s="168">
        <f t="shared" si="7"/>
        <v>0</v>
      </c>
      <c r="AA1773" s="168">
        <f t="shared" si="8"/>
        <v>0</v>
      </c>
      <c r="AB1773" s="168">
        <f t="shared" si="9"/>
        <v>0</v>
      </c>
    </row>
    <row r="1774" ht="15.0" customHeight="1">
      <c r="A1774" s="157" t="s">
        <v>9007</v>
      </c>
      <c r="B1774" s="169" t="s">
        <v>37</v>
      </c>
      <c r="C1774" s="169" t="s">
        <v>9002</v>
      </c>
      <c r="D1774" s="317">
        <v>44764.0</v>
      </c>
      <c r="E1774" s="157" t="s">
        <v>600</v>
      </c>
      <c r="F1774" s="160">
        <v>82449.57</v>
      </c>
      <c r="G1774" s="160">
        <f>'FACUS$'!$F1774*0.16</f>
        <v>13191.9312</v>
      </c>
      <c r="H1774" s="160">
        <f t="shared" si="60"/>
        <v>95641.5012</v>
      </c>
      <c r="I1774" s="172"/>
      <c r="J1774" s="169"/>
      <c r="K1774" s="172"/>
      <c r="L1774" s="172">
        <f>+'FACUS$'!$H1774-'FACUS$'!$I1774-'FACUS$'!$K1774</f>
        <v>95641.5012</v>
      </c>
      <c r="M1774" s="162" t="s">
        <v>116</v>
      </c>
      <c r="N1774" s="337" t="s">
        <v>554</v>
      </c>
      <c r="O1774" s="338">
        <v>44775.0</v>
      </c>
      <c r="P1774" s="164">
        <f t="array" ref="P1774">XLOOKUP('FACUS$'!$B1774,'perfil de pagos'!$A$4:$A$46,'perfil de pagos'!$C$4:$C$46+'FACUS$'!$D1774)</f>
        <v>44774</v>
      </c>
      <c r="Q1774" s="165">
        <f t="shared" si="2"/>
        <v>0</v>
      </c>
      <c r="R1774" s="247" t="s">
        <v>9008</v>
      </c>
      <c r="S1774" s="167">
        <v>1517.0</v>
      </c>
      <c r="T1774" s="167"/>
      <c r="U1774" s="334" t="s">
        <v>7271</v>
      </c>
      <c r="V1774" s="168">
        <f t="shared" si="3"/>
        <v>95641.5012</v>
      </c>
      <c r="W1774" s="168">
        <f t="shared" si="4"/>
        <v>0</v>
      </c>
      <c r="X1774" s="168">
        <f t="shared" si="5"/>
        <v>0</v>
      </c>
      <c r="Y1774" s="168">
        <f t="shared" si="6"/>
        <v>0</v>
      </c>
      <c r="Z1774" s="168">
        <f t="shared" si="7"/>
        <v>0</v>
      </c>
      <c r="AA1774" s="168">
        <f t="shared" si="8"/>
        <v>0</v>
      </c>
      <c r="AB1774" s="168">
        <f t="shared" si="9"/>
        <v>0</v>
      </c>
    </row>
    <row r="1775" ht="15.0" customHeight="1">
      <c r="A1775" s="287" t="s">
        <v>9009</v>
      </c>
      <c r="B1775" s="391" t="s">
        <v>38</v>
      </c>
      <c r="C1775" s="391" t="s">
        <v>9002</v>
      </c>
      <c r="D1775" s="392">
        <v>44764.0</v>
      </c>
      <c r="E1775" s="287" t="s">
        <v>600</v>
      </c>
      <c r="F1775" s="288">
        <v>10610.16</v>
      </c>
      <c r="G1775" s="288">
        <f>'FACUS$'!$F1775*0.16</f>
        <v>1697.6256</v>
      </c>
      <c r="H1775" s="288">
        <f t="shared" si="60"/>
        <v>12307.7856</v>
      </c>
      <c r="I1775" s="393"/>
      <c r="J1775" s="391"/>
      <c r="K1775" s="393"/>
      <c r="L1775" s="393">
        <f>+'FACUS$'!$H1775-'FACUS$'!$I1775-'FACUS$'!$K1775</f>
        <v>12307.7856</v>
      </c>
      <c r="M1775" s="290" t="s">
        <v>145</v>
      </c>
      <c r="N1775" s="394" t="s">
        <v>554</v>
      </c>
      <c r="O1775" s="395">
        <v>44827.0</v>
      </c>
      <c r="P1775" s="291">
        <f t="array" ref="P1775">XLOOKUP('FACUS$'!$B1775,'perfil de pagos'!$A$4:$A$46,'perfil de pagos'!$C$4:$C$46+'FACUS$'!$D1775)</f>
        <v>44794</v>
      </c>
      <c r="Q1775" s="292">
        <f t="shared" si="2"/>
        <v>0</v>
      </c>
      <c r="R1775" s="293"/>
      <c r="S1775" s="293">
        <v>1567.0</v>
      </c>
      <c r="T1775" s="293"/>
      <c r="U1775" s="396" t="s">
        <v>7271</v>
      </c>
      <c r="V1775" s="168">
        <f t="shared" si="3"/>
        <v>12307.7856</v>
      </c>
      <c r="W1775" s="168">
        <f t="shared" si="4"/>
        <v>0</v>
      </c>
      <c r="X1775" s="168">
        <f t="shared" si="5"/>
        <v>0</v>
      </c>
      <c r="Y1775" s="168">
        <f t="shared" si="6"/>
        <v>0</v>
      </c>
      <c r="Z1775" s="168">
        <f t="shared" si="7"/>
        <v>0</v>
      </c>
      <c r="AA1775" s="168">
        <f t="shared" si="8"/>
        <v>0</v>
      </c>
      <c r="AB1775" s="168">
        <f t="shared" si="9"/>
        <v>0</v>
      </c>
      <c r="AC1775" s="296"/>
      <c r="AD1775" s="296"/>
      <c r="AE1775" s="296"/>
    </row>
    <row r="1776" ht="15.0" customHeight="1">
      <c r="A1776" s="157" t="s">
        <v>9010</v>
      </c>
      <c r="B1776" s="169" t="s">
        <v>22</v>
      </c>
      <c r="C1776" s="169" t="s">
        <v>9002</v>
      </c>
      <c r="D1776" s="317">
        <v>44764.0</v>
      </c>
      <c r="E1776" s="157" t="s">
        <v>600</v>
      </c>
      <c r="F1776" s="160">
        <v>10723.98</v>
      </c>
      <c r="G1776" s="160">
        <f>'FACUS$'!$F1776*0.16</f>
        <v>1715.8368</v>
      </c>
      <c r="H1776" s="160">
        <f t="shared" si="60"/>
        <v>12439.8168</v>
      </c>
      <c r="I1776" s="172"/>
      <c r="J1776" s="169"/>
      <c r="K1776" s="172"/>
      <c r="L1776" s="172">
        <f>+'FACUS$'!$H1776-'FACUS$'!$I1776-'FACUS$'!$K1776</f>
        <v>12439.8168</v>
      </c>
      <c r="M1776" s="162" t="s">
        <v>220</v>
      </c>
      <c r="N1776" s="337" t="s">
        <v>554</v>
      </c>
      <c r="O1776" s="338">
        <v>44816.0</v>
      </c>
      <c r="P1776" s="164">
        <f t="array" ref="P1776">XLOOKUP('FACUS$'!$B1776,'perfil de pagos'!$A$4:$A$46,'perfil de pagos'!$C$4:$C$46+'FACUS$'!$D1776)</f>
        <v>44774</v>
      </c>
      <c r="Q1776" s="165">
        <f t="shared" si="2"/>
        <v>0</v>
      </c>
      <c r="R1776" s="220" t="s">
        <v>9011</v>
      </c>
      <c r="S1776" s="167"/>
      <c r="T1776" s="167"/>
      <c r="U1776" s="334" t="s">
        <v>7271</v>
      </c>
      <c r="V1776" s="168">
        <f t="shared" si="3"/>
        <v>12439.8168</v>
      </c>
      <c r="W1776" s="168">
        <f t="shared" si="4"/>
        <v>0</v>
      </c>
      <c r="X1776" s="168">
        <f t="shared" si="5"/>
        <v>0</v>
      </c>
      <c r="Y1776" s="168">
        <f t="shared" si="6"/>
        <v>0</v>
      </c>
      <c r="Z1776" s="168">
        <f t="shared" si="7"/>
        <v>0</v>
      </c>
      <c r="AA1776" s="168">
        <f t="shared" si="8"/>
        <v>0</v>
      </c>
      <c r="AB1776" s="168">
        <f t="shared" si="9"/>
        <v>0</v>
      </c>
    </row>
    <row r="1777" ht="15.0" customHeight="1">
      <c r="A1777" s="210" t="s">
        <v>9012</v>
      </c>
      <c r="B1777" s="189" t="s">
        <v>146</v>
      </c>
      <c r="C1777" s="189"/>
      <c r="D1777" s="388"/>
      <c r="E1777" s="210"/>
      <c r="F1777" s="211"/>
      <c r="G1777" s="211"/>
      <c r="H1777" s="211">
        <f t="shared" si="60"/>
        <v>0</v>
      </c>
      <c r="I1777" s="188"/>
      <c r="J1777" s="189"/>
      <c r="K1777" s="188"/>
      <c r="L1777" s="188">
        <f>+'FACUS$'!$H1777-'FACUS$'!$I1777-'FACUS$'!$K1777</f>
        <v>0</v>
      </c>
      <c r="M1777" s="227"/>
      <c r="N1777" s="376" t="s">
        <v>554</v>
      </c>
      <c r="O1777" s="377"/>
      <c r="P1777" s="245" t="str">
        <f t="array" ref="P1777">XLOOKUP('FACUS$'!$B1777,'perfil de pagos'!$A$4:$A$46,'perfil de pagos'!$C$4:$C$46+'FACUS$'!$D1777)</f>
        <v>#N/A</v>
      </c>
      <c r="Q1777" s="246">
        <f t="shared" si="2"/>
        <v>0</v>
      </c>
      <c r="R1777" s="223"/>
      <c r="S1777" s="223"/>
      <c r="T1777" s="223"/>
      <c r="U1777" s="378" t="s">
        <v>7271</v>
      </c>
      <c r="V1777" s="168">
        <f t="shared" si="3"/>
        <v>0</v>
      </c>
      <c r="W1777" s="168">
        <f t="shared" si="4"/>
        <v>0</v>
      </c>
      <c r="X1777" s="168">
        <f t="shared" si="5"/>
        <v>0</v>
      </c>
      <c r="Y1777" s="168">
        <f t="shared" si="6"/>
        <v>0</v>
      </c>
      <c r="Z1777" s="168">
        <f t="shared" si="7"/>
        <v>0</v>
      </c>
      <c r="AA1777" s="168">
        <f t="shared" si="8"/>
        <v>0</v>
      </c>
      <c r="AB1777" s="168">
        <f t="shared" si="9"/>
        <v>0</v>
      </c>
      <c r="AC1777" s="81"/>
      <c r="AD1777" s="81"/>
      <c r="AE1777" s="81"/>
    </row>
    <row r="1778" ht="15.0" customHeight="1">
      <c r="A1778" s="157" t="s">
        <v>9013</v>
      </c>
      <c r="B1778" s="169" t="s">
        <v>20</v>
      </c>
      <c r="C1778" s="169" t="s">
        <v>9002</v>
      </c>
      <c r="D1778" s="317">
        <v>44764.0</v>
      </c>
      <c r="E1778" s="157" t="s">
        <v>600</v>
      </c>
      <c r="F1778" s="160">
        <v>13522.79</v>
      </c>
      <c r="G1778" s="160">
        <f>'FACUS$'!$F1778*0.16</f>
        <v>2163.6464</v>
      </c>
      <c r="H1778" s="160">
        <f t="shared" si="60"/>
        <v>15686.4364</v>
      </c>
      <c r="I1778" s="172"/>
      <c r="J1778" s="169"/>
      <c r="K1778" s="172"/>
      <c r="L1778" s="172">
        <f>+'FACUS$'!$H1778-'FACUS$'!$I1778-'FACUS$'!$K1778</f>
        <v>15686.4364</v>
      </c>
      <c r="M1778" s="162" t="s">
        <v>732</v>
      </c>
      <c r="N1778" s="337" t="s">
        <v>554</v>
      </c>
      <c r="O1778" s="338">
        <v>44827.0</v>
      </c>
      <c r="P1778" s="164">
        <f t="array" ref="P1778">XLOOKUP('FACUS$'!$B1778,'perfil de pagos'!$A$4:$A$46,'perfil de pagos'!$C$4:$C$46+'FACUS$'!$D1778)</f>
        <v>44774</v>
      </c>
      <c r="Q1778" s="165">
        <f t="shared" si="2"/>
        <v>0</v>
      </c>
      <c r="R1778" s="167"/>
      <c r="S1778" s="167"/>
      <c r="T1778" s="167"/>
      <c r="U1778" s="334" t="s">
        <v>7271</v>
      </c>
      <c r="V1778" s="168">
        <f t="shared" si="3"/>
        <v>15686.4364</v>
      </c>
      <c r="W1778" s="168">
        <f t="shared" si="4"/>
        <v>0</v>
      </c>
      <c r="X1778" s="168">
        <f t="shared" si="5"/>
        <v>0</v>
      </c>
      <c r="Y1778" s="168">
        <f t="shared" si="6"/>
        <v>0</v>
      </c>
      <c r="Z1778" s="168">
        <f t="shared" si="7"/>
        <v>0</v>
      </c>
      <c r="AA1778" s="168">
        <f t="shared" si="8"/>
        <v>0</v>
      </c>
      <c r="AB1778" s="168">
        <f t="shared" si="9"/>
        <v>0</v>
      </c>
    </row>
    <row r="1779" ht="15.0" customHeight="1">
      <c r="A1779" s="157" t="s">
        <v>9014</v>
      </c>
      <c r="B1779" s="169" t="s">
        <v>39</v>
      </c>
      <c r="C1779" s="169" t="s">
        <v>4081</v>
      </c>
      <c r="D1779" s="317">
        <v>44775.0</v>
      </c>
      <c r="E1779" s="157" t="s">
        <v>600</v>
      </c>
      <c r="F1779" s="160">
        <v>31887.9</v>
      </c>
      <c r="G1779" s="160">
        <f>'FACUS$'!$F1779*0.16</f>
        <v>5102.064</v>
      </c>
      <c r="H1779" s="160">
        <f t="shared" si="60"/>
        <v>36989.964</v>
      </c>
      <c r="I1779" s="172"/>
      <c r="J1779" s="169"/>
      <c r="K1779" s="172"/>
      <c r="L1779" s="172">
        <f>+'FACUS$'!$H1779-'FACUS$'!$I1779-'FACUS$'!$K1779</f>
        <v>36989.964</v>
      </c>
      <c r="M1779" s="162" t="s">
        <v>570</v>
      </c>
      <c r="N1779" s="337" t="s">
        <v>554</v>
      </c>
      <c r="O1779" s="338">
        <v>44785.0</v>
      </c>
      <c r="P1779" s="164">
        <f t="array" ref="P1779">XLOOKUP('FACUS$'!$B1779,'perfil de pagos'!$A$4:$A$46,'perfil de pagos'!$C$4:$C$46+'FACUS$'!$D1779)</f>
        <v>44785</v>
      </c>
      <c r="Q1779" s="165">
        <f t="shared" si="2"/>
        <v>0</v>
      </c>
      <c r="R1779" s="167">
        <v>1523.0</v>
      </c>
      <c r="S1779" s="167"/>
      <c r="T1779" s="167"/>
      <c r="U1779" s="334" t="s">
        <v>7271</v>
      </c>
      <c r="V1779" s="168">
        <f t="shared" si="3"/>
        <v>36989.964</v>
      </c>
      <c r="W1779" s="168">
        <f t="shared" si="4"/>
        <v>0</v>
      </c>
      <c r="X1779" s="168">
        <f t="shared" si="5"/>
        <v>0</v>
      </c>
      <c r="Y1779" s="168">
        <f t="shared" si="6"/>
        <v>0</v>
      </c>
      <c r="Z1779" s="168">
        <f t="shared" si="7"/>
        <v>0</v>
      </c>
      <c r="AA1779" s="168">
        <f t="shared" si="8"/>
        <v>0</v>
      </c>
      <c r="AB1779" s="168">
        <f t="shared" si="9"/>
        <v>0</v>
      </c>
    </row>
    <row r="1780" ht="15.0" customHeight="1">
      <c r="A1780" s="157" t="s">
        <v>9015</v>
      </c>
      <c r="B1780" s="169" t="s">
        <v>39</v>
      </c>
      <c r="C1780" s="169" t="s">
        <v>4096</v>
      </c>
      <c r="D1780" s="317">
        <v>44775.0</v>
      </c>
      <c r="E1780" s="157" t="s">
        <v>600</v>
      </c>
      <c r="F1780" s="160">
        <v>18387.0</v>
      </c>
      <c r="G1780" s="160">
        <f>'FACUS$'!$F1780*0.16</f>
        <v>2941.92</v>
      </c>
      <c r="H1780" s="160">
        <f t="shared" si="60"/>
        <v>21328.92</v>
      </c>
      <c r="I1780" s="172"/>
      <c r="J1780" s="169"/>
      <c r="K1780" s="172"/>
      <c r="L1780" s="172">
        <f>+'FACUS$'!$H1780-'FACUS$'!$I1780-'FACUS$'!$K1780</f>
        <v>21328.92</v>
      </c>
      <c r="M1780" s="162" t="s">
        <v>570</v>
      </c>
      <c r="N1780" s="337" t="s">
        <v>554</v>
      </c>
      <c r="O1780" s="338">
        <v>44785.0</v>
      </c>
      <c r="P1780" s="164">
        <f t="array" ref="P1780">XLOOKUP('FACUS$'!$B1780,'perfil de pagos'!$A$4:$A$46,'perfil de pagos'!$C$4:$C$46+'FACUS$'!$D1780)</f>
        <v>44785</v>
      </c>
      <c r="Q1780" s="165">
        <f t="shared" si="2"/>
        <v>0</v>
      </c>
      <c r="R1780" s="167">
        <v>1523.0</v>
      </c>
      <c r="S1780" s="167"/>
      <c r="T1780" s="167"/>
      <c r="U1780" s="334" t="s">
        <v>7271</v>
      </c>
      <c r="V1780" s="168">
        <f t="shared" si="3"/>
        <v>21328.92</v>
      </c>
      <c r="W1780" s="168">
        <f t="shared" si="4"/>
        <v>0</v>
      </c>
      <c r="X1780" s="168">
        <f t="shared" si="5"/>
        <v>0</v>
      </c>
      <c r="Y1780" s="168">
        <f t="shared" si="6"/>
        <v>0</v>
      </c>
      <c r="Z1780" s="168">
        <f t="shared" si="7"/>
        <v>0</v>
      </c>
      <c r="AA1780" s="168">
        <f t="shared" si="8"/>
        <v>0</v>
      </c>
      <c r="AB1780" s="168">
        <f t="shared" si="9"/>
        <v>0</v>
      </c>
    </row>
    <row r="1781" ht="15.0" customHeight="1">
      <c r="A1781" s="157" t="s">
        <v>9016</v>
      </c>
      <c r="B1781" s="169" t="s">
        <v>41</v>
      </c>
      <c r="C1781" s="169" t="s">
        <v>4096</v>
      </c>
      <c r="D1781" s="317">
        <v>44775.0</v>
      </c>
      <c r="E1781" s="157" t="s">
        <v>600</v>
      </c>
      <c r="F1781" s="160">
        <v>19866.0</v>
      </c>
      <c r="G1781" s="160">
        <f>'FACUS$'!$F1781*0.16</f>
        <v>3178.56</v>
      </c>
      <c r="H1781" s="160">
        <f t="shared" si="60"/>
        <v>23044.56</v>
      </c>
      <c r="I1781" s="172"/>
      <c r="J1781" s="169"/>
      <c r="K1781" s="172"/>
      <c r="L1781" s="172">
        <f>+'FACUS$'!$H1781-'FACUS$'!$I1781-'FACUS$'!$K1781</f>
        <v>23044.56</v>
      </c>
      <c r="M1781" s="162" t="s">
        <v>875</v>
      </c>
      <c r="N1781" s="337" t="s">
        <v>554</v>
      </c>
      <c r="O1781" s="338">
        <v>44844.0</v>
      </c>
      <c r="P1781" s="164">
        <f t="array" ref="P1781">XLOOKUP('FACUS$'!$B1781,'perfil de pagos'!$A$4:$A$46,'perfil de pagos'!$C$4:$C$46+'FACUS$'!$D1781)</f>
        <v>44785</v>
      </c>
      <c r="Q1781" s="165">
        <f t="shared" si="2"/>
        <v>0</v>
      </c>
      <c r="R1781" s="167"/>
      <c r="S1781" s="167">
        <v>1624.0</v>
      </c>
      <c r="T1781" s="167"/>
      <c r="U1781" s="334" t="s">
        <v>7271</v>
      </c>
      <c r="V1781" s="168">
        <f t="shared" si="3"/>
        <v>23044.56</v>
      </c>
      <c r="W1781" s="168">
        <f t="shared" si="4"/>
        <v>0</v>
      </c>
      <c r="X1781" s="168">
        <f t="shared" si="5"/>
        <v>0</v>
      </c>
      <c r="Y1781" s="168">
        <f t="shared" si="6"/>
        <v>0</v>
      </c>
      <c r="Z1781" s="168">
        <f t="shared" si="7"/>
        <v>0</v>
      </c>
      <c r="AA1781" s="168">
        <f t="shared" si="8"/>
        <v>0</v>
      </c>
      <c r="AB1781" s="168">
        <f t="shared" si="9"/>
        <v>0</v>
      </c>
    </row>
    <row r="1782" ht="15.0" customHeight="1">
      <c r="A1782" s="157" t="s">
        <v>9017</v>
      </c>
      <c r="B1782" s="169" t="s">
        <v>36</v>
      </c>
      <c r="C1782" s="169" t="s">
        <v>4096</v>
      </c>
      <c r="D1782" s="317">
        <v>44775.0</v>
      </c>
      <c r="E1782" s="157" t="s">
        <v>600</v>
      </c>
      <c r="F1782" s="160">
        <v>2930.85</v>
      </c>
      <c r="G1782" s="160">
        <f>'FACUS$'!$F1782*0.16</f>
        <v>468.936</v>
      </c>
      <c r="H1782" s="160">
        <f t="shared" si="60"/>
        <v>3399.786</v>
      </c>
      <c r="I1782" s="172"/>
      <c r="J1782" s="169"/>
      <c r="K1782" s="172"/>
      <c r="L1782" s="172">
        <f>+'FACUS$'!$H1782-'FACUS$'!$I1782-'FACUS$'!$K1782</f>
        <v>3399.786</v>
      </c>
      <c r="M1782" s="162" t="s">
        <v>278</v>
      </c>
      <c r="N1782" s="337" t="s">
        <v>554</v>
      </c>
      <c r="O1782" s="338">
        <v>44785.0</v>
      </c>
      <c r="P1782" s="164">
        <f t="array" ref="P1782">XLOOKUP('FACUS$'!$B1782,'perfil de pagos'!$A$4:$A$46,'perfil de pagos'!$C$4:$C$46+'FACUS$'!$D1782)</f>
        <v>44785</v>
      </c>
      <c r="Q1782" s="165">
        <f t="shared" si="2"/>
        <v>0</v>
      </c>
      <c r="R1782" s="247" t="s">
        <v>9018</v>
      </c>
      <c r="S1782" s="167">
        <v>1525.0</v>
      </c>
      <c r="T1782" s="167"/>
      <c r="U1782" s="334" t="s">
        <v>7271</v>
      </c>
      <c r="V1782" s="168">
        <f t="shared" si="3"/>
        <v>3399.786</v>
      </c>
      <c r="W1782" s="168">
        <f t="shared" si="4"/>
        <v>0</v>
      </c>
      <c r="X1782" s="168">
        <f t="shared" si="5"/>
        <v>0</v>
      </c>
      <c r="Y1782" s="168">
        <f t="shared" si="6"/>
        <v>0</v>
      </c>
      <c r="Z1782" s="168">
        <f t="shared" si="7"/>
        <v>0</v>
      </c>
      <c r="AA1782" s="168">
        <f t="shared" si="8"/>
        <v>0</v>
      </c>
      <c r="AB1782" s="168">
        <f t="shared" si="9"/>
        <v>0</v>
      </c>
    </row>
    <row r="1783" ht="15.0" customHeight="1">
      <c r="A1783" s="157" t="s">
        <v>9019</v>
      </c>
      <c r="B1783" s="169" t="s">
        <v>36</v>
      </c>
      <c r="C1783" s="169" t="s">
        <v>9020</v>
      </c>
      <c r="D1783" s="317">
        <v>44775.0</v>
      </c>
      <c r="E1783" s="157" t="s">
        <v>600</v>
      </c>
      <c r="F1783" s="160">
        <f>613.25-91.99</f>
        <v>521.26</v>
      </c>
      <c r="G1783" s="160">
        <f>'FACUS$'!$F1783*0.16</f>
        <v>83.4016</v>
      </c>
      <c r="H1783" s="160">
        <f t="shared" si="60"/>
        <v>604.6616</v>
      </c>
      <c r="I1783" s="172"/>
      <c r="J1783" s="169"/>
      <c r="K1783" s="172"/>
      <c r="L1783" s="172">
        <f>+'FACUS$'!$H1783-'FACUS$'!$I1783-'FACUS$'!$K1783</f>
        <v>604.6616</v>
      </c>
      <c r="M1783" s="162" t="s">
        <v>278</v>
      </c>
      <c r="N1783" s="337" t="s">
        <v>554</v>
      </c>
      <c r="O1783" s="338">
        <v>44785.0</v>
      </c>
      <c r="P1783" s="164">
        <f t="array" ref="P1783">XLOOKUP('FACUS$'!$B1783,'perfil de pagos'!$A$4:$A$46,'perfil de pagos'!$C$4:$C$46+'FACUS$'!$D1783)</f>
        <v>44785</v>
      </c>
      <c r="Q1783" s="165">
        <f t="shared" si="2"/>
        <v>0</v>
      </c>
      <c r="R1783" s="247" t="s">
        <v>9021</v>
      </c>
      <c r="S1783" s="167">
        <v>1524.0</v>
      </c>
      <c r="T1783" s="167"/>
      <c r="U1783" s="334" t="s">
        <v>7271</v>
      </c>
      <c r="V1783" s="168">
        <f t="shared" si="3"/>
        <v>604.6616</v>
      </c>
      <c r="W1783" s="168">
        <f t="shared" si="4"/>
        <v>0</v>
      </c>
      <c r="X1783" s="168">
        <f t="shared" si="5"/>
        <v>0</v>
      </c>
      <c r="Y1783" s="168">
        <f t="shared" si="6"/>
        <v>0</v>
      </c>
      <c r="Z1783" s="168">
        <f t="shared" si="7"/>
        <v>0</v>
      </c>
      <c r="AA1783" s="168">
        <f t="shared" si="8"/>
        <v>0</v>
      </c>
      <c r="AB1783" s="168">
        <f t="shared" si="9"/>
        <v>0</v>
      </c>
    </row>
    <row r="1784" ht="15.0" customHeight="1">
      <c r="A1784" s="157" t="s">
        <v>9022</v>
      </c>
      <c r="B1784" s="169" t="s">
        <v>18</v>
      </c>
      <c r="C1784" s="169" t="s">
        <v>4096</v>
      </c>
      <c r="D1784" s="317">
        <v>44778.0</v>
      </c>
      <c r="E1784" s="157" t="s">
        <v>600</v>
      </c>
      <c r="F1784" s="160">
        <v>9293.49</v>
      </c>
      <c r="G1784" s="160">
        <f>'FACUS$'!$F1784*0.16</f>
        <v>1486.9584</v>
      </c>
      <c r="H1784" s="160">
        <f t="shared" si="60"/>
        <v>10780.4484</v>
      </c>
      <c r="I1784" s="172"/>
      <c r="J1784" s="169"/>
      <c r="K1784" s="172"/>
      <c r="L1784" s="172">
        <f>+'FACUS$'!$H1784-'FACUS$'!$I1784-'FACUS$'!$K1784</f>
        <v>10780.4484</v>
      </c>
      <c r="M1784" s="162" t="s">
        <v>586</v>
      </c>
      <c r="N1784" s="337" t="s">
        <v>554</v>
      </c>
      <c r="O1784" s="338">
        <v>44827.0</v>
      </c>
      <c r="P1784" s="164">
        <f t="array" ref="P1784">XLOOKUP('FACUS$'!$B1784,'perfil de pagos'!$A$4:$A$46,'perfil de pagos'!$C$4:$C$46+'FACUS$'!$D1784)</f>
        <v>44788</v>
      </c>
      <c r="Q1784" s="165">
        <f t="shared" si="2"/>
        <v>0</v>
      </c>
      <c r="R1784" s="167"/>
      <c r="S1784" s="167"/>
      <c r="T1784" s="167"/>
      <c r="U1784" s="334" t="s">
        <v>7271</v>
      </c>
      <c r="V1784" s="168">
        <f t="shared" si="3"/>
        <v>10780.4484</v>
      </c>
      <c r="W1784" s="168">
        <f t="shared" si="4"/>
        <v>0</v>
      </c>
      <c r="X1784" s="168">
        <f t="shared" si="5"/>
        <v>0</v>
      </c>
      <c r="Y1784" s="168">
        <f t="shared" si="6"/>
        <v>0</v>
      </c>
      <c r="Z1784" s="168">
        <f t="shared" si="7"/>
        <v>0</v>
      </c>
      <c r="AA1784" s="168">
        <f t="shared" si="8"/>
        <v>0</v>
      </c>
      <c r="AB1784" s="168">
        <f t="shared" si="9"/>
        <v>0</v>
      </c>
    </row>
    <row r="1785" ht="15.0" customHeight="1">
      <c r="A1785" s="157" t="s">
        <v>9023</v>
      </c>
      <c r="B1785" s="169" t="s">
        <v>20</v>
      </c>
      <c r="C1785" s="169" t="s">
        <v>4096</v>
      </c>
      <c r="D1785" s="317">
        <v>44778.0</v>
      </c>
      <c r="E1785" s="157" t="s">
        <v>600</v>
      </c>
      <c r="F1785" s="160">
        <v>15905.29</v>
      </c>
      <c r="G1785" s="160">
        <f>'FACUS$'!$F1785*0.16</f>
        <v>2544.8464</v>
      </c>
      <c r="H1785" s="160">
        <f t="shared" si="60"/>
        <v>18450.1364</v>
      </c>
      <c r="I1785" s="172"/>
      <c r="J1785" s="169"/>
      <c r="K1785" s="172"/>
      <c r="L1785" s="172">
        <f>+'FACUS$'!$H1785-'FACUS$'!$I1785-'FACUS$'!$K1785</f>
        <v>18450.1364</v>
      </c>
      <c r="M1785" s="162" t="s">
        <v>732</v>
      </c>
      <c r="N1785" s="337" t="s">
        <v>554</v>
      </c>
      <c r="O1785" s="338">
        <v>44827.0</v>
      </c>
      <c r="P1785" s="164">
        <f t="array" ref="P1785">XLOOKUP('FACUS$'!$B1785,'perfil de pagos'!$A$4:$A$46,'perfil de pagos'!$C$4:$C$46+'FACUS$'!$D1785)</f>
        <v>44788</v>
      </c>
      <c r="Q1785" s="165">
        <f t="shared" si="2"/>
        <v>0</v>
      </c>
      <c r="R1785" s="167"/>
      <c r="S1785" s="167"/>
      <c r="T1785" s="167"/>
      <c r="U1785" s="334" t="s">
        <v>7271</v>
      </c>
      <c r="V1785" s="168">
        <f t="shared" si="3"/>
        <v>18450.1364</v>
      </c>
      <c r="W1785" s="168">
        <f t="shared" si="4"/>
        <v>0</v>
      </c>
      <c r="X1785" s="168">
        <f t="shared" si="5"/>
        <v>0</v>
      </c>
      <c r="Y1785" s="168">
        <f t="shared" si="6"/>
        <v>0</v>
      </c>
      <c r="Z1785" s="168">
        <f t="shared" si="7"/>
        <v>0</v>
      </c>
      <c r="AA1785" s="168">
        <f t="shared" si="8"/>
        <v>0</v>
      </c>
      <c r="AB1785" s="168">
        <f t="shared" si="9"/>
        <v>0</v>
      </c>
    </row>
    <row r="1786" ht="15.0" customHeight="1">
      <c r="A1786" s="157" t="s">
        <v>9024</v>
      </c>
      <c r="B1786" s="169" t="s">
        <v>22</v>
      </c>
      <c r="C1786" s="169" t="s">
        <v>4096</v>
      </c>
      <c r="D1786" s="317">
        <v>44778.0</v>
      </c>
      <c r="E1786" s="157" t="s">
        <v>600</v>
      </c>
      <c r="F1786" s="160">
        <v>11916.43</v>
      </c>
      <c r="G1786" s="160">
        <f>'FACUS$'!$F1786*0.16</f>
        <v>1906.6288</v>
      </c>
      <c r="H1786" s="160">
        <f t="shared" si="60"/>
        <v>13823.0588</v>
      </c>
      <c r="I1786" s="172"/>
      <c r="J1786" s="169"/>
      <c r="K1786" s="172"/>
      <c r="L1786" s="172">
        <f>+'FACUS$'!$H1786-'FACUS$'!$I1786-'FACUS$'!$K1786</f>
        <v>13823.0588</v>
      </c>
      <c r="M1786" s="162" t="s">
        <v>220</v>
      </c>
      <c r="N1786" s="337" t="s">
        <v>554</v>
      </c>
      <c r="O1786" s="338">
        <v>44802.0</v>
      </c>
      <c r="P1786" s="164">
        <f t="array" ref="P1786">XLOOKUP('FACUS$'!$B1786,'perfil de pagos'!$A$4:$A$46,'perfil de pagos'!$C$4:$C$46+'FACUS$'!$D1786)</f>
        <v>44788</v>
      </c>
      <c r="Q1786" s="165">
        <f t="shared" si="2"/>
        <v>0</v>
      </c>
      <c r="R1786" s="167"/>
      <c r="S1786" s="167"/>
      <c r="T1786" s="167"/>
      <c r="U1786" s="334" t="s">
        <v>7271</v>
      </c>
      <c r="V1786" s="168">
        <f t="shared" si="3"/>
        <v>13823.0588</v>
      </c>
      <c r="W1786" s="168">
        <f t="shared" si="4"/>
        <v>0</v>
      </c>
      <c r="X1786" s="168">
        <f t="shared" si="5"/>
        <v>0</v>
      </c>
      <c r="Y1786" s="168">
        <f t="shared" si="6"/>
        <v>0</v>
      </c>
      <c r="Z1786" s="168">
        <f t="shared" si="7"/>
        <v>0</v>
      </c>
      <c r="AA1786" s="168">
        <f t="shared" si="8"/>
        <v>0</v>
      </c>
      <c r="AB1786" s="168">
        <f t="shared" si="9"/>
        <v>0</v>
      </c>
    </row>
    <row r="1787" ht="15.0" customHeight="1">
      <c r="A1787" s="157" t="s">
        <v>9025</v>
      </c>
      <c r="B1787" s="169" t="s">
        <v>26</v>
      </c>
      <c r="C1787" s="169" t="s">
        <v>4096</v>
      </c>
      <c r="D1787" s="317">
        <v>44778.0</v>
      </c>
      <c r="E1787" s="157" t="s">
        <v>600</v>
      </c>
      <c r="F1787" s="160">
        <v>5983.87</v>
      </c>
      <c r="G1787" s="160">
        <f>'FACUS$'!$F1787*0.16</f>
        <v>957.4192</v>
      </c>
      <c r="H1787" s="160">
        <f t="shared" si="60"/>
        <v>6941.2892</v>
      </c>
      <c r="I1787" s="172"/>
      <c r="J1787" s="169"/>
      <c r="K1787" s="172"/>
      <c r="L1787" s="172">
        <f>+'FACUS$'!$H1787-'FACUS$'!$I1787-'FACUS$'!$K1787</f>
        <v>6941.2892</v>
      </c>
      <c r="M1787" s="162" t="s">
        <v>2386</v>
      </c>
      <c r="N1787" s="337" t="s">
        <v>554</v>
      </c>
      <c r="O1787" s="338">
        <v>45412.0</v>
      </c>
      <c r="P1787" s="164">
        <f t="array" ref="P1787">XLOOKUP('FACUS$'!$B1787,'perfil de pagos'!$A$4:$A$46,'perfil de pagos'!$C$4:$C$46+'FACUS$'!$D1787)</f>
        <v>44808</v>
      </c>
      <c r="Q1787" s="165">
        <f t="shared" si="2"/>
        <v>0</v>
      </c>
      <c r="R1787" s="167"/>
      <c r="S1787" s="167">
        <v>2963.0</v>
      </c>
      <c r="T1787" s="167"/>
      <c r="U1787" s="334" t="s">
        <v>7271</v>
      </c>
      <c r="V1787" s="168">
        <f t="shared" si="3"/>
        <v>6941.2892</v>
      </c>
      <c r="W1787" s="168">
        <f t="shared" si="4"/>
        <v>0</v>
      </c>
      <c r="X1787" s="168">
        <f t="shared" si="5"/>
        <v>0</v>
      </c>
      <c r="Y1787" s="168">
        <f t="shared" si="6"/>
        <v>0</v>
      </c>
      <c r="Z1787" s="168">
        <f t="shared" si="7"/>
        <v>0</v>
      </c>
      <c r="AA1787" s="168">
        <f t="shared" si="8"/>
        <v>0</v>
      </c>
      <c r="AB1787" s="168">
        <f t="shared" si="9"/>
        <v>0</v>
      </c>
    </row>
    <row r="1788" ht="15.0" customHeight="1">
      <c r="A1788" s="210" t="s">
        <v>9026</v>
      </c>
      <c r="B1788" s="189" t="s">
        <v>146</v>
      </c>
      <c r="C1788" s="189"/>
      <c r="D1788" s="388"/>
      <c r="E1788" s="210"/>
      <c r="F1788" s="211"/>
      <c r="G1788" s="211">
        <f>'FACUS$'!$F1788*0.16</f>
        <v>0</v>
      </c>
      <c r="H1788" s="211">
        <f t="shared" si="60"/>
        <v>0</v>
      </c>
      <c r="I1788" s="188"/>
      <c r="J1788" s="189"/>
      <c r="K1788" s="188"/>
      <c r="L1788" s="188">
        <f>+'FACUS$'!$H1788-'FACUS$'!$I1788-'FACUS$'!$K1788</f>
        <v>0</v>
      </c>
      <c r="M1788" s="227"/>
      <c r="N1788" s="376" t="s">
        <v>224</v>
      </c>
      <c r="O1788" s="377"/>
      <c r="P1788" s="245" t="str">
        <f t="array" ref="P1788">XLOOKUP('FACUS$'!$B1788,'perfil de pagos'!$A$4:$A$46,'perfil de pagos'!$C$4:$C$46+'FACUS$'!$D1788)</f>
        <v>#N/A</v>
      </c>
      <c r="Q1788" s="246" t="b">
        <f t="shared" si="2"/>
        <v>0</v>
      </c>
      <c r="R1788" s="223" t="s">
        <v>352</v>
      </c>
      <c r="S1788" s="223"/>
      <c r="T1788" s="223"/>
      <c r="U1788" s="378" t="s">
        <v>7271</v>
      </c>
      <c r="V1788" s="168">
        <f t="shared" si="3"/>
        <v>0</v>
      </c>
      <c r="W1788" s="168">
        <f t="shared" si="4"/>
        <v>0</v>
      </c>
      <c r="X1788" s="168">
        <f t="shared" si="5"/>
        <v>0</v>
      </c>
      <c r="Y1788" s="168">
        <f t="shared" si="6"/>
        <v>0</v>
      </c>
      <c r="Z1788" s="168">
        <f t="shared" si="7"/>
        <v>0</v>
      </c>
      <c r="AA1788" s="168">
        <f t="shared" si="8"/>
        <v>0</v>
      </c>
      <c r="AB1788" s="168">
        <f t="shared" si="9"/>
        <v>0</v>
      </c>
      <c r="AC1788" s="81"/>
      <c r="AD1788" s="81"/>
      <c r="AE1788" s="81"/>
    </row>
    <row r="1789" ht="15.0" customHeight="1">
      <c r="A1789" s="157" t="s">
        <v>9027</v>
      </c>
      <c r="B1789" s="169" t="s">
        <v>37</v>
      </c>
      <c r="C1789" s="169" t="s">
        <v>4096</v>
      </c>
      <c r="D1789" s="317">
        <v>44778.0</v>
      </c>
      <c r="E1789" s="157" t="s">
        <v>600</v>
      </c>
      <c r="F1789" s="160">
        <v>98483.05</v>
      </c>
      <c r="G1789" s="160">
        <f>'FACUS$'!$F1789*0.16</f>
        <v>15757.288</v>
      </c>
      <c r="H1789" s="160">
        <f t="shared" si="60"/>
        <v>114240.338</v>
      </c>
      <c r="I1789" s="172"/>
      <c r="J1789" s="169"/>
      <c r="K1789" s="172"/>
      <c r="L1789" s="172">
        <f>+'FACUS$'!$H1789-'FACUS$'!$I1789-'FACUS$'!$K1789</f>
        <v>114240.338</v>
      </c>
      <c r="M1789" s="162" t="s">
        <v>116</v>
      </c>
      <c r="N1789" s="337" t="s">
        <v>554</v>
      </c>
      <c r="O1789" s="338">
        <v>44795.0</v>
      </c>
      <c r="P1789" s="164">
        <f t="array" ref="P1789">XLOOKUP('FACUS$'!$B1789,'perfil de pagos'!$A$4:$A$46,'perfil de pagos'!$C$4:$C$46+'FACUS$'!$D1789)</f>
        <v>44788</v>
      </c>
      <c r="Q1789" s="165">
        <f t="shared" si="2"/>
        <v>0</v>
      </c>
      <c r="R1789" s="220" t="s">
        <v>8993</v>
      </c>
      <c r="S1789" s="167">
        <v>1535.0</v>
      </c>
      <c r="T1789" s="167"/>
      <c r="U1789" s="334" t="s">
        <v>7271</v>
      </c>
      <c r="V1789" s="168">
        <f t="shared" si="3"/>
        <v>114240.338</v>
      </c>
      <c r="W1789" s="168">
        <f t="shared" si="4"/>
        <v>0</v>
      </c>
      <c r="X1789" s="168">
        <f t="shared" si="5"/>
        <v>0</v>
      </c>
      <c r="Y1789" s="168">
        <f t="shared" si="6"/>
        <v>0</v>
      </c>
      <c r="Z1789" s="168">
        <f t="shared" si="7"/>
        <v>0</v>
      </c>
      <c r="AA1789" s="168">
        <f t="shared" si="8"/>
        <v>0</v>
      </c>
      <c r="AB1789" s="168">
        <f t="shared" si="9"/>
        <v>0</v>
      </c>
    </row>
    <row r="1790" ht="15.0" customHeight="1">
      <c r="A1790" s="157" t="s">
        <v>9028</v>
      </c>
      <c r="B1790" s="169" t="s">
        <v>38</v>
      </c>
      <c r="C1790" s="169" t="s">
        <v>4096</v>
      </c>
      <c r="D1790" s="317">
        <v>44778.0</v>
      </c>
      <c r="E1790" s="157" t="s">
        <v>600</v>
      </c>
      <c r="F1790" s="160">
        <v>11944.97</v>
      </c>
      <c r="G1790" s="160">
        <f>'FACUS$'!$F1790*0.16</f>
        <v>1911.1952</v>
      </c>
      <c r="H1790" s="160">
        <f>F1790+G1790-611.8</f>
        <v>13244.3652</v>
      </c>
      <c r="I1790" s="172"/>
      <c r="J1790" s="169"/>
      <c r="K1790" s="172"/>
      <c r="L1790" s="172">
        <f>+'FACUS$'!$H1790-'FACUS$'!$I1790-'FACUS$'!$K1790</f>
        <v>13244.3652</v>
      </c>
      <c r="M1790" s="162" t="s">
        <v>145</v>
      </c>
      <c r="N1790" s="337" t="s">
        <v>554</v>
      </c>
      <c r="O1790" s="338">
        <v>44833.0</v>
      </c>
      <c r="P1790" s="164">
        <f t="array" ref="P1790">XLOOKUP('FACUS$'!$B1790,'perfil de pagos'!$A$4:$A$46,'perfil de pagos'!$C$4:$C$46+'FACUS$'!$D1790)</f>
        <v>44808</v>
      </c>
      <c r="Q1790" s="165">
        <f t="shared" si="2"/>
        <v>0</v>
      </c>
      <c r="R1790" s="167" t="s">
        <v>9029</v>
      </c>
      <c r="S1790" s="167"/>
      <c r="T1790" s="167"/>
      <c r="U1790" s="334" t="s">
        <v>7271</v>
      </c>
      <c r="V1790" s="168">
        <f t="shared" si="3"/>
        <v>13244.3652</v>
      </c>
      <c r="W1790" s="168">
        <f t="shared" si="4"/>
        <v>0</v>
      </c>
      <c r="X1790" s="168">
        <f t="shared" si="5"/>
        <v>0</v>
      </c>
      <c r="Y1790" s="168">
        <f t="shared" si="6"/>
        <v>0</v>
      </c>
      <c r="Z1790" s="168">
        <f t="shared" si="7"/>
        <v>0</v>
      </c>
      <c r="AA1790" s="168">
        <f t="shared" si="8"/>
        <v>0</v>
      </c>
      <c r="AB1790" s="168">
        <f t="shared" si="9"/>
        <v>0</v>
      </c>
    </row>
    <row r="1791" ht="15.0" customHeight="1">
      <c r="A1791" s="157" t="s">
        <v>9030</v>
      </c>
      <c r="B1791" s="169" t="s">
        <v>39</v>
      </c>
      <c r="C1791" s="169" t="s">
        <v>4117</v>
      </c>
      <c r="D1791" s="317">
        <v>44791.0</v>
      </c>
      <c r="E1791" s="157" t="s">
        <v>600</v>
      </c>
      <c r="F1791" s="160">
        <v>19073.44</v>
      </c>
      <c r="G1791" s="160">
        <f>'FACUS$'!$F1791*0.16</f>
        <v>3051.7504</v>
      </c>
      <c r="H1791" s="160">
        <f t="shared" ref="H1791:H1850" si="61">F1791+G1791</f>
        <v>22125.1904</v>
      </c>
      <c r="I1791" s="172"/>
      <c r="J1791" s="169"/>
      <c r="K1791" s="172"/>
      <c r="L1791" s="172">
        <f>+'FACUS$'!$H1791-'FACUS$'!$I1791-'FACUS$'!$K1791</f>
        <v>22125.1904</v>
      </c>
      <c r="M1791" s="162" t="s">
        <v>570</v>
      </c>
      <c r="N1791" s="337" t="s">
        <v>554</v>
      </c>
      <c r="O1791" s="338">
        <v>44799.0</v>
      </c>
      <c r="P1791" s="164">
        <f t="array" ref="P1791">XLOOKUP('FACUS$'!$B1791,'perfil de pagos'!$A$4:$A$46,'perfil de pagos'!$C$4:$C$46+'FACUS$'!$D1791)</f>
        <v>44801</v>
      </c>
      <c r="Q1791" s="165">
        <f t="shared" si="2"/>
        <v>0</v>
      </c>
      <c r="R1791" s="167"/>
      <c r="S1791" s="167">
        <v>1541.0</v>
      </c>
      <c r="T1791" s="167"/>
      <c r="U1791" s="334" t="s">
        <v>7271</v>
      </c>
      <c r="V1791" s="168">
        <f t="shared" si="3"/>
        <v>22125.1904</v>
      </c>
      <c r="W1791" s="168">
        <f t="shared" si="4"/>
        <v>0</v>
      </c>
      <c r="X1791" s="168">
        <f t="shared" si="5"/>
        <v>0</v>
      </c>
      <c r="Y1791" s="168">
        <f t="shared" si="6"/>
        <v>0</v>
      </c>
      <c r="Z1791" s="168">
        <f t="shared" si="7"/>
        <v>0</v>
      </c>
      <c r="AA1791" s="168">
        <f t="shared" si="8"/>
        <v>0</v>
      </c>
      <c r="AB1791" s="168">
        <f t="shared" si="9"/>
        <v>0</v>
      </c>
    </row>
    <row r="1792" ht="15.0" customHeight="1">
      <c r="A1792" s="157" t="s">
        <v>9031</v>
      </c>
      <c r="B1792" s="169" t="s">
        <v>39</v>
      </c>
      <c r="C1792" s="169" t="s">
        <v>4125</v>
      </c>
      <c r="D1792" s="317">
        <v>44791.0</v>
      </c>
      <c r="E1792" s="157" t="s">
        <v>600</v>
      </c>
      <c r="F1792" s="160">
        <v>10633.92</v>
      </c>
      <c r="G1792" s="160">
        <f>'FACUS$'!$F1792*0.16</f>
        <v>1701.4272</v>
      </c>
      <c r="H1792" s="160">
        <f t="shared" si="61"/>
        <v>12335.3472</v>
      </c>
      <c r="I1792" s="172"/>
      <c r="J1792" s="169"/>
      <c r="K1792" s="172"/>
      <c r="L1792" s="172">
        <f>+'FACUS$'!$H1792-'FACUS$'!$I1792-'FACUS$'!$K1792</f>
        <v>12335.3472</v>
      </c>
      <c r="M1792" s="162" t="s">
        <v>570</v>
      </c>
      <c r="N1792" s="337" t="s">
        <v>554</v>
      </c>
      <c r="O1792" s="338">
        <v>44799.0</v>
      </c>
      <c r="P1792" s="164">
        <f t="array" ref="P1792">XLOOKUP('FACUS$'!$B1792,'perfil de pagos'!$A$4:$A$46,'perfil de pagos'!$C$4:$C$46+'FACUS$'!$D1792)</f>
        <v>44801</v>
      </c>
      <c r="Q1792" s="165">
        <f t="shared" si="2"/>
        <v>0</v>
      </c>
      <c r="R1792" s="167"/>
      <c r="S1792" s="167">
        <v>1541.0</v>
      </c>
      <c r="T1792" s="167"/>
      <c r="U1792" s="334" t="s">
        <v>7271</v>
      </c>
      <c r="V1792" s="168">
        <f t="shared" si="3"/>
        <v>12335.3472</v>
      </c>
      <c r="W1792" s="168">
        <f t="shared" si="4"/>
        <v>0</v>
      </c>
      <c r="X1792" s="168">
        <f t="shared" si="5"/>
        <v>0</v>
      </c>
      <c r="Y1792" s="168">
        <f t="shared" si="6"/>
        <v>0</v>
      </c>
      <c r="Z1792" s="168">
        <f t="shared" si="7"/>
        <v>0</v>
      </c>
      <c r="AA1792" s="168">
        <f t="shared" si="8"/>
        <v>0</v>
      </c>
      <c r="AB1792" s="168">
        <f t="shared" si="9"/>
        <v>0</v>
      </c>
    </row>
    <row r="1793" ht="15.0" customHeight="1">
      <c r="A1793" s="157" t="s">
        <v>9032</v>
      </c>
      <c r="B1793" s="169" t="s">
        <v>36</v>
      </c>
      <c r="C1793" s="169" t="s">
        <v>4125</v>
      </c>
      <c r="D1793" s="317">
        <v>44791.0</v>
      </c>
      <c r="E1793" s="157" t="s">
        <v>600</v>
      </c>
      <c r="F1793" s="160">
        <v>2157.78</v>
      </c>
      <c r="G1793" s="160">
        <f>'FACUS$'!$F1793*0.16</f>
        <v>345.2448</v>
      </c>
      <c r="H1793" s="160">
        <f t="shared" si="61"/>
        <v>2503.0248</v>
      </c>
      <c r="I1793" s="172"/>
      <c r="J1793" s="169"/>
      <c r="K1793" s="172"/>
      <c r="L1793" s="172">
        <f>+'FACUS$'!$H1793-'FACUS$'!$I1793-'FACUS$'!$K1793</f>
        <v>2503.0248</v>
      </c>
      <c r="M1793" s="162" t="s">
        <v>278</v>
      </c>
      <c r="N1793" s="337" t="s">
        <v>554</v>
      </c>
      <c r="O1793" s="338">
        <v>44811.0</v>
      </c>
      <c r="P1793" s="164">
        <f t="array" ref="P1793">XLOOKUP('FACUS$'!$B1793,'perfil de pagos'!$A$4:$A$46,'perfil de pagos'!$C$4:$C$46+'FACUS$'!$D1793)</f>
        <v>44801</v>
      </c>
      <c r="Q1793" s="165">
        <f t="shared" si="2"/>
        <v>0</v>
      </c>
      <c r="R1793" s="247" t="s">
        <v>9033</v>
      </c>
      <c r="S1793" s="167">
        <v>1553.0</v>
      </c>
      <c r="T1793" s="167"/>
      <c r="U1793" s="334" t="s">
        <v>7271</v>
      </c>
      <c r="V1793" s="168">
        <f t="shared" si="3"/>
        <v>2503.0248</v>
      </c>
      <c r="W1793" s="168">
        <f t="shared" si="4"/>
        <v>0</v>
      </c>
      <c r="X1793" s="168">
        <f t="shared" si="5"/>
        <v>0</v>
      </c>
      <c r="Y1793" s="168">
        <f t="shared" si="6"/>
        <v>0</v>
      </c>
      <c r="Z1793" s="168">
        <f t="shared" si="7"/>
        <v>0</v>
      </c>
      <c r="AA1793" s="168">
        <f t="shared" si="8"/>
        <v>0</v>
      </c>
      <c r="AB1793" s="168">
        <f t="shared" si="9"/>
        <v>0</v>
      </c>
    </row>
    <row r="1794" ht="15.0" customHeight="1">
      <c r="A1794" s="157" t="s">
        <v>9034</v>
      </c>
      <c r="B1794" s="169" t="s">
        <v>41</v>
      </c>
      <c r="C1794" s="169" t="s">
        <v>4125</v>
      </c>
      <c r="D1794" s="317">
        <v>44791.0</v>
      </c>
      <c r="E1794" s="157" t="s">
        <v>600</v>
      </c>
      <c r="F1794" s="160">
        <v>14905.74</v>
      </c>
      <c r="G1794" s="160">
        <f>'FACUS$'!$F1794*0.16</f>
        <v>2384.9184</v>
      </c>
      <c r="H1794" s="160">
        <f t="shared" si="61"/>
        <v>17290.6584</v>
      </c>
      <c r="I1794" s="172"/>
      <c r="J1794" s="169"/>
      <c r="K1794" s="172"/>
      <c r="L1794" s="172">
        <f>+'FACUS$'!$H1794-'FACUS$'!$I1794-'FACUS$'!$K1794</f>
        <v>17290.6584</v>
      </c>
      <c r="M1794" s="162" t="s">
        <v>875</v>
      </c>
      <c r="N1794" s="337" t="s">
        <v>554</v>
      </c>
      <c r="O1794" s="338">
        <v>44855.0</v>
      </c>
      <c r="P1794" s="164">
        <f t="array" ref="P1794">XLOOKUP('FACUS$'!$B1794,'perfil de pagos'!$A$4:$A$46,'perfil de pagos'!$C$4:$C$46+'FACUS$'!$D1794)</f>
        <v>44801</v>
      </c>
      <c r="Q1794" s="165">
        <f t="shared" si="2"/>
        <v>0</v>
      </c>
      <c r="R1794" s="167"/>
      <c r="S1794" s="167"/>
      <c r="T1794" s="167"/>
      <c r="U1794" s="334" t="s">
        <v>7271</v>
      </c>
      <c r="V1794" s="168">
        <f t="shared" si="3"/>
        <v>17290.6584</v>
      </c>
      <c r="W1794" s="168">
        <f t="shared" si="4"/>
        <v>0</v>
      </c>
      <c r="X1794" s="168">
        <f t="shared" si="5"/>
        <v>0</v>
      </c>
      <c r="Y1794" s="168">
        <f t="shared" si="6"/>
        <v>0</v>
      </c>
      <c r="Z1794" s="168">
        <f t="shared" si="7"/>
        <v>0</v>
      </c>
      <c r="AA1794" s="168">
        <f t="shared" si="8"/>
        <v>0</v>
      </c>
      <c r="AB1794" s="168">
        <f t="shared" si="9"/>
        <v>0</v>
      </c>
    </row>
    <row r="1795" ht="15.0" customHeight="1">
      <c r="A1795" s="157" t="s">
        <v>4121</v>
      </c>
      <c r="B1795" s="169" t="s">
        <v>21</v>
      </c>
      <c r="C1795" s="169" t="s">
        <v>4125</v>
      </c>
      <c r="D1795" s="317">
        <v>44791.0</v>
      </c>
      <c r="E1795" s="157" t="s">
        <v>600</v>
      </c>
      <c r="F1795" s="160">
        <v>1352.45</v>
      </c>
      <c r="G1795" s="160">
        <f>'FACUS$'!$F1795*0.16</f>
        <v>216.392</v>
      </c>
      <c r="H1795" s="160">
        <f t="shared" si="61"/>
        <v>1568.842</v>
      </c>
      <c r="I1795" s="172"/>
      <c r="J1795" s="169"/>
      <c r="K1795" s="172"/>
      <c r="L1795" s="172">
        <f>+'FACUS$'!$H1795-'FACUS$'!$I1795-'FACUS$'!$K1795</f>
        <v>1568.842</v>
      </c>
      <c r="M1795" s="162" t="s">
        <v>2263</v>
      </c>
      <c r="N1795" s="337" t="s">
        <v>9035</v>
      </c>
      <c r="O1795" s="338"/>
      <c r="P1795" s="164">
        <f t="array" ref="P1795">XLOOKUP('FACUS$'!$B1795,'perfil de pagos'!$A$4:$A$46,'perfil de pagos'!$C$4:$C$46+'FACUS$'!$D1795)</f>
        <v>44801</v>
      </c>
      <c r="Q1795" s="165" t="str">
        <f t="shared" si="2"/>
        <v>N/A</v>
      </c>
      <c r="R1795" s="167" t="s">
        <v>9036</v>
      </c>
      <c r="S1795" s="167"/>
      <c r="T1795" s="167"/>
      <c r="U1795" s="334" t="s">
        <v>7271</v>
      </c>
      <c r="V1795" s="168">
        <f t="shared" si="3"/>
        <v>0</v>
      </c>
      <c r="W1795" s="168">
        <f t="shared" si="4"/>
        <v>0</v>
      </c>
      <c r="X1795" s="168">
        <f t="shared" si="5"/>
        <v>0</v>
      </c>
      <c r="Y1795" s="168">
        <f t="shared" si="6"/>
        <v>0</v>
      </c>
      <c r="Z1795" s="168">
        <f t="shared" si="7"/>
        <v>0</v>
      </c>
      <c r="AA1795" s="168">
        <f t="shared" si="8"/>
        <v>0</v>
      </c>
      <c r="AB1795" s="168">
        <f t="shared" si="9"/>
        <v>1568.842</v>
      </c>
    </row>
    <row r="1796" ht="15.0" customHeight="1">
      <c r="A1796" s="157" t="s">
        <v>9037</v>
      </c>
      <c r="B1796" s="169" t="s">
        <v>18</v>
      </c>
      <c r="C1796" s="169" t="s">
        <v>4125</v>
      </c>
      <c r="D1796" s="317">
        <v>44795.0</v>
      </c>
      <c r="E1796" s="157" t="s">
        <v>600</v>
      </c>
      <c r="F1796" s="160">
        <v>7901.09</v>
      </c>
      <c r="G1796" s="160">
        <f>'FACUS$'!$F1796*0.16</f>
        <v>1264.1744</v>
      </c>
      <c r="H1796" s="160">
        <f t="shared" si="61"/>
        <v>9165.2644</v>
      </c>
      <c r="I1796" s="172"/>
      <c r="J1796" s="169"/>
      <c r="K1796" s="172"/>
      <c r="L1796" s="172">
        <f>+'FACUS$'!$H1796-'FACUS$'!$I1796-'FACUS$'!$K1796</f>
        <v>9165.2644</v>
      </c>
      <c r="M1796" s="162" t="s">
        <v>586</v>
      </c>
      <c r="N1796" s="337" t="s">
        <v>554</v>
      </c>
      <c r="O1796" s="338">
        <v>44861.0</v>
      </c>
      <c r="P1796" s="164">
        <f t="array" ref="P1796">XLOOKUP('FACUS$'!$B1796,'perfil de pagos'!$A$4:$A$46,'perfil de pagos'!$C$4:$C$46+'FACUS$'!$D1796)</f>
        <v>44805</v>
      </c>
      <c r="Q1796" s="165">
        <f t="shared" si="2"/>
        <v>0</v>
      </c>
      <c r="R1796" s="167"/>
      <c r="S1796" s="167">
        <v>1671.0</v>
      </c>
      <c r="T1796" s="167"/>
      <c r="U1796" s="334" t="s">
        <v>7271</v>
      </c>
      <c r="V1796" s="168">
        <f t="shared" si="3"/>
        <v>9165.2644</v>
      </c>
      <c r="W1796" s="168">
        <f t="shared" si="4"/>
        <v>0</v>
      </c>
      <c r="X1796" s="168">
        <f t="shared" si="5"/>
        <v>0</v>
      </c>
      <c r="Y1796" s="168">
        <f t="shared" si="6"/>
        <v>0</v>
      </c>
      <c r="Z1796" s="168">
        <f t="shared" si="7"/>
        <v>0</v>
      </c>
      <c r="AA1796" s="168">
        <f t="shared" si="8"/>
        <v>0</v>
      </c>
      <c r="AB1796" s="168">
        <f t="shared" si="9"/>
        <v>0</v>
      </c>
    </row>
    <row r="1797" ht="15.0" customHeight="1">
      <c r="A1797" s="157" t="s">
        <v>9038</v>
      </c>
      <c r="B1797" s="169" t="s">
        <v>20</v>
      </c>
      <c r="C1797" s="169" t="s">
        <v>4125</v>
      </c>
      <c r="D1797" s="317">
        <v>44795.0</v>
      </c>
      <c r="E1797" s="157" t="s">
        <v>600</v>
      </c>
      <c r="F1797" s="160">
        <v>11847.83</v>
      </c>
      <c r="G1797" s="160">
        <f>'FACUS$'!$F1797*0.16</f>
        <v>1895.6528</v>
      </c>
      <c r="H1797" s="160">
        <f t="shared" si="61"/>
        <v>13743.4828</v>
      </c>
      <c r="I1797" s="172"/>
      <c r="J1797" s="169"/>
      <c r="K1797" s="172"/>
      <c r="L1797" s="172">
        <f>+'FACUS$'!$H1797-'FACUS$'!$I1797-'FACUS$'!$K1797</f>
        <v>13743.4828</v>
      </c>
      <c r="M1797" s="162" t="s">
        <v>732</v>
      </c>
      <c r="N1797" s="337" t="s">
        <v>554</v>
      </c>
      <c r="O1797" s="338">
        <v>44861.0</v>
      </c>
      <c r="P1797" s="164">
        <f t="array" ref="P1797">XLOOKUP('FACUS$'!$B1797,'perfil de pagos'!$A$4:$A$46,'perfil de pagos'!$C$4:$C$46+'FACUS$'!$D1797)</f>
        <v>44805</v>
      </c>
      <c r="Q1797" s="165">
        <f t="shared" si="2"/>
        <v>0</v>
      </c>
      <c r="R1797" s="167"/>
      <c r="S1797" s="167">
        <v>1671.0</v>
      </c>
      <c r="T1797" s="167"/>
      <c r="U1797" s="334" t="s">
        <v>7271</v>
      </c>
      <c r="V1797" s="168">
        <f t="shared" si="3"/>
        <v>13743.4828</v>
      </c>
      <c r="W1797" s="168">
        <f t="shared" si="4"/>
        <v>0</v>
      </c>
      <c r="X1797" s="168">
        <f t="shared" si="5"/>
        <v>0</v>
      </c>
      <c r="Y1797" s="168">
        <f t="shared" si="6"/>
        <v>0</v>
      </c>
      <c r="Z1797" s="168">
        <f t="shared" si="7"/>
        <v>0</v>
      </c>
      <c r="AA1797" s="168">
        <f t="shared" si="8"/>
        <v>0</v>
      </c>
      <c r="AB1797" s="168">
        <f t="shared" si="9"/>
        <v>0</v>
      </c>
    </row>
    <row r="1798" ht="15.0" customHeight="1">
      <c r="A1798" s="157" t="s">
        <v>9039</v>
      </c>
      <c r="B1798" s="169" t="s">
        <v>22</v>
      </c>
      <c r="C1798" s="169" t="s">
        <v>4125</v>
      </c>
      <c r="D1798" s="317">
        <v>44795.0</v>
      </c>
      <c r="E1798" s="157" t="s">
        <v>600</v>
      </c>
      <c r="F1798" s="160">
        <v>13772.29</v>
      </c>
      <c r="G1798" s="160">
        <f>'FACUS$'!$F1798*0.16</f>
        <v>2203.5664</v>
      </c>
      <c r="H1798" s="160">
        <f t="shared" si="61"/>
        <v>15975.8564</v>
      </c>
      <c r="I1798" s="172"/>
      <c r="J1798" s="169"/>
      <c r="K1798" s="172"/>
      <c r="L1798" s="172">
        <f>+'FACUS$'!$H1798-'FACUS$'!$I1798-'FACUS$'!$K1798</f>
        <v>15975.8564</v>
      </c>
      <c r="M1798" s="162" t="s">
        <v>220</v>
      </c>
      <c r="N1798" s="337" t="s">
        <v>554</v>
      </c>
      <c r="O1798" s="338">
        <v>44802.0</v>
      </c>
      <c r="P1798" s="164">
        <f t="array" ref="P1798">XLOOKUP('FACUS$'!$B1798,'perfil de pagos'!$A$4:$A$46,'perfil de pagos'!$C$4:$C$46+'FACUS$'!$D1798)</f>
        <v>44805</v>
      </c>
      <c r="Q1798" s="165">
        <f t="shared" si="2"/>
        <v>0</v>
      </c>
      <c r="R1798" s="167"/>
      <c r="S1798" s="167"/>
      <c r="T1798" s="167"/>
      <c r="U1798" s="334" t="s">
        <v>7271</v>
      </c>
      <c r="V1798" s="168">
        <f t="shared" si="3"/>
        <v>15975.8564</v>
      </c>
      <c r="W1798" s="168">
        <f t="shared" si="4"/>
        <v>0</v>
      </c>
      <c r="X1798" s="168">
        <f t="shared" si="5"/>
        <v>0</v>
      </c>
      <c r="Y1798" s="168">
        <f t="shared" si="6"/>
        <v>0</v>
      </c>
      <c r="Z1798" s="168">
        <f t="shared" si="7"/>
        <v>0</v>
      </c>
      <c r="AA1798" s="168">
        <f t="shared" si="8"/>
        <v>0</v>
      </c>
      <c r="AB1798" s="168">
        <f t="shared" si="9"/>
        <v>0</v>
      </c>
    </row>
    <row r="1799" ht="15.0" customHeight="1">
      <c r="A1799" s="157" t="s">
        <v>9040</v>
      </c>
      <c r="B1799" s="169" t="s">
        <v>37</v>
      </c>
      <c r="C1799" s="169" t="s">
        <v>4125</v>
      </c>
      <c r="D1799" s="317">
        <v>44795.0</v>
      </c>
      <c r="E1799" s="157" t="s">
        <v>600</v>
      </c>
      <c r="F1799" s="160">
        <v>85152.69</v>
      </c>
      <c r="G1799" s="160">
        <f>'FACUS$'!$F1799*0.16</f>
        <v>13624.4304</v>
      </c>
      <c r="H1799" s="160">
        <f t="shared" si="61"/>
        <v>98777.1204</v>
      </c>
      <c r="I1799" s="172"/>
      <c r="J1799" s="169"/>
      <c r="K1799" s="172"/>
      <c r="L1799" s="172">
        <f>+'FACUS$'!$H1799-'FACUS$'!$I1799-'FACUS$'!$K1799</f>
        <v>98777.1204</v>
      </c>
      <c r="M1799" s="162" t="s">
        <v>116</v>
      </c>
      <c r="N1799" s="337" t="s">
        <v>554</v>
      </c>
      <c r="O1799" s="338">
        <v>44809.0</v>
      </c>
      <c r="P1799" s="164">
        <f t="array" ref="P1799">XLOOKUP('FACUS$'!$B1799,'perfil de pagos'!$A$4:$A$46,'perfil de pagos'!$C$4:$C$46+'FACUS$'!$D1799)</f>
        <v>44805</v>
      </c>
      <c r="Q1799" s="165">
        <f t="shared" si="2"/>
        <v>0</v>
      </c>
      <c r="R1799" s="247" t="s">
        <v>9041</v>
      </c>
      <c r="S1799" s="167"/>
      <c r="T1799" s="167"/>
      <c r="U1799" s="334" t="s">
        <v>7271</v>
      </c>
      <c r="V1799" s="168">
        <f t="shared" si="3"/>
        <v>98777.1204</v>
      </c>
      <c r="W1799" s="168">
        <f t="shared" si="4"/>
        <v>0</v>
      </c>
      <c r="X1799" s="168">
        <f t="shared" si="5"/>
        <v>0</v>
      </c>
      <c r="Y1799" s="168">
        <f t="shared" si="6"/>
        <v>0</v>
      </c>
      <c r="Z1799" s="168">
        <f t="shared" si="7"/>
        <v>0</v>
      </c>
      <c r="AA1799" s="168">
        <f t="shared" si="8"/>
        <v>0</v>
      </c>
      <c r="AB1799" s="168">
        <f t="shared" si="9"/>
        <v>0</v>
      </c>
    </row>
    <row r="1800" ht="15.0" customHeight="1">
      <c r="A1800" s="157" t="s">
        <v>9042</v>
      </c>
      <c r="B1800" s="169" t="s">
        <v>38</v>
      </c>
      <c r="C1800" s="169" t="s">
        <v>4125</v>
      </c>
      <c r="D1800" s="317">
        <v>44795.0</v>
      </c>
      <c r="E1800" s="157" t="s">
        <v>600</v>
      </c>
      <c r="F1800" s="160">
        <v>10556.29</v>
      </c>
      <c r="G1800" s="160">
        <f>'FACUS$'!$F1800*0.16</f>
        <v>1689.0064</v>
      </c>
      <c r="H1800" s="160">
        <f t="shared" si="61"/>
        <v>12245.2964</v>
      </c>
      <c r="I1800" s="172"/>
      <c r="J1800" s="169"/>
      <c r="K1800" s="172"/>
      <c r="L1800" s="172">
        <f>+'FACUS$'!$H1800-'FACUS$'!$I1800-'FACUS$'!$K1800</f>
        <v>12245.2964</v>
      </c>
      <c r="M1800" s="162" t="s">
        <v>145</v>
      </c>
      <c r="N1800" s="337" t="s">
        <v>554</v>
      </c>
      <c r="O1800" s="338">
        <v>44826.0</v>
      </c>
      <c r="P1800" s="164">
        <f t="array" ref="P1800">XLOOKUP('FACUS$'!$B1800,'perfil de pagos'!$A$4:$A$46,'perfil de pagos'!$C$4:$C$46+'FACUS$'!$D1800)</f>
        <v>44825</v>
      </c>
      <c r="Q1800" s="165">
        <f t="shared" si="2"/>
        <v>0</v>
      </c>
      <c r="R1800" s="167"/>
      <c r="S1800" s="167">
        <v>1567.0</v>
      </c>
      <c r="T1800" s="167"/>
      <c r="U1800" s="334" t="s">
        <v>7271</v>
      </c>
      <c r="V1800" s="168">
        <f t="shared" si="3"/>
        <v>12245.2964</v>
      </c>
      <c r="W1800" s="168">
        <f t="shared" si="4"/>
        <v>0</v>
      </c>
      <c r="X1800" s="168">
        <f t="shared" si="5"/>
        <v>0</v>
      </c>
      <c r="Y1800" s="168">
        <f t="shared" si="6"/>
        <v>0</v>
      </c>
      <c r="Z1800" s="168">
        <f t="shared" si="7"/>
        <v>0</v>
      </c>
      <c r="AA1800" s="168">
        <f t="shared" si="8"/>
        <v>0</v>
      </c>
      <c r="AB1800" s="168">
        <f t="shared" si="9"/>
        <v>0</v>
      </c>
    </row>
    <row r="1801" ht="15.0" customHeight="1">
      <c r="A1801" s="157" t="s">
        <v>9043</v>
      </c>
      <c r="B1801" s="169" t="s">
        <v>21</v>
      </c>
      <c r="C1801" s="169" t="s">
        <v>9044</v>
      </c>
      <c r="D1801" s="317">
        <v>44809.0</v>
      </c>
      <c r="E1801" s="157" t="s">
        <v>600</v>
      </c>
      <c r="F1801" s="160">
        <v>1339.43</v>
      </c>
      <c r="G1801" s="160">
        <f>'FACUS$'!$F1801*0.16</f>
        <v>214.3088</v>
      </c>
      <c r="H1801" s="160">
        <f t="shared" si="61"/>
        <v>1553.7388</v>
      </c>
      <c r="I1801" s="172"/>
      <c r="J1801" s="169"/>
      <c r="K1801" s="172"/>
      <c r="L1801" s="172">
        <f>+'FACUS$'!$H1801-'FACUS$'!$I1801-'FACUS$'!$K1801</f>
        <v>1553.7388</v>
      </c>
      <c r="M1801" s="162" t="s">
        <v>2263</v>
      </c>
      <c r="N1801" s="337" t="s">
        <v>9035</v>
      </c>
      <c r="O1801" s="338"/>
      <c r="P1801" s="164">
        <f t="array" ref="P1801">XLOOKUP('FACUS$'!$B1801,'perfil de pagos'!$A$4:$A$46,'perfil de pagos'!$C$4:$C$46+'FACUS$'!$D1801)</f>
        <v>44819</v>
      </c>
      <c r="Q1801" s="165" t="str">
        <f t="shared" si="2"/>
        <v>N/A</v>
      </c>
      <c r="R1801" s="167" t="s">
        <v>9036</v>
      </c>
      <c r="S1801" s="167"/>
      <c r="T1801" s="167"/>
      <c r="U1801" s="334" t="s">
        <v>7271</v>
      </c>
      <c r="V1801" s="168">
        <f t="shared" si="3"/>
        <v>0</v>
      </c>
      <c r="W1801" s="168">
        <f t="shared" si="4"/>
        <v>0</v>
      </c>
      <c r="X1801" s="168">
        <f t="shared" si="5"/>
        <v>0</v>
      </c>
      <c r="Y1801" s="168">
        <f t="shared" si="6"/>
        <v>0</v>
      </c>
      <c r="Z1801" s="168">
        <f t="shared" si="7"/>
        <v>0</v>
      </c>
      <c r="AA1801" s="168">
        <f t="shared" si="8"/>
        <v>0</v>
      </c>
      <c r="AB1801" s="168">
        <f t="shared" si="9"/>
        <v>1553.7388</v>
      </c>
    </row>
    <row r="1802" ht="15.0" customHeight="1">
      <c r="A1802" s="157" t="s">
        <v>9045</v>
      </c>
      <c r="B1802" s="169" t="s">
        <v>41</v>
      </c>
      <c r="C1802" s="169" t="s">
        <v>9044</v>
      </c>
      <c r="D1802" s="317">
        <v>44809.0</v>
      </c>
      <c r="E1802" s="157" t="s">
        <v>600</v>
      </c>
      <c r="F1802" s="160">
        <v>14363.16</v>
      </c>
      <c r="G1802" s="160">
        <f>'FACUS$'!$F1802*0.16</f>
        <v>2298.1056</v>
      </c>
      <c r="H1802" s="160">
        <f t="shared" si="61"/>
        <v>16661.2656</v>
      </c>
      <c r="I1802" s="172"/>
      <c r="J1802" s="169"/>
      <c r="K1802" s="172"/>
      <c r="L1802" s="172">
        <f>+'FACUS$'!$H1802-'FACUS$'!$I1802-'FACUS$'!$K1802</f>
        <v>16661.2656</v>
      </c>
      <c r="M1802" s="162" t="s">
        <v>875</v>
      </c>
      <c r="N1802" s="337" t="s">
        <v>554</v>
      </c>
      <c r="O1802" s="338">
        <v>44855.0</v>
      </c>
      <c r="P1802" s="164">
        <f t="array" ref="P1802">XLOOKUP('FACUS$'!$B1802,'perfil de pagos'!$A$4:$A$46,'perfil de pagos'!$C$4:$C$46+'FACUS$'!$D1802)</f>
        <v>44819</v>
      </c>
      <c r="Q1802" s="165">
        <f t="shared" si="2"/>
        <v>0</v>
      </c>
      <c r="R1802" s="167"/>
      <c r="S1802" s="167"/>
      <c r="T1802" s="167"/>
      <c r="U1802" s="334" t="s">
        <v>7271</v>
      </c>
      <c r="V1802" s="168">
        <f t="shared" si="3"/>
        <v>16661.2656</v>
      </c>
      <c r="W1802" s="168">
        <f t="shared" si="4"/>
        <v>0</v>
      </c>
      <c r="X1802" s="168">
        <f t="shared" si="5"/>
        <v>0</v>
      </c>
      <c r="Y1802" s="168">
        <f t="shared" si="6"/>
        <v>0</v>
      </c>
      <c r="Z1802" s="168">
        <f t="shared" si="7"/>
        <v>0</v>
      </c>
      <c r="AA1802" s="168">
        <f t="shared" si="8"/>
        <v>0</v>
      </c>
      <c r="AB1802" s="168">
        <f t="shared" si="9"/>
        <v>0</v>
      </c>
    </row>
    <row r="1803" ht="15.0" customHeight="1">
      <c r="A1803" s="157" t="s">
        <v>9046</v>
      </c>
      <c r="B1803" s="169" t="s">
        <v>36</v>
      </c>
      <c r="C1803" s="169" t="s">
        <v>9044</v>
      </c>
      <c r="D1803" s="317">
        <v>44809.0</v>
      </c>
      <c r="E1803" s="157" t="s">
        <v>600</v>
      </c>
      <c r="F1803" s="160">
        <v>2589.27</v>
      </c>
      <c r="G1803" s="160">
        <f>'FACUS$'!$F1803*0.16</f>
        <v>414.2832</v>
      </c>
      <c r="H1803" s="160">
        <f t="shared" si="61"/>
        <v>3003.5532</v>
      </c>
      <c r="I1803" s="172"/>
      <c r="J1803" s="169"/>
      <c r="K1803" s="172"/>
      <c r="L1803" s="172">
        <f>+'FACUS$'!$H1803-'FACUS$'!$I1803-'FACUS$'!$K1803</f>
        <v>3003.5532</v>
      </c>
      <c r="M1803" s="162" t="s">
        <v>278</v>
      </c>
      <c r="N1803" s="337" t="s">
        <v>554</v>
      </c>
      <c r="O1803" s="338">
        <v>44827.0</v>
      </c>
      <c r="P1803" s="164">
        <f t="array" ref="P1803">XLOOKUP('FACUS$'!$B1803,'perfil de pagos'!$A$4:$A$46,'perfil de pagos'!$C$4:$C$46+'FACUS$'!$D1803)</f>
        <v>44819</v>
      </c>
      <c r="Q1803" s="165">
        <f t="shared" si="2"/>
        <v>0</v>
      </c>
      <c r="R1803" s="247" t="s">
        <v>9047</v>
      </c>
      <c r="S1803" s="167">
        <v>1564.0</v>
      </c>
      <c r="T1803" s="167"/>
      <c r="U1803" s="334" t="s">
        <v>7271</v>
      </c>
      <c r="V1803" s="168">
        <f t="shared" si="3"/>
        <v>3003.5532</v>
      </c>
      <c r="W1803" s="168">
        <f t="shared" si="4"/>
        <v>0</v>
      </c>
      <c r="X1803" s="168">
        <f t="shared" si="5"/>
        <v>0</v>
      </c>
      <c r="Y1803" s="168">
        <f t="shared" si="6"/>
        <v>0</v>
      </c>
      <c r="Z1803" s="168">
        <f t="shared" si="7"/>
        <v>0</v>
      </c>
      <c r="AA1803" s="168">
        <f t="shared" si="8"/>
        <v>0</v>
      </c>
      <c r="AB1803" s="168">
        <f t="shared" si="9"/>
        <v>0</v>
      </c>
    </row>
    <row r="1804" ht="15.0" customHeight="1">
      <c r="A1804" s="157" t="s">
        <v>9048</v>
      </c>
      <c r="B1804" s="169" t="s">
        <v>39</v>
      </c>
      <c r="C1804" s="169" t="s">
        <v>3097</v>
      </c>
      <c r="D1804" s="317">
        <v>44809.0</v>
      </c>
      <c r="E1804" s="157" t="s">
        <v>600</v>
      </c>
      <c r="F1804" s="160">
        <v>24276.0</v>
      </c>
      <c r="G1804" s="160">
        <f>'FACUS$'!$F1804*0.16</f>
        <v>3884.16</v>
      </c>
      <c r="H1804" s="160">
        <f t="shared" si="61"/>
        <v>28160.16</v>
      </c>
      <c r="I1804" s="172"/>
      <c r="J1804" s="169"/>
      <c r="K1804" s="172"/>
      <c r="L1804" s="172">
        <f>+'FACUS$'!$H1804-'FACUS$'!$I1804-'FACUS$'!$K1804</f>
        <v>28160.16</v>
      </c>
      <c r="M1804" s="162" t="s">
        <v>570</v>
      </c>
      <c r="N1804" s="337" t="s">
        <v>554</v>
      </c>
      <c r="O1804" s="338">
        <v>44819.0</v>
      </c>
      <c r="P1804" s="164">
        <f t="array" ref="P1804">XLOOKUP('FACUS$'!$B1804,'perfil de pagos'!$A$4:$A$46,'perfil de pagos'!$C$4:$C$46+'FACUS$'!$D1804)</f>
        <v>44819</v>
      </c>
      <c r="Q1804" s="165">
        <f t="shared" si="2"/>
        <v>0</v>
      </c>
      <c r="R1804" s="167"/>
      <c r="S1804" s="167">
        <v>1578.0</v>
      </c>
      <c r="T1804" s="167"/>
      <c r="U1804" s="334" t="s">
        <v>7271</v>
      </c>
      <c r="V1804" s="168">
        <f t="shared" si="3"/>
        <v>28160.16</v>
      </c>
      <c r="W1804" s="168">
        <f t="shared" si="4"/>
        <v>0</v>
      </c>
      <c r="X1804" s="168">
        <f t="shared" si="5"/>
        <v>0</v>
      </c>
      <c r="Y1804" s="168">
        <f t="shared" si="6"/>
        <v>0</v>
      </c>
      <c r="Z1804" s="168">
        <f t="shared" si="7"/>
        <v>0</v>
      </c>
      <c r="AA1804" s="168">
        <f t="shared" si="8"/>
        <v>0</v>
      </c>
      <c r="AB1804" s="168">
        <f t="shared" si="9"/>
        <v>0</v>
      </c>
    </row>
    <row r="1805" ht="15.0" customHeight="1">
      <c r="A1805" s="157" t="s">
        <v>9049</v>
      </c>
      <c r="B1805" s="169" t="s">
        <v>39</v>
      </c>
      <c r="C1805" s="169" t="s">
        <v>9044</v>
      </c>
      <c r="D1805" s="317">
        <v>44809.0</v>
      </c>
      <c r="E1805" s="157" t="s">
        <v>600</v>
      </c>
      <c r="F1805" s="160">
        <v>12341.0</v>
      </c>
      <c r="G1805" s="160">
        <f>'FACUS$'!$F1805*0.16</f>
        <v>1974.56</v>
      </c>
      <c r="H1805" s="160">
        <f t="shared" si="61"/>
        <v>14315.56</v>
      </c>
      <c r="I1805" s="172"/>
      <c r="J1805" s="169"/>
      <c r="K1805" s="172"/>
      <c r="L1805" s="172">
        <f>+'FACUS$'!$H1805-'FACUS$'!$I1805-'FACUS$'!$K1805</f>
        <v>14315.56</v>
      </c>
      <c r="M1805" s="162" t="s">
        <v>570</v>
      </c>
      <c r="N1805" s="337" t="s">
        <v>554</v>
      </c>
      <c r="O1805" s="338">
        <v>44819.0</v>
      </c>
      <c r="P1805" s="164">
        <f t="array" ref="P1805">XLOOKUP('FACUS$'!$B1805,'perfil de pagos'!$A$4:$A$46,'perfil de pagos'!$C$4:$C$46+'FACUS$'!$D1805)</f>
        <v>44819</v>
      </c>
      <c r="Q1805" s="165">
        <f t="shared" si="2"/>
        <v>0</v>
      </c>
      <c r="R1805" s="167"/>
      <c r="S1805" s="167">
        <v>1578.0</v>
      </c>
      <c r="T1805" s="167"/>
      <c r="U1805" s="334" t="s">
        <v>7271</v>
      </c>
      <c r="V1805" s="168">
        <f t="shared" si="3"/>
        <v>14315.56</v>
      </c>
      <c r="W1805" s="168">
        <f t="shared" si="4"/>
        <v>0</v>
      </c>
      <c r="X1805" s="168">
        <f t="shared" si="5"/>
        <v>0</v>
      </c>
      <c r="Y1805" s="168">
        <f t="shared" si="6"/>
        <v>0</v>
      </c>
      <c r="Z1805" s="168">
        <f t="shared" si="7"/>
        <v>0</v>
      </c>
      <c r="AA1805" s="168">
        <f t="shared" si="8"/>
        <v>0</v>
      </c>
      <c r="AB1805" s="168">
        <f t="shared" si="9"/>
        <v>0</v>
      </c>
    </row>
    <row r="1806" ht="15.0" customHeight="1">
      <c r="A1806" s="157" t="s">
        <v>9050</v>
      </c>
      <c r="B1806" s="169" t="s">
        <v>36</v>
      </c>
      <c r="C1806" s="169" t="s">
        <v>9051</v>
      </c>
      <c r="D1806" s="317">
        <v>44809.0</v>
      </c>
      <c r="E1806" s="157" t="s">
        <v>600</v>
      </c>
      <c r="F1806" s="160">
        <v>521.26</v>
      </c>
      <c r="G1806" s="160">
        <f>'FACUS$'!$F1806*0.16</f>
        <v>83.4016</v>
      </c>
      <c r="H1806" s="160">
        <f t="shared" si="61"/>
        <v>604.6616</v>
      </c>
      <c r="I1806" s="172"/>
      <c r="J1806" s="169"/>
      <c r="K1806" s="172"/>
      <c r="L1806" s="172">
        <f>+'FACUS$'!$H1806-'FACUS$'!$I1806-'FACUS$'!$K1806</f>
        <v>604.6616</v>
      </c>
      <c r="M1806" s="162" t="s">
        <v>278</v>
      </c>
      <c r="N1806" s="337" t="s">
        <v>554</v>
      </c>
      <c r="O1806" s="338">
        <v>44826.0</v>
      </c>
      <c r="P1806" s="164">
        <f t="array" ref="P1806">XLOOKUP('FACUS$'!$B1806,'perfil de pagos'!$A$4:$A$46,'perfil de pagos'!$C$4:$C$46+'FACUS$'!$D1806)</f>
        <v>44819</v>
      </c>
      <c r="Q1806" s="165">
        <f t="shared" si="2"/>
        <v>0</v>
      </c>
      <c r="R1806" s="220" t="s">
        <v>9052</v>
      </c>
      <c r="S1806" s="167">
        <v>1565.0</v>
      </c>
      <c r="T1806" s="167"/>
      <c r="U1806" s="334" t="s">
        <v>7271</v>
      </c>
      <c r="V1806" s="168">
        <f t="shared" si="3"/>
        <v>604.6616</v>
      </c>
      <c r="W1806" s="168">
        <f t="shared" si="4"/>
        <v>0</v>
      </c>
      <c r="X1806" s="168">
        <f t="shared" si="5"/>
        <v>0</v>
      </c>
      <c r="Y1806" s="168">
        <f t="shared" si="6"/>
        <v>0</v>
      </c>
      <c r="Z1806" s="168">
        <f t="shared" si="7"/>
        <v>0</v>
      </c>
      <c r="AA1806" s="168">
        <f t="shared" si="8"/>
        <v>0</v>
      </c>
      <c r="AB1806" s="168">
        <f t="shared" si="9"/>
        <v>0</v>
      </c>
    </row>
    <row r="1807" ht="15.0" customHeight="1">
      <c r="A1807" s="157" t="s">
        <v>9053</v>
      </c>
      <c r="B1807" s="169" t="s">
        <v>18</v>
      </c>
      <c r="C1807" s="169" t="s">
        <v>9044</v>
      </c>
      <c r="D1807" s="317">
        <v>44810.0</v>
      </c>
      <c r="E1807" s="157" t="s">
        <v>600</v>
      </c>
      <c r="F1807" s="160">
        <v>10536.86</v>
      </c>
      <c r="G1807" s="160">
        <f>'FACUS$'!$F1807*0.16</f>
        <v>1685.8976</v>
      </c>
      <c r="H1807" s="160">
        <f t="shared" si="61"/>
        <v>12222.7576</v>
      </c>
      <c r="I1807" s="172"/>
      <c r="J1807" s="169"/>
      <c r="K1807" s="172"/>
      <c r="L1807" s="172">
        <f>+'FACUS$'!$H1807-'FACUS$'!$I1807-'FACUS$'!$K1807</f>
        <v>12222.7576</v>
      </c>
      <c r="M1807" s="162" t="s">
        <v>586</v>
      </c>
      <c r="N1807" s="337" t="s">
        <v>554</v>
      </c>
      <c r="O1807" s="338">
        <v>44861.0</v>
      </c>
      <c r="P1807" s="164">
        <f t="array" ref="P1807">XLOOKUP('FACUS$'!$B1807,'perfil de pagos'!$A$4:$A$46,'perfil de pagos'!$C$4:$C$46+'FACUS$'!$D1807)</f>
        <v>44820</v>
      </c>
      <c r="Q1807" s="165">
        <f t="shared" si="2"/>
        <v>0</v>
      </c>
      <c r="R1807" s="167"/>
      <c r="S1807" s="167">
        <v>1671.0</v>
      </c>
      <c r="T1807" s="167"/>
      <c r="U1807" s="334" t="s">
        <v>7271</v>
      </c>
      <c r="V1807" s="168">
        <f t="shared" si="3"/>
        <v>12222.7576</v>
      </c>
      <c r="W1807" s="168">
        <f t="shared" si="4"/>
        <v>0</v>
      </c>
      <c r="X1807" s="168">
        <f t="shared" si="5"/>
        <v>0</v>
      </c>
      <c r="Y1807" s="168">
        <f t="shared" si="6"/>
        <v>0</v>
      </c>
      <c r="Z1807" s="168">
        <f t="shared" si="7"/>
        <v>0</v>
      </c>
      <c r="AA1807" s="168">
        <f t="shared" si="8"/>
        <v>0</v>
      </c>
      <c r="AB1807" s="168">
        <f t="shared" si="9"/>
        <v>0</v>
      </c>
    </row>
    <row r="1808" ht="15.0" customHeight="1">
      <c r="A1808" s="157" t="s">
        <v>9054</v>
      </c>
      <c r="B1808" s="169" t="s">
        <v>20</v>
      </c>
      <c r="C1808" s="169" t="s">
        <v>9044</v>
      </c>
      <c r="D1808" s="317">
        <v>44810.0</v>
      </c>
      <c r="E1808" s="157" t="s">
        <v>600</v>
      </c>
      <c r="F1808" s="160">
        <v>15092.54</v>
      </c>
      <c r="G1808" s="160">
        <f>'FACUS$'!$F1808*0.16</f>
        <v>2414.8064</v>
      </c>
      <c r="H1808" s="160">
        <f t="shared" si="61"/>
        <v>17507.3464</v>
      </c>
      <c r="I1808" s="172"/>
      <c r="J1808" s="169"/>
      <c r="K1808" s="172"/>
      <c r="L1808" s="172">
        <f>+'FACUS$'!$H1808-'FACUS$'!$I1808-'FACUS$'!$K1808</f>
        <v>17507.3464</v>
      </c>
      <c r="M1808" s="162" t="s">
        <v>732</v>
      </c>
      <c r="N1808" s="337" t="s">
        <v>554</v>
      </c>
      <c r="O1808" s="338">
        <v>44861.0</v>
      </c>
      <c r="P1808" s="164">
        <f t="array" ref="P1808">XLOOKUP('FACUS$'!$B1808,'perfil de pagos'!$A$4:$A$46,'perfil de pagos'!$C$4:$C$46+'FACUS$'!$D1808)</f>
        <v>44820</v>
      </c>
      <c r="Q1808" s="165">
        <f t="shared" si="2"/>
        <v>0</v>
      </c>
      <c r="R1808" s="167"/>
      <c r="S1808" s="167">
        <v>1671.0</v>
      </c>
      <c r="T1808" s="167"/>
      <c r="U1808" s="334" t="s">
        <v>7271</v>
      </c>
      <c r="V1808" s="168">
        <f t="shared" si="3"/>
        <v>17507.3464</v>
      </c>
      <c r="W1808" s="168">
        <f t="shared" si="4"/>
        <v>0</v>
      </c>
      <c r="X1808" s="168">
        <f t="shared" si="5"/>
        <v>0</v>
      </c>
      <c r="Y1808" s="168">
        <f t="shared" si="6"/>
        <v>0</v>
      </c>
      <c r="Z1808" s="168">
        <f t="shared" si="7"/>
        <v>0</v>
      </c>
      <c r="AA1808" s="168">
        <f t="shared" si="8"/>
        <v>0</v>
      </c>
      <c r="AB1808" s="168">
        <f t="shared" si="9"/>
        <v>0</v>
      </c>
    </row>
    <row r="1809" ht="15.0" customHeight="1">
      <c r="A1809" s="157" t="s">
        <v>9055</v>
      </c>
      <c r="B1809" s="169" t="s">
        <v>22</v>
      </c>
      <c r="C1809" s="169" t="s">
        <v>9044</v>
      </c>
      <c r="D1809" s="317">
        <v>44810.0</v>
      </c>
      <c r="E1809" s="157" t="s">
        <v>600</v>
      </c>
      <c r="F1809" s="160">
        <v>14020.16</v>
      </c>
      <c r="G1809" s="160">
        <f>'FACUS$'!$F1809*0.16</f>
        <v>2243.2256</v>
      </c>
      <c r="H1809" s="160">
        <f t="shared" si="61"/>
        <v>16263.3856</v>
      </c>
      <c r="I1809" s="172"/>
      <c r="J1809" s="169"/>
      <c r="K1809" s="172"/>
      <c r="L1809" s="172">
        <f>+'FACUS$'!$H1809-'FACUS$'!$I1809-'FACUS$'!$K1809</f>
        <v>16263.3856</v>
      </c>
      <c r="M1809" s="162" t="s">
        <v>220</v>
      </c>
      <c r="N1809" s="337" t="s">
        <v>554</v>
      </c>
      <c r="O1809" s="338">
        <v>44802.0</v>
      </c>
      <c r="P1809" s="164">
        <f t="array" ref="P1809">XLOOKUP('FACUS$'!$B1809,'perfil de pagos'!$A$4:$A$46,'perfil de pagos'!$C$4:$C$46+'FACUS$'!$D1809)</f>
        <v>44820</v>
      </c>
      <c r="Q1809" s="165">
        <f t="shared" si="2"/>
        <v>0</v>
      </c>
      <c r="R1809" s="167"/>
      <c r="S1809" s="167"/>
      <c r="T1809" s="167"/>
      <c r="U1809" s="334" t="s">
        <v>7271</v>
      </c>
      <c r="V1809" s="168">
        <f t="shared" si="3"/>
        <v>16263.3856</v>
      </c>
      <c r="W1809" s="168">
        <f t="shared" si="4"/>
        <v>0</v>
      </c>
      <c r="X1809" s="168">
        <f t="shared" si="5"/>
        <v>0</v>
      </c>
      <c r="Y1809" s="168">
        <f t="shared" si="6"/>
        <v>0</v>
      </c>
      <c r="Z1809" s="168">
        <f t="shared" si="7"/>
        <v>0</v>
      </c>
      <c r="AA1809" s="168">
        <f t="shared" si="8"/>
        <v>0</v>
      </c>
      <c r="AB1809" s="168">
        <f t="shared" si="9"/>
        <v>0</v>
      </c>
    </row>
    <row r="1810" ht="15.0" customHeight="1">
      <c r="A1810" s="157" t="s">
        <v>9056</v>
      </c>
      <c r="B1810" s="169" t="s">
        <v>37</v>
      </c>
      <c r="C1810" s="169" t="s">
        <v>9044</v>
      </c>
      <c r="D1810" s="317">
        <v>44810.0</v>
      </c>
      <c r="E1810" s="157" t="s">
        <v>600</v>
      </c>
      <c r="F1810" s="160">
        <v>87183.37</v>
      </c>
      <c r="G1810" s="160">
        <f>'FACUS$'!$F1810*0.16</f>
        <v>13949.3392</v>
      </c>
      <c r="H1810" s="160">
        <f t="shared" si="61"/>
        <v>101132.7092</v>
      </c>
      <c r="I1810" s="172"/>
      <c r="J1810" s="169"/>
      <c r="K1810" s="172"/>
      <c r="L1810" s="172">
        <f>+'FACUS$'!$H1810-'FACUS$'!$I1810-'FACUS$'!$K1810</f>
        <v>101132.7092</v>
      </c>
      <c r="M1810" s="162" t="s">
        <v>116</v>
      </c>
      <c r="N1810" s="337" t="s">
        <v>554</v>
      </c>
      <c r="O1810" s="338">
        <v>44824.0</v>
      </c>
      <c r="P1810" s="164">
        <f t="array" ref="P1810">XLOOKUP('FACUS$'!$B1810,'perfil de pagos'!$A$4:$A$46,'perfil de pagos'!$C$4:$C$46+'FACUS$'!$D1810)</f>
        <v>44820</v>
      </c>
      <c r="Q1810" s="165">
        <f t="shared" si="2"/>
        <v>0</v>
      </c>
      <c r="R1810" s="247" t="s">
        <v>9057</v>
      </c>
      <c r="S1810" s="167">
        <v>1576.0</v>
      </c>
      <c r="T1810" s="167"/>
      <c r="U1810" s="334" t="s">
        <v>7271</v>
      </c>
      <c r="V1810" s="168">
        <f t="shared" si="3"/>
        <v>101132.7092</v>
      </c>
      <c r="W1810" s="168">
        <f t="shared" si="4"/>
        <v>0</v>
      </c>
      <c r="X1810" s="168">
        <f t="shared" si="5"/>
        <v>0</v>
      </c>
      <c r="Y1810" s="168">
        <f t="shared" si="6"/>
        <v>0</v>
      </c>
      <c r="Z1810" s="168">
        <f t="shared" si="7"/>
        <v>0</v>
      </c>
      <c r="AA1810" s="168">
        <f t="shared" si="8"/>
        <v>0</v>
      </c>
      <c r="AB1810" s="168">
        <f t="shared" si="9"/>
        <v>0</v>
      </c>
    </row>
    <row r="1811" ht="15.0" customHeight="1">
      <c r="A1811" s="157" t="s">
        <v>9058</v>
      </c>
      <c r="B1811" s="169" t="s">
        <v>21</v>
      </c>
      <c r="C1811" s="169" t="s">
        <v>4125</v>
      </c>
      <c r="D1811" s="317">
        <v>44810.0</v>
      </c>
      <c r="E1811" s="157" t="s">
        <v>600</v>
      </c>
      <c r="F1811" s="160">
        <v>1352.45</v>
      </c>
      <c r="G1811" s="160">
        <f>'FACUS$'!$F1811*0.16</f>
        <v>216.392</v>
      </c>
      <c r="H1811" s="160">
        <f t="shared" si="61"/>
        <v>1568.842</v>
      </c>
      <c r="I1811" s="172"/>
      <c r="J1811" s="169"/>
      <c r="K1811" s="172"/>
      <c r="L1811" s="172">
        <f>+'FACUS$'!$H1811-'FACUS$'!$I1811-'FACUS$'!$K1811</f>
        <v>1568.842</v>
      </c>
      <c r="M1811" s="162" t="s">
        <v>2263</v>
      </c>
      <c r="N1811" s="337" t="s">
        <v>554</v>
      </c>
      <c r="O1811" s="338">
        <v>44826.0</v>
      </c>
      <c r="P1811" s="164">
        <f t="array" ref="P1811">XLOOKUP('FACUS$'!$B1811,'perfil de pagos'!$A$4:$A$46,'perfil de pagos'!$C$4:$C$46+'FACUS$'!$D1811)</f>
        <v>44820</v>
      </c>
      <c r="Q1811" s="165">
        <f t="shared" si="2"/>
        <v>0</v>
      </c>
      <c r="R1811" s="167"/>
      <c r="S1811" s="167">
        <v>1582.0</v>
      </c>
      <c r="T1811" s="167"/>
      <c r="U1811" s="334" t="s">
        <v>7271</v>
      </c>
      <c r="V1811" s="168">
        <f t="shared" si="3"/>
        <v>1568.842</v>
      </c>
      <c r="W1811" s="168">
        <f t="shared" si="4"/>
        <v>0</v>
      </c>
      <c r="X1811" s="168">
        <f t="shared" si="5"/>
        <v>0</v>
      </c>
      <c r="Y1811" s="168">
        <f t="shared" si="6"/>
        <v>0</v>
      </c>
      <c r="Z1811" s="168">
        <f t="shared" si="7"/>
        <v>0</v>
      </c>
      <c r="AA1811" s="168">
        <f t="shared" si="8"/>
        <v>0</v>
      </c>
      <c r="AB1811" s="168">
        <f t="shared" si="9"/>
        <v>0</v>
      </c>
    </row>
    <row r="1812" ht="15.0" customHeight="1">
      <c r="A1812" s="157" t="s">
        <v>9059</v>
      </c>
      <c r="B1812" s="169" t="s">
        <v>21</v>
      </c>
      <c r="C1812" s="169" t="s">
        <v>4176</v>
      </c>
      <c r="D1812" s="317">
        <v>44810.0</v>
      </c>
      <c r="E1812" s="157" t="s">
        <v>600</v>
      </c>
      <c r="F1812" s="160">
        <v>1338.49</v>
      </c>
      <c r="G1812" s="160">
        <f>'FACUS$'!$F1812*0.16</f>
        <v>214.1584</v>
      </c>
      <c r="H1812" s="160">
        <f t="shared" si="61"/>
        <v>1552.6484</v>
      </c>
      <c r="I1812" s="172"/>
      <c r="J1812" s="169"/>
      <c r="K1812" s="172"/>
      <c r="L1812" s="172">
        <f>+'FACUS$'!$H1812-'FACUS$'!$I1812-'FACUS$'!$K1812</f>
        <v>1552.6484</v>
      </c>
      <c r="M1812" s="162" t="s">
        <v>2263</v>
      </c>
      <c r="N1812" s="337" t="s">
        <v>554</v>
      </c>
      <c r="O1812" s="338">
        <v>44866.0</v>
      </c>
      <c r="P1812" s="164">
        <f t="array" ref="P1812">XLOOKUP('FACUS$'!$B1812,'perfil de pagos'!$A$4:$A$46,'perfil de pagos'!$C$4:$C$46+'FACUS$'!$D1812)</f>
        <v>44820</v>
      </c>
      <c r="Q1812" s="165">
        <f t="shared" si="2"/>
        <v>0</v>
      </c>
      <c r="R1812" s="167"/>
      <c r="S1812" s="167"/>
      <c r="T1812" s="167"/>
      <c r="U1812" s="334" t="s">
        <v>7271</v>
      </c>
      <c r="V1812" s="168">
        <f t="shared" si="3"/>
        <v>1552.6484</v>
      </c>
      <c r="W1812" s="168">
        <f t="shared" si="4"/>
        <v>0</v>
      </c>
      <c r="X1812" s="168">
        <f t="shared" si="5"/>
        <v>0</v>
      </c>
      <c r="Y1812" s="168">
        <f t="shared" si="6"/>
        <v>0</v>
      </c>
      <c r="Z1812" s="168">
        <f t="shared" si="7"/>
        <v>0</v>
      </c>
      <c r="AA1812" s="168">
        <f t="shared" si="8"/>
        <v>0</v>
      </c>
      <c r="AB1812" s="168">
        <f t="shared" si="9"/>
        <v>0</v>
      </c>
    </row>
    <row r="1813" ht="15.0" customHeight="1">
      <c r="A1813" s="157" t="s">
        <v>9060</v>
      </c>
      <c r="B1813" s="169" t="s">
        <v>42</v>
      </c>
      <c r="C1813" s="169" t="s">
        <v>4176</v>
      </c>
      <c r="D1813" s="317">
        <v>44719.0</v>
      </c>
      <c r="E1813" s="157" t="s">
        <v>600</v>
      </c>
      <c r="F1813" s="160">
        <v>4124.51</v>
      </c>
      <c r="G1813" s="160">
        <f>'FACUS$'!$F1813*0.16</f>
        <v>659.9216</v>
      </c>
      <c r="H1813" s="160">
        <f t="shared" si="61"/>
        <v>4784.4316</v>
      </c>
      <c r="I1813" s="172"/>
      <c r="J1813" s="169"/>
      <c r="K1813" s="172"/>
      <c r="L1813" s="172">
        <f>+'FACUS$'!$H1813-'FACUS$'!$I1813-'FACUS$'!$K1813</f>
        <v>4784.4316</v>
      </c>
      <c r="M1813" s="162" t="s">
        <v>4188</v>
      </c>
      <c r="N1813" s="337" t="s">
        <v>554</v>
      </c>
      <c r="O1813" s="338">
        <v>44827.0</v>
      </c>
      <c r="P1813" s="164">
        <f t="array" ref="P1813">XLOOKUP('FACUS$'!$B1813,'perfil de pagos'!$A$4:$A$46,'perfil de pagos'!$C$4:$C$46+'FACUS$'!$D1813)</f>
        <v>44729</v>
      </c>
      <c r="Q1813" s="165">
        <f t="shared" si="2"/>
        <v>0</v>
      </c>
      <c r="R1813" s="167"/>
      <c r="S1813" s="167">
        <v>1583.0</v>
      </c>
      <c r="T1813" s="167"/>
      <c r="U1813" s="334" t="s">
        <v>7271</v>
      </c>
      <c r="V1813" s="168">
        <f t="shared" si="3"/>
        <v>4784.4316</v>
      </c>
      <c r="W1813" s="168">
        <f t="shared" si="4"/>
        <v>0</v>
      </c>
      <c r="X1813" s="168">
        <f t="shared" si="5"/>
        <v>0</v>
      </c>
      <c r="Y1813" s="168">
        <f t="shared" si="6"/>
        <v>0</v>
      </c>
      <c r="Z1813" s="168">
        <f t="shared" si="7"/>
        <v>0</v>
      </c>
      <c r="AA1813" s="168">
        <f t="shared" si="8"/>
        <v>0</v>
      </c>
      <c r="AB1813" s="168">
        <f t="shared" si="9"/>
        <v>0</v>
      </c>
    </row>
    <row r="1814" ht="15.0" customHeight="1">
      <c r="A1814" s="157" t="s">
        <v>9061</v>
      </c>
      <c r="B1814" s="169" t="s">
        <v>38</v>
      </c>
      <c r="C1814" s="169" t="s">
        <v>4176</v>
      </c>
      <c r="D1814" s="317">
        <v>44813.0</v>
      </c>
      <c r="E1814" s="157" t="s">
        <v>600</v>
      </c>
      <c r="F1814" s="160">
        <v>11031.59</v>
      </c>
      <c r="G1814" s="160">
        <f>'FACUS$'!$F1814*0.16</f>
        <v>1765.0544</v>
      </c>
      <c r="H1814" s="160">
        <f t="shared" si="61"/>
        <v>12796.6444</v>
      </c>
      <c r="I1814" s="172"/>
      <c r="J1814" s="169"/>
      <c r="K1814" s="172"/>
      <c r="L1814" s="172">
        <f>+'FACUS$'!$H1814-'FACUS$'!$I1814-'FACUS$'!$K1814</f>
        <v>12796.6444</v>
      </c>
      <c r="M1814" s="162" t="s">
        <v>145</v>
      </c>
      <c r="N1814" s="337" t="s">
        <v>554</v>
      </c>
      <c r="O1814" s="338">
        <v>44852.0</v>
      </c>
      <c r="P1814" s="164">
        <f t="array" ref="P1814">XLOOKUP('FACUS$'!$B1814,'perfil de pagos'!$A$4:$A$46,'perfil de pagos'!$C$4:$C$46+'FACUS$'!$D1814)</f>
        <v>44843</v>
      </c>
      <c r="Q1814" s="165">
        <f t="shared" si="2"/>
        <v>0</v>
      </c>
      <c r="R1814" s="167"/>
      <c r="S1814" s="167">
        <v>1661.0</v>
      </c>
      <c r="T1814" s="167"/>
      <c r="U1814" s="334" t="s">
        <v>7271</v>
      </c>
      <c r="V1814" s="168">
        <f t="shared" si="3"/>
        <v>12796.6444</v>
      </c>
      <c r="W1814" s="168">
        <f t="shared" si="4"/>
        <v>0</v>
      </c>
      <c r="X1814" s="168">
        <f t="shared" si="5"/>
        <v>0</v>
      </c>
      <c r="Y1814" s="168">
        <f t="shared" si="6"/>
        <v>0</v>
      </c>
      <c r="Z1814" s="168">
        <f t="shared" si="7"/>
        <v>0</v>
      </c>
      <c r="AA1814" s="168">
        <f t="shared" si="8"/>
        <v>0</v>
      </c>
      <c r="AB1814" s="168">
        <f t="shared" si="9"/>
        <v>0</v>
      </c>
    </row>
    <row r="1815" ht="15.0" customHeight="1">
      <c r="A1815" s="157" t="s">
        <v>9062</v>
      </c>
      <c r="B1815" s="169" t="s">
        <v>38</v>
      </c>
      <c r="C1815" s="169" t="s">
        <v>9063</v>
      </c>
      <c r="D1815" s="317">
        <v>44816.0</v>
      </c>
      <c r="E1815" s="157" t="s">
        <v>600</v>
      </c>
      <c r="F1815" s="160">
        <v>148.35</v>
      </c>
      <c r="G1815" s="160">
        <f>'FACUS$'!$F1815*0.16</f>
        <v>23.736</v>
      </c>
      <c r="H1815" s="160">
        <f t="shared" si="61"/>
        <v>172.086</v>
      </c>
      <c r="I1815" s="172"/>
      <c r="J1815" s="169"/>
      <c r="K1815" s="172"/>
      <c r="L1815" s="172">
        <f>+'FACUS$'!$H1815-'FACUS$'!$I1815-'FACUS$'!$K1815</f>
        <v>172.086</v>
      </c>
      <c r="M1815" s="162" t="s">
        <v>145</v>
      </c>
      <c r="N1815" s="337" t="s">
        <v>554</v>
      </c>
      <c r="O1815" s="338">
        <v>44852.0</v>
      </c>
      <c r="P1815" s="164">
        <f t="array" ref="P1815">XLOOKUP('FACUS$'!$B1815,'perfil de pagos'!$A$4:$A$46,'perfil de pagos'!$C$4:$C$46+'FACUS$'!$D1815)</f>
        <v>44846</v>
      </c>
      <c r="Q1815" s="165">
        <f t="shared" si="2"/>
        <v>0</v>
      </c>
      <c r="R1815" s="167"/>
      <c r="S1815" s="167">
        <v>1661.0</v>
      </c>
      <c r="T1815" s="167"/>
      <c r="U1815" s="334" t="s">
        <v>7271</v>
      </c>
      <c r="V1815" s="168">
        <f t="shared" si="3"/>
        <v>172.086</v>
      </c>
      <c r="W1815" s="168">
        <f t="shared" si="4"/>
        <v>0</v>
      </c>
      <c r="X1815" s="168">
        <f t="shared" si="5"/>
        <v>0</v>
      </c>
      <c r="Y1815" s="168">
        <f t="shared" si="6"/>
        <v>0</v>
      </c>
      <c r="Z1815" s="168">
        <f t="shared" si="7"/>
        <v>0</v>
      </c>
      <c r="AA1815" s="168">
        <f t="shared" si="8"/>
        <v>0</v>
      </c>
      <c r="AB1815" s="168">
        <f t="shared" si="9"/>
        <v>0</v>
      </c>
    </row>
    <row r="1816" ht="15.0" customHeight="1">
      <c r="A1816" s="157" t="s">
        <v>9064</v>
      </c>
      <c r="B1816" s="169" t="s">
        <v>38</v>
      </c>
      <c r="C1816" s="169" t="s">
        <v>9065</v>
      </c>
      <c r="D1816" s="317">
        <v>44816.0</v>
      </c>
      <c r="E1816" s="157" t="s">
        <v>600</v>
      </c>
      <c r="F1816" s="160">
        <v>775.42</v>
      </c>
      <c r="G1816" s="160">
        <f>'FACUS$'!$F1816*0.16</f>
        <v>124.0672</v>
      </c>
      <c r="H1816" s="160">
        <f t="shared" si="61"/>
        <v>899.4872</v>
      </c>
      <c r="I1816" s="172"/>
      <c r="J1816" s="169"/>
      <c r="K1816" s="172"/>
      <c r="L1816" s="172">
        <f>+'FACUS$'!$H1816-'FACUS$'!$I1816-'FACUS$'!$K1816</f>
        <v>899.4872</v>
      </c>
      <c r="M1816" s="162" t="s">
        <v>145</v>
      </c>
      <c r="N1816" s="337" t="s">
        <v>554</v>
      </c>
      <c r="O1816" s="338">
        <v>44852.0</v>
      </c>
      <c r="P1816" s="164">
        <f t="array" ref="P1816">XLOOKUP('FACUS$'!$B1816,'perfil de pagos'!$A$4:$A$46,'perfil de pagos'!$C$4:$C$46+'FACUS$'!$D1816)</f>
        <v>44846</v>
      </c>
      <c r="Q1816" s="165">
        <f t="shared" si="2"/>
        <v>0</v>
      </c>
      <c r="R1816" s="167"/>
      <c r="S1816" s="167">
        <v>1661.0</v>
      </c>
      <c r="T1816" s="167"/>
      <c r="U1816" s="334" t="s">
        <v>7271</v>
      </c>
      <c r="V1816" s="168">
        <f t="shared" si="3"/>
        <v>899.4872</v>
      </c>
      <c r="W1816" s="168">
        <f t="shared" si="4"/>
        <v>0</v>
      </c>
      <c r="X1816" s="168">
        <f t="shared" si="5"/>
        <v>0</v>
      </c>
      <c r="Y1816" s="168">
        <f t="shared" si="6"/>
        <v>0</v>
      </c>
      <c r="Z1816" s="168">
        <f t="shared" si="7"/>
        <v>0</v>
      </c>
      <c r="AA1816" s="168">
        <f t="shared" si="8"/>
        <v>0</v>
      </c>
      <c r="AB1816" s="168">
        <f t="shared" si="9"/>
        <v>0</v>
      </c>
    </row>
    <row r="1817" ht="15.0" customHeight="1">
      <c r="A1817" s="157" t="s">
        <v>9066</v>
      </c>
      <c r="B1817" s="169" t="s">
        <v>35</v>
      </c>
      <c r="C1817" s="169" t="s">
        <v>9067</v>
      </c>
      <c r="D1817" s="317">
        <v>44825.0</v>
      </c>
      <c r="E1817" s="157" t="s">
        <v>600</v>
      </c>
      <c r="F1817" s="160">
        <v>3292.8</v>
      </c>
      <c r="G1817" s="160">
        <f>'FACUS$'!$F1817*0.16</f>
        <v>526.848</v>
      </c>
      <c r="H1817" s="160">
        <f t="shared" si="61"/>
        <v>3819.648</v>
      </c>
      <c r="I1817" s="172"/>
      <c r="J1817" s="169"/>
      <c r="K1817" s="172"/>
      <c r="L1817" s="172">
        <f>+'FACUS$'!$H1817-'FACUS$'!$I1817-'FACUS$'!$K1817</f>
        <v>3819.648</v>
      </c>
      <c r="M1817" s="162" t="s">
        <v>276</v>
      </c>
      <c r="N1817" s="337" t="s">
        <v>554</v>
      </c>
      <c r="O1817" s="338">
        <v>44895.0</v>
      </c>
      <c r="P1817" s="164">
        <f t="array" ref="P1817">XLOOKUP('FACUS$'!$B1817,'perfil de pagos'!$A$4:$A$46,'perfil de pagos'!$C$4:$C$46+'FACUS$'!$D1817)</f>
        <v>44835</v>
      </c>
      <c r="Q1817" s="165">
        <f t="shared" si="2"/>
        <v>0</v>
      </c>
      <c r="R1817" s="167"/>
      <c r="S1817" s="167">
        <v>1754.0</v>
      </c>
      <c r="T1817" s="167"/>
      <c r="U1817" s="334" t="s">
        <v>7271</v>
      </c>
      <c r="V1817" s="168">
        <f t="shared" si="3"/>
        <v>3819.648</v>
      </c>
      <c r="W1817" s="168">
        <f t="shared" si="4"/>
        <v>0</v>
      </c>
      <c r="X1817" s="168">
        <f t="shared" si="5"/>
        <v>0</v>
      </c>
      <c r="Y1817" s="168">
        <f t="shared" si="6"/>
        <v>0</v>
      </c>
      <c r="Z1817" s="168">
        <f t="shared" si="7"/>
        <v>0</v>
      </c>
      <c r="AA1817" s="168">
        <f t="shared" si="8"/>
        <v>0</v>
      </c>
      <c r="AB1817" s="168">
        <f t="shared" si="9"/>
        <v>0</v>
      </c>
    </row>
    <row r="1818" ht="15.0" customHeight="1">
      <c r="A1818" s="157" t="s">
        <v>9068</v>
      </c>
      <c r="B1818" s="169" t="s">
        <v>41</v>
      </c>
      <c r="C1818" s="169" t="s">
        <v>9067</v>
      </c>
      <c r="D1818" s="317">
        <v>44825.0</v>
      </c>
      <c r="E1818" s="157" t="s">
        <v>600</v>
      </c>
      <c r="F1818" s="160">
        <v>11901.0</v>
      </c>
      <c r="G1818" s="160">
        <f>'FACUS$'!$F1818*0.16</f>
        <v>1904.16</v>
      </c>
      <c r="H1818" s="160">
        <f t="shared" si="61"/>
        <v>13805.16</v>
      </c>
      <c r="I1818" s="172"/>
      <c r="J1818" s="169"/>
      <c r="K1818" s="172"/>
      <c r="L1818" s="172">
        <f>+'FACUS$'!$H1818-'FACUS$'!$I1818-'FACUS$'!$K1818</f>
        <v>13805.16</v>
      </c>
      <c r="M1818" s="162" t="s">
        <v>875</v>
      </c>
      <c r="N1818" s="337" t="s">
        <v>554</v>
      </c>
      <c r="O1818" s="338">
        <v>44879.0</v>
      </c>
      <c r="P1818" s="164">
        <f t="array" ref="P1818">XLOOKUP('FACUS$'!$B1818,'perfil de pagos'!$A$4:$A$46,'perfil de pagos'!$C$4:$C$46+'FACUS$'!$D1818)</f>
        <v>44835</v>
      </c>
      <c r="Q1818" s="165">
        <f t="shared" si="2"/>
        <v>0</v>
      </c>
      <c r="R1818" s="167"/>
      <c r="S1818" s="167">
        <v>1719.0</v>
      </c>
      <c r="T1818" s="167"/>
      <c r="U1818" s="334" t="s">
        <v>7271</v>
      </c>
      <c r="V1818" s="168">
        <f t="shared" si="3"/>
        <v>13805.16</v>
      </c>
      <c r="W1818" s="168">
        <f t="shared" si="4"/>
        <v>0</v>
      </c>
      <c r="X1818" s="168">
        <f t="shared" si="5"/>
        <v>0</v>
      </c>
      <c r="Y1818" s="168">
        <f t="shared" si="6"/>
        <v>0</v>
      </c>
      <c r="Z1818" s="168">
        <f t="shared" si="7"/>
        <v>0</v>
      </c>
      <c r="AA1818" s="168">
        <f t="shared" si="8"/>
        <v>0</v>
      </c>
      <c r="AB1818" s="168">
        <f t="shared" si="9"/>
        <v>0</v>
      </c>
    </row>
    <row r="1819" ht="15.0" customHeight="1">
      <c r="A1819" s="157" t="s">
        <v>9069</v>
      </c>
      <c r="B1819" s="169" t="s">
        <v>17</v>
      </c>
      <c r="C1819" s="169" t="s">
        <v>4223</v>
      </c>
      <c r="D1819" s="317">
        <v>44825.0</v>
      </c>
      <c r="E1819" s="157" t="s">
        <v>600</v>
      </c>
      <c r="F1819" s="160">
        <v>18784.55</v>
      </c>
      <c r="G1819" s="160">
        <f>'FACUS$'!$F1819*0.16</f>
        <v>3005.528</v>
      </c>
      <c r="H1819" s="160">
        <f t="shared" si="61"/>
        <v>21790.078</v>
      </c>
      <c r="I1819" s="172"/>
      <c r="J1819" s="169"/>
      <c r="K1819" s="172"/>
      <c r="L1819" s="172">
        <f>+'FACUS$'!$H1819-'FACUS$'!$I1819-'FACUS$'!$K1819</f>
        <v>21790.078</v>
      </c>
      <c r="M1819" s="162" t="s">
        <v>17</v>
      </c>
      <c r="N1819" s="337" t="s">
        <v>554</v>
      </c>
      <c r="O1819" s="338">
        <v>44840.0</v>
      </c>
      <c r="P1819" s="164">
        <f t="array" ref="P1819">XLOOKUP('FACUS$'!$B1819,'perfil de pagos'!$A$4:$A$46,'perfil de pagos'!$C$4:$C$46+'FACUS$'!$D1819)</f>
        <v>44835</v>
      </c>
      <c r="Q1819" s="165">
        <f t="shared" si="2"/>
        <v>0</v>
      </c>
      <c r="R1819" s="167"/>
      <c r="S1819" s="167">
        <v>1622.0</v>
      </c>
      <c r="T1819" s="167"/>
      <c r="U1819" s="334" t="s">
        <v>7271</v>
      </c>
      <c r="V1819" s="168">
        <f t="shared" si="3"/>
        <v>21790.078</v>
      </c>
      <c r="W1819" s="168">
        <f t="shared" si="4"/>
        <v>0</v>
      </c>
      <c r="X1819" s="168">
        <f t="shared" si="5"/>
        <v>0</v>
      </c>
      <c r="Y1819" s="168">
        <f t="shared" si="6"/>
        <v>0</v>
      </c>
      <c r="Z1819" s="168">
        <f t="shared" si="7"/>
        <v>0</v>
      </c>
      <c r="AA1819" s="168">
        <f t="shared" si="8"/>
        <v>0</v>
      </c>
      <c r="AB1819" s="168">
        <f t="shared" si="9"/>
        <v>0</v>
      </c>
    </row>
    <row r="1820" ht="15.0" customHeight="1">
      <c r="A1820" s="157" t="s">
        <v>9070</v>
      </c>
      <c r="B1820" s="169" t="s">
        <v>17</v>
      </c>
      <c r="C1820" s="169" t="s">
        <v>9067</v>
      </c>
      <c r="D1820" s="317">
        <v>44825.0</v>
      </c>
      <c r="E1820" s="157" t="s">
        <v>600</v>
      </c>
      <c r="F1820" s="160">
        <v>10605.05</v>
      </c>
      <c r="G1820" s="160">
        <f>'FACUS$'!$F1820*0.16</f>
        <v>1696.808</v>
      </c>
      <c r="H1820" s="160">
        <f t="shared" si="61"/>
        <v>12301.858</v>
      </c>
      <c r="I1820" s="172"/>
      <c r="J1820" s="169"/>
      <c r="K1820" s="172"/>
      <c r="L1820" s="172">
        <f>+'FACUS$'!$H1820-'FACUS$'!$I1820-'FACUS$'!$K1820</f>
        <v>12301.858</v>
      </c>
      <c r="M1820" s="162" t="s">
        <v>17</v>
      </c>
      <c r="N1820" s="337" t="s">
        <v>554</v>
      </c>
      <c r="O1820" s="338">
        <v>44840.0</v>
      </c>
      <c r="P1820" s="164">
        <f t="array" ref="P1820">XLOOKUP('FACUS$'!$B1820,'perfil de pagos'!$A$4:$A$46,'perfil de pagos'!$C$4:$C$46+'FACUS$'!$D1820)</f>
        <v>44835</v>
      </c>
      <c r="Q1820" s="165">
        <f t="shared" si="2"/>
        <v>0</v>
      </c>
      <c r="R1820" s="167"/>
      <c r="S1820" s="167">
        <v>1620.0</v>
      </c>
      <c r="T1820" s="167"/>
      <c r="U1820" s="334" t="s">
        <v>7271</v>
      </c>
      <c r="V1820" s="168">
        <f t="shared" si="3"/>
        <v>12301.858</v>
      </c>
      <c r="W1820" s="168">
        <f t="shared" si="4"/>
        <v>0</v>
      </c>
      <c r="X1820" s="168">
        <f t="shared" si="5"/>
        <v>0</v>
      </c>
      <c r="Y1820" s="168">
        <f t="shared" si="6"/>
        <v>0</v>
      </c>
      <c r="Z1820" s="168">
        <f t="shared" si="7"/>
        <v>0</v>
      </c>
      <c r="AA1820" s="168">
        <f t="shared" si="8"/>
        <v>0</v>
      </c>
      <c r="AB1820" s="168">
        <f t="shared" si="9"/>
        <v>0</v>
      </c>
    </row>
    <row r="1821" ht="15.0" customHeight="1">
      <c r="A1821" s="157" t="s">
        <v>9071</v>
      </c>
      <c r="B1821" s="169" t="s">
        <v>21</v>
      </c>
      <c r="C1821" s="169" t="s">
        <v>9067</v>
      </c>
      <c r="D1821" s="317">
        <v>44825.0</v>
      </c>
      <c r="E1821" s="157" t="s">
        <v>600</v>
      </c>
      <c r="F1821" s="160">
        <v>1689.6</v>
      </c>
      <c r="G1821" s="160">
        <f>'FACUS$'!$F1821*0.16</f>
        <v>270.336</v>
      </c>
      <c r="H1821" s="160">
        <f t="shared" si="61"/>
        <v>1959.936</v>
      </c>
      <c r="I1821" s="172"/>
      <c r="J1821" s="169"/>
      <c r="K1821" s="172"/>
      <c r="L1821" s="172">
        <f>+'FACUS$'!$H1821-'FACUS$'!$I1821-'FACUS$'!$K1821</f>
        <v>1959.936</v>
      </c>
      <c r="M1821" s="162" t="s">
        <v>2263</v>
      </c>
      <c r="N1821" s="337" t="s">
        <v>554</v>
      </c>
      <c r="O1821" s="338">
        <v>44893.0</v>
      </c>
      <c r="P1821" s="164">
        <f t="array" ref="P1821">XLOOKUP('FACUS$'!$B1821,'perfil de pagos'!$A$4:$A$46,'perfil de pagos'!$C$4:$C$46+'FACUS$'!$D1821)</f>
        <v>44835</v>
      </c>
      <c r="Q1821" s="165">
        <f t="shared" si="2"/>
        <v>0</v>
      </c>
      <c r="R1821" s="167"/>
      <c r="S1821" s="167">
        <v>1761.0</v>
      </c>
      <c r="T1821" s="167"/>
      <c r="U1821" s="334" t="s">
        <v>7271</v>
      </c>
      <c r="V1821" s="168">
        <f t="shared" si="3"/>
        <v>1959.936</v>
      </c>
      <c r="W1821" s="168">
        <f t="shared" si="4"/>
        <v>0</v>
      </c>
      <c r="X1821" s="168">
        <f t="shared" si="5"/>
        <v>0</v>
      </c>
      <c r="Y1821" s="168">
        <f t="shared" si="6"/>
        <v>0</v>
      </c>
      <c r="Z1821" s="168">
        <f t="shared" si="7"/>
        <v>0</v>
      </c>
      <c r="AA1821" s="168">
        <f t="shared" si="8"/>
        <v>0</v>
      </c>
      <c r="AB1821" s="168">
        <f t="shared" si="9"/>
        <v>0</v>
      </c>
    </row>
    <row r="1822" ht="15.0" customHeight="1">
      <c r="A1822" s="157" t="s">
        <v>9072</v>
      </c>
      <c r="B1822" s="169" t="s">
        <v>15</v>
      </c>
      <c r="C1822" s="169" t="s">
        <v>9067</v>
      </c>
      <c r="D1822" s="317">
        <v>44825.0</v>
      </c>
      <c r="E1822" s="157" t="s">
        <v>600</v>
      </c>
      <c r="F1822" s="160">
        <v>10702.63</v>
      </c>
      <c r="G1822" s="160">
        <f>'FACUS$'!$F1822*0.16</f>
        <v>1712.4208</v>
      </c>
      <c r="H1822" s="160">
        <f t="shared" si="61"/>
        <v>12415.0508</v>
      </c>
      <c r="I1822" s="172"/>
      <c r="J1822" s="169"/>
      <c r="K1822" s="172"/>
      <c r="L1822" s="172">
        <f>+'FACUS$'!$H1822-'FACUS$'!$I1822-'FACUS$'!$K1822</f>
        <v>12415.0508</v>
      </c>
      <c r="M1822" s="162" t="s">
        <v>443</v>
      </c>
      <c r="N1822" s="337" t="s">
        <v>9035</v>
      </c>
      <c r="O1822" s="338"/>
      <c r="P1822" s="164">
        <f t="array" ref="P1822">XLOOKUP('FACUS$'!$B1822,'perfil de pagos'!$A$4:$A$46,'perfil de pagos'!$C$4:$C$46+'FACUS$'!$D1822)</f>
        <v>44835</v>
      </c>
      <c r="Q1822" s="165" t="str">
        <f t="shared" si="2"/>
        <v>N/A</v>
      </c>
      <c r="R1822" s="167" t="s">
        <v>9073</v>
      </c>
      <c r="S1822" s="167"/>
      <c r="T1822" s="167"/>
      <c r="U1822" s="334" t="s">
        <v>7271</v>
      </c>
      <c r="V1822" s="168">
        <f t="shared" si="3"/>
        <v>0</v>
      </c>
      <c r="W1822" s="168">
        <f t="shared" si="4"/>
        <v>0</v>
      </c>
      <c r="X1822" s="168">
        <f t="shared" si="5"/>
        <v>0</v>
      </c>
      <c r="Y1822" s="168">
        <f t="shared" si="6"/>
        <v>0</v>
      </c>
      <c r="Z1822" s="168">
        <f t="shared" si="7"/>
        <v>0</v>
      </c>
      <c r="AA1822" s="168">
        <f t="shared" si="8"/>
        <v>0</v>
      </c>
      <c r="AB1822" s="168">
        <f t="shared" si="9"/>
        <v>12415.0508</v>
      </c>
    </row>
    <row r="1823" ht="15.0" customHeight="1">
      <c r="A1823" s="157" t="s">
        <v>9074</v>
      </c>
      <c r="B1823" s="169" t="s">
        <v>33</v>
      </c>
      <c r="C1823" s="169" t="s">
        <v>9067</v>
      </c>
      <c r="D1823" s="317">
        <v>44825.0</v>
      </c>
      <c r="E1823" s="157" t="s">
        <v>600</v>
      </c>
      <c r="F1823" s="160">
        <v>30167.9</v>
      </c>
      <c r="G1823" s="160">
        <f>'FACUS$'!$F1823*0.16</f>
        <v>4826.864</v>
      </c>
      <c r="H1823" s="160">
        <f t="shared" si="61"/>
        <v>34994.764</v>
      </c>
      <c r="I1823" s="172"/>
      <c r="J1823" s="169"/>
      <c r="K1823" s="172"/>
      <c r="L1823" s="172">
        <f>+'FACUS$'!$H1823-'FACUS$'!$I1823-'FACUS$'!$K1823</f>
        <v>34994.764</v>
      </c>
      <c r="M1823" s="162" t="s">
        <v>958</v>
      </c>
      <c r="N1823" s="337" t="s">
        <v>554</v>
      </c>
      <c r="O1823" s="338">
        <v>44855.0</v>
      </c>
      <c r="P1823" s="164">
        <f t="array" ref="P1823">XLOOKUP('FACUS$'!$B1823,'perfil de pagos'!$A$4:$A$46,'perfil de pagos'!$C$4:$C$46+'FACUS$'!$D1823)</f>
        <v>44835</v>
      </c>
      <c r="Q1823" s="165">
        <f t="shared" si="2"/>
        <v>0</v>
      </c>
      <c r="R1823" s="167"/>
      <c r="S1823" s="167"/>
      <c r="T1823" s="167"/>
      <c r="U1823" s="334" t="s">
        <v>7271</v>
      </c>
      <c r="V1823" s="168">
        <f t="shared" si="3"/>
        <v>34994.764</v>
      </c>
      <c r="W1823" s="168">
        <f t="shared" si="4"/>
        <v>0</v>
      </c>
      <c r="X1823" s="168">
        <f t="shared" si="5"/>
        <v>0</v>
      </c>
      <c r="Y1823" s="168">
        <f t="shared" si="6"/>
        <v>0</v>
      </c>
      <c r="Z1823" s="168">
        <f t="shared" si="7"/>
        <v>0</v>
      </c>
      <c r="AA1823" s="168">
        <f t="shared" si="8"/>
        <v>0</v>
      </c>
      <c r="AB1823" s="168">
        <f t="shared" si="9"/>
        <v>0</v>
      </c>
    </row>
    <row r="1824" ht="15.0" customHeight="1">
      <c r="A1824" s="157" t="s">
        <v>9075</v>
      </c>
      <c r="B1824" s="169" t="s">
        <v>36</v>
      </c>
      <c r="C1824" s="169" t="s">
        <v>9067</v>
      </c>
      <c r="D1824" s="317">
        <v>44825.0</v>
      </c>
      <c r="E1824" s="157" t="s">
        <v>600</v>
      </c>
      <c r="F1824" s="160">
        <v>2788.53</v>
      </c>
      <c r="G1824" s="160">
        <f>'FACUS$'!$F1824*0.16</f>
        <v>446.1648</v>
      </c>
      <c r="H1824" s="160">
        <f t="shared" si="61"/>
        <v>3234.6948</v>
      </c>
      <c r="I1824" s="172"/>
      <c r="J1824" s="169"/>
      <c r="K1824" s="172"/>
      <c r="L1824" s="172">
        <f>+'FACUS$'!$H1824-'FACUS$'!$I1824-'FACUS$'!$K1824</f>
        <v>3234.6948</v>
      </c>
      <c r="M1824" s="162" t="s">
        <v>278</v>
      </c>
      <c r="N1824" s="337" t="s">
        <v>554</v>
      </c>
      <c r="O1824" s="338">
        <v>44841.0</v>
      </c>
      <c r="P1824" s="164">
        <f t="array" ref="P1824">XLOOKUP('FACUS$'!$B1824,'perfil de pagos'!$A$4:$A$46,'perfil de pagos'!$C$4:$C$46+'FACUS$'!$D1824)</f>
        <v>44835</v>
      </c>
      <c r="Q1824" s="165">
        <f t="shared" si="2"/>
        <v>0</v>
      </c>
      <c r="R1824" s="220" t="s">
        <v>9076</v>
      </c>
      <c r="S1824" s="167">
        <v>1614.0</v>
      </c>
      <c r="T1824" s="167"/>
      <c r="U1824" s="334" t="s">
        <v>7271</v>
      </c>
      <c r="V1824" s="168">
        <f t="shared" si="3"/>
        <v>3234.6948</v>
      </c>
      <c r="W1824" s="168">
        <f t="shared" si="4"/>
        <v>0</v>
      </c>
      <c r="X1824" s="168">
        <f t="shared" si="5"/>
        <v>0</v>
      </c>
      <c r="Y1824" s="168">
        <f t="shared" si="6"/>
        <v>0</v>
      </c>
      <c r="Z1824" s="168">
        <f t="shared" si="7"/>
        <v>0</v>
      </c>
      <c r="AA1824" s="168">
        <f t="shared" si="8"/>
        <v>0</v>
      </c>
      <c r="AB1824" s="168">
        <f t="shared" si="9"/>
        <v>0</v>
      </c>
    </row>
    <row r="1825" ht="15.0" customHeight="1">
      <c r="A1825" s="157" t="s">
        <v>9077</v>
      </c>
      <c r="B1825" s="169" t="s">
        <v>39</v>
      </c>
      <c r="C1825" s="169" t="s">
        <v>4223</v>
      </c>
      <c r="D1825" s="317">
        <v>44825.0</v>
      </c>
      <c r="E1825" s="157" t="s">
        <v>600</v>
      </c>
      <c r="F1825" s="160">
        <v>35535.16</v>
      </c>
      <c r="G1825" s="160">
        <f>'FACUS$'!$F1825*0.16</f>
        <v>5685.6256</v>
      </c>
      <c r="H1825" s="160">
        <f t="shared" si="61"/>
        <v>41220.7856</v>
      </c>
      <c r="I1825" s="172"/>
      <c r="J1825" s="169"/>
      <c r="K1825" s="172"/>
      <c r="L1825" s="172">
        <f>+'FACUS$'!$H1825-'FACUS$'!$I1825-'FACUS$'!$K1825</f>
        <v>41220.7856</v>
      </c>
      <c r="M1825" s="162" t="s">
        <v>570</v>
      </c>
      <c r="N1825" s="337" t="s">
        <v>554</v>
      </c>
      <c r="O1825" s="338">
        <v>44834.0</v>
      </c>
      <c r="P1825" s="164">
        <f t="array" ref="P1825">XLOOKUP('FACUS$'!$B1825,'perfil de pagos'!$A$4:$A$46,'perfil de pagos'!$C$4:$C$46+'FACUS$'!$D1825)</f>
        <v>44835</v>
      </c>
      <c r="Q1825" s="165">
        <f t="shared" si="2"/>
        <v>0</v>
      </c>
      <c r="R1825" s="389"/>
      <c r="S1825" s="167"/>
      <c r="T1825" s="167"/>
      <c r="U1825" s="334" t="s">
        <v>7271</v>
      </c>
      <c r="V1825" s="168">
        <f t="shared" si="3"/>
        <v>41220.7856</v>
      </c>
      <c r="W1825" s="168">
        <f t="shared" si="4"/>
        <v>0</v>
      </c>
      <c r="X1825" s="168">
        <f t="shared" si="5"/>
        <v>0</v>
      </c>
      <c r="Y1825" s="168">
        <f t="shared" si="6"/>
        <v>0</v>
      </c>
      <c r="Z1825" s="168">
        <f t="shared" si="7"/>
        <v>0</v>
      </c>
      <c r="AA1825" s="168">
        <f t="shared" si="8"/>
        <v>0</v>
      </c>
      <c r="AB1825" s="168">
        <f t="shared" si="9"/>
        <v>0</v>
      </c>
    </row>
    <row r="1826" ht="15.0" customHeight="1">
      <c r="A1826" s="157" t="s">
        <v>9078</v>
      </c>
      <c r="B1826" s="169" t="s">
        <v>39</v>
      </c>
      <c r="C1826" s="169" t="s">
        <v>9067</v>
      </c>
      <c r="D1826" s="317">
        <v>44825.0</v>
      </c>
      <c r="E1826" s="157" t="s">
        <v>600</v>
      </c>
      <c r="F1826" s="160">
        <v>15031.0</v>
      </c>
      <c r="G1826" s="160">
        <f>'FACUS$'!$F1826*0.16</f>
        <v>2404.96</v>
      </c>
      <c r="H1826" s="160">
        <f t="shared" si="61"/>
        <v>17435.96</v>
      </c>
      <c r="I1826" s="172"/>
      <c r="J1826" s="169"/>
      <c r="K1826" s="172"/>
      <c r="L1826" s="172">
        <f>+'FACUS$'!$H1826-'FACUS$'!$I1826-'FACUS$'!$K1826</f>
        <v>17435.96</v>
      </c>
      <c r="M1826" s="162" t="s">
        <v>570</v>
      </c>
      <c r="N1826" s="337" t="s">
        <v>554</v>
      </c>
      <c r="O1826" s="338">
        <v>44834.0</v>
      </c>
      <c r="P1826" s="164">
        <f t="array" ref="P1826">XLOOKUP('FACUS$'!$B1826,'perfil de pagos'!$A$4:$A$46,'perfil de pagos'!$C$4:$C$46+'FACUS$'!$D1826)</f>
        <v>44835</v>
      </c>
      <c r="Q1826" s="165">
        <f t="shared" si="2"/>
        <v>0</v>
      </c>
      <c r="R1826" s="167"/>
      <c r="S1826" s="167"/>
      <c r="T1826" s="167"/>
      <c r="U1826" s="334" t="s">
        <v>7271</v>
      </c>
      <c r="V1826" s="168">
        <f t="shared" si="3"/>
        <v>17435.96</v>
      </c>
      <c r="W1826" s="168">
        <f t="shared" si="4"/>
        <v>0</v>
      </c>
      <c r="X1826" s="168">
        <f t="shared" si="5"/>
        <v>0</v>
      </c>
      <c r="Y1826" s="168">
        <f t="shared" si="6"/>
        <v>0</v>
      </c>
      <c r="Z1826" s="168">
        <f t="shared" si="7"/>
        <v>0</v>
      </c>
      <c r="AA1826" s="168">
        <f t="shared" si="8"/>
        <v>0</v>
      </c>
      <c r="AB1826" s="168">
        <f t="shared" si="9"/>
        <v>0</v>
      </c>
    </row>
    <row r="1827" ht="15.0" customHeight="1">
      <c r="A1827" s="157" t="s">
        <v>9079</v>
      </c>
      <c r="B1827" s="169" t="s">
        <v>42</v>
      </c>
      <c r="C1827" s="169" t="s">
        <v>9067</v>
      </c>
      <c r="D1827" s="317">
        <v>44825.0</v>
      </c>
      <c r="E1827" s="157" t="s">
        <v>600</v>
      </c>
      <c r="F1827" s="160">
        <v>6108.33</v>
      </c>
      <c r="G1827" s="160">
        <f>'FACUS$'!$F1827*0.16</f>
        <v>977.3328</v>
      </c>
      <c r="H1827" s="160">
        <f t="shared" si="61"/>
        <v>7085.6628</v>
      </c>
      <c r="I1827" s="172"/>
      <c r="J1827" s="169"/>
      <c r="K1827" s="172"/>
      <c r="L1827" s="172">
        <f>+'FACUS$'!$H1827-'FACUS$'!$I1827-'FACUS$'!$K1827</f>
        <v>7085.6628</v>
      </c>
      <c r="M1827" s="162" t="s">
        <v>42</v>
      </c>
      <c r="N1827" s="337" t="s">
        <v>554</v>
      </c>
      <c r="O1827" s="338">
        <v>44802.0</v>
      </c>
      <c r="P1827" s="164">
        <f t="array" ref="P1827">XLOOKUP('FACUS$'!$B1827,'perfil de pagos'!$A$4:$A$46,'perfil de pagos'!$C$4:$C$46+'FACUS$'!$D1827)</f>
        <v>44835</v>
      </c>
      <c r="Q1827" s="165">
        <f t="shared" si="2"/>
        <v>0</v>
      </c>
      <c r="R1827" s="167"/>
      <c r="S1827" s="167"/>
      <c r="T1827" s="167"/>
      <c r="U1827" s="334" t="s">
        <v>7271</v>
      </c>
      <c r="V1827" s="168">
        <f t="shared" si="3"/>
        <v>7085.6628</v>
      </c>
      <c r="W1827" s="168">
        <f t="shared" si="4"/>
        <v>0</v>
      </c>
      <c r="X1827" s="168">
        <f t="shared" si="5"/>
        <v>0</v>
      </c>
      <c r="Y1827" s="168">
        <f t="shared" si="6"/>
        <v>0</v>
      </c>
      <c r="Z1827" s="168">
        <f t="shared" si="7"/>
        <v>0</v>
      </c>
      <c r="AA1827" s="168">
        <f t="shared" si="8"/>
        <v>0</v>
      </c>
      <c r="AB1827" s="168">
        <f t="shared" si="9"/>
        <v>0</v>
      </c>
    </row>
    <row r="1828" ht="15.0" customHeight="1">
      <c r="A1828" s="157" t="s">
        <v>9080</v>
      </c>
      <c r="B1828" s="169" t="s">
        <v>44</v>
      </c>
      <c r="C1828" s="169" t="s">
        <v>9067</v>
      </c>
      <c r="D1828" s="317">
        <v>44825.0</v>
      </c>
      <c r="E1828" s="157" t="s">
        <v>600</v>
      </c>
      <c r="F1828" s="160">
        <v>2.66</v>
      </c>
      <c r="G1828" s="160">
        <f>'FACUS$'!$F1828*0.16</f>
        <v>0.4256</v>
      </c>
      <c r="H1828" s="160">
        <f t="shared" si="61"/>
        <v>3.0856</v>
      </c>
      <c r="I1828" s="172"/>
      <c r="J1828" s="169"/>
      <c r="K1828" s="172"/>
      <c r="L1828" s="172">
        <f>+'FACUS$'!$H1828-'FACUS$'!$I1828-'FACUS$'!$K1828</f>
        <v>3.0856</v>
      </c>
      <c r="M1828" s="162" t="s">
        <v>361</v>
      </c>
      <c r="N1828" s="337" t="s">
        <v>554</v>
      </c>
      <c r="O1828" s="338">
        <v>44802.0</v>
      </c>
      <c r="P1828" s="164">
        <f t="array" ref="P1828">XLOOKUP('FACUS$'!$B1828,'perfil de pagos'!$A$4:$A$46,'perfil de pagos'!$C$4:$C$46+'FACUS$'!$D1828)</f>
        <v>44835</v>
      </c>
      <c r="Q1828" s="165">
        <f t="shared" si="2"/>
        <v>0</v>
      </c>
      <c r="R1828" s="167"/>
      <c r="S1828" s="167"/>
      <c r="T1828" s="167"/>
      <c r="U1828" s="334" t="s">
        <v>7271</v>
      </c>
      <c r="V1828" s="168">
        <f t="shared" si="3"/>
        <v>3.0856</v>
      </c>
      <c r="W1828" s="168">
        <f t="shared" si="4"/>
        <v>0</v>
      </c>
      <c r="X1828" s="168">
        <f t="shared" si="5"/>
        <v>0</v>
      </c>
      <c r="Y1828" s="168">
        <f t="shared" si="6"/>
        <v>0</v>
      </c>
      <c r="Z1828" s="168">
        <f t="shared" si="7"/>
        <v>0</v>
      </c>
      <c r="AA1828" s="168">
        <f t="shared" si="8"/>
        <v>0</v>
      </c>
      <c r="AB1828" s="168">
        <f t="shared" si="9"/>
        <v>0</v>
      </c>
    </row>
    <row r="1829" ht="15.0" customHeight="1">
      <c r="A1829" s="157" t="s">
        <v>9081</v>
      </c>
      <c r="B1829" s="169" t="s">
        <v>43</v>
      </c>
      <c r="C1829" s="169" t="s">
        <v>9067</v>
      </c>
      <c r="D1829" s="317">
        <v>44825.0</v>
      </c>
      <c r="E1829" s="157" t="s">
        <v>600</v>
      </c>
      <c r="F1829" s="160">
        <v>10076.67</v>
      </c>
      <c r="G1829" s="160">
        <f>'FACUS$'!$F1829*0.16</f>
        <v>1612.2672</v>
      </c>
      <c r="H1829" s="160">
        <f t="shared" si="61"/>
        <v>11688.9372</v>
      </c>
      <c r="I1829" s="172"/>
      <c r="J1829" s="169"/>
      <c r="K1829" s="172"/>
      <c r="L1829" s="172">
        <f>+'FACUS$'!$H1829-'FACUS$'!$I1829-'FACUS$'!$K1829</f>
        <v>11688.9372</v>
      </c>
      <c r="M1829" s="162" t="s">
        <v>43</v>
      </c>
      <c r="N1829" s="337" t="s">
        <v>554</v>
      </c>
      <c r="O1829" s="338">
        <v>44865.0</v>
      </c>
      <c r="P1829" s="164">
        <f t="array" ref="P1829">XLOOKUP('FACUS$'!$B1829,'perfil de pagos'!$A$4:$A$46,'perfil de pagos'!$C$4:$C$46+'FACUS$'!$D1829)</f>
        <v>44850</v>
      </c>
      <c r="Q1829" s="165">
        <f t="shared" si="2"/>
        <v>0</v>
      </c>
      <c r="R1829" s="167"/>
      <c r="S1829" s="167">
        <v>1688.0</v>
      </c>
      <c r="T1829" s="167"/>
      <c r="U1829" s="334" t="s">
        <v>7271</v>
      </c>
      <c r="V1829" s="168">
        <f t="shared" si="3"/>
        <v>11688.9372</v>
      </c>
      <c r="W1829" s="168">
        <f t="shared" si="4"/>
        <v>0</v>
      </c>
      <c r="X1829" s="168">
        <f t="shared" si="5"/>
        <v>0</v>
      </c>
      <c r="Y1829" s="168">
        <f t="shared" si="6"/>
        <v>0</v>
      </c>
      <c r="Z1829" s="168">
        <f t="shared" si="7"/>
        <v>0</v>
      </c>
      <c r="AA1829" s="168">
        <f t="shared" si="8"/>
        <v>0</v>
      </c>
      <c r="AB1829" s="168">
        <f t="shared" si="9"/>
        <v>0</v>
      </c>
    </row>
    <row r="1830" ht="15.0" customHeight="1">
      <c r="A1830" s="157" t="s">
        <v>9082</v>
      </c>
      <c r="B1830" s="169" t="s">
        <v>15</v>
      </c>
      <c r="C1830" s="169" t="s">
        <v>9067</v>
      </c>
      <c r="D1830" s="317">
        <v>44826.0</v>
      </c>
      <c r="E1830" s="157" t="s">
        <v>600</v>
      </c>
      <c r="F1830" s="160">
        <v>10702.63</v>
      </c>
      <c r="G1830" s="160">
        <f>'FACUS$'!$F1830*0.16</f>
        <v>1712.4208</v>
      </c>
      <c r="H1830" s="160">
        <f t="shared" si="61"/>
        <v>12415.0508</v>
      </c>
      <c r="I1830" s="172"/>
      <c r="J1830" s="169"/>
      <c r="K1830" s="172"/>
      <c r="L1830" s="172">
        <f>+'FACUS$'!$H1830-'FACUS$'!$I1830-'FACUS$'!$K1830</f>
        <v>12415.0508</v>
      </c>
      <c r="M1830" s="162" t="s">
        <v>443</v>
      </c>
      <c r="N1830" s="337" t="s">
        <v>554</v>
      </c>
      <c r="O1830" s="338">
        <v>44845.0</v>
      </c>
      <c r="P1830" s="164">
        <f t="array" ref="P1830">XLOOKUP('FACUS$'!$B1830,'perfil de pagos'!$A$4:$A$46,'perfil de pagos'!$C$4:$C$46+'FACUS$'!$D1830)</f>
        <v>44836</v>
      </c>
      <c r="Q1830" s="165">
        <f t="shared" si="2"/>
        <v>0</v>
      </c>
      <c r="R1830" s="167"/>
      <c r="S1830" s="167">
        <v>1626.0</v>
      </c>
      <c r="T1830" s="167"/>
      <c r="U1830" s="334" t="s">
        <v>7271</v>
      </c>
      <c r="V1830" s="168">
        <f t="shared" si="3"/>
        <v>12415.0508</v>
      </c>
      <c r="W1830" s="168">
        <f t="shared" si="4"/>
        <v>0</v>
      </c>
      <c r="X1830" s="168">
        <f t="shared" si="5"/>
        <v>0</v>
      </c>
      <c r="Y1830" s="168">
        <f t="shared" si="6"/>
        <v>0</v>
      </c>
      <c r="Z1830" s="168">
        <f t="shared" si="7"/>
        <v>0</v>
      </c>
      <c r="AA1830" s="168">
        <f t="shared" si="8"/>
        <v>0</v>
      </c>
      <c r="AB1830" s="168">
        <f t="shared" si="9"/>
        <v>0</v>
      </c>
    </row>
    <row r="1831" ht="15.0" customHeight="1">
      <c r="A1831" s="157" t="s">
        <v>9083</v>
      </c>
      <c r="B1831" s="169" t="s">
        <v>37</v>
      </c>
      <c r="C1831" s="169" t="s">
        <v>9067</v>
      </c>
      <c r="D1831" s="317">
        <v>44827.0</v>
      </c>
      <c r="E1831" s="157" t="s">
        <v>600</v>
      </c>
      <c r="F1831" s="160">
        <v>84561.95</v>
      </c>
      <c r="G1831" s="160">
        <f>'FACUS$'!$F1831*0.16</f>
        <v>13529.912</v>
      </c>
      <c r="H1831" s="160">
        <f t="shared" si="61"/>
        <v>98091.862</v>
      </c>
      <c r="I1831" s="172"/>
      <c r="J1831" s="169"/>
      <c r="K1831" s="172"/>
      <c r="L1831" s="172">
        <f>+'FACUS$'!$H1831-'FACUS$'!$I1831-'FACUS$'!$K1831</f>
        <v>98091.862</v>
      </c>
      <c r="M1831" s="162" t="s">
        <v>116</v>
      </c>
      <c r="N1831" s="337" t="s">
        <v>554</v>
      </c>
      <c r="O1831" s="338">
        <v>44844.0</v>
      </c>
      <c r="P1831" s="164">
        <f t="array" ref="P1831">XLOOKUP('FACUS$'!$B1831,'perfil de pagos'!$A$4:$A$46,'perfil de pagos'!$C$4:$C$46+'FACUS$'!$D1831)</f>
        <v>44837</v>
      </c>
      <c r="Q1831" s="165">
        <f t="shared" si="2"/>
        <v>0</v>
      </c>
      <c r="R1831" s="247" t="s">
        <v>9084</v>
      </c>
      <c r="S1831" s="167">
        <v>1617.0</v>
      </c>
      <c r="T1831" s="167"/>
      <c r="U1831" s="334" t="s">
        <v>7271</v>
      </c>
      <c r="V1831" s="168">
        <f t="shared" si="3"/>
        <v>98091.862</v>
      </c>
      <c r="W1831" s="168">
        <f t="shared" si="4"/>
        <v>0</v>
      </c>
      <c r="X1831" s="168">
        <f t="shared" si="5"/>
        <v>0</v>
      </c>
      <c r="Y1831" s="168">
        <f t="shared" si="6"/>
        <v>0</v>
      </c>
      <c r="Z1831" s="168">
        <f t="shared" si="7"/>
        <v>0</v>
      </c>
      <c r="AA1831" s="168">
        <f t="shared" si="8"/>
        <v>0</v>
      </c>
      <c r="AB1831" s="168">
        <f t="shared" si="9"/>
        <v>0</v>
      </c>
    </row>
    <row r="1832" ht="15.0" customHeight="1">
      <c r="A1832" s="157" t="s">
        <v>9085</v>
      </c>
      <c r="B1832" s="169" t="s">
        <v>18</v>
      </c>
      <c r="C1832" s="169" t="s">
        <v>9067</v>
      </c>
      <c r="D1832" s="317">
        <v>44827.0</v>
      </c>
      <c r="E1832" s="157" t="s">
        <v>600</v>
      </c>
      <c r="F1832" s="160">
        <v>7957.31</v>
      </c>
      <c r="G1832" s="160">
        <f>'FACUS$'!$F1832*0.16</f>
        <v>1273.1696</v>
      </c>
      <c r="H1832" s="160">
        <f t="shared" si="61"/>
        <v>9230.4796</v>
      </c>
      <c r="I1832" s="172"/>
      <c r="J1832" s="169"/>
      <c r="K1832" s="172"/>
      <c r="L1832" s="172">
        <f>+'FACUS$'!$H1832-'FACUS$'!$I1832-'FACUS$'!$K1832</f>
        <v>9230.4796</v>
      </c>
      <c r="M1832" s="162" t="s">
        <v>586</v>
      </c>
      <c r="N1832" s="337" t="s">
        <v>554</v>
      </c>
      <c r="O1832" s="338">
        <v>44861.0</v>
      </c>
      <c r="P1832" s="164">
        <f t="array" ref="P1832">XLOOKUP('FACUS$'!$B1832,'perfil de pagos'!$A$4:$A$46,'perfil de pagos'!$C$4:$C$46+'FACUS$'!$D1832)</f>
        <v>44837</v>
      </c>
      <c r="Q1832" s="165">
        <f t="shared" si="2"/>
        <v>0</v>
      </c>
      <c r="R1832" s="167"/>
      <c r="S1832" s="167">
        <v>1671.0</v>
      </c>
      <c r="T1832" s="167"/>
      <c r="U1832" s="334" t="s">
        <v>7271</v>
      </c>
      <c r="V1832" s="168">
        <f t="shared" si="3"/>
        <v>9230.4796</v>
      </c>
      <c r="W1832" s="168">
        <f t="shared" si="4"/>
        <v>0</v>
      </c>
      <c r="X1832" s="168">
        <f t="shared" si="5"/>
        <v>0</v>
      </c>
      <c r="Y1832" s="168">
        <f t="shared" si="6"/>
        <v>0</v>
      </c>
      <c r="Z1832" s="168">
        <f t="shared" si="7"/>
        <v>0</v>
      </c>
      <c r="AA1832" s="168">
        <f t="shared" si="8"/>
        <v>0</v>
      </c>
      <c r="AB1832" s="168">
        <f t="shared" si="9"/>
        <v>0</v>
      </c>
    </row>
    <row r="1833" ht="15.0" customHeight="1">
      <c r="A1833" s="157" t="s">
        <v>9086</v>
      </c>
      <c r="B1833" s="169" t="s">
        <v>20</v>
      </c>
      <c r="C1833" s="169" t="s">
        <v>9067</v>
      </c>
      <c r="D1833" s="317">
        <v>44827.0</v>
      </c>
      <c r="E1833" s="157" t="s">
        <v>600</v>
      </c>
      <c r="F1833" s="160">
        <v>11191.12</v>
      </c>
      <c r="G1833" s="160">
        <f>'FACUS$'!$F1833*0.16</f>
        <v>1790.5792</v>
      </c>
      <c r="H1833" s="160">
        <f t="shared" si="61"/>
        <v>12981.6992</v>
      </c>
      <c r="I1833" s="172"/>
      <c r="J1833" s="169"/>
      <c r="K1833" s="172"/>
      <c r="L1833" s="172">
        <f>+'FACUS$'!$H1833-'FACUS$'!$I1833-'FACUS$'!$K1833</f>
        <v>12981.6992</v>
      </c>
      <c r="M1833" s="162" t="s">
        <v>732</v>
      </c>
      <c r="N1833" s="337" t="s">
        <v>554</v>
      </c>
      <c r="O1833" s="338">
        <v>44861.0</v>
      </c>
      <c r="P1833" s="164">
        <f t="array" ref="P1833">XLOOKUP('FACUS$'!$B1833,'perfil de pagos'!$A$4:$A$46,'perfil de pagos'!$C$4:$C$46+'FACUS$'!$D1833)</f>
        <v>44837</v>
      </c>
      <c r="Q1833" s="165">
        <f t="shared" si="2"/>
        <v>0</v>
      </c>
      <c r="R1833" s="167"/>
      <c r="S1833" s="167">
        <v>1671.0</v>
      </c>
      <c r="T1833" s="167"/>
      <c r="U1833" s="334" t="s">
        <v>7271</v>
      </c>
      <c r="V1833" s="168">
        <f t="shared" si="3"/>
        <v>12981.6992</v>
      </c>
      <c r="W1833" s="168">
        <f t="shared" si="4"/>
        <v>0</v>
      </c>
      <c r="X1833" s="168">
        <f t="shared" si="5"/>
        <v>0</v>
      </c>
      <c r="Y1833" s="168">
        <f t="shared" si="6"/>
        <v>0</v>
      </c>
      <c r="Z1833" s="168">
        <f t="shared" si="7"/>
        <v>0</v>
      </c>
      <c r="AA1833" s="168">
        <f t="shared" si="8"/>
        <v>0</v>
      </c>
      <c r="AB1833" s="168">
        <f t="shared" si="9"/>
        <v>0</v>
      </c>
    </row>
    <row r="1834" ht="15.0" customHeight="1">
      <c r="A1834" s="157" t="s">
        <v>9087</v>
      </c>
      <c r="B1834" s="169" t="s">
        <v>22</v>
      </c>
      <c r="C1834" s="169" t="s">
        <v>9067</v>
      </c>
      <c r="D1834" s="317">
        <v>44827.0</v>
      </c>
      <c r="E1834" s="157" t="s">
        <v>600</v>
      </c>
      <c r="F1834" s="160">
        <v>12426.49</v>
      </c>
      <c r="G1834" s="160">
        <f>'FACUS$'!$F1834*0.16</f>
        <v>1988.2384</v>
      </c>
      <c r="H1834" s="160">
        <f t="shared" si="61"/>
        <v>14414.7284</v>
      </c>
      <c r="I1834" s="172"/>
      <c r="J1834" s="169"/>
      <c r="K1834" s="172"/>
      <c r="L1834" s="172">
        <f>+'FACUS$'!$H1834-'FACUS$'!$I1834-'FACUS$'!$K1834</f>
        <v>14414.7284</v>
      </c>
      <c r="M1834" s="162" t="s">
        <v>220</v>
      </c>
      <c r="N1834" s="337" t="s">
        <v>554</v>
      </c>
      <c r="O1834" s="338">
        <v>44858.0</v>
      </c>
      <c r="P1834" s="164">
        <f t="array" ref="P1834">XLOOKUP('FACUS$'!$B1834,'perfil de pagos'!$A$4:$A$46,'perfil de pagos'!$C$4:$C$46+'FACUS$'!$D1834)</f>
        <v>44837</v>
      </c>
      <c r="Q1834" s="165">
        <f t="shared" si="2"/>
        <v>0</v>
      </c>
      <c r="R1834" s="167" t="s">
        <v>9088</v>
      </c>
      <c r="S1834" s="167">
        <v>1665.0</v>
      </c>
      <c r="T1834" s="167"/>
      <c r="U1834" s="334" t="s">
        <v>7271</v>
      </c>
      <c r="V1834" s="168">
        <f t="shared" si="3"/>
        <v>14414.7284</v>
      </c>
      <c r="W1834" s="168">
        <f t="shared" si="4"/>
        <v>0</v>
      </c>
      <c r="X1834" s="168">
        <f t="shared" si="5"/>
        <v>0</v>
      </c>
      <c r="Y1834" s="168">
        <f t="shared" si="6"/>
        <v>0</v>
      </c>
      <c r="Z1834" s="168">
        <f t="shared" si="7"/>
        <v>0</v>
      </c>
      <c r="AA1834" s="168">
        <f t="shared" si="8"/>
        <v>0</v>
      </c>
      <c r="AB1834" s="168">
        <f t="shared" si="9"/>
        <v>0</v>
      </c>
    </row>
    <row r="1835" ht="15.0" customHeight="1">
      <c r="A1835" s="157" t="s">
        <v>9089</v>
      </c>
      <c r="B1835" s="169" t="s">
        <v>38</v>
      </c>
      <c r="C1835" s="169" t="s">
        <v>9067</v>
      </c>
      <c r="D1835" s="317">
        <v>44830.0</v>
      </c>
      <c r="E1835" s="157" t="s">
        <v>600</v>
      </c>
      <c r="F1835" s="160">
        <v>8755.26</v>
      </c>
      <c r="G1835" s="160">
        <f>'FACUS$'!$F1835*0.16</f>
        <v>1400.8416</v>
      </c>
      <c r="H1835" s="160">
        <f t="shared" si="61"/>
        <v>10156.1016</v>
      </c>
      <c r="I1835" s="172"/>
      <c r="J1835" s="169"/>
      <c r="K1835" s="172"/>
      <c r="L1835" s="172">
        <f>+'FACUS$'!$H1835-'FACUS$'!$I1835-'FACUS$'!$K1835</f>
        <v>10156.1016</v>
      </c>
      <c r="M1835" s="162" t="s">
        <v>145</v>
      </c>
      <c r="N1835" s="337" t="s">
        <v>554</v>
      </c>
      <c r="O1835" s="338">
        <v>44889.0</v>
      </c>
      <c r="P1835" s="164">
        <f t="array" ref="P1835">XLOOKUP('FACUS$'!$B1835,'perfil de pagos'!$A$4:$A$46,'perfil de pagos'!$C$4:$C$46+'FACUS$'!$D1835)</f>
        <v>44860</v>
      </c>
      <c r="Q1835" s="165">
        <f t="shared" si="2"/>
        <v>0</v>
      </c>
      <c r="R1835" s="220" t="s">
        <v>9090</v>
      </c>
      <c r="S1835" s="167">
        <v>1765.0</v>
      </c>
      <c r="T1835" s="167"/>
      <c r="U1835" s="334" t="s">
        <v>7271</v>
      </c>
      <c r="V1835" s="168">
        <f t="shared" si="3"/>
        <v>10156.1016</v>
      </c>
      <c r="W1835" s="168">
        <f t="shared" si="4"/>
        <v>0</v>
      </c>
      <c r="X1835" s="168">
        <f t="shared" si="5"/>
        <v>0</v>
      </c>
      <c r="Y1835" s="168">
        <f t="shared" si="6"/>
        <v>0</v>
      </c>
      <c r="Z1835" s="168">
        <f t="shared" si="7"/>
        <v>0</v>
      </c>
      <c r="AA1835" s="168">
        <f t="shared" si="8"/>
        <v>0</v>
      </c>
      <c r="AB1835" s="168">
        <f t="shared" si="9"/>
        <v>0</v>
      </c>
    </row>
    <row r="1836" ht="15.0" customHeight="1">
      <c r="A1836" s="157" t="s">
        <v>9091</v>
      </c>
      <c r="B1836" s="169" t="s">
        <v>17</v>
      </c>
      <c r="C1836" s="169" t="s">
        <v>4248</v>
      </c>
      <c r="D1836" s="317">
        <v>44839.0</v>
      </c>
      <c r="E1836" s="157" t="s">
        <v>600</v>
      </c>
      <c r="F1836" s="160">
        <v>12632.2</v>
      </c>
      <c r="G1836" s="160">
        <f>'FACUS$'!$F1836*0.16</f>
        <v>2021.152</v>
      </c>
      <c r="H1836" s="160">
        <f t="shared" si="61"/>
        <v>14653.352</v>
      </c>
      <c r="I1836" s="172"/>
      <c r="J1836" s="169"/>
      <c r="K1836" s="172"/>
      <c r="L1836" s="172">
        <f>+'FACUS$'!$H1836-'FACUS$'!$I1836-'FACUS$'!$K1836</f>
        <v>14653.352</v>
      </c>
      <c r="M1836" s="162" t="s">
        <v>17</v>
      </c>
      <c r="N1836" s="337" t="s">
        <v>554</v>
      </c>
      <c r="O1836" s="338">
        <v>44854.0</v>
      </c>
      <c r="P1836" s="164">
        <f t="array" ref="P1836">XLOOKUP('FACUS$'!$B1836,'perfil de pagos'!$A$4:$A$46,'perfil de pagos'!$C$4:$C$46+'FACUS$'!$D1836)</f>
        <v>44849</v>
      </c>
      <c r="Q1836" s="165">
        <f t="shared" si="2"/>
        <v>0</v>
      </c>
      <c r="R1836" s="167"/>
      <c r="S1836" s="167">
        <v>1659.0</v>
      </c>
      <c r="T1836" s="167"/>
      <c r="U1836" s="334" t="s">
        <v>7271</v>
      </c>
      <c r="V1836" s="168">
        <f t="shared" si="3"/>
        <v>14653.352</v>
      </c>
      <c r="W1836" s="168">
        <f t="shared" si="4"/>
        <v>0</v>
      </c>
      <c r="X1836" s="168">
        <f t="shared" si="5"/>
        <v>0</v>
      </c>
      <c r="Y1836" s="168">
        <f t="shared" si="6"/>
        <v>0</v>
      </c>
      <c r="Z1836" s="168">
        <f t="shared" si="7"/>
        <v>0</v>
      </c>
      <c r="AA1836" s="168">
        <f t="shared" si="8"/>
        <v>0</v>
      </c>
      <c r="AB1836" s="168">
        <f t="shared" si="9"/>
        <v>0</v>
      </c>
    </row>
    <row r="1837" ht="15.0" customHeight="1">
      <c r="A1837" s="157" t="s">
        <v>9092</v>
      </c>
      <c r="B1837" s="169" t="s">
        <v>17</v>
      </c>
      <c r="C1837" s="169" t="s">
        <v>9093</v>
      </c>
      <c r="D1837" s="317">
        <v>44839.0</v>
      </c>
      <c r="E1837" s="157" t="s">
        <v>600</v>
      </c>
      <c r="F1837" s="160">
        <v>8994.36</v>
      </c>
      <c r="G1837" s="160">
        <f>'FACUS$'!$F1837*0.16</f>
        <v>1439.0976</v>
      </c>
      <c r="H1837" s="160">
        <f t="shared" si="61"/>
        <v>10433.4576</v>
      </c>
      <c r="I1837" s="172"/>
      <c r="J1837" s="169"/>
      <c r="K1837" s="172"/>
      <c r="L1837" s="172">
        <f>+'FACUS$'!$H1837-'FACUS$'!$I1837-'FACUS$'!$K1837</f>
        <v>10433.4576</v>
      </c>
      <c r="M1837" s="162" t="s">
        <v>17</v>
      </c>
      <c r="N1837" s="337" t="s">
        <v>554</v>
      </c>
      <c r="O1837" s="338">
        <v>44854.0</v>
      </c>
      <c r="P1837" s="164">
        <f t="array" ref="P1837">XLOOKUP('FACUS$'!$B1837,'perfil de pagos'!$A$4:$A$46,'perfil de pagos'!$C$4:$C$46+'FACUS$'!$D1837)</f>
        <v>44849</v>
      </c>
      <c r="Q1837" s="165">
        <f t="shared" si="2"/>
        <v>0</v>
      </c>
      <c r="R1837" s="167"/>
      <c r="S1837" s="167">
        <v>1658.0</v>
      </c>
      <c r="T1837" s="167"/>
      <c r="U1837" s="334" t="s">
        <v>7271</v>
      </c>
      <c r="V1837" s="168">
        <f t="shared" si="3"/>
        <v>10433.4576</v>
      </c>
      <c r="W1837" s="168">
        <f t="shared" si="4"/>
        <v>0</v>
      </c>
      <c r="X1837" s="168">
        <f t="shared" si="5"/>
        <v>0</v>
      </c>
      <c r="Y1837" s="168">
        <f t="shared" si="6"/>
        <v>0</v>
      </c>
      <c r="Z1837" s="168">
        <f t="shared" si="7"/>
        <v>0</v>
      </c>
      <c r="AA1837" s="168">
        <f t="shared" si="8"/>
        <v>0</v>
      </c>
      <c r="AB1837" s="168">
        <f t="shared" si="9"/>
        <v>0</v>
      </c>
    </row>
    <row r="1838" ht="15.0" customHeight="1">
      <c r="A1838" s="157" t="s">
        <v>9094</v>
      </c>
      <c r="B1838" s="169" t="s">
        <v>15</v>
      </c>
      <c r="C1838" s="169" t="s">
        <v>9093</v>
      </c>
      <c r="D1838" s="317">
        <v>44839.0</v>
      </c>
      <c r="E1838" s="157" t="s">
        <v>600</v>
      </c>
      <c r="F1838" s="160">
        <v>16767.39</v>
      </c>
      <c r="G1838" s="160">
        <f>'FACUS$'!$F1838*0.16</f>
        <v>2682.7824</v>
      </c>
      <c r="H1838" s="160">
        <f t="shared" si="61"/>
        <v>19450.1724</v>
      </c>
      <c r="I1838" s="172"/>
      <c r="J1838" s="169"/>
      <c r="K1838" s="172"/>
      <c r="L1838" s="172">
        <f>+'FACUS$'!$H1838-'FACUS$'!$I1838-'FACUS$'!$K1838</f>
        <v>19450.1724</v>
      </c>
      <c r="M1838" s="162" t="s">
        <v>443</v>
      </c>
      <c r="N1838" s="337" t="s">
        <v>554</v>
      </c>
      <c r="O1838" s="338">
        <v>44852.0</v>
      </c>
      <c r="P1838" s="164">
        <f t="array" ref="P1838">XLOOKUP('FACUS$'!$B1838,'perfil de pagos'!$A$4:$A$46,'perfil de pagos'!$C$4:$C$46+'FACUS$'!$D1838)</f>
        <v>44849</v>
      </c>
      <c r="Q1838" s="165">
        <f t="shared" si="2"/>
        <v>0</v>
      </c>
      <c r="R1838" s="167"/>
      <c r="S1838" s="167">
        <v>1657.0</v>
      </c>
      <c r="T1838" s="167"/>
      <c r="U1838" s="334" t="s">
        <v>7271</v>
      </c>
      <c r="V1838" s="168">
        <f t="shared" si="3"/>
        <v>19450.1724</v>
      </c>
      <c r="W1838" s="168">
        <f t="shared" si="4"/>
        <v>0</v>
      </c>
      <c r="X1838" s="168">
        <f t="shared" si="5"/>
        <v>0</v>
      </c>
      <c r="Y1838" s="168">
        <f t="shared" si="6"/>
        <v>0</v>
      </c>
      <c r="Z1838" s="168">
        <f t="shared" si="7"/>
        <v>0</v>
      </c>
      <c r="AA1838" s="168">
        <f t="shared" si="8"/>
        <v>0</v>
      </c>
      <c r="AB1838" s="168">
        <f t="shared" si="9"/>
        <v>0</v>
      </c>
    </row>
    <row r="1839" ht="15.0" customHeight="1">
      <c r="A1839" s="157" t="s">
        <v>9095</v>
      </c>
      <c r="B1839" s="169" t="s">
        <v>21</v>
      </c>
      <c r="C1839" s="169" t="s">
        <v>9093</v>
      </c>
      <c r="D1839" s="317">
        <v>44839.0</v>
      </c>
      <c r="E1839" s="157" t="s">
        <v>600</v>
      </c>
      <c r="F1839" s="160">
        <v>1937.5</v>
      </c>
      <c r="G1839" s="160">
        <f>'FACUS$'!$F1839*0.16</f>
        <v>310</v>
      </c>
      <c r="H1839" s="160">
        <f t="shared" si="61"/>
        <v>2247.5</v>
      </c>
      <c r="I1839" s="172"/>
      <c r="J1839" s="169"/>
      <c r="K1839" s="172"/>
      <c r="L1839" s="172">
        <f>+'FACUS$'!$H1839-'FACUS$'!$I1839-'FACUS$'!$K1839</f>
        <v>2247.5</v>
      </c>
      <c r="M1839" s="162" t="s">
        <v>2263</v>
      </c>
      <c r="N1839" s="337" t="s">
        <v>554</v>
      </c>
      <c r="O1839" s="338">
        <v>44911.0</v>
      </c>
      <c r="P1839" s="164">
        <f t="array" ref="P1839">XLOOKUP('FACUS$'!$B1839,'perfil de pagos'!$A$4:$A$46,'perfil de pagos'!$C$4:$C$46+'FACUS$'!$D1839)</f>
        <v>44849</v>
      </c>
      <c r="Q1839" s="165">
        <f t="shared" si="2"/>
        <v>0</v>
      </c>
      <c r="R1839" s="220" t="s">
        <v>9096</v>
      </c>
      <c r="S1839" s="167">
        <v>1824.0</v>
      </c>
      <c r="T1839" s="167"/>
      <c r="U1839" s="334" t="s">
        <v>7271</v>
      </c>
      <c r="V1839" s="168">
        <f t="shared" si="3"/>
        <v>2247.5</v>
      </c>
      <c r="W1839" s="168">
        <f t="shared" si="4"/>
        <v>0</v>
      </c>
      <c r="X1839" s="168">
        <f t="shared" si="5"/>
        <v>0</v>
      </c>
      <c r="Y1839" s="168">
        <f t="shared" si="6"/>
        <v>0</v>
      </c>
      <c r="Z1839" s="168">
        <f t="shared" si="7"/>
        <v>0</v>
      </c>
      <c r="AA1839" s="168">
        <f t="shared" si="8"/>
        <v>0</v>
      </c>
      <c r="AB1839" s="168">
        <f t="shared" si="9"/>
        <v>0</v>
      </c>
    </row>
    <row r="1840" ht="15.0" customHeight="1">
      <c r="A1840" s="157" t="s">
        <v>9097</v>
      </c>
      <c r="B1840" s="169" t="s">
        <v>39</v>
      </c>
      <c r="C1840" s="169" t="s">
        <v>4248</v>
      </c>
      <c r="D1840" s="317">
        <v>44839.0</v>
      </c>
      <c r="E1840" s="157" t="s">
        <v>600</v>
      </c>
      <c r="F1840" s="160">
        <v>48357.84</v>
      </c>
      <c r="G1840" s="160">
        <f>'FACUS$'!$F1840*0.16</f>
        <v>7737.2544</v>
      </c>
      <c r="H1840" s="160">
        <f t="shared" si="61"/>
        <v>56095.0944</v>
      </c>
      <c r="I1840" s="172"/>
      <c r="J1840" s="169"/>
      <c r="K1840" s="172"/>
      <c r="L1840" s="172">
        <f>+'FACUS$'!$H1840-'FACUS$'!$I1840-'FACUS$'!$K1840</f>
        <v>56095.0944</v>
      </c>
      <c r="M1840" s="162" t="s">
        <v>570</v>
      </c>
      <c r="N1840" s="337" t="s">
        <v>554</v>
      </c>
      <c r="O1840" s="338">
        <v>44848.0</v>
      </c>
      <c r="P1840" s="164">
        <f t="array" ref="P1840">XLOOKUP('FACUS$'!$B1840,'perfil de pagos'!$A$4:$A$46,'perfil de pagos'!$C$4:$C$46+'FACUS$'!$D1840)</f>
        <v>44849</v>
      </c>
      <c r="Q1840" s="165">
        <f t="shared" si="2"/>
        <v>0</v>
      </c>
      <c r="R1840" s="167"/>
      <c r="S1840" s="167">
        <v>1634.0</v>
      </c>
      <c r="T1840" s="167"/>
      <c r="U1840" s="334" t="s">
        <v>7271</v>
      </c>
      <c r="V1840" s="168">
        <f t="shared" si="3"/>
        <v>56095.0944</v>
      </c>
      <c r="W1840" s="168">
        <f t="shared" si="4"/>
        <v>0</v>
      </c>
      <c r="X1840" s="168">
        <f t="shared" si="5"/>
        <v>0</v>
      </c>
      <c r="Y1840" s="168">
        <f t="shared" si="6"/>
        <v>0</v>
      </c>
      <c r="Z1840" s="168">
        <f t="shared" si="7"/>
        <v>0</v>
      </c>
      <c r="AA1840" s="168">
        <f t="shared" si="8"/>
        <v>0</v>
      </c>
      <c r="AB1840" s="168">
        <f t="shared" si="9"/>
        <v>0</v>
      </c>
    </row>
    <row r="1841" ht="15.0" customHeight="1">
      <c r="A1841" s="157" t="s">
        <v>9098</v>
      </c>
      <c r="B1841" s="169" t="s">
        <v>39</v>
      </c>
      <c r="C1841" s="169" t="s">
        <v>9093</v>
      </c>
      <c r="D1841" s="317">
        <v>44839.0</v>
      </c>
      <c r="E1841" s="157" t="s">
        <v>600</v>
      </c>
      <c r="F1841" s="160">
        <v>24983.14</v>
      </c>
      <c r="G1841" s="160">
        <f>'FACUS$'!$F1841*0.16</f>
        <v>3997.3024</v>
      </c>
      <c r="H1841" s="160">
        <f t="shared" si="61"/>
        <v>28980.4424</v>
      </c>
      <c r="I1841" s="172"/>
      <c r="J1841" s="169"/>
      <c r="K1841" s="172"/>
      <c r="L1841" s="172">
        <f>+'FACUS$'!$H1841-'FACUS$'!$I1841-'FACUS$'!$K1841</f>
        <v>28980.4424</v>
      </c>
      <c r="M1841" s="162" t="s">
        <v>570</v>
      </c>
      <c r="N1841" s="337" t="s">
        <v>554</v>
      </c>
      <c r="O1841" s="338">
        <v>44848.0</v>
      </c>
      <c r="P1841" s="164">
        <f t="array" ref="P1841">XLOOKUP('FACUS$'!$B1841,'perfil de pagos'!$A$4:$A$46,'perfil de pagos'!$C$4:$C$46+'FACUS$'!$D1841)</f>
        <v>44849</v>
      </c>
      <c r="Q1841" s="165">
        <f t="shared" si="2"/>
        <v>0</v>
      </c>
      <c r="R1841" s="167"/>
      <c r="S1841" s="167">
        <v>1634.0</v>
      </c>
      <c r="T1841" s="167"/>
      <c r="U1841" s="334" t="s">
        <v>7271</v>
      </c>
      <c r="V1841" s="168">
        <f t="shared" si="3"/>
        <v>28980.4424</v>
      </c>
      <c r="W1841" s="168">
        <f t="shared" si="4"/>
        <v>0</v>
      </c>
      <c r="X1841" s="168">
        <f t="shared" si="5"/>
        <v>0</v>
      </c>
      <c r="Y1841" s="168">
        <f t="shared" si="6"/>
        <v>0</v>
      </c>
      <c r="Z1841" s="168">
        <f t="shared" si="7"/>
        <v>0</v>
      </c>
      <c r="AA1841" s="168">
        <f t="shared" si="8"/>
        <v>0</v>
      </c>
      <c r="AB1841" s="168">
        <f t="shared" si="9"/>
        <v>0</v>
      </c>
    </row>
    <row r="1842" ht="15.0" customHeight="1">
      <c r="A1842" s="157" t="s">
        <v>9099</v>
      </c>
      <c r="B1842" s="169" t="s">
        <v>35</v>
      </c>
      <c r="C1842" s="169" t="s">
        <v>9093</v>
      </c>
      <c r="D1842" s="317">
        <v>44839.0</v>
      </c>
      <c r="E1842" s="157" t="s">
        <v>600</v>
      </c>
      <c r="F1842" s="160">
        <v>4581.84</v>
      </c>
      <c r="G1842" s="160">
        <f>'FACUS$'!$F1842*0.16</f>
        <v>733.0944</v>
      </c>
      <c r="H1842" s="160">
        <f t="shared" si="61"/>
        <v>5314.9344</v>
      </c>
      <c r="I1842" s="172"/>
      <c r="J1842" s="169"/>
      <c r="K1842" s="172"/>
      <c r="L1842" s="172">
        <f>+'FACUS$'!$H1842-'FACUS$'!$I1842-'FACUS$'!$K1842</f>
        <v>5314.9344</v>
      </c>
      <c r="M1842" s="162" t="s">
        <v>276</v>
      </c>
      <c r="N1842" s="337" t="s">
        <v>554</v>
      </c>
      <c r="O1842" s="338">
        <v>44911.0</v>
      </c>
      <c r="P1842" s="164">
        <f t="array" ref="P1842">XLOOKUP('FACUS$'!$B1842,'perfil de pagos'!$A$4:$A$46,'perfil de pagos'!$C$4:$C$46+'FACUS$'!$D1842)</f>
        <v>44849</v>
      </c>
      <c r="Q1842" s="165">
        <f t="shared" si="2"/>
        <v>0</v>
      </c>
      <c r="R1842" s="167"/>
      <c r="S1842" s="167">
        <v>1836.0</v>
      </c>
      <c r="T1842" s="167"/>
      <c r="U1842" s="334" t="s">
        <v>7271</v>
      </c>
      <c r="V1842" s="168">
        <f t="shared" si="3"/>
        <v>5314.9344</v>
      </c>
      <c r="W1842" s="168">
        <f t="shared" si="4"/>
        <v>0</v>
      </c>
      <c r="X1842" s="168">
        <f t="shared" si="5"/>
        <v>0</v>
      </c>
      <c r="Y1842" s="168">
        <f t="shared" si="6"/>
        <v>0</v>
      </c>
      <c r="Z1842" s="168">
        <f t="shared" si="7"/>
        <v>0</v>
      </c>
      <c r="AA1842" s="168">
        <f t="shared" si="8"/>
        <v>0</v>
      </c>
      <c r="AB1842" s="168">
        <f t="shared" si="9"/>
        <v>0</v>
      </c>
    </row>
    <row r="1843" ht="15.0" customHeight="1">
      <c r="A1843" s="157" t="s">
        <v>9100</v>
      </c>
      <c r="B1843" s="169" t="s">
        <v>36</v>
      </c>
      <c r="C1843" s="169" t="s">
        <v>9093</v>
      </c>
      <c r="D1843" s="317">
        <v>44839.0</v>
      </c>
      <c r="E1843" s="157" t="s">
        <v>600</v>
      </c>
      <c r="F1843" s="160">
        <v>2758.77</v>
      </c>
      <c r="G1843" s="160">
        <f>'FACUS$'!$F1843*0.16</f>
        <v>441.4032</v>
      </c>
      <c r="H1843" s="160">
        <f t="shared" si="61"/>
        <v>3200.1732</v>
      </c>
      <c r="I1843" s="172"/>
      <c r="J1843" s="169"/>
      <c r="K1843" s="172"/>
      <c r="L1843" s="172">
        <f>+'FACUS$'!$H1843-'FACUS$'!$I1843-'FACUS$'!$K1843</f>
        <v>3200.1732</v>
      </c>
      <c r="M1843" s="162" t="s">
        <v>278</v>
      </c>
      <c r="N1843" s="337" t="s">
        <v>554</v>
      </c>
      <c r="O1843" s="338">
        <v>44848.0</v>
      </c>
      <c r="P1843" s="164">
        <f t="array" ref="P1843">XLOOKUP('FACUS$'!$B1843,'perfil de pagos'!$A$4:$A$46,'perfil de pagos'!$C$4:$C$46+'FACUS$'!$D1843)</f>
        <v>44849</v>
      </c>
      <c r="Q1843" s="165">
        <f t="shared" si="2"/>
        <v>0</v>
      </c>
      <c r="R1843" s="247" t="s">
        <v>9101</v>
      </c>
      <c r="S1843" s="167">
        <v>1632.0</v>
      </c>
      <c r="T1843" s="167"/>
      <c r="U1843" s="334" t="s">
        <v>7271</v>
      </c>
      <c r="V1843" s="168">
        <f t="shared" si="3"/>
        <v>3200.1732</v>
      </c>
      <c r="W1843" s="168">
        <f t="shared" si="4"/>
        <v>0</v>
      </c>
      <c r="X1843" s="168">
        <f t="shared" si="5"/>
        <v>0</v>
      </c>
      <c r="Y1843" s="168">
        <f t="shared" si="6"/>
        <v>0</v>
      </c>
      <c r="Z1843" s="168">
        <f t="shared" si="7"/>
        <v>0</v>
      </c>
      <c r="AA1843" s="168">
        <f t="shared" si="8"/>
        <v>0</v>
      </c>
      <c r="AB1843" s="168">
        <f t="shared" si="9"/>
        <v>0</v>
      </c>
    </row>
    <row r="1844" ht="15.0" customHeight="1">
      <c r="A1844" s="157" t="s">
        <v>9102</v>
      </c>
      <c r="B1844" s="169" t="s">
        <v>41</v>
      </c>
      <c r="C1844" s="169" t="s">
        <v>9093</v>
      </c>
      <c r="D1844" s="317">
        <v>44839.0</v>
      </c>
      <c r="E1844" s="157" t="s">
        <v>600</v>
      </c>
      <c r="F1844" s="160">
        <v>19994.1</v>
      </c>
      <c r="G1844" s="160">
        <f>'FACUS$'!$F1844*0.16</f>
        <v>3199.056</v>
      </c>
      <c r="H1844" s="160">
        <f t="shared" si="61"/>
        <v>23193.156</v>
      </c>
      <c r="I1844" s="172"/>
      <c r="J1844" s="169"/>
      <c r="K1844" s="172"/>
      <c r="L1844" s="172">
        <f>+'FACUS$'!$H1844-'FACUS$'!$I1844-'FACUS$'!$K1844</f>
        <v>23193.156</v>
      </c>
      <c r="M1844" s="162" t="s">
        <v>875</v>
      </c>
      <c r="N1844" s="337" t="s">
        <v>554</v>
      </c>
      <c r="O1844" s="338">
        <v>44879.0</v>
      </c>
      <c r="P1844" s="164">
        <f t="array" ref="P1844">XLOOKUP('FACUS$'!$B1844,'perfil de pagos'!$A$4:$A$46,'perfil de pagos'!$C$4:$C$46+'FACUS$'!$D1844)</f>
        <v>44849</v>
      </c>
      <c r="Q1844" s="165">
        <f t="shared" si="2"/>
        <v>0</v>
      </c>
      <c r="R1844" s="167"/>
      <c r="S1844" s="167">
        <v>1719.0</v>
      </c>
      <c r="T1844" s="167"/>
      <c r="U1844" s="334" t="s">
        <v>7271</v>
      </c>
      <c r="V1844" s="168">
        <f t="shared" si="3"/>
        <v>23193.156</v>
      </c>
      <c r="W1844" s="168">
        <f t="shared" si="4"/>
        <v>0</v>
      </c>
      <c r="X1844" s="168">
        <f t="shared" si="5"/>
        <v>0</v>
      </c>
      <c r="Y1844" s="168">
        <f t="shared" si="6"/>
        <v>0</v>
      </c>
      <c r="Z1844" s="168">
        <f t="shared" si="7"/>
        <v>0</v>
      </c>
      <c r="AA1844" s="168">
        <f t="shared" si="8"/>
        <v>0</v>
      </c>
      <c r="AB1844" s="168">
        <f t="shared" si="9"/>
        <v>0</v>
      </c>
    </row>
    <row r="1845" ht="15.0" customHeight="1">
      <c r="A1845" s="157" t="s">
        <v>9103</v>
      </c>
      <c r="B1845" s="169" t="s">
        <v>42</v>
      </c>
      <c r="C1845" s="169" t="s">
        <v>9093</v>
      </c>
      <c r="D1845" s="317">
        <v>44839.0</v>
      </c>
      <c r="E1845" s="157" t="s">
        <v>600</v>
      </c>
      <c r="F1845" s="160">
        <v>9678.53</v>
      </c>
      <c r="G1845" s="160">
        <f>'FACUS$'!$F1845*0.16</f>
        <v>1548.5648</v>
      </c>
      <c r="H1845" s="160">
        <f t="shared" si="61"/>
        <v>11227.0948</v>
      </c>
      <c r="I1845" s="172"/>
      <c r="J1845" s="169"/>
      <c r="K1845" s="172"/>
      <c r="L1845" s="172">
        <f>+'FACUS$'!$H1845-'FACUS$'!$I1845-'FACUS$'!$K1845</f>
        <v>11227.0948</v>
      </c>
      <c r="M1845" s="162" t="s">
        <v>42</v>
      </c>
      <c r="N1845" s="337" t="s">
        <v>554</v>
      </c>
      <c r="O1845" s="338">
        <v>44848.0</v>
      </c>
      <c r="P1845" s="164">
        <f t="array" ref="P1845">XLOOKUP('FACUS$'!$B1845,'perfil de pagos'!$A$4:$A$46,'perfil de pagos'!$C$4:$C$46+'FACUS$'!$D1845)</f>
        <v>44849</v>
      </c>
      <c r="Q1845" s="165">
        <f t="shared" si="2"/>
        <v>0</v>
      </c>
      <c r="R1845" s="167"/>
      <c r="S1845" s="167">
        <v>1633.0</v>
      </c>
      <c r="T1845" s="167"/>
      <c r="U1845" s="334" t="s">
        <v>7271</v>
      </c>
      <c r="V1845" s="168">
        <f t="shared" si="3"/>
        <v>11227.0948</v>
      </c>
      <c r="W1845" s="168">
        <f t="shared" si="4"/>
        <v>0</v>
      </c>
      <c r="X1845" s="168">
        <f t="shared" si="5"/>
        <v>0</v>
      </c>
      <c r="Y1845" s="168">
        <f t="shared" si="6"/>
        <v>0</v>
      </c>
      <c r="Z1845" s="168">
        <f t="shared" si="7"/>
        <v>0</v>
      </c>
      <c r="AA1845" s="168">
        <f t="shared" si="8"/>
        <v>0</v>
      </c>
      <c r="AB1845" s="168">
        <f t="shared" si="9"/>
        <v>0</v>
      </c>
    </row>
    <row r="1846" ht="15.0" customHeight="1">
      <c r="A1846" s="157" t="s">
        <v>9104</v>
      </c>
      <c r="B1846" s="169" t="s">
        <v>44</v>
      </c>
      <c r="C1846" s="169" t="s">
        <v>9093</v>
      </c>
      <c r="D1846" s="317">
        <v>44839.0</v>
      </c>
      <c r="E1846" s="157" t="s">
        <v>600</v>
      </c>
      <c r="F1846" s="160"/>
      <c r="G1846" s="160">
        <f>'FACUS$'!$F1846*0.16</f>
        <v>0</v>
      </c>
      <c r="H1846" s="160">
        <f t="shared" si="61"/>
        <v>0</v>
      </c>
      <c r="I1846" s="172"/>
      <c r="J1846" s="169"/>
      <c r="K1846" s="172"/>
      <c r="L1846" s="172">
        <f>+'FACUS$'!$H1846-'FACUS$'!$I1846-'FACUS$'!$K1846</f>
        <v>0</v>
      </c>
      <c r="M1846" s="162" t="s">
        <v>361</v>
      </c>
      <c r="N1846" s="337" t="s">
        <v>127</v>
      </c>
      <c r="O1846" s="338"/>
      <c r="P1846" s="164">
        <f t="array" ref="P1846">XLOOKUP('FACUS$'!$B1846,'perfil de pagos'!$A$4:$A$46,'perfil de pagos'!$C$4:$C$46+'FACUS$'!$D1846)</f>
        <v>44849</v>
      </c>
      <c r="Q1846" s="165" t="str">
        <f t="shared" si="2"/>
        <v>N/A</v>
      </c>
      <c r="R1846" s="220" t="s">
        <v>4256</v>
      </c>
      <c r="S1846" s="167"/>
      <c r="T1846" s="167"/>
      <c r="U1846" s="334" t="s">
        <v>7271</v>
      </c>
      <c r="V1846" s="168">
        <f t="shared" si="3"/>
        <v>0</v>
      </c>
      <c r="W1846" s="168">
        <f t="shared" si="4"/>
        <v>0</v>
      </c>
      <c r="X1846" s="168">
        <f t="shared" si="5"/>
        <v>0</v>
      </c>
      <c r="Y1846" s="168">
        <f t="shared" si="6"/>
        <v>0</v>
      </c>
      <c r="Z1846" s="168">
        <f t="shared" si="7"/>
        <v>0</v>
      </c>
      <c r="AA1846" s="168">
        <f t="shared" si="8"/>
        <v>0</v>
      </c>
      <c r="AB1846" s="168">
        <f t="shared" si="9"/>
        <v>0</v>
      </c>
    </row>
    <row r="1847" ht="15.0" customHeight="1">
      <c r="A1847" s="157" t="s">
        <v>9105</v>
      </c>
      <c r="B1847" s="169" t="s">
        <v>33</v>
      </c>
      <c r="C1847" s="169" t="s">
        <v>9093</v>
      </c>
      <c r="D1847" s="317">
        <v>44839.0</v>
      </c>
      <c r="E1847" s="157" t="s">
        <v>600</v>
      </c>
      <c r="F1847" s="160">
        <v>34423.48</v>
      </c>
      <c r="G1847" s="160">
        <f>'FACUS$'!$F1847*0.16</f>
        <v>5507.7568</v>
      </c>
      <c r="H1847" s="160">
        <f t="shared" si="61"/>
        <v>39931.2368</v>
      </c>
      <c r="I1847" s="172"/>
      <c r="J1847" s="169"/>
      <c r="K1847" s="172"/>
      <c r="L1847" s="172">
        <f>+'FACUS$'!$H1847-'FACUS$'!$I1847-'FACUS$'!$K1847</f>
        <v>39931.2368</v>
      </c>
      <c r="M1847" s="162" t="s">
        <v>8681</v>
      </c>
      <c r="N1847" s="337" t="s">
        <v>554</v>
      </c>
      <c r="O1847" s="338">
        <v>44869.0</v>
      </c>
      <c r="P1847" s="164">
        <f t="array" ref="P1847">XLOOKUP('FACUS$'!$B1847,'perfil de pagos'!$A$4:$A$46,'perfil de pagos'!$C$4:$C$46+'FACUS$'!$D1847)</f>
        <v>44849</v>
      </c>
      <c r="Q1847" s="165">
        <f t="shared" si="2"/>
        <v>0</v>
      </c>
      <c r="R1847" s="167"/>
      <c r="S1847" s="167">
        <v>1701.0</v>
      </c>
      <c r="T1847" s="167"/>
      <c r="U1847" s="334" t="s">
        <v>7271</v>
      </c>
      <c r="V1847" s="168">
        <f t="shared" si="3"/>
        <v>39931.2368</v>
      </c>
      <c r="W1847" s="168">
        <f t="shared" si="4"/>
        <v>0</v>
      </c>
      <c r="X1847" s="168">
        <f t="shared" si="5"/>
        <v>0</v>
      </c>
      <c r="Y1847" s="168">
        <f t="shared" si="6"/>
        <v>0</v>
      </c>
      <c r="Z1847" s="168">
        <f t="shared" si="7"/>
        <v>0</v>
      </c>
      <c r="AA1847" s="168">
        <f t="shared" si="8"/>
        <v>0</v>
      </c>
      <c r="AB1847" s="168">
        <f t="shared" si="9"/>
        <v>0</v>
      </c>
    </row>
    <row r="1848" ht="15.0" customHeight="1">
      <c r="A1848" s="157" t="s">
        <v>9106</v>
      </c>
      <c r="B1848" s="169" t="s">
        <v>43</v>
      </c>
      <c r="C1848" s="169" t="s">
        <v>9093</v>
      </c>
      <c r="D1848" s="317">
        <v>44839.0</v>
      </c>
      <c r="E1848" s="157" t="s">
        <v>600</v>
      </c>
      <c r="F1848" s="160">
        <v>25389.29</v>
      </c>
      <c r="G1848" s="160">
        <f>'FACUS$'!$F1848*0.16</f>
        <v>4062.2864</v>
      </c>
      <c r="H1848" s="160">
        <f t="shared" si="61"/>
        <v>29451.5764</v>
      </c>
      <c r="I1848" s="172"/>
      <c r="J1848" s="169"/>
      <c r="K1848" s="172"/>
      <c r="L1848" s="172">
        <f>+'FACUS$'!$H1848-'FACUS$'!$I1848-'FACUS$'!$K1848</f>
        <v>29451.5764</v>
      </c>
      <c r="M1848" s="162" t="s">
        <v>43</v>
      </c>
      <c r="N1848" s="337" t="s">
        <v>554</v>
      </c>
      <c r="O1848" s="338">
        <v>44869.0</v>
      </c>
      <c r="P1848" s="164">
        <f t="array" ref="P1848">XLOOKUP('FACUS$'!$B1848,'perfil de pagos'!$A$4:$A$46,'perfil de pagos'!$C$4:$C$46+'FACUS$'!$D1848)</f>
        <v>44864</v>
      </c>
      <c r="Q1848" s="165">
        <f t="shared" si="2"/>
        <v>0</v>
      </c>
      <c r="R1848" s="167"/>
      <c r="S1848" s="167">
        <v>1703.0</v>
      </c>
      <c r="T1848" s="167"/>
      <c r="U1848" s="334" t="s">
        <v>7271</v>
      </c>
      <c r="V1848" s="168">
        <f t="shared" si="3"/>
        <v>29451.5764</v>
      </c>
      <c r="W1848" s="168">
        <f t="shared" si="4"/>
        <v>0</v>
      </c>
      <c r="X1848" s="168">
        <f t="shared" si="5"/>
        <v>0</v>
      </c>
      <c r="Y1848" s="168">
        <f t="shared" si="6"/>
        <v>0</v>
      </c>
      <c r="Z1848" s="168">
        <f t="shared" si="7"/>
        <v>0</v>
      </c>
      <c r="AA1848" s="168">
        <f t="shared" si="8"/>
        <v>0</v>
      </c>
      <c r="AB1848" s="168">
        <f t="shared" si="9"/>
        <v>0</v>
      </c>
    </row>
    <row r="1849" ht="15.0" customHeight="1">
      <c r="A1849" s="157" t="s">
        <v>9107</v>
      </c>
      <c r="B1849" s="169" t="s">
        <v>44</v>
      </c>
      <c r="C1849" s="169" t="s">
        <v>9093</v>
      </c>
      <c r="D1849" s="317">
        <v>44839.0</v>
      </c>
      <c r="E1849" s="157" t="s">
        <v>600</v>
      </c>
      <c r="F1849" s="160">
        <v>3760.98</v>
      </c>
      <c r="G1849" s="160">
        <f>'FACUS$'!$F1849*0.16</f>
        <v>601.7568</v>
      </c>
      <c r="H1849" s="160">
        <f t="shared" si="61"/>
        <v>4362.7368</v>
      </c>
      <c r="I1849" s="172"/>
      <c r="J1849" s="169"/>
      <c r="K1849" s="172"/>
      <c r="L1849" s="172">
        <f>+'FACUS$'!$H1849-'FACUS$'!$I1849-'FACUS$'!$K1849</f>
        <v>4362.7368</v>
      </c>
      <c r="M1849" s="162" t="s">
        <v>361</v>
      </c>
      <c r="N1849" s="337" t="s">
        <v>554</v>
      </c>
      <c r="O1849" s="338">
        <v>44844.0</v>
      </c>
      <c r="P1849" s="164">
        <f t="array" ref="P1849">XLOOKUP('FACUS$'!$B1849,'perfil de pagos'!$A$4:$A$46,'perfil de pagos'!$C$4:$C$46+'FACUS$'!$D1849)</f>
        <v>44849</v>
      </c>
      <c r="Q1849" s="165">
        <f t="shared" si="2"/>
        <v>0</v>
      </c>
      <c r="R1849" s="167"/>
      <c r="S1849" s="167">
        <v>1625.0</v>
      </c>
      <c r="T1849" s="167"/>
      <c r="U1849" s="334" t="s">
        <v>7271</v>
      </c>
      <c r="V1849" s="168">
        <f t="shared" si="3"/>
        <v>4362.7368</v>
      </c>
      <c r="W1849" s="168">
        <f t="shared" si="4"/>
        <v>0</v>
      </c>
      <c r="X1849" s="168">
        <f t="shared" si="5"/>
        <v>0</v>
      </c>
      <c r="Y1849" s="168">
        <f t="shared" si="6"/>
        <v>0</v>
      </c>
      <c r="Z1849" s="168">
        <f t="shared" si="7"/>
        <v>0</v>
      </c>
      <c r="AA1849" s="168">
        <f t="shared" si="8"/>
        <v>0</v>
      </c>
      <c r="AB1849" s="168">
        <f t="shared" si="9"/>
        <v>0</v>
      </c>
    </row>
    <row r="1850" ht="15.0" customHeight="1">
      <c r="A1850" s="157" t="s">
        <v>9108</v>
      </c>
      <c r="B1850" s="169" t="s">
        <v>31</v>
      </c>
      <c r="C1850" s="169" t="s">
        <v>9109</v>
      </c>
      <c r="D1850" s="317">
        <v>44840.0</v>
      </c>
      <c r="E1850" s="157" t="s">
        <v>600</v>
      </c>
      <c r="F1850" s="160">
        <v>2727.64</v>
      </c>
      <c r="G1850" s="160">
        <f>'FACUS$'!$F1850*0.16</f>
        <v>436.4224</v>
      </c>
      <c r="H1850" s="160">
        <f t="shared" si="61"/>
        <v>3164.0624</v>
      </c>
      <c r="I1850" s="172"/>
      <c r="J1850" s="169"/>
      <c r="K1850" s="172"/>
      <c r="L1850" s="172">
        <f>+'FACUS$'!$H1850-'FACUS$'!$I1850-'FACUS$'!$K1850</f>
        <v>3164.0624</v>
      </c>
      <c r="M1850" s="162" t="s">
        <v>3183</v>
      </c>
      <c r="N1850" s="337" t="s">
        <v>554</v>
      </c>
      <c r="O1850" s="338">
        <v>44841.0</v>
      </c>
      <c r="P1850" s="164">
        <f t="array" ref="P1850">XLOOKUP('FACUS$'!$B1850,'perfil de pagos'!$A$4:$A$46,'perfil de pagos'!$C$4:$C$46+'FACUS$'!$D1850)</f>
        <v>44843</v>
      </c>
      <c r="Q1850" s="165">
        <f t="shared" si="2"/>
        <v>0</v>
      </c>
      <c r="R1850" s="167"/>
      <c r="S1850" s="265" t="s">
        <v>9110</v>
      </c>
      <c r="T1850" s="167"/>
      <c r="U1850" s="334" t="s">
        <v>7271</v>
      </c>
      <c r="V1850" s="168">
        <f t="shared" si="3"/>
        <v>3164.0624</v>
      </c>
      <c r="W1850" s="168">
        <f t="shared" si="4"/>
        <v>0</v>
      </c>
      <c r="X1850" s="168">
        <f t="shared" si="5"/>
        <v>0</v>
      </c>
      <c r="Y1850" s="168">
        <f t="shared" si="6"/>
        <v>0</v>
      </c>
      <c r="Z1850" s="168">
        <f t="shared" si="7"/>
        <v>0</v>
      </c>
      <c r="AA1850" s="168">
        <f t="shared" si="8"/>
        <v>0</v>
      </c>
      <c r="AB1850" s="168">
        <f t="shared" si="9"/>
        <v>0</v>
      </c>
    </row>
    <row r="1851" ht="15.0" customHeight="1">
      <c r="A1851" s="157" t="s">
        <v>9111</v>
      </c>
      <c r="B1851" s="169" t="s">
        <v>38</v>
      </c>
      <c r="C1851" s="169" t="s">
        <v>9093</v>
      </c>
      <c r="D1851" s="317">
        <v>44841.0</v>
      </c>
      <c r="E1851" s="157" t="s">
        <v>600</v>
      </c>
      <c r="F1851" s="160">
        <v>11399.18</v>
      </c>
      <c r="G1851" s="160">
        <f>'FACUS$'!$F1851*0.16</f>
        <v>1823.8688</v>
      </c>
      <c r="H1851" s="160">
        <f>F1851+G1851-13187</f>
        <v>36.0488</v>
      </c>
      <c r="I1851" s="172"/>
      <c r="J1851" s="169"/>
      <c r="K1851" s="172"/>
      <c r="L1851" s="172">
        <f>+'FACUS$'!$H1851-'FACUS$'!$I1851-'FACUS$'!$K1851</f>
        <v>36.0488</v>
      </c>
      <c r="M1851" s="162" t="s">
        <v>145</v>
      </c>
      <c r="N1851" s="337" t="s">
        <v>554</v>
      </c>
      <c r="O1851" s="338">
        <v>44889.0</v>
      </c>
      <c r="P1851" s="164">
        <f t="array" ref="P1851">XLOOKUP('FACUS$'!$B1851,'perfil de pagos'!$A$4:$A$46,'perfil de pagos'!$C$4:$C$46+'FACUS$'!$D1851)</f>
        <v>44871</v>
      </c>
      <c r="Q1851" s="165">
        <f t="shared" si="2"/>
        <v>0</v>
      </c>
      <c r="R1851" s="220" t="s">
        <v>9112</v>
      </c>
      <c r="S1851" s="167" t="s">
        <v>9113</v>
      </c>
      <c r="T1851" s="167"/>
      <c r="U1851" s="334" t="s">
        <v>7271</v>
      </c>
      <c r="V1851" s="168">
        <f t="shared" si="3"/>
        <v>36.0488</v>
      </c>
      <c r="W1851" s="168">
        <f t="shared" si="4"/>
        <v>0</v>
      </c>
      <c r="X1851" s="168">
        <f t="shared" si="5"/>
        <v>0</v>
      </c>
      <c r="Y1851" s="168">
        <f t="shared" si="6"/>
        <v>0</v>
      </c>
      <c r="Z1851" s="168">
        <f t="shared" si="7"/>
        <v>0</v>
      </c>
      <c r="AA1851" s="168">
        <f t="shared" si="8"/>
        <v>0</v>
      </c>
      <c r="AB1851" s="168">
        <f t="shared" si="9"/>
        <v>0</v>
      </c>
    </row>
    <row r="1852" ht="15.0" customHeight="1">
      <c r="A1852" s="157" t="s">
        <v>4272</v>
      </c>
      <c r="B1852" s="169" t="s">
        <v>18</v>
      </c>
      <c r="C1852" s="169" t="s">
        <v>9093</v>
      </c>
      <c r="D1852" s="317">
        <v>44841.0</v>
      </c>
      <c r="E1852" s="157" t="s">
        <v>600</v>
      </c>
      <c r="F1852" s="160">
        <v>8959.2</v>
      </c>
      <c r="G1852" s="160">
        <f>'FACUS$'!$F1852*0.16</f>
        <v>1433.472</v>
      </c>
      <c r="H1852" s="160">
        <f t="shared" ref="H1852:H1881" si="62">F1852+G1852</f>
        <v>10392.672</v>
      </c>
      <c r="I1852" s="172"/>
      <c r="J1852" s="169"/>
      <c r="K1852" s="172"/>
      <c r="L1852" s="172">
        <f>+'FACUS$'!$H1852-'FACUS$'!$I1852-'FACUS$'!$K1852</f>
        <v>10392.672</v>
      </c>
      <c r="M1852" s="162" t="s">
        <v>586</v>
      </c>
      <c r="N1852" s="337" t="s">
        <v>554</v>
      </c>
      <c r="O1852" s="338">
        <v>44861.0</v>
      </c>
      <c r="P1852" s="164">
        <f t="array" ref="P1852">XLOOKUP('FACUS$'!$B1852,'perfil de pagos'!$A$4:$A$46,'perfil de pagos'!$C$4:$C$46+'FACUS$'!$D1852)</f>
        <v>44851</v>
      </c>
      <c r="Q1852" s="165">
        <f t="shared" si="2"/>
        <v>0</v>
      </c>
      <c r="R1852" s="167"/>
      <c r="S1852" s="167">
        <v>1671.0</v>
      </c>
      <c r="T1852" s="167"/>
      <c r="U1852" s="334" t="s">
        <v>7271</v>
      </c>
      <c r="V1852" s="168">
        <f t="shared" si="3"/>
        <v>10392.672</v>
      </c>
      <c r="W1852" s="168">
        <f t="shared" si="4"/>
        <v>0</v>
      </c>
      <c r="X1852" s="168">
        <f t="shared" si="5"/>
        <v>0</v>
      </c>
      <c r="Y1852" s="168">
        <f t="shared" si="6"/>
        <v>0</v>
      </c>
      <c r="Z1852" s="168">
        <f t="shared" si="7"/>
        <v>0</v>
      </c>
      <c r="AA1852" s="168">
        <f t="shared" si="8"/>
        <v>0</v>
      </c>
      <c r="AB1852" s="168">
        <f t="shared" si="9"/>
        <v>0</v>
      </c>
    </row>
    <row r="1853" ht="15.0" customHeight="1">
      <c r="A1853" s="157" t="s">
        <v>9114</v>
      </c>
      <c r="B1853" s="169" t="s">
        <v>20</v>
      </c>
      <c r="C1853" s="169" t="s">
        <v>9093</v>
      </c>
      <c r="D1853" s="317">
        <v>44841.0</v>
      </c>
      <c r="E1853" s="157" t="s">
        <v>600</v>
      </c>
      <c r="F1853" s="160">
        <v>12809.99</v>
      </c>
      <c r="G1853" s="160">
        <f>'FACUS$'!$F1853*0.16</f>
        <v>2049.5984</v>
      </c>
      <c r="H1853" s="160">
        <f t="shared" si="62"/>
        <v>14859.5884</v>
      </c>
      <c r="I1853" s="172"/>
      <c r="J1853" s="169"/>
      <c r="K1853" s="172"/>
      <c r="L1853" s="172">
        <f>+'FACUS$'!$H1853-'FACUS$'!$I1853-'FACUS$'!$K1853</f>
        <v>14859.5884</v>
      </c>
      <c r="M1853" s="162" t="s">
        <v>732</v>
      </c>
      <c r="N1853" s="337" t="s">
        <v>554</v>
      </c>
      <c r="O1853" s="338">
        <v>44861.0</v>
      </c>
      <c r="P1853" s="164">
        <f t="array" ref="P1853">XLOOKUP('FACUS$'!$B1853,'perfil de pagos'!$A$4:$A$46,'perfil de pagos'!$C$4:$C$46+'FACUS$'!$D1853)</f>
        <v>44851</v>
      </c>
      <c r="Q1853" s="165">
        <f t="shared" si="2"/>
        <v>0</v>
      </c>
      <c r="R1853" s="167"/>
      <c r="S1853" s="167">
        <v>1671.0</v>
      </c>
      <c r="T1853" s="167"/>
      <c r="U1853" s="334" t="s">
        <v>7271</v>
      </c>
      <c r="V1853" s="168">
        <f t="shared" si="3"/>
        <v>14859.5884</v>
      </c>
      <c r="W1853" s="168">
        <f t="shared" si="4"/>
        <v>0</v>
      </c>
      <c r="X1853" s="168">
        <f t="shared" si="5"/>
        <v>0</v>
      </c>
      <c r="Y1853" s="168">
        <f t="shared" si="6"/>
        <v>0</v>
      </c>
      <c r="Z1853" s="168">
        <f t="shared" si="7"/>
        <v>0</v>
      </c>
      <c r="AA1853" s="168">
        <f t="shared" si="8"/>
        <v>0</v>
      </c>
      <c r="AB1853" s="168">
        <f t="shared" si="9"/>
        <v>0</v>
      </c>
    </row>
    <row r="1854" ht="15.0" customHeight="1">
      <c r="A1854" s="157" t="s">
        <v>9115</v>
      </c>
      <c r="B1854" s="169" t="s">
        <v>20</v>
      </c>
      <c r="C1854" s="169" t="s">
        <v>9093</v>
      </c>
      <c r="D1854" s="317">
        <v>44841.0</v>
      </c>
      <c r="E1854" s="157" t="s">
        <v>600</v>
      </c>
      <c r="F1854" s="160">
        <v>12809.99</v>
      </c>
      <c r="G1854" s="160">
        <f>'FACUS$'!$F1854*0.16</f>
        <v>2049.5984</v>
      </c>
      <c r="H1854" s="160">
        <f t="shared" si="62"/>
        <v>14859.5884</v>
      </c>
      <c r="I1854" s="172"/>
      <c r="J1854" s="169"/>
      <c r="K1854" s="172"/>
      <c r="L1854" s="172">
        <f>+'FACUS$'!$H1854-'FACUS$'!$I1854-'FACUS$'!$K1854</f>
        <v>14859.5884</v>
      </c>
      <c r="M1854" s="162" t="s">
        <v>732</v>
      </c>
      <c r="N1854" s="337" t="s">
        <v>9035</v>
      </c>
      <c r="O1854" s="338"/>
      <c r="P1854" s="164">
        <f t="array" ref="P1854">XLOOKUP('FACUS$'!$B1854,'perfil de pagos'!$A$4:$A$46,'perfil de pagos'!$C$4:$C$46+'FACUS$'!$D1854)</f>
        <v>44851</v>
      </c>
      <c r="Q1854" s="165" t="str">
        <f t="shared" si="2"/>
        <v>N/A</v>
      </c>
      <c r="R1854" s="220" t="s">
        <v>9116</v>
      </c>
      <c r="S1854" s="167"/>
      <c r="T1854" s="167"/>
      <c r="U1854" s="334" t="s">
        <v>7271</v>
      </c>
      <c r="V1854" s="168">
        <f t="shared" si="3"/>
        <v>0</v>
      </c>
      <c r="W1854" s="168">
        <f t="shared" si="4"/>
        <v>0</v>
      </c>
      <c r="X1854" s="168">
        <f t="shared" si="5"/>
        <v>0</v>
      </c>
      <c r="Y1854" s="168">
        <f t="shared" si="6"/>
        <v>0</v>
      </c>
      <c r="Z1854" s="168">
        <f t="shared" si="7"/>
        <v>0</v>
      </c>
      <c r="AA1854" s="168">
        <f t="shared" si="8"/>
        <v>0</v>
      </c>
      <c r="AB1854" s="168">
        <f t="shared" si="9"/>
        <v>14859.5884</v>
      </c>
    </row>
    <row r="1855" ht="15.0" customHeight="1">
      <c r="A1855" s="157" t="s">
        <v>9117</v>
      </c>
      <c r="B1855" s="169" t="s">
        <v>22</v>
      </c>
      <c r="C1855" s="169" t="s">
        <v>9093</v>
      </c>
      <c r="D1855" s="317">
        <v>44841.0</v>
      </c>
      <c r="E1855" s="157" t="s">
        <v>600</v>
      </c>
      <c r="F1855" s="160">
        <v>14253.15</v>
      </c>
      <c r="G1855" s="160">
        <f>'FACUS$'!$F1855*0.16</f>
        <v>2280.504</v>
      </c>
      <c r="H1855" s="160">
        <f t="shared" si="62"/>
        <v>16533.654</v>
      </c>
      <c r="I1855" s="172"/>
      <c r="J1855" s="169"/>
      <c r="K1855" s="172"/>
      <c r="L1855" s="172">
        <f>+'FACUS$'!$H1855-'FACUS$'!$I1855-'FACUS$'!$K1855</f>
        <v>16533.654</v>
      </c>
      <c r="M1855" s="162" t="s">
        <v>220</v>
      </c>
      <c r="N1855" s="337" t="s">
        <v>554</v>
      </c>
      <c r="O1855" s="338">
        <v>44904.0</v>
      </c>
      <c r="P1855" s="164">
        <f t="array" ref="P1855">XLOOKUP('FACUS$'!$B1855,'perfil de pagos'!$A$4:$A$46,'perfil de pagos'!$C$4:$C$46+'FACUS$'!$D1855)</f>
        <v>44851</v>
      </c>
      <c r="Q1855" s="165">
        <f t="shared" si="2"/>
        <v>0</v>
      </c>
      <c r="R1855" s="167"/>
      <c r="S1855" s="167">
        <v>1795.0</v>
      </c>
      <c r="T1855" s="167"/>
      <c r="U1855" s="334" t="s">
        <v>7271</v>
      </c>
      <c r="V1855" s="168">
        <f t="shared" si="3"/>
        <v>16533.654</v>
      </c>
      <c r="W1855" s="168">
        <f t="shared" si="4"/>
        <v>0</v>
      </c>
      <c r="X1855" s="168">
        <f t="shared" si="5"/>
        <v>0</v>
      </c>
      <c r="Y1855" s="168">
        <f t="shared" si="6"/>
        <v>0</v>
      </c>
      <c r="Z1855" s="168">
        <f t="shared" si="7"/>
        <v>0</v>
      </c>
      <c r="AA1855" s="168">
        <f t="shared" si="8"/>
        <v>0</v>
      </c>
      <c r="AB1855" s="168">
        <f t="shared" si="9"/>
        <v>0</v>
      </c>
    </row>
    <row r="1856" ht="15.0" customHeight="1">
      <c r="A1856" s="157" t="s">
        <v>9118</v>
      </c>
      <c r="B1856" s="169" t="s">
        <v>37</v>
      </c>
      <c r="C1856" s="169" t="s">
        <v>9093</v>
      </c>
      <c r="D1856" s="317">
        <v>44841.0</v>
      </c>
      <c r="E1856" s="157" t="s">
        <v>600</v>
      </c>
      <c r="F1856" s="160">
        <v>90031.76</v>
      </c>
      <c r="G1856" s="160">
        <f>'FACUS$'!$F1856*0.16</f>
        <v>14405.0816</v>
      </c>
      <c r="H1856" s="160">
        <f t="shared" si="62"/>
        <v>104436.8416</v>
      </c>
      <c r="I1856" s="172"/>
      <c r="J1856" s="169"/>
      <c r="K1856" s="172"/>
      <c r="L1856" s="172">
        <f>+'FACUS$'!$H1856-'FACUS$'!$I1856-'FACUS$'!$K1856</f>
        <v>104436.8416</v>
      </c>
      <c r="M1856" s="162" t="s">
        <v>116</v>
      </c>
      <c r="N1856" s="337" t="s">
        <v>554</v>
      </c>
      <c r="O1856" s="338">
        <v>44858.0</v>
      </c>
      <c r="P1856" s="164">
        <f t="array" ref="P1856">XLOOKUP('FACUS$'!$B1856,'perfil de pagos'!$A$4:$A$46,'perfil de pagos'!$C$4:$C$46+'FACUS$'!$D1856)</f>
        <v>44851</v>
      </c>
      <c r="Q1856" s="165">
        <f t="shared" si="2"/>
        <v>0</v>
      </c>
      <c r="R1856" s="220" t="s">
        <v>9119</v>
      </c>
      <c r="S1856" s="167">
        <v>1668.0</v>
      </c>
      <c r="T1856" s="167"/>
      <c r="U1856" s="334" t="s">
        <v>7271</v>
      </c>
      <c r="V1856" s="168">
        <f t="shared" si="3"/>
        <v>104436.8416</v>
      </c>
      <c r="W1856" s="168">
        <f t="shared" si="4"/>
        <v>0</v>
      </c>
      <c r="X1856" s="168">
        <f t="shared" si="5"/>
        <v>0</v>
      </c>
      <c r="Y1856" s="168">
        <f t="shared" si="6"/>
        <v>0</v>
      </c>
      <c r="Z1856" s="168">
        <f t="shared" si="7"/>
        <v>0</v>
      </c>
      <c r="AA1856" s="168">
        <f t="shared" si="8"/>
        <v>0</v>
      </c>
      <c r="AB1856" s="168">
        <f t="shared" si="9"/>
        <v>0</v>
      </c>
    </row>
    <row r="1857" ht="15.0" customHeight="1">
      <c r="A1857" s="157" t="s">
        <v>9120</v>
      </c>
      <c r="B1857" s="169" t="s">
        <v>41</v>
      </c>
      <c r="C1857" s="169" t="s">
        <v>9121</v>
      </c>
      <c r="D1857" s="317">
        <v>44845.0</v>
      </c>
      <c r="E1857" s="157" t="s">
        <v>600</v>
      </c>
      <c r="F1857" s="160">
        <v>231.76</v>
      </c>
      <c r="G1857" s="160">
        <f>'FACUS$'!$F1857*0.16</f>
        <v>37.0816</v>
      </c>
      <c r="H1857" s="160">
        <f t="shared" si="62"/>
        <v>268.8416</v>
      </c>
      <c r="I1857" s="172"/>
      <c r="J1857" s="169"/>
      <c r="K1857" s="172"/>
      <c r="L1857" s="172">
        <f>+'FACUS$'!$H1857-'FACUS$'!$I1857-'FACUS$'!$K1857</f>
        <v>268.8416</v>
      </c>
      <c r="M1857" s="162" t="s">
        <v>875</v>
      </c>
      <c r="N1857" s="337" t="s">
        <v>554</v>
      </c>
      <c r="O1857" s="338">
        <v>44879.0</v>
      </c>
      <c r="P1857" s="164">
        <f t="array" ref="P1857">XLOOKUP('FACUS$'!$B1857,'perfil de pagos'!$A$4:$A$46,'perfil de pagos'!$C$4:$C$46+'FACUS$'!$D1857)</f>
        <v>44855</v>
      </c>
      <c r="Q1857" s="165">
        <f t="shared" si="2"/>
        <v>0</v>
      </c>
      <c r="R1857" s="167"/>
      <c r="S1857" s="167">
        <v>1719.0</v>
      </c>
      <c r="T1857" s="167"/>
      <c r="U1857" s="334" t="s">
        <v>7271</v>
      </c>
      <c r="V1857" s="168">
        <f t="shared" si="3"/>
        <v>268.8416</v>
      </c>
      <c r="W1857" s="168">
        <f t="shared" si="4"/>
        <v>0</v>
      </c>
      <c r="X1857" s="168">
        <f t="shared" si="5"/>
        <v>0</v>
      </c>
      <c r="Y1857" s="168">
        <f t="shared" si="6"/>
        <v>0</v>
      </c>
      <c r="Z1857" s="168">
        <f t="shared" si="7"/>
        <v>0</v>
      </c>
      <c r="AA1857" s="168">
        <f t="shared" si="8"/>
        <v>0</v>
      </c>
      <c r="AB1857" s="168">
        <f t="shared" si="9"/>
        <v>0</v>
      </c>
    </row>
    <row r="1858" ht="15.0" customHeight="1">
      <c r="A1858" s="157" t="s">
        <v>9122</v>
      </c>
      <c r="B1858" s="169" t="s">
        <v>31</v>
      </c>
      <c r="C1858" s="169" t="s">
        <v>9123</v>
      </c>
      <c r="D1858" s="317">
        <v>44846.0</v>
      </c>
      <c r="E1858" s="157" t="s">
        <v>600</v>
      </c>
      <c r="F1858" s="160">
        <v>687.36</v>
      </c>
      <c r="G1858" s="160">
        <f>'FACUS$'!$F1858*0.16</f>
        <v>109.9776</v>
      </c>
      <c r="H1858" s="160">
        <f t="shared" si="62"/>
        <v>797.3376</v>
      </c>
      <c r="I1858" s="172"/>
      <c r="J1858" s="169"/>
      <c r="K1858" s="172"/>
      <c r="L1858" s="172">
        <f>+'FACUS$'!$H1858-'FACUS$'!$I1858-'FACUS$'!$K1858</f>
        <v>797.3376</v>
      </c>
      <c r="M1858" s="162" t="s">
        <v>3183</v>
      </c>
      <c r="N1858" s="337" t="s">
        <v>554</v>
      </c>
      <c r="O1858" s="338">
        <v>44848.0</v>
      </c>
      <c r="P1858" s="164">
        <f t="array" ref="P1858">XLOOKUP('FACUS$'!$B1858,'perfil de pagos'!$A$4:$A$46,'perfil de pagos'!$C$4:$C$46+'FACUS$'!$D1858)</f>
        <v>44849</v>
      </c>
      <c r="Q1858" s="165">
        <f t="shared" si="2"/>
        <v>0</v>
      </c>
      <c r="R1858" s="167"/>
      <c r="S1858" s="167">
        <v>1635.0</v>
      </c>
      <c r="T1858" s="167"/>
      <c r="U1858" s="334" t="s">
        <v>7271</v>
      </c>
      <c r="V1858" s="168">
        <f t="shared" si="3"/>
        <v>797.3376</v>
      </c>
      <c r="W1858" s="168">
        <f t="shared" si="4"/>
        <v>0</v>
      </c>
      <c r="X1858" s="168">
        <f t="shared" si="5"/>
        <v>0</v>
      </c>
      <c r="Y1858" s="168">
        <f t="shared" si="6"/>
        <v>0</v>
      </c>
      <c r="Z1858" s="168">
        <f t="shared" si="7"/>
        <v>0</v>
      </c>
      <c r="AA1858" s="168">
        <f t="shared" si="8"/>
        <v>0</v>
      </c>
      <c r="AB1858" s="168">
        <f t="shared" si="9"/>
        <v>0</v>
      </c>
    </row>
    <row r="1859" ht="15.0" customHeight="1">
      <c r="A1859" s="157" t="s">
        <v>9124</v>
      </c>
      <c r="B1859" s="169" t="s">
        <v>31</v>
      </c>
      <c r="C1859" s="169" t="s">
        <v>9125</v>
      </c>
      <c r="D1859" s="317">
        <v>44846.0</v>
      </c>
      <c r="E1859" s="157" t="s">
        <v>600</v>
      </c>
      <c r="F1859" s="160">
        <v>5270.92</v>
      </c>
      <c r="G1859" s="160">
        <f>'FACUS$'!$F1859*0.16</f>
        <v>843.3472</v>
      </c>
      <c r="H1859" s="160">
        <f t="shared" si="62"/>
        <v>6114.2672</v>
      </c>
      <c r="I1859" s="172"/>
      <c r="J1859" s="169"/>
      <c r="K1859" s="172"/>
      <c r="L1859" s="172">
        <f>+'FACUS$'!$H1859-'FACUS$'!$I1859-'FACUS$'!$K1859</f>
        <v>6114.2672</v>
      </c>
      <c r="M1859" s="162" t="s">
        <v>3183</v>
      </c>
      <c r="N1859" s="337" t="s">
        <v>554</v>
      </c>
      <c r="O1859" s="338">
        <v>44848.0</v>
      </c>
      <c r="P1859" s="164">
        <f t="array" ref="P1859">XLOOKUP('FACUS$'!$B1859,'perfil de pagos'!$A$4:$A$46,'perfil de pagos'!$C$4:$C$46+'FACUS$'!$D1859)</f>
        <v>44849</v>
      </c>
      <c r="Q1859" s="165">
        <f t="shared" si="2"/>
        <v>0</v>
      </c>
      <c r="R1859" s="167"/>
      <c r="S1859" s="167">
        <v>1636.0</v>
      </c>
      <c r="T1859" s="167"/>
      <c r="U1859" s="334" t="s">
        <v>7271</v>
      </c>
      <c r="V1859" s="168">
        <f t="shared" si="3"/>
        <v>6114.2672</v>
      </c>
      <c r="W1859" s="168">
        <f t="shared" si="4"/>
        <v>0</v>
      </c>
      <c r="X1859" s="168">
        <f t="shared" si="5"/>
        <v>0</v>
      </c>
      <c r="Y1859" s="168">
        <f t="shared" si="6"/>
        <v>0</v>
      </c>
      <c r="Z1859" s="168">
        <f t="shared" si="7"/>
        <v>0</v>
      </c>
      <c r="AA1859" s="168">
        <f t="shared" si="8"/>
        <v>0</v>
      </c>
      <c r="AB1859" s="168">
        <f t="shared" si="9"/>
        <v>0</v>
      </c>
    </row>
    <row r="1860" ht="15.0" customHeight="1">
      <c r="A1860" s="157" t="s">
        <v>9126</v>
      </c>
      <c r="B1860" s="169" t="s">
        <v>17</v>
      </c>
      <c r="C1860" s="169" t="s">
        <v>4289</v>
      </c>
      <c r="D1860" s="317">
        <v>44852.0</v>
      </c>
      <c r="E1860" s="157" t="s">
        <v>600</v>
      </c>
      <c r="F1860" s="160">
        <v>8781.72</v>
      </c>
      <c r="G1860" s="160">
        <f>'FACUS$'!$F1860*0.16</f>
        <v>1405.0752</v>
      </c>
      <c r="H1860" s="160">
        <f t="shared" si="62"/>
        <v>10186.7952</v>
      </c>
      <c r="I1860" s="172"/>
      <c r="J1860" s="169"/>
      <c r="K1860" s="172"/>
      <c r="L1860" s="172">
        <f>+'FACUS$'!$H1860-'FACUS$'!$I1860-'FACUS$'!$K1860</f>
        <v>10186.7952</v>
      </c>
      <c r="M1860" s="162" t="s">
        <v>17</v>
      </c>
      <c r="N1860" s="337" t="s">
        <v>554</v>
      </c>
      <c r="O1860" s="338">
        <v>44868.0</v>
      </c>
      <c r="P1860" s="164">
        <f t="array" ref="P1860">XLOOKUP('FACUS$'!$B1860,'perfil de pagos'!$A$4:$A$46,'perfil de pagos'!$C$4:$C$46+'FACUS$'!$D1860)</f>
        <v>44862</v>
      </c>
      <c r="Q1860" s="165">
        <f t="shared" si="2"/>
        <v>0</v>
      </c>
      <c r="R1860" s="167"/>
      <c r="S1860" s="167">
        <v>1694.0</v>
      </c>
      <c r="T1860" s="167"/>
      <c r="U1860" s="334" t="s">
        <v>7271</v>
      </c>
      <c r="V1860" s="168">
        <f t="shared" si="3"/>
        <v>10186.7952</v>
      </c>
      <c r="W1860" s="168">
        <f t="shared" si="4"/>
        <v>0</v>
      </c>
      <c r="X1860" s="168">
        <f t="shared" si="5"/>
        <v>0</v>
      </c>
      <c r="Y1860" s="168">
        <f t="shared" si="6"/>
        <v>0</v>
      </c>
      <c r="Z1860" s="168">
        <f t="shared" si="7"/>
        <v>0</v>
      </c>
      <c r="AA1860" s="168">
        <f t="shared" si="8"/>
        <v>0</v>
      </c>
      <c r="AB1860" s="168">
        <f t="shared" si="9"/>
        <v>0</v>
      </c>
    </row>
    <row r="1861" ht="15.0" customHeight="1">
      <c r="A1861" s="157" t="s">
        <v>9127</v>
      </c>
      <c r="B1861" s="169" t="s">
        <v>17</v>
      </c>
      <c r="C1861" s="169" t="s">
        <v>4319</v>
      </c>
      <c r="D1861" s="317">
        <v>44852.0</v>
      </c>
      <c r="E1861" s="157" t="s">
        <v>600</v>
      </c>
      <c r="F1861" s="160">
        <v>7301.13</v>
      </c>
      <c r="G1861" s="160">
        <f>'FACUS$'!$F1861*0.16</f>
        <v>1168.1808</v>
      </c>
      <c r="H1861" s="160">
        <f t="shared" si="62"/>
        <v>8469.3108</v>
      </c>
      <c r="I1861" s="172"/>
      <c r="J1861" s="169"/>
      <c r="K1861" s="172"/>
      <c r="L1861" s="172">
        <f>+'FACUS$'!$H1861-'FACUS$'!$I1861-'FACUS$'!$K1861</f>
        <v>8469.3108</v>
      </c>
      <c r="M1861" s="162" t="s">
        <v>17</v>
      </c>
      <c r="N1861" s="337" t="s">
        <v>554</v>
      </c>
      <c r="O1861" s="338">
        <v>44868.0</v>
      </c>
      <c r="P1861" s="164">
        <f t="array" ref="P1861">XLOOKUP('FACUS$'!$B1861,'perfil de pagos'!$A$4:$A$46,'perfil de pagos'!$C$4:$C$46+'FACUS$'!$D1861)</f>
        <v>44862</v>
      </c>
      <c r="Q1861" s="165">
        <f t="shared" si="2"/>
        <v>0</v>
      </c>
      <c r="R1861" s="167"/>
      <c r="S1861" s="167">
        <v>1693.0</v>
      </c>
      <c r="T1861" s="167"/>
      <c r="U1861" s="334" t="s">
        <v>7271</v>
      </c>
      <c r="V1861" s="168">
        <f t="shared" si="3"/>
        <v>8469.3108</v>
      </c>
      <c r="W1861" s="168">
        <f t="shared" si="4"/>
        <v>0</v>
      </c>
      <c r="X1861" s="168">
        <f t="shared" si="5"/>
        <v>0</v>
      </c>
      <c r="Y1861" s="168">
        <f t="shared" si="6"/>
        <v>0</v>
      </c>
      <c r="Z1861" s="168">
        <f t="shared" si="7"/>
        <v>0</v>
      </c>
      <c r="AA1861" s="168">
        <f t="shared" si="8"/>
        <v>0</v>
      </c>
      <c r="AB1861" s="168">
        <f t="shared" si="9"/>
        <v>0</v>
      </c>
    </row>
    <row r="1862" ht="15.0" customHeight="1">
      <c r="A1862" s="157" t="s">
        <v>9128</v>
      </c>
      <c r="B1862" s="169" t="s">
        <v>15</v>
      </c>
      <c r="C1862" s="169" t="s">
        <v>4319</v>
      </c>
      <c r="D1862" s="317">
        <v>44852.0</v>
      </c>
      <c r="E1862" s="157" t="s">
        <v>600</v>
      </c>
      <c r="F1862" s="160">
        <v>28514.89</v>
      </c>
      <c r="G1862" s="160">
        <f>'FACUS$'!$F1862*0.16</f>
        <v>4562.3824</v>
      </c>
      <c r="H1862" s="160">
        <f t="shared" si="62"/>
        <v>33077.2724</v>
      </c>
      <c r="I1862" s="172"/>
      <c r="J1862" s="169"/>
      <c r="K1862" s="172"/>
      <c r="L1862" s="172">
        <f>+'FACUS$'!$H1862-'FACUS$'!$I1862-'FACUS$'!$K1862</f>
        <v>33077.2724</v>
      </c>
      <c r="M1862" s="162" t="s">
        <v>443</v>
      </c>
      <c r="N1862" s="337" t="s">
        <v>554</v>
      </c>
      <c r="O1862" s="338">
        <v>44868.0</v>
      </c>
      <c r="P1862" s="164">
        <f t="array" ref="P1862">XLOOKUP('FACUS$'!$B1862,'perfil de pagos'!$A$4:$A$46,'perfil de pagos'!$C$4:$C$46+'FACUS$'!$D1862)</f>
        <v>44862</v>
      </c>
      <c r="Q1862" s="165">
        <f t="shared" si="2"/>
        <v>0</v>
      </c>
      <c r="R1862" s="167"/>
      <c r="S1862" s="167">
        <v>1692.0</v>
      </c>
      <c r="T1862" s="167"/>
      <c r="U1862" s="334" t="s">
        <v>7271</v>
      </c>
      <c r="V1862" s="168">
        <f t="shared" si="3"/>
        <v>33077.2724</v>
      </c>
      <c r="W1862" s="168">
        <f t="shared" si="4"/>
        <v>0</v>
      </c>
      <c r="X1862" s="168">
        <f t="shared" si="5"/>
        <v>0</v>
      </c>
      <c r="Y1862" s="168">
        <f t="shared" si="6"/>
        <v>0</v>
      </c>
      <c r="Z1862" s="168">
        <f t="shared" si="7"/>
        <v>0</v>
      </c>
      <c r="AA1862" s="168">
        <f t="shared" si="8"/>
        <v>0</v>
      </c>
      <c r="AB1862" s="168">
        <f t="shared" si="9"/>
        <v>0</v>
      </c>
    </row>
    <row r="1863" ht="15.0" customHeight="1">
      <c r="A1863" s="157" t="s">
        <v>9129</v>
      </c>
      <c r="B1863" s="169" t="s">
        <v>21</v>
      </c>
      <c r="C1863" s="169" t="s">
        <v>4319</v>
      </c>
      <c r="D1863" s="317">
        <v>44852.0</v>
      </c>
      <c r="E1863" s="157" t="s">
        <v>600</v>
      </c>
      <c r="F1863" s="160">
        <v>659.36</v>
      </c>
      <c r="G1863" s="160">
        <f>'FACUS$'!$F1863*0.16</f>
        <v>105.4976</v>
      </c>
      <c r="H1863" s="160">
        <f t="shared" si="62"/>
        <v>764.8576</v>
      </c>
      <c r="I1863" s="172"/>
      <c r="J1863" s="169"/>
      <c r="K1863" s="172"/>
      <c r="L1863" s="172">
        <f>+'FACUS$'!$H1863-'FACUS$'!$I1863-'FACUS$'!$K1863</f>
        <v>764.8576</v>
      </c>
      <c r="M1863" s="162" t="s">
        <v>2263</v>
      </c>
      <c r="N1863" s="337" t="s">
        <v>554</v>
      </c>
      <c r="O1863" s="338">
        <v>44887.0</v>
      </c>
      <c r="P1863" s="164">
        <f t="array" ref="P1863">XLOOKUP('FACUS$'!$B1863,'perfil de pagos'!$A$4:$A$46,'perfil de pagos'!$C$4:$C$46+'FACUS$'!$D1863)</f>
        <v>44862</v>
      </c>
      <c r="Q1863" s="165">
        <f t="shared" si="2"/>
        <v>0</v>
      </c>
      <c r="R1863" s="167"/>
      <c r="S1863" s="167"/>
      <c r="T1863" s="167"/>
      <c r="U1863" s="334" t="s">
        <v>7271</v>
      </c>
      <c r="V1863" s="168">
        <f t="shared" si="3"/>
        <v>764.8576</v>
      </c>
      <c r="W1863" s="168">
        <f t="shared" si="4"/>
        <v>0</v>
      </c>
      <c r="X1863" s="168">
        <f t="shared" si="5"/>
        <v>0</v>
      </c>
      <c r="Y1863" s="168">
        <f t="shared" si="6"/>
        <v>0</v>
      </c>
      <c r="Z1863" s="168">
        <f t="shared" si="7"/>
        <v>0</v>
      </c>
      <c r="AA1863" s="168">
        <f t="shared" si="8"/>
        <v>0</v>
      </c>
      <c r="AB1863" s="168">
        <f t="shared" si="9"/>
        <v>0</v>
      </c>
    </row>
    <row r="1864" ht="15.0" customHeight="1">
      <c r="A1864" s="157" t="s">
        <v>9130</v>
      </c>
      <c r="B1864" s="169" t="s">
        <v>39</v>
      </c>
      <c r="C1864" s="169" t="s">
        <v>4289</v>
      </c>
      <c r="D1864" s="317">
        <v>44852.0</v>
      </c>
      <c r="E1864" s="157" t="s">
        <v>600</v>
      </c>
      <c r="F1864" s="160">
        <v>32357.4</v>
      </c>
      <c r="G1864" s="160">
        <f>'FACUS$'!$F1864*0.16</f>
        <v>5177.184</v>
      </c>
      <c r="H1864" s="160">
        <f t="shared" si="62"/>
        <v>37534.584</v>
      </c>
      <c r="I1864" s="172"/>
      <c r="J1864" s="169"/>
      <c r="K1864" s="172"/>
      <c r="L1864" s="172">
        <f>+'FACUS$'!$H1864-'FACUS$'!$I1864-'FACUS$'!$K1864</f>
        <v>37534.584</v>
      </c>
      <c r="M1864" s="162" t="s">
        <v>570</v>
      </c>
      <c r="N1864" s="337" t="s">
        <v>554</v>
      </c>
      <c r="O1864" s="338">
        <v>44862.0</v>
      </c>
      <c r="P1864" s="164">
        <f t="array" ref="P1864">XLOOKUP('FACUS$'!$B1864,'perfil de pagos'!$A$4:$A$46,'perfil de pagos'!$C$4:$C$46+'FACUS$'!$D1864)</f>
        <v>44862</v>
      </c>
      <c r="Q1864" s="165">
        <f t="shared" si="2"/>
        <v>0</v>
      </c>
      <c r="R1864" s="167"/>
      <c r="S1864" s="167">
        <v>1686.0</v>
      </c>
      <c r="T1864" s="167"/>
      <c r="U1864" s="334" t="s">
        <v>7271</v>
      </c>
      <c r="V1864" s="168">
        <f t="shared" si="3"/>
        <v>37534.584</v>
      </c>
      <c r="W1864" s="168">
        <f t="shared" si="4"/>
        <v>0</v>
      </c>
      <c r="X1864" s="168">
        <f t="shared" si="5"/>
        <v>0</v>
      </c>
      <c r="Y1864" s="168">
        <f t="shared" si="6"/>
        <v>0</v>
      </c>
      <c r="Z1864" s="168">
        <f t="shared" si="7"/>
        <v>0</v>
      </c>
      <c r="AA1864" s="168">
        <f t="shared" si="8"/>
        <v>0</v>
      </c>
      <c r="AB1864" s="168">
        <f t="shared" si="9"/>
        <v>0</v>
      </c>
    </row>
    <row r="1865" ht="15.0" customHeight="1">
      <c r="A1865" s="157" t="s">
        <v>9131</v>
      </c>
      <c r="B1865" s="169" t="s">
        <v>39</v>
      </c>
      <c r="C1865" s="169" t="s">
        <v>4319</v>
      </c>
      <c r="D1865" s="317">
        <v>44852.0</v>
      </c>
      <c r="E1865" s="157" t="s">
        <v>600</v>
      </c>
      <c r="F1865" s="160">
        <v>18751.68</v>
      </c>
      <c r="G1865" s="160">
        <f>'FACUS$'!$F1865*0.16</f>
        <v>3000.2688</v>
      </c>
      <c r="H1865" s="160">
        <f t="shared" si="62"/>
        <v>21751.9488</v>
      </c>
      <c r="I1865" s="172"/>
      <c r="J1865" s="169"/>
      <c r="K1865" s="172"/>
      <c r="L1865" s="172">
        <f>+'FACUS$'!$H1865-'FACUS$'!$I1865-'FACUS$'!$K1865</f>
        <v>21751.9488</v>
      </c>
      <c r="M1865" s="162" t="s">
        <v>570</v>
      </c>
      <c r="N1865" s="337" t="s">
        <v>554</v>
      </c>
      <c r="O1865" s="338">
        <v>44862.0</v>
      </c>
      <c r="P1865" s="164">
        <f t="array" ref="P1865">XLOOKUP('FACUS$'!$B1865,'perfil de pagos'!$A$4:$A$46,'perfil de pagos'!$C$4:$C$46+'FACUS$'!$D1865)</f>
        <v>44862</v>
      </c>
      <c r="Q1865" s="165">
        <f t="shared" si="2"/>
        <v>0</v>
      </c>
      <c r="R1865" s="167"/>
      <c r="S1865" s="167">
        <v>1686.0</v>
      </c>
      <c r="T1865" s="167"/>
      <c r="U1865" s="334" t="s">
        <v>7271</v>
      </c>
      <c r="V1865" s="168">
        <f t="shared" si="3"/>
        <v>21751.9488</v>
      </c>
      <c r="W1865" s="168">
        <f t="shared" si="4"/>
        <v>0</v>
      </c>
      <c r="X1865" s="168">
        <f t="shared" si="5"/>
        <v>0</v>
      </c>
      <c r="Y1865" s="168">
        <f t="shared" si="6"/>
        <v>0</v>
      </c>
      <c r="Z1865" s="168">
        <f t="shared" si="7"/>
        <v>0</v>
      </c>
      <c r="AA1865" s="168">
        <f t="shared" si="8"/>
        <v>0</v>
      </c>
      <c r="AB1865" s="168">
        <f t="shared" si="9"/>
        <v>0</v>
      </c>
    </row>
    <row r="1866" ht="15.0" customHeight="1">
      <c r="A1866" s="157" t="s">
        <v>9132</v>
      </c>
      <c r="B1866" s="169" t="s">
        <v>33</v>
      </c>
      <c r="C1866" s="169" t="s">
        <v>4319</v>
      </c>
      <c r="D1866" s="317">
        <v>44852.0</v>
      </c>
      <c r="E1866" s="157" t="s">
        <v>600</v>
      </c>
      <c r="F1866" s="160">
        <v>37911.12</v>
      </c>
      <c r="G1866" s="160">
        <f>'FACUS$'!$F1866*0.16</f>
        <v>6065.7792</v>
      </c>
      <c r="H1866" s="160">
        <f t="shared" si="62"/>
        <v>43976.8992</v>
      </c>
      <c r="I1866" s="172"/>
      <c r="J1866" s="169"/>
      <c r="K1866" s="172"/>
      <c r="L1866" s="172">
        <f>+'FACUS$'!$H1866-'FACUS$'!$I1866-'FACUS$'!$K1866</f>
        <v>43976.8992</v>
      </c>
      <c r="M1866" s="162" t="s">
        <v>958</v>
      </c>
      <c r="N1866" s="337" t="s">
        <v>554</v>
      </c>
      <c r="O1866" s="338">
        <v>44897.0</v>
      </c>
      <c r="P1866" s="164">
        <f t="array" ref="P1866">XLOOKUP('FACUS$'!$B1866,'perfil de pagos'!$A$4:$A$46,'perfil de pagos'!$C$4:$C$46+'FACUS$'!$D1866)</f>
        <v>44862</v>
      </c>
      <c r="Q1866" s="165">
        <f t="shared" si="2"/>
        <v>0</v>
      </c>
      <c r="R1866" s="167"/>
      <c r="S1866" s="167">
        <v>1782.0</v>
      </c>
      <c r="T1866" s="167"/>
      <c r="U1866" s="334" t="s">
        <v>7271</v>
      </c>
      <c r="V1866" s="168">
        <f t="shared" si="3"/>
        <v>43976.8992</v>
      </c>
      <c r="W1866" s="168">
        <f t="shared" si="4"/>
        <v>0</v>
      </c>
      <c r="X1866" s="168">
        <f t="shared" si="5"/>
        <v>0</v>
      </c>
      <c r="Y1866" s="168">
        <f t="shared" si="6"/>
        <v>0</v>
      </c>
      <c r="Z1866" s="168">
        <f t="shared" si="7"/>
        <v>0</v>
      </c>
      <c r="AA1866" s="168">
        <f t="shared" si="8"/>
        <v>0</v>
      </c>
      <c r="AB1866" s="168">
        <f t="shared" si="9"/>
        <v>0</v>
      </c>
    </row>
    <row r="1867" ht="15.0" customHeight="1">
      <c r="A1867" s="157" t="s">
        <v>9133</v>
      </c>
      <c r="B1867" s="169" t="s">
        <v>35</v>
      </c>
      <c r="C1867" s="169" t="s">
        <v>4319</v>
      </c>
      <c r="D1867" s="317">
        <v>44852.0</v>
      </c>
      <c r="E1867" s="157" t="s">
        <v>600</v>
      </c>
      <c r="F1867" s="160">
        <v>5389.75</v>
      </c>
      <c r="G1867" s="160">
        <f>'FACUS$'!$F1867*0.16</f>
        <v>862.36</v>
      </c>
      <c r="H1867" s="160">
        <f t="shared" si="62"/>
        <v>6252.11</v>
      </c>
      <c r="I1867" s="172"/>
      <c r="J1867" s="169"/>
      <c r="K1867" s="172"/>
      <c r="L1867" s="172">
        <f>+'FACUS$'!$H1867-'FACUS$'!$I1867-'FACUS$'!$K1867</f>
        <v>6252.11</v>
      </c>
      <c r="M1867" s="162" t="s">
        <v>276</v>
      </c>
      <c r="N1867" s="337" t="s">
        <v>554</v>
      </c>
      <c r="O1867" s="338">
        <v>44911.0</v>
      </c>
      <c r="P1867" s="164">
        <f t="array" ref="P1867">XLOOKUP('FACUS$'!$B1867,'perfil de pagos'!$A$4:$A$46,'perfil de pagos'!$C$4:$C$46+'FACUS$'!$D1867)</f>
        <v>44862</v>
      </c>
      <c r="Q1867" s="165">
        <f t="shared" si="2"/>
        <v>0</v>
      </c>
      <c r="R1867" s="167"/>
      <c r="S1867" s="167">
        <v>1836.0</v>
      </c>
      <c r="T1867" s="167"/>
      <c r="U1867" s="334" t="s">
        <v>7271</v>
      </c>
      <c r="V1867" s="168">
        <f t="shared" si="3"/>
        <v>6252.11</v>
      </c>
      <c r="W1867" s="168">
        <f t="shared" si="4"/>
        <v>0</v>
      </c>
      <c r="X1867" s="168">
        <f t="shared" si="5"/>
        <v>0</v>
      </c>
      <c r="Y1867" s="168">
        <f t="shared" si="6"/>
        <v>0</v>
      </c>
      <c r="Z1867" s="168">
        <f t="shared" si="7"/>
        <v>0</v>
      </c>
      <c r="AA1867" s="168">
        <f t="shared" si="8"/>
        <v>0</v>
      </c>
      <c r="AB1867" s="168">
        <f t="shared" si="9"/>
        <v>0</v>
      </c>
    </row>
    <row r="1868" ht="15.0" customHeight="1">
      <c r="A1868" s="157" t="s">
        <v>9134</v>
      </c>
      <c r="B1868" s="169" t="s">
        <v>36</v>
      </c>
      <c r="C1868" s="169" t="s">
        <v>4319</v>
      </c>
      <c r="D1868" s="317">
        <v>44852.0</v>
      </c>
      <c r="E1868" s="157" t="s">
        <v>600</v>
      </c>
      <c r="F1868" s="160">
        <v>2267.64</v>
      </c>
      <c r="G1868" s="160">
        <f>'FACUS$'!$F1868*0.16</f>
        <v>362.8224</v>
      </c>
      <c r="H1868" s="160">
        <f t="shared" si="62"/>
        <v>2630.4624</v>
      </c>
      <c r="I1868" s="172"/>
      <c r="J1868" s="169"/>
      <c r="K1868" s="172"/>
      <c r="L1868" s="172">
        <f>+'FACUS$'!$H1868-'FACUS$'!$I1868-'FACUS$'!$K1868</f>
        <v>2630.4624</v>
      </c>
      <c r="M1868" s="162" t="s">
        <v>278</v>
      </c>
      <c r="N1868" s="337" t="s">
        <v>554</v>
      </c>
      <c r="O1868" s="338">
        <v>44865.0</v>
      </c>
      <c r="P1868" s="164">
        <f t="array" ref="P1868">XLOOKUP('FACUS$'!$B1868,'perfil de pagos'!$A$4:$A$46,'perfil de pagos'!$C$4:$C$46+'FACUS$'!$D1868)</f>
        <v>44862</v>
      </c>
      <c r="Q1868" s="165">
        <f t="shared" si="2"/>
        <v>0</v>
      </c>
      <c r="R1868" s="220" t="s">
        <v>9135</v>
      </c>
      <c r="S1868" s="167">
        <v>1679.0</v>
      </c>
      <c r="T1868" s="167"/>
      <c r="U1868" s="334" t="s">
        <v>7271</v>
      </c>
      <c r="V1868" s="168">
        <f t="shared" si="3"/>
        <v>2630.4624</v>
      </c>
      <c r="W1868" s="168">
        <f t="shared" si="4"/>
        <v>0</v>
      </c>
      <c r="X1868" s="168">
        <f t="shared" si="5"/>
        <v>0</v>
      </c>
      <c r="Y1868" s="168">
        <f t="shared" si="6"/>
        <v>0</v>
      </c>
      <c r="Z1868" s="168">
        <f t="shared" si="7"/>
        <v>0</v>
      </c>
      <c r="AA1868" s="168">
        <f t="shared" si="8"/>
        <v>0</v>
      </c>
      <c r="AB1868" s="168">
        <f t="shared" si="9"/>
        <v>0</v>
      </c>
    </row>
    <row r="1869" ht="15.0" customHeight="1">
      <c r="A1869" s="210" t="s">
        <v>9136</v>
      </c>
      <c r="B1869" s="189" t="s">
        <v>31</v>
      </c>
      <c r="C1869" s="189" t="s">
        <v>4319</v>
      </c>
      <c r="D1869" s="388">
        <v>44852.0</v>
      </c>
      <c r="E1869" s="210" t="s">
        <v>600</v>
      </c>
      <c r="F1869" s="211">
        <v>8658.43</v>
      </c>
      <c r="G1869" s="211">
        <f>'FACUS$'!$F1869*0.16</f>
        <v>1385.3488</v>
      </c>
      <c r="H1869" s="211">
        <f t="shared" si="62"/>
        <v>10043.7788</v>
      </c>
      <c r="I1869" s="188"/>
      <c r="J1869" s="189"/>
      <c r="K1869" s="188"/>
      <c r="L1869" s="188">
        <f>+'FACUS$'!$H1869-'FACUS$'!$I1869-'FACUS$'!$K1869</f>
        <v>10043.7788</v>
      </c>
      <c r="M1869" s="227" t="s">
        <v>3183</v>
      </c>
      <c r="N1869" s="376" t="s">
        <v>127</v>
      </c>
      <c r="O1869" s="377"/>
      <c r="P1869" s="245">
        <f t="array" ref="P1869">XLOOKUP('FACUS$'!$B1869,'perfil de pagos'!$A$4:$A$46,'perfil de pagos'!$C$4:$C$46+'FACUS$'!$D1869)</f>
        <v>44855</v>
      </c>
      <c r="Q1869" s="246" t="str">
        <f t="shared" si="2"/>
        <v>N/A</v>
      </c>
      <c r="R1869" s="223" t="s">
        <v>4297</v>
      </c>
      <c r="S1869" s="223"/>
      <c r="T1869" s="223"/>
      <c r="U1869" s="378" t="s">
        <v>7271</v>
      </c>
      <c r="V1869" s="168">
        <f t="shared" si="3"/>
        <v>0</v>
      </c>
      <c r="W1869" s="168">
        <f t="shared" si="4"/>
        <v>0</v>
      </c>
      <c r="X1869" s="168">
        <f t="shared" si="5"/>
        <v>0</v>
      </c>
      <c r="Y1869" s="168">
        <f t="shared" si="6"/>
        <v>0</v>
      </c>
      <c r="Z1869" s="168">
        <f t="shared" si="7"/>
        <v>0</v>
      </c>
      <c r="AA1869" s="168">
        <f t="shared" si="8"/>
        <v>0</v>
      </c>
      <c r="AB1869" s="168">
        <f t="shared" si="9"/>
        <v>10043.7788</v>
      </c>
      <c r="AC1869" s="81"/>
      <c r="AD1869" s="81"/>
      <c r="AE1869" s="81"/>
    </row>
    <row r="1870" ht="15.0" customHeight="1">
      <c r="A1870" s="157" t="s">
        <v>9137</v>
      </c>
      <c r="B1870" s="169" t="s">
        <v>41</v>
      </c>
      <c r="C1870" s="169" t="s">
        <v>4319</v>
      </c>
      <c r="D1870" s="317">
        <v>44852.0</v>
      </c>
      <c r="E1870" s="157" t="s">
        <v>600</v>
      </c>
      <c r="F1870" s="160">
        <v>29102.52</v>
      </c>
      <c r="G1870" s="160">
        <f>'FACUS$'!$F1870*0.16</f>
        <v>4656.4032</v>
      </c>
      <c r="H1870" s="160">
        <f t="shared" si="62"/>
        <v>33758.9232</v>
      </c>
      <c r="I1870" s="172"/>
      <c r="J1870" s="169"/>
      <c r="K1870" s="172"/>
      <c r="L1870" s="172">
        <f>+'FACUS$'!$H1870-'FACUS$'!$I1870-'FACUS$'!$K1870</f>
        <v>33758.9232</v>
      </c>
      <c r="M1870" s="162" t="s">
        <v>875</v>
      </c>
      <c r="N1870" s="337" t="s">
        <v>554</v>
      </c>
      <c r="O1870" s="338">
        <v>44900.0</v>
      </c>
      <c r="P1870" s="164">
        <f t="array" ref="P1870">XLOOKUP('FACUS$'!$B1870,'perfil de pagos'!$A$4:$A$46,'perfil de pagos'!$C$4:$C$46+'FACUS$'!$D1870)</f>
        <v>44862</v>
      </c>
      <c r="Q1870" s="165">
        <f t="shared" si="2"/>
        <v>0</v>
      </c>
      <c r="R1870" s="167"/>
      <c r="S1870" s="167">
        <v>1784.0</v>
      </c>
      <c r="T1870" s="167"/>
      <c r="U1870" s="334" t="s">
        <v>7271</v>
      </c>
      <c r="V1870" s="168">
        <f t="shared" si="3"/>
        <v>33758.9232</v>
      </c>
      <c r="W1870" s="168">
        <f t="shared" si="4"/>
        <v>0</v>
      </c>
      <c r="X1870" s="168">
        <f t="shared" si="5"/>
        <v>0</v>
      </c>
      <c r="Y1870" s="168">
        <f t="shared" si="6"/>
        <v>0</v>
      </c>
      <c r="Z1870" s="168">
        <f t="shared" si="7"/>
        <v>0</v>
      </c>
      <c r="AA1870" s="168">
        <f t="shared" si="8"/>
        <v>0</v>
      </c>
      <c r="AB1870" s="168">
        <f t="shared" si="9"/>
        <v>0</v>
      </c>
    </row>
    <row r="1871" ht="15.0" customHeight="1">
      <c r="A1871" s="157" t="s">
        <v>9138</v>
      </c>
      <c r="B1871" s="169" t="s">
        <v>42</v>
      </c>
      <c r="C1871" s="169" t="s">
        <v>4319</v>
      </c>
      <c r="D1871" s="317">
        <v>44852.0</v>
      </c>
      <c r="E1871" s="157" t="s">
        <v>600</v>
      </c>
      <c r="F1871" s="160">
        <v>5834.99</v>
      </c>
      <c r="G1871" s="160">
        <f>'FACUS$'!$F1871*0.16</f>
        <v>933.5984</v>
      </c>
      <c r="H1871" s="160">
        <f t="shared" si="62"/>
        <v>6768.5884</v>
      </c>
      <c r="I1871" s="172"/>
      <c r="J1871" s="169"/>
      <c r="K1871" s="172"/>
      <c r="L1871" s="172">
        <f>+'FACUS$'!$H1871-'FACUS$'!$I1871-'FACUS$'!$K1871</f>
        <v>6768.5884</v>
      </c>
      <c r="M1871" s="162" t="s">
        <v>42</v>
      </c>
      <c r="N1871" s="337" t="s">
        <v>554</v>
      </c>
      <c r="O1871" s="338">
        <v>44861.0</v>
      </c>
      <c r="P1871" s="164">
        <f t="array" ref="P1871">XLOOKUP('FACUS$'!$B1871,'perfil de pagos'!$A$4:$A$46,'perfil de pagos'!$C$4:$C$46+'FACUS$'!$D1871)</f>
        <v>44862</v>
      </c>
      <c r="Q1871" s="165">
        <f t="shared" si="2"/>
        <v>0</v>
      </c>
      <c r="R1871" s="167"/>
      <c r="S1871" s="167">
        <v>1678.0</v>
      </c>
      <c r="T1871" s="167"/>
      <c r="U1871" s="334" t="s">
        <v>7271</v>
      </c>
      <c r="V1871" s="168">
        <f t="shared" si="3"/>
        <v>6768.5884</v>
      </c>
      <c r="W1871" s="168">
        <f t="shared" si="4"/>
        <v>0</v>
      </c>
      <c r="X1871" s="168">
        <f t="shared" si="5"/>
        <v>0</v>
      </c>
      <c r="Y1871" s="168">
        <f t="shared" si="6"/>
        <v>0</v>
      </c>
      <c r="Z1871" s="168">
        <f t="shared" si="7"/>
        <v>0</v>
      </c>
      <c r="AA1871" s="168">
        <f t="shared" si="8"/>
        <v>0</v>
      </c>
      <c r="AB1871" s="168">
        <f t="shared" si="9"/>
        <v>0</v>
      </c>
    </row>
    <row r="1872" ht="15.0" customHeight="1">
      <c r="A1872" s="210" t="s">
        <v>9139</v>
      </c>
      <c r="B1872" s="189" t="s">
        <v>43</v>
      </c>
      <c r="C1872" s="189" t="s">
        <v>4319</v>
      </c>
      <c r="D1872" s="388">
        <v>44852.0</v>
      </c>
      <c r="E1872" s="210" t="s">
        <v>600</v>
      </c>
      <c r="F1872" s="211">
        <v>318832.47</v>
      </c>
      <c r="G1872" s="211">
        <f>'FACUS$'!$F1872*0.16</f>
        <v>51013.1952</v>
      </c>
      <c r="H1872" s="211">
        <f t="shared" si="62"/>
        <v>369845.6652</v>
      </c>
      <c r="I1872" s="188"/>
      <c r="J1872" s="189"/>
      <c r="K1872" s="188"/>
      <c r="L1872" s="188">
        <f>+'FACUS$'!$H1872-'FACUS$'!$I1872-'FACUS$'!$K1872</f>
        <v>369845.6652</v>
      </c>
      <c r="M1872" s="227" t="s">
        <v>43</v>
      </c>
      <c r="N1872" s="376" t="s">
        <v>127</v>
      </c>
      <c r="O1872" s="377"/>
      <c r="P1872" s="245">
        <f t="array" ref="P1872">XLOOKUP('FACUS$'!$B1872,'perfil de pagos'!$A$4:$A$46,'perfil de pagos'!$C$4:$C$46+'FACUS$'!$D1872)</f>
        <v>44877</v>
      </c>
      <c r="Q1872" s="246" t="str">
        <f t="shared" si="2"/>
        <v>N/A</v>
      </c>
      <c r="R1872" s="223" t="s">
        <v>9140</v>
      </c>
      <c r="S1872" s="223"/>
      <c r="T1872" s="223"/>
      <c r="U1872" s="378" t="s">
        <v>7271</v>
      </c>
      <c r="V1872" s="168">
        <f t="shared" si="3"/>
        <v>0</v>
      </c>
      <c r="W1872" s="168">
        <f t="shared" si="4"/>
        <v>0</v>
      </c>
      <c r="X1872" s="168">
        <f t="shared" si="5"/>
        <v>0</v>
      </c>
      <c r="Y1872" s="168">
        <f t="shared" si="6"/>
        <v>0</v>
      </c>
      <c r="Z1872" s="168">
        <f t="shared" si="7"/>
        <v>0</v>
      </c>
      <c r="AA1872" s="168">
        <f t="shared" si="8"/>
        <v>0</v>
      </c>
      <c r="AB1872" s="168">
        <f t="shared" si="9"/>
        <v>369845.6652</v>
      </c>
      <c r="AC1872" s="81"/>
      <c r="AD1872" s="81"/>
      <c r="AE1872" s="81"/>
    </row>
    <row r="1873" ht="15.0" customHeight="1">
      <c r="A1873" s="157" t="s">
        <v>9141</v>
      </c>
      <c r="B1873" s="169" t="s">
        <v>44</v>
      </c>
      <c r="C1873" s="169" t="s">
        <v>4319</v>
      </c>
      <c r="D1873" s="317">
        <v>44852.0</v>
      </c>
      <c r="E1873" s="157" t="s">
        <v>600</v>
      </c>
      <c r="F1873" s="160">
        <v>12362.66</v>
      </c>
      <c r="G1873" s="160">
        <f>'FACUS$'!$F1873*0.16</f>
        <v>1978.0256</v>
      </c>
      <c r="H1873" s="160">
        <f t="shared" si="62"/>
        <v>14340.6856</v>
      </c>
      <c r="I1873" s="172"/>
      <c r="J1873" s="169"/>
      <c r="K1873" s="172"/>
      <c r="L1873" s="172">
        <f>+'FACUS$'!$H1873-'FACUS$'!$I1873-'FACUS$'!$K1873</f>
        <v>14340.6856</v>
      </c>
      <c r="M1873" s="162" t="s">
        <v>361</v>
      </c>
      <c r="N1873" s="337" t="s">
        <v>554</v>
      </c>
      <c r="O1873" s="338">
        <v>44861.0</v>
      </c>
      <c r="P1873" s="164">
        <f t="array" ref="P1873">XLOOKUP('FACUS$'!$B1873,'perfil de pagos'!$A$4:$A$46,'perfil de pagos'!$C$4:$C$46+'FACUS$'!$D1873)</f>
        <v>44862</v>
      </c>
      <c r="Q1873" s="165">
        <f t="shared" si="2"/>
        <v>0</v>
      </c>
      <c r="R1873" s="167"/>
      <c r="S1873" s="167">
        <v>1677.0</v>
      </c>
      <c r="T1873" s="167"/>
      <c r="U1873" s="334" t="s">
        <v>7271</v>
      </c>
      <c r="V1873" s="168">
        <f t="shared" si="3"/>
        <v>14340.6856</v>
      </c>
      <c r="W1873" s="168">
        <f t="shared" si="4"/>
        <v>0</v>
      </c>
      <c r="X1873" s="168">
        <f t="shared" si="5"/>
        <v>0</v>
      </c>
      <c r="Y1873" s="168">
        <f t="shared" si="6"/>
        <v>0</v>
      </c>
      <c r="Z1873" s="168">
        <f t="shared" si="7"/>
        <v>0</v>
      </c>
      <c r="AA1873" s="168">
        <f t="shared" si="8"/>
        <v>0</v>
      </c>
      <c r="AB1873" s="168">
        <f t="shared" si="9"/>
        <v>0</v>
      </c>
    </row>
    <row r="1874" ht="15.0" customHeight="1">
      <c r="A1874" s="157" t="s">
        <v>9142</v>
      </c>
      <c r="B1874" s="169" t="s">
        <v>31</v>
      </c>
      <c r="C1874" s="169" t="s">
        <v>9143</v>
      </c>
      <c r="D1874" s="317">
        <v>44853.0</v>
      </c>
      <c r="E1874" s="157" t="s">
        <v>600</v>
      </c>
      <c r="F1874" s="160">
        <v>8658.43</v>
      </c>
      <c r="G1874" s="160">
        <f>'FACUS$'!$F1874*0.16</f>
        <v>1385.3488</v>
      </c>
      <c r="H1874" s="160">
        <f t="shared" si="62"/>
        <v>10043.7788</v>
      </c>
      <c r="I1874" s="172"/>
      <c r="J1874" s="169"/>
      <c r="K1874" s="172"/>
      <c r="L1874" s="172">
        <f>+'FACUS$'!$H1874-'FACUS$'!$I1874-'FACUS$'!$K1874</f>
        <v>10043.7788</v>
      </c>
      <c r="M1874" s="162" t="s">
        <v>3183</v>
      </c>
      <c r="N1874" s="337" t="s">
        <v>554</v>
      </c>
      <c r="O1874" s="338">
        <v>44855.0</v>
      </c>
      <c r="P1874" s="164">
        <f t="array" ref="P1874">XLOOKUP('FACUS$'!$B1874,'perfil de pagos'!$A$4:$A$46,'perfil de pagos'!$C$4:$C$46+'FACUS$'!$D1874)</f>
        <v>44856</v>
      </c>
      <c r="Q1874" s="165">
        <f t="shared" si="2"/>
        <v>0</v>
      </c>
      <c r="R1874" s="167"/>
      <c r="S1874" s="167">
        <v>1660.0</v>
      </c>
      <c r="T1874" s="167"/>
      <c r="U1874" s="334" t="s">
        <v>7271</v>
      </c>
      <c r="V1874" s="168">
        <f t="shared" si="3"/>
        <v>10043.7788</v>
      </c>
      <c r="W1874" s="168">
        <f t="shared" si="4"/>
        <v>0</v>
      </c>
      <c r="X1874" s="168">
        <f t="shared" si="5"/>
        <v>0</v>
      </c>
      <c r="Y1874" s="168">
        <f t="shared" si="6"/>
        <v>0</v>
      </c>
      <c r="Z1874" s="168">
        <f t="shared" si="7"/>
        <v>0</v>
      </c>
      <c r="AA1874" s="168">
        <f t="shared" si="8"/>
        <v>0</v>
      </c>
      <c r="AB1874" s="168">
        <f t="shared" si="9"/>
        <v>0</v>
      </c>
    </row>
    <row r="1875" ht="15.0" customHeight="1">
      <c r="A1875" s="210" t="s">
        <v>9144</v>
      </c>
      <c r="B1875" s="189" t="s">
        <v>43</v>
      </c>
      <c r="C1875" s="189" t="s">
        <v>4319</v>
      </c>
      <c r="D1875" s="388">
        <v>44853.0</v>
      </c>
      <c r="E1875" s="210" t="s">
        <v>600</v>
      </c>
      <c r="F1875" s="211">
        <v>31832.47</v>
      </c>
      <c r="G1875" s="211">
        <f>'FACUS$'!$F1875*0.16</f>
        <v>5093.1952</v>
      </c>
      <c r="H1875" s="211">
        <f t="shared" si="62"/>
        <v>36925.6652</v>
      </c>
      <c r="I1875" s="188"/>
      <c r="J1875" s="189"/>
      <c r="K1875" s="188"/>
      <c r="L1875" s="188">
        <f>+'FACUS$'!$H1875-'FACUS$'!$I1875-'FACUS$'!$K1875</f>
        <v>36925.6652</v>
      </c>
      <c r="M1875" s="227" t="s">
        <v>43</v>
      </c>
      <c r="N1875" s="376" t="s">
        <v>127</v>
      </c>
      <c r="O1875" s="377"/>
      <c r="P1875" s="245">
        <f t="array" ref="P1875">XLOOKUP('FACUS$'!$B1875,'perfil de pagos'!$A$4:$A$46,'perfil de pagos'!$C$4:$C$46+'FACUS$'!$D1875)</f>
        <v>44878</v>
      </c>
      <c r="Q1875" s="246" t="str">
        <f t="shared" si="2"/>
        <v>N/A</v>
      </c>
      <c r="R1875" s="223" t="s">
        <v>9145</v>
      </c>
      <c r="S1875" s="223"/>
      <c r="T1875" s="223"/>
      <c r="U1875" s="378" t="s">
        <v>7271</v>
      </c>
      <c r="V1875" s="168">
        <f t="shared" si="3"/>
        <v>0</v>
      </c>
      <c r="W1875" s="168">
        <f t="shared" si="4"/>
        <v>0</v>
      </c>
      <c r="X1875" s="168">
        <f t="shared" si="5"/>
        <v>0</v>
      </c>
      <c r="Y1875" s="168">
        <f t="shared" si="6"/>
        <v>0</v>
      </c>
      <c r="Z1875" s="168">
        <f t="shared" si="7"/>
        <v>0</v>
      </c>
      <c r="AA1875" s="168">
        <f t="shared" si="8"/>
        <v>0</v>
      </c>
      <c r="AB1875" s="168">
        <f t="shared" si="9"/>
        <v>36925.6652</v>
      </c>
      <c r="AC1875" s="81"/>
      <c r="AD1875" s="81"/>
      <c r="AE1875" s="81"/>
    </row>
    <row r="1876" ht="15.0" customHeight="1">
      <c r="A1876" s="157" t="s">
        <v>9146</v>
      </c>
      <c r="B1876" s="169" t="s">
        <v>43</v>
      </c>
      <c r="C1876" s="169" t="s">
        <v>4319</v>
      </c>
      <c r="D1876" s="317">
        <v>44853.0</v>
      </c>
      <c r="E1876" s="157" t="s">
        <v>600</v>
      </c>
      <c r="F1876" s="160">
        <v>31832.47</v>
      </c>
      <c r="G1876" s="160">
        <f>'FACUS$'!$F1876*0.16</f>
        <v>5093.1952</v>
      </c>
      <c r="H1876" s="160">
        <f t="shared" si="62"/>
        <v>36925.6652</v>
      </c>
      <c r="I1876" s="172"/>
      <c r="J1876" s="169"/>
      <c r="K1876" s="172"/>
      <c r="L1876" s="172">
        <f>+'FACUS$'!$H1876-'FACUS$'!$I1876-'FACUS$'!$K1876</f>
        <v>36925.6652</v>
      </c>
      <c r="M1876" s="162" t="s">
        <v>43</v>
      </c>
      <c r="N1876" s="337" t="s">
        <v>554</v>
      </c>
      <c r="O1876" s="338">
        <v>44895.0</v>
      </c>
      <c r="P1876" s="164">
        <f t="array" ref="P1876">XLOOKUP('FACUS$'!$B1876,'perfil de pagos'!$A$4:$A$46,'perfil de pagos'!$C$4:$C$46+'FACUS$'!$D1876)</f>
        <v>44878</v>
      </c>
      <c r="Q1876" s="165">
        <f t="shared" si="2"/>
        <v>0</v>
      </c>
      <c r="R1876" s="167"/>
      <c r="S1876" s="167">
        <v>1770.0</v>
      </c>
      <c r="T1876" s="167"/>
      <c r="U1876" s="334" t="s">
        <v>7271</v>
      </c>
      <c r="V1876" s="168">
        <f t="shared" si="3"/>
        <v>36925.6652</v>
      </c>
      <c r="W1876" s="168">
        <f t="shared" si="4"/>
        <v>0</v>
      </c>
      <c r="X1876" s="168">
        <f t="shared" si="5"/>
        <v>0</v>
      </c>
      <c r="Y1876" s="168">
        <f t="shared" si="6"/>
        <v>0</v>
      </c>
      <c r="Z1876" s="168">
        <f t="shared" si="7"/>
        <v>0</v>
      </c>
      <c r="AA1876" s="168">
        <f t="shared" si="8"/>
        <v>0</v>
      </c>
      <c r="AB1876" s="168">
        <f t="shared" si="9"/>
        <v>0</v>
      </c>
    </row>
    <row r="1877" ht="15.0" customHeight="1">
      <c r="A1877" s="157" t="s">
        <v>9147</v>
      </c>
      <c r="B1877" s="169" t="s">
        <v>18</v>
      </c>
      <c r="C1877" s="169" t="s">
        <v>4319</v>
      </c>
      <c r="D1877" s="317">
        <v>44855.0</v>
      </c>
      <c r="E1877" s="157" t="s">
        <v>600</v>
      </c>
      <c r="F1877" s="160">
        <v>7938.87</v>
      </c>
      <c r="G1877" s="160">
        <f>'FACUS$'!$F1877*0.16</f>
        <v>1270.2192</v>
      </c>
      <c r="H1877" s="160">
        <f t="shared" si="62"/>
        <v>9209.0892</v>
      </c>
      <c r="I1877" s="172"/>
      <c r="J1877" s="169"/>
      <c r="K1877" s="172"/>
      <c r="L1877" s="172">
        <f>+'FACUS$'!$H1877-'FACUS$'!$I1877-'FACUS$'!$K1877</f>
        <v>9209.0892</v>
      </c>
      <c r="M1877" s="162" t="s">
        <v>586</v>
      </c>
      <c r="N1877" s="337" t="s">
        <v>554</v>
      </c>
      <c r="O1877" s="338">
        <v>44861.0</v>
      </c>
      <c r="P1877" s="164">
        <f t="array" ref="P1877">XLOOKUP('FACUS$'!$B1877,'perfil de pagos'!$A$4:$A$46,'perfil de pagos'!$C$4:$C$46+'FACUS$'!$D1877)</f>
        <v>44865</v>
      </c>
      <c r="Q1877" s="165">
        <f t="shared" si="2"/>
        <v>0</v>
      </c>
      <c r="R1877" s="167"/>
      <c r="S1877" s="167">
        <v>1671.0</v>
      </c>
      <c r="T1877" s="167"/>
      <c r="U1877" s="334" t="s">
        <v>7271</v>
      </c>
      <c r="V1877" s="168">
        <f t="shared" si="3"/>
        <v>9209.0892</v>
      </c>
      <c r="W1877" s="168">
        <f t="shared" si="4"/>
        <v>0</v>
      </c>
      <c r="X1877" s="168">
        <f t="shared" si="5"/>
        <v>0</v>
      </c>
      <c r="Y1877" s="168">
        <f t="shared" si="6"/>
        <v>0</v>
      </c>
      <c r="Z1877" s="168">
        <f t="shared" si="7"/>
        <v>0</v>
      </c>
      <c r="AA1877" s="168">
        <f t="shared" si="8"/>
        <v>0</v>
      </c>
      <c r="AB1877" s="168">
        <f t="shared" si="9"/>
        <v>0</v>
      </c>
    </row>
    <row r="1878" ht="15.0" customHeight="1">
      <c r="A1878" s="157" t="s">
        <v>9148</v>
      </c>
      <c r="B1878" s="169" t="s">
        <v>20</v>
      </c>
      <c r="C1878" s="169" t="s">
        <v>4319</v>
      </c>
      <c r="D1878" s="317">
        <v>44855.0</v>
      </c>
      <c r="E1878" s="157" t="s">
        <v>600</v>
      </c>
      <c r="F1878" s="160">
        <v>13178.65</v>
      </c>
      <c r="G1878" s="160">
        <f>'FACUS$'!$F1878*0.16</f>
        <v>2108.584</v>
      </c>
      <c r="H1878" s="160">
        <f t="shared" si="62"/>
        <v>15287.234</v>
      </c>
      <c r="I1878" s="172"/>
      <c r="J1878" s="169"/>
      <c r="K1878" s="172"/>
      <c r="L1878" s="172">
        <f>+'FACUS$'!$H1878-'FACUS$'!$I1878-'FACUS$'!$K1878</f>
        <v>15287.234</v>
      </c>
      <c r="M1878" s="162" t="s">
        <v>732</v>
      </c>
      <c r="N1878" s="337" t="s">
        <v>554</v>
      </c>
      <c r="O1878" s="338">
        <v>44861.0</v>
      </c>
      <c r="P1878" s="164">
        <f t="array" ref="P1878">XLOOKUP('FACUS$'!$B1878,'perfil de pagos'!$A$4:$A$46,'perfil de pagos'!$C$4:$C$46+'FACUS$'!$D1878)</f>
        <v>44865</v>
      </c>
      <c r="Q1878" s="165">
        <f t="shared" si="2"/>
        <v>0</v>
      </c>
      <c r="R1878" s="167"/>
      <c r="S1878" s="167"/>
      <c r="T1878" s="167"/>
      <c r="U1878" s="334" t="s">
        <v>7271</v>
      </c>
      <c r="V1878" s="168">
        <f t="shared" si="3"/>
        <v>15287.234</v>
      </c>
      <c r="W1878" s="168">
        <f t="shared" si="4"/>
        <v>0</v>
      </c>
      <c r="X1878" s="168">
        <f t="shared" si="5"/>
        <v>0</v>
      </c>
      <c r="Y1878" s="168">
        <f t="shared" si="6"/>
        <v>0</v>
      </c>
      <c r="Z1878" s="168">
        <f t="shared" si="7"/>
        <v>0</v>
      </c>
      <c r="AA1878" s="168">
        <f t="shared" si="8"/>
        <v>0</v>
      </c>
      <c r="AB1878" s="168">
        <f t="shared" si="9"/>
        <v>0</v>
      </c>
    </row>
    <row r="1879" ht="15.0" customHeight="1">
      <c r="A1879" s="157" t="s">
        <v>9149</v>
      </c>
      <c r="B1879" s="169" t="s">
        <v>22</v>
      </c>
      <c r="C1879" s="169" t="s">
        <v>4319</v>
      </c>
      <c r="D1879" s="317">
        <v>44855.0</v>
      </c>
      <c r="E1879" s="157" t="s">
        <v>600</v>
      </c>
      <c r="F1879" s="160">
        <v>11487.63</v>
      </c>
      <c r="G1879" s="160">
        <f>'FACUS$'!$F1879*0.16</f>
        <v>1838.0208</v>
      </c>
      <c r="H1879" s="160">
        <f t="shared" si="62"/>
        <v>13325.6508</v>
      </c>
      <c r="I1879" s="172"/>
      <c r="J1879" s="169"/>
      <c r="K1879" s="172"/>
      <c r="L1879" s="172">
        <f>+'FACUS$'!$H1879-'FACUS$'!$I1879-'FACUS$'!$K1879</f>
        <v>13325.6508</v>
      </c>
      <c r="M1879" s="162" t="s">
        <v>220</v>
      </c>
      <c r="N1879" s="337" t="s">
        <v>554</v>
      </c>
      <c r="O1879" s="338">
        <v>44904.0</v>
      </c>
      <c r="P1879" s="164">
        <f t="array" ref="P1879">XLOOKUP('FACUS$'!$B1879,'perfil de pagos'!$A$4:$A$46,'perfil de pagos'!$C$4:$C$46+'FACUS$'!$D1879)</f>
        <v>44865</v>
      </c>
      <c r="Q1879" s="165">
        <f t="shared" si="2"/>
        <v>0</v>
      </c>
      <c r="R1879" s="167"/>
      <c r="S1879" s="167">
        <v>1795.0</v>
      </c>
      <c r="T1879" s="167"/>
      <c r="U1879" s="334" t="s">
        <v>7271</v>
      </c>
      <c r="V1879" s="168">
        <f t="shared" si="3"/>
        <v>13325.6508</v>
      </c>
      <c r="W1879" s="168">
        <f t="shared" si="4"/>
        <v>0</v>
      </c>
      <c r="X1879" s="168">
        <f t="shared" si="5"/>
        <v>0</v>
      </c>
      <c r="Y1879" s="168">
        <f t="shared" si="6"/>
        <v>0</v>
      </c>
      <c r="Z1879" s="168">
        <f t="shared" si="7"/>
        <v>0</v>
      </c>
      <c r="AA1879" s="168">
        <f t="shared" si="8"/>
        <v>0</v>
      </c>
      <c r="AB1879" s="168">
        <f t="shared" si="9"/>
        <v>0</v>
      </c>
    </row>
    <row r="1880" ht="15.0" customHeight="1">
      <c r="A1880" s="157" t="s">
        <v>9150</v>
      </c>
      <c r="B1880" s="169" t="s">
        <v>38</v>
      </c>
      <c r="C1880" s="169" t="s">
        <v>4319</v>
      </c>
      <c r="D1880" s="317">
        <v>44858.0</v>
      </c>
      <c r="E1880" s="157" t="s">
        <v>600</v>
      </c>
      <c r="F1880" s="160">
        <v>9292.18</v>
      </c>
      <c r="G1880" s="160">
        <f>'FACUS$'!$F1880*0.16</f>
        <v>1486.7488</v>
      </c>
      <c r="H1880" s="160">
        <f t="shared" si="62"/>
        <v>10778.9288</v>
      </c>
      <c r="I1880" s="172"/>
      <c r="J1880" s="169"/>
      <c r="K1880" s="172"/>
      <c r="L1880" s="172">
        <f>+'FACUS$'!$H1880-'FACUS$'!$I1880-'FACUS$'!$K1880</f>
        <v>10778.9288</v>
      </c>
      <c r="M1880" s="162" t="s">
        <v>145</v>
      </c>
      <c r="N1880" s="337" t="s">
        <v>554</v>
      </c>
      <c r="O1880" s="338">
        <v>44889.0</v>
      </c>
      <c r="P1880" s="164">
        <f t="array" ref="P1880">XLOOKUP('FACUS$'!$B1880,'perfil de pagos'!$A$4:$A$46,'perfil de pagos'!$C$4:$C$46+'FACUS$'!$D1880)</f>
        <v>44888</v>
      </c>
      <c r="Q1880" s="165">
        <f t="shared" si="2"/>
        <v>0</v>
      </c>
      <c r="R1880" s="220" t="s">
        <v>9151</v>
      </c>
      <c r="S1880" s="167">
        <v>1765.0</v>
      </c>
      <c r="T1880" s="167"/>
      <c r="U1880" s="334" t="s">
        <v>7271</v>
      </c>
      <c r="V1880" s="168">
        <f t="shared" si="3"/>
        <v>10778.9288</v>
      </c>
      <c r="W1880" s="168">
        <f t="shared" si="4"/>
        <v>0</v>
      </c>
      <c r="X1880" s="168">
        <f t="shared" si="5"/>
        <v>0</v>
      </c>
      <c r="Y1880" s="168">
        <f t="shared" si="6"/>
        <v>0</v>
      </c>
      <c r="Z1880" s="168">
        <f t="shared" si="7"/>
        <v>0</v>
      </c>
      <c r="AA1880" s="168">
        <f t="shared" si="8"/>
        <v>0</v>
      </c>
      <c r="AB1880" s="168">
        <f t="shared" si="9"/>
        <v>0</v>
      </c>
    </row>
    <row r="1881" ht="15.0" customHeight="1">
      <c r="A1881" s="157" t="s">
        <v>9152</v>
      </c>
      <c r="B1881" s="169" t="s">
        <v>37</v>
      </c>
      <c r="C1881" s="169" t="s">
        <v>4319</v>
      </c>
      <c r="D1881" s="317">
        <v>44859.0</v>
      </c>
      <c r="E1881" s="157" t="s">
        <v>600</v>
      </c>
      <c r="F1881" s="160">
        <v>86644.3</v>
      </c>
      <c r="G1881" s="160">
        <f>'FACUS$'!$F1881*0.16</f>
        <v>13863.088</v>
      </c>
      <c r="H1881" s="160">
        <f t="shared" si="62"/>
        <v>100507.388</v>
      </c>
      <c r="I1881" s="172"/>
      <c r="J1881" s="169"/>
      <c r="K1881" s="172"/>
      <c r="L1881" s="172">
        <f>+'FACUS$'!$H1881-'FACUS$'!$I1881-'FACUS$'!$K1881</f>
        <v>100507.388</v>
      </c>
      <c r="M1881" s="162" t="s">
        <v>116</v>
      </c>
      <c r="N1881" s="337" t="s">
        <v>554</v>
      </c>
      <c r="O1881" s="338">
        <v>44872.0</v>
      </c>
      <c r="P1881" s="164">
        <f t="array" ref="P1881">XLOOKUP('FACUS$'!$B1881,'perfil de pagos'!$A$4:$A$46,'perfil de pagos'!$C$4:$C$46+'FACUS$'!$D1881)</f>
        <v>44869</v>
      </c>
      <c r="Q1881" s="165">
        <f t="shared" si="2"/>
        <v>0</v>
      </c>
      <c r="R1881" s="247" t="s">
        <v>9153</v>
      </c>
      <c r="S1881" s="167">
        <v>1700.0</v>
      </c>
      <c r="T1881" s="167"/>
      <c r="U1881" s="334" t="s">
        <v>7271</v>
      </c>
      <c r="V1881" s="168">
        <f t="shared" si="3"/>
        <v>100507.388</v>
      </c>
      <c r="W1881" s="168">
        <f t="shared" si="4"/>
        <v>0</v>
      </c>
      <c r="X1881" s="168">
        <f t="shared" si="5"/>
        <v>0</v>
      </c>
      <c r="Y1881" s="168">
        <f t="shared" si="6"/>
        <v>0</v>
      </c>
      <c r="Z1881" s="168">
        <f t="shared" si="7"/>
        <v>0</v>
      </c>
      <c r="AA1881" s="168">
        <f t="shared" si="8"/>
        <v>0</v>
      </c>
      <c r="AB1881" s="168">
        <f t="shared" si="9"/>
        <v>0</v>
      </c>
    </row>
    <row r="1882" ht="15.0" customHeight="1">
      <c r="A1882" s="157" t="s">
        <v>9154</v>
      </c>
      <c r="B1882" s="169" t="s">
        <v>31</v>
      </c>
      <c r="C1882" s="169" t="s">
        <v>9155</v>
      </c>
      <c r="D1882" s="317">
        <v>44861.0</v>
      </c>
      <c r="E1882" s="157" t="s">
        <v>600</v>
      </c>
      <c r="F1882" s="160">
        <v>7594.42</v>
      </c>
      <c r="G1882" s="160">
        <f>'FACUS$'!$F1882*0.16</f>
        <v>1215.1072</v>
      </c>
      <c r="H1882" s="160">
        <f>F1882+G1882-'NCUS$'!H46</f>
        <v>7468.8804</v>
      </c>
      <c r="I1882" s="172"/>
      <c r="J1882" s="169"/>
      <c r="K1882" s="172"/>
      <c r="L1882" s="172">
        <f>+'FACUS$'!$H1882-'FACUS$'!$I1882-'FACUS$'!$K1882</f>
        <v>7468.8804</v>
      </c>
      <c r="M1882" s="162" t="s">
        <v>3183</v>
      </c>
      <c r="N1882" s="337" t="s">
        <v>554</v>
      </c>
      <c r="O1882" s="338">
        <v>44862.0</v>
      </c>
      <c r="P1882" s="164">
        <f t="array" ref="P1882">XLOOKUP('FACUS$'!$B1882,'perfil de pagos'!$A$4:$A$46,'perfil de pagos'!$C$4:$C$46+'FACUS$'!$D1882)</f>
        <v>44864</v>
      </c>
      <c r="Q1882" s="165">
        <f t="shared" si="2"/>
        <v>0</v>
      </c>
      <c r="R1882" s="220" t="s">
        <v>9156</v>
      </c>
      <c r="S1882" s="167"/>
      <c r="T1882" s="167"/>
      <c r="U1882" s="334" t="s">
        <v>7271</v>
      </c>
      <c r="V1882" s="168">
        <f t="shared" si="3"/>
        <v>7468.8804</v>
      </c>
      <c r="W1882" s="168">
        <f t="shared" si="4"/>
        <v>0</v>
      </c>
      <c r="X1882" s="168">
        <f t="shared" si="5"/>
        <v>0</v>
      </c>
      <c r="Y1882" s="168">
        <f t="shared" si="6"/>
        <v>0</v>
      </c>
      <c r="Z1882" s="168">
        <f t="shared" si="7"/>
        <v>0</v>
      </c>
      <c r="AA1882" s="168">
        <f t="shared" si="8"/>
        <v>0</v>
      </c>
      <c r="AB1882" s="168">
        <f t="shared" si="9"/>
        <v>0</v>
      </c>
    </row>
    <row r="1883" ht="15.0" customHeight="1">
      <c r="A1883" s="157" t="s">
        <v>9157</v>
      </c>
      <c r="B1883" s="169" t="s">
        <v>42</v>
      </c>
      <c r="C1883" s="169" t="s">
        <v>9158</v>
      </c>
      <c r="D1883" s="317">
        <v>44866.0</v>
      </c>
      <c r="E1883" s="157" t="s">
        <v>600</v>
      </c>
      <c r="F1883" s="160">
        <v>6328.09</v>
      </c>
      <c r="G1883" s="160">
        <f>'FACUS$'!$F1883*0.16</f>
        <v>1012.4944</v>
      </c>
      <c r="H1883" s="160">
        <f>F1883+G1883</f>
        <v>7340.5844</v>
      </c>
      <c r="I1883" s="172"/>
      <c r="J1883" s="169"/>
      <c r="K1883" s="172"/>
      <c r="L1883" s="172">
        <f>+'FACUS$'!$H1883-'FACUS$'!$I1883-'FACUS$'!$K1883</f>
        <v>7340.5844</v>
      </c>
      <c r="M1883" s="162" t="s">
        <v>42</v>
      </c>
      <c r="N1883" s="337" t="s">
        <v>554</v>
      </c>
      <c r="O1883" s="338">
        <v>44876.0</v>
      </c>
      <c r="P1883" s="164">
        <f t="array" ref="P1883">XLOOKUP('FACUS$'!$B1883,'perfil de pagos'!$A$4:$A$46,'perfil de pagos'!$C$4:$C$46+'FACUS$'!$D1883)</f>
        <v>44876</v>
      </c>
      <c r="Q1883" s="165">
        <f t="shared" si="2"/>
        <v>0</v>
      </c>
      <c r="R1883" s="167"/>
      <c r="S1883" s="167">
        <v>1711.0</v>
      </c>
      <c r="T1883" s="167"/>
      <c r="U1883" s="334" t="s">
        <v>7271</v>
      </c>
      <c r="V1883" s="168">
        <f t="shared" si="3"/>
        <v>7340.5844</v>
      </c>
      <c r="W1883" s="168">
        <f t="shared" si="4"/>
        <v>0</v>
      </c>
      <c r="X1883" s="168">
        <f t="shared" si="5"/>
        <v>0</v>
      </c>
      <c r="Y1883" s="168">
        <f t="shared" si="6"/>
        <v>0</v>
      </c>
      <c r="Z1883" s="168">
        <f t="shared" si="7"/>
        <v>0</v>
      </c>
      <c r="AA1883" s="168">
        <f t="shared" si="8"/>
        <v>0</v>
      </c>
      <c r="AB1883" s="168">
        <f t="shared" si="9"/>
        <v>0</v>
      </c>
    </row>
    <row r="1884" ht="15.0" customHeight="1">
      <c r="A1884" s="157" t="s">
        <v>9159</v>
      </c>
      <c r="B1884" s="169" t="s">
        <v>31</v>
      </c>
      <c r="C1884" s="169" t="s">
        <v>9160</v>
      </c>
      <c r="D1884" s="317">
        <v>44869.0</v>
      </c>
      <c r="E1884" s="157" t="s">
        <v>600</v>
      </c>
      <c r="F1884" s="160">
        <v>10488.79</v>
      </c>
      <c r="G1884" s="160">
        <f>'FACUS$'!$F1884*0.16</f>
        <v>1678.2064</v>
      </c>
      <c r="H1884" s="160">
        <f>F1884+G1884-8809.53</f>
        <v>3357.4664</v>
      </c>
      <c r="I1884" s="172"/>
      <c r="J1884" s="169"/>
      <c r="K1884" s="172"/>
      <c r="L1884" s="172">
        <f>+'FACUS$'!$H1884-'FACUS$'!$I1884-'FACUS$'!$K1884</f>
        <v>3357.4664</v>
      </c>
      <c r="M1884" s="162" t="s">
        <v>3183</v>
      </c>
      <c r="N1884" s="337" t="s">
        <v>554</v>
      </c>
      <c r="O1884" s="338">
        <v>44876.0</v>
      </c>
      <c r="P1884" s="164">
        <f t="array" ref="P1884">XLOOKUP('FACUS$'!$B1884,'perfil de pagos'!$A$4:$A$46,'perfil de pagos'!$C$4:$C$46+'FACUS$'!$D1884)</f>
        <v>44872</v>
      </c>
      <c r="Q1884" s="165">
        <f t="shared" si="2"/>
        <v>0</v>
      </c>
      <c r="R1884" s="220" t="s">
        <v>9161</v>
      </c>
      <c r="S1884" s="167">
        <v>1702.0</v>
      </c>
      <c r="T1884" s="167"/>
      <c r="U1884" s="334" t="s">
        <v>7271</v>
      </c>
      <c r="V1884" s="168">
        <f t="shared" si="3"/>
        <v>3357.4664</v>
      </c>
      <c r="W1884" s="168">
        <f t="shared" si="4"/>
        <v>0</v>
      </c>
      <c r="X1884" s="168">
        <f t="shared" si="5"/>
        <v>0</v>
      </c>
      <c r="Y1884" s="168">
        <f t="shared" si="6"/>
        <v>0</v>
      </c>
      <c r="Z1884" s="168">
        <f t="shared" si="7"/>
        <v>0</v>
      </c>
      <c r="AA1884" s="168">
        <f t="shared" si="8"/>
        <v>0</v>
      </c>
      <c r="AB1884" s="168">
        <f t="shared" si="9"/>
        <v>0</v>
      </c>
    </row>
    <row r="1885" ht="15.0" customHeight="1">
      <c r="A1885" s="157" t="s">
        <v>9162</v>
      </c>
      <c r="B1885" s="169" t="s">
        <v>15</v>
      </c>
      <c r="C1885" s="169" t="s">
        <v>9163</v>
      </c>
      <c r="D1885" s="317">
        <v>44869.0</v>
      </c>
      <c r="E1885" s="157" t="s">
        <v>600</v>
      </c>
      <c r="F1885" s="160">
        <v>35489.08</v>
      </c>
      <c r="G1885" s="160">
        <f>'FACUS$'!$F1885*0.16</f>
        <v>5678.2528</v>
      </c>
      <c r="H1885" s="160">
        <f t="shared" ref="H1885:H1899" si="63">F1885+G1885</f>
        <v>41167.3328</v>
      </c>
      <c r="I1885" s="172"/>
      <c r="J1885" s="169"/>
      <c r="K1885" s="172"/>
      <c r="L1885" s="172">
        <f>+'FACUS$'!$H1885-'FACUS$'!$I1885-'FACUS$'!$K1885</f>
        <v>41167.3328</v>
      </c>
      <c r="M1885" s="162" t="s">
        <v>443</v>
      </c>
      <c r="N1885" s="337" t="s">
        <v>554</v>
      </c>
      <c r="O1885" s="338">
        <v>44887.0</v>
      </c>
      <c r="P1885" s="164">
        <f t="array" ref="P1885">XLOOKUP('FACUS$'!$B1885,'perfil de pagos'!$A$4:$A$46,'perfil de pagos'!$C$4:$C$46+'FACUS$'!$D1885)</f>
        <v>44879</v>
      </c>
      <c r="Q1885" s="165">
        <f t="shared" si="2"/>
        <v>0</v>
      </c>
      <c r="R1885" s="167"/>
      <c r="S1885" s="167">
        <v>1735.0</v>
      </c>
      <c r="T1885" s="167"/>
      <c r="U1885" s="334" t="s">
        <v>7271</v>
      </c>
      <c r="V1885" s="168">
        <f t="shared" si="3"/>
        <v>41167.3328</v>
      </c>
      <c r="W1885" s="168">
        <f t="shared" si="4"/>
        <v>0</v>
      </c>
      <c r="X1885" s="168">
        <f t="shared" si="5"/>
        <v>0</v>
      </c>
      <c r="Y1885" s="168">
        <f t="shared" si="6"/>
        <v>0</v>
      </c>
      <c r="Z1885" s="168">
        <f t="shared" si="7"/>
        <v>0</v>
      </c>
      <c r="AA1885" s="168">
        <f t="shared" si="8"/>
        <v>0</v>
      </c>
      <c r="AB1885" s="168">
        <f t="shared" si="9"/>
        <v>0</v>
      </c>
    </row>
    <row r="1886" ht="15.0" customHeight="1">
      <c r="A1886" s="157" t="s">
        <v>9164</v>
      </c>
      <c r="B1886" s="169" t="s">
        <v>17</v>
      </c>
      <c r="C1886" s="169" t="s">
        <v>4371</v>
      </c>
      <c r="D1886" s="317">
        <v>44869.0</v>
      </c>
      <c r="E1886" s="157" t="s">
        <v>600</v>
      </c>
      <c r="F1886" s="160">
        <v>14154.05</v>
      </c>
      <c r="G1886" s="160">
        <f>'FACUS$'!$F1886*0.16</f>
        <v>2264.648</v>
      </c>
      <c r="H1886" s="160">
        <f t="shared" si="63"/>
        <v>16418.698</v>
      </c>
      <c r="I1886" s="172"/>
      <c r="J1886" s="169"/>
      <c r="K1886" s="172"/>
      <c r="L1886" s="172">
        <f>+'FACUS$'!$H1886-'FACUS$'!$I1886-'FACUS$'!$K1886</f>
        <v>16418.698</v>
      </c>
      <c r="M1886" s="162" t="s">
        <v>17</v>
      </c>
      <c r="N1886" s="337" t="s">
        <v>554</v>
      </c>
      <c r="O1886" s="338">
        <v>44883.0</v>
      </c>
      <c r="P1886" s="164">
        <f t="array" ref="P1886">XLOOKUP('FACUS$'!$B1886,'perfil de pagos'!$A$4:$A$46,'perfil de pagos'!$C$4:$C$46+'FACUS$'!$D1886)</f>
        <v>44879</v>
      </c>
      <c r="Q1886" s="165">
        <f t="shared" si="2"/>
        <v>0</v>
      </c>
      <c r="R1886" s="167"/>
      <c r="S1886" s="167">
        <v>1731.0</v>
      </c>
      <c r="T1886" s="167"/>
      <c r="U1886" s="334" t="s">
        <v>7271</v>
      </c>
      <c r="V1886" s="168">
        <f t="shared" si="3"/>
        <v>16418.698</v>
      </c>
      <c r="W1886" s="168">
        <f t="shared" si="4"/>
        <v>0</v>
      </c>
      <c r="X1886" s="168">
        <f t="shared" si="5"/>
        <v>0</v>
      </c>
      <c r="Y1886" s="168">
        <f t="shared" si="6"/>
        <v>0</v>
      </c>
      <c r="Z1886" s="168">
        <f t="shared" si="7"/>
        <v>0</v>
      </c>
      <c r="AA1886" s="168">
        <f t="shared" si="8"/>
        <v>0</v>
      </c>
      <c r="AB1886" s="168">
        <f t="shared" si="9"/>
        <v>0</v>
      </c>
    </row>
    <row r="1887" ht="15.0" customHeight="1">
      <c r="A1887" s="157" t="s">
        <v>9165</v>
      </c>
      <c r="B1887" s="169" t="s">
        <v>17</v>
      </c>
      <c r="C1887" s="169" t="s">
        <v>9163</v>
      </c>
      <c r="D1887" s="317">
        <v>44869.0</v>
      </c>
      <c r="E1887" s="157" t="s">
        <v>600</v>
      </c>
      <c r="F1887" s="160">
        <v>13594.48</v>
      </c>
      <c r="G1887" s="160">
        <f>'FACUS$'!$F1887*0.16</f>
        <v>2175.1168</v>
      </c>
      <c r="H1887" s="160">
        <f t="shared" si="63"/>
        <v>15769.5968</v>
      </c>
      <c r="I1887" s="172"/>
      <c r="J1887" s="169"/>
      <c r="K1887" s="172"/>
      <c r="L1887" s="172">
        <f>+'FACUS$'!$H1887-'FACUS$'!$I1887-'FACUS$'!$K1887</f>
        <v>15769.5968</v>
      </c>
      <c r="M1887" s="162" t="s">
        <v>17</v>
      </c>
      <c r="N1887" s="337" t="s">
        <v>554</v>
      </c>
      <c r="O1887" s="338">
        <v>44883.0</v>
      </c>
      <c r="P1887" s="164">
        <f t="array" ref="P1887">XLOOKUP('FACUS$'!$B1887,'perfil de pagos'!$A$4:$A$46,'perfil de pagos'!$C$4:$C$46+'FACUS$'!$D1887)</f>
        <v>44879</v>
      </c>
      <c r="Q1887" s="165">
        <f t="shared" si="2"/>
        <v>0</v>
      </c>
      <c r="R1887" s="167"/>
      <c r="S1887" s="167">
        <v>1730.0</v>
      </c>
      <c r="T1887" s="167"/>
      <c r="U1887" s="334" t="s">
        <v>7271</v>
      </c>
      <c r="V1887" s="168">
        <f t="shared" si="3"/>
        <v>15769.5968</v>
      </c>
      <c r="W1887" s="168">
        <f t="shared" si="4"/>
        <v>0</v>
      </c>
      <c r="X1887" s="168">
        <f t="shared" si="5"/>
        <v>0</v>
      </c>
      <c r="Y1887" s="168">
        <f t="shared" si="6"/>
        <v>0</v>
      </c>
      <c r="Z1887" s="168">
        <f t="shared" si="7"/>
        <v>0</v>
      </c>
      <c r="AA1887" s="168">
        <f t="shared" si="8"/>
        <v>0</v>
      </c>
      <c r="AB1887" s="168">
        <f t="shared" si="9"/>
        <v>0</v>
      </c>
    </row>
    <row r="1888" ht="15.0" customHeight="1">
      <c r="A1888" s="157" t="s">
        <v>9166</v>
      </c>
      <c r="B1888" s="169" t="s">
        <v>33</v>
      </c>
      <c r="C1888" s="169" t="s">
        <v>9163</v>
      </c>
      <c r="D1888" s="317">
        <v>44869.0</v>
      </c>
      <c r="E1888" s="157" t="s">
        <v>600</v>
      </c>
      <c r="F1888" s="160">
        <v>10811.06</v>
      </c>
      <c r="G1888" s="160">
        <f>'FACUS$'!$F1888*0.16</f>
        <v>1729.7696</v>
      </c>
      <c r="H1888" s="160">
        <f t="shared" si="63"/>
        <v>12540.8296</v>
      </c>
      <c r="I1888" s="172"/>
      <c r="J1888" s="169"/>
      <c r="K1888" s="172"/>
      <c r="L1888" s="172">
        <f>+'FACUS$'!$H1888-'FACUS$'!$I1888-'FACUS$'!$K1888</f>
        <v>12540.8296</v>
      </c>
      <c r="M1888" s="162" t="s">
        <v>958</v>
      </c>
      <c r="N1888" s="337" t="s">
        <v>554</v>
      </c>
      <c r="O1888" s="338">
        <v>44897.0</v>
      </c>
      <c r="P1888" s="164">
        <f t="array" ref="P1888">XLOOKUP('FACUS$'!$B1888,'perfil de pagos'!$A$4:$A$46,'perfil de pagos'!$C$4:$C$46+'FACUS$'!$D1888)</f>
        <v>44879</v>
      </c>
      <c r="Q1888" s="165">
        <f t="shared" si="2"/>
        <v>0</v>
      </c>
      <c r="R1888" s="167"/>
      <c r="S1888" s="167">
        <v>1781.0</v>
      </c>
      <c r="T1888" s="167"/>
      <c r="U1888" s="334" t="s">
        <v>7271</v>
      </c>
      <c r="V1888" s="168">
        <f t="shared" si="3"/>
        <v>12540.8296</v>
      </c>
      <c r="W1888" s="168">
        <f t="shared" si="4"/>
        <v>0</v>
      </c>
      <c r="X1888" s="168">
        <f t="shared" si="5"/>
        <v>0</v>
      </c>
      <c r="Y1888" s="168">
        <f t="shared" si="6"/>
        <v>0</v>
      </c>
      <c r="Z1888" s="168">
        <f t="shared" si="7"/>
        <v>0</v>
      </c>
      <c r="AA1888" s="168">
        <f t="shared" si="8"/>
        <v>0</v>
      </c>
      <c r="AB1888" s="168">
        <f t="shared" si="9"/>
        <v>0</v>
      </c>
    </row>
    <row r="1889" ht="15.0" customHeight="1">
      <c r="A1889" s="157" t="s">
        <v>9167</v>
      </c>
      <c r="B1889" s="169" t="s">
        <v>35</v>
      </c>
      <c r="C1889" s="169" t="s">
        <v>9163</v>
      </c>
      <c r="D1889" s="317">
        <v>44869.0</v>
      </c>
      <c r="E1889" s="157" t="s">
        <v>600</v>
      </c>
      <c r="F1889" s="160">
        <v>11660.37</v>
      </c>
      <c r="G1889" s="160">
        <f>'FACUS$'!$F1889*0.16</f>
        <v>1865.6592</v>
      </c>
      <c r="H1889" s="160">
        <f t="shared" si="63"/>
        <v>13526.0292</v>
      </c>
      <c r="I1889" s="172"/>
      <c r="J1889" s="169"/>
      <c r="K1889" s="172"/>
      <c r="L1889" s="172">
        <f>+'FACUS$'!$H1889-'FACUS$'!$I1889-'FACUS$'!$K1889</f>
        <v>13526.0292</v>
      </c>
      <c r="M1889" s="162" t="s">
        <v>276</v>
      </c>
      <c r="N1889" s="337" t="s">
        <v>554</v>
      </c>
      <c r="O1889" s="338">
        <v>44924.0</v>
      </c>
      <c r="P1889" s="164">
        <f t="array" ref="P1889">XLOOKUP('FACUS$'!$B1889,'perfil de pagos'!$A$4:$A$46,'perfil de pagos'!$C$4:$C$46+'FACUS$'!$D1889)</f>
        <v>44879</v>
      </c>
      <c r="Q1889" s="165">
        <f t="shared" si="2"/>
        <v>0</v>
      </c>
      <c r="R1889" s="167"/>
      <c r="S1889" s="167"/>
      <c r="T1889" s="167"/>
      <c r="U1889" s="334" t="s">
        <v>7271</v>
      </c>
      <c r="V1889" s="168">
        <f t="shared" si="3"/>
        <v>13526.0292</v>
      </c>
      <c r="W1889" s="168">
        <f t="shared" si="4"/>
        <v>0</v>
      </c>
      <c r="X1889" s="168">
        <f t="shared" si="5"/>
        <v>0</v>
      </c>
      <c r="Y1889" s="168">
        <f t="shared" si="6"/>
        <v>0</v>
      </c>
      <c r="Z1889" s="168">
        <f t="shared" si="7"/>
        <v>0</v>
      </c>
      <c r="AA1889" s="168">
        <f t="shared" si="8"/>
        <v>0</v>
      </c>
      <c r="AB1889" s="168">
        <f t="shared" si="9"/>
        <v>0</v>
      </c>
    </row>
    <row r="1890" ht="15.0" customHeight="1">
      <c r="A1890" s="157" t="s">
        <v>9168</v>
      </c>
      <c r="B1890" s="169" t="s">
        <v>36</v>
      </c>
      <c r="C1890" s="169" t="s">
        <v>9163</v>
      </c>
      <c r="D1890" s="317">
        <v>44869.0</v>
      </c>
      <c r="E1890" s="157" t="s">
        <v>600</v>
      </c>
      <c r="F1890" s="160">
        <v>2913.87</v>
      </c>
      <c r="G1890" s="160">
        <f>'FACUS$'!$F1890*0.16</f>
        <v>466.2192</v>
      </c>
      <c r="H1890" s="160">
        <f t="shared" si="63"/>
        <v>3380.0892</v>
      </c>
      <c r="I1890" s="172"/>
      <c r="J1890" s="169"/>
      <c r="K1890" s="172"/>
      <c r="L1890" s="172">
        <f>+'FACUS$'!$H1890-'FACUS$'!$I1890-'FACUS$'!$K1890</f>
        <v>3380.0892</v>
      </c>
      <c r="M1890" s="162" t="s">
        <v>278</v>
      </c>
      <c r="N1890" s="337" t="s">
        <v>554</v>
      </c>
      <c r="O1890" s="338">
        <v>44904.0</v>
      </c>
      <c r="P1890" s="164">
        <f t="array" ref="P1890">XLOOKUP('FACUS$'!$B1890,'perfil de pagos'!$A$4:$A$46,'perfil de pagos'!$C$4:$C$46+'FACUS$'!$D1890)</f>
        <v>44879</v>
      </c>
      <c r="Q1890" s="165">
        <f t="shared" si="2"/>
        <v>0</v>
      </c>
      <c r="R1890" s="220" t="s">
        <v>9169</v>
      </c>
      <c r="S1890" s="167">
        <v>1796.0</v>
      </c>
      <c r="T1890" s="167"/>
      <c r="U1890" s="334" t="s">
        <v>7271</v>
      </c>
      <c r="V1890" s="168">
        <f t="shared" si="3"/>
        <v>3380.0892</v>
      </c>
      <c r="W1890" s="168">
        <f t="shared" si="4"/>
        <v>0</v>
      </c>
      <c r="X1890" s="168">
        <f t="shared" si="5"/>
        <v>0</v>
      </c>
      <c r="Y1890" s="168">
        <f t="shared" si="6"/>
        <v>0</v>
      </c>
      <c r="Z1890" s="168">
        <f t="shared" si="7"/>
        <v>0</v>
      </c>
      <c r="AA1890" s="168">
        <f t="shared" si="8"/>
        <v>0</v>
      </c>
      <c r="AB1890" s="168">
        <f t="shared" si="9"/>
        <v>0</v>
      </c>
    </row>
    <row r="1891" ht="15.0" customHeight="1">
      <c r="A1891" s="157" t="s">
        <v>9170</v>
      </c>
      <c r="B1891" s="169" t="s">
        <v>39</v>
      </c>
      <c r="C1891" s="169" t="s">
        <v>4371</v>
      </c>
      <c r="D1891" s="317">
        <v>44869.0</v>
      </c>
      <c r="E1891" s="157" t="s">
        <v>600</v>
      </c>
      <c r="F1891" s="160">
        <v>44909.72</v>
      </c>
      <c r="G1891" s="160">
        <f>'FACUS$'!$F1891*0.16</f>
        <v>7185.5552</v>
      </c>
      <c r="H1891" s="160">
        <f t="shared" si="63"/>
        <v>52095.2752</v>
      </c>
      <c r="I1891" s="172"/>
      <c r="J1891" s="169"/>
      <c r="K1891" s="172"/>
      <c r="L1891" s="172">
        <f>+'FACUS$'!$H1891-'FACUS$'!$I1891-'FACUS$'!$K1891</f>
        <v>52095.2752</v>
      </c>
      <c r="M1891" s="162" t="s">
        <v>570</v>
      </c>
      <c r="N1891" s="337" t="s">
        <v>554</v>
      </c>
      <c r="O1891" s="338">
        <v>44876.0</v>
      </c>
      <c r="P1891" s="164">
        <f t="array" ref="P1891">XLOOKUP('FACUS$'!$B1891,'perfil de pagos'!$A$4:$A$46,'perfil de pagos'!$C$4:$C$46+'FACUS$'!$D1891)</f>
        <v>44879</v>
      </c>
      <c r="Q1891" s="165">
        <f t="shared" si="2"/>
        <v>0</v>
      </c>
      <c r="R1891" s="167"/>
      <c r="S1891" s="167">
        <v>1714.0</v>
      </c>
      <c r="T1891" s="167"/>
      <c r="U1891" s="334" t="s">
        <v>7271</v>
      </c>
      <c r="V1891" s="168">
        <f t="shared" si="3"/>
        <v>52095.2752</v>
      </c>
      <c r="W1891" s="168">
        <f t="shared" si="4"/>
        <v>0</v>
      </c>
      <c r="X1891" s="168">
        <f t="shared" si="5"/>
        <v>0</v>
      </c>
      <c r="Y1891" s="168">
        <f t="shared" si="6"/>
        <v>0</v>
      </c>
      <c r="Z1891" s="168">
        <f t="shared" si="7"/>
        <v>0</v>
      </c>
      <c r="AA1891" s="168">
        <f t="shared" si="8"/>
        <v>0</v>
      </c>
      <c r="AB1891" s="168">
        <f t="shared" si="9"/>
        <v>0</v>
      </c>
    </row>
    <row r="1892" ht="15.0" customHeight="1">
      <c r="A1892" s="157" t="s">
        <v>9171</v>
      </c>
      <c r="B1892" s="169" t="s">
        <v>39</v>
      </c>
      <c r="C1892" s="169" t="s">
        <v>9163</v>
      </c>
      <c r="D1892" s="317">
        <v>44869.0</v>
      </c>
      <c r="E1892" s="157" t="s">
        <v>600</v>
      </c>
      <c r="F1892" s="160">
        <v>30780.43</v>
      </c>
      <c r="G1892" s="160">
        <f>'FACUS$'!$F1892*0.16</f>
        <v>4924.8688</v>
      </c>
      <c r="H1892" s="160">
        <f t="shared" si="63"/>
        <v>35705.2988</v>
      </c>
      <c r="I1892" s="172"/>
      <c r="J1892" s="169"/>
      <c r="K1892" s="172"/>
      <c r="L1892" s="172">
        <f>+'FACUS$'!$H1892-'FACUS$'!$I1892-'FACUS$'!$K1892</f>
        <v>35705.2988</v>
      </c>
      <c r="M1892" s="162" t="s">
        <v>570</v>
      </c>
      <c r="N1892" s="337" t="s">
        <v>554</v>
      </c>
      <c r="O1892" s="338">
        <v>44876.0</v>
      </c>
      <c r="P1892" s="164">
        <f t="array" ref="P1892">XLOOKUP('FACUS$'!$B1892,'perfil de pagos'!$A$4:$A$46,'perfil de pagos'!$C$4:$C$46+'FACUS$'!$D1892)</f>
        <v>44879</v>
      </c>
      <c r="Q1892" s="165">
        <f t="shared" si="2"/>
        <v>0</v>
      </c>
      <c r="R1892" s="167"/>
      <c r="S1892" s="167">
        <v>1714.0</v>
      </c>
      <c r="T1892" s="167"/>
      <c r="U1892" s="334" t="s">
        <v>7271</v>
      </c>
      <c r="V1892" s="168">
        <f t="shared" si="3"/>
        <v>35705.2988</v>
      </c>
      <c r="W1892" s="168">
        <f t="shared" si="4"/>
        <v>0</v>
      </c>
      <c r="X1892" s="168">
        <f t="shared" si="5"/>
        <v>0</v>
      </c>
      <c r="Y1892" s="168">
        <f t="shared" si="6"/>
        <v>0</v>
      </c>
      <c r="Z1892" s="168">
        <f t="shared" si="7"/>
        <v>0</v>
      </c>
      <c r="AA1892" s="168">
        <f t="shared" si="8"/>
        <v>0</v>
      </c>
      <c r="AB1892" s="168">
        <f t="shared" si="9"/>
        <v>0</v>
      </c>
    </row>
    <row r="1893" ht="15.0" customHeight="1">
      <c r="A1893" s="157" t="s">
        <v>9172</v>
      </c>
      <c r="B1893" s="169" t="s">
        <v>41</v>
      </c>
      <c r="C1893" s="169" t="s">
        <v>9163</v>
      </c>
      <c r="D1893" s="317">
        <v>44869.0</v>
      </c>
      <c r="E1893" s="157" t="s">
        <v>600</v>
      </c>
      <c r="F1893" s="160">
        <v>53389.68</v>
      </c>
      <c r="G1893" s="160">
        <f>'FACUS$'!$F1893*0.16</f>
        <v>8542.3488</v>
      </c>
      <c r="H1893" s="160">
        <f t="shared" si="63"/>
        <v>61932.0288</v>
      </c>
      <c r="I1893" s="172"/>
      <c r="J1893" s="169"/>
      <c r="K1893" s="172"/>
      <c r="L1893" s="172">
        <f>+'FACUS$'!$H1893-'FACUS$'!$I1893-'FACUS$'!$K1893</f>
        <v>61932.0288</v>
      </c>
      <c r="M1893" s="162" t="s">
        <v>875</v>
      </c>
      <c r="N1893" s="337" t="s">
        <v>554</v>
      </c>
      <c r="O1893" s="338">
        <v>44900.0</v>
      </c>
      <c r="P1893" s="164">
        <f t="array" ref="P1893">XLOOKUP('FACUS$'!$B1893,'perfil de pagos'!$A$4:$A$46,'perfil de pagos'!$C$4:$C$46+'FACUS$'!$D1893)</f>
        <v>44879</v>
      </c>
      <c r="Q1893" s="165">
        <f t="shared" si="2"/>
        <v>0</v>
      </c>
      <c r="R1893" s="167"/>
      <c r="S1893" s="167">
        <v>1784.0</v>
      </c>
      <c r="T1893" s="167"/>
      <c r="U1893" s="334" t="s">
        <v>7271</v>
      </c>
      <c r="V1893" s="168">
        <f t="shared" si="3"/>
        <v>61932.0288</v>
      </c>
      <c r="W1893" s="168">
        <f t="shared" si="4"/>
        <v>0</v>
      </c>
      <c r="X1893" s="168">
        <f t="shared" si="5"/>
        <v>0</v>
      </c>
      <c r="Y1893" s="168">
        <f t="shared" si="6"/>
        <v>0</v>
      </c>
      <c r="Z1893" s="168">
        <f t="shared" si="7"/>
        <v>0</v>
      </c>
      <c r="AA1893" s="168">
        <f t="shared" si="8"/>
        <v>0</v>
      </c>
      <c r="AB1893" s="168">
        <f t="shared" si="9"/>
        <v>0</v>
      </c>
    </row>
    <row r="1894" ht="15.0" customHeight="1">
      <c r="A1894" s="157" t="s">
        <v>9173</v>
      </c>
      <c r="B1894" s="169" t="s">
        <v>42</v>
      </c>
      <c r="C1894" s="169" t="s">
        <v>9163</v>
      </c>
      <c r="D1894" s="317">
        <v>44869.0</v>
      </c>
      <c r="E1894" s="157" t="s">
        <v>600</v>
      </c>
      <c r="F1894" s="160">
        <v>13501.74</v>
      </c>
      <c r="G1894" s="160">
        <f>'FACUS$'!$F1894*0.16</f>
        <v>2160.2784</v>
      </c>
      <c r="H1894" s="160">
        <f t="shared" si="63"/>
        <v>15662.0184</v>
      </c>
      <c r="I1894" s="172"/>
      <c r="J1894" s="169"/>
      <c r="K1894" s="172"/>
      <c r="L1894" s="172">
        <f>+'FACUS$'!$H1894-'FACUS$'!$I1894-'FACUS$'!$K1894</f>
        <v>15662.0184</v>
      </c>
      <c r="M1894" s="162" t="s">
        <v>42</v>
      </c>
      <c r="N1894" s="337" t="s">
        <v>554</v>
      </c>
      <c r="O1894" s="338">
        <v>44904.0</v>
      </c>
      <c r="P1894" s="164">
        <f t="array" ref="P1894">XLOOKUP('FACUS$'!$B1894,'perfil de pagos'!$A$4:$A$46,'perfil de pagos'!$C$4:$C$46+'FACUS$'!$D1894)</f>
        <v>44879</v>
      </c>
      <c r="Q1894" s="165">
        <f t="shared" si="2"/>
        <v>0</v>
      </c>
      <c r="R1894" s="167"/>
      <c r="S1894" s="167">
        <v>1798.0</v>
      </c>
      <c r="T1894" s="167"/>
      <c r="U1894" s="334" t="s">
        <v>7271</v>
      </c>
      <c r="V1894" s="168">
        <f t="shared" si="3"/>
        <v>15662.0184</v>
      </c>
      <c r="W1894" s="168">
        <f t="shared" si="4"/>
        <v>0</v>
      </c>
      <c r="X1894" s="168">
        <f t="shared" si="5"/>
        <v>0</v>
      </c>
      <c r="Y1894" s="168">
        <f t="shared" si="6"/>
        <v>0</v>
      </c>
      <c r="Z1894" s="168">
        <f t="shared" si="7"/>
        <v>0</v>
      </c>
      <c r="AA1894" s="168">
        <f t="shared" si="8"/>
        <v>0</v>
      </c>
      <c r="AB1894" s="168">
        <f t="shared" si="9"/>
        <v>0</v>
      </c>
    </row>
    <row r="1895" ht="15.0" customHeight="1">
      <c r="A1895" s="157" t="s">
        <v>9174</v>
      </c>
      <c r="B1895" s="169" t="s">
        <v>43</v>
      </c>
      <c r="C1895" s="169" t="s">
        <v>9163</v>
      </c>
      <c r="D1895" s="317">
        <v>44869.0</v>
      </c>
      <c r="E1895" s="157" t="s">
        <v>600</v>
      </c>
      <c r="F1895" s="160">
        <v>49796.78</v>
      </c>
      <c r="G1895" s="160">
        <f>'FACUS$'!$F1895*0.16</f>
        <v>7967.4848</v>
      </c>
      <c r="H1895" s="160">
        <f t="shared" si="63"/>
        <v>57764.2648</v>
      </c>
      <c r="I1895" s="172"/>
      <c r="J1895" s="169"/>
      <c r="K1895" s="172"/>
      <c r="L1895" s="172">
        <f>+'FACUS$'!$H1895-'FACUS$'!$I1895-'FACUS$'!$K1895</f>
        <v>57764.2648</v>
      </c>
      <c r="M1895" s="162" t="s">
        <v>43</v>
      </c>
      <c r="N1895" s="337" t="s">
        <v>554</v>
      </c>
      <c r="O1895" s="338">
        <v>44909.0</v>
      </c>
      <c r="P1895" s="164">
        <f t="array" ref="P1895">XLOOKUP('FACUS$'!$B1895,'perfil de pagos'!$A$4:$A$46,'perfil de pagos'!$C$4:$C$46+'FACUS$'!$D1895)</f>
        <v>44894</v>
      </c>
      <c r="Q1895" s="165">
        <f t="shared" si="2"/>
        <v>0</v>
      </c>
      <c r="R1895" s="167"/>
      <c r="S1895" s="167">
        <v>1818.0</v>
      </c>
      <c r="T1895" s="167"/>
      <c r="U1895" s="334" t="s">
        <v>7271</v>
      </c>
      <c r="V1895" s="168">
        <f t="shared" si="3"/>
        <v>57764.2648</v>
      </c>
      <c r="W1895" s="168">
        <f t="shared" si="4"/>
        <v>0</v>
      </c>
      <c r="X1895" s="168">
        <f t="shared" si="5"/>
        <v>0</v>
      </c>
      <c r="Y1895" s="168">
        <f t="shared" si="6"/>
        <v>0</v>
      </c>
      <c r="Z1895" s="168">
        <f t="shared" si="7"/>
        <v>0</v>
      </c>
      <c r="AA1895" s="168">
        <f t="shared" si="8"/>
        <v>0</v>
      </c>
      <c r="AB1895" s="168">
        <f t="shared" si="9"/>
        <v>0</v>
      </c>
    </row>
    <row r="1896" ht="15.0" customHeight="1">
      <c r="A1896" s="157" t="s">
        <v>9175</v>
      </c>
      <c r="B1896" s="169" t="s">
        <v>44</v>
      </c>
      <c r="C1896" s="169" t="s">
        <v>9163</v>
      </c>
      <c r="D1896" s="317">
        <v>44869.0</v>
      </c>
      <c r="E1896" s="157" t="s">
        <v>600</v>
      </c>
      <c r="F1896" s="160">
        <v>15148.1</v>
      </c>
      <c r="G1896" s="160">
        <f>'FACUS$'!$F1896*0.16</f>
        <v>2423.696</v>
      </c>
      <c r="H1896" s="160">
        <f t="shared" si="63"/>
        <v>17571.796</v>
      </c>
      <c r="I1896" s="172"/>
      <c r="J1896" s="169"/>
      <c r="K1896" s="172"/>
      <c r="L1896" s="172">
        <f>+'FACUS$'!$H1896-'FACUS$'!$I1896-'FACUS$'!$K1896</f>
        <v>17571.796</v>
      </c>
      <c r="M1896" s="162" t="s">
        <v>361</v>
      </c>
      <c r="N1896" s="337" t="s">
        <v>554</v>
      </c>
      <c r="O1896" s="338">
        <v>44876.0</v>
      </c>
      <c r="P1896" s="164">
        <f t="array" ref="P1896">XLOOKUP('FACUS$'!$B1896,'perfil de pagos'!$A$4:$A$46,'perfil de pagos'!$C$4:$C$46+'FACUS$'!$D1896)</f>
        <v>44879</v>
      </c>
      <c r="Q1896" s="165">
        <f t="shared" si="2"/>
        <v>0</v>
      </c>
      <c r="R1896" s="167"/>
      <c r="S1896" s="167">
        <v>1715.0</v>
      </c>
      <c r="T1896" s="167"/>
      <c r="U1896" s="334" t="s">
        <v>7271</v>
      </c>
      <c r="V1896" s="168">
        <f t="shared" si="3"/>
        <v>17571.796</v>
      </c>
      <c r="W1896" s="168">
        <f t="shared" si="4"/>
        <v>0</v>
      </c>
      <c r="X1896" s="168">
        <f t="shared" si="5"/>
        <v>0</v>
      </c>
      <c r="Y1896" s="168">
        <f t="shared" si="6"/>
        <v>0</v>
      </c>
      <c r="Z1896" s="168">
        <f t="shared" si="7"/>
        <v>0</v>
      </c>
      <c r="AA1896" s="168">
        <f t="shared" si="8"/>
        <v>0</v>
      </c>
      <c r="AB1896" s="168">
        <f t="shared" si="9"/>
        <v>0</v>
      </c>
    </row>
    <row r="1897" ht="15.0" customHeight="1">
      <c r="A1897" s="157" t="s">
        <v>9176</v>
      </c>
      <c r="B1897" s="169" t="s">
        <v>38</v>
      </c>
      <c r="C1897" s="169" t="s">
        <v>9163</v>
      </c>
      <c r="D1897" s="317">
        <v>44869.0</v>
      </c>
      <c r="E1897" s="157" t="s">
        <v>600</v>
      </c>
      <c r="F1897" s="160">
        <v>12866.71</v>
      </c>
      <c r="G1897" s="160">
        <f>'FACUS$'!$F1897*0.16</f>
        <v>2058.6736</v>
      </c>
      <c r="H1897" s="160">
        <f t="shared" si="63"/>
        <v>14925.3836</v>
      </c>
      <c r="I1897" s="172"/>
      <c r="J1897" s="169"/>
      <c r="K1897" s="172"/>
      <c r="L1897" s="172">
        <f>+'FACUS$'!$H1897-'FACUS$'!$I1897-'FACUS$'!$K1897</f>
        <v>14925.3836</v>
      </c>
      <c r="M1897" s="162" t="s">
        <v>145</v>
      </c>
      <c r="N1897" s="337" t="s">
        <v>554</v>
      </c>
      <c r="O1897" s="338">
        <v>44901.0</v>
      </c>
      <c r="P1897" s="164">
        <f t="array" ref="P1897">XLOOKUP('FACUS$'!$B1897,'perfil de pagos'!$A$4:$A$46,'perfil de pagos'!$C$4:$C$46+'FACUS$'!$D1897)</f>
        <v>44899</v>
      </c>
      <c r="Q1897" s="165">
        <f t="shared" si="2"/>
        <v>0</v>
      </c>
      <c r="R1897" s="167"/>
      <c r="S1897" s="167">
        <v>1786.0</v>
      </c>
      <c r="T1897" s="167"/>
      <c r="U1897" s="334" t="s">
        <v>7271</v>
      </c>
      <c r="V1897" s="168">
        <f t="shared" si="3"/>
        <v>14925.3836</v>
      </c>
      <c r="W1897" s="168">
        <f t="shared" si="4"/>
        <v>0</v>
      </c>
      <c r="X1897" s="168">
        <f t="shared" si="5"/>
        <v>0</v>
      </c>
      <c r="Y1897" s="168">
        <f t="shared" si="6"/>
        <v>0</v>
      </c>
      <c r="Z1897" s="168">
        <f t="shared" si="7"/>
        <v>0</v>
      </c>
      <c r="AA1897" s="168">
        <f t="shared" si="8"/>
        <v>0</v>
      </c>
      <c r="AB1897" s="168">
        <f t="shared" si="9"/>
        <v>0</v>
      </c>
    </row>
    <row r="1898" ht="15.0" customHeight="1">
      <c r="A1898" s="157" t="s">
        <v>9177</v>
      </c>
      <c r="B1898" s="169" t="s">
        <v>18</v>
      </c>
      <c r="C1898" s="169" t="s">
        <v>9163</v>
      </c>
      <c r="D1898" s="317">
        <v>44872.0</v>
      </c>
      <c r="E1898" s="157" t="s">
        <v>600</v>
      </c>
      <c r="F1898" s="160">
        <v>9225.05</v>
      </c>
      <c r="G1898" s="160">
        <f>'FACUS$'!$F1898*0.16</f>
        <v>1476.008</v>
      </c>
      <c r="H1898" s="160">
        <f t="shared" si="63"/>
        <v>10701.058</v>
      </c>
      <c r="I1898" s="172"/>
      <c r="J1898" s="169"/>
      <c r="K1898" s="172"/>
      <c r="L1898" s="172">
        <f>+'FACUS$'!$H1898-'FACUS$'!$I1898-'FACUS$'!$K1898</f>
        <v>10701.058</v>
      </c>
      <c r="M1898" s="162" t="s">
        <v>586</v>
      </c>
      <c r="N1898" s="337" t="s">
        <v>554</v>
      </c>
      <c r="O1898" s="338">
        <v>45050.0</v>
      </c>
      <c r="P1898" s="164">
        <f t="array" ref="P1898">XLOOKUP('FACUS$'!$B1898,'perfil de pagos'!$A$4:$A$46,'perfil de pagos'!$C$4:$C$46+'FACUS$'!$D1898)</f>
        <v>44882</v>
      </c>
      <c r="Q1898" s="165">
        <f t="shared" si="2"/>
        <v>0</v>
      </c>
      <c r="R1898" s="167"/>
      <c r="S1898" s="167">
        <v>2148.0</v>
      </c>
      <c r="T1898" s="167"/>
      <c r="U1898" s="334" t="s">
        <v>7271</v>
      </c>
      <c r="V1898" s="168">
        <f t="shared" si="3"/>
        <v>10701.058</v>
      </c>
      <c r="W1898" s="168">
        <f t="shared" si="4"/>
        <v>0</v>
      </c>
      <c r="X1898" s="168">
        <f t="shared" si="5"/>
        <v>0</v>
      </c>
      <c r="Y1898" s="168">
        <f t="shared" si="6"/>
        <v>0</v>
      </c>
      <c r="Z1898" s="168">
        <f t="shared" si="7"/>
        <v>0</v>
      </c>
      <c r="AA1898" s="168">
        <f t="shared" si="8"/>
        <v>0</v>
      </c>
      <c r="AB1898" s="168">
        <f t="shared" si="9"/>
        <v>0</v>
      </c>
    </row>
    <row r="1899" ht="15.0" customHeight="1">
      <c r="A1899" s="157" t="s">
        <v>9178</v>
      </c>
      <c r="B1899" s="169" t="s">
        <v>20</v>
      </c>
      <c r="C1899" s="169" t="s">
        <v>9163</v>
      </c>
      <c r="D1899" s="317">
        <v>44872.0</v>
      </c>
      <c r="E1899" s="157" t="s">
        <v>600</v>
      </c>
      <c r="F1899" s="160">
        <v>14422.68</v>
      </c>
      <c r="G1899" s="160">
        <f>'FACUS$'!$F1899*0.16</f>
        <v>2307.6288</v>
      </c>
      <c r="H1899" s="160">
        <f t="shared" si="63"/>
        <v>16730.3088</v>
      </c>
      <c r="I1899" s="172"/>
      <c r="J1899" s="169"/>
      <c r="K1899" s="172"/>
      <c r="L1899" s="172">
        <f>+'FACUS$'!$H1899-'FACUS$'!$I1899-'FACUS$'!$K1899</f>
        <v>16730.3088</v>
      </c>
      <c r="M1899" s="162" t="s">
        <v>732</v>
      </c>
      <c r="N1899" s="337" t="s">
        <v>554</v>
      </c>
      <c r="O1899" s="338">
        <v>45050.0</v>
      </c>
      <c r="P1899" s="164">
        <f t="array" ref="P1899">XLOOKUP('FACUS$'!$B1899,'perfil de pagos'!$A$4:$A$46,'perfil de pagos'!$C$4:$C$46+'FACUS$'!$D1899)</f>
        <v>44882</v>
      </c>
      <c r="Q1899" s="165">
        <f t="shared" si="2"/>
        <v>0</v>
      </c>
      <c r="R1899" s="397"/>
      <c r="S1899" s="167">
        <v>2148.0</v>
      </c>
      <c r="T1899" s="167"/>
      <c r="U1899" s="334" t="s">
        <v>7271</v>
      </c>
      <c r="V1899" s="168">
        <f t="shared" si="3"/>
        <v>16730.3088</v>
      </c>
      <c r="W1899" s="168">
        <f t="shared" si="4"/>
        <v>0</v>
      </c>
      <c r="X1899" s="168">
        <f t="shared" si="5"/>
        <v>0</v>
      </c>
      <c r="Y1899" s="168">
        <f t="shared" si="6"/>
        <v>0</v>
      </c>
      <c r="Z1899" s="168">
        <f t="shared" si="7"/>
        <v>0</v>
      </c>
      <c r="AA1899" s="168">
        <f t="shared" si="8"/>
        <v>0</v>
      </c>
      <c r="AB1899" s="168">
        <f t="shared" si="9"/>
        <v>0</v>
      </c>
    </row>
    <row r="1900" ht="15.0" customHeight="1">
      <c r="A1900" s="157" t="s">
        <v>9179</v>
      </c>
      <c r="B1900" s="169" t="s">
        <v>22</v>
      </c>
      <c r="C1900" s="169" t="s">
        <v>9163</v>
      </c>
      <c r="D1900" s="317">
        <v>44872.0</v>
      </c>
      <c r="E1900" s="157" t="s">
        <v>600</v>
      </c>
      <c r="F1900" s="160">
        <v>14952.74</v>
      </c>
      <c r="G1900" s="160">
        <f>'FACUS$'!$F1900*0.16</f>
        <v>2392.4384</v>
      </c>
      <c r="H1900" s="160">
        <f>F1900+G1900-15231.91</f>
        <v>2113.2684</v>
      </c>
      <c r="I1900" s="172"/>
      <c r="J1900" s="169"/>
      <c r="K1900" s="172"/>
      <c r="L1900" s="172">
        <f>+'FACUS$'!$H1900-'FACUS$'!$I1900-'FACUS$'!$K1900</f>
        <v>2113.2684</v>
      </c>
      <c r="M1900" s="162" t="s">
        <v>220</v>
      </c>
      <c r="N1900" s="337" t="s">
        <v>554</v>
      </c>
      <c r="O1900" s="338">
        <v>44956.0</v>
      </c>
      <c r="P1900" s="164">
        <f t="array" ref="P1900">XLOOKUP('FACUS$'!$B1900,'perfil de pagos'!$A$4:$A$46,'perfil de pagos'!$C$4:$C$46+'FACUS$'!$D1900)</f>
        <v>44882</v>
      </c>
      <c r="Q1900" s="165">
        <f t="shared" si="2"/>
        <v>0</v>
      </c>
      <c r="R1900" s="220" t="s">
        <v>9180</v>
      </c>
      <c r="S1900" s="167"/>
      <c r="T1900" s="167"/>
      <c r="U1900" s="334" t="s">
        <v>7271</v>
      </c>
      <c r="V1900" s="168">
        <f t="shared" si="3"/>
        <v>2113.2684</v>
      </c>
      <c r="W1900" s="168">
        <f t="shared" si="4"/>
        <v>0</v>
      </c>
      <c r="X1900" s="168">
        <f t="shared" si="5"/>
        <v>0</v>
      </c>
      <c r="Y1900" s="168">
        <f t="shared" si="6"/>
        <v>0</v>
      </c>
      <c r="Z1900" s="168">
        <f t="shared" si="7"/>
        <v>0</v>
      </c>
      <c r="AA1900" s="168">
        <f t="shared" si="8"/>
        <v>0</v>
      </c>
      <c r="AB1900" s="168">
        <f t="shared" si="9"/>
        <v>0</v>
      </c>
    </row>
    <row r="1901" ht="15.0" customHeight="1">
      <c r="A1901" s="157" t="s">
        <v>9181</v>
      </c>
      <c r="B1901" s="169" t="s">
        <v>37</v>
      </c>
      <c r="C1901" s="169" t="s">
        <v>9163</v>
      </c>
      <c r="D1901" s="317">
        <v>44872.0</v>
      </c>
      <c r="E1901" s="157" t="s">
        <v>600</v>
      </c>
      <c r="F1901" s="160">
        <v>100085.14</v>
      </c>
      <c r="G1901" s="160">
        <f>'FACUS$'!$F1901*0.16</f>
        <v>16013.6224</v>
      </c>
      <c r="H1901" s="160">
        <f t="shared" ref="H1901:H1923" si="64">F1901+G1901</f>
        <v>116098.7624</v>
      </c>
      <c r="I1901" s="172"/>
      <c r="J1901" s="169"/>
      <c r="K1901" s="172"/>
      <c r="L1901" s="172">
        <f>+'FACUS$'!$H1901-'FACUS$'!$I1901-'FACUS$'!$K1901</f>
        <v>116098.7624</v>
      </c>
      <c r="M1901" s="162" t="s">
        <v>116</v>
      </c>
      <c r="N1901" s="337" t="s">
        <v>554</v>
      </c>
      <c r="O1901" s="338">
        <v>44883.0</v>
      </c>
      <c r="P1901" s="164">
        <f t="array" ref="P1901">XLOOKUP('FACUS$'!$B1901,'perfil de pagos'!$A$4:$A$46,'perfil de pagos'!$C$4:$C$46+'FACUS$'!$D1901)</f>
        <v>44882</v>
      </c>
      <c r="Q1901" s="165">
        <f t="shared" si="2"/>
        <v>0</v>
      </c>
      <c r="R1901" s="220" t="s">
        <v>9182</v>
      </c>
      <c r="S1901" s="167">
        <v>1727.0</v>
      </c>
      <c r="T1901" s="167"/>
      <c r="U1901" s="334" t="s">
        <v>7271</v>
      </c>
      <c r="V1901" s="168">
        <f t="shared" si="3"/>
        <v>116098.7624</v>
      </c>
      <c r="W1901" s="168">
        <f t="shared" si="4"/>
        <v>0</v>
      </c>
      <c r="X1901" s="168">
        <f t="shared" si="5"/>
        <v>0</v>
      </c>
      <c r="Y1901" s="168">
        <f t="shared" si="6"/>
        <v>0</v>
      </c>
      <c r="Z1901" s="168">
        <f t="shared" si="7"/>
        <v>0</v>
      </c>
      <c r="AA1901" s="168">
        <f t="shared" si="8"/>
        <v>0</v>
      </c>
      <c r="AB1901" s="168">
        <f t="shared" si="9"/>
        <v>0</v>
      </c>
    </row>
    <row r="1902" ht="15.0" customHeight="1">
      <c r="A1902" s="157" t="s">
        <v>9183</v>
      </c>
      <c r="B1902" s="169" t="s">
        <v>25</v>
      </c>
      <c r="C1902" s="169" t="s">
        <v>9163</v>
      </c>
      <c r="D1902" s="317">
        <v>44873.0</v>
      </c>
      <c r="E1902" s="157" t="s">
        <v>600</v>
      </c>
      <c r="F1902" s="160">
        <v>614.23</v>
      </c>
      <c r="G1902" s="160">
        <f>'FACUS$'!$F1902*0.16</f>
        <v>98.2768</v>
      </c>
      <c r="H1902" s="160">
        <f t="shared" si="64"/>
        <v>712.5068</v>
      </c>
      <c r="I1902" s="172"/>
      <c r="J1902" s="169"/>
      <c r="K1902" s="172"/>
      <c r="L1902" s="172">
        <f>+'FACUS$'!$H1902-'FACUS$'!$I1902-'FACUS$'!$K1902</f>
        <v>712.5068</v>
      </c>
      <c r="M1902" s="162" t="s">
        <v>4388</v>
      </c>
      <c r="N1902" s="337" t="s">
        <v>554</v>
      </c>
      <c r="O1902" s="338">
        <v>44964.0</v>
      </c>
      <c r="P1902" s="164">
        <f t="array" ref="P1902">XLOOKUP('FACUS$'!$B1902,'perfil de pagos'!$A$4:$A$46,'perfil de pagos'!$C$4:$C$46+'FACUS$'!$D1902)</f>
        <v>44883</v>
      </c>
      <c r="Q1902" s="165">
        <f t="shared" si="2"/>
        <v>0</v>
      </c>
      <c r="R1902" s="167"/>
      <c r="S1902" s="167">
        <v>1947.0</v>
      </c>
      <c r="T1902" s="167"/>
      <c r="U1902" s="334" t="s">
        <v>7271</v>
      </c>
      <c r="V1902" s="168">
        <f t="shared" si="3"/>
        <v>712.5068</v>
      </c>
      <c r="W1902" s="168">
        <f t="shared" si="4"/>
        <v>0</v>
      </c>
      <c r="X1902" s="168">
        <f t="shared" si="5"/>
        <v>0</v>
      </c>
      <c r="Y1902" s="168">
        <f t="shared" si="6"/>
        <v>0</v>
      </c>
      <c r="Z1902" s="168">
        <f t="shared" si="7"/>
        <v>0</v>
      </c>
      <c r="AA1902" s="168">
        <f t="shared" si="8"/>
        <v>0</v>
      </c>
      <c r="AB1902" s="168">
        <f t="shared" si="9"/>
        <v>0</v>
      </c>
    </row>
    <row r="1903" ht="15.0" customHeight="1">
      <c r="A1903" s="157" t="s">
        <v>9184</v>
      </c>
      <c r="B1903" s="169" t="s">
        <v>31</v>
      </c>
      <c r="C1903" s="169" t="s">
        <v>9185</v>
      </c>
      <c r="D1903" s="317">
        <v>44873.0</v>
      </c>
      <c r="E1903" s="157" t="s">
        <v>600</v>
      </c>
      <c r="F1903" s="160">
        <v>8045.0</v>
      </c>
      <c r="G1903" s="160">
        <f>'FACUS$'!$F1903*0.16</f>
        <v>1287.2</v>
      </c>
      <c r="H1903" s="160">
        <f t="shared" si="64"/>
        <v>9332.2</v>
      </c>
      <c r="I1903" s="172"/>
      <c r="J1903" s="169"/>
      <c r="K1903" s="172"/>
      <c r="L1903" s="172">
        <f>+'FACUS$'!$H1903-'FACUS$'!$I1903-'FACUS$'!$K1903</f>
        <v>9332.2</v>
      </c>
      <c r="M1903" s="162" t="s">
        <v>3183</v>
      </c>
      <c r="N1903" s="337" t="s">
        <v>554</v>
      </c>
      <c r="O1903" s="338">
        <v>44876.0</v>
      </c>
      <c r="P1903" s="164">
        <f t="array" ref="P1903">XLOOKUP('FACUS$'!$B1903,'perfil de pagos'!$A$4:$A$46,'perfil de pagos'!$C$4:$C$46+'FACUS$'!$D1903)</f>
        <v>44876</v>
      </c>
      <c r="Q1903" s="165">
        <f t="shared" si="2"/>
        <v>0</v>
      </c>
      <c r="R1903" s="167"/>
      <c r="S1903" s="167">
        <v>1712.0</v>
      </c>
      <c r="T1903" s="167"/>
      <c r="U1903" s="334" t="s">
        <v>7271</v>
      </c>
      <c r="V1903" s="168">
        <f t="shared" si="3"/>
        <v>9332.2</v>
      </c>
      <c r="W1903" s="168">
        <f t="shared" si="4"/>
        <v>0</v>
      </c>
      <c r="X1903" s="168">
        <f t="shared" si="5"/>
        <v>0</v>
      </c>
      <c r="Y1903" s="168">
        <f t="shared" si="6"/>
        <v>0</v>
      </c>
      <c r="Z1903" s="168">
        <f t="shared" si="7"/>
        <v>0</v>
      </c>
      <c r="AA1903" s="168">
        <f t="shared" si="8"/>
        <v>0</v>
      </c>
      <c r="AB1903" s="168">
        <f t="shared" si="9"/>
        <v>0</v>
      </c>
    </row>
    <row r="1904" ht="15.0" customHeight="1">
      <c r="A1904" s="210" t="s">
        <v>9186</v>
      </c>
      <c r="B1904" s="189" t="s">
        <v>9187</v>
      </c>
      <c r="C1904" s="189" t="s">
        <v>9188</v>
      </c>
      <c r="D1904" s="388">
        <v>44881.0</v>
      </c>
      <c r="E1904" s="210" t="s">
        <v>600</v>
      </c>
      <c r="F1904" s="211">
        <v>45000.0</v>
      </c>
      <c r="G1904" s="211">
        <f>'FACUS$'!$F1904*0.16</f>
        <v>7200</v>
      </c>
      <c r="H1904" s="211">
        <f t="shared" si="64"/>
        <v>52200</v>
      </c>
      <c r="I1904" s="188"/>
      <c r="J1904" s="189"/>
      <c r="K1904" s="188"/>
      <c r="L1904" s="188">
        <f>+'FACUS$'!$H1904-'FACUS$'!$I1904-'FACUS$'!$K1904</f>
        <v>52200</v>
      </c>
      <c r="M1904" s="227" t="s">
        <v>91</v>
      </c>
      <c r="N1904" s="376" t="s">
        <v>127</v>
      </c>
      <c r="O1904" s="377"/>
      <c r="P1904" s="245" t="str">
        <f t="array" ref="P1904">XLOOKUP('FACUS$'!$B1904,'perfil de pagos'!$A$4:$A$46,'perfil de pagos'!$C$4:$C$46+'FACUS$'!$D1904)</f>
        <v>#N/A</v>
      </c>
      <c r="Q1904" s="246" t="str">
        <f t="shared" si="2"/>
        <v>N/A</v>
      </c>
      <c r="R1904" s="223" t="s">
        <v>9189</v>
      </c>
      <c r="S1904" s="223"/>
      <c r="T1904" s="223"/>
      <c r="U1904" s="378" t="s">
        <v>7271</v>
      </c>
      <c r="V1904" s="168">
        <f t="shared" si="3"/>
        <v>0</v>
      </c>
      <c r="W1904" s="168">
        <f t="shared" si="4"/>
        <v>0</v>
      </c>
      <c r="X1904" s="168">
        <f t="shared" si="5"/>
        <v>0</v>
      </c>
      <c r="Y1904" s="168">
        <f t="shared" si="6"/>
        <v>0</v>
      </c>
      <c r="Z1904" s="168">
        <f t="shared" si="7"/>
        <v>0</v>
      </c>
      <c r="AA1904" s="168">
        <f t="shared" si="8"/>
        <v>0</v>
      </c>
      <c r="AB1904" s="168">
        <f t="shared" si="9"/>
        <v>52200</v>
      </c>
      <c r="AC1904" s="81"/>
      <c r="AD1904" s="81"/>
      <c r="AE1904" s="81"/>
    </row>
    <row r="1905" ht="15.0" customHeight="1">
      <c r="A1905" s="157" t="s">
        <v>9190</v>
      </c>
      <c r="B1905" s="169" t="s">
        <v>31</v>
      </c>
      <c r="C1905" s="169" t="s">
        <v>9191</v>
      </c>
      <c r="D1905" s="317">
        <v>44881.0</v>
      </c>
      <c r="E1905" s="157" t="s">
        <v>600</v>
      </c>
      <c r="F1905" s="160">
        <v>15910.67</v>
      </c>
      <c r="G1905" s="160">
        <f>'FACUS$'!$F1905*0.16</f>
        <v>2545.7072</v>
      </c>
      <c r="H1905" s="160">
        <f t="shared" si="64"/>
        <v>18456.3772</v>
      </c>
      <c r="I1905" s="172"/>
      <c r="J1905" s="169"/>
      <c r="K1905" s="172"/>
      <c r="L1905" s="172">
        <f>+'FACUS$'!$H1905-'FACUS$'!$I1905-'FACUS$'!$K1905</f>
        <v>18456.3772</v>
      </c>
      <c r="M1905" s="162" t="s">
        <v>3183</v>
      </c>
      <c r="N1905" s="337" t="s">
        <v>554</v>
      </c>
      <c r="O1905" s="338">
        <v>44883.0</v>
      </c>
      <c r="P1905" s="164">
        <f t="array" ref="P1905">XLOOKUP('FACUS$'!$B1905,'perfil de pagos'!$A$4:$A$46,'perfil de pagos'!$C$4:$C$46+'FACUS$'!$D1905)</f>
        <v>44884</v>
      </c>
      <c r="Q1905" s="165">
        <f t="shared" si="2"/>
        <v>0</v>
      </c>
      <c r="R1905" s="167"/>
      <c r="S1905" s="167">
        <v>1729.0</v>
      </c>
      <c r="T1905" s="167"/>
      <c r="U1905" s="334" t="s">
        <v>7271</v>
      </c>
      <c r="V1905" s="168">
        <f t="shared" si="3"/>
        <v>18456.3772</v>
      </c>
      <c r="W1905" s="168">
        <f t="shared" si="4"/>
        <v>0</v>
      </c>
      <c r="X1905" s="168">
        <f t="shared" si="5"/>
        <v>0</v>
      </c>
      <c r="Y1905" s="168">
        <f t="shared" si="6"/>
        <v>0</v>
      </c>
      <c r="Z1905" s="168">
        <f t="shared" si="7"/>
        <v>0</v>
      </c>
      <c r="AA1905" s="168">
        <f t="shared" si="8"/>
        <v>0</v>
      </c>
      <c r="AB1905" s="168">
        <f t="shared" si="9"/>
        <v>0</v>
      </c>
    </row>
    <row r="1906" ht="15.75" customHeight="1">
      <c r="A1906" s="157" t="s">
        <v>9192</v>
      </c>
      <c r="B1906" s="169" t="s">
        <v>15</v>
      </c>
      <c r="C1906" s="169" t="s">
        <v>9193</v>
      </c>
      <c r="D1906" s="317">
        <v>44882.0</v>
      </c>
      <c r="E1906" s="157" t="s">
        <v>600</v>
      </c>
      <c r="F1906" s="160">
        <v>41870.21</v>
      </c>
      <c r="G1906" s="160">
        <f>'FACUS$'!$F1906*0.16</f>
        <v>6699.2336</v>
      </c>
      <c r="H1906" s="160">
        <f t="shared" si="64"/>
        <v>48569.4436</v>
      </c>
      <c r="I1906" s="172"/>
      <c r="J1906" s="169"/>
      <c r="K1906" s="172"/>
      <c r="L1906" s="172">
        <f>+'FACUS$'!$H1906-'FACUS$'!$I1906-'FACUS$'!$K1906</f>
        <v>48569.4436</v>
      </c>
      <c r="M1906" s="162" t="s">
        <v>443</v>
      </c>
      <c r="N1906" s="337" t="s">
        <v>554</v>
      </c>
      <c r="O1906" s="338">
        <v>44901.0</v>
      </c>
      <c r="P1906" s="164">
        <f t="array" ref="P1906">XLOOKUP('FACUS$'!$B1906,'perfil de pagos'!$A$4:$A$46,'perfil de pagos'!$C$4:$C$46+'FACUS$'!$D1906)</f>
        <v>44892</v>
      </c>
      <c r="Q1906" s="165">
        <f t="shared" si="2"/>
        <v>0</v>
      </c>
      <c r="R1906" s="167"/>
      <c r="S1906" s="167">
        <v>1785.0</v>
      </c>
      <c r="T1906" s="167"/>
      <c r="U1906" s="334" t="s">
        <v>7271</v>
      </c>
      <c r="V1906" s="168">
        <f t="shared" si="3"/>
        <v>48569.4436</v>
      </c>
      <c r="W1906" s="168">
        <f t="shared" si="4"/>
        <v>0</v>
      </c>
      <c r="X1906" s="168">
        <f t="shared" si="5"/>
        <v>0</v>
      </c>
      <c r="Y1906" s="168">
        <f t="shared" si="6"/>
        <v>0</v>
      </c>
      <c r="Z1906" s="168">
        <f t="shared" si="7"/>
        <v>0</v>
      </c>
      <c r="AA1906" s="168">
        <f t="shared" si="8"/>
        <v>0</v>
      </c>
      <c r="AB1906" s="168">
        <f t="shared" si="9"/>
        <v>0</v>
      </c>
    </row>
    <row r="1907" ht="15.0" customHeight="1">
      <c r="A1907" s="157" t="s">
        <v>9194</v>
      </c>
      <c r="B1907" s="169" t="s">
        <v>17</v>
      </c>
      <c r="C1907" s="169" t="s">
        <v>4417</v>
      </c>
      <c r="D1907" s="317">
        <v>44882.0</v>
      </c>
      <c r="E1907" s="157" t="s">
        <v>600</v>
      </c>
      <c r="F1907" s="160">
        <v>9071.21</v>
      </c>
      <c r="G1907" s="160">
        <f>'FACUS$'!$F1907*0.16</f>
        <v>1451.3936</v>
      </c>
      <c r="H1907" s="160">
        <f t="shared" si="64"/>
        <v>10522.6036</v>
      </c>
      <c r="I1907" s="172"/>
      <c r="J1907" s="169"/>
      <c r="K1907" s="172"/>
      <c r="L1907" s="172">
        <f>+'FACUS$'!$H1907-'FACUS$'!$I1907-'FACUS$'!$K1907</f>
        <v>10522.6036</v>
      </c>
      <c r="M1907" s="162" t="s">
        <v>17</v>
      </c>
      <c r="N1907" s="337" t="s">
        <v>554</v>
      </c>
      <c r="O1907" s="338">
        <v>44896.0</v>
      </c>
      <c r="P1907" s="164">
        <f t="array" ref="P1907">XLOOKUP('FACUS$'!$B1907,'perfil de pagos'!$A$4:$A$46,'perfil de pagos'!$C$4:$C$46+'FACUS$'!$D1907)</f>
        <v>44892</v>
      </c>
      <c r="Q1907" s="165">
        <f t="shared" si="2"/>
        <v>0</v>
      </c>
      <c r="R1907" s="167"/>
      <c r="S1907" s="167">
        <v>1772.0</v>
      </c>
      <c r="T1907" s="167"/>
      <c r="U1907" s="334" t="s">
        <v>7271</v>
      </c>
      <c r="V1907" s="168">
        <f t="shared" si="3"/>
        <v>10522.6036</v>
      </c>
      <c r="W1907" s="168">
        <f t="shared" si="4"/>
        <v>0</v>
      </c>
      <c r="X1907" s="168">
        <f t="shared" si="5"/>
        <v>0</v>
      </c>
      <c r="Y1907" s="168">
        <f t="shared" si="6"/>
        <v>0</v>
      </c>
      <c r="Z1907" s="168">
        <f t="shared" si="7"/>
        <v>0</v>
      </c>
      <c r="AA1907" s="168">
        <f t="shared" si="8"/>
        <v>0</v>
      </c>
      <c r="AB1907" s="168">
        <f t="shared" si="9"/>
        <v>0</v>
      </c>
    </row>
    <row r="1908" ht="15.0" customHeight="1">
      <c r="A1908" s="157" t="s">
        <v>9195</v>
      </c>
      <c r="B1908" s="169" t="s">
        <v>17</v>
      </c>
      <c r="C1908" s="169" t="s">
        <v>9196</v>
      </c>
      <c r="D1908" s="317">
        <v>44882.0</v>
      </c>
      <c r="E1908" s="157" t="s">
        <v>600</v>
      </c>
      <c r="F1908" s="160">
        <v>13194.32</v>
      </c>
      <c r="G1908" s="160">
        <f>'FACUS$'!$F1908*0.16</f>
        <v>2111.0912</v>
      </c>
      <c r="H1908" s="160">
        <f t="shared" si="64"/>
        <v>15305.4112</v>
      </c>
      <c r="I1908" s="172"/>
      <c r="J1908" s="169"/>
      <c r="K1908" s="172"/>
      <c r="L1908" s="172">
        <f>+'FACUS$'!$H1908-'FACUS$'!$I1908-'FACUS$'!$K1908</f>
        <v>15305.4112</v>
      </c>
      <c r="M1908" s="162" t="s">
        <v>17</v>
      </c>
      <c r="N1908" s="337" t="s">
        <v>554</v>
      </c>
      <c r="O1908" s="338">
        <v>44896.0</v>
      </c>
      <c r="P1908" s="164">
        <f t="array" ref="P1908">XLOOKUP('FACUS$'!$B1908,'perfil de pagos'!$A$4:$A$46,'perfil de pagos'!$C$4:$C$46+'FACUS$'!$D1908)</f>
        <v>44892</v>
      </c>
      <c r="Q1908" s="165">
        <f t="shared" si="2"/>
        <v>0</v>
      </c>
      <c r="R1908" s="167"/>
      <c r="S1908" s="167">
        <v>1771.0</v>
      </c>
      <c r="T1908" s="167"/>
      <c r="U1908" s="334" t="s">
        <v>7271</v>
      </c>
      <c r="V1908" s="168">
        <f t="shared" si="3"/>
        <v>15305.4112</v>
      </c>
      <c r="W1908" s="168">
        <f t="shared" si="4"/>
        <v>0</v>
      </c>
      <c r="X1908" s="168">
        <f t="shared" si="5"/>
        <v>0</v>
      </c>
      <c r="Y1908" s="168">
        <f t="shared" si="6"/>
        <v>0</v>
      </c>
      <c r="Z1908" s="168">
        <f t="shared" si="7"/>
        <v>0</v>
      </c>
      <c r="AA1908" s="168">
        <f t="shared" si="8"/>
        <v>0</v>
      </c>
      <c r="AB1908" s="168">
        <f t="shared" si="9"/>
        <v>0</v>
      </c>
    </row>
    <row r="1909" ht="15.0" customHeight="1">
      <c r="A1909" s="157" t="s">
        <v>9197</v>
      </c>
      <c r="B1909" s="169" t="s">
        <v>35</v>
      </c>
      <c r="C1909" s="169" t="s">
        <v>9196</v>
      </c>
      <c r="D1909" s="317">
        <v>44882.0</v>
      </c>
      <c r="E1909" s="157" t="s">
        <v>600</v>
      </c>
      <c r="F1909" s="160">
        <v>11877.7</v>
      </c>
      <c r="G1909" s="160">
        <f>'FACUS$'!$F1909*0.16</f>
        <v>1900.432</v>
      </c>
      <c r="H1909" s="160">
        <f t="shared" si="64"/>
        <v>13778.132</v>
      </c>
      <c r="I1909" s="172"/>
      <c r="J1909" s="169"/>
      <c r="K1909" s="172"/>
      <c r="L1909" s="172">
        <f>+'FACUS$'!$H1909-'FACUS$'!$I1909-'FACUS$'!$K1909</f>
        <v>13778.132</v>
      </c>
      <c r="M1909" s="162" t="s">
        <v>276</v>
      </c>
      <c r="N1909" s="337" t="s">
        <v>554</v>
      </c>
      <c r="O1909" s="338">
        <v>44924.0</v>
      </c>
      <c r="P1909" s="164">
        <f t="array" ref="P1909">XLOOKUP('FACUS$'!$B1909,'perfil de pagos'!$A$4:$A$46,'perfil de pagos'!$C$4:$C$46+'FACUS$'!$D1909)</f>
        <v>44892</v>
      </c>
      <c r="Q1909" s="165">
        <f t="shared" si="2"/>
        <v>0</v>
      </c>
      <c r="R1909" s="167"/>
      <c r="S1909" s="167"/>
      <c r="T1909" s="167"/>
      <c r="U1909" s="334" t="s">
        <v>7271</v>
      </c>
      <c r="V1909" s="168">
        <f t="shared" si="3"/>
        <v>13778.132</v>
      </c>
      <c r="W1909" s="168">
        <f t="shared" si="4"/>
        <v>0</v>
      </c>
      <c r="X1909" s="168">
        <f t="shared" si="5"/>
        <v>0</v>
      </c>
      <c r="Y1909" s="168">
        <f t="shared" si="6"/>
        <v>0</v>
      </c>
      <c r="Z1909" s="168">
        <f t="shared" si="7"/>
        <v>0</v>
      </c>
      <c r="AA1909" s="168">
        <f t="shared" si="8"/>
        <v>0</v>
      </c>
      <c r="AB1909" s="168">
        <f t="shared" si="9"/>
        <v>0</v>
      </c>
    </row>
    <row r="1910" ht="15.0" customHeight="1">
      <c r="A1910" s="157" t="s">
        <v>9198</v>
      </c>
      <c r="B1910" s="169" t="s">
        <v>36</v>
      </c>
      <c r="C1910" s="169" t="s">
        <v>9196</v>
      </c>
      <c r="D1910" s="317">
        <v>44882.0</v>
      </c>
      <c r="E1910" s="157" t="s">
        <v>600</v>
      </c>
      <c r="F1910" s="160">
        <v>2696.01</v>
      </c>
      <c r="G1910" s="160">
        <f>'FACUS$'!$F1910*0.16</f>
        <v>431.3616</v>
      </c>
      <c r="H1910" s="160">
        <f t="shared" si="64"/>
        <v>3127.3716</v>
      </c>
      <c r="I1910" s="172"/>
      <c r="J1910" s="169"/>
      <c r="K1910" s="172"/>
      <c r="L1910" s="172">
        <f>+'FACUS$'!$H1910-'FACUS$'!$I1910-'FACUS$'!$K1910</f>
        <v>3127.3716</v>
      </c>
      <c r="M1910" s="162" t="s">
        <v>278</v>
      </c>
      <c r="N1910" s="337" t="s">
        <v>554</v>
      </c>
      <c r="O1910" s="338">
        <v>44895.0</v>
      </c>
      <c r="P1910" s="164">
        <f t="array" ref="P1910">XLOOKUP('FACUS$'!$B1910,'perfil de pagos'!$A$4:$A$46,'perfil de pagos'!$C$4:$C$46+'FACUS$'!$D1910)</f>
        <v>44892</v>
      </c>
      <c r="Q1910" s="165">
        <f t="shared" si="2"/>
        <v>0</v>
      </c>
      <c r="R1910" s="247" t="s">
        <v>9199</v>
      </c>
      <c r="S1910" s="167">
        <v>1767.0</v>
      </c>
      <c r="T1910" s="167"/>
      <c r="U1910" s="334" t="s">
        <v>7271</v>
      </c>
      <c r="V1910" s="168">
        <f t="shared" si="3"/>
        <v>3127.3716</v>
      </c>
      <c r="W1910" s="168">
        <f t="shared" si="4"/>
        <v>0</v>
      </c>
      <c r="X1910" s="168">
        <f t="shared" si="5"/>
        <v>0</v>
      </c>
      <c r="Y1910" s="168">
        <f t="shared" si="6"/>
        <v>0</v>
      </c>
      <c r="Z1910" s="168">
        <f t="shared" si="7"/>
        <v>0</v>
      </c>
      <c r="AA1910" s="168">
        <f t="shared" si="8"/>
        <v>0</v>
      </c>
      <c r="AB1910" s="168">
        <f t="shared" si="9"/>
        <v>0</v>
      </c>
    </row>
    <row r="1911" ht="15.0" customHeight="1">
      <c r="A1911" s="157" t="s">
        <v>9200</v>
      </c>
      <c r="B1911" s="169" t="s">
        <v>39</v>
      </c>
      <c r="C1911" s="169" t="s">
        <v>9201</v>
      </c>
      <c r="D1911" s="317">
        <v>44882.0</v>
      </c>
      <c r="E1911" s="157" t="s">
        <v>600</v>
      </c>
      <c r="F1911" s="160">
        <v>24622.1</v>
      </c>
      <c r="G1911" s="160">
        <f>'FACUS$'!$F1911*0.16</f>
        <v>3939.536</v>
      </c>
      <c r="H1911" s="160">
        <f t="shared" si="64"/>
        <v>28561.636</v>
      </c>
      <c r="I1911" s="172"/>
      <c r="J1911" s="169"/>
      <c r="K1911" s="172"/>
      <c r="L1911" s="172">
        <f>+'FACUS$'!$H1911-'FACUS$'!$I1911-'FACUS$'!$K1911</f>
        <v>28561.636</v>
      </c>
      <c r="M1911" s="162" t="s">
        <v>570</v>
      </c>
      <c r="N1911" s="337" t="s">
        <v>554</v>
      </c>
      <c r="O1911" s="338">
        <v>44890.0</v>
      </c>
      <c r="P1911" s="164">
        <f t="array" ref="P1911">XLOOKUP('FACUS$'!$B1911,'perfil de pagos'!$A$4:$A$46,'perfil de pagos'!$C$4:$C$46+'FACUS$'!$D1911)</f>
        <v>44892</v>
      </c>
      <c r="Q1911" s="165">
        <f t="shared" si="2"/>
        <v>0</v>
      </c>
      <c r="R1911" s="167"/>
      <c r="S1911" s="167">
        <v>1764.0</v>
      </c>
      <c r="T1911" s="167"/>
      <c r="U1911" s="334" t="s">
        <v>7271</v>
      </c>
      <c r="V1911" s="168">
        <f t="shared" si="3"/>
        <v>28561.636</v>
      </c>
      <c r="W1911" s="168">
        <f t="shared" si="4"/>
        <v>0</v>
      </c>
      <c r="X1911" s="168">
        <f t="shared" si="5"/>
        <v>0</v>
      </c>
      <c r="Y1911" s="168">
        <f t="shared" si="6"/>
        <v>0</v>
      </c>
      <c r="Z1911" s="168">
        <f t="shared" si="7"/>
        <v>0</v>
      </c>
      <c r="AA1911" s="168">
        <f t="shared" si="8"/>
        <v>0</v>
      </c>
      <c r="AB1911" s="168">
        <f t="shared" si="9"/>
        <v>0</v>
      </c>
    </row>
    <row r="1912" ht="15.0" customHeight="1">
      <c r="A1912" s="157" t="s">
        <v>9202</v>
      </c>
      <c r="B1912" s="169" t="s">
        <v>39</v>
      </c>
      <c r="C1912" s="169" t="s">
        <v>9196</v>
      </c>
      <c r="D1912" s="317">
        <v>44882.0</v>
      </c>
      <c r="E1912" s="157" t="s">
        <v>600</v>
      </c>
      <c r="F1912" s="160">
        <v>23162.95</v>
      </c>
      <c r="G1912" s="160">
        <f>'FACUS$'!$F1912*0.16</f>
        <v>3706.072</v>
      </c>
      <c r="H1912" s="160">
        <f t="shared" si="64"/>
        <v>26869.022</v>
      </c>
      <c r="I1912" s="172"/>
      <c r="J1912" s="169"/>
      <c r="K1912" s="172"/>
      <c r="L1912" s="172">
        <f>+'FACUS$'!$H1912-'FACUS$'!$I1912-'FACUS$'!$K1912</f>
        <v>26869.022</v>
      </c>
      <c r="M1912" s="162" t="s">
        <v>570</v>
      </c>
      <c r="N1912" s="337" t="s">
        <v>554</v>
      </c>
      <c r="O1912" s="338">
        <v>44890.0</v>
      </c>
      <c r="P1912" s="164">
        <f t="array" ref="P1912">XLOOKUP('FACUS$'!$B1912,'perfil de pagos'!$A$4:$A$46,'perfil de pagos'!$C$4:$C$46+'FACUS$'!$D1912)</f>
        <v>44892</v>
      </c>
      <c r="Q1912" s="165">
        <f t="shared" si="2"/>
        <v>0</v>
      </c>
      <c r="R1912" s="167"/>
      <c r="S1912" s="167">
        <v>1764.0</v>
      </c>
      <c r="T1912" s="167"/>
      <c r="U1912" s="334" t="s">
        <v>7271</v>
      </c>
      <c r="V1912" s="168">
        <f t="shared" si="3"/>
        <v>26869.022</v>
      </c>
      <c r="W1912" s="168">
        <f t="shared" si="4"/>
        <v>0</v>
      </c>
      <c r="X1912" s="168">
        <f t="shared" si="5"/>
        <v>0</v>
      </c>
      <c r="Y1912" s="168">
        <f t="shared" si="6"/>
        <v>0</v>
      </c>
      <c r="Z1912" s="168">
        <f t="shared" si="7"/>
        <v>0</v>
      </c>
      <c r="AA1912" s="168">
        <f t="shared" si="8"/>
        <v>0</v>
      </c>
      <c r="AB1912" s="168">
        <f t="shared" si="9"/>
        <v>0</v>
      </c>
    </row>
    <row r="1913" ht="15.0" customHeight="1">
      <c r="A1913" s="157" t="s">
        <v>9203</v>
      </c>
      <c r="B1913" s="169" t="s">
        <v>41</v>
      </c>
      <c r="C1913" s="169" t="s">
        <v>9196</v>
      </c>
      <c r="D1913" s="317">
        <v>44882.0</v>
      </c>
      <c r="E1913" s="157" t="s">
        <v>600</v>
      </c>
      <c r="F1913" s="160">
        <v>45355.05</v>
      </c>
      <c r="G1913" s="160">
        <f>'FACUS$'!$F1913*0.16</f>
        <v>7256.808</v>
      </c>
      <c r="H1913" s="160">
        <f t="shared" si="64"/>
        <v>52611.858</v>
      </c>
      <c r="I1913" s="172"/>
      <c r="J1913" s="169"/>
      <c r="K1913" s="172"/>
      <c r="L1913" s="172">
        <f>+'FACUS$'!$H1913-'FACUS$'!$I1913-'FACUS$'!$K1913</f>
        <v>52611.858</v>
      </c>
      <c r="M1913" s="162" t="s">
        <v>875</v>
      </c>
      <c r="N1913" s="337" t="s">
        <v>554</v>
      </c>
      <c r="O1913" s="338">
        <v>44945.0</v>
      </c>
      <c r="P1913" s="164">
        <f t="array" ref="P1913">XLOOKUP('FACUS$'!$B1913,'perfil de pagos'!$A$4:$A$46,'perfil de pagos'!$C$4:$C$46+'FACUS$'!$D1913)</f>
        <v>44892</v>
      </c>
      <c r="Q1913" s="165">
        <f t="shared" si="2"/>
        <v>0</v>
      </c>
      <c r="R1913" s="167"/>
      <c r="S1913" s="167"/>
      <c r="T1913" s="167"/>
      <c r="U1913" s="334" t="s">
        <v>7271</v>
      </c>
      <c r="V1913" s="168">
        <f t="shared" si="3"/>
        <v>52611.858</v>
      </c>
      <c r="W1913" s="168">
        <f t="shared" si="4"/>
        <v>0</v>
      </c>
      <c r="X1913" s="168">
        <f t="shared" si="5"/>
        <v>0</v>
      </c>
      <c r="Y1913" s="168">
        <f t="shared" si="6"/>
        <v>0</v>
      </c>
      <c r="Z1913" s="168">
        <f t="shared" si="7"/>
        <v>0</v>
      </c>
      <c r="AA1913" s="168">
        <f t="shared" si="8"/>
        <v>0</v>
      </c>
      <c r="AB1913" s="168">
        <f t="shared" si="9"/>
        <v>0</v>
      </c>
    </row>
    <row r="1914" ht="15.0" customHeight="1">
      <c r="A1914" s="157" t="s">
        <v>9204</v>
      </c>
      <c r="B1914" s="169" t="s">
        <v>42</v>
      </c>
      <c r="C1914" s="169" t="s">
        <v>9196</v>
      </c>
      <c r="D1914" s="317">
        <v>44882.0</v>
      </c>
      <c r="E1914" s="157" t="s">
        <v>600</v>
      </c>
      <c r="F1914" s="160">
        <v>15756.27</v>
      </c>
      <c r="G1914" s="160">
        <f>'FACUS$'!$F1914*0.16</f>
        <v>2521.0032</v>
      </c>
      <c r="H1914" s="160">
        <f t="shared" si="64"/>
        <v>18277.2732</v>
      </c>
      <c r="I1914" s="172"/>
      <c r="J1914" s="169"/>
      <c r="K1914" s="172"/>
      <c r="L1914" s="172">
        <f>+'FACUS$'!$H1914-'FACUS$'!$I1914-'FACUS$'!$K1914</f>
        <v>18277.2732</v>
      </c>
      <c r="M1914" s="162" t="s">
        <v>42</v>
      </c>
      <c r="N1914" s="337" t="s">
        <v>554</v>
      </c>
      <c r="O1914" s="338">
        <v>44904.0</v>
      </c>
      <c r="P1914" s="164">
        <f t="array" ref="P1914">XLOOKUP('FACUS$'!$B1914,'perfil de pagos'!$A$4:$A$46,'perfil de pagos'!$C$4:$C$46+'FACUS$'!$D1914)</f>
        <v>44892</v>
      </c>
      <c r="Q1914" s="165">
        <f t="shared" si="2"/>
        <v>0</v>
      </c>
      <c r="R1914" s="167"/>
      <c r="S1914" s="167">
        <v>1797.0</v>
      </c>
      <c r="T1914" s="167"/>
      <c r="U1914" s="334" t="s">
        <v>7271</v>
      </c>
      <c r="V1914" s="168">
        <f t="shared" si="3"/>
        <v>18277.2732</v>
      </c>
      <c r="W1914" s="168">
        <f t="shared" si="4"/>
        <v>0</v>
      </c>
      <c r="X1914" s="168">
        <f t="shared" si="5"/>
        <v>0</v>
      </c>
      <c r="Y1914" s="168">
        <f t="shared" si="6"/>
        <v>0</v>
      </c>
      <c r="Z1914" s="168">
        <f t="shared" si="7"/>
        <v>0</v>
      </c>
      <c r="AA1914" s="168">
        <f t="shared" si="8"/>
        <v>0</v>
      </c>
      <c r="AB1914" s="168">
        <f t="shared" si="9"/>
        <v>0</v>
      </c>
    </row>
    <row r="1915" ht="15.0" customHeight="1">
      <c r="A1915" s="157" t="s">
        <v>9205</v>
      </c>
      <c r="B1915" s="169" t="s">
        <v>43</v>
      </c>
      <c r="C1915" s="169" t="s">
        <v>9196</v>
      </c>
      <c r="D1915" s="317">
        <v>44882.0</v>
      </c>
      <c r="E1915" s="157" t="s">
        <v>600</v>
      </c>
      <c r="F1915" s="160">
        <v>54434.87</v>
      </c>
      <c r="G1915" s="160">
        <f>'FACUS$'!$F1915*0.16</f>
        <v>8709.5792</v>
      </c>
      <c r="H1915" s="160">
        <f t="shared" si="64"/>
        <v>63144.4492</v>
      </c>
      <c r="I1915" s="172"/>
      <c r="J1915" s="169"/>
      <c r="K1915" s="172"/>
      <c r="L1915" s="172">
        <f>+'FACUS$'!$H1915-'FACUS$'!$I1915-'FACUS$'!$K1915</f>
        <v>63144.4492</v>
      </c>
      <c r="M1915" s="162" t="s">
        <v>43</v>
      </c>
      <c r="N1915" s="337" t="s">
        <v>554</v>
      </c>
      <c r="O1915" s="338">
        <v>44914.0</v>
      </c>
      <c r="P1915" s="164">
        <f t="array" ref="P1915">XLOOKUP('FACUS$'!$B1915,'perfil de pagos'!$A$4:$A$46,'perfil de pagos'!$C$4:$C$46+'FACUS$'!$D1915)</f>
        <v>44907</v>
      </c>
      <c r="Q1915" s="165">
        <f t="shared" si="2"/>
        <v>0</v>
      </c>
      <c r="R1915" s="167"/>
      <c r="S1915" s="167">
        <v>1835.0</v>
      </c>
      <c r="T1915" s="167"/>
      <c r="U1915" s="334" t="s">
        <v>7271</v>
      </c>
      <c r="V1915" s="168">
        <f t="shared" si="3"/>
        <v>63144.4492</v>
      </c>
      <c r="W1915" s="168">
        <f t="shared" si="4"/>
        <v>0</v>
      </c>
      <c r="X1915" s="168">
        <f t="shared" si="5"/>
        <v>0</v>
      </c>
      <c r="Y1915" s="168">
        <f t="shared" si="6"/>
        <v>0</v>
      </c>
      <c r="Z1915" s="168">
        <f t="shared" si="7"/>
        <v>0</v>
      </c>
      <c r="AA1915" s="168">
        <f t="shared" si="8"/>
        <v>0</v>
      </c>
      <c r="AB1915" s="168">
        <f t="shared" si="9"/>
        <v>0</v>
      </c>
    </row>
    <row r="1916" ht="15.0" customHeight="1">
      <c r="A1916" s="157" t="s">
        <v>9206</v>
      </c>
      <c r="B1916" s="169" t="s">
        <v>44</v>
      </c>
      <c r="C1916" s="169" t="s">
        <v>9196</v>
      </c>
      <c r="D1916" s="317">
        <v>44882.0</v>
      </c>
      <c r="E1916" s="157" t="s">
        <v>600</v>
      </c>
      <c r="F1916" s="160">
        <f>25474.72-'NCUS$'!F48</f>
        <v>21199.3</v>
      </c>
      <c r="G1916" s="160">
        <f>'FACUS$'!$F1916*0.16</f>
        <v>3391.888</v>
      </c>
      <c r="H1916" s="160">
        <f t="shared" si="64"/>
        <v>24591.188</v>
      </c>
      <c r="I1916" s="172"/>
      <c r="J1916" s="169"/>
      <c r="K1916" s="172"/>
      <c r="L1916" s="172">
        <f>+'FACUS$'!$H1916-'FACUS$'!$I1916-'FACUS$'!$K1916</f>
        <v>24591.188</v>
      </c>
      <c r="M1916" s="162" t="s">
        <v>361</v>
      </c>
      <c r="N1916" s="337" t="s">
        <v>554</v>
      </c>
      <c r="O1916" s="338">
        <v>44890.0</v>
      </c>
      <c r="P1916" s="164">
        <f t="array" ref="P1916">XLOOKUP('FACUS$'!$B1916,'perfil de pagos'!$A$4:$A$46,'perfil de pagos'!$C$4:$C$46+'FACUS$'!$D1916)</f>
        <v>44892</v>
      </c>
      <c r="Q1916" s="165">
        <f t="shared" si="2"/>
        <v>0</v>
      </c>
      <c r="R1916" s="167"/>
      <c r="S1916" s="167">
        <v>1763.0</v>
      </c>
      <c r="T1916" s="167"/>
      <c r="U1916" s="334" t="s">
        <v>7271</v>
      </c>
      <c r="V1916" s="168">
        <f t="shared" si="3"/>
        <v>24591.188</v>
      </c>
      <c r="W1916" s="168">
        <f t="shared" si="4"/>
        <v>0</v>
      </c>
      <c r="X1916" s="168">
        <f t="shared" si="5"/>
        <v>0</v>
      </c>
      <c r="Y1916" s="168">
        <f t="shared" si="6"/>
        <v>0</v>
      </c>
      <c r="Z1916" s="168">
        <f t="shared" si="7"/>
        <v>0</v>
      </c>
      <c r="AA1916" s="168">
        <f t="shared" si="8"/>
        <v>0</v>
      </c>
      <c r="AB1916" s="168">
        <f t="shared" si="9"/>
        <v>0</v>
      </c>
    </row>
    <row r="1917" ht="15.0" customHeight="1">
      <c r="A1917" s="157" t="s">
        <v>9207</v>
      </c>
      <c r="B1917" s="169" t="s">
        <v>31</v>
      </c>
      <c r="C1917" s="169" t="s">
        <v>9208</v>
      </c>
      <c r="D1917" s="317">
        <v>44888.0</v>
      </c>
      <c r="E1917" s="157" t="s">
        <v>600</v>
      </c>
      <c r="F1917" s="160">
        <v>14257.83</v>
      </c>
      <c r="G1917" s="160">
        <f>'FACUS$'!$F1917*0.16</f>
        <v>2281.2528</v>
      </c>
      <c r="H1917" s="160">
        <f t="shared" si="64"/>
        <v>16539.0828</v>
      </c>
      <c r="I1917" s="172"/>
      <c r="J1917" s="169"/>
      <c r="K1917" s="172"/>
      <c r="L1917" s="172">
        <f>+'FACUS$'!$H1917-'FACUS$'!$I1917-'FACUS$'!$K1917</f>
        <v>16539.0828</v>
      </c>
      <c r="M1917" s="162" t="s">
        <v>3183</v>
      </c>
      <c r="N1917" s="337" t="s">
        <v>554</v>
      </c>
      <c r="O1917" s="338">
        <v>44897.0</v>
      </c>
      <c r="P1917" s="164">
        <f t="array" ref="P1917">XLOOKUP('FACUS$'!$B1917,'perfil de pagos'!$A$4:$A$46,'perfil de pagos'!$C$4:$C$46+'FACUS$'!$D1917)</f>
        <v>44891</v>
      </c>
      <c r="Q1917" s="165">
        <f t="shared" si="2"/>
        <v>0</v>
      </c>
      <c r="R1917" s="167"/>
      <c r="S1917" s="167">
        <v>1780.0</v>
      </c>
      <c r="T1917" s="167"/>
      <c r="U1917" s="334" t="s">
        <v>7271</v>
      </c>
      <c r="V1917" s="168">
        <f t="shared" si="3"/>
        <v>16539.0828</v>
      </c>
      <c r="W1917" s="168">
        <f t="shared" si="4"/>
        <v>0</v>
      </c>
      <c r="X1917" s="168">
        <f t="shared" si="5"/>
        <v>0</v>
      </c>
      <c r="Y1917" s="168">
        <f t="shared" si="6"/>
        <v>0</v>
      </c>
      <c r="Z1917" s="168">
        <f t="shared" si="7"/>
        <v>0</v>
      </c>
      <c r="AA1917" s="168">
        <f t="shared" si="8"/>
        <v>0</v>
      </c>
      <c r="AB1917" s="168">
        <f t="shared" si="9"/>
        <v>0</v>
      </c>
    </row>
    <row r="1918" ht="15.0" customHeight="1">
      <c r="A1918" s="157" t="s">
        <v>9209</v>
      </c>
      <c r="B1918" s="169" t="s">
        <v>18</v>
      </c>
      <c r="C1918" s="169" t="s">
        <v>4419</v>
      </c>
      <c r="D1918" s="317">
        <v>44888.0</v>
      </c>
      <c r="E1918" s="157" t="s">
        <v>600</v>
      </c>
      <c r="F1918" s="160">
        <v>6818.05</v>
      </c>
      <c r="G1918" s="160">
        <f>'FACUS$'!$F1918*0.16</f>
        <v>1090.888</v>
      </c>
      <c r="H1918" s="160">
        <f t="shared" si="64"/>
        <v>7908.938</v>
      </c>
      <c r="I1918" s="172"/>
      <c r="J1918" s="169"/>
      <c r="K1918" s="172"/>
      <c r="L1918" s="172">
        <f>+'FACUS$'!$H1918-'FACUS$'!$I1918-'FACUS$'!$K1918</f>
        <v>7908.938</v>
      </c>
      <c r="M1918" s="162" t="s">
        <v>586</v>
      </c>
      <c r="N1918" s="337" t="s">
        <v>554</v>
      </c>
      <c r="O1918" s="338">
        <v>45050.0</v>
      </c>
      <c r="P1918" s="164">
        <f t="array" ref="P1918">XLOOKUP('FACUS$'!$B1918,'perfil de pagos'!$A$4:$A$46,'perfil de pagos'!$C$4:$C$46+'FACUS$'!$D1918)</f>
        <v>44898</v>
      </c>
      <c r="Q1918" s="165">
        <f t="shared" si="2"/>
        <v>0</v>
      </c>
      <c r="R1918" s="167"/>
      <c r="S1918" s="167">
        <v>2148.0</v>
      </c>
      <c r="T1918" s="167"/>
      <c r="U1918" s="334" t="s">
        <v>7271</v>
      </c>
      <c r="V1918" s="168">
        <f t="shared" si="3"/>
        <v>7908.938</v>
      </c>
      <c r="W1918" s="168">
        <f t="shared" si="4"/>
        <v>0</v>
      </c>
      <c r="X1918" s="168">
        <f t="shared" si="5"/>
        <v>0</v>
      </c>
      <c r="Y1918" s="168">
        <f t="shared" si="6"/>
        <v>0</v>
      </c>
      <c r="Z1918" s="168">
        <f t="shared" si="7"/>
        <v>0</v>
      </c>
      <c r="AA1918" s="168">
        <f t="shared" si="8"/>
        <v>0</v>
      </c>
      <c r="AB1918" s="168">
        <f t="shared" si="9"/>
        <v>0</v>
      </c>
    </row>
    <row r="1919" ht="15.0" customHeight="1">
      <c r="A1919" s="157" t="s">
        <v>9210</v>
      </c>
      <c r="B1919" s="169" t="s">
        <v>20</v>
      </c>
      <c r="C1919" s="169" t="s">
        <v>4419</v>
      </c>
      <c r="D1919" s="317">
        <v>44888.0</v>
      </c>
      <c r="E1919" s="157" t="s">
        <v>600</v>
      </c>
      <c r="F1919" s="160">
        <v>11678.84</v>
      </c>
      <c r="G1919" s="160">
        <f>'FACUS$'!$F1919*0.16</f>
        <v>1868.6144</v>
      </c>
      <c r="H1919" s="160">
        <f t="shared" si="64"/>
        <v>13547.4544</v>
      </c>
      <c r="I1919" s="172"/>
      <c r="J1919" s="169"/>
      <c r="K1919" s="172"/>
      <c r="L1919" s="172">
        <f>+'FACUS$'!$H1919-'FACUS$'!$I1919-'FACUS$'!$K1919</f>
        <v>13547.4544</v>
      </c>
      <c r="M1919" s="162" t="s">
        <v>732</v>
      </c>
      <c r="N1919" s="337" t="s">
        <v>554</v>
      </c>
      <c r="O1919" s="338">
        <v>45050.0</v>
      </c>
      <c r="P1919" s="164">
        <f t="array" ref="P1919">XLOOKUP('FACUS$'!$B1919,'perfil de pagos'!$A$4:$A$46,'perfil de pagos'!$C$4:$C$46+'FACUS$'!$D1919)</f>
        <v>44898</v>
      </c>
      <c r="Q1919" s="165">
        <f t="shared" si="2"/>
        <v>0</v>
      </c>
      <c r="R1919" s="167"/>
      <c r="S1919" s="167">
        <v>2148.0</v>
      </c>
      <c r="T1919" s="167"/>
      <c r="U1919" s="334" t="s">
        <v>7271</v>
      </c>
      <c r="V1919" s="168">
        <f t="shared" si="3"/>
        <v>13547.4544</v>
      </c>
      <c r="W1919" s="168">
        <f t="shared" si="4"/>
        <v>0</v>
      </c>
      <c r="X1919" s="168">
        <f t="shared" si="5"/>
        <v>0</v>
      </c>
      <c r="Y1919" s="168">
        <f t="shared" si="6"/>
        <v>0</v>
      </c>
      <c r="Z1919" s="168">
        <f t="shared" si="7"/>
        <v>0</v>
      </c>
      <c r="AA1919" s="168">
        <f t="shared" si="8"/>
        <v>0</v>
      </c>
      <c r="AB1919" s="168">
        <f t="shared" si="9"/>
        <v>0</v>
      </c>
    </row>
    <row r="1920" ht="15.0" customHeight="1">
      <c r="A1920" s="157" t="s">
        <v>9211</v>
      </c>
      <c r="B1920" s="169" t="s">
        <v>22</v>
      </c>
      <c r="C1920" s="169" t="s">
        <v>4419</v>
      </c>
      <c r="D1920" s="317">
        <v>44888.0</v>
      </c>
      <c r="E1920" s="157" t="s">
        <v>600</v>
      </c>
      <c r="F1920" s="160">
        <v>10616.03</v>
      </c>
      <c r="G1920" s="160">
        <f>'FACUS$'!$F1920*0.16</f>
        <v>1698.5648</v>
      </c>
      <c r="H1920" s="160">
        <f t="shared" si="64"/>
        <v>12314.5948</v>
      </c>
      <c r="I1920" s="172"/>
      <c r="J1920" s="169"/>
      <c r="K1920" s="172"/>
      <c r="L1920" s="172">
        <f>+'FACUS$'!$H1920-'FACUS$'!$I1920-'FACUS$'!$K1920</f>
        <v>12314.5948</v>
      </c>
      <c r="M1920" s="162" t="s">
        <v>220</v>
      </c>
      <c r="N1920" s="337" t="s">
        <v>554</v>
      </c>
      <c r="O1920" s="338">
        <v>44956.0</v>
      </c>
      <c r="P1920" s="164">
        <f t="array" ref="P1920">XLOOKUP('FACUS$'!$B1920,'perfil de pagos'!$A$4:$A$46,'perfil de pagos'!$C$4:$C$46+'FACUS$'!$D1920)</f>
        <v>44898</v>
      </c>
      <c r="Q1920" s="165">
        <f t="shared" si="2"/>
        <v>0</v>
      </c>
      <c r="R1920" s="171" t="s">
        <v>9212</v>
      </c>
      <c r="S1920" s="167"/>
      <c r="T1920" s="167"/>
      <c r="U1920" s="334" t="s">
        <v>7271</v>
      </c>
      <c r="V1920" s="168">
        <f t="shared" si="3"/>
        <v>12314.5948</v>
      </c>
      <c r="W1920" s="168">
        <f t="shared" si="4"/>
        <v>0</v>
      </c>
      <c r="X1920" s="168">
        <f t="shared" si="5"/>
        <v>0</v>
      </c>
      <c r="Y1920" s="168">
        <f t="shared" si="6"/>
        <v>0</v>
      </c>
      <c r="Z1920" s="168">
        <f t="shared" si="7"/>
        <v>0</v>
      </c>
      <c r="AA1920" s="168">
        <f t="shared" si="8"/>
        <v>0</v>
      </c>
      <c r="AB1920" s="168">
        <f t="shared" si="9"/>
        <v>0</v>
      </c>
    </row>
    <row r="1921" ht="15.0" customHeight="1">
      <c r="A1921" s="157" t="s">
        <v>9213</v>
      </c>
      <c r="B1921" s="169" t="s">
        <v>25</v>
      </c>
      <c r="C1921" s="169" t="s">
        <v>4419</v>
      </c>
      <c r="D1921" s="317">
        <v>44888.0</v>
      </c>
      <c r="E1921" s="157" t="s">
        <v>600</v>
      </c>
      <c r="F1921" s="160">
        <v>3103.09</v>
      </c>
      <c r="G1921" s="160">
        <f>'FACUS$'!$F1921*0.16</f>
        <v>496.4944</v>
      </c>
      <c r="H1921" s="160">
        <f t="shared" si="64"/>
        <v>3599.5844</v>
      </c>
      <c r="I1921" s="172"/>
      <c r="J1921" s="169"/>
      <c r="K1921" s="172"/>
      <c r="L1921" s="172">
        <f>+'FACUS$'!$H1921-'FACUS$'!$I1921-'FACUS$'!$K1921</f>
        <v>3599.5844</v>
      </c>
      <c r="M1921" s="162" t="s">
        <v>4388</v>
      </c>
      <c r="N1921" s="337" t="s">
        <v>554</v>
      </c>
      <c r="O1921" s="338">
        <v>44964.0</v>
      </c>
      <c r="P1921" s="164">
        <f t="array" ref="P1921">XLOOKUP('FACUS$'!$B1921,'perfil de pagos'!$A$4:$A$46,'perfil de pagos'!$C$4:$C$46+'FACUS$'!$D1921)</f>
        <v>44898</v>
      </c>
      <c r="Q1921" s="165">
        <f t="shared" si="2"/>
        <v>0</v>
      </c>
      <c r="R1921" s="167"/>
      <c r="S1921" s="167">
        <v>1947.0</v>
      </c>
      <c r="T1921" s="167"/>
      <c r="U1921" s="334" t="s">
        <v>7271</v>
      </c>
      <c r="V1921" s="168">
        <f t="shared" si="3"/>
        <v>3599.5844</v>
      </c>
      <c r="W1921" s="168">
        <f t="shared" si="4"/>
        <v>0</v>
      </c>
      <c r="X1921" s="168">
        <f t="shared" si="5"/>
        <v>0</v>
      </c>
      <c r="Y1921" s="168">
        <f t="shared" si="6"/>
        <v>0</v>
      </c>
      <c r="Z1921" s="168">
        <f t="shared" si="7"/>
        <v>0</v>
      </c>
      <c r="AA1921" s="168">
        <f t="shared" si="8"/>
        <v>0</v>
      </c>
      <c r="AB1921" s="168">
        <f t="shared" si="9"/>
        <v>0</v>
      </c>
    </row>
    <row r="1922" ht="15.0" customHeight="1">
      <c r="A1922" s="157" t="s">
        <v>9214</v>
      </c>
      <c r="B1922" s="169" t="s">
        <v>38</v>
      </c>
      <c r="C1922" s="169" t="s">
        <v>4419</v>
      </c>
      <c r="D1922" s="317">
        <v>44888.0</v>
      </c>
      <c r="E1922" s="157" t="s">
        <v>600</v>
      </c>
      <c r="F1922" s="160">
        <v>8645.52</v>
      </c>
      <c r="G1922" s="160">
        <f>'FACUS$'!$F1922*0.16</f>
        <v>1383.2832</v>
      </c>
      <c r="H1922" s="160">
        <f t="shared" si="64"/>
        <v>10028.8032</v>
      </c>
      <c r="I1922" s="172"/>
      <c r="J1922" s="169"/>
      <c r="K1922" s="172"/>
      <c r="L1922" s="172">
        <f>+'FACUS$'!$H1922-'FACUS$'!$I1922-'FACUS$'!$K1922</f>
        <v>10028.8032</v>
      </c>
      <c r="M1922" s="162" t="s">
        <v>145</v>
      </c>
      <c r="N1922" s="337" t="s">
        <v>554</v>
      </c>
      <c r="O1922" s="338">
        <v>44918.0</v>
      </c>
      <c r="P1922" s="164">
        <f t="array" ref="P1922">XLOOKUP('FACUS$'!$B1922,'perfil de pagos'!$A$4:$A$46,'perfil de pagos'!$C$4:$C$46+'FACUS$'!$D1922)</f>
        <v>44918</v>
      </c>
      <c r="Q1922" s="165">
        <f t="shared" si="2"/>
        <v>0</v>
      </c>
      <c r="R1922" s="167" t="s">
        <v>9215</v>
      </c>
      <c r="S1922" s="167"/>
      <c r="T1922" s="167"/>
      <c r="U1922" s="334" t="s">
        <v>7271</v>
      </c>
      <c r="V1922" s="168">
        <f t="shared" si="3"/>
        <v>10028.8032</v>
      </c>
      <c r="W1922" s="168">
        <f t="shared" si="4"/>
        <v>0</v>
      </c>
      <c r="X1922" s="168">
        <f t="shared" si="5"/>
        <v>0</v>
      </c>
      <c r="Y1922" s="168">
        <f t="shared" si="6"/>
        <v>0</v>
      </c>
      <c r="Z1922" s="168">
        <f t="shared" si="7"/>
        <v>0</v>
      </c>
      <c r="AA1922" s="168">
        <f t="shared" si="8"/>
        <v>0</v>
      </c>
      <c r="AB1922" s="168">
        <f t="shared" si="9"/>
        <v>0</v>
      </c>
    </row>
    <row r="1923" ht="15.0" customHeight="1">
      <c r="A1923" s="157" t="s">
        <v>9216</v>
      </c>
      <c r="B1923" s="169" t="s">
        <v>37</v>
      </c>
      <c r="C1923" s="169" t="s">
        <v>4419</v>
      </c>
      <c r="D1923" s="317">
        <v>44888.0</v>
      </c>
      <c r="E1923" s="157" t="s">
        <v>600</v>
      </c>
      <c r="F1923" s="160">
        <v>83871.39</v>
      </c>
      <c r="G1923" s="160">
        <f>'FACUS$'!$F1923*0.16</f>
        <v>13419.4224</v>
      </c>
      <c r="H1923" s="160">
        <f t="shared" si="64"/>
        <v>97290.8124</v>
      </c>
      <c r="I1923" s="172"/>
      <c r="J1923" s="169"/>
      <c r="K1923" s="172"/>
      <c r="L1923" s="172">
        <f>+'FACUS$'!$H1923-'FACUS$'!$I1923-'FACUS$'!$K1923</f>
        <v>97290.8124</v>
      </c>
      <c r="M1923" s="162" t="s">
        <v>116</v>
      </c>
      <c r="N1923" s="337" t="s">
        <v>554</v>
      </c>
      <c r="O1923" s="338">
        <v>44897.0</v>
      </c>
      <c r="P1923" s="164">
        <f t="array" ref="P1923">XLOOKUP('FACUS$'!$B1923,'perfil de pagos'!$A$4:$A$46,'perfil de pagos'!$C$4:$C$46+'FACUS$'!$D1923)</f>
        <v>44898</v>
      </c>
      <c r="Q1923" s="165">
        <f t="shared" si="2"/>
        <v>0</v>
      </c>
      <c r="R1923" s="220" t="s">
        <v>9217</v>
      </c>
      <c r="S1923" s="167">
        <v>1778.0</v>
      </c>
      <c r="T1923" s="167"/>
      <c r="U1923" s="334" t="s">
        <v>7271</v>
      </c>
      <c r="V1923" s="168">
        <f t="shared" si="3"/>
        <v>97290.8124</v>
      </c>
      <c r="W1923" s="168">
        <f t="shared" si="4"/>
        <v>0</v>
      </c>
      <c r="X1923" s="168">
        <f t="shared" si="5"/>
        <v>0</v>
      </c>
      <c r="Y1923" s="168">
        <f t="shared" si="6"/>
        <v>0</v>
      </c>
      <c r="Z1923" s="168">
        <f t="shared" si="7"/>
        <v>0</v>
      </c>
      <c r="AA1923" s="168">
        <f t="shared" si="8"/>
        <v>0</v>
      </c>
      <c r="AB1923" s="168">
        <f t="shared" si="9"/>
        <v>0</v>
      </c>
    </row>
    <row r="1924" ht="15.0" customHeight="1">
      <c r="A1924" s="157" t="s">
        <v>9218</v>
      </c>
      <c r="B1924" s="169" t="s">
        <v>9187</v>
      </c>
      <c r="C1924" s="169" t="s">
        <v>9188</v>
      </c>
      <c r="D1924" s="317">
        <v>44893.0</v>
      </c>
      <c r="E1924" s="157" t="s">
        <v>600</v>
      </c>
      <c r="F1924" s="160">
        <v>45000.0</v>
      </c>
      <c r="G1924" s="160">
        <v>7200.0</v>
      </c>
      <c r="H1924" s="160">
        <v>52200.0</v>
      </c>
      <c r="I1924" s="172"/>
      <c r="J1924" s="169"/>
      <c r="K1924" s="172"/>
      <c r="L1924" s="172">
        <f>+'FACUS$'!$H1924-'FACUS$'!$I1924-'FACUS$'!$K1924</f>
        <v>52200</v>
      </c>
      <c r="M1924" s="162" t="s">
        <v>91</v>
      </c>
      <c r="N1924" s="337" t="s">
        <v>554</v>
      </c>
      <c r="O1924" s="338">
        <v>44910.0</v>
      </c>
      <c r="P1924" s="164" t="str">
        <f t="array" ref="P1924">XLOOKUP('FACUS$'!$B1924,'perfil de pagos'!$A$4:$A$46,'perfil de pagos'!$C$4:$C$46+'FACUS$'!$D1924)</f>
        <v>#N/A</v>
      </c>
      <c r="Q1924" s="165">
        <v>0.0</v>
      </c>
      <c r="R1924" s="167" t="s">
        <v>9219</v>
      </c>
      <c r="S1924" s="167"/>
      <c r="T1924" s="167"/>
      <c r="U1924" s="334" t="s">
        <v>7271</v>
      </c>
      <c r="V1924" s="168">
        <f t="shared" si="3"/>
        <v>52200</v>
      </c>
      <c r="W1924" s="168">
        <f t="shared" si="4"/>
        <v>0</v>
      </c>
      <c r="X1924" s="168">
        <f t="shared" si="5"/>
        <v>0</v>
      </c>
      <c r="Y1924" s="168">
        <f t="shared" si="6"/>
        <v>0</v>
      </c>
      <c r="Z1924" s="168">
        <f t="shared" si="7"/>
        <v>0</v>
      </c>
      <c r="AA1924" s="168">
        <f t="shared" si="8"/>
        <v>0</v>
      </c>
      <c r="AB1924" s="168">
        <f t="shared" si="9"/>
        <v>0</v>
      </c>
    </row>
    <row r="1925" ht="15.0" customHeight="1">
      <c r="A1925" s="157" t="s">
        <v>9220</v>
      </c>
      <c r="B1925" s="169" t="s">
        <v>31</v>
      </c>
      <c r="C1925" s="169" t="s">
        <v>9221</v>
      </c>
      <c r="D1925" s="317">
        <v>44895.0</v>
      </c>
      <c r="E1925" s="157" t="s">
        <v>600</v>
      </c>
      <c r="F1925" s="160">
        <v>9690.43</v>
      </c>
      <c r="G1925" s="160">
        <f>'FACUS$'!$F1925*0.16</f>
        <v>1550.4688</v>
      </c>
      <c r="H1925" s="160">
        <f t="shared" ref="H1925:H1941" si="65">F1925+G1925</f>
        <v>11240.8988</v>
      </c>
      <c r="I1925" s="172"/>
      <c r="J1925" s="169"/>
      <c r="K1925" s="172"/>
      <c r="L1925" s="172">
        <f>+'FACUS$'!$H1925-'FACUS$'!$I1925-'FACUS$'!$K1925</f>
        <v>11240.8988</v>
      </c>
      <c r="M1925" s="162" t="s">
        <v>3183</v>
      </c>
      <c r="N1925" s="337" t="s">
        <v>554</v>
      </c>
      <c r="O1925" s="338">
        <v>44903.0</v>
      </c>
      <c r="P1925" s="164">
        <f t="array" ref="P1925">XLOOKUP('FACUS$'!$B1925,'perfil de pagos'!$A$4:$A$46,'perfil de pagos'!$C$4:$C$46+'FACUS$'!$D1925)</f>
        <v>44898</v>
      </c>
      <c r="Q1925" s="165">
        <f t="shared" ref="Q1925:Q2585" si="66">IF(N1925="CANCELADO","N/A",IF(N1925="PAGADO",0,IF(ISBLANK(N1925),TODAY()-P1925)))</f>
        <v>0</v>
      </c>
      <c r="R1925" s="167"/>
      <c r="S1925" s="167">
        <v>1799.0</v>
      </c>
      <c r="T1925" s="167"/>
      <c r="U1925" s="334" t="s">
        <v>7271</v>
      </c>
      <c r="V1925" s="168">
        <f t="shared" si="3"/>
        <v>11240.8988</v>
      </c>
      <c r="W1925" s="168">
        <f t="shared" si="4"/>
        <v>0</v>
      </c>
      <c r="X1925" s="168">
        <f t="shared" si="5"/>
        <v>0</v>
      </c>
      <c r="Y1925" s="168">
        <f t="shared" si="6"/>
        <v>0</v>
      </c>
      <c r="Z1925" s="168">
        <f t="shared" si="7"/>
        <v>0</v>
      </c>
      <c r="AA1925" s="168">
        <f t="shared" si="8"/>
        <v>0</v>
      </c>
      <c r="AB1925" s="168">
        <f t="shared" si="9"/>
        <v>0</v>
      </c>
    </row>
    <row r="1926" ht="15.0" customHeight="1">
      <c r="A1926" s="157" t="s">
        <v>9222</v>
      </c>
      <c r="B1926" s="169" t="s">
        <v>31</v>
      </c>
      <c r="C1926" s="169" t="s">
        <v>9223</v>
      </c>
      <c r="D1926" s="317">
        <v>44897.0</v>
      </c>
      <c r="E1926" s="157" t="s">
        <v>600</v>
      </c>
      <c r="F1926" s="160">
        <v>7477.13</v>
      </c>
      <c r="G1926" s="160">
        <f>'FACUS$'!$F1926*0.16</f>
        <v>1196.3408</v>
      </c>
      <c r="H1926" s="160">
        <f t="shared" si="65"/>
        <v>8673.4708</v>
      </c>
      <c r="I1926" s="172"/>
      <c r="J1926" s="169"/>
      <c r="K1926" s="172"/>
      <c r="L1926" s="172">
        <f>+'FACUS$'!$H1926-'FACUS$'!$I1926-'FACUS$'!$K1926</f>
        <v>8673.4708</v>
      </c>
      <c r="M1926" s="162" t="s">
        <v>3183</v>
      </c>
      <c r="N1926" s="337" t="s">
        <v>554</v>
      </c>
      <c r="O1926" s="338">
        <v>44911.0</v>
      </c>
      <c r="P1926" s="164">
        <f t="array" ref="P1926">XLOOKUP('FACUS$'!$B1926,'perfil de pagos'!$A$4:$A$46,'perfil de pagos'!$C$4:$C$46+'FACUS$'!$D1926)</f>
        <v>44900</v>
      </c>
      <c r="Q1926" s="165">
        <f t="shared" si="66"/>
        <v>0</v>
      </c>
      <c r="R1926" s="220" t="s">
        <v>9224</v>
      </c>
      <c r="S1926" s="167">
        <v>1834.0</v>
      </c>
      <c r="T1926" s="167"/>
      <c r="U1926" s="334" t="s">
        <v>7271</v>
      </c>
      <c r="V1926" s="168">
        <f t="shared" si="3"/>
        <v>8673.4708</v>
      </c>
      <c r="W1926" s="168">
        <f t="shared" si="4"/>
        <v>0</v>
      </c>
      <c r="X1926" s="168">
        <f t="shared" si="5"/>
        <v>0</v>
      </c>
      <c r="Y1926" s="168">
        <f t="shared" si="6"/>
        <v>0</v>
      </c>
      <c r="Z1926" s="168">
        <f t="shared" si="7"/>
        <v>0</v>
      </c>
      <c r="AA1926" s="168">
        <f t="shared" si="8"/>
        <v>0</v>
      </c>
      <c r="AB1926" s="168">
        <f t="shared" si="9"/>
        <v>0</v>
      </c>
    </row>
    <row r="1927" ht="15.0" customHeight="1">
      <c r="A1927" s="157" t="s">
        <v>9225</v>
      </c>
      <c r="B1927" s="169" t="s">
        <v>15</v>
      </c>
      <c r="C1927" s="169" t="s">
        <v>9226</v>
      </c>
      <c r="D1927" s="317">
        <v>44897.0</v>
      </c>
      <c r="E1927" s="157" t="s">
        <v>600</v>
      </c>
      <c r="F1927" s="160">
        <v>52817.9</v>
      </c>
      <c r="G1927" s="160">
        <f>'FACUS$'!$F1927*0.16</f>
        <v>8450.864</v>
      </c>
      <c r="H1927" s="160">
        <f t="shared" si="65"/>
        <v>61268.764</v>
      </c>
      <c r="I1927" s="172"/>
      <c r="J1927" s="169"/>
      <c r="K1927" s="172"/>
      <c r="L1927" s="172">
        <f>+'FACUS$'!$H1927-'FACUS$'!$I1927-'FACUS$'!$K1927</f>
        <v>61268.764</v>
      </c>
      <c r="M1927" s="162" t="s">
        <v>443</v>
      </c>
      <c r="N1927" s="337" t="s">
        <v>554</v>
      </c>
      <c r="O1927" s="338">
        <v>44915.0</v>
      </c>
      <c r="P1927" s="164">
        <f t="array" ref="P1927">XLOOKUP('FACUS$'!$B1927,'perfil de pagos'!$A$4:$A$46,'perfil de pagos'!$C$4:$C$46+'FACUS$'!$D1927)</f>
        <v>44907</v>
      </c>
      <c r="Q1927" s="165">
        <f t="shared" si="66"/>
        <v>0</v>
      </c>
      <c r="R1927" s="167"/>
      <c r="S1927" s="167">
        <v>1839.0</v>
      </c>
      <c r="T1927" s="167"/>
      <c r="U1927" s="334" t="s">
        <v>7271</v>
      </c>
      <c r="V1927" s="168">
        <f t="shared" si="3"/>
        <v>61268.764</v>
      </c>
      <c r="W1927" s="168">
        <f t="shared" si="4"/>
        <v>0</v>
      </c>
      <c r="X1927" s="168">
        <f t="shared" si="5"/>
        <v>0</v>
      </c>
      <c r="Y1927" s="168">
        <f t="shared" si="6"/>
        <v>0</v>
      </c>
      <c r="Z1927" s="168">
        <f t="shared" si="7"/>
        <v>0</v>
      </c>
      <c r="AA1927" s="168">
        <f t="shared" si="8"/>
        <v>0</v>
      </c>
      <c r="AB1927" s="168">
        <f t="shared" si="9"/>
        <v>0</v>
      </c>
    </row>
    <row r="1928" ht="15.0" customHeight="1">
      <c r="A1928" s="157" t="s">
        <v>9227</v>
      </c>
      <c r="B1928" s="169" t="s">
        <v>17</v>
      </c>
      <c r="C1928" s="169" t="s">
        <v>4467</v>
      </c>
      <c r="D1928" s="317">
        <v>44897.0</v>
      </c>
      <c r="E1928" s="157" t="s">
        <v>600</v>
      </c>
      <c r="F1928" s="160">
        <f>20096.36-'NCUS$'!F49</f>
        <v>19836.36</v>
      </c>
      <c r="G1928" s="160">
        <f>'FACUS$'!$F1928*0.16</f>
        <v>3173.8176</v>
      </c>
      <c r="H1928" s="160">
        <f t="shared" si="65"/>
        <v>23010.1776</v>
      </c>
      <c r="I1928" s="172"/>
      <c r="J1928" s="169"/>
      <c r="K1928" s="172"/>
      <c r="L1928" s="172">
        <f>+'FACUS$'!$H1928-'FACUS$'!$I1928-'FACUS$'!$K1928</f>
        <v>23010.1776</v>
      </c>
      <c r="M1928" s="162" t="s">
        <v>17</v>
      </c>
      <c r="N1928" s="337" t="s">
        <v>554</v>
      </c>
      <c r="O1928" s="338">
        <v>44910.0</v>
      </c>
      <c r="P1928" s="164">
        <f t="array" ref="P1928">XLOOKUP('FACUS$'!$B1928,'perfil de pagos'!$A$4:$A$46,'perfil de pagos'!$C$4:$C$46+'FACUS$'!$D1928)</f>
        <v>44907</v>
      </c>
      <c r="Q1928" s="165">
        <f t="shared" si="66"/>
        <v>0</v>
      </c>
      <c r="R1928" s="220" t="s">
        <v>9228</v>
      </c>
      <c r="S1928" s="167">
        <v>1820.0</v>
      </c>
      <c r="T1928" s="167"/>
      <c r="U1928" s="334" t="s">
        <v>7271</v>
      </c>
      <c r="V1928" s="168">
        <f t="shared" si="3"/>
        <v>23010.1776</v>
      </c>
      <c r="W1928" s="168">
        <f t="shared" si="4"/>
        <v>0</v>
      </c>
      <c r="X1928" s="168">
        <f t="shared" si="5"/>
        <v>0</v>
      </c>
      <c r="Y1928" s="168">
        <f t="shared" si="6"/>
        <v>0</v>
      </c>
      <c r="Z1928" s="168">
        <f t="shared" si="7"/>
        <v>0</v>
      </c>
      <c r="AA1928" s="168">
        <f t="shared" si="8"/>
        <v>0</v>
      </c>
      <c r="AB1928" s="168">
        <f t="shared" si="9"/>
        <v>0</v>
      </c>
    </row>
    <row r="1929" ht="15.0" customHeight="1">
      <c r="A1929" s="157" t="s">
        <v>9229</v>
      </c>
      <c r="B1929" s="169" t="s">
        <v>17</v>
      </c>
      <c r="C1929" s="169" t="s">
        <v>4469</v>
      </c>
      <c r="D1929" s="317">
        <v>44897.0</v>
      </c>
      <c r="E1929" s="157" t="s">
        <v>600</v>
      </c>
      <c r="F1929" s="160">
        <v>16437.32</v>
      </c>
      <c r="G1929" s="160">
        <f>'FACUS$'!$F1929*0.16</f>
        <v>2629.9712</v>
      </c>
      <c r="H1929" s="160">
        <f t="shared" si="65"/>
        <v>19067.2912</v>
      </c>
      <c r="I1929" s="172"/>
      <c r="J1929" s="169"/>
      <c r="K1929" s="172"/>
      <c r="L1929" s="172">
        <f>+'FACUS$'!$H1929-'FACUS$'!$I1929-'FACUS$'!$K1929</f>
        <v>19067.2912</v>
      </c>
      <c r="M1929" s="162" t="s">
        <v>17</v>
      </c>
      <c r="N1929" s="337" t="s">
        <v>554</v>
      </c>
      <c r="O1929" s="338">
        <v>44910.0</v>
      </c>
      <c r="P1929" s="164">
        <f t="array" ref="P1929">XLOOKUP('FACUS$'!$B1929,'perfil de pagos'!$A$4:$A$46,'perfil de pagos'!$C$4:$C$46+'FACUS$'!$D1929)</f>
        <v>44907</v>
      </c>
      <c r="Q1929" s="165">
        <f t="shared" si="66"/>
        <v>0</v>
      </c>
      <c r="R1929" s="167"/>
      <c r="S1929" s="167">
        <v>1819.0</v>
      </c>
      <c r="T1929" s="167"/>
      <c r="U1929" s="334" t="s">
        <v>7271</v>
      </c>
      <c r="V1929" s="168">
        <f t="shared" si="3"/>
        <v>19067.2912</v>
      </c>
      <c r="W1929" s="168">
        <f t="shared" si="4"/>
        <v>0</v>
      </c>
      <c r="X1929" s="168">
        <f t="shared" si="5"/>
        <v>0</v>
      </c>
      <c r="Y1929" s="168">
        <f t="shared" si="6"/>
        <v>0</v>
      </c>
      <c r="Z1929" s="168">
        <f t="shared" si="7"/>
        <v>0</v>
      </c>
      <c r="AA1929" s="168">
        <f t="shared" si="8"/>
        <v>0</v>
      </c>
      <c r="AB1929" s="168">
        <f t="shared" si="9"/>
        <v>0</v>
      </c>
    </row>
    <row r="1930" ht="15.0" customHeight="1">
      <c r="A1930" s="157" t="s">
        <v>9230</v>
      </c>
      <c r="B1930" s="169" t="s">
        <v>35</v>
      </c>
      <c r="C1930" s="169" t="s">
        <v>4469</v>
      </c>
      <c r="D1930" s="317">
        <v>44897.0</v>
      </c>
      <c r="E1930" s="157" t="s">
        <v>600</v>
      </c>
      <c r="F1930" s="160">
        <v>13615.32</v>
      </c>
      <c r="G1930" s="160">
        <f>'FACUS$'!$F1930*0.16</f>
        <v>2178.4512</v>
      </c>
      <c r="H1930" s="160">
        <f t="shared" si="65"/>
        <v>15793.7712</v>
      </c>
      <c r="I1930" s="172"/>
      <c r="J1930" s="169"/>
      <c r="K1930" s="172"/>
      <c r="L1930" s="172">
        <f>+'FACUS$'!$H1930-'FACUS$'!$I1930-'FACUS$'!$K1930</f>
        <v>15793.7712</v>
      </c>
      <c r="M1930" s="162" t="s">
        <v>276</v>
      </c>
      <c r="N1930" s="337" t="s">
        <v>554</v>
      </c>
      <c r="O1930" s="338">
        <v>44939.0</v>
      </c>
      <c r="P1930" s="164">
        <f t="array" ref="P1930">XLOOKUP('FACUS$'!$B1930,'perfil de pagos'!$A$4:$A$46,'perfil de pagos'!$C$4:$C$46+'FACUS$'!$D1930)</f>
        <v>44907</v>
      </c>
      <c r="Q1930" s="165">
        <f t="shared" si="66"/>
        <v>0</v>
      </c>
      <c r="R1930" s="167"/>
      <c r="S1930" s="167">
        <v>1886.0</v>
      </c>
      <c r="T1930" s="167"/>
      <c r="U1930" s="334" t="s">
        <v>7271</v>
      </c>
      <c r="V1930" s="168">
        <f t="shared" si="3"/>
        <v>15793.7712</v>
      </c>
      <c r="W1930" s="168">
        <f t="shared" si="4"/>
        <v>0</v>
      </c>
      <c r="X1930" s="168">
        <f t="shared" si="5"/>
        <v>0</v>
      </c>
      <c r="Y1930" s="168">
        <f t="shared" si="6"/>
        <v>0</v>
      </c>
      <c r="Z1930" s="168">
        <f t="shared" si="7"/>
        <v>0</v>
      </c>
      <c r="AA1930" s="168">
        <f t="shared" si="8"/>
        <v>0</v>
      </c>
      <c r="AB1930" s="168">
        <f t="shared" si="9"/>
        <v>0</v>
      </c>
    </row>
    <row r="1931" ht="15.0" customHeight="1">
      <c r="A1931" s="157" t="s">
        <v>9231</v>
      </c>
      <c r="B1931" s="169" t="s">
        <v>36</v>
      </c>
      <c r="C1931" s="169" t="s">
        <v>4469</v>
      </c>
      <c r="D1931" s="317">
        <v>44897.0</v>
      </c>
      <c r="E1931" s="157" t="s">
        <v>600</v>
      </c>
      <c r="F1931" s="160">
        <f>2274.65-'NCUS$'!F50</f>
        <v>2132.18</v>
      </c>
      <c r="G1931" s="160">
        <f>'FACUS$'!$F1931*0.16</f>
        <v>341.1488</v>
      </c>
      <c r="H1931" s="160">
        <f t="shared" si="65"/>
        <v>2473.3288</v>
      </c>
      <c r="I1931" s="172"/>
      <c r="J1931" s="169"/>
      <c r="K1931" s="172"/>
      <c r="L1931" s="172">
        <f>+'FACUS$'!$H1931-'FACUS$'!$I1931-'FACUS$'!$K1931</f>
        <v>2473.3288</v>
      </c>
      <c r="M1931" s="162" t="s">
        <v>278</v>
      </c>
      <c r="N1931" s="337" t="s">
        <v>554</v>
      </c>
      <c r="O1931" s="338">
        <v>44918.0</v>
      </c>
      <c r="P1931" s="164">
        <f t="array" ref="P1931">XLOOKUP('FACUS$'!$B1931,'perfil de pagos'!$A$4:$A$46,'perfil de pagos'!$C$4:$C$46+'FACUS$'!$D1931)</f>
        <v>44907</v>
      </c>
      <c r="Q1931" s="165">
        <f t="shared" si="66"/>
        <v>0</v>
      </c>
      <c r="R1931" s="220" t="s">
        <v>9232</v>
      </c>
      <c r="S1931" s="167" t="s">
        <v>9233</v>
      </c>
      <c r="T1931" s="167"/>
      <c r="U1931" s="334" t="s">
        <v>7271</v>
      </c>
      <c r="V1931" s="168">
        <f t="shared" si="3"/>
        <v>2473.3288</v>
      </c>
      <c r="W1931" s="168">
        <f t="shared" si="4"/>
        <v>0</v>
      </c>
      <c r="X1931" s="168">
        <f t="shared" si="5"/>
        <v>0</v>
      </c>
      <c r="Y1931" s="168">
        <f t="shared" si="6"/>
        <v>0</v>
      </c>
      <c r="Z1931" s="168">
        <f t="shared" si="7"/>
        <v>0</v>
      </c>
      <c r="AA1931" s="168">
        <f t="shared" si="8"/>
        <v>0</v>
      </c>
      <c r="AB1931" s="168">
        <f t="shared" si="9"/>
        <v>0</v>
      </c>
    </row>
    <row r="1932" ht="15.0" customHeight="1">
      <c r="A1932" s="157" t="s">
        <v>9234</v>
      </c>
      <c r="B1932" s="169" t="s">
        <v>39</v>
      </c>
      <c r="C1932" s="169" t="s">
        <v>4467</v>
      </c>
      <c r="D1932" s="317">
        <v>44897.0</v>
      </c>
      <c r="E1932" s="157" t="s">
        <v>600</v>
      </c>
      <c r="F1932" s="160">
        <v>41489.39</v>
      </c>
      <c r="G1932" s="160">
        <f>'FACUS$'!$F1932*0.16</f>
        <v>6638.3024</v>
      </c>
      <c r="H1932" s="160">
        <f t="shared" si="65"/>
        <v>48127.6924</v>
      </c>
      <c r="I1932" s="172"/>
      <c r="J1932" s="169"/>
      <c r="K1932" s="172"/>
      <c r="L1932" s="172">
        <f>+'FACUS$'!$H1932-'FACUS$'!$I1932-'FACUS$'!$K1932</f>
        <v>48127.6924</v>
      </c>
      <c r="M1932" s="162" t="s">
        <v>570</v>
      </c>
      <c r="N1932" s="337" t="s">
        <v>554</v>
      </c>
      <c r="O1932" s="338">
        <v>44908.0</v>
      </c>
      <c r="P1932" s="164">
        <f t="array" ref="P1932">XLOOKUP('FACUS$'!$B1932,'perfil de pagos'!$A$4:$A$46,'perfil de pagos'!$C$4:$C$46+'FACUS$'!$D1932)</f>
        <v>44907</v>
      </c>
      <c r="Q1932" s="165">
        <f t="shared" si="66"/>
        <v>0</v>
      </c>
      <c r="R1932" s="167"/>
      <c r="S1932" s="167">
        <v>1800.0</v>
      </c>
      <c r="T1932" s="167"/>
      <c r="U1932" s="334" t="s">
        <v>7271</v>
      </c>
      <c r="V1932" s="168">
        <f t="shared" si="3"/>
        <v>48127.6924</v>
      </c>
      <c r="W1932" s="168">
        <f t="shared" si="4"/>
        <v>0</v>
      </c>
      <c r="X1932" s="168">
        <f t="shared" si="5"/>
        <v>0</v>
      </c>
      <c r="Y1932" s="168">
        <f t="shared" si="6"/>
        <v>0</v>
      </c>
      <c r="Z1932" s="168">
        <f t="shared" si="7"/>
        <v>0</v>
      </c>
      <c r="AA1932" s="168">
        <f t="shared" si="8"/>
        <v>0</v>
      </c>
      <c r="AB1932" s="168">
        <f t="shared" si="9"/>
        <v>0</v>
      </c>
    </row>
    <row r="1933" ht="15.75" customHeight="1">
      <c r="A1933" s="157" t="s">
        <v>9235</v>
      </c>
      <c r="B1933" s="169" t="s">
        <v>39</v>
      </c>
      <c r="C1933" s="169" t="s">
        <v>4469</v>
      </c>
      <c r="D1933" s="317">
        <v>44897.0</v>
      </c>
      <c r="E1933" s="157" t="s">
        <v>600</v>
      </c>
      <c r="F1933" s="160">
        <v>23560.7</v>
      </c>
      <c r="G1933" s="160">
        <f>'FACUS$'!$F1933*0.16</f>
        <v>3769.712</v>
      </c>
      <c r="H1933" s="160">
        <f t="shared" si="65"/>
        <v>27330.412</v>
      </c>
      <c r="I1933" s="172"/>
      <c r="J1933" s="169"/>
      <c r="K1933" s="172"/>
      <c r="L1933" s="172">
        <f>+'FACUS$'!$H1933-'FACUS$'!$I1933-'FACUS$'!$K1933</f>
        <v>27330.412</v>
      </c>
      <c r="M1933" s="162" t="s">
        <v>570</v>
      </c>
      <c r="N1933" s="337" t="s">
        <v>554</v>
      </c>
      <c r="O1933" s="338">
        <v>44908.0</v>
      </c>
      <c r="P1933" s="164">
        <f t="array" ref="P1933">XLOOKUP('FACUS$'!$B1933,'perfil de pagos'!$A$4:$A$46,'perfil de pagos'!$C$4:$C$46+'FACUS$'!$D1933)</f>
        <v>44907</v>
      </c>
      <c r="Q1933" s="165">
        <f t="shared" si="66"/>
        <v>0</v>
      </c>
      <c r="R1933" s="167"/>
      <c r="S1933" s="167">
        <v>1800.0</v>
      </c>
      <c r="T1933" s="167"/>
      <c r="U1933" s="334" t="s">
        <v>7271</v>
      </c>
      <c r="V1933" s="168">
        <f t="shared" si="3"/>
        <v>27330.412</v>
      </c>
      <c r="W1933" s="168">
        <f t="shared" si="4"/>
        <v>0</v>
      </c>
      <c r="X1933" s="168">
        <f t="shared" si="5"/>
        <v>0</v>
      </c>
      <c r="Y1933" s="168">
        <f t="shared" si="6"/>
        <v>0</v>
      </c>
      <c r="Z1933" s="168">
        <f t="shared" si="7"/>
        <v>0</v>
      </c>
      <c r="AA1933" s="168">
        <f t="shared" si="8"/>
        <v>0</v>
      </c>
      <c r="AB1933" s="168">
        <f t="shared" si="9"/>
        <v>0</v>
      </c>
    </row>
    <row r="1934" ht="15.0" customHeight="1">
      <c r="A1934" s="157" t="s">
        <v>9236</v>
      </c>
      <c r="B1934" s="169" t="s">
        <v>41</v>
      </c>
      <c r="C1934" s="169" t="s">
        <v>4469</v>
      </c>
      <c r="D1934" s="317">
        <v>44897.0</v>
      </c>
      <c r="E1934" s="157" t="s">
        <v>600</v>
      </c>
      <c r="F1934" s="160">
        <v>56840.02</v>
      </c>
      <c r="G1934" s="160">
        <f>'FACUS$'!$F1934*0.16</f>
        <v>9094.4032</v>
      </c>
      <c r="H1934" s="160">
        <f t="shared" si="65"/>
        <v>65934.4232</v>
      </c>
      <c r="I1934" s="172"/>
      <c r="J1934" s="169"/>
      <c r="K1934" s="172"/>
      <c r="L1934" s="172">
        <f>+'FACUS$'!$H1934-'FACUS$'!$I1934-'FACUS$'!$K1934</f>
        <v>65934.4232</v>
      </c>
      <c r="M1934" s="162" t="s">
        <v>875</v>
      </c>
      <c r="N1934" s="337" t="s">
        <v>554</v>
      </c>
      <c r="O1934" s="338">
        <v>44973.0</v>
      </c>
      <c r="P1934" s="164">
        <f t="array" ref="P1934">XLOOKUP('FACUS$'!$B1934,'perfil de pagos'!$A$4:$A$46,'perfil de pagos'!$C$4:$C$46+'FACUS$'!$D1934)</f>
        <v>44907</v>
      </c>
      <c r="Q1934" s="165">
        <f t="shared" si="66"/>
        <v>0</v>
      </c>
      <c r="R1934" s="167"/>
      <c r="S1934" s="167"/>
      <c r="T1934" s="167"/>
      <c r="U1934" s="334" t="s">
        <v>7271</v>
      </c>
      <c r="V1934" s="168">
        <f t="shared" si="3"/>
        <v>65934.4232</v>
      </c>
      <c r="W1934" s="168">
        <f t="shared" si="4"/>
        <v>0</v>
      </c>
      <c r="X1934" s="168">
        <f t="shared" si="5"/>
        <v>0</v>
      </c>
      <c r="Y1934" s="168">
        <f t="shared" si="6"/>
        <v>0</v>
      </c>
      <c r="Z1934" s="168">
        <f t="shared" si="7"/>
        <v>0</v>
      </c>
      <c r="AA1934" s="168">
        <f t="shared" si="8"/>
        <v>0</v>
      </c>
      <c r="AB1934" s="168">
        <f t="shared" si="9"/>
        <v>0</v>
      </c>
    </row>
    <row r="1935" ht="15.0" customHeight="1">
      <c r="A1935" s="157" t="s">
        <v>9237</v>
      </c>
      <c r="B1935" s="169" t="s">
        <v>42</v>
      </c>
      <c r="C1935" s="169" t="s">
        <v>4469</v>
      </c>
      <c r="D1935" s="317">
        <v>44897.0</v>
      </c>
      <c r="E1935" s="157" t="s">
        <v>600</v>
      </c>
      <c r="F1935" s="160">
        <v>14972.05</v>
      </c>
      <c r="G1935" s="160">
        <f>'FACUS$'!$F1935*0.16</f>
        <v>2395.528</v>
      </c>
      <c r="H1935" s="160">
        <f t="shared" si="65"/>
        <v>17367.578</v>
      </c>
      <c r="I1935" s="172"/>
      <c r="J1935" s="169"/>
      <c r="K1935" s="172"/>
      <c r="L1935" s="172">
        <f>+'FACUS$'!$H1935-'FACUS$'!$I1935-'FACUS$'!$K1935</f>
        <v>17367.578</v>
      </c>
      <c r="M1935" s="162" t="s">
        <v>42</v>
      </c>
      <c r="N1935" s="337" t="s">
        <v>554</v>
      </c>
      <c r="O1935" s="338">
        <v>44910.0</v>
      </c>
      <c r="P1935" s="164">
        <f t="array" ref="P1935">XLOOKUP('FACUS$'!$B1935,'perfil de pagos'!$A$4:$A$46,'perfil de pagos'!$C$4:$C$46+'FACUS$'!$D1935)</f>
        <v>44907</v>
      </c>
      <c r="Q1935" s="165">
        <f t="shared" si="66"/>
        <v>0</v>
      </c>
      <c r="R1935" s="167"/>
      <c r="S1935" s="167">
        <v>1821.0</v>
      </c>
      <c r="T1935" s="167"/>
      <c r="U1935" s="334" t="s">
        <v>7271</v>
      </c>
      <c r="V1935" s="168">
        <f t="shared" si="3"/>
        <v>17367.578</v>
      </c>
      <c r="W1935" s="168">
        <f t="shared" si="4"/>
        <v>0</v>
      </c>
      <c r="X1935" s="168">
        <f t="shared" si="5"/>
        <v>0</v>
      </c>
      <c r="Y1935" s="168">
        <f t="shared" si="6"/>
        <v>0</v>
      </c>
      <c r="Z1935" s="168">
        <f t="shared" si="7"/>
        <v>0</v>
      </c>
      <c r="AA1935" s="168">
        <f t="shared" si="8"/>
        <v>0</v>
      </c>
      <c r="AB1935" s="168">
        <f t="shared" si="9"/>
        <v>0</v>
      </c>
    </row>
    <row r="1936" ht="15.0" customHeight="1">
      <c r="A1936" s="157" t="s">
        <v>9238</v>
      </c>
      <c r="B1936" s="169" t="s">
        <v>43</v>
      </c>
      <c r="C1936" s="169" t="s">
        <v>4469</v>
      </c>
      <c r="D1936" s="317">
        <v>44897.0</v>
      </c>
      <c r="E1936" s="157" t="s">
        <v>600</v>
      </c>
      <c r="F1936" s="160">
        <f>71113.51-'NCUS$'!F51</f>
        <v>70970.65</v>
      </c>
      <c r="G1936" s="160">
        <f>'FACUS$'!$F1936*0.16</f>
        <v>11355.304</v>
      </c>
      <c r="H1936" s="160">
        <f t="shared" si="65"/>
        <v>82325.954</v>
      </c>
      <c r="I1936" s="172"/>
      <c r="J1936" s="169"/>
      <c r="K1936" s="172"/>
      <c r="L1936" s="172">
        <f>+'FACUS$'!$H1936-'FACUS$'!$I1936-'FACUS$'!$K1936</f>
        <v>82325.954</v>
      </c>
      <c r="M1936" s="162" t="s">
        <v>43</v>
      </c>
      <c r="N1936" s="337" t="s">
        <v>554</v>
      </c>
      <c r="O1936" s="338">
        <v>44914.0</v>
      </c>
      <c r="P1936" s="164">
        <f t="array" ref="P1936">XLOOKUP('FACUS$'!$B1936,'perfil de pagos'!$A$4:$A$46,'perfil de pagos'!$C$4:$C$46+'FACUS$'!$D1936)</f>
        <v>44922</v>
      </c>
      <c r="Q1936" s="165">
        <f t="shared" si="66"/>
        <v>0</v>
      </c>
      <c r="R1936" s="167"/>
      <c r="S1936" s="167"/>
      <c r="T1936" s="167"/>
      <c r="U1936" s="334" t="s">
        <v>7271</v>
      </c>
      <c r="V1936" s="168">
        <f t="shared" si="3"/>
        <v>82325.954</v>
      </c>
      <c r="W1936" s="168">
        <f t="shared" si="4"/>
        <v>0</v>
      </c>
      <c r="X1936" s="168">
        <f t="shared" si="5"/>
        <v>0</v>
      </c>
      <c r="Y1936" s="168">
        <f t="shared" si="6"/>
        <v>0</v>
      </c>
      <c r="Z1936" s="168">
        <f t="shared" si="7"/>
        <v>0</v>
      </c>
      <c r="AA1936" s="168">
        <f t="shared" si="8"/>
        <v>0</v>
      </c>
      <c r="AB1936" s="168">
        <f t="shared" si="9"/>
        <v>0</v>
      </c>
    </row>
    <row r="1937" ht="15.0" customHeight="1">
      <c r="A1937" s="157" t="s">
        <v>9239</v>
      </c>
      <c r="B1937" s="169" t="s">
        <v>17</v>
      </c>
      <c r="C1937" s="169" t="s">
        <v>9240</v>
      </c>
      <c r="D1937" s="317">
        <v>44901.0</v>
      </c>
      <c r="E1937" s="157" t="s">
        <v>600</v>
      </c>
      <c r="F1937" s="160">
        <v>17336.0</v>
      </c>
      <c r="G1937" s="160">
        <f>'FACUS$'!$F1937*0.16</f>
        <v>2773.76</v>
      </c>
      <c r="H1937" s="160">
        <f t="shared" si="65"/>
        <v>20109.76</v>
      </c>
      <c r="I1937" s="172"/>
      <c r="J1937" s="169"/>
      <c r="K1937" s="172"/>
      <c r="L1937" s="172">
        <f>+'FACUS$'!$H1937-'FACUS$'!$I1937-'FACUS$'!$K1937</f>
        <v>20109.76</v>
      </c>
      <c r="M1937" s="162" t="s">
        <v>17</v>
      </c>
      <c r="N1937" s="337" t="s">
        <v>554</v>
      </c>
      <c r="O1937" s="338">
        <v>44917.0</v>
      </c>
      <c r="P1937" s="164">
        <f t="array" ref="P1937">XLOOKUP('FACUS$'!$B1937,'perfil de pagos'!$A$4:$A$46,'perfil de pagos'!$C$4:$C$46+'FACUS$'!$D1937)</f>
        <v>44911</v>
      </c>
      <c r="Q1937" s="165">
        <f t="shared" si="66"/>
        <v>0</v>
      </c>
      <c r="R1937" s="220" t="s">
        <v>9241</v>
      </c>
      <c r="S1937" s="167">
        <v>1842.0</v>
      </c>
      <c r="T1937" s="167"/>
      <c r="U1937" s="334" t="s">
        <v>7271</v>
      </c>
      <c r="V1937" s="168">
        <f t="shared" si="3"/>
        <v>20109.76</v>
      </c>
      <c r="W1937" s="168">
        <f t="shared" si="4"/>
        <v>0</v>
      </c>
      <c r="X1937" s="168">
        <f t="shared" si="5"/>
        <v>0</v>
      </c>
      <c r="Y1937" s="168">
        <f t="shared" si="6"/>
        <v>0</v>
      </c>
      <c r="Z1937" s="168">
        <f t="shared" si="7"/>
        <v>0</v>
      </c>
      <c r="AA1937" s="168">
        <f t="shared" si="8"/>
        <v>0</v>
      </c>
      <c r="AB1937" s="168">
        <f t="shared" si="9"/>
        <v>0</v>
      </c>
    </row>
    <row r="1938" ht="15.0" customHeight="1">
      <c r="A1938" s="157" t="s">
        <v>9242</v>
      </c>
      <c r="B1938" s="169" t="s">
        <v>17</v>
      </c>
      <c r="C1938" s="169" t="s">
        <v>4485</v>
      </c>
      <c r="D1938" s="317">
        <v>44901.0</v>
      </c>
      <c r="E1938" s="157" t="s">
        <v>600</v>
      </c>
      <c r="F1938" s="160">
        <v>21753.39</v>
      </c>
      <c r="G1938" s="160">
        <f>'FACUS$'!$F1938*0.16</f>
        <v>3480.5424</v>
      </c>
      <c r="H1938" s="160">
        <f t="shared" si="65"/>
        <v>25233.9324</v>
      </c>
      <c r="I1938" s="172"/>
      <c r="J1938" s="169"/>
      <c r="K1938" s="172"/>
      <c r="L1938" s="172">
        <f>+'FACUS$'!$H1938-'FACUS$'!$I1938-'FACUS$'!$K1938</f>
        <v>25233.9324</v>
      </c>
      <c r="M1938" s="162" t="s">
        <v>17</v>
      </c>
      <c r="N1938" s="337" t="s">
        <v>554</v>
      </c>
      <c r="O1938" s="338">
        <v>44917.0</v>
      </c>
      <c r="P1938" s="164">
        <f t="array" ref="P1938">XLOOKUP('FACUS$'!$B1938,'perfil de pagos'!$A$4:$A$46,'perfil de pagos'!$C$4:$C$46+'FACUS$'!$D1938)</f>
        <v>44911</v>
      </c>
      <c r="Q1938" s="165">
        <f t="shared" si="66"/>
        <v>0</v>
      </c>
      <c r="R1938" s="220" t="s">
        <v>9241</v>
      </c>
      <c r="S1938" s="167">
        <v>1841.0</v>
      </c>
      <c r="T1938" s="167"/>
      <c r="U1938" s="334" t="s">
        <v>7271</v>
      </c>
      <c r="V1938" s="168">
        <f t="shared" si="3"/>
        <v>25233.9324</v>
      </c>
      <c r="W1938" s="168">
        <f t="shared" si="4"/>
        <v>0</v>
      </c>
      <c r="X1938" s="168">
        <f t="shared" si="5"/>
        <v>0</v>
      </c>
      <c r="Y1938" s="168">
        <f t="shared" si="6"/>
        <v>0</v>
      </c>
      <c r="Z1938" s="168">
        <f t="shared" si="7"/>
        <v>0</v>
      </c>
      <c r="AA1938" s="168">
        <f t="shared" si="8"/>
        <v>0</v>
      </c>
      <c r="AB1938" s="168">
        <f t="shared" si="9"/>
        <v>0</v>
      </c>
    </row>
    <row r="1939" ht="15.0" customHeight="1">
      <c r="A1939" s="157" t="s">
        <v>9243</v>
      </c>
      <c r="B1939" s="169" t="s">
        <v>44</v>
      </c>
      <c r="C1939" s="169" t="s">
        <v>4469</v>
      </c>
      <c r="D1939" s="317">
        <v>44902.0</v>
      </c>
      <c r="E1939" s="157" t="s">
        <v>600</v>
      </c>
      <c r="F1939" s="160">
        <v>20274.3</v>
      </c>
      <c r="G1939" s="160">
        <f>'FACUS$'!$F1939*0.16</f>
        <v>3243.888</v>
      </c>
      <c r="H1939" s="160">
        <f t="shared" si="65"/>
        <v>23518.188</v>
      </c>
      <c r="I1939" s="172"/>
      <c r="J1939" s="169"/>
      <c r="K1939" s="172"/>
      <c r="L1939" s="172">
        <f>+'FACUS$'!$H1939-'FACUS$'!$I1939-'FACUS$'!$K1939</f>
        <v>23518.188</v>
      </c>
      <c r="M1939" s="162" t="s">
        <v>361</v>
      </c>
      <c r="N1939" s="337" t="s">
        <v>554</v>
      </c>
      <c r="O1939" s="338">
        <v>44910.0</v>
      </c>
      <c r="P1939" s="164">
        <f t="array" ref="P1939">XLOOKUP('FACUS$'!$B1939,'perfil de pagos'!$A$4:$A$46,'perfil de pagos'!$C$4:$C$46+'FACUS$'!$D1939)</f>
        <v>44912</v>
      </c>
      <c r="Q1939" s="165">
        <f t="shared" si="66"/>
        <v>0</v>
      </c>
      <c r="R1939" s="167"/>
      <c r="S1939" s="167"/>
      <c r="T1939" s="167"/>
      <c r="U1939" s="334" t="s">
        <v>7271</v>
      </c>
      <c r="V1939" s="168">
        <f t="shared" si="3"/>
        <v>23518.188</v>
      </c>
      <c r="W1939" s="168">
        <f t="shared" si="4"/>
        <v>0</v>
      </c>
      <c r="X1939" s="168">
        <f t="shared" si="5"/>
        <v>0</v>
      </c>
      <c r="Y1939" s="168">
        <f t="shared" si="6"/>
        <v>0</v>
      </c>
      <c r="Z1939" s="168">
        <f t="shared" si="7"/>
        <v>0</v>
      </c>
      <c r="AA1939" s="168">
        <f t="shared" si="8"/>
        <v>0</v>
      </c>
      <c r="AB1939" s="168">
        <f t="shared" si="9"/>
        <v>0</v>
      </c>
    </row>
    <row r="1940" ht="15.0" customHeight="1">
      <c r="A1940" s="157" t="s">
        <v>9244</v>
      </c>
      <c r="B1940" s="169" t="s">
        <v>18</v>
      </c>
      <c r="C1940" s="169" t="s">
        <v>4469</v>
      </c>
      <c r="D1940" s="317">
        <v>44903.0</v>
      </c>
      <c r="E1940" s="157" t="s">
        <v>600</v>
      </c>
      <c r="F1940" s="160">
        <v>6572.69</v>
      </c>
      <c r="G1940" s="160">
        <f>'FACUS$'!$F1940*0.16</f>
        <v>1051.6304</v>
      </c>
      <c r="H1940" s="160">
        <f t="shared" si="65"/>
        <v>7624.3204</v>
      </c>
      <c r="I1940" s="172"/>
      <c r="J1940" s="169"/>
      <c r="K1940" s="172"/>
      <c r="L1940" s="172">
        <f>+'FACUS$'!$H1940-'FACUS$'!$I1940-'FACUS$'!$K1940</f>
        <v>7624.3204</v>
      </c>
      <c r="M1940" s="162" t="s">
        <v>586</v>
      </c>
      <c r="N1940" s="337" t="s">
        <v>554</v>
      </c>
      <c r="O1940" s="338">
        <v>45050.0</v>
      </c>
      <c r="P1940" s="164">
        <f t="array" ref="P1940">XLOOKUP('FACUS$'!$B1940,'perfil de pagos'!$A$4:$A$46,'perfil de pagos'!$C$4:$C$46+'FACUS$'!$D1940)</f>
        <v>44913</v>
      </c>
      <c r="Q1940" s="165">
        <f t="shared" si="66"/>
        <v>0</v>
      </c>
      <c r="R1940" s="167"/>
      <c r="S1940" s="167">
        <v>2148.0</v>
      </c>
      <c r="T1940" s="167"/>
      <c r="U1940" s="334" t="s">
        <v>7271</v>
      </c>
      <c r="V1940" s="168">
        <f t="shared" si="3"/>
        <v>7624.3204</v>
      </c>
      <c r="W1940" s="168">
        <f t="shared" si="4"/>
        <v>0</v>
      </c>
      <c r="X1940" s="168">
        <f t="shared" si="5"/>
        <v>0</v>
      </c>
      <c r="Y1940" s="168">
        <f t="shared" si="6"/>
        <v>0</v>
      </c>
      <c r="Z1940" s="168">
        <f t="shared" si="7"/>
        <v>0</v>
      </c>
      <c r="AA1940" s="168">
        <f t="shared" si="8"/>
        <v>0</v>
      </c>
      <c r="AB1940" s="168">
        <f t="shared" si="9"/>
        <v>0</v>
      </c>
    </row>
    <row r="1941" ht="15.0" customHeight="1">
      <c r="A1941" s="157" t="s">
        <v>9245</v>
      </c>
      <c r="B1941" s="169" t="s">
        <v>20</v>
      </c>
      <c r="C1941" s="169" t="s">
        <v>4469</v>
      </c>
      <c r="D1941" s="317">
        <v>44903.0</v>
      </c>
      <c r="E1941" s="157" t="s">
        <v>600</v>
      </c>
      <c r="F1941" s="160">
        <v>12496.32</v>
      </c>
      <c r="G1941" s="160">
        <f>'FACUS$'!$F1941*0.16</f>
        <v>1999.4112</v>
      </c>
      <c r="H1941" s="160">
        <f t="shared" si="65"/>
        <v>14495.7312</v>
      </c>
      <c r="I1941" s="172"/>
      <c r="J1941" s="169"/>
      <c r="K1941" s="172"/>
      <c r="L1941" s="172">
        <f>+'FACUS$'!$H1941-'FACUS$'!$I1941-'FACUS$'!$K1941</f>
        <v>14495.7312</v>
      </c>
      <c r="M1941" s="162" t="s">
        <v>732</v>
      </c>
      <c r="N1941" s="337" t="s">
        <v>554</v>
      </c>
      <c r="O1941" s="338">
        <v>45050.0</v>
      </c>
      <c r="P1941" s="164">
        <f t="array" ref="P1941">XLOOKUP('FACUS$'!$B1941,'perfil de pagos'!$A$4:$A$46,'perfil de pagos'!$C$4:$C$46+'FACUS$'!$D1941)</f>
        <v>44913</v>
      </c>
      <c r="Q1941" s="165">
        <f t="shared" si="66"/>
        <v>0</v>
      </c>
      <c r="R1941" s="167"/>
      <c r="S1941" s="167">
        <v>2148.0</v>
      </c>
      <c r="T1941" s="167"/>
      <c r="U1941" s="334" t="s">
        <v>7271</v>
      </c>
      <c r="V1941" s="168">
        <f t="shared" si="3"/>
        <v>14495.7312</v>
      </c>
      <c r="W1941" s="168">
        <f t="shared" si="4"/>
        <v>0</v>
      </c>
      <c r="X1941" s="168">
        <f t="shared" si="5"/>
        <v>0</v>
      </c>
      <c r="Y1941" s="168">
        <f t="shared" si="6"/>
        <v>0</v>
      </c>
      <c r="Z1941" s="168">
        <f t="shared" si="7"/>
        <v>0</v>
      </c>
      <c r="AA1941" s="168">
        <f t="shared" si="8"/>
        <v>0</v>
      </c>
      <c r="AB1941" s="168">
        <f t="shared" si="9"/>
        <v>0</v>
      </c>
    </row>
    <row r="1942" ht="15.0" customHeight="1">
      <c r="A1942" s="157" t="s">
        <v>9246</v>
      </c>
      <c r="B1942" s="169" t="s">
        <v>22</v>
      </c>
      <c r="C1942" s="169" t="s">
        <v>4469</v>
      </c>
      <c r="D1942" s="317">
        <v>44903.0</v>
      </c>
      <c r="E1942" s="157" t="s">
        <v>600</v>
      </c>
      <c r="F1942" s="160">
        <v>11772.55</v>
      </c>
      <c r="G1942" s="160">
        <f>'FACUS$'!$F1942*0.16</f>
        <v>1883.608</v>
      </c>
      <c r="H1942" s="160">
        <f>F1942+G1942-12117.76</f>
        <v>1538.398</v>
      </c>
      <c r="I1942" s="172"/>
      <c r="J1942" s="169"/>
      <c r="K1942" s="172"/>
      <c r="L1942" s="172">
        <f>+'FACUS$'!$H1942-'FACUS$'!$I1942-'FACUS$'!$K1942</f>
        <v>1538.398</v>
      </c>
      <c r="M1942" s="162" t="s">
        <v>220</v>
      </c>
      <c r="N1942" s="337" t="s">
        <v>554</v>
      </c>
      <c r="O1942" s="338">
        <v>44973.0</v>
      </c>
      <c r="P1942" s="164">
        <f t="array" ref="P1942">XLOOKUP('FACUS$'!$B1942,'perfil de pagos'!$A$4:$A$46,'perfil de pagos'!$C$4:$C$46+'FACUS$'!$D1942)</f>
        <v>44913</v>
      </c>
      <c r="Q1942" s="165">
        <f t="shared" si="66"/>
        <v>0</v>
      </c>
      <c r="R1942" s="167" t="s">
        <v>9212</v>
      </c>
      <c r="S1942" s="167">
        <v>1975.0</v>
      </c>
      <c r="T1942" s="167"/>
      <c r="U1942" s="334" t="s">
        <v>7271</v>
      </c>
      <c r="V1942" s="168">
        <f t="shared" si="3"/>
        <v>1538.398</v>
      </c>
      <c r="W1942" s="168">
        <f t="shared" si="4"/>
        <v>0</v>
      </c>
      <c r="X1942" s="168">
        <f t="shared" si="5"/>
        <v>0</v>
      </c>
      <c r="Y1942" s="168">
        <f t="shared" si="6"/>
        <v>0</v>
      </c>
      <c r="Z1942" s="168">
        <f t="shared" si="7"/>
        <v>0</v>
      </c>
      <c r="AA1942" s="168">
        <f t="shared" si="8"/>
        <v>0</v>
      </c>
      <c r="AB1942" s="168">
        <f t="shared" si="9"/>
        <v>0</v>
      </c>
    </row>
    <row r="1943" ht="15.0" customHeight="1">
      <c r="A1943" s="157" t="s">
        <v>9247</v>
      </c>
      <c r="B1943" s="169" t="s">
        <v>25</v>
      </c>
      <c r="C1943" s="169" t="s">
        <v>4469</v>
      </c>
      <c r="D1943" s="317">
        <v>44903.0</v>
      </c>
      <c r="E1943" s="157" t="s">
        <v>600</v>
      </c>
      <c r="F1943" s="160">
        <v>4201.42</v>
      </c>
      <c r="G1943" s="160">
        <f>'FACUS$'!$F1943*0.16</f>
        <v>672.2272</v>
      </c>
      <c r="H1943" s="160">
        <f t="shared" ref="H1943:H1967" si="67">F1943+G1943</f>
        <v>4873.6472</v>
      </c>
      <c r="I1943" s="172"/>
      <c r="J1943" s="169"/>
      <c r="K1943" s="172"/>
      <c r="L1943" s="172">
        <f>+'FACUS$'!$H1943-'FACUS$'!$I1943-'FACUS$'!$K1943</f>
        <v>4873.6472</v>
      </c>
      <c r="M1943" s="162" t="s">
        <v>4388</v>
      </c>
      <c r="N1943" s="337" t="s">
        <v>554</v>
      </c>
      <c r="O1943" s="338">
        <v>44964.0</v>
      </c>
      <c r="P1943" s="164">
        <f t="array" ref="P1943">XLOOKUP('FACUS$'!$B1943,'perfil de pagos'!$A$4:$A$46,'perfil de pagos'!$C$4:$C$46+'FACUS$'!$D1943)</f>
        <v>44913</v>
      </c>
      <c r="Q1943" s="165">
        <f t="shared" si="66"/>
        <v>0</v>
      </c>
      <c r="R1943" s="167"/>
      <c r="S1943" s="167">
        <v>1947.0</v>
      </c>
      <c r="T1943" s="167"/>
      <c r="U1943" s="334" t="s">
        <v>7271</v>
      </c>
      <c r="V1943" s="168">
        <f t="shared" si="3"/>
        <v>4873.6472</v>
      </c>
      <c r="W1943" s="168">
        <f t="shared" si="4"/>
        <v>0</v>
      </c>
      <c r="X1943" s="168">
        <f t="shared" si="5"/>
        <v>0</v>
      </c>
      <c r="Y1943" s="168">
        <f t="shared" si="6"/>
        <v>0</v>
      </c>
      <c r="Z1943" s="168">
        <f t="shared" si="7"/>
        <v>0</v>
      </c>
      <c r="AA1943" s="168">
        <f t="shared" si="8"/>
        <v>0</v>
      </c>
      <c r="AB1943" s="168">
        <f t="shared" si="9"/>
        <v>0</v>
      </c>
    </row>
    <row r="1944" ht="15.0" customHeight="1">
      <c r="A1944" s="157" t="s">
        <v>9248</v>
      </c>
      <c r="B1944" s="169" t="s">
        <v>37</v>
      </c>
      <c r="C1944" s="169" t="s">
        <v>4469</v>
      </c>
      <c r="D1944" s="317">
        <v>44903.0</v>
      </c>
      <c r="E1944" s="157" t="s">
        <v>600</v>
      </c>
      <c r="F1944" s="160">
        <v>87354.43</v>
      </c>
      <c r="G1944" s="160">
        <f>'FACUS$'!$F1944*0.16</f>
        <v>13976.7088</v>
      </c>
      <c r="H1944" s="160">
        <f t="shared" si="67"/>
        <v>101331.1388</v>
      </c>
      <c r="I1944" s="172"/>
      <c r="J1944" s="169"/>
      <c r="K1944" s="172"/>
      <c r="L1944" s="172">
        <f>+'FACUS$'!$H1944-'FACUS$'!$I1944-'FACUS$'!$K1944</f>
        <v>101331.1388</v>
      </c>
      <c r="M1944" s="162" t="s">
        <v>116</v>
      </c>
      <c r="N1944" s="337" t="s">
        <v>554</v>
      </c>
      <c r="O1944" s="338">
        <v>44911.0</v>
      </c>
      <c r="P1944" s="164">
        <f t="array" ref="P1944">XLOOKUP('FACUS$'!$B1944,'perfil de pagos'!$A$4:$A$46,'perfil de pagos'!$C$4:$C$46+'FACUS$'!$D1944)</f>
        <v>44913</v>
      </c>
      <c r="Q1944" s="165">
        <f t="shared" si="66"/>
        <v>0</v>
      </c>
      <c r="R1944" s="220" t="s">
        <v>9249</v>
      </c>
      <c r="S1944" s="167">
        <v>1831.0</v>
      </c>
      <c r="T1944" s="167"/>
      <c r="U1944" s="334" t="s">
        <v>7271</v>
      </c>
      <c r="V1944" s="168">
        <f t="shared" si="3"/>
        <v>101331.1388</v>
      </c>
      <c r="W1944" s="168">
        <f t="shared" si="4"/>
        <v>0</v>
      </c>
      <c r="X1944" s="168">
        <f t="shared" si="5"/>
        <v>0</v>
      </c>
      <c r="Y1944" s="168">
        <f t="shared" si="6"/>
        <v>0</v>
      </c>
      <c r="Z1944" s="168">
        <f t="shared" si="7"/>
        <v>0</v>
      </c>
      <c r="AA1944" s="168">
        <f t="shared" si="8"/>
        <v>0</v>
      </c>
      <c r="AB1944" s="168">
        <f t="shared" si="9"/>
        <v>0</v>
      </c>
    </row>
    <row r="1945" ht="15.0" customHeight="1">
      <c r="A1945" s="157" t="s">
        <v>9250</v>
      </c>
      <c r="B1945" s="169" t="s">
        <v>38</v>
      </c>
      <c r="C1945" s="169" t="s">
        <v>4469</v>
      </c>
      <c r="D1945" s="317">
        <v>44903.0</v>
      </c>
      <c r="E1945" s="157" t="s">
        <v>600</v>
      </c>
      <c r="F1945" s="160">
        <v>9814.42</v>
      </c>
      <c r="G1945" s="160">
        <f>'FACUS$'!$F1945*0.16</f>
        <v>1570.3072</v>
      </c>
      <c r="H1945" s="160">
        <f t="shared" si="67"/>
        <v>11384.7272</v>
      </c>
      <c r="I1945" s="172"/>
      <c r="J1945" s="169"/>
      <c r="K1945" s="172"/>
      <c r="L1945" s="172">
        <f>+'FACUS$'!$H1945-'FACUS$'!$I1945-'FACUS$'!$K1945</f>
        <v>11384.7272</v>
      </c>
      <c r="M1945" s="162" t="s">
        <v>145</v>
      </c>
      <c r="N1945" s="337" t="s">
        <v>554</v>
      </c>
      <c r="O1945" s="338">
        <v>44981.0</v>
      </c>
      <c r="P1945" s="164">
        <f t="array" ref="P1945">XLOOKUP('FACUS$'!$B1945,'perfil de pagos'!$A$4:$A$46,'perfil de pagos'!$C$4:$C$46+'FACUS$'!$D1945)</f>
        <v>44933</v>
      </c>
      <c r="Q1945" s="165">
        <f t="shared" si="66"/>
        <v>0</v>
      </c>
      <c r="R1945" s="220" t="s">
        <v>9251</v>
      </c>
      <c r="S1945" s="167">
        <v>1996.0</v>
      </c>
      <c r="T1945" s="167"/>
      <c r="U1945" s="334" t="s">
        <v>7271</v>
      </c>
      <c r="V1945" s="168">
        <f t="shared" si="3"/>
        <v>11384.7272</v>
      </c>
      <c r="W1945" s="168">
        <f t="shared" si="4"/>
        <v>0</v>
      </c>
      <c r="X1945" s="168">
        <f t="shared" si="5"/>
        <v>0</v>
      </c>
      <c r="Y1945" s="168">
        <f t="shared" si="6"/>
        <v>0</v>
      </c>
      <c r="Z1945" s="168">
        <f t="shared" si="7"/>
        <v>0</v>
      </c>
      <c r="AA1945" s="168">
        <f t="shared" si="8"/>
        <v>0</v>
      </c>
      <c r="AB1945" s="168">
        <f t="shared" si="9"/>
        <v>0</v>
      </c>
    </row>
    <row r="1946" ht="15.0" customHeight="1">
      <c r="A1946" s="157" t="s">
        <v>9252</v>
      </c>
      <c r="B1946" s="169" t="s">
        <v>38</v>
      </c>
      <c r="C1946" s="169" t="s">
        <v>4469</v>
      </c>
      <c r="D1946" s="317">
        <v>44903.0</v>
      </c>
      <c r="E1946" s="157" t="s">
        <v>600</v>
      </c>
      <c r="F1946" s="160">
        <v>1873.32</v>
      </c>
      <c r="G1946" s="160">
        <f>'FACUS$'!$F1946*0.16</f>
        <v>299.7312</v>
      </c>
      <c r="H1946" s="160">
        <f t="shared" si="67"/>
        <v>2173.0512</v>
      </c>
      <c r="I1946" s="172"/>
      <c r="J1946" s="169"/>
      <c r="K1946" s="172"/>
      <c r="L1946" s="172">
        <f>+'FACUS$'!$H1946-'FACUS$'!$I1946-'FACUS$'!$K1946</f>
        <v>2173.0512</v>
      </c>
      <c r="M1946" s="162" t="s">
        <v>642</v>
      </c>
      <c r="N1946" s="337" t="s">
        <v>554</v>
      </c>
      <c r="O1946" s="338">
        <v>44981.0</v>
      </c>
      <c r="P1946" s="164">
        <f t="array" ref="P1946">XLOOKUP('FACUS$'!$B1946,'perfil de pagos'!$A$4:$A$46,'perfil de pagos'!$C$4:$C$46+'FACUS$'!$D1946)</f>
        <v>44933</v>
      </c>
      <c r="Q1946" s="165">
        <f t="shared" si="66"/>
        <v>0</v>
      </c>
      <c r="R1946" s="220" t="s">
        <v>9251</v>
      </c>
      <c r="S1946" s="167">
        <v>1996.0</v>
      </c>
      <c r="T1946" s="167"/>
      <c r="U1946" s="334" t="s">
        <v>7271</v>
      </c>
      <c r="V1946" s="168">
        <f t="shared" si="3"/>
        <v>2173.0512</v>
      </c>
      <c r="W1946" s="168">
        <f t="shared" si="4"/>
        <v>0</v>
      </c>
      <c r="X1946" s="168">
        <f t="shared" si="5"/>
        <v>0</v>
      </c>
      <c r="Y1946" s="168">
        <f t="shared" si="6"/>
        <v>0</v>
      </c>
      <c r="Z1946" s="168">
        <f t="shared" si="7"/>
        <v>0</v>
      </c>
      <c r="AA1946" s="168">
        <f t="shared" si="8"/>
        <v>0</v>
      </c>
      <c r="AB1946" s="168">
        <f t="shared" si="9"/>
        <v>0</v>
      </c>
    </row>
    <row r="1947" ht="15.0" customHeight="1">
      <c r="A1947" s="157" t="s">
        <v>9253</v>
      </c>
      <c r="B1947" s="169" t="s">
        <v>31</v>
      </c>
      <c r="C1947" s="169" t="s">
        <v>9254</v>
      </c>
      <c r="D1947" s="317">
        <v>44904.0</v>
      </c>
      <c r="E1947" s="157" t="s">
        <v>600</v>
      </c>
      <c r="F1947" s="160">
        <v>9346.16</v>
      </c>
      <c r="G1947" s="160">
        <f>'FACUS$'!$F1947*0.16</f>
        <v>1495.3856</v>
      </c>
      <c r="H1947" s="160">
        <f t="shared" si="67"/>
        <v>10841.5456</v>
      </c>
      <c r="I1947" s="172"/>
      <c r="J1947" s="169"/>
      <c r="K1947" s="172"/>
      <c r="L1947" s="172">
        <f>+'FACUS$'!$H1947-'FACUS$'!$I1947-'FACUS$'!$K1947</f>
        <v>10841.5456</v>
      </c>
      <c r="M1947" s="162" t="s">
        <v>3183</v>
      </c>
      <c r="N1947" s="337" t="s">
        <v>554</v>
      </c>
      <c r="O1947" s="338">
        <v>44911.0</v>
      </c>
      <c r="P1947" s="164">
        <f t="array" ref="P1947">XLOOKUP('FACUS$'!$B1947,'perfil de pagos'!$A$4:$A$46,'perfil de pagos'!$C$4:$C$46+'FACUS$'!$D1947)</f>
        <v>44907</v>
      </c>
      <c r="Q1947" s="165">
        <f t="shared" si="66"/>
        <v>0</v>
      </c>
      <c r="R1947" s="247" t="s">
        <v>9255</v>
      </c>
      <c r="S1947" s="167">
        <v>1834.0</v>
      </c>
      <c r="T1947" s="167"/>
      <c r="U1947" s="334" t="s">
        <v>7271</v>
      </c>
      <c r="V1947" s="168">
        <f t="shared" si="3"/>
        <v>10841.5456</v>
      </c>
      <c r="W1947" s="168">
        <f t="shared" si="4"/>
        <v>0</v>
      </c>
      <c r="X1947" s="168">
        <f t="shared" si="5"/>
        <v>0</v>
      </c>
      <c r="Y1947" s="168">
        <f t="shared" si="6"/>
        <v>0</v>
      </c>
      <c r="Z1947" s="168">
        <f t="shared" si="7"/>
        <v>0</v>
      </c>
      <c r="AA1947" s="168">
        <f t="shared" si="8"/>
        <v>0</v>
      </c>
      <c r="AB1947" s="168">
        <f t="shared" si="9"/>
        <v>0</v>
      </c>
    </row>
    <row r="1948" ht="15.0" customHeight="1">
      <c r="A1948" s="157" t="s">
        <v>9256</v>
      </c>
      <c r="B1948" s="169" t="s">
        <v>31</v>
      </c>
      <c r="C1948" s="169" t="s">
        <v>9257</v>
      </c>
      <c r="D1948" s="317">
        <v>44908.0</v>
      </c>
      <c r="E1948" s="157" t="s">
        <v>600</v>
      </c>
      <c r="F1948" s="160">
        <v>17148.67</v>
      </c>
      <c r="G1948" s="160">
        <f>'FACUS$'!$F1948*0.16</f>
        <v>2743.7872</v>
      </c>
      <c r="H1948" s="160">
        <f t="shared" si="67"/>
        <v>19892.4572</v>
      </c>
      <c r="I1948" s="172"/>
      <c r="J1948" s="169"/>
      <c r="K1948" s="172"/>
      <c r="L1948" s="172">
        <f>+'FACUS$'!$H1948-'FACUS$'!$I1948-'FACUS$'!$K1948</f>
        <v>19892.4572</v>
      </c>
      <c r="M1948" s="162" t="s">
        <v>3183</v>
      </c>
      <c r="N1948" s="337" t="s">
        <v>554</v>
      </c>
      <c r="O1948" s="338">
        <v>44924.0</v>
      </c>
      <c r="P1948" s="164">
        <f t="array" ref="P1948">XLOOKUP('FACUS$'!$B1948,'perfil de pagos'!$A$4:$A$46,'perfil de pagos'!$C$4:$C$46+'FACUS$'!$D1948)</f>
        <v>44911</v>
      </c>
      <c r="Q1948" s="165">
        <f t="shared" si="66"/>
        <v>0</v>
      </c>
      <c r="R1948" s="167"/>
      <c r="S1948" s="167">
        <v>1848.0</v>
      </c>
      <c r="T1948" s="167"/>
      <c r="U1948" s="334" t="s">
        <v>7271</v>
      </c>
      <c r="V1948" s="168">
        <f t="shared" si="3"/>
        <v>19892.4572</v>
      </c>
      <c r="W1948" s="168">
        <f t="shared" si="4"/>
        <v>0</v>
      </c>
      <c r="X1948" s="168">
        <f t="shared" si="5"/>
        <v>0</v>
      </c>
      <c r="Y1948" s="168">
        <f t="shared" si="6"/>
        <v>0</v>
      </c>
      <c r="Z1948" s="168">
        <f t="shared" si="7"/>
        <v>0</v>
      </c>
      <c r="AA1948" s="168">
        <f t="shared" si="8"/>
        <v>0</v>
      </c>
      <c r="AB1948" s="168">
        <f t="shared" si="9"/>
        <v>0</v>
      </c>
    </row>
    <row r="1949" ht="15.0" customHeight="1">
      <c r="A1949" s="157" t="s">
        <v>9258</v>
      </c>
      <c r="B1949" s="169" t="s">
        <v>17</v>
      </c>
      <c r="C1949" s="169" t="s">
        <v>8881</v>
      </c>
      <c r="D1949" s="336">
        <v>44909.0</v>
      </c>
      <c r="E1949" s="157" t="s">
        <v>600</v>
      </c>
      <c r="F1949" s="160">
        <v>505.68</v>
      </c>
      <c r="G1949" s="160">
        <v>80.91</v>
      </c>
      <c r="H1949" s="160">
        <f t="shared" si="67"/>
        <v>586.59</v>
      </c>
      <c r="I1949" s="172"/>
      <c r="J1949" s="169"/>
      <c r="K1949" s="172"/>
      <c r="L1949" s="172">
        <f>+'FACUS$'!$H1949-'FACUS$'!$I1949-'FACUS$'!$K1949</f>
        <v>586.59</v>
      </c>
      <c r="M1949" s="162" t="s">
        <v>17</v>
      </c>
      <c r="N1949" s="337" t="s">
        <v>554</v>
      </c>
      <c r="O1949" s="338">
        <v>44917.0</v>
      </c>
      <c r="P1949" s="164">
        <f t="array" ref="P1949">XLOOKUP('FACUS$'!$B1949,'perfil de pagos'!$A$4:$A$46,'perfil de pagos'!$C$4:$C$46+'FACUS$'!$D1949)</f>
        <v>44919</v>
      </c>
      <c r="Q1949" s="165">
        <f t="shared" si="66"/>
        <v>0</v>
      </c>
      <c r="R1949" s="167" t="s">
        <v>9259</v>
      </c>
      <c r="S1949" s="167">
        <v>1840.0</v>
      </c>
      <c r="T1949" s="167"/>
      <c r="U1949" s="334" t="s">
        <v>7271</v>
      </c>
      <c r="V1949" s="168">
        <f t="shared" si="3"/>
        <v>586.59</v>
      </c>
      <c r="W1949" s="168">
        <f t="shared" si="4"/>
        <v>0</v>
      </c>
      <c r="X1949" s="168">
        <f t="shared" si="5"/>
        <v>0</v>
      </c>
      <c r="Y1949" s="168">
        <f t="shared" si="6"/>
        <v>0</v>
      </c>
      <c r="Z1949" s="168">
        <f t="shared" si="7"/>
        <v>0</v>
      </c>
      <c r="AA1949" s="168">
        <f t="shared" si="8"/>
        <v>0</v>
      </c>
      <c r="AB1949" s="168">
        <f t="shared" si="9"/>
        <v>0</v>
      </c>
    </row>
    <row r="1950" ht="15.0" customHeight="1">
      <c r="A1950" s="157" t="s">
        <v>9260</v>
      </c>
      <c r="B1950" s="169" t="s">
        <v>35</v>
      </c>
      <c r="C1950" s="169" t="s">
        <v>4485</v>
      </c>
      <c r="D1950" s="317">
        <v>44914.0</v>
      </c>
      <c r="E1950" s="157" t="s">
        <v>600</v>
      </c>
      <c r="F1950" s="160">
        <v>16785.71</v>
      </c>
      <c r="G1950" s="160">
        <f>'FACUS$'!$F1950*0.16</f>
        <v>2685.7136</v>
      </c>
      <c r="H1950" s="160">
        <f t="shared" si="67"/>
        <v>19471.4236</v>
      </c>
      <c r="I1950" s="172"/>
      <c r="J1950" s="169"/>
      <c r="K1950" s="172"/>
      <c r="L1950" s="172">
        <f>+'FACUS$'!$H1950-'FACUS$'!$I1950-'FACUS$'!$K1950</f>
        <v>19471.4236</v>
      </c>
      <c r="M1950" s="162" t="s">
        <v>276</v>
      </c>
      <c r="N1950" s="337" t="s">
        <v>554</v>
      </c>
      <c r="O1950" s="338">
        <v>44965.0</v>
      </c>
      <c r="P1950" s="164">
        <f t="array" ref="P1950">XLOOKUP('FACUS$'!$B1950,'perfil de pagos'!$A$4:$A$46,'perfil de pagos'!$C$4:$C$46+'FACUS$'!$D1950)</f>
        <v>44924</v>
      </c>
      <c r="Q1950" s="165">
        <f t="shared" si="66"/>
        <v>0</v>
      </c>
      <c r="R1950" s="167"/>
      <c r="S1950" s="167">
        <v>1951.0</v>
      </c>
      <c r="T1950" s="167"/>
      <c r="U1950" s="334" t="s">
        <v>7271</v>
      </c>
      <c r="V1950" s="168">
        <f t="shared" si="3"/>
        <v>19471.4236</v>
      </c>
      <c r="W1950" s="168">
        <f t="shared" si="4"/>
        <v>0</v>
      </c>
      <c r="X1950" s="168">
        <f t="shared" si="5"/>
        <v>0</v>
      </c>
      <c r="Y1950" s="168">
        <f t="shared" si="6"/>
        <v>0</v>
      </c>
      <c r="Z1950" s="168">
        <f t="shared" si="7"/>
        <v>0</v>
      </c>
      <c r="AA1950" s="168">
        <f t="shared" si="8"/>
        <v>0</v>
      </c>
      <c r="AB1950" s="168">
        <f t="shared" si="9"/>
        <v>0</v>
      </c>
    </row>
    <row r="1951" ht="15.0" customHeight="1">
      <c r="A1951" s="157" t="s">
        <v>9261</v>
      </c>
      <c r="B1951" s="169" t="s">
        <v>36</v>
      </c>
      <c r="C1951" s="169" t="s">
        <v>4485</v>
      </c>
      <c r="D1951" s="317">
        <v>44914.0</v>
      </c>
      <c r="E1951" s="157" t="s">
        <v>600</v>
      </c>
      <c r="F1951" s="160">
        <v>2031.63</v>
      </c>
      <c r="G1951" s="160">
        <f>'FACUS$'!$F1951*0.16</f>
        <v>325.0608</v>
      </c>
      <c r="H1951" s="160">
        <f t="shared" si="67"/>
        <v>2356.6908</v>
      </c>
      <c r="I1951" s="172"/>
      <c r="J1951" s="169"/>
      <c r="K1951" s="172"/>
      <c r="L1951" s="172">
        <f>+'FACUS$'!$H1951-'FACUS$'!$I1951-'FACUS$'!$K1951</f>
        <v>2356.6908</v>
      </c>
      <c r="M1951" s="162" t="s">
        <v>278</v>
      </c>
      <c r="N1951" s="337" t="s">
        <v>554</v>
      </c>
      <c r="O1951" s="338">
        <v>44922.0</v>
      </c>
      <c r="P1951" s="164">
        <f t="array" ref="P1951">XLOOKUP('FACUS$'!$B1951,'perfil de pagos'!$A$4:$A$46,'perfil de pagos'!$C$4:$C$46+'FACUS$'!$D1951)</f>
        <v>44924</v>
      </c>
      <c r="Q1951" s="165">
        <f t="shared" si="66"/>
        <v>0</v>
      </c>
      <c r="R1951" s="220" t="s">
        <v>9262</v>
      </c>
      <c r="S1951" s="167">
        <v>1853.0</v>
      </c>
      <c r="T1951" s="167"/>
      <c r="U1951" s="334" t="s">
        <v>7271</v>
      </c>
      <c r="V1951" s="168">
        <f t="shared" si="3"/>
        <v>2356.6908</v>
      </c>
      <c r="W1951" s="168">
        <f t="shared" si="4"/>
        <v>0</v>
      </c>
      <c r="X1951" s="168">
        <f t="shared" si="5"/>
        <v>0</v>
      </c>
      <c r="Y1951" s="168">
        <f t="shared" si="6"/>
        <v>0</v>
      </c>
      <c r="Z1951" s="168">
        <f t="shared" si="7"/>
        <v>0</v>
      </c>
      <c r="AA1951" s="168">
        <f t="shared" si="8"/>
        <v>0</v>
      </c>
      <c r="AB1951" s="168">
        <f t="shared" si="9"/>
        <v>0</v>
      </c>
    </row>
    <row r="1952" ht="15.0" customHeight="1">
      <c r="A1952" s="157" t="s">
        <v>9263</v>
      </c>
      <c r="B1952" s="169" t="s">
        <v>41</v>
      </c>
      <c r="C1952" s="169" t="s">
        <v>4485</v>
      </c>
      <c r="D1952" s="317">
        <v>44914.0</v>
      </c>
      <c r="E1952" s="157" t="s">
        <v>600</v>
      </c>
      <c r="F1952" s="160">
        <v>61441.45</v>
      </c>
      <c r="G1952" s="160">
        <f>'FACUS$'!$F1952*0.16</f>
        <v>9830.632</v>
      </c>
      <c r="H1952" s="160">
        <f t="shared" si="67"/>
        <v>71272.082</v>
      </c>
      <c r="I1952" s="172"/>
      <c r="J1952" s="169"/>
      <c r="K1952" s="172"/>
      <c r="L1952" s="172">
        <f>+'FACUS$'!$H1952-'FACUS$'!$I1952-'FACUS$'!$K1952</f>
        <v>71272.082</v>
      </c>
      <c r="M1952" s="162" t="s">
        <v>875</v>
      </c>
      <c r="N1952" s="337" t="s">
        <v>554</v>
      </c>
      <c r="O1952" s="338">
        <v>44973.0</v>
      </c>
      <c r="P1952" s="164">
        <f t="array" ref="P1952">XLOOKUP('FACUS$'!$B1952,'perfil de pagos'!$A$4:$A$46,'perfil de pagos'!$C$4:$C$46+'FACUS$'!$D1952)</f>
        <v>44924</v>
      </c>
      <c r="Q1952" s="165">
        <f t="shared" si="66"/>
        <v>0</v>
      </c>
      <c r="R1952" s="167"/>
      <c r="S1952" s="167"/>
      <c r="T1952" s="167"/>
      <c r="U1952" s="334" t="s">
        <v>7271</v>
      </c>
      <c r="V1952" s="168">
        <f t="shared" si="3"/>
        <v>71272.082</v>
      </c>
      <c r="W1952" s="168">
        <f t="shared" si="4"/>
        <v>0</v>
      </c>
      <c r="X1952" s="168">
        <f t="shared" si="5"/>
        <v>0</v>
      </c>
      <c r="Y1952" s="168">
        <f t="shared" si="6"/>
        <v>0</v>
      </c>
      <c r="Z1952" s="168">
        <f t="shared" si="7"/>
        <v>0</v>
      </c>
      <c r="AA1952" s="168">
        <f t="shared" si="8"/>
        <v>0</v>
      </c>
      <c r="AB1952" s="168">
        <f t="shared" si="9"/>
        <v>0</v>
      </c>
    </row>
    <row r="1953" ht="15.0" customHeight="1">
      <c r="A1953" s="157" t="s">
        <v>9264</v>
      </c>
      <c r="B1953" s="169" t="s">
        <v>42</v>
      </c>
      <c r="C1953" s="169" t="s">
        <v>4485</v>
      </c>
      <c r="D1953" s="317">
        <v>44914.0</v>
      </c>
      <c r="E1953" s="157" t="s">
        <v>600</v>
      </c>
      <c r="F1953" s="160">
        <v>18325.06</v>
      </c>
      <c r="G1953" s="160">
        <f>'FACUS$'!$F1953*0.16</f>
        <v>2932.0096</v>
      </c>
      <c r="H1953" s="160">
        <f t="shared" si="67"/>
        <v>21257.0696</v>
      </c>
      <c r="I1953" s="172"/>
      <c r="J1953" s="169"/>
      <c r="K1953" s="172"/>
      <c r="L1953" s="172">
        <f>+'FACUS$'!$H1953-'FACUS$'!$I1953-'FACUS$'!$K1953</f>
        <v>21257.0696</v>
      </c>
      <c r="M1953" s="162" t="s">
        <v>42</v>
      </c>
      <c r="N1953" s="337" t="s">
        <v>554</v>
      </c>
      <c r="O1953" s="338">
        <v>44938.0</v>
      </c>
      <c r="P1953" s="164">
        <f t="array" ref="P1953">XLOOKUP('FACUS$'!$B1953,'perfil de pagos'!$A$4:$A$46,'perfil de pagos'!$C$4:$C$46+'FACUS$'!$D1953)</f>
        <v>44924</v>
      </c>
      <c r="Q1953" s="165">
        <f t="shared" si="66"/>
        <v>0</v>
      </c>
      <c r="R1953" s="220" t="s">
        <v>9265</v>
      </c>
      <c r="S1953" s="167">
        <v>1884.0</v>
      </c>
      <c r="T1953" s="167"/>
      <c r="U1953" s="334" t="s">
        <v>7271</v>
      </c>
      <c r="V1953" s="168">
        <f t="shared" si="3"/>
        <v>21257.0696</v>
      </c>
      <c r="W1953" s="168">
        <f t="shared" si="4"/>
        <v>0</v>
      </c>
      <c r="X1953" s="168">
        <f t="shared" si="5"/>
        <v>0</v>
      </c>
      <c r="Y1953" s="168">
        <f t="shared" si="6"/>
        <v>0</v>
      </c>
      <c r="Z1953" s="168">
        <f t="shared" si="7"/>
        <v>0</v>
      </c>
      <c r="AA1953" s="168">
        <f t="shared" si="8"/>
        <v>0</v>
      </c>
      <c r="AB1953" s="168">
        <f t="shared" si="9"/>
        <v>0</v>
      </c>
    </row>
    <row r="1954" ht="15.0" customHeight="1">
      <c r="A1954" s="157" t="s">
        <v>9266</v>
      </c>
      <c r="B1954" s="169" t="s">
        <v>44</v>
      </c>
      <c r="C1954" s="169" t="s">
        <v>4485</v>
      </c>
      <c r="D1954" s="317">
        <v>44914.0</v>
      </c>
      <c r="E1954" s="157" t="s">
        <v>600</v>
      </c>
      <c r="F1954" s="160">
        <v>32916.75</v>
      </c>
      <c r="G1954" s="160">
        <f>'FACUS$'!$F1954*0.16</f>
        <v>5266.68</v>
      </c>
      <c r="H1954" s="160">
        <f t="shared" si="67"/>
        <v>38183.43</v>
      </c>
      <c r="I1954" s="172"/>
      <c r="J1954" s="169"/>
      <c r="K1954" s="172"/>
      <c r="L1954" s="172">
        <f>+'FACUS$'!$H1954-'FACUS$'!$I1954-'FACUS$'!$K1954</f>
        <v>38183.43</v>
      </c>
      <c r="M1954" s="162" t="s">
        <v>361</v>
      </c>
      <c r="N1954" s="337" t="s">
        <v>554</v>
      </c>
      <c r="O1954" s="338">
        <v>44931.0</v>
      </c>
      <c r="P1954" s="164">
        <f t="array" ref="P1954">XLOOKUP('FACUS$'!$B1954,'perfil de pagos'!$A$4:$A$46,'perfil de pagos'!$C$4:$C$46+'FACUS$'!$D1954)</f>
        <v>44924</v>
      </c>
      <c r="Q1954" s="165">
        <f t="shared" si="66"/>
        <v>0</v>
      </c>
      <c r="R1954" s="167"/>
      <c r="S1954" s="167">
        <v>1873.0</v>
      </c>
      <c r="T1954" s="167"/>
      <c r="U1954" s="334" t="s">
        <v>7271</v>
      </c>
      <c r="V1954" s="168">
        <f t="shared" si="3"/>
        <v>38183.43</v>
      </c>
      <c r="W1954" s="168">
        <f t="shared" si="4"/>
        <v>0</v>
      </c>
      <c r="X1954" s="168">
        <f t="shared" si="5"/>
        <v>0</v>
      </c>
      <c r="Y1954" s="168">
        <f t="shared" si="6"/>
        <v>0</v>
      </c>
      <c r="Z1954" s="168">
        <f t="shared" si="7"/>
        <v>0</v>
      </c>
      <c r="AA1954" s="168">
        <f t="shared" si="8"/>
        <v>0</v>
      </c>
      <c r="AB1954" s="168">
        <f t="shared" si="9"/>
        <v>0</v>
      </c>
    </row>
    <row r="1955" ht="15.0" customHeight="1">
      <c r="A1955" s="157" t="s">
        <v>9267</v>
      </c>
      <c r="B1955" s="169" t="s">
        <v>15</v>
      </c>
      <c r="C1955" s="169" t="s">
        <v>4485</v>
      </c>
      <c r="D1955" s="317">
        <v>44915.0</v>
      </c>
      <c r="E1955" s="157" t="s">
        <v>600</v>
      </c>
      <c r="F1955" s="160">
        <v>71649.86</v>
      </c>
      <c r="G1955" s="160">
        <f>'FACUS$'!$F1955*0.16</f>
        <v>11463.9776</v>
      </c>
      <c r="H1955" s="160">
        <f t="shared" si="67"/>
        <v>83113.8376</v>
      </c>
      <c r="I1955" s="172"/>
      <c r="J1955" s="169"/>
      <c r="K1955" s="172"/>
      <c r="L1955" s="172">
        <f>+'FACUS$'!$H1955-'FACUS$'!$I1955-'FACUS$'!$K1955</f>
        <v>83113.8376</v>
      </c>
      <c r="M1955" s="162" t="s">
        <v>443</v>
      </c>
      <c r="N1955" s="337" t="s">
        <v>554</v>
      </c>
      <c r="O1955" s="338">
        <v>44936.0</v>
      </c>
      <c r="P1955" s="164">
        <f t="array" ref="P1955">XLOOKUP('FACUS$'!$B1955,'perfil de pagos'!$A$4:$A$46,'perfil de pagos'!$C$4:$C$46+'FACUS$'!$D1955)</f>
        <v>44925</v>
      </c>
      <c r="Q1955" s="165">
        <f t="shared" si="66"/>
        <v>0</v>
      </c>
      <c r="R1955" s="167"/>
      <c r="S1955" s="167">
        <v>1883.0</v>
      </c>
      <c r="T1955" s="167"/>
      <c r="U1955" s="334" t="s">
        <v>7271</v>
      </c>
      <c r="V1955" s="168">
        <f t="shared" si="3"/>
        <v>83113.8376</v>
      </c>
      <c r="W1955" s="168">
        <f t="shared" si="4"/>
        <v>0</v>
      </c>
      <c r="X1955" s="168">
        <f t="shared" si="5"/>
        <v>0</v>
      </c>
      <c r="Y1955" s="168">
        <f t="shared" si="6"/>
        <v>0</v>
      </c>
      <c r="Z1955" s="168">
        <f t="shared" si="7"/>
        <v>0</v>
      </c>
      <c r="AA1955" s="168">
        <f t="shared" si="8"/>
        <v>0</v>
      </c>
      <c r="AB1955" s="168">
        <f t="shared" si="9"/>
        <v>0</v>
      </c>
    </row>
    <row r="1956" ht="15.0" customHeight="1">
      <c r="A1956" s="157" t="s">
        <v>9268</v>
      </c>
      <c r="B1956" s="169" t="s">
        <v>39</v>
      </c>
      <c r="C1956" s="169" t="s">
        <v>4482</v>
      </c>
      <c r="D1956" s="317">
        <v>44915.0</v>
      </c>
      <c r="E1956" s="157" t="s">
        <v>600</v>
      </c>
      <c r="F1956" s="160">
        <v>32781.8</v>
      </c>
      <c r="G1956" s="160">
        <f>'FACUS$'!$F1956*0.16</f>
        <v>5245.088</v>
      </c>
      <c r="H1956" s="160">
        <f t="shared" si="67"/>
        <v>38026.888</v>
      </c>
      <c r="I1956" s="172"/>
      <c r="J1956" s="169"/>
      <c r="K1956" s="172"/>
      <c r="L1956" s="172">
        <f>+'FACUS$'!$H1956-'FACUS$'!$I1956-'FACUS$'!$K1956</f>
        <v>38026.888</v>
      </c>
      <c r="M1956" s="162" t="s">
        <v>570</v>
      </c>
      <c r="N1956" s="337" t="s">
        <v>554</v>
      </c>
      <c r="O1956" s="338">
        <v>44925.0</v>
      </c>
      <c r="P1956" s="164">
        <f t="array" ref="P1956">XLOOKUP('FACUS$'!$B1956,'perfil de pagos'!$A$4:$A$46,'perfil de pagos'!$C$4:$C$46+'FACUS$'!$D1956)</f>
        <v>44925</v>
      </c>
      <c r="Q1956" s="165">
        <f t="shared" si="66"/>
        <v>0</v>
      </c>
      <c r="R1956" s="167"/>
      <c r="S1956" s="167">
        <v>1857.0</v>
      </c>
      <c r="T1956" s="167"/>
      <c r="U1956" s="334" t="s">
        <v>7271</v>
      </c>
      <c r="V1956" s="168">
        <f t="shared" si="3"/>
        <v>38026.888</v>
      </c>
      <c r="W1956" s="168">
        <f t="shared" si="4"/>
        <v>0</v>
      </c>
      <c r="X1956" s="168">
        <f t="shared" si="5"/>
        <v>0</v>
      </c>
      <c r="Y1956" s="168">
        <f t="shared" si="6"/>
        <v>0</v>
      </c>
      <c r="Z1956" s="168">
        <f t="shared" si="7"/>
        <v>0</v>
      </c>
      <c r="AA1956" s="168">
        <f t="shared" si="8"/>
        <v>0</v>
      </c>
      <c r="AB1956" s="168">
        <f t="shared" si="9"/>
        <v>0</v>
      </c>
    </row>
    <row r="1957" ht="15.0" customHeight="1">
      <c r="A1957" s="157" t="s">
        <v>9269</v>
      </c>
      <c r="B1957" s="169" t="s">
        <v>39</v>
      </c>
      <c r="C1957" s="169" t="s">
        <v>4485</v>
      </c>
      <c r="D1957" s="317">
        <v>44915.0</v>
      </c>
      <c r="E1957" s="157" t="s">
        <v>600</v>
      </c>
      <c r="F1957" s="160">
        <v>22245.74</v>
      </c>
      <c r="G1957" s="160">
        <f>'FACUS$'!$F1957*0.16</f>
        <v>3559.3184</v>
      </c>
      <c r="H1957" s="160">
        <f t="shared" si="67"/>
        <v>25805.0584</v>
      </c>
      <c r="I1957" s="172"/>
      <c r="J1957" s="169"/>
      <c r="K1957" s="172"/>
      <c r="L1957" s="172">
        <f>+'FACUS$'!$H1957-'FACUS$'!$I1957-'FACUS$'!$K1957</f>
        <v>25805.0584</v>
      </c>
      <c r="M1957" s="162" t="s">
        <v>570</v>
      </c>
      <c r="N1957" s="337" t="s">
        <v>554</v>
      </c>
      <c r="O1957" s="338">
        <v>44925.0</v>
      </c>
      <c r="P1957" s="164">
        <f t="array" ref="P1957">XLOOKUP('FACUS$'!$B1957,'perfil de pagos'!$A$4:$A$46,'perfil de pagos'!$C$4:$C$46+'FACUS$'!$D1957)</f>
        <v>44925</v>
      </c>
      <c r="Q1957" s="165">
        <f t="shared" si="66"/>
        <v>0</v>
      </c>
      <c r="R1957" s="167"/>
      <c r="S1957" s="167">
        <v>1857.0</v>
      </c>
      <c r="T1957" s="167"/>
      <c r="U1957" s="334" t="s">
        <v>7271</v>
      </c>
      <c r="V1957" s="168">
        <f t="shared" si="3"/>
        <v>25805.0584</v>
      </c>
      <c r="W1957" s="168">
        <f t="shared" si="4"/>
        <v>0</v>
      </c>
      <c r="X1957" s="168">
        <f t="shared" si="5"/>
        <v>0</v>
      </c>
      <c r="Y1957" s="168">
        <f t="shared" si="6"/>
        <v>0</v>
      </c>
      <c r="Z1957" s="168">
        <f t="shared" si="7"/>
        <v>0</v>
      </c>
      <c r="AA1957" s="168">
        <f t="shared" si="8"/>
        <v>0</v>
      </c>
      <c r="AB1957" s="168">
        <f t="shared" si="9"/>
        <v>0</v>
      </c>
    </row>
    <row r="1958" ht="15.0" customHeight="1">
      <c r="A1958" s="157" t="s">
        <v>9270</v>
      </c>
      <c r="B1958" s="169" t="s">
        <v>43</v>
      </c>
      <c r="C1958" s="169" t="s">
        <v>4485</v>
      </c>
      <c r="D1958" s="317">
        <v>44915.0</v>
      </c>
      <c r="E1958" s="157" t="s">
        <v>600</v>
      </c>
      <c r="F1958" s="160">
        <v>64480.59</v>
      </c>
      <c r="G1958" s="160">
        <f>'FACUS$'!$F1958*0.16</f>
        <v>10316.8944</v>
      </c>
      <c r="H1958" s="160">
        <f t="shared" si="67"/>
        <v>74797.4844</v>
      </c>
      <c r="I1958" s="172"/>
      <c r="J1958" s="169"/>
      <c r="K1958" s="172"/>
      <c r="L1958" s="172">
        <f>+'FACUS$'!$H1958-'FACUS$'!$I1958-'FACUS$'!$K1958</f>
        <v>74797.4844</v>
      </c>
      <c r="M1958" s="162" t="s">
        <v>43</v>
      </c>
      <c r="N1958" s="337" t="s">
        <v>554</v>
      </c>
      <c r="O1958" s="338">
        <v>44925.0</v>
      </c>
      <c r="P1958" s="164">
        <f t="array" ref="P1958">XLOOKUP('FACUS$'!$B1958,'perfil de pagos'!$A$4:$A$46,'perfil de pagos'!$C$4:$C$46+'FACUS$'!$D1958)</f>
        <v>44940</v>
      </c>
      <c r="Q1958" s="165">
        <f t="shared" si="66"/>
        <v>0</v>
      </c>
      <c r="R1958" s="167"/>
      <c r="S1958" s="167">
        <v>1851.0</v>
      </c>
      <c r="T1958" s="167"/>
      <c r="U1958" s="334" t="s">
        <v>7271</v>
      </c>
      <c r="V1958" s="168">
        <f t="shared" si="3"/>
        <v>74797.4844</v>
      </c>
      <c r="W1958" s="168">
        <f t="shared" si="4"/>
        <v>0</v>
      </c>
      <c r="X1958" s="168">
        <f t="shared" si="5"/>
        <v>0</v>
      </c>
      <c r="Y1958" s="168">
        <f t="shared" si="6"/>
        <v>0</v>
      </c>
      <c r="Z1958" s="168">
        <f t="shared" si="7"/>
        <v>0</v>
      </c>
      <c r="AA1958" s="168">
        <f t="shared" si="8"/>
        <v>0</v>
      </c>
      <c r="AB1958" s="168">
        <f t="shared" si="9"/>
        <v>0</v>
      </c>
    </row>
    <row r="1959" ht="15.0" customHeight="1">
      <c r="A1959" s="157" t="s">
        <v>9271</v>
      </c>
      <c r="B1959" s="169" t="s">
        <v>31</v>
      </c>
      <c r="C1959" s="169" t="s">
        <v>9272</v>
      </c>
      <c r="D1959" s="317">
        <v>44915.0</v>
      </c>
      <c r="E1959" s="157" t="s">
        <v>600</v>
      </c>
      <c r="F1959" s="160">
        <v>20627.62</v>
      </c>
      <c r="G1959" s="160">
        <f>'FACUS$'!$F1959*0.16</f>
        <v>3300.4192</v>
      </c>
      <c r="H1959" s="160">
        <f t="shared" si="67"/>
        <v>23928.0392</v>
      </c>
      <c r="I1959" s="172"/>
      <c r="J1959" s="169"/>
      <c r="K1959" s="172"/>
      <c r="L1959" s="172">
        <f>+'FACUS$'!$H1959-'FACUS$'!$I1959-'FACUS$'!$K1959</f>
        <v>23928.0392</v>
      </c>
      <c r="M1959" s="162" t="s">
        <v>3183</v>
      </c>
      <c r="N1959" s="337" t="s">
        <v>554</v>
      </c>
      <c r="O1959" s="338">
        <v>44924.0</v>
      </c>
      <c r="P1959" s="164">
        <f t="array" ref="P1959">XLOOKUP('FACUS$'!$B1959,'perfil de pagos'!$A$4:$A$46,'perfil de pagos'!$C$4:$C$46+'FACUS$'!$D1959)</f>
        <v>44918</v>
      </c>
      <c r="Q1959" s="165">
        <f t="shared" si="66"/>
        <v>0</v>
      </c>
      <c r="R1959" s="167"/>
      <c r="S1959" s="167">
        <v>1858.0</v>
      </c>
      <c r="T1959" s="167"/>
      <c r="U1959" s="334" t="s">
        <v>7271</v>
      </c>
      <c r="V1959" s="168">
        <f t="shared" si="3"/>
        <v>23928.0392</v>
      </c>
      <c r="W1959" s="168">
        <f t="shared" si="4"/>
        <v>0</v>
      </c>
      <c r="X1959" s="168">
        <f t="shared" si="5"/>
        <v>0</v>
      </c>
      <c r="Y1959" s="168">
        <f t="shared" si="6"/>
        <v>0</v>
      </c>
      <c r="Z1959" s="168">
        <f t="shared" si="7"/>
        <v>0</v>
      </c>
      <c r="AA1959" s="168">
        <f t="shared" si="8"/>
        <v>0</v>
      </c>
      <c r="AB1959" s="168">
        <f t="shared" si="9"/>
        <v>0</v>
      </c>
    </row>
    <row r="1960" ht="15.0" customHeight="1">
      <c r="A1960" s="157" t="s">
        <v>9273</v>
      </c>
      <c r="B1960" s="169" t="s">
        <v>32</v>
      </c>
      <c r="C1960" s="169" t="s">
        <v>4485</v>
      </c>
      <c r="D1960" s="317">
        <v>44915.0</v>
      </c>
      <c r="E1960" s="157" t="s">
        <v>600</v>
      </c>
      <c r="F1960" s="160">
        <v>4839.92</v>
      </c>
      <c r="G1960" s="160">
        <f>'FACUS$'!$F1960*0.16</f>
        <v>774.3872</v>
      </c>
      <c r="H1960" s="160">
        <f t="shared" si="67"/>
        <v>5614.3072</v>
      </c>
      <c r="I1960" s="172"/>
      <c r="J1960" s="169"/>
      <c r="K1960" s="172"/>
      <c r="L1960" s="172">
        <f>+'FACUS$'!$H1960-'FACUS$'!$I1960-'FACUS$'!$K1960</f>
        <v>5614.3072</v>
      </c>
      <c r="M1960" s="162" t="s">
        <v>395</v>
      </c>
      <c r="N1960" s="337" t="s">
        <v>554</v>
      </c>
      <c r="O1960" s="338">
        <v>44952.0</v>
      </c>
      <c r="P1960" s="164">
        <f t="array" ref="P1960">XLOOKUP('FACUS$'!$B1960,'perfil de pagos'!$A$4:$A$46,'perfil de pagos'!$C$4:$C$46+'FACUS$'!$D1960)</f>
        <v>44925</v>
      </c>
      <c r="Q1960" s="165">
        <f t="shared" si="66"/>
        <v>0</v>
      </c>
      <c r="R1960" s="167"/>
      <c r="S1960" s="167"/>
      <c r="T1960" s="167"/>
      <c r="U1960" s="334" t="s">
        <v>7271</v>
      </c>
      <c r="V1960" s="168">
        <f t="shared" si="3"/>
        <v>5614.3072</v>
      </c>
      <c r="W1960" s="168">
        <f t="shared" si="4"/>
        <v>0</v>
      </c>
      <c r="X1960" s="168">
        <f t="shared" si="5"/>
        <v>0</v>
      </c>
      <c r="Y1960" s="168">
        <f t="shared" si="6"/>
        <v>0</v>
      </c>
      <c r="Z1960" s="168">
        <f t="shared" si="7"/>
        <v>0</v>
      </c>
      <c r="AA1960" s="168">
        <f t="shared" si="8"/>
        <v>0</v>
      </c>
      <c r="AB1960" s="168">
        <f t="shared" si="9"/>
        <v>0</v>
      </c>
    </row>
    <row r="1961" ht="15.0" customHeight="1">
      <c r="A1961" s="157" t="s">
        <v>9274</v>
      </c>
      <c r="B1961" s="169" t="s">
        <v>18</v>
      </c>
      <c r="C1961" s="169" t="s">
        <v>4485</v>
      </c>
      <c r="D1961" s="317">
        <v>44917.0</v>
      </c>
      <c r="E1961" s="157" t="s">
        <v>600</v>
      </c>
      <c r="F1961" s="160">
        <v>4430.12</v>
      </c>
      <c r="G1961" s="160">
        <f>'FACUS$'!$F1961*0.16</f>
        <v>708.8192</v>
      </c>
      <c r="H1961" s="160">
        <f t="shared" si="67"/>
        <v>5138.9392</v>
      </c>
      <c r="I1961" s="172"/>
      <c r="J1961" s="169"/>
      <c r="K1961" s="172"/>
      <c r="L1961" s="172">
        <f>+'FACUS$'!$H1961-'FACUS$'!$I1961-'FACUS$'!$K1961</f>
        <v>5138.9392</v>
      </c>
      <c r="M1961" s="162" t="s">
        <v>586</v>
      </c>
      <c r="N1961" s="337" t="s">
        <v>554</v>
      </c>
      <c r="O1961" s="338">
        <v>45050.0</v>
      </c>
      <c r="P1961" s="164">
        <f t="array" ref="P1961">XLOOKUP('FACUS$'!$B1961,'perfil de pagos'!$A$4:$A$46,'perfil de pagos'!$C$4:$C$46+'FACUS$'!$D1961)</f>
        <v>44927</v>
      </c>
      <c r="Q1961" s="165">
        <f t="shared" si="66"/>
        <v>0</v>
      </c>
      <c r="R1961" s="167"/>
      <c r="S1961" s="167">
        <v>2148.0</v>
      </c>
      <c r="T1961" s="167"/>
      <c r="U1961" s="334" t="s">
        <v>7271</v>
      </c>
      <c r="V1961" s="168">
        <f t="shared" si="3"/>
        <v>5138.9392</v>
      </c>
      <c r="W1961" s="168">
        <f t="shared" si="4"/>
        <v>0</v>
      </c>
      <c r="X1961" s="168">
        <f t="shared" si="5"/>
        <v>0</v>
      </c>
      <c r="Y1961" s="168">
        <f t="shared" si="6"/>
        <v>0</v>
      </c>
      <c r="Z1961" s="168">
        <f t="shared" si="7"/>
        <v>0</v>
      </c>
      <c r="AA1961" s="168">
        <f t="shared" si="8"/>
        <v>0</v>
      </c>
      <c r="AB1961" s="168">
        <f t="shared" si="9"/>
        <v>0</v>
      </c>
    </row>
    <row r="1962" ht="15.0" customHeight="1">
      <c r="A1962" s="157" t="s">
        <v>9275</v>
      </c>
      <c r="B1962" s="169" t="s">
        <v>20</v>
      </c>
      <c r="C1962" s="169" t="s">
        <v>4485</v>
      </c>
      <c r="D1962" s="317">
        <v>44917.0</v>
      </c>
      <c r="E1962" s="157" t="s">
        <v>600</v>
      </c>
      <c r="F1962" s="160">
        <v>10690.25</v>
      </c>
      <c r="G1962" s="160">
        <f>'FACUS$'!$F1962*0.16</f>
        <v>1710.44</v>
      </c>
      <c r="H1962" s="160">
        <f t="shared" si="67"/>
        <v>12400.69</v>
      </c>
      <c r="I1962" s="172"/>
      <c r="J1962" s="169"/>
      <c r="K1962" s="172"/>
      <c r="L1962" s="172">
        <f>+'FACUS$'!$H1962-'FACUS$'!$I1962-'FACUS$'!$K1962</f>
        <v>12400.69</v>
      </c>
      <c r="M1962" s="162" t="s">
        <v>732</v>
      </c>
      <c r="N1962" s="337" t="s">
        <v>554</v>
      </c>
      <c r="O1962" s="338">
        <v>45050.0</v>
      </c>
      <c r="P1962" s="164">
        <f t="array" ref="P1962">XLOOKUP('FACUS$'!$B1962,'perfil de pagos'!$A$4:$A$46,'perfil de pagos'!$C$4:$C$46+'FACUS$'!$D1962)</f>
        <v>44927</v>
      </c>
      <c r="Q1962" s="165">
        <f t="shared" si="66"/>
        <v>0</v>
      </c>
      <c r="R1962" s="167"/>
      <c r="S1962" s="167">
        <v>2148.0</v>
      </c>
      <c r="T1962" s="167"/>
      <c r="U1962" s="334" t="s">
        <v>7271</v>
      </c>
      <c r="V1962" s="168">
        <f t="shared" si="3"/>
        <v>12400.69</v>
      </c>
      <c r="W1962" s="168">
        <f t="shared" si="4"/>
        <v>0</v>
      </c>
      <c r="X1962" s="168">
        <f t="shared" si="5"/>
        <v>0</v>
      </c>
      <c r="Y1962" s="168">
        <f t="shared" si="6"/>
        <v>0</v>
      </c>
      <c r="Z1962" s="168">
        <f t="shared" si="7"/>
        <v>0</v>
      </c>
      <c r="AA1962" s="168">
        <f t="shared" si="8"/>
        <v>0</v>
      </c>
      <c r="AB1962" s="168">
        <f t="shared" si="9"/>
        <v>0</v>
      </c>
    </row>
    <row r="1963" ht="15.0" customHeight="1">
      <c r="A1963" s="157" t="s">
        <v>9276</v>
      </c>
      <c r="B1963" s="169" t="s">
        <v>22</v>
      </c>
      <c r="C1963" s="169" t="s">
        <v>4485</v>
      </c>
      <c r="D1963" s="317">
        <v>44917.0</v>
      </c>
      <c r="E1963" s="157" t="s">
        <v>600</v>
      </c>
      <c r="F1963" s="160">
        <v>10903.71</v>
      </c>
      <c r="G1963" s="160">
        <f>'FACUS$'!$F1963*0.16</f>
        <v>1744.5936</v>
      </c>
      <c r="H1963" s="160">
        <f t="shared" si="67"/>
        <v>12648.3036</v>
      </c>
      <c r="I1963" s="172"/>
      <c r="J1963" s="169"/>
      <c r="K1963" s="172"/>
      <c r="L1963" s="172">
        <f>+'FACUS$'!$H1963-'FACUS$'!$I1963-'FACUS$'!$K1963</f>
        <v>12648.3036</v>
      </c>
      <c r="M1963" s="162" t="s">
        <v>220</v>
      </c>
      <c r="N1963" s="337" t="s">
        <v>554</v>
      </c>
      <c r="O1963" s="338">
        <v>44973.0</v>
      </c>
      <c r="P1963" s="164">
        <f t="array" ref="P1963">XLOOKUP('FACUS$'!$B1963,'perfil de pagos'!$A$4:$A$46,'perfil de pagos'!$C$4:$C$46+'FACUS$'!$D1963)</f>
        <v>44927</v>
      </c>
      <c r="Q1963" s="165">
        <f t="shared" si="66"/>
        <v>0</v>
      </c>
      <c r="R1963" s="167"/>
      <c r="S1963" s="167">
        <v>1975.0</v>
      </c>
      <c r="T1963" s="167"/>
      <c r="U1963" s="334" t="s">
        <v>7271</v>
      </c>
      <c r="V1963" s="168">
        <f t="shared" si="3"/>
        <v>12648.3036</v>
      </c>
      <c r="W1963" s="168">
        <f t="shared" si="4"/>
        <v>0</v>
      </c>
      <c r="X1963" s="168">
        <f t="shared" si="5"/>
        <v>0</v>
      </c>
      <c r="Y1963" s="168">
        <f t="shared" si="6"/>
        <v>0</v>
      </c>
      <c r="Z1963" s="168">
        <f t="shared" si="7"/>
        <v>0</v>
      </c>
      <c r="AA1963" s="168">
        <f t="shared" si="8"/>
        <v>0</v>
      </c>
      <c r="AB1963" s="168">
        <f t="shared" si="9"/>
        <v>0</v>
      </c>
    </row>
    <row r="1964" ht="15.0" customHeight="1">
      <c r="A1964" s="157" t="s">
        <v>9277</v>
      </c>
      <c r="B1964" s="169" t="s">
        <v>25</v>
      </c>
      <c r="C1964" s="169" t="s">
        <v>4485</v>
      </c>
      <c r="D1964" s="317">
        <v>44917.0</v>
      </c>
      <c r="E1964" s="157" t="s">
        <v>600</v>
      </c>
      <c r="F1964" s="160">
        <v>4531.14</v>
      </c>
      <c r="G1964" s="160">
        <f>'FACUS$'!$F1964*0.16</f>
        <v>724.9824</v>
      </c>
      <c r="H1964" s="160">
        <f t="shared" si="67"/>
        <v>5256.1224</v>
      </c>
      <c r="I1964" s="172"/>
      <c r="J1964" s="169"/>
      <c r="K1964" s="172"/>
      <c r="L1964" s="172">
        <f>+'FACUS$'!$H1964-'FACUS$'!$I1964-'FACUS$'!$K1964</f>
        <v>5256.1224</v>
      </c>
      <c r="M1964" s="162" t="s">
        <v>4388</v>
      </c>
      <c r="N1964" s="337" t="s">
        <v>554</v>
      </c>
      <c r="O1964" s="338">
        <v>44964.0</v>
      </c>
      <c r="P1964" s="164">
        <f t="array" ref="P1964">XLOOKUP('FACUS$'!$B1964,'perfil de pagos'!$A$4:$A$46,'perfil de pagos'!$C$4:$C$46+'FACUS$'!$D1964)</f>
        <v>44927</v>
      </c>
      <c r="Q1964" s="165">
        <f t="shared" si="66"/>
        <v>0</v>
      </c>
      <c r="R1964" s="167"/>
      <c r="S1964" s="167">
        <v>1947.0</v>
      </c>
      <c r="T1964" s="167"/>
      <c r="U1964" s="334" t="s">
        <v>7271</v>
      </c>
      <c r="V1964" s="168">
        <f t="shared" si="3"/>
        <v>5256.1224</v>
      </c>
      <c r="W1964" s="168">
        <f t="shared" si="4"/>
        <v>0</v>
      </c>
      <c r="X1964" s="168">
        <f t="shared" si="5"/>
        <v>0</v>
      </c>
      <c r="Y1964" s="168">
        <f t="shared" si="6"/>
        <v>0</v>
      </c>
      <c r="Z1964" s="168">
        <f t="shared" si="7"/>
        <v>0</v>
      </c>
      <c r="AA1964" s="168">
        <f t="shared" si="8"/>
        <v>0</v>
      </c>
      <c r="AB1964" s="168">
        <f t="shared" si="9"/>
        <v>0</v>
      </c>
    </row>
    <row r="1965" ht="15.0" customHeight="1">
      <c r="A1965" s="157" t="s">
        <v>9278</v>
      </c>
      <c r="B1965" s="169" t="s">
        <v>37</v>
      </c>
      <c r="C1965" s="169" t="s">
        <v>4485</v>
      </c>
      <c r="D1965" s="317">
        <v>44917.0</v>
      </c>
      <c r="E1965" s="157" t="s">
        <v>600</v>
      </c>
      <c r="F1965" s="160">
        <v>81094.76</v>
      </c>
      <c r="G1965" s="160">
        <f>'FACUS$'!$F1965*0.16</f>
        <v>12975.1616</v>
      </c>
      <c r="H1965" s="160">
        <f t="shared" si="67"/>
        <v>94069.9216</v>
      </c>
      <c r="I1965" s="172"/>
      <c r="J1965" s="169"/>
      <c r="K1965" s="172"/>
      <c r="L1965" s="172">
        <f>+'FACUS$'!$H1965-'FACUS$'!$I1965-'FACUS$'!$K1965</f>
        <v>94069.9216</v>
      </c>
      <c r="M1965" s="162" t="s">
        <v>116</v>
      </c>
      <c r="N1965" s="337" t="s">
        <v>554</v>
      </c>
      <c r="O1965" s="338">
        <v>44935.0</v>
      </c>
      <c r="P1965" s="164">
        <f t="array" ref="P1965">XLOOKUP('FACUS$'!$B1965,'perfil de pagos'!$A$4:$A$46,'perfil de pagos'!$C$4:$C$46+'FACUS$'!$D1965)</f>
        <v>44927</v>
      </c>
      <c r="Q1965" s="165">
        <f t="shared" si="66"/>
        <v>0</v>
      </c>
      <c r="R1965" s="398" t="s">
        <v>9279</v>
      </c>
      <c r="S1965" s="167">
        <v>1877.0</v>
      </c>
      <c r="T1965" s="167"/>
      <c r="U1965" s="334" t="s">
        <v>7271</v>
      </c>
      <c r="V1965" s="168">
        <f t="shared" si="3"/>
        <v>94069.9216</v>
      </c>
      <c r="W1965" s="168">
        <f t="shared" si="4"/>
        <v>0</v>
      </c>
      <c r="X1965" s="168">
        <f t="shared" si="5"/>
        <v>0</v>
      </c>
      <c r="Y1965" s="168">
        <f t="shared" si="6"/>
        <v>0</v>
      </c>
      <c r="Z1965" s="168">
        <f t="shared" si="7"/>
        <v>0</v>
      </c>
      <c r="AA1965" s="168">
        <f t="shared" si="8"/>
        <v>0</v>
      </c>
      <c r="AB1965" s="168">
        <f t="shared" si="9"/>
        <v>0</v>
      </c>
    </row>
    <row r="1966" ht="15.0" customHeight="1">
      <c r="A1966" s="157" t="s">
        <v>9280</v>
      </c>
      <c r="B1966" s="169" t="s">
        <v>38</v>
      </c>
      <c r="C1966" s="169" t="s">
        <v>4485</v>
      </c>
      <c r="D1966" s="317">
        <v>44918.0</v>
      </c>
      <c r="E1966" s="157" t="s">
        <v>600</v>
      </c>
      <c r="F1966" s="160">
        <v>8821.9</v>
      </c>
      <c r="G1966" s="160">
        <f>'FACUS$'!$F1966*0.16</f>
        <v>1411.504</v>
      </c>
      <c r="H1966" s="160">
        <f t="shared" si="67"/>
        <v>10233.404</v>
      </c>
      <c r="I1966" s="172"/>
      <c r="J1966" s="169"/>
      <c r="K1966" s="172"/>
      <c r="L1966" s="172">
        <f>+'FACUS$'!$H1966-'FACUS$'!$I1966-'FACUS$'!$K1966</f>
        <v>10233.404</v>
      </c>
      <c r="M1966" s="162" t="s">
        <v>145</v>
      </c>
      <c r="N1966" s="337" t="s">
        <v>554</v>
      </c>
      <c r="O1966" s="338">
        <v>44981.0</v>
      </c>
      <c r="P1966" s="164">
        <f t="array" ref="P1966">XLOOKUP('FACUS$'!$B1966,'perfil de pagos'!$A$4:$A$46,'perfil de pagos'!$C$4:$C$46+'FACUS$'!$D1966)</f>
        <v>44948</v>
      </c>
      <c r="Q1966" s="165">
        <f t="shared" si="66"/>
        <v>0</v>
      </c>
      <c r="R1966" s="220" t="s">
        <v>9251</v>
      </c>
      <c r="S1966" s="167">
        <v>1996.0</v>
      </c>
      <c r="T1966" s="167"/>
      <c r="U1966" s="334" t="s">
        <v>7271</v>
      </c>
      <c r="V1966" s="168">
        <f t="shared" si="3"/>
        <v>10233.404</v>
      </c>
      <c r="W1966" s="168">
        <f t="shared" si="4"/>
        <v>0</v>
      </c>
      <c r="X1966" s="168">
        <f t="shared" si="5"/>
        <v>0</v>
      </c>
      <c r="Y1966" s="168">
        <f t="shared" si="6"/>
        <v>0</v>
      </c>
      <c r="Z1966" s="168">
        <f t="shared" si="7"/>
        <v>0</v>
      </c>
      <c r="AA1966" s="168">
        <f t="shared" si="8"/>
        <v>0</v>
      </c>
      <c r="AB1966" s="168">
        <f t="shared" si="9"/>
        <v>0</v>
      </c>
    </row>
    <row r="1967" ht="15.0" customHeight="1">
      <c r="A1967" s="157" t="s">
        <v>9281</v>
      </c>
      <c r="B1967" s="169" t="s">
        <v>38</v>
      </c>
      <c r="C1967" s="169" t="s">
        <v>4485</v>
      </c>
      <c r="D1967" s="317">
        <v>44918.0</v>
      </c>
      <c r="E1967" s="157" t="s">
        <v>600</v>
      </c>
      <c r="F1967" s="160">
        <v>2363.56</v>
      </c>
      <c r="G1967" s="160">
        <f>'FACUS$'!$F1967*0.16</f>
        <v>378.1696</v>
      </c>
      <c r="H1967" s="160">
        <f t="shared" si="67"/>
        <v>2741.7296</v>
      </c>
      <c r="I1967" s="172"/>
      <c r="J1967" s="169"/>
      <c r="K1967" s="172"/>
      <c r="L1967" s="172">
        <f>+'FACUS$'!$H1967-'FACUS$'!$I1967-'FACUS$'!$K1967</f>
        <v>2741.7296</v>
      </c>
      <c r="M1967" s="162" t="s">
        <v>642</v>
      </c>
      <c r="N1967" s="337" t="s">
        <v>554</v>
      </c>
      <c r="O1967" s="338">
        <v>44967.0</v>
      </c>
      <c r="P1967" s="164">
        <f t="array" ref="P1967">XLOOKUP('FACUS$'!$B1967,'perfil de pagos'!$A$4:$A$46,'perfil de pagos'!$C$4:$C$46+'FACUS$'!$D1967)</f>
        <v>44948</v>
      </c>
      <c r="Q1967" s="165">
        <f t="shared" si="66"/>
        <v>0</v>
      </c>
      <c r="R1967" s="167"/>
      <c r="S1967" s="167"/>
      <c r="T1967" s="167"/>
      <c r="U1967" s="334" t="s">
        <v>7271</v>
      </c>
      <c r="V1967" s="168">
        <f t="shared" si="3"/>
        <v>2741.7296</v>
      </c>
      <c r="W1967" s="168">
        <f t="shared" si="4"/>
        <v>0</v>
      </c>
      <c r="X1967" s="168">
        <f t="shared" si="5"/>
        <v>0</v>
      </c>
      <c r="Y1967" s="168">
        <f t="shared" si="6"/>
        <v>0</v>
      </c>
      <c r="Z1967" s="168">
        <f t="shared" si="7"/>
        <v>0</v>
      </c>
      <c r="AA1967" s="168">
        <f t="shared" si="8"/>
        <v>0</v>
      </c>
      <c r="AB1967" s="168">
        <f t="shared" si="9"/>
        <v>0</v>
      </c>
    </row>
    <row r="1968" ht="15.0" customHeight="1">
      <c r="A1968" s="157" t="s">
        <v>9282</v>
      </c>
      <c r="B1968" s="169" t="s">
        <v>31</v>
      </c>
      <c r="C1968" s="169" t="s">
        <v>9283</v>
      </c>
      <c r="D1968" s="317">
        <v>44923.0</v>
      </c>
      <c r="E1968" s="157" t="s">
        <v>600</v>
      </c>
      <c r="F1968" s="160">
        <v>23058.67</v>
      </c>
      <c r="G1968" s="160">
        <f>'FACUS$'!$F1968*0.16</f>
        <v>3689.3872</v>
      </c>
      <c r="H1968" s="160">
        <f>F1968+G1968-5251.94</f>
        <v>21496.1172</v>
      </c>
      <c r="I1968" s="172"/>
      <c r="J1968" s="169"/>
      <c r="K1968" s="172"/>
      <c r="L1968" s="172">
        <f>+'FACUS$'!$H1968-'FACUS$'!$I1968-'FACUS$'!$K1968</f>
        <v>21496.1172</v>
      </c>
      <c r="M1968" s="162" t="s">
        <v>3183</v>
      </c>
      <c r="N1968" s="337" t="s">
        <v>554</v>
      </c>
      <c r="O1968" s="338">
        <v>44950.0</v>
      </c>
      <c r="P1968" s="164">
        <f t="array" ref="P1968">XLOOKUP('FACUS$'!$B1968,'perfil de pagos'!$A$4:$A$46,'perfil de pagos'!$C$4:$C$46+'FACUS$'!$D1968)</f>
        <v>44926</v>
      </c>
      <c r="Q1968" s="165">
        <f t="shared" si="66"/>
        <v>0</v>
      </c>
      <c r="R1968" s="220" t="s">
        <v>9284</v>
      </c>
      <c r="S1968" s="167"/>
      <c r="T1968" s="167"/>
      <c r="U1968" s="334" t="s">
        <v>7271</v>
      </c>
      <c r="V1968" s="168">
        <f t="shared" si="3"/>
        <v>21496.1172</v>
      </c>
      <c r="W1968" s="168">
        <f t="shared" si="4"/>
        <v>0</v>
      </c>
      <c r="X1968" s="168">
        <f t="shared" si="5"/>
        <v>0</v>
      </c>
      <c r="Y1968" s="168">
        <f t="shared" si="6"/>
        <v>0</v>
      </c>
      <c r="Z1968" s="168">
        <f t="shared" si="7"/>
        <v>0</v>
      </c>
      <c r="AA1968" s="168">
        <f t="shared" si="8"/>
        <v>0</v>
      </c>
      <c r="AB1968" s="168">
        <f t="shared" si="9"/>
        <v>0</v>
      </c>
    </row>
    <row r="1969" ht="15.0" customHeight="1">
      <c r="A1969" s="157" t="s">
        <v>9285</v>
      </c>
      <c r="B1969" s="169" t="s">
        <v>15</v>
      </c>
      <c r="C1969" s="169" t="s">
        <v>4551</v>
      </c>
      <c r="D1969" s="317">
        <v>44929.0</v>
      </c>
      <c r="E1969" s="157" t="s">
        <v>600</v>
      </c>
      <c r="F1969" s="160">
        <v>123701.76</v>
      </c>
      <c r="G1969" s="160">
        <f>'FACUS$'!$F1969*0.16</f>
        <v>19792.2816</v>
      </c>
      <c r="H1969" s="160">
        <f t="shared" ref="H1969:H2984" si="68">F1969+G1969</f>
        <v>143494.0416</v>
      </c>
      <c r="I1969" s="172"/>
      <c r="J1969" s="169"/>
      <c r="K1969" s="172"/>
      <c r="L1969" s="172">
        <f>+'FACUS$'!$H1969-'FACUS$'!$I1969-'FACUS$'!$K1969</f>
        <v>143494.0416</v>
      </c>
      <c r="M1969" s="162" t="s">
        <v>443</v>
      </c>
      <c r="N1969" s="337" t="s">
        <v>554</v>
      </c>
      <c r="O1969" s="338">
        <v>44950.0</v>
      </c>
      <c r="P1969" s="164">
        <f t="array" ref="P1969">XLOOKUP('FACUS$'!$B1969,'perfil de pagos'!$A$4:$A$46,'perfil de pagos'!$C$4:$C$46+'FACUS$'!$D1969)</f>
        <v>44939</v>
      </c>
      <c r="Q1969" s="165">
        <f t="shared" si="66"/>
        <v>0</v>
      </c>
      <c r="R1969" s="167"/>
      <c r="S1969" s="167"/>
      <c r="T1969" s="167"/>
      <c r="U1969" s="334" t="s">
        <v>7271</v>
      </c>
      <c r="V1969" s="168">
        <f t="shared" si="3"/>
        <v>143494.0416</v>
      </c>
      <c r="W1969" s="168">
        <f t="shared" si="4"/>
        <v>0</v>
      </c>
      <c r="X1969" s="168">
        <f t="shared" si="5"/>
        <v>0</v>
      </c>
      <c r="Y1969" s="168">
        <f t="shared" si="6"/>
        <v>0</v>
      </c>
      <c r="Z1969" s="168">
        <f t="shared" si="7"/>
        <v>0</v>
      </c>
      <c r="AA1969" s="168">
        <f t="shared" si="8"/>
        <v>0</v>
      </c>
      <c r="AB1969" s="168">
        <f t="shared" si="9"/>
        <v>0</v>
      </c>
    </row>
    <row r="1970" ht="15.0" customHeight="1">
      <c r="A1970" s="157" t="s">
        <v>9286</v>
      </c>
      <c r="B1970" s="169" t="s">
        <v>32</v>
      </c>
      <c r="C1970" s="169" t="s">
        <v>4551</v>
      </c>
      <c r="D1970" s="317">
        <v>44929.0</v>
      </c>
      <c r="E1970" s="157" t="s">
        <v>600</v>
      </c>
      <c r="F1970" s="160">
        <v>18796.64</v>
      </c>
      <c r="G1970" s="160">
        <f>'FACUS$'!$F1970*0.16</f>
        <v>3007.4624</v>
      </c>
      <c r="H1970" s="160">
        <f t="shared" si="68"/>
        <v>21804.1024</v>
      </c>
      <c r="I1970" s="172"/>
      <c r="J1970" s="169"/>
      <c r="K1970" s="172"/>
      <c r="L1970" s="172">
        <f>+'FACUS$'!$H1970-'FACUS$'!$I1970-'FACUS$'!$K1970</f>
        <v>21804.1024</v>
      </c>
      <c r="M1970" s="162" t="s">
        <v>395</v>
      </c>
      <c r="N1970" s="337" t="s">
        <v>127</v>
      </c>
      <c r="O1970" s="338"/>
      <c r="P1970" s="164">
        <f t="array" ref="P1970">XLOOKUP('FACUS$'!$B1970,'perfil de pagos'!$A$4:$A$46,'perfil de pagos'!$C$4:$C$46+'FACUS$'!$D1970)</f>
        <v>44939</v>
      </c>
      <c r="Q1970" s="165" t="str">
        <f t="shared" si="66"/>
        <v>N/A</v>
      </c>
      <c r="R1970" s="167" t="s">
        <v>9287</v>
      </c>
      <c r="S1970" s="167"/>
      <c r="T1970" s="167"/>
      <c r="U1970" s="334" t="s">
        <v>7271</v>
      </c>
      <c r="V1970" s="168">
        <f t="shared" si="3"/>
        <v>0</v>
      </c>
      <c r="W1970" s="168">
        <f t="shared" si="4"/>
        <v>0</v>
      </c>
      <c r="X1970" s="168">
        <f t="shared" si="5"/>
        <v>0</v>
      </c>
      <c r="Y1970" s="168">
        <f t="shared" si="6"/>
        <v>0</v>
      </c>
      <c r="Z1970" s="168">
        <f t="shared" si="7"/>
        <v>0</v>
      </c>
      <c r="AA1970" s="168">
        <f t="shared" si="8"/>
        <v>0</v>
      </c>
      <c r="AB1970" s="168">
        <f t="shared" si="9"/>
        <v>21804.1024</v>
      </c>
    </row>
    <row r="1971" ht="15.0" customHeight="1">
      <c r="A1971" s="157" t="s">
        <v>9288</v>
      </c>
      <c r="B1971" s="169" t="s">
        <v>31</v>
      </c>
      <c r="C1971" s="169" t="s">
        <v>9289</v>
      </c>
      <c r="D1971" s="317">
        <v>44929.0</v>
      </c>
      <c r="E1971" s="157" t="s">
        <v>600</v>
      </c>
      <c r="F1971" s="160">
        <v>20477.8</v>
      </c>
      <c r="G1971" s="160">
        <f>'FACUS$'!$F1971*0.16</f>
        <v>3276.448</v>
      </c>
      <c r="H1971" s="160">
        <f t="shared" si="68"/>
        <v>23754.248</v>
      </c>
      <c r="I1971" s="172">
        <v>5251.942800000001</v>
      </c>
      <c r="J1971" s="169"/>
      <c r="K1971" s="172"/>
      <c r="L1971" s="172">
        <f>+'FACUS$'!$H1971-'FACUS$'!$I1971-'FACUS$'!$K1971</f>
        <v>18502.3052</v>
      </c>
      <c r="M1971" s="162" t="s">
        <v>3183</v>
      </c>
      <c r="N1971" s="337" t="s">
        <v>554</v>
      </c>
      <c r="O1971" s="338">
        <v>44967.0</v>
      </c>
      <c r="P1971" s="164">
        <f t="array" ref="P1971">XLOOKUP('FACUS$'!$B1971,'perfil de pagos'!$A$4:$A$46,'perfil de pagos'!$C$4:$C$46+'FACUS$'!$D1971)</f>
        <v>44932</v>
      </c>
      <c r="Q1971" s="165">
        <f t="shared" si="66"/>
        <v>0</v>
      </c>
      <c r="R1971" s="220" t="s">
        <v>9290</v>
      </c>
      <c r="S1971" s="167" t="s">
        <v>9291</v>
      </c>
      <c r="T1971" s="167"/>
      <c r="U1971" s="334" t="s">
        <v>7271</v>
      </c>
      <c r="V1971" s="168">
        <f t="shared" si="3"/>
        <v>18502.3052</v>
      </c>
      <c r="W1971" s="168">
        <f t="shared" si="4"/>
        <v>0</v>
      </c>
      <c r="X1971" s="168">
        <f t="shared" si="5"/>
        <v>0</v>
      </c>
      <c r="Y1971" s="168">
        <f t="shared" si="6"/>
        <v>0</v>
      </c>
      <c r="Z1971" s="168">
        <f t="shared" si="7"/>
        <v>0</v>
      </c>
      <c r="AA1971" s="168">
        <f t="shared" si="8"/>
        <v>0</v>
      </c>
      <c r="AB1971" s="168">
        <f t="shared" si="9"/>
        <v>0</v>
      </c>
    </row>
    <row r="1972" ht="15.0" customHeight="1">
      <c r="A1972" s="157" t="s">
        <v>9292</v>
      </c>
      <c r="B1972" s="169" t="s">
        <v>35</v>
      </c>
      <c r="C1972" s="169" t="s">
        <v>4551</v>
      </c>
      <c r="D1972" s="317">
        <v>44929.0</v>
      </c>
      <c r="E1972" s="157" t="s">
        <v>600</v>
      </c>
      <c r="F1972" s="160">
        <v>25540.26</v>
      </c>
      <c r="G1972" s="160">
        <f>'FACUS$'!$F1972*0.16</f>
        <v>4086.4416</v>
      </c>
      <c r="H1972" s="160">
        <f t="shared" si="68"/>
        <v>29626.7016</v>
      </c>
      <c r="I1972" s="172"/>
      <c r="J1972" s="169"/>
      <c r="K1972" s="172"/>
      <c r="L1972" s="172">
        <f>+'FACUS$'!$H1972-'FACUS$'!$I1972-'FACUS$'!$K1972</f>
        <v>29626.7016</v>
      </c>
      <c r="M1972" s="162" t="s">
        <v>276</v>
      </c>
      <c r="N1972" s="337" t="s">
        <v>554</v>
      </c>
      <c r="O1972" s="338">
        <v>44980.0</v>
      </c>
      <c r="P1972" s="164">
        <f t="array" ref="P1972">XLOOKUP('FACUS$'!$B1972,'perfil de pagos'!$A$4:$A$46,'perfil de pagos'!$C$4:$C$46+'FACUS$'!$D1972)</f>
        <v>44939</v>
      </c>
      <c r="Q1972" s="165">
        <f t="shared" si="66"/>
        <v>0</v>
      </c>
      <c r="R1972" s="167"/>
      <c r="S1972" s="167">
        <v>1992.0</v>
      </c>
      <c r="T1972" s="167"/>
      <c r="U1972" s="334" t="s">
        <v>7271</v>
      </c>
      <c r="V1972" s="168">
        <f t="shared" si="3"/>
        <v>29626.7016</v>
      </c>
      <c r="W1972" s="168">
        <f t="shared" si="4"/>
        <v>0</v>
      </c>
      <c r="X1972" s="168">
        <f t="shared" si="5"/>
        <v>0</v>
      </c>
      <c r="Y1972" s="168">
        <f t="shared" si="6"/>
        <v>0</v>
      </c>
      <c r="Z1972" s="168">
        <f t="shared" si="7"/>
        <v>0</v>
      </c>
      <c r="AA1972" s="168">
        <f t="shared" si="8"/>
        <v>0</v>
      </c>
      <c r="AB1972" s="168">
        <f t="shared" si="9"/>
        <v>0</v>
      </c>
    </row>
    <row r="1973" ht="15.0" customHeight="1">
      <c r="A1973" s="157" t="s">
        <v>9293</v>
      </c>
      <c r="B1973" s="169" t="s">
        <v>36</v>
      </c>
      <c r="C1973" s="169" t="s">
        <v>4551</v>
      </c>
      <c r="D1973" s="317">
        <v>44929.0</v>
      </c>
      <c r="E1973" s="157" t="s">
        <v>600</v>
      </c>
      <c r="F1973" s="160">
        <v>3067.95</v>
      </c>
      <c r="G1973" s="160">
        <f>'FACUS$'!$F1973*0.16</f>
        <v>490.872</v>
      </c>
      <c r="H1973" s="160">
        <f t="shared" si="68"/>
        <v>3558.822</v>
      </c>
      <c r="I1973" s="172"/>
      <c r="J1973" s="169"/>
      <c r="K1973" s="172"/>
      <c r="L1973" s="172">
        <f>+'FACUS$'!$H1973-'FACUS$'!$I1973-'FACUS$'!$K1973</f>
        <v>3558.822</v>
      </c>
      <c r="M1973" s="162" t="s">
        <v>278</v>
      </c>
      <c r="N1973" s="337" t="s">
        <v>554</v>
      </c>
      <c r="O1973" s="338">
        <v>44946.0</v>
      </c>
      <c r="P1973" s="164">
        <f t="array" ref="P1973">XLOOKUP('FACUS$'!$B1973,'perfil de pagos'!$A$4:$A$46,'perfil de pagos'!$C$4:$C$46+'FACUS$'!$D1973)</f>
        <v>44939</v>
      </c>
      <c r="Q1973" s="165">
        <f t="shared" si="66"/>
        <v>0</v>
      </c>
      <c r="R1973" s="167"/>
      <c r="S1973" s="167"/>
      <c r="T1973" s="167"/>
      <c r="U1973" s="334" t="s">
        <v>7271</v>
      </c>
      <c r="V1973" s="168">
        <f t="shared" si="3"/>
        <v>3558.822</v>
      </c>
      <c r="W1973" s="168">
        <f t="shared" si="4"/>
        <v>0</v>
      </c>
      <c r="X1973" s="168">
        <f t="shared" si="5"/>
        <v>0</v>
      </c>
      <c r="Y1973" s="168">
        <f t="shared" si="6"/>
        <v>0</v>
      </c>
      <c r="Z1973" s="168">
        <f t="shared" si="7"/>
        <v>0</v>
      </c>
      <c r="AA1973" s="168">
        <f t="shared" si="8"/>
        <v>0</v>
      </c>
      <c r="AB1973" s="168">
        <f t="shared" si="9"/>
        <v>0</v>
      </c>
    </row>
    <row r="1974" ht="15.0" customHeight="1">
      <c r="A1974" s="157" t="s">
        <v>9294</v>
      </c>
      <c r="B1974" s="169" t="s">
        <v>39</v>
      </c>
      <c r="C1974" s="169" t="s">
        <v>4549</v>
      </c>
      <c r="D1974" s="317">
        <v>44929.0</v>
      </c>
      <c r="E1974" s="157" t="s">
        <v>600</v>
      </c>
      <c r="F1974" s="160">
        <v>48798.67</v>
      </c>
      <c r="G1974" s="160">
        <f>'FACUS$'!$F1974*0.16</f>
        <v>7807.7872</v>
      </c>
      <c r="H1974" s="160">
        <f t="shared" si="68"/>
        <v>56606.4572</v>
      </c>
      <c r="I1974" s="172"/>
      <c r="J1974" s="169"/>
      <c r="K1974" s="172"/>
      <c r="L1974" s="172">
        <f>+'FACUS$'!$H1974-'FACUS$'!$I1974-'FACUS$'!$K1974</f>
        <v>56606.4572</v>
      </c>
      <c r="M1974" s="162" t="s">
        <v>570</v>
      </c>
      <c r="N1974" s="337" t="s">
        <v>554</v>
      </c>
      <c r="O1974" s="338">
        <v>44939.0</v>
      </c>
      <c r="P1974" s="164">
        <f t="array" ref="P1974">XLOOKUP('FACUS$'!$B1974,'perfil de pagos'!$A$4:$A$46,'perfil de pagos'!$C$4:$C$46+'FACUS$'!$D1974)</f>
        <v>44939</v>
      </c>
      <c r="Q1974" s="165">
        <f t="shared" si="66"/>
        <v>0</v>
      </c>
      <c r="R1974" s="167"/>
      <c r="S1974" s="167">
        <v>1888.0</v>
      </c>
      <c r="T1974" s="167"/>
      <c r="U1974" s="334" t="s">
        <v>7271</v>
      </c>
      <c r="V1974" s="168">
        <f t="shared" si="3"/>
        <v>56606.4572</v>
      </c>
      <c r="W1974" s="168">
        <f t="shared" si="4"/>
        <v>0</v>
      </c>
      <c r="X1974" s="168">
        <f t="shared" si="5"/>
        <v>0</v>
      </c>
      <c r="Y1974" s="168">
        <f t="shared" si="6"/>
        <v>0</v>
      </c>
      <c r="Z1974" s="168">
        <f t="shared" si="7"/>
        <v>0</v>
      </c>
      <c r="AA1974" s="168">
        <f t="shared" si="8"/>
        <v>0</v>
      </c>
      <c r="AB1974" s="168">
        <f t="shared" si="9"/>
        <v>0</v>
      </c>
    </row>
    <row r="1975" ht="15.0" customHeight="1">
      <c r="A1975" s="157" t="s">
        <v>9295</v>
      </c>
      <c r="B1975" s="169" t="s">
        <v>39</v>
      </c>
      <c r="C1975" s="169" t="s">
        <v>4551</v>
      </c>
      <c r="D1975" s="317">
        <v>44929.0</v>
      </c>
      <c r="E1975" s="157" t="s">
        <v>600</v>
      </c>
      <c r="F1975" s="160">
        <v>34130.3</v>
      </c>
      <c r="G1975" s="160">
        <f>'FACUS$'!$F1975*0.16</f>
        <v>5460.848</v>
      </c>
      <c r="H1975" s="160">
        <f t="shared" si="68"/>
        <v>39591.148</v>
      </c>
      <c r="I1975" s="172"/>
      <c r="J1975" s="169"/>
      <c r="K1975" s="172"/>
      <c r="L1975" s="172">
        <f>+'FACUS$'!$H1975-'FACUS$'!$I1975-'FACUS$'!$K1975</f>
        <v>39591.148</v>
      </c>
      <c r="M1975" s="162" t="s">
        <v>570</v>
      </c>
      <c r="N1975" s="337" t="s">
        <v>554</v>
      </c>
      <c r="O1975" s="338">
        <v>44939.0</v>
      </c>
      <c r="P1975" s="164">
        <f t="array" ref="P1975">XLOOKUP('FACUS$'!$B1975,'perfil de pagos'!$A$4:$A$46,'perfil de pagos'!$C$4:$C$46+'FACUS$'!$D1975)</f>
        <v>44939</v>
      </c>
      <c r="Q1975" s="165">
        <f t="shared" si="66"/>
        <v>0</v>
      </c>
      <c r="R1975" s="167"/>
      <c r="S1975" s="167">
        <v>1888.0</v>
      </c>
      <c r="T1975" s="167"/>
      <c r="U1975" s="334" t="s">
        <v>7271</v>
      </c>
      <c r="V1975" s="168">
        <f t="shared" si="3"/>
        <v>39591.148</v>
      </c>
      <c r="W1975" s="168">
        <f t="shared" si="4"/>
        <v>0</v>
      </c>
      <c r="X1975" s="168">
        <f t="shared" si="5"/>
        <v>0</v>
      </c>
      <c r="Y1975" s="168">
        <f t="shared" si="6"/>
        <v>0</v>
      </c>
      <c r="Z1975" s="168">
        <f t="shared" si="7"/>
        <v>0</v>
      </c>
      <c r="AA1975" s="168">
        <f t="shared" si="8"/>
        <v>0</v>
      </c>
      <c r="AB1975" s="168">
        <f t="shared" si="9"/>
        <v>0</v>
      </c>
    </row>
    <row r="1976" ht="15.0" customHeight="1">
      <c r="A1976" s="157" t="s">
        <v>9296</v>
      </c>
      <c r="B1976" s="169" t="s">
        <v>41</v>
      </c>
      <c r="C1976" s="169" t="s">
        <v>4551</v>
      </c>
      <c r="D1976" s="317">
        <v>44929.0</v>
      </c>
      <c r="E1976" s="157" t="s">
        <v>600</v>
      </c>
      <c r="F1976" s="160">
        <v>81501.21</v>
      </c>
      <c r="G1976" s="160">
        <f>'FACUS$'!$F1976*0.16</f>
        <v>13040.1936</v>
      </c>
      <c r="H1976" s="160">
        <f t="shared" si="68"/>
        <v>94541.4036</v>
      </c>
      <c r="I1976" s="172"/>
      <c r="J1976" s="169"/>
      <c r="K1976" s="172"/>
      <c r="L1976" s="172">
        <f>+'FACUS$'!$H1976-'FACUS$'!$I1976-'FACUS$'!$K1976</f>
        <v>94541.4036</v>
      </c>
      <c r="M1976" s="162" t="s">
        <v>875</v>
      </c>
      <c r="N1976" s="337" t="s">
        <v>554</v>
      </c>
      <c r="O1976" s="338">
        <v>44999.0</v>
      </c>
      <c r="P1976" s="164">
        <f t="array" ref="P1976">XLOOKUP('FACUS$'!$B1976,'perfil de pagos'!$A$4:$A$46,'perfil de pagos'!$C$4:$C$46+'FACUS$'!$D1976)</f>
        <v>44939</v>
      </c>
      <c r="Q1976" s="165">
        <f t="shared" si="66"/>
        <v>0</v>
      </c>
      <c r="R1976" s="167"/>
      <c r="S1976" s="167">
        <v>2041.0</v>
      </c>
      <c r="T1976" s="167"/>
      <c r="U1976" s="334" t="s">
        <v>7271</v>
      </c>
      <c r="V1976" s="168">
        <f t="shared" si="3"/>
        <v>94541.4036</v>
      </c>
      <c r="W1976" s="168">
        <f t="shared" si="4"/>
        <v>0</v>
      </c>
      <c r="X1976" s="168">
        <f t="shared" si="5"/>
        <v>0</v>
      </c>
      <c r="Y1976" s="168">
        <f t="shared" si="6"/>
        <v>0</v>
      </c>
      <c r="Z1976" s="168">
        <f t="shared" si="7"/>
        <v>0</v>
      </c>
      <c r="AA1976" s="168">
        <f t="shared" si="8"/>
        <v>0</v>
      </c>
      <c r="AB1976" s="168">
        <f t="shared" si="9"/>
        <v>0</v>
      </c>
    </row>
    <row r="1977" ht="15.0" customHeight="1">
      <c r="A1977" s="157" t="s">
        <v>9297</v>
      </c>
      <c r="B1977" s="169" t="s">
        <v>42</v>
      </c>
      <c r="C1977" s="169" t="s">
        <v>4551</v>
      </c>
      <c r="D1977" s="317">
        <v>44929.0</v>
      </c>
      <c r="E1977" s="157" t="s">
        <v>600</v>
      </c>
      <c r="F1977" s="160">
        <v>31807.42</v>
      </c>
      <c r="G1977" s="160">
        <f>'FACUS$'!$F1977*0.16</f>
        <v>5089.1872</v>
      </c>
      <c r="H1977" s="160">
        <f t="shared" si="68"/>
        <v>36896.6072</v>
      </c>
      <c r="I1977" s="172"/>
      <c r="J1977" s="169"/>
      <c r="K1977" s="172"/>
      <c r="L1977" s="172">
        <f>+'FACUS$'!$H1977-'FACUS$'!$I1977-'FACUS$'!$K1977</f>
        <v>36896.6072</v>
      </c>
      <c r="M1977" s="162" t="s">
        <v>42</v>
      </c>
      <c r="N1977" s="337" t="s">
        <v>554</v>
      </c>
      <c r="O1977" s="338">
        <v>44952.0</v>
      </c>
      <c r="P1977" s="164">
        <f t="array" ref="P1977">XLOOKUP('FACUS$'!$B1977,'perfil de pagos'!$A$4:$A$46,'perfil de pagos'!$C$4:$C$46+'FACUS$'!$D1977)</f>
        <v>44939</v>
      </c>
      <c r="Q1977" s="165">
        <f t="shared" si="66"/>
        <v>0</v>
      </c>
      <c r="R1977" s="167"/>
      <c r="S1977" s="167"/>
      <c r="T1977" s="167"/>
      <c r="U1977" s="334" t="s">
        <v>7271</v>
      </c>
      <c r="V1977" s="168">
        <f t="shared" si="3"/>
        <v>36896.6072</v>
      </c>
      <c r="W1977" s="168">
        <f t="shared" si="4"/>
        <v>0</v>
      </c>
      <c r="X1977" s="168">
        <f t="shared" si="5"/>
        <v>0</v>
      </c>
      <c r="Y1977" s="168">
        <f t="shared" si="6"/>
        <v>0</v>
      </c>
      <c r="Z1977" s="168">
        <f t="shared" si="7"/>
        <v>0</v>
      </c>
      <c r="AA1977" s="168">
        <f t="shared" si="8"/>
        <v>0</v>
      </c>
      <c r="AB1977" s="168">
        <f t="shared" si="9"/>
        <v>0</v>
      </c>
    </row>
    <row r="1978" ht="15.0" customHeight="1">
      <c r="A1978" s="157" t="s">
        <v>9298</v>
      </c>
      <c r="B1978" s="169" t="s">
        <v>43</v>
      </c>
      <c r="C1978" s="169" t="s">
        <v>4551</v>
      </c>
      <c r="D1978" s="317">
        <v>44929.0</v>
      </c>
      <c r="E1978" s="157" t="s">
        <v>600</v>
      </c>
      <c r="F1978" s="160">
        <f>92702.36</f>
        <v>92702.36</v>
      </c>
      <c r="G1978" s="160">
        <f>'FACUS$'!$F1978*0.16</f>
        <v>14832.3776</v>
      </c>
      <c r="H1978" s="160">
        <f t="shared" si="68"/>
        <v>107534.7376</v>
      </c>
      <c r="I1978" s="172"/>
      <c r="J1978" s="169">
        <v>293.0</v>
      </c>
      <c r="K1978" s="172">
        <f>'NCUS$'!H56</f>
        <v>165.7176</v>
      </c>
      <c r="L1978" s="172">
        <f>+'FACUS$'!$H1978-'FACUS$'!$I1978-'FACUS$'!$K1978</f>
        <v>107369.02</v>
      </c>
      <c r="M1978" s="162" t="s">
        <v>43</v>
      </c>
      <c r="N1978" s="337" t="s">
        <v>554</v>
      </c>
      <c r="O1978" s="338">
        <v>44939.0</v>
      </c>
      <c r="P1978" s="164">
        <f t="array" ref="P1978">XLOOKUP('FACUS$'!$B1978,'perfil de pagos'!$A$4:$A$46,'perfil de pagos'!$C$4:$C$46+'FACUS$'!$D1978)</f>
        <v>44954</v>
      </c>
      <c r="Q1978" s="165">
        <f t="shared" si="66"/>
        <v>0</v>
      </c>
      <c r="R1978" s="220" t="s">
        <v>9299</v>
      </c>
      <c r="S1978" s="167"/>
      <c r="T1978" s="167"/>
      <c r="U1978" s="334" t="s">
        <v>7271</v>
      </c>
      <c r="V1978" s="168">
        <f t="shared" si="3"/>
        <v>107369.02</v>
      </c>
      <c r="W1978" s="168">
        <f t="shared" si="4"/>
        <v>0</v>
      </c>
      <c r="X1978" s="168">
        <f t="shared" si="5"/>
        <v>0</v>
      </c>
      <c r="Y1978" s="168">
        <f t="shared" si="6"/>
        <v>0</v>
      </c>
      <c r="Z1978" s="168">
        <f t="shared" si="7"/>
        <v>0</v>
      </c>
      <c r="AA1978" s="168">
        <f t="shared" si="8"/>
        <v>0</v>
      </c>
      <c r="AB1978" s="168">
        <f t="shared" si="9"/>
        <v>0</v>
      </c>
    </row>
    <row r="1979" ht="15.0" customHeight="1">
      <c r="A1979" s="157" t="s">
        <v>9300</v>
      </c>
      <c r="B1979" s="169" t="s">
        <v>17</v>
      </c>
      <c r="C1979" s="169" t="s">
        <v>4549</v>
      </c>
      <c r="D1979" s="317">
        <v>44929.0</v>
      </c>
      <c r="E1979" s="157" t="s">
        <v>600</v>
      </c>
      <c r="F1979" s="160">
        <f>31809.65</f>
        <v>31809.65</v>
      </c>
      <c r="G1979" s="160">
        <f>'FACUS$'!$F1979*0.16</f>
        <v>5089.544</v>
      </c>
      <c r="H1979" s="160">
        <f t="shared" si="68"/>
        <v>36899.194</v>
      </c>
      <c r="I1979" s="172"/>
      <c r="J1979" s="169">
        <v>290.0</v>
      </c>
      <c r="K1979" s="172">
        <f>'NCUS$'!H55</f>
        <v>393.646</v>
      </c>
      <c r="L1979" s="172">
        <f>+'FACUS$'!$H1979-'FACUS$'!$I1979-'FACUS$'!$K1979</f>
        <v>36505.548</v>
      </c>
      <c r="M1979" s="162" t="s">
        <v>17</v>
      </c>
      <c r="N1979" s="337" t="s">
        <v>554</v>
      </c>
      <c r="O1979" s="338"/>
      <c r="P1979" s="164">
        <f t="array" ref="P1979">XLOOKUP('FACUS$'!$B1979,'perfil de pagos'!$A$4:$A$46,'perfil de pagos'!$C$4:$C$46+'FACUS$'!$D1979)</f>
        <v>44939</v>
      </c>
      <c r="Q1979" s="165">
        <f t="shared" si="66"/>
        <v>0</v>
      </c>
      <c r="R1979" s="167"/>
      <c r="S1979" s="167"/>
      <c r="T1979" s="167"/>
      <c r="U1979" s="334" t="s">
        <v>7271</v>
      </c>
      <c r="V1979" s="168">
        <f t="shared" si="3"/>
        <v>36505.548</v>
      </c>
      <c r="W1979" s="168">
        <f t="shared" si="4"/>
        <v>0</v>
      </c>
      <c r="X1979" s="168">
        <f t="shared" si="5"/>
        <v>0</v>
      </c>
      <c r="Y1979" s="168">
        <f t="shared" si="6"/>
        <v>0</v>
      </c>
      <c r="Z1979" s="168">
        <f t="shared" si="7"/>
        <v>0</v>
      </c>
      <c r="AA1979" s="168">
        <f t="shared" si="8"/>
        <v>0</v>
      </c>
      <c r="AB1979" s="168">
        <f t="shared" si="9"/>
        <v>0</v>
      </c>
    </row>
    <row r="1980" ht="15.0" customHeight="1">
      <c r="A1980" s="210" t="s">
        <v>9301</v>
      </c>
      <c r="B1980" s="189" t="s">
        <v>17</v>
      </c>
      <c r="C1980" s="189" t="s">
        <v>4551</v>
      </c>
      <c r="D1980" s="388">
        <v>44929.0</v>
      </c>
      <c r="E1980" s="210" t="s">
        <v>600</v>
      </c>
      <c r="F1980" s="211">
        <f>31348.57-'NCUS$'!F52</f>
        <v>31174.28</v>
      </c>
      <c r="G1980" s="211">
        <f>'FACUS$'!$F1980*0.16</f>
        <v>4987.8848</v>
      </c>
      <c r="H1980" s="211">
        <f t="shared" si="68"/>
        <v>36162.1648</v>
      </c>
      <c r="I1980" s="188"/>
      <c r="J1980" s="189"/>
      <c r="K1980" s="188"/>
      <c r="L1980" s="188">
        <f>+'FACUS$'!$H1980-'FACUS$'!$I1980-'FACUS$'!$K1980</f>
        <v>36162.1648</v>
      </c>
      <c r="M1980" s="227" t="s">
        <v>17</v>
      </c>
      <c r="N1980" s="376" t="s">
        <v>127</v>
      </c>
      <c r="O1980" s="377"/>
      <c r="P1980" s="245">
        <f t="array" ref="P1980">XLOOKUP('FACUS$'!$B1980,'perfil de pagos'!$A$4:$A$46,'perfil de pagos'!$C$4:$C$46+'FACUS$'!$D1980)</f>
        <v>44939</v>
      </c>
      <c r="Q1980" s="246" t="str">
        <f t="shared" si="66"/>
        <v>N/A</v>
      </c>
      <c r="R1980" s="223" t="s">
        <v>9302</v>
      </c>
      <c r="S1980" s="223"/>
      <c r="T1980" s="223"/>
      <c r="U1980" s="378" t="s">
        <v>7271</v>
      </c>
      <c r="V1980" s="168">
        <f t="shared" si="3"/>
        <v>0</v>
      </c>
      <c r="W1980" s="168">
        <f t="shared" si="4"/>
        <v>0</v>
      </c>
      <c r="X1980" s="168">
        <f t="shared" si="5"/>
        <v>0</v>
      </c>
      <c r="Y1980" s="168">
        <f t="shared" si="6"/>
        <v>0</v>
      </c>
      <c r="Z1980" s="168">
        <f t="shared" si="7"/>
        <v>0</v>
      </c>
      <c r="AA1980" s="168">
        <f t="shared" si="8"/>
        <v>0</v>
      </c>
      <c r="AB1980" s="168">
        <f t="shared" si="9"/>
        <v>36162.1648</v>
      </c>
      <c r="AC1980" s="81"/>
      <c r="AD1980" s="81"/>
      <c r="AE1980" s="81"/>
    </row>
    <row r="1981" ht="15.0" customHeight="1">
      <c r="A1981" s="157" t="s">
        <v>9303</v>
      </c>
      <c r="B1981" s="169" t="s">
        <v>17</v>
      </c>
      <c r="C1981" s="169" t="s">
        <v>9304</v>
      </c>
      <c r="D1981" s="317">
        <v>44929.0</v>
      </c>
      <c r="E1981" s="157" t="s">
        <v>600</v>
      </c>
      <c r="F1981" s="160">
        <v>5121.4</v>
      </c>
      <c r="G1981" s="160">
        <f>'FACUS$'!$F1981*0.16</f>
        <v>819.424</v>
      </c>
      <c r="H1981" s="160">
        <f t="shared" si="68"/>
        <v>5940.824</v>
      </c>
      <c r="I1981" s="172"/>
      <c r="J1981" s="169"/>
      <c r="K1981" s="172"/>
      <c r="L1981" s="172">
        <f>+'FACUS$'!$H1981-'FACUS$'!$I1981-'FACUS$'!$K1981</f>
        <v>5940.824</v>
      </c>
      <c r="M1981" s="162" t="s">
        <v>17</v>
      </c>
      <c r="N1981" s="337" t="s">
        <v>554</v>
      </c>
      <c r="O1981" s="338">
        <v>44945.0</v>
      </c>
      <c r="P1981" s="164">
        <f t="array" ref="P1981">XLOOKUP('FACUS$'!$B1981,'perfil de pagos'!$A$4:$A$46,'perfil de pagos'!$C$4:$C$46+'FACUS$'!$D1981)</f>
        <v>44939</v>
      </c>
      <c r="Q1981" s="165">
        <f t="shared" si="66"/>
        <v>0</v>
      </c>
      <c r="R1981" s="167"/>
      <c r="S1981" s="167"/>
      <c r="T1981" s="167"/>
      <c r="U1981" s="334" t="s">
        <v>7271</v>
      </c>
      <c r="V1981" s="168">
        <f t="shared" si="3"/>
        <v>5940.824</v>
      </c>
      <c r="W1981" s="168">
        <f t="shared" si="4"/>
        <v>0</v>
      </c>
      <c r="X1981" s="168">
        <f t="shared" si="5"/>
        <v>0</v>
      </c>
      <c r="Y1981" s="168">
        <f t="shared" si="6"/>
        <v>0</v>
      </c>
      <c r="Z1981" s="168">
        <f t="shared" si="7"/>
        <v>0</v>
      </c>
      <c r="AA1981" s="168">
        <f t="shared" si="8"/>
        <v>0</v>
      </c>
      <c r="AB1981" s="168">
        <f t="shared" si="9"/>
        <v>0</v>
      </c>
    </row>
    <row r="1982" ht="15.0" customHeight="1">
      <c r="A1982" s="157" t="s">
        <v>9305</v>
      </c>
      <c r="B1982" s="169" t="s">
        <v>44</v>
      </c>
      <c r="C1982" s="169" t="s">
        <v>4551</v>
      </c>
      <c r="D1982" s="317">
        <v>44929.0</v>
      </c>
      <c r="E1982" s="157" t="s">
        <v>600</v>
      </c>
      <c r="F1982" s="160">
        <v>41435.86</v>
      </c>
      <c r="G1982" s="160">
        <f>'FACUS$'!$F1982*0.16</f>
        <v>6629.7376</v>
      </c>
      <c r="H1982" s="160">
        <f t="shared" si="68"/>
        <v>48065.5976</v>
      </c>
      <c r="I1982" s="172"/>
      <c r="J1982" s="169"/>
      <c r="K1982" s="172"/>
      <c r="L1982" s="172">
        <f>+'FACUS$'!$H1982-'FACUS$'!$I1982-'FACUS$'!$K1982</f>
        <v>48065.5976</v>
      </c>
      <c r="M1982" s="162" t="s">
        <v>361</v>
      </c>
      <c r="N1982" s="337" t="s">
        <v>554</v>
      </c>
      <c r="O1982" s="338">
        <v>44939.0</v>
      </c>
      <c r="P1982" s="164">
        <f t="array" ref="P1982">XLOOKUP('FACUS$'!$B1982,'perfil de pagos'!$A$4:$A$46,'perfil de pagos'!$C$4:$C$46+'FACUS$'!$D1982)</f>
        <v>44939</v>
      </c>
      <c r="Q1982" s="165">
        <f t="shared" si="66"/>
        <v>0</v>
      </c>
      <c r="R1982" s="167"/>
      <c r="S1982" s="167">
        <v>1887.0</v>
      </c>
      <c r="T1982" s="167"/>
      <c r="U1982" s="334" t="s">
        <v>7271</v>
      </c>
      <c r="V1982" s="168">
        <f t="shared" si="3"/>
        <v>48065.5976</v>
      </c>
      <c r="W1982" s="168">
        <f t="shared" si="4"/>
        <v>0</v>
      </c>
      <c r="X1982" s="168">
        <f t="shared" si="5"/>
        <v>0</v>
      </c>
      <c r="Y1982" s="168">
        <f t="shared" si="6"/>
        <v>0</v>
      </c>
      <c r="Z1982" s="168">
        <f t="shared" si="7"/>
        <v>0</v>
      </c>
      <c r="AA1982" s="168">
        <f t="shared" si="8"/>
        <v>0</v>
      </c>
      <c r="AB1982" s="168">
        <f t="shared" si="9"/>
        <v>0</v>
      </c>
    </row>
    <row r="1983" ht="15.0" customHeight="1">
      <c r="A1983" s="157" t="s">
        <v>9306</v>
      </c>
      <c r="B1983" s="169" t="s">
        <v>32</v>
      </c>
      <c r="C1983" s="169" t="s">
        <v>4551</v>
      </c>
      <c r="D1983" s="317">
        <v>44930.0</v>
      </c>
      <c r="E1983" s="157" t="s">
        <v>600</v>
      </c>
      <c r="F1983" s="160">
        <f>20377.62</f>
        <v>20377.62</v>
      </c>
      <c r="G1983" s="160">
        <f>'FACUS$'!$F1983*0.16</f>
        <v>3260.4192</v>
      </c>
      <c r="H1983" s="160">
        <f t="shared" si="68"/>
        <v>23638.0392</v>
      </c>
      <c r="I1983" s="172"/>
      <c r="J1983" s="169">
        <v>288.0</v>
      </c>
      <c r="K1983" s="172">
        <f>'NCUS$'!H54</f>
        <v>3694.7044</v>
      </c>
      <c r="L1983" s="172">
        <f>+'FACUS$'!$H1983-'FACUS$'!$I1983-'FACUS$'!$K1983</f>
        <v>19943.3348</v>
      </c>
      <c r="M1983" s="162" t="s">
        <v>395</v>
      </c>
      <c r="N1983" s="337" t="s">
        <v>554</v>
      </c>
      <c r="O1983" s="338">
        <v>44960.0</v>
      </c>
      <c r="P1983" s="164">
        <f t="array" ref="P1983">XLOOKUP('FACUS$'!$B1983,'perfil de pagos'!$A$4:$A$46,'perfil de pagos'!$C$4:$C$46+'FACUS$'!$D1983)</f>
        <v>44940</v>
      </c>
      <c r="Q1983" s="165">
        <f t="shared" si="66"/>
        <v>0</v>
      </c>
      <c r="R1983" s="167"/>
      <c r="S1983" s="167">
        <v>1945.0</v>
      </c>
      <c r="T1983" s="167"/>
      <c r="U1983" s="334" t="s">
        <v>7271</v>
      </c>
      <c r="V1983" s="168">
        <f t="shared" si="3"/>
        <v>19943.3348</v>
      </c>
      <c r="W1983" s="168">
        <f t="shared" si="4"/>
        <v>0</v>
      </c>
      <c r="X1983" s="168">
        <f t="shared" si="5"/>
        <v>0</v>
      </c>
      <c r="Y1983" s="168">
        <f t="shared" si="6"/>
        <v>0</v>
      </c>
      <c r="Z1983" s="168">
        <f t="shared" si="7"/>
        <v>0</v>
      </c>
      <c r="AA1983" s="168">
        <f t="shared" si="8"/>
        <v>0</v>
      </c>
      <c r="AB1983" s="168">
        <f t="shared" si="9"/>
        <v>0</v>
      </c>
    </row>
    <row r="1984" ht="15.0" customHeight="1">
      <c r="A1984" s="157" t="s">
        <v>9307</v>
      </c>
      <c r="B1984" s="169" t="s">
        <v>17</v>
      </c>
      <c r="C1984" s="169" t="s">
        <v>4551</v>
      </c>
      <c r="D1984" s="317">
        <v>44930.0</v>
      </c>
      <c r="E1984" s="157" t="s">
        <v>600</v>
      </c>
      <c r="F1984" s="160">
        <f>31348.57</f>
        <v>31348.57</v>
      </c>
      <c r="G1984" s="160">
        <f>'FACUS$'!$F1984*0.16</f>
        <v>5015.7712</v>
      </c>
      <c r="H1984" s="160">
        <f t="shared" si="68"/>
        <v>36364.3412</v>
      </c>
      <c r="I1984" s="172"/>
      <c r="J1984" s="169">
        <v>286.0</v>
      </c>
      <c r="K1984" s="172">
        <f>'NCUS$'!H53</f>
        <v>202.1764</v>
      </c>
      <c r="L1984" s="172">
        <f>+'FACUS$'!$H1984-'FACUS$'!$I1984-'FACUS$'!$K1984</f>
        <v>36162.1648</v>
      </c>
      <c r="M1984" s="162" t="s">
        <v>17</v>
      </c>
      <c r="N1984" s="337" t="s">
        <v>554</v>
      </c>
      <c r="O1984" s="338">
        <v>44945.0</v>
      </c>
      <c r="P1984" s="164">
        <f t="array" ref="P1984">XLOOKUP('FACUS$'!$B1984,'perfil de pagos'!$A$4:$A$46,'perfil de pagos'!$C$4:$C$46+'FACUS$'!$D1984)</f>
        <v>44940</v>
      </c>
      <c r="Q1984" s="165">
        <f t="shared" si="66"/>
        <v>0</v>
      </c>
      <c r="R1984" s="167"/>
      <c r="S1984" s="167"/>
      <c r="T1984" s="167"/>
      <c r="U1984" s="334" t="s">
        <v>7271</v>
      </c>
      <c r="V1984" s="168">
        <f t="shared" si="3"/>
        <v>36162.1648</v>
      </c>
      <c r="W1984" s="168">
        <f t="shared" si="4"/>
        <v>0</v>
      </c>
      <c r="X1984" s="168">
        <f t="shared" si="5"/>
        <v>0</v>
      </c>
      <c r="Y1984" s="168">
        <f t="shared" si="6"/>
        <v>0</v>
      </c>
      <c r="Z1984" s="168">
        <f t="shared" si="7"/>
        <v>0</v>
      </c>
      <c r="AA1984" s="168">
        <f t="shared" si="8"/>
        <v>0</v>
      </c>
      <c r="AB1984" s="168">
        <f t="shared" si="9"/>
        <v>0</v>
      </c>
    </row>
    <row r="1985" ht="15.0" customHeight="1">
      <c r="A1985" s="157" t="s">
        <v>9308</v>
      </c>
      <c r="B1985" s="169" t="s">
        <v>18</v>
      </c>
      <c r="C1985" s="169" t="s">
        <v>4551</v>
      </c>
      <c r="D1985" s="317">
        <v>44936.0</v>
      </c>
      <c r="E1985" s="157" t="s">
        <v>600</v>
      </c>
      <c r="F1985" s="160">
        <v>5403.65</v>
      </c>
      <c r="G1985" s="160">
        <f>'FACUS$'!$F1985*0.16</f>
        <v>864.584</v>
      </c>
      <c r="H1985" s="160">
        <f t="shared" si="68"/>
        <v>6268.234</v>
      </c>
      <c r="I1985" s="172"/>
      <c r="J1985" s="169"/>
      <c r="K1985" s="172"/>
      <c r="L1985" s="172">
        <f>+'FACUS$'!$H1985-'FACUS$'!$I1985-'FACUS$'!$K1985</f>
        <v>6268.234</v>
      </c>
      <c r="M1985" s="162" t="s">
        <v>586</v>
      </c>
      <c r="N1985" s="337" t="s">
        <v>554</v>
      </c>
      <c r="O1985" s="338">
        <v>45072.0</v>
      </c>
      <c r="P1985" s="164">
        <f t="array" ref="P1985">XLOOKUP('FACUS$'!$B1985,'perfil de pagos'!$A$4:$A$46,'perfil de pagos'!$C$4:$C$46+'FACUS$'!$D1985)</f>
        <v>44946</v>
      </c>
      <c r="Q1985" s="165">
        <f t="shared" si="66"/>
        <v>0</v>
      </c>
      <c r="R1985" s="167"/>
      <c r="S1985" s="167">
        <v>2188.0</v>
      </c>
      <c r="T1985" s="167"/>
      <c r="U1985" s="334" t="s">
        <v>7271</v>
      </c>
      <c r="V1985" s="168">
        <f t="shared" si="3"/>
        <v>6268.234</v>
      </c>
      <c r="W1985" s="168">
        <f t="shared" si="4"/>
        <v>0</v>
      </c>
      <c r="X1985" s="168">
        <f t="shared" si="5"/>
        <v>0</v>
      </c>
      <c r="Y1985" s="168">
        <f t="shared" si="6"/>
        <v>0</v>
      </c>
      <c r="Z1985" s="168">
        <f t="shared" si="7"/>
        <v>0</v>
      </c>
      <c r="AA1985" s="168">
        <f t="shared" si="8"/>
        <v>0</v>
      </c>
      <c r="AB1985" s="168">
        <f t="shared" si="9"/>
        <v>0</v>
      </c>
    </row>
    <row r="1986" ht="15.0" customHeight="1">
      <c r="A1986" s="157" t="s">
        <v>9309</v>
      </c>
      <c r="B1986" s="169" t="s">
        <v>20</v>
      </c>
      <c r="C1986" s="169" t="s">
        <v>4551</v>
      </c>
      <c r="D1986" s="317">
        <v>44936.0</v>
      </c>
      <c r="E1986" s="157" t="s">
        <v>600</v>
      </c>
      <c r="F1986" s="160">
        <v>14956.5</v>
      </c>
      <c r="G1986" s="160">
        <f>'FACUS$'!$F1986*0.16</f>
        <v>2393.04</v>
      </c>
      <c r="H1986" s="160">
        <f t="shared" si="68"/>
        <v>17349.54</v>
      </c>
      <c r="I1986" s="172"/>
      <c r="J1986" s="169"/>
      <c r="K1986" s="172"/>
      <c r="L1986" s="172">
        <f>+'FACUS$'!$H1986-'FACUS$'!$I1986-'FACUS$'!$K1986</f>
        <v>17349.54</v>
      </c>
      <c r="M1986" s="162" t="s">
        <v>732</v>
      </c>
      <c r="N1986" s="337" t="s">
        <v>554</v>
      </c>
      <c r="O1986" s="338">
        <v>45072.0</v>
      </c>
      <c r="P1986" s="164">
        <f t="array" ref="P1986">XLOOKUP('FACUS$'!$B1986,'perfil de pagos'!$A$4:$A$46,'perfil de pagos'!$C$4:$C$46+'FACUS$'!$D1986)</f>
        <v>44946</v>
      </c>
      <c r="Q1986" s="165">
        <f t="shared" si="66"/>
        <v>0</v>
      </c>
      <c r="R1986" s="167"/>
      <c r="S1986" s="167">
        <v>2188.0</v>
      </c>
      <c r="T1986" s="167"/>
      <c r="U1986" s="334" t="s">
        <v>7271</v>
      </c>
      <c r="V1986" s="168">
        <f t="shared" si="3"/>
        <v>17349.54</v>
      </c>
      <c r="W1986" s="168">
        <f t="shared" si="4"/>
        <v>0</v>
      </c>
      <c r="X1986" s="168">
        <f t="shared" si="5"/>
        <v>0</v>
      </c>
      <c r="Y1986" s="168">
        <f t="shared" si="6"/>
        <v>0</v>
      </c>
      <c r="Z1986" s="168">
        <f t="shared" si="7"/>
        <v>0</v>
      </c>
      <c r="AA1986" s="168">
        <f t="shared" si="8"/>
        <v>0</v>
      </c>
      <c r="AB1986" s="168">
        <f t="shared" si="9"/>
        <v>0</v>
      </c>
    </row>
    <row r="1987" ht="15.0" customHeight="1">
      <c r="A1987" s="157" t="s">
        <v>9310</v>
      </c>
      <c r="B1987" s="169" t="s">
        <v>22</v>
      </c>
      <c r="C1987" s="169" t="s">
        <v>4551</v>
      </c>
      <c r="D1987" s="317">
        <v>44936.0</v>
      </c>
      <c r="E1987" s="157" t="s">
        <v>600</v>
      </c>
      <c r="F1987" s="160">
        <v>9483.93</v>
      </c>
      <c r="G1987" s="160">
        <f>'FACUS$'!$F1987*0.16</f>
        <v>1517.4288</v>
      </c>
      <c r="H1987" s="160">
        <f t="shared" si="68"/>
        <v>11001.3588</v>
      </c>
      <c r="I1987" s="172"/>
      <c r="J1987" s="169"/>
      <c r="K1987" s="172"/>
      <c r="L1987" s="172">
        <f>+'FACUS$'!$H1987-'FACUS$'!$I1987-'FACUS$'!$K1987</f>
        <v>11001.3588</v>
      </c>
      <c r="M1987" s="162" t="s">
        <v>220</v>
      </c>
      <c r="N1987" s="337" t="s">
        <v>554</v>
      </c>
      <c r="O1987" s="338">
        <v>44973.0</v>
      </c>
      <c r="P1987" s="164">
        <f t="array" ref="P1987">XLOOKUP('FACUS$'!$B1987,'perfil de pagos'!$A$4:$A$46,'perfil de pagos'!$C$4:$C$46+'FACUS$'!$D1987)</f>
        <v>44946</v>
      </c>
      <c r="Q1987" s="165">
        <f t="shared" si="66"/>
        <v>0</v>
      </c>
      <c r="R1987" s="167"/>
      <c r="S1987" s="167">
        <v>1975.0</v>
      </c>
      <c r="T1987" s="167"/>
      <c r="U1987" s="334" t="s">
        <v>7271</v>
      </c>
      <c r="V1987" s="168">
        <f t="shared" si="3"/>
        <v>11001.3588</v>
      </c>
      <c r="W1987" s="168">
        <f t="shared" si="4"/>
        <v>0</v>
      </c>
      <c r="X1987" s="168">
        <f t="shared" si="5"/>
        <v>0</v>
      </c>
      <c r="Y1987" s="168">
        <f t="shared" si="6"/>
        <v>0</v>
      </c>
      <c r="Z1987" s="168">
        <f t="shared" si="7"/>
        <v>0</v>
      </c>
      <c r="AA1987" s="168">
        <f t="shared" si="8"/>
        <v>0</v>
      </c>
      <c r="AB1987" s="168">
        <f t="shared" si="9"/>
        <v>0</v>
      </c>
    </row>
    <row r="1988" ht="15.0" customHeight="1">
      <c r="A1988" s="157" t="s">
        <v>9311</v>
      </c>
      <c r="B1988" s="169" t="s">
        <v>25</v>
      </c>
      <c r="C1988" s="169" t="s">
        <v>4551</v>
      </c>
      <c r="D1988" s="317">
        <v>44936.0</v>
      </c>
      <c r="E1988" s="157" t="s">
        <v>600</v>
      </c>
      <c r="F1988" s="160">
        <v>5172.5</v>
      </c>
      <c r="G1988" s="160">
        <f>'FACUS$'!$F1988*0.16</f>
        <v>827.6</v>
      </c>
      <c r="H1988" s="160">
        <f t="shared" si="68"/>
        <v>6000.1</v>
      </c>
      <c r="I1988" s="172"/>
      <c r="J1988" s="169"/>
      <c r="K1988" s="172"/>
      <c r="L1988" s="172">
        <f>+'FACUS$'!$H1988-'FACUS$'!$I1988-'FACUS$'!$K1988</f>
        <v>6000.1</v>
      </c>
      <c r="M1988" s="162" t="s">
        <v>4388</v>
      </c>
      <c r="N1988" s="337" t="s">
        <v>554</v>
      </c>
      <c r="O1988" s="338">
        <v>44964.0</v>
      </c>
      <c r="P1988" s="164">
        <f t="array" ref="P1988">XLOOKUP('FACUS$'!$B1988,'perfil de pagos'!$A$4:$A$46,'perfil de pagos'!$C$4:$C$46+'FACUS$'!$D1988)</f>
        <v>44946</v>
      </c>
      <c r="Q1988" s="165">
        <f t="shared" si="66"/>
        <v>0</v>
      </c>
      <c r="R1988" s="167"/>
      <c r="S1988" s="167">
        <v>1947.0</v>
      </c>
      <c r="T1988" s="167"/>
      <c r="U1988" s="334" t="s">
        <v>7271</v>
      </c>
      <c r="V1988" s="168">
        <f t="shared" si="3"/>
        <v>6000.1</v>
      </c>
      <c r="W1988" s="168">
        <f t="shared" si="4"/>
        <v>0</v>
      </c>
      <c r="X1988" s="168">
        <f t="shared" si="5"/>
        <v>0</v>
      </c>
      <c r="Y1988" s="168">
        <f t="shared" si="6"/>
        <v>0</v>
      </c>
      <c r="Z1988" s="168">
        <f t="shared" si="7"/>
        <v>0</v>
      </c>
      <c r="AA1988" s="168">
        <f t="shared" si="8"/>
        <v>0</v>
      </c>
      <c r="AB1988" s="168">
        <f t="shared" si="9"/>
        <v>0</v>
      </c>
    </row>
    <row r="1989" ht="15.0" customHeight="1">
      <c r="A1989" s="157" t="s">
        <v>9312</v>
      </c>
      <c r="B1989" s="169" t="s">
        <v>37</v>
      </c>
      <c r="C1989" s="169" t="s">
        <v>4551</v>
      </c>
      <c r="D1989" s="317">
        <v>44936.0</v>
      </c>
      <c r="E1989" s="157" t="s">
        <v>600</v>
      </c>
      <c r="F1989" s="160">
        <v>97257.08</v>
      </c>
      <c r="G1989" s="160">
        <f>'FACUS$'!$F1989*0.16</f>
        <v>15561.1328</v>
      </c>
      <c r="H1989" s="160">
        <f t="shared" si="68"/>
        <v>112818.2128</v>
      </c>
      <c r="I1989" s="172"/>
      <c r="J1989" s="169"/>
      <c r="K1989" s="172"/>
      <c r="L1989" s="172">
        <f>+'FACUS$'!$H1989-'FACUS$'!$I1989-'FACUS$'!$K1989</f>
        <v>112818.2128</v>
      </c>
      <c r="M1989" s="162" t="s">
        <v>116</v>
      </c>
      <c r="N1989" s="337" t="s">
        <v>554</v>
      </c>
      <c r="O1989" s="338">
        <v>44949.0</v>
      </c>
      <c r="P1989" s="164">
        <f t="array" ref="P1989">XLOOKUP('FACUS$'!$B1989,'perfil de pagos'!$A$4:$A$46,'perfil de pagos'!$C$4:$C$46+'FACUS$'!$D1989)</f>
        <v>44946</v>
      </c>
      <c r="Q1989" s="165">
        <f t="shared" si="66"/>
        <v>0</v>
      </c>
      <c r="R1989" s="220" t="s">
        <v>9313</v>
      </c>
      <c r="S1989" s="167">
        <v>1908.0</v>
      </c>
      <c r="T1989" s="167"/>
      <c r="U1989" s="334" t="s">
        <v>7271</v>
      </c>
      <c r="V1989" s="168">
        <f t="shared" si="3"/>
        <v>112818.2128</v>
      </c>
      <c r="W1989" s="168">
        <f t="shared" si="4"/>
        <v>0</v>
      </c>
      <c r="X1989" s="168">
        <f t="shared" si="5"/>
        <v>0</v>
      </c>
      <c r="Y1989" s="168">
        <f t="shared" si="6"/>
        <v>0</v>
      </c>
      <c r="Z1989" s="168">
        <f t="shared" si="7"/>
        <v>0</v>
      </c>
      <c r="AA1989" s="168">
        <f t="shared" si="8"/>
        <v>0</v>
      </c>
      <c r="AB1989" s="168">
        <f t="shared" si="9"/>
        <v>0</v>
      </c>
    </row>
    <row r="1990" ht="15.0" customHeight="1">
      <c r="A1990" s="157" t="s">
        <v>9314</v>
      </c>
      <c r="B1990" s="169" t="s">
        <v>38</v>
      </c>
      <c r="C1990" s="169" t="s">
        <v>4551</v>
      </c>
      <c r="D1990" s="317">
        <v>44936.0</v>
      </c>
      <c r="E1990" s="157" t="s">
        <v>600</v>
      </c>
      <c r="F1990" s="160">
        <v>7735.18</v>
      </c>
      <c r="G1990" s="160">
        <f>'FACUS$'!$F1990*0.16</f>
        <v>1237.6288</v>
      </c>
      <c r="H1990" s="160">
        <f t="shared" si="68"/>
        <v>8972.8088</v>
      </c>
      <c r="I1990" s="172"/>
      <c r="J1990" s="169"/>
      <c r="K1990" s="172"/>
      <c r="L1990" s="172">
        <f>+'FACUS$'!$H1990-'FACUS$'!$I1990-'FACUS$'!$K1990</f>
        <v>8972.8088</v>
      </c>
      <c r="M1990" s="162" t="s">
        <v>145</v>
      </c>
      <c r="N1990" s="337" t="s">
        <v>554</v>
      </c>
      <c r="O1990" s="338">
        <v>45008.0</v>
      </c>
      <c r="P1990" s="164">
        <f t="array" ref="P1990">XLOOKUP('FACUS$'!$B1990,'perfil de pagos'!$A$4:$A$46,'perfil de pagos'!$C$4:$C$46+'FACUS$'!$D1990)</f>
        <v>44966</v>
      </c>
      <c r="Q1990" s="165">
        <f t="shared" si="66"/>
        <v>0</v>
      </c>
      <c r="R1990" s="220" t="s">
        <v>9315</v>
      </c>
      <c r="S1990" s="167"/>
      <c r="T1990" s="167"/>
      <c r="U1990" s="334" t="s">
        <v>7271</v>
      </c>
      <c r="V1990" s="168">
        <f t="shared" si="3"/>
        <v>8972.8088</v>
      </c>
      <c r="W1990" s="168">
        <f t="shared" si="4"/>
        <v>0</v>
      </c>
      <c r="X1990" s="168">
        <f t="shared" si="5"/>
        <v>0</v>
      </c>
      <c r="Y1990" s="168">
        <f t="shared" si="6"/>
        <v>0</v>
      </c>
      <c r="Z1990" s="168">
        <f t="shared" si="7"/>
        <v>0</v>
      </c>
      <c r="AA1990" s="168">
        <f t="shared" si="8"/>
        <v>0</v>
      </c>
      <c r="AB1990" s="168">
        <f t="shared" si="9"/>
        <v>0</v>
      </c>
    </row>
    <row r="1991" ht="15.0" customHeight="1">
      <c r="A1991" s="157" t="s">
        <v>9316</v>
      </c>
      <c r="B1991" s="169" t="s">
        <v>38</v>
      </c>
      <c r="C1991" s="169" t="s">
        <v>4551</v>
      </c>
      <c r="D1991" s="317">
        <v>44936.0</v>
      </c>
      <c r="E1991" s="157" t="s">
        <v>600</v>
      </c>
      <c r="F1991" s="160">
        <f>2415.75</f>
        <v>2415.75</v>
      </c>
      <c r="G1991" s="160">
        <f>'FACUS$'!$F1991*0.16</f>
        <v>386.52</v>
      </c>
      <c r="H1991" s="160">
        <f t="shared" si="68"/>
        <v>2802.27</v>
      </c>
      <c r="I1991" s="172"/>
      <c r="J1991" s="169">
        <v>298.0</v>
      </c>
      <c r="K1991" s="172">
        <f>'NCUS$'!H58</f>
        <v>208.568</v>
      </c>
      <c r="L1991" s="172">
        <f>+'FACUS$'!$H1991-'FACUS$'!$I1991-'FACUS$'!$K1991</f>
        <v>2593.702</v>
      </c>
      <c r="M1991" s="162" t="s">
        <v>642</v>
      </c>
      <c r="N1991" s="337" t="s">
        <v>554</v>
      </c>
      <c r="O1991" s="338">
        <v>45008.0</v>
      </c>
      <c r="P1991" s="164">
        <f t="array" ref="P1991">XLOOKUP('FACUS$'!$B1991,'perfil de pagos'!$A$4:$A$46,'perfil de pagos'!$C$4:$C$46+'FACUS$'!$D1991)</f>
        <v>44966</v>
      </c>
      <c r="Q1991" s="165">
        <f t="shared" si="66"/>
        <v>0</v>
      </c>
      <c r="R1991" s="220" t="s">
        <v>9317</v>
      </c>
      <c r="S1991" s="167"/>
      <c r="T1991" s="167"/>
      <c r="U1991" s="334" t="s">
        <v>7271</v>
      </c>
      <c r="V1991" s="168">
        <f t="shared" si="3"/>
        <v>2593.702</v>
      </c>
      <c r="W1991" s="168">
        <f t="shared" si="4"/>
        <v>0</v>
      </c>
      <c r="X1991" s="168">
        <f t="shared" si="5"/>
        <v>0</v>
      </c>
      <c r="Y1991" s="168">
        <f t="shared" si="6"/>
        <v>0</v>
      </c>
      <c r="Z1991" s="168">
        <f t="shared" si="7"/>
        <v>0</v>
      </c>
      <c r="AA1991" s="168">
        <f t="shared" si="8"/>
        <v>0</v>
      </c>
      <c r="AB1991" s="168">
        <f t="shared" si="9"/>
        <v>0</v>
      </c>
    </row>
    <row r="1992" ht="15.0" customHeight="1">
      <c r="A1992" s="157" t="s">
        <v>9318</v>
      </c>
      <c r="B1992" s="169" t="s">
        <v>31</v>
      </c>
      <c r="C1992" s="169" t="s">
        <v>9319</v>
      </c>
      <c r="D1992" s="317">
        <v>44936.0</v>
      </c>
      <c r="E1992" s="157" t="s">
        <v>600</v>
      </c>
      <c r="F1992" s="160">
        <v>26707.75</v>
      </c>
      <c r="G1992" s="160">
        <f>'FACUS$'!$F1992*0.16</f>
        <v>4273.24</v>
      </c>
      <c r="H1992" s="160">
        <f t="shared" si="68"/>
        <v>30980.99</v>
      </c>
      <c r="I1992" s="172">
        <v>16245.75</v>
      </c>
      <c r="J1992" s="169"/>
      <c r="K1992" s="172"/>
      <c r="L1992" s="172">
        <f>+'FACUS$'!$H1992-'FACUS$'!$I1992-'FACUS$'!$K1992</f>
        <v>14735.24</v>
      </c>
      <c r="M1992" s="162" t="s">
        <v>3183</v>
      </c>
      <c r="N1992" s="337" t="s">
        <v>554</v>
      </c>
      <c r="O1992" s="338">
        <v>44974.0</v>
      </c>
      <c r="P1992" s="164">
        <f t="array" ref="P1992">XLOOKUP('FACUS$'!$B1992,'perfil de pagos'!$A$4:$A$46,'perfil de pagos'!$C$4:$C$46+'FACUS$'!$D1992)</f>
        <v>44939</v>
      </c>
      <c r="Q1992" s="165">
        <f t="shared" si="66"/>
        <v>0</v>
      </c>
      <c r="R1992" s="167"/>
      <c r="S1992" s="167" t="s">
        <v>9320</v>
      </c>
      <c r="T1992" s="167"/>
      <c r="U1992" s="334" t="s">
        <v>7271</v>
      </c>
      <c r="V1992" s="168">
        <f t="shared" si="3"/>
        <v>14735.24</v>
      </c>
      <c r="W1992" s="168">
        <f t="shared" si="4"/>
        <v>0</v>
      </c>
      <c r="X1992" s="168">
        <f t="shared" si="5"/>
        <v>0</v>
      </c>
      <c r="Y1992" s="168">
        <f t="shared" si="6"/>
        <v>0</v>
      </c>
      <c r="Z1992" s="168">
        <f t="shared" si="7"/>
        <v>0</v>
      </c>
      <c r="AA1992" s="168">
        <f t="shared" si="8"/>
        <v>0</v>
      </c>
      <c r="AB1992" s="168">
        <f t="shared" si="9"/>
        <v>0</v>
      </c>
    </row>
    <row r="1993" ht="15.0" customHeight="1">
      <c r="A1993" s="210" t="s">
        <v>9321</v>
      </c>
      <c r="B1993" s="189" t="s">
        <v>17</v>
      </c>
      <c r="C1993" s="189" t="s">
        <v>4585</v>
      </c>
      <c r="D1993" s="388">
        <v>44943.0</v>
      </c>
      <c r="E1993" s="210" t="s">
        <v>600</v>
      </c>
      <c r="F1993" s="211">
        <v>16092.22</v>
      </c>
      <c r="G1993" s="211">
        <f>'FACUS$'!$F1993*0.16</f>
        <v>2574.7552</v>
      </c>
      <c r="H1993" s="211">
        <f t="shared" si="68"/>
        <v>18666.9752</v>
      </c>
      <c r="I1993" s="188"/>
      <c r="J1993" s="189"/>
      <c r="K1993" s="188"/>
      <c r="L1993" s="188">
        <f>+'FACUS$'!$H1993-'FACUS$'!$I1993-'FACUS$'!$K1993</f>
        <v>18666.9752</v>
      </c>
      <c r="M1993" s="227" t="s">
        <v>17</v>
      </c>
      <c r="N1993" s="376" t="s">
        <v>127</v>
      </c>
      <c r="O1993" s="377"/>
      <c r="P1993" s="245">
        <f t="array" ref="P1993">XLOOKUP('FACUS$'!$B1993,'perfil de pagos'!$A$4:$A$46,'perfil de pagos'!$C$4:$C$46+'FACUS$'!$D1993)</f>
        <v>44953</v>
      </c>
      <c r="Q1993" s="246" t="str">
        <f t="shared" si="66"/>
        <v>N/A</v>
      </c>
      <c r="R1993" s="223" t="s">
        <v>9322</v>
      </c>
      <c r="S1993" s="223"/>
      <c r="T1993" s="223"/>
      <c r="U1993" s="378" t="s">
        <v>7271</v>
      </c>
      <c r="V1993" s="168">
        <f t="shared" si="3"/>
        <v>0</v>
      </c>
      <c r="W1993" s="168">
        <f t="shared" si="4"/>
        <v>0</v>
      </c>
      <c r="X1993" s="168">
        <f t="shared" si="5"/>
        <v>0</v>
      </c>
      <c r="Y1993" s="168">
        <f t="shared" si="6"/>
        <v>0</v>
      </c>
      <c r="Z1993" s="168">
        <f t="shared" si="7"/>
        <v>0</v>
      </c>
      <c r="AA1993" s="168">
        <f t="shared" si="8"/>
        <v>0</v>
      </c>
      <c r="AB1993" s="168">
        <f t="shared" si="9"/>
        <v>18666.9752</v>
      </c>
      <c r="AC1993" s="81"/>
      <c r="AD1993" s="81"/>
      <c r="AE1993" s="81"/>
    </row>
    <row r="1994" ht="15.0" customHeight="1">
      <c r="A1994" s="157" t="s">
        <v>9323</v>
      </c>
      <c r="B1994" s="169" t="s">
        <v>17</v>
      </c>
      <c r="C1994" s="169" t="s">
        <v>4611</v>
      </c>
      <c r="D1994" s="317">
        <v>44943.0</v>
      </c>
      <c r="E1994" s="157" t="s">
        <v>600</v>
      </c>
      <c r="F1994" s="160">
        <v>23512.05</v>
      </c>
      <c r="G1994" s="160">
        <f>'FACUS$'!$F1994*0.16</f>
        <v>3761.928</v>
      </c>
      <c r="H1994" s="160">
        <f t="shared" si="68"/>
        <v>27273.978</v>
      </c>
      <c r="I1994" s="172"/>
      <c r="J1994" s="169"/>
      <c r="K1994" s="172"/>
      <c r="L1994" s="172">
        <f>+'FACUS$'!$H1994-'FACUS$'!$I1994-'FACUS$'!$K1994</f>
        <v>27273.978</v>
      </c>
      <c r="M1994" s="162" t="s">
        <v>17</v>
      </c>
      <c r="N1994" s="337" t="s">
        <v>554</v>
      </c>
      <c r="O1994" s="338">
        <v>44959.0</v>
      </c>
      <c r="P1994" s="164">
        <f t="array" ref="P1994">XLOOKUP('FACUS$'!$B1994,'perfil de pagos'!$A$4:$A$46,'perfil de pagos'!$C$4:$C$46+'FACUS$'!$D1994)</f>
        <v>44953</v>
      </c>
      <c r="Q1994" s="165">
        <f t="shared" si="66"/>
        <v>0</v>
      </c>
      <c r="R1994" s="167"/>
      <c r="S1994" s="167">
        <v>1942.0</v>
      </c>
      <c r="T1994" s="167"/>
      <c r="U1994" s="334" t="s">
        <v>7271</v>
      </c>
      <c r="V1994" s="168">
        <f t="shared" si="3"/>
        <v>27273.978</v>
      </c>
      <c r="W1994" s="168">
        <f t="shared" si="4"/>
        <v>0</v>
      </c>
      <c r="X1994" s="168">
        <f t="shared" si="5"/>
        <v>0</v>
      </c>
      <c r="Y1994" s="168">
        <f t="shared" si="6"/>
        <v>0</v>
      </c>
      <c r="Z1994" s="168">
        <f t="shared" si="7"/>
        <v>0</v>
      </c>
      <c r="AA1994" s="168">
        <f t="shared" si="8"/>
        <v>0</v>
      </c>
      <c r="AB1994" s="168">
        <f t="shared" si="9"/>
        <v>0</v>
      </c>
    </row>
    <row r="1995" ht="15.0" customHeight="1">
      <c r="A1995" s="157" t="s">
        <v>9324</v>
      </c>
      <c r="B1995" s="169" t="s">
        <v>35</v>
      </c>
      <c r="C1995" s="169" t="s">
        <v>4611</v>
      </c>
      <c r="D1995" s="317">
        <v>44943.0</v>
      </c>
      <c r="E1995" s="157" t="s">
        <v>600</v>
      </c>
      <c r="F1995" s="160">
        <v>21730.65</v>
      </c>
      <c r="G1995" s="160">
        <f>'FACUS$'!$F1995*0.16</f>
        <v>3476.904</v>
      </c>
      <c r="H1995" s="160">
        <f t="shared" si="68"/>
        <v>25207.554</v>
      </c>
      <c r="I1995" s="172"/>
      <c r="J1995" s="169"/>
      <c r="K1995" s="172"/>
      <c r="L1995" s="172">
        <f>+'FACUS$'!$H1995-'FACUS$'!$I1995-'FACUS$'!$K1995</f>
        <v>25207.554</v>
      </c>
      <c r="M1995" s="162" t="s">
        <v>276</v>
      </c>
      <c r="N1995" s="337" t="s">
        <v>554</v>
      </c>
      <c r="O1995" s="338">
        <v>44995.0</v>
      </c>
      <c r="P1995" s="164">
        <f t="array" ref="P1995">XLOOKUP('FACUS$'!$B1995,'perfil de pagos'!$A$4:$A$46,'perfil de pagos'!$C$4:$C$46+'FACUS$'!$D1995)</f>
        <v>44953</v>
      </c>
      <c r="Q1995" s="165">
        <f t="shared" si="66"/>
        <v>0</v>
      </c>
      <c r="R1995" s="167"/>
      <c r="S1995" s="167">
        <v>2019.0</v>
      </c>
      <c r="T1995" s="167"/>
      <c r="U1995" s="334" t="s">
        <v>7271</v>
      </c>
      <c r="V1995" s="168">
        <f t="shared" si="3"/>
        <v>25207.554</v>
      </c>
      <c r="W1995" s="168">
        <f t="shared" si="4"/>
        <v>0</v>
      </c>
      <c r="X1995" s="168">
        <f t="shared" si="5"/>
        <v>0</v>
      </c>
      <c r="Y1995" s="168">
        <f t="shared" si="6"/>
        <v>0</v>
      </c>
      <c r="Z1995" s="168">
        <f t="shared" si="7"/>
        <v>0</v>
      </c>
      <c r="AA1995" s="168">
        <f t="shared" si="8"/>
        <v>0</v>
      </c>
      <c r="AB1995" s="168">
        <f t="shared" si="9"/>
        <v>0</v>
      </c>
    </row>
    <row r="1996" ht="15.0" customHeight="1">
      <c r="A1996" s="157" t="s">
        <v>9325</v>
      </c>
      <c r="B1996" s="169" t="s">
        <v>36</v>
      </c>
      <c r="C1996" s="169" t="s">
        <v>4611</v>
      </c>
      <c r="D1996" s="317">
        <v>44943.0</v>
      </c>
      <c r="E1996" s="157" t="s">
        <v>600</v>
      </c>
      <c r="F1996" s="160">
        <v>2910.75</v>
      </c>
      <c r="G1996" s="160">
        <f>'FACUS$'!$F1996*0.16</f>
        <v>465.72</v>
      </c>
      <c r="H1996" s="160">
        <f t="shared" si="68"/>
        <v>3376.47</v>
      </c>
      <c r="I1996" s="172"/>
      <c r="J1996" s="169"/>
      <c r="K1996" s="172"/>
      <c r="L1996" s="172">
        <f>+'FACUS$'!$H1996-'FACUS$'!$I1996-'FACUS$'!$K1996</f>
        <v>3376.47</v>
      </c>
      <c r="M1996" s="162" t="s">
        <v>278</v>
      </c>
      <c r="N1996" s="337" t="s">
        <v>554</v>
      </c>
      <c r="O1996" s="338">
        <v>44957.0</v>
      </c>
      <c r="P1996" s="164">
        <f t="array" ref="P1996">XLOOKUP('FACUS$'!$B1996,'perfil de pagos'!$A$4:$A$46,'perfil de pagos'!$C$4:$C$46+'FACUS$'!$D1996)</f>
        <v>44953</v>
      </c>
      <c r="Q1996" s="165">
        <f t="shared" si="66"/>
        <v>0</v>
      </c>
      <c r="R1996" s="167"/>
      <c r="S1996" s="167"/>
      <c r="T1996" s="167"/>
      <c r="U1996" s="334" t="s">
        <v>7271</v>
      </c>
      <c r="V1996" s="168">
        <f t="shared" si="3"/>
        <v>3376.47</v>
      </c>
      <c r="W1996" s="168">
        <f t="shared" si="4"/>
        <v>0</v>
      </c>
      <c r="X1996" s="168">
        <f t="shared" si="5"/>
        <v>0</v>
      </c>
      <c r="Y1996" s="168">
        <f t="shared" si="6"/>
        <v>0</v>
      </c>
      <c r="Z1996" s="168">
        <f t="shared" si="7"/>
        <v>0</v>
      </c>
      <c r="AA1996" s="168">
        <f t="shared" si="8"/>
        <v>0</v>
      </c>
      <c r="AB1996" s="168">
        <f t="shared" si="9"/>
        <v>0</v>
      </c>
    </row>
    <row r="1997" ht="15.0" customHeight="1">
      <c r="A1997" s="210" t="s">
        <v>9326</v>
      </c>
      <c r="B1997" s="189" t="s">
        <v>39</v>
      </c>
      <c r="C1997" s="189" t="s">
        <v>4585</v>
      </c>
      <c r="D1997" s="388">
        <v>44943.0</v>
      </c>
      <c r="E1997" s="210" t="s">
        <v>600</v>
      </c>
      <c r="F1997" s="211">
        <v>31925.2</v>
      </c>
      <c r="G1997" s="211">
        <f>'FACUS$'!$F1997*0.16</f>
        <v>5108.032</v>
      </c>
      <c r="H1997" s="211">
        <f t="shared" si="68"/>
        <v>37033.232</v>
      </c>
      <c r="I1997" s="188"/>
      <c r="J1997" s="189"/>
      <c r="K1997" s="188"/>
      <c r="L1997" s="188">
        <f>+'FACUS$'!$H1997-'FACUS$'!$I1997-'FACUS$'!$K1997</f>
        <v>37033.232</v>
      </c>
      <c r="M1997" s="227" t="s">
        <v>570</v>
      </c>
      <c r="N1997" s="376" t="s">
        <v>554</v>
      </c>
      <c r="O1997" s="377">
        <v>44953.0</v>
      </c>
      <c r="P1997" s="245">
        <f t="array" ref="P1997">XLOOKUP('FACUS$'!$B1997,'perfil de pagos'!$A$4:$A$46,'perfil de pagos'!$C$4:$C$46+'FACUS$'!$D1997)</f>
        <v>44953</v>
      </c>
      <c r="Q1997" s="246">
        <f t="shared" si="66"/>
        <v>0</v>
      </c>
      <c r="R1997" s="223" t="s">
        <v>268</v>
      </c>
      <c r="S1997" s="223"/>
      <c r="T1997" s="223"/>
      <c r="U1997" s="378" t="s">
        <v>7271</v>
      </c>
      <c r="V1997" s="168">
        <f t="shared" si="3"/>
        <v>37033.232</v>
      </c>
      <c r="W1997" s="168">
        <f t="shared" si="4"/>
        <v>0</v>
      </c>
      <c r="X1997" s="168">
        <f t="shared" si="5"/>
        <v>0</v>
      </c>
      <c r="Y1997" s="168">
        <f t="shared" si="6"/>
        <v>0</v>
      </c>
      <c r="Z1997" s="168">
        <f t="shared" si="7"/>
        <v>0</v>
      </c>
      <c r="AA1997" s="168">
        <f t="shared" si="8"/>
        <v>0</v>
      </c>
      <c r="AB1997" s="168">
        <f t="shared" si="9"/>
        <v>0</v>
      </c>
      <c r="AC1997" s="81"/>
      <c r="AD1997" s="81"/>
      <c r="AE1997" s="81"/>
    </row>
    <row r="1998" ht="15.0" customHeight="1">
      <c r="A1998" s="157" t="s">
        <v>9327</v>
      </c>
      <c r="B1998" s="169" t="s">
        <v>39</v>
      </c>
      <c r="C1998" s="169" t="s">
        <v>4611</v>
      </c>
      <c r="D1998" s="317">
        <v>44943.0</v>
      </c>
      <c r="E1998" s="157" t="s">
        <v>600</v>
      </c>
      <c r="F1998" s="160">
        <v>32239.73</v>
      </c>
      <c r="G1998" s="160">
        <f>'FACUS$'!$F1998*0.16</f>
        <v>5158.3568</v>
      </c>
      <c r="H1998" s="160">
        <f t="shared" si="68"/>
        <v>37398.0868</v>
      </c>
      <c r="I1998" s="172"/>
      <c r="J1998" s="169"/>
      <c r="K1998" s="172"/>
      <c r="L1998" s="172">
        <f>+'FACUS$'!$H1998-'FACUS$'!$I1998-'FACUS$'!$K1998</f>
        <v>37398.0868</v>
      </c>
      <c r="M1998" s="162" t="s">
        <v>570</v>
      </c>
      <c r="N1998" s="337" t="s">
        <v>554</v>
      </c>
      <c r="O1998" s="338">
        <v>44953.0</v>
      </c>
      <c r="P1998" s="164">
        <f t="array" ref="P1998">XLOOKUP('FACUS$'!$B1998,'perfil de pagos'!$A$4:$A$46,'perfil de pagos'!$C$4:$C$46+'FACUS$'!$D1998)</f>
        <v>44953</v>
      </c>
      <c r="Q1998" s="165">
        <f t="shared" si="66"/>
        <v>0</v>
      </c>
      <c r="R1998" s="167"/>
      <c r="S1998" s="167">
        <v>1948.0</v>
      </c>
      <c r="T1998" s="167"/>
      <c r="U1998" s="334" t="s">
        <v>7271</v>
      </c>
      <c r="V1998" s="168">
        <f t="shared" si="3"/>
        <v>37398.0868</v>
      </c>
      <c r="W1998" s="168">
        <f t="shared" si="4"/>
        <v>0</v>
      </c>
      <c r="X1998" s="168">
        <f t="shared" si="5"/>
        <v>0</v>
      </c>
      <c r="Y1998" s="168">
        <f t="shared" si="6"/>
        <v>0</v>
      </c>
      <c r="Z1998" s="168">
        <f t="shared" si="7"/>
        <v>0</v>
      </c>
      <c r="AA1998" s="168">
        <f t="shared" si="8"/>
        <v>0</v>
      </c>
      <c r="AB1998" s="168">
        <f t="shared" si="9"/>
        <v>0</v>
      </c>
    </row>
    <row r="1999" ht="15.0" customHeight="1">
      <c r="A1999" s="157" t="s">
        <v>9328</v>
      </c>
      <c r="B1999" s="169" t="s">
        <v>42</v>
      </c>
      <c r="C1999" s="169" t="s">
        <v>4611</v>
      </c>
      <c r="D1999" s="317">
        <v>44943.0</v>
      </c>
      <c r="E1999" s="157" t="s">
        <v>600</v>
      </c>
      <c r="F1999" s="160">
        <v>25184.35</v>
      </c>
      <c r="G1999" s="160">
        <f>'FACUS$'!$F1999*0.16</f>
        <v>4029.496</v>
      </c>
      <c r="H1999" s="160">
        <f t="shared" si="68"/>
        <v>29213.846</v>
      </c>
      <c r="I1999" s="172"/>
      <c r="J1999" s="169"/>
      <c r="K1999" s="172"/>
      <c r="L1999" s="172">
        <f>+'FACUS$'!$H1999-'FACUS$'!$I1999-'FACUS$'!$K1999</f>
        <v>29213.846</v>
      </c>
      <c r="M1999" s="162" t="s">
        <v>42</v>
      </c>
      <c r="N1999" s="337" t="s">
        <v>554</v>
      </c>
      <c r="O1999" s="338">
        <v>44959.0</v>
      </c>
      <c r="P1999" s="164">
        <f t="array" ref="P1999">XLOOKUP('FACUS$'!$B1999,'perfil de pagos'!$A$4:$A$46,'perfil de pagos'!$C$4:$C$46+'FACUS$'!$D1999)</f>
        <v>44953</v>
      </c>
      <c r="Q1999" s="165">
        <f t="shared" si="66"/>
        <v>0</v>
      </c>
      <c r="R1999" s="167"/>
      <c r="S1999" s="167">
        <v>1943.0</v>
      </c>
      <c r="T1999" s="167"/>
      <c r="U1999" s="334" t="s">
        <v>7271</v>
      </c>
      <c r="V1999" s="168">
        <f t="shared" si="3"/>
        <v>29213.846</v>
      </c>
      <c r="W1999" s="168">
        <f t="shared" si="4"/>
        <v>0</v>
      </c>
      <c r="X1999" s="168">
        <f t="shared" si="5"/>
        <v>0</v>
      </c>
      <c r="Y1999" s="168">
        <f t="shared" si="6"/>
        <v>0</v>
      </c>
      <c r="Z1999" s="168">
        <f t="shared" si="7"/>
        <v>0</v>
      </c>
      <c r="AA1999" s="168">
        <f t="shared" si="8"/>
        <v>0</v>
      </c>
      <c r="AB1999" s="168">
        <f t="shared" si="9"/>
        <v>0</v>
      </c>
    </row>
    <row r="2000" ht="15.0" customHeight="1">
      <c r="A2000" s="157" t="s">
        <v>9329</v>
      </c>
      <c r="B2000" s="169" t="s">
        <v>43</v>
      </c>
      <c r="C2000" s="169" t="s">
        <v>4611</v>
      </c>
      <c r="D2000" s="317">
        <v>44943.0</v>
      </c>
      <c r="E2000" s="157" t="s">
        <v>600</v>
      </c>
      <c r="F2000" s="160">
        <v>84751.25</v>
      </c>
      <c r="G2000" s="160">
        <f>'FACUS$'!$F2000*0.16</f>
        <v>13560.2</v>
      </c>
      <c r="H2000" s="160">
        <f t="shared" si="68"/>
        <v>98311.45</v>
      </c>
      <c r="I2000" s="172"/>
      <c r="J2000" s="169"/>
      <c r="K2000" s="172"/>
      <c r="L2000" s="172">
        <f>+'FACUS$'!$H2000-'FACUS$'!$I2000-'FACUS$'!$K2000</f>
        <v>98311.45</v>
      </c>
      <c r="M2000" s="162" t="s">
        <v>43</v>
      </c>
      <c r="N2000" s="337" t="s">
        <v>554</v>
      </c>
      <c r="O2000" s="338">
        <v>44957.0</v>
      </c>
      <c r="P2000" s="164">
        <f t="array" ref="P2000">XLOOKUP('FACUS$'!$B2000,'perfil de pagos'!$A$4:$A$46,'perfil de pagos'!$C$4:$C$46+'FACUS$'!$D2000)</f>
        <v>44968</v>
      </c>
      <c r="Q2000" s="165">
        <f t="shared" si="66"/>
        <v>0</v>
      </c>
      <c r="R2000" s="167"/>
      <c r="S2000" s="167">
        <v>1941.0</v>
      </c>
      <c r="T2000" s="167"/>
      <c r="U2000" s="334" t="s">
        <v>7271</v>
      </c>
      <c r="V2000" s="168">
        <f t="shared" si="3"/>
        <v>98311.45</v>
      </c>
      <c r="W2000" s="168">
        <f t="shared" si="4"/>
        <v>0</v>
      </c>
      <c r="X2000" s="168">
        <f t="shared" si="5"/>
        <v>0</v>
      </c>
      <c r="Y2000" s="168">
        <f t="shared" si="6"/>
        <v>0</v>
      </c>
      <c r="Z2000" s="168">
        <f t="shared" si="7"/>
        <v>0</v>
      </c>
      <c r="AA2000" s="168">
        <f t="shared" si="8"/>
        <v>0</v>
      </c>
      <c r="AB2000" s="168">
        <f t="shared" si="9"/>
        <v>0</v>
      </c>
    </row>
    <row r="2001" ht="15.0" customHeight="1">
      <c r="A2001" s="157" t="s">
        <v>9330</v>
      </c>
      <c r="B2001" s="169" t="s">
        <v>44</v>
      </c>
      <c r="C2001" s="169" t="s">
        <v>4611</v>
      </c>
      <c r="D2001" s="317">
        <v>44943.0</v>
      </c>
      <c r="E2001" s="157" t="s">
        <v>600</v>
      </c>
      <c r="F2001" s="160">
        <v>40717.98</v>
      </c>
      <c r="G2001" s="160">
        <f>'FACUS$'!$F2001*0.16</f>
        <v>6514.8768</v>
      </c>
      <c r="H2001" s="160">
        <f t="shared" si="68"/>
        <v>47232.8568</v>
      </c>
      <c r="I2001" s="172"/>
      <c r="J2001" s="169"/>
      <c r="K2001" s="172"/>
      <c r="L2001" s="172">
        <f>+'FACUS$'!$H2001-'FACUS$'!$I2001-'FACUS$'!$K2001</f>
        <v>47232.8568</v>
      </c>
      <c r="M2001" s="162" t="s">
        <v>361</v>
      </c>
      <c r="N2001" s="337" t="s">
        <v>554</v>
      </c>
      <c r="O2001" s="338">
        <v>44960.0</v>
      </c>
      <c r="P2001" s="164">
        <f t="array" ref="P2001">XLOOKUP('FACUS$'!$B2001,'perfil de pagos'!$A$4:$A$46,'perfil de pagos'!$C$4:$C$46+'FACUS$'!$D2001)</f>
        <v>44953</v>
      </c>
      <c r="Q2001" s="165">
        <f t="shared" si="66"/>
        <v>0</v>
      </c>
      <c r="R2001" s="167"/>
      <c r="S2001" s="167">
        <v>1944.0</v>
      </c>
      <c r="T2001" s="167"/>
      <c r="U2001" s="334" t="s">
        <v>7271</v>
      </c>
      <c r="V2001" s="168">
        <f t="shared" si="3"/>
        <v>47232.8568</v>
      </c>
      <c r="W2001" s="168">
        <f t="shared" si="4"/>
        <v>0</v>
      </c>
      <c r="X2001" s="168">
        <f t="shared" si="5"/>
        <v>0</v>
      </c>
      <c r="Y2001" s="168">
        <f t="shared" si="6"/>
        <v>0</v>
      </c>
      <c r="Z2001" s="168">
        <f t="shared" si="7"/>
        <v>0</v>
      </c>
      <c r="AA2001" s="168">
        <f t="shared" si="8"/>
        <v>0</v>
      </c>
      <c r="AB2001" s="168">
        <f t="shared" si="9"/>
        <v>0</v>
      </c>
    </row>
    <row r="2002" ht="15.0" customHeight="1">
      <c r="A2002" s="157" t="s">
        <v>9331</v>
      </c>
      <c r="B2002" s="169" t="s">
        <v>31</v>
      </c>
      <c r="C2002" s="169" t="s">
        <v>9332</v>
      </c>
      <c r="D2002" s="317">
        <v>44943.0</v>
      </c>
      <c r="E2002" s="157" t="s">
        <v>600</v>
      </c>
      <c r="F2002" s="160">
        <v>30131.23</v>
      </c>
      <c r="G2002" s="160">
        <f>'FACUS$'!$F2002*0.16</f>
        <v>4820.9968</v>
      </c>
      <c r="H2002" s="160">
        <f t="shared" si="68"/>
        <v>34952.2268</v>
      </c>
      <c r="I2002" s="172">
        <f>15264.76+5000+5000+2000+1000</f>
        <v>28264.76</v>
      </c>
      <c r="J2002" s="169"/>
      <c r="K2002" s="172"/>
      <c r="L2002" s="172">
        <f>+'FACUS$'!$H2002-'FACUS$'!$I2002-'FACUS$'!$K2002</f>
        <v>6687.4668</v>
      </c>
      <c r="M2002" s="162" t="s">
        <v>3183</v>
      </c>
      <c r="N2002" s="337" t="s">
        <v>554</v>
      </c>
      <c r="O2002" s="338">
        <v>45126.0</v>
      </c>
      <c r="P2002" s="164">
        <f t="array" ref="P2002">XLOOKUP('FACUS$'!$B2002,'perfil de pagos'!$A$4:$A$46,'perfil de pagos'!$C$4:$C$46+'FACUS$'!$D2002)</f>
        <v>44946</v>
      </c>
      <c r="Q2002" s="165">
        <f t="shared" si="66"/>
        <v>0</v>
      </c>
      <c r="R2002" s="220" t="s">
        <v>9333</v>
      </c>
      <c r="S2002" s="167" t="s">
        <v>9334</v>
      </c>
      <c r="T2002" s="167"/>
      <c r="U2002" s="334" t="s">
        <v>7271</v>
      </c>
      <c r="V2002" s="168">
        <f t="shared" si="3"/>
        <v>6687.4668</v>
      </c>
      <c r="W2002" s="168">
        <f t="shared" si="4"/>
        <v>0</v>
      </c>
      <c r="X2002" s="168">
        <f t="shared" si="5"/>
        <v>0</v>
      </c>
      <c r="Y2002" s="168">
        <f t="shared" si="6"/>
        <v>0</v>
      </c>
      <c r="Z2002" s="168">
        <f t="shared" si="7"/>
        <v>0</v>
      </c>
      <c r="AA2002" s="168">
        <f t="shared" si="8"/>
        <v>0</v>
      </c>
      <c r="AB2002" s="168">
        <f t="shared" si="9"/>
        <v>0</v>
      </c>
    </row>
    <row r="2003" ht="15.0" customHeight="1">
      <c r="A2003" s="157" t="s">
        <v>9335</v>
      </c>
      <c r="B2003" s="169" t="s">
        <v>41</v>
      </c>
      <c r="C2003" s="169" t="s">
        <v>4611</v>
      </c>
      <c r="D2003" s="317">
        <v>44943.0</v>
      </c>
      <c r="E2003" s="157" t="s">
        <v>600</v>
      </c>
      <c r="F2003" s="160">
        <v>46990.0</v>
      </c>
      <c r="G2003" s="160">
        <f>'FACUS$'!$F2003*0.16</f>
        <v>7518.4</v>
      </c>
      <c r="H2003" s="160">
        <f t="shared" si="68"/>
        <v>54508.4</v>
      </c>
      <c r="I2003" s="172"/>
      <c r="J2003" s="169"/>
      <c r="K2003" s="172"/>
      <c r="L2003" s="172">
        <f>+'FACUS$'!$H2003-'FACUS$'!$I2003-'FACUS$'!$K2003</f>
        <v>54508.4</v>
      </c>
      <c r="M2003" s="162" t="s">
        <v>875</v>
      </c>
      <c r="N2003" s="337" t="s">
        <v>554</v>
      </c>
      <c r="O2003" s="338">
        <v>44999.0</v>
      </c>
      <c r="P2003" s="164">
        <f t="array" ref="P2003">XLOOKUP('FACUS$'!$B2003,'perfil de pagos'!$A$4:$A$46,'perfil de pagos'!$C$4:$C$46+'FACUS$'!$D2003)</f>
        <v>44953</v>
      </c>
      <c r="Q2003" s="165">
        <f t="shared" si="66"/>
        <v>0</v>
      </c>
      <c r="R2003" s="167"/>
      <c r="S2003" s="167">
        <v>2041.0</v>
      </c>
      <c r="T2003" s="167"/>
      <c r="U2003" s="334" t="s">
        <v>7271</v>
      </c>
      <c r="V2003" s="168">
        <f t="shared" si="3"/>
        <v>54508.4</v>
      </c>
      <c r="W2003" s="168">
        <f t="shared" si="4"/>
        <v>0</v>
      </c>
      <c r="X2003" s="168">
        <f t="shared" si="5"/>
        <v>0</v>
      </c>
      <c r="Y2003" s="168">
        <f t="shared" si="6"/>
        <v>0</v>
      </c>
      <c r="Z2003" s="168">
        <f t="shared" si="7"/>
        <v>0</v>
      </c>
      <c r="AA2003" s="168">
        <f t="shared" si="8"/>
        <v>0</v>
      </c>
      <c r="AB2003" s="168">
        <f t="shared" si="9"/>
        <v>0</v>
      </c>
    </row>
    <row r="2004" ht="15.0" customHeight="1">
      <c r="A2004" s="157" t="s">
        <v>9336</v>
      </c>
      <c r="B2004" s="169" t="s">
        <v>146</v>
      </c>
      <c r="C2004" s="169"/>
      <c r="D2004" s="317"/>
      <c r="E2004" s="157" t="s">
        <v>600</v>
      </c>
      <c r="F2004" s="160"/>
      <c r="G2004" s="160">
        <f>'FACUS$'!$F2004*0.16</f>
        <v>0</v>
      </c>
      <c r="H2004" s="160">
        <f t="shared" si="68"/>
        <v>0</v>
      </c>
      <c r="I2004" s="172"/>
      <c r="J2004" s="169"/>
      <c r="K2004" s="172"/>
      <c r="L2004" s="172">
        <f>+'FACUS$'!$H2004-'FACUS$'!$I2004-'FACUS$'!$K2004</f>
        <v>0</v>
      </c>
      <c r="M2004" s="162"/>
      <c r="N2004" s="337" t="s">
        <v>127</v>
      </c>
      <c r="O2004" s="338"/>
      <c r="P2004" s="164" t="str">
        <f t="array" ref="P2004">XLOOKUP('FACUS$'!$B2004,'perfil de pagos'!$A$4:$A$46,'perfil de pagos'!$C$4:$C$46+'FACUS$'!$D2004)</f>
        <v>#N/A</v>
      </c>
      <c r="Q2004" s="165" t="str">
        <f t="shared" si="66"/>
        <v>N/A</v>
      </c>
      <c r="R2004" s="167" t="s">
        <v>9337</v>
      </c>
      <c r="S2004" s="167"/>
      <c r="T2004" s="167"/>
      <c r="U2004" s="334" t="s">
        <v>7271</v>
      </c>
      <c r="V2004" s="168">
        <f t="shared" si="3"/>
        <v>0</v>
      </c>
      <c r="W2004" s="168">
        <f t="shared" si="4"/>
        <v>0</v>
      </c>
      <c r="X2004" s="168">
        <f t="shared" si="5"/>
        <v>0</v>
      </c>
      <c r="Y2004" s="168">
        <f t="shared" si="6"/>
        <v>0</v>
      </c>
      <c r="Z2004" s="168">
        <f t="shared" si="7"/>
        <v>0</v>
      </c>
      <c r="AA2004" s="168">
        <f t="shared" si="8"/>
        <v>0</v>
      </c>
      <c r="AB2004" s="168">
        <f t="shared" si="9"/>
        <v>0</v>
      </c>
    </row>
    <row r="2005" ht="15.0" customHeight="1">
      <c r="A2005" s="157" t="s">
        <v>9338</v>
      </c>
      <c r="B2005" s="169" t="s">
        <v>146</v>
      </c>
      <c r="C2005" s="169"/>
      <c r="D2005" s="317"/>
      <c r="E2005" s="157" t="s">
        <v>600</v>
      </c>
      <c r="F2005" s="160"/>
      <c r="G2005" s="160">
        <f>'FACUS$'!$F2005*0.16</f>
        <v>0</v>
      </c>
      <c r="H2005" s="160">
        <f t="shared" si="68"/>
        <v>0</v>
      </c>
      <c r="I2005" s="172"/>
      <c r="J2005" s="169"/>
      <c r="K2005" s="172"/>
      <c r="L2005" s="172">
        <f>+'FACUS$'!$H2005-'FACUS$'!$I2005-'FACUS$'!$K2005</f>
        <v>0</v>
      </c>
      <c r="M2005" s="162"/>
      <c r="N2005" s="337" t="s">
        <v>127</v>
      </c>
      <c r="O2005" s="338"/>
      <c r="P2005" s="164" t="str">
        <f t="array" ref="P2005">XLOOKUP('FACUS$'!$B2005,'perfil de pagos'!$A$4:$A$46,'perfil de pagos'!$C$4:$C$46+'FACUS$'!$D2005)</f>
        <v>#N/A</v>
      </c>
      <c r="Q2005" s="165" t="str">
        <f t="shared" si="66"/>
        <v>N/A</v>
      </c>
      <c r="R2005" s="167" t="s">
        <v>9337</v>
      </c>
      <c r="S2005" s="167"/>
      <c r="T2005" s="167"/>
      <c r="U2005" s="334" t="s">
        <v>7271</v>
      </c>
      <c r="V2005" s="168">
        <f t="shared" si="3"/>
        <v>0</v>
      </c>
      <c r="W2005" s="168">
        <f t="shared" si="4"/>
        <v>0</v>
      </c>
      <c r="X2005" s="168">
        <f t="shared" si="5"/>
        <v>0</v>
      </c>
      <c r="Y2005" s="168">
        <f t="shared" si="6"/>
        <v>0</v>
      </c>
      <c r="Z2005" s="168">
        <f t="shared" si="7"/>
        <v>0</v>
      </c>
      <c r="AA2005" s="168">
        <f t="shared" si="8"/>
        <v>0</v>
      </c>
      <c r="AB2005" s="168">
        <f t="shared" si="9"/>
        <v>0</v>
      </c>
    </row>
    <row r="2006" ht="15.0" customHeight="1">
      <c r="A2006" s="210" t="s">
        <v>9339</v>
      </c>
      <c r="B2006" s="189" t="s">
        <v>15</v>
      </c>
      <c r="C2006" s="189" t="s">
        <v>4611</v>
      </c>
      <c r="D2006" s="388">
        <v>44950.0</v>
      </c>
      <c r="E2006" s="210" t="s">
        <v>600</v>
      </c>
      <c r="F2006" s="211">
        <v>108631.69</v>
      </c>
      <c r="G2006" s="211">
        <f>'FACUS$'!$F2006*0.16</f>
        <v>17381.0704</v>
      </c>
      <c r="H2006" s="211">
        <f t="shared" si="68"/>
        <v>126012.7604</v>
      </c>
      <c r="I2006" s="188"/>
      <c r="J2006" s="189"/>
      <c r="K2006" s="188"/>
      <c r="L2006" s="188">
        <f>+'FACUS$'!$H2006-'FACUS$'!$I2006-'FACUS$'!$K2006</f>
        <v>126012.7604</v>
      </c>
      <c r="M2006" s="210" t="s">
        <v>443</v>
      </c>
      <c r="N2006" s="376" t="s">
        <v>127</v>
      </c>
      <c r="O2006" s="377"/>
      <c r="P2006" s="245">
        <f t="array" ref="P2006">XLOOKUP('FACUS$'!$B2006,'perfil de pagos'!$A$4:$A$46,'perfil de pagos'!$C$4:$C$46+'FACUS$'!$D2006)</f>
        <v>44960</v>
      </c>
      <c r="Q2006" s="246" t="str">
        <f t="shared" si="66"/>
        <v>N/A</v>
      </c>
      <c r="R2006" s="223" t="s">
        <v>9340</v>
      </c>
      <c r="S2006" s="223"/>
      <c r="T2006" s="223"/>
      <c r="U2006" s="378" t="s">
        <v>7271</v>
      </c>
      <c r="V2006" s="168">
        <f t="shared" si="3"/>
        <v>0</v>
      </c>
      <c r="W2006" s="168">
        <f t="shared" si="4"/>
        <v>0</v>
      </c>
      <c r="X2006" s="168">
        <f t="shared" si="5"/>
        <v>0</v>
      </c>
      <c r="Y2006" s="168">
        <f t="shared" si="6"/>
        <v>0</v>
      </c>
      <c r="Z2006" s="168">
        <f t="shared" si="7"/>
        <v>0</v>
      </c>
      <c r="AA2006" s="168">
        <f t="shared" si="8"/>
        <v>0</v>
      </c>
      <c r="AB2006" s="168">
        <f t="shared" si="9"/>
        <v>126012.7604</v>
      </c>
      <c r="AC2006" s="81"/>
      <c r="AD2006" s="81"/>
      <c r="AE2006" s="81"/>
    </row>
    <row r="2007" ht="15.0" customHeight="1">
      <c r="A2007" s="157" t="s">
        <v>9341</v>
      </c>
      <c r="B2007" s="169" t="s">
        <v>32</v>
      </c>
      <c r="C2007" s="169" t="s">
        <v>4611</v>
      </c>
      <c r="D2007" s="317">
        <v>44950.0</v>
      </c>
      <c r="E2007" s="157" t="s">
        <v>600</v>
      </c>
      <c r="F2007" s="160">
        <f>18528.5</f>
        <v>18528.5</v>
      </c>
      <c r="G2007" s="160">
        <f>'FACUS$'!$F2007*0.16</f>
        <v>2964.56</v>
      </c>
      <c r="H2007" s="160">
        <f t="shared" si="68"/>
        <v>21493.06</v>
      </c>
      <c r="I2007" s="172">
        <v>8767.1</v>
      </c>
      <c r="J2007" s="169">
        <v>297.0</v>
      </c>
      <c r="K2007" s="172">
        <f>'NCUS$'!H57</f>
        <v>8947.9384</v>
      </c>
      <c r="L2007" s="172">
        <f>+'FACUS$'!$H2007-'FACUS$'!$I2007-'FACUS$'!$K2007</f>
        <v>3778.0216</v>
      </c>
      <c r="M2007" s="162" t="s">
        <v>395</v>
      </c>
      <c r="N2007" s="337" t="s">
        <v>554</v>
      </c>
      <c r="O2007" s="338">
        <v>45128.0</v>
      </c>
      <c r="P2007" s="164">
        <f t="array" ref="P2007">XLOOKUP('FACUS$'!$B2007,'perfil de pagos'!$A$4:$A$46,'perfil de pagos'!$C$4:$C$46+'FACUS$'!$D2007)</f>
        <v>44960</v>
      </c>
      <c r="Q2007" s="165">
        <f t="shared" si="66"/>
        <v>0</v>
      </c>
      <c r="R2007" s="220" t="s">
        <v>9342</v>
      </c>
      <c r="S2007" s="167">
        <v>2315.0</v>
      </c>
      <c r="T2007" s="167"/>
      <c r="U2007" s="334" t="s">
        <v>7271</v>
      </c>
      <c r="V2007" s="168">
        <f t="shared" si="3"/>
        <v>3778.0216</v>
      </c>
      <c r="W2007" s="168">
        <f t="shared" si="4"/>
        <v>0</v>
      </c>
      <c r="X2007" s="168">
        <f t="shared" si="5"/>
        <v>0</v>
      </c>
      <c r="Y2007" s="168">
        <f t="shared" si="6"/>
        <v>0</v>
      </c>
      <c r="Z2007" s="168">
        <f t="shared" si="7"/>
        <v>0</v>
      </c>
      <c r="AA2007" s="168">
        <f t="shared" si="8"/>
        <v>0</v>
      </c>
      <c r="AB2007" s="168">
        <f t="shared" si="9"/>
        <v>0</v>
      </c>
    </row>
    <row r="2008" ht="15.0" customHeight="1">
      <c r="A2008" s="157" t="s">
        <v>9343</v>
      </c>
      <c r="B2008" s="169" t="s">
        <v>15</v>
      </c>
      <c r="C2008" s="169" t="s">
        <v>4611</v>
      </c>
      <c r="D2008" s="317">
        <v>44950.0</v>
      </c>
      <c r="E2008" s="157" t="s">
        <v>600</v>
      </c>
      <c r="F2008" s="160">
        <v>108631.69</v>
      </c>
      <c r="G2008" s="160">
        <f>'FACUS$'!$F2008*0.16</f>
        <v>17381.0704</v>
      </c>
      <c r="H2008" s="160">
        <f t="shared" si="68"/>
        <v>126012.7604</v>
      </c>
      <c r="I2008" s="172"/>
      <c r="J2008" s="169"/>
      <c r="K2008" s="172"/>
      <c r="L2008" s="172">
        <f>+'FACUS$'!$H2008-'FACUS$'!$I2008-'FACUS$'!$K2008</f>
        <v>126012.7604</v>
      </c>
      <c r="M2008" s="162" t="s">
        <v>443</v>
      </c>
      <c r="N2008" s="337" t="s">
        <v>554</v>
      </c>
      <c r="O2008" s="338">
        <v>44971.0</v>
      </c>
      <c r="P2008" s="164">
        <f t="array" ref="P2008">XLOOKUP('FACUS$'!$B2008,'perfil de pagos'!$A$4:$A$46,'perfil de pagos'!$C$4:$C$46+'FACUS$'!$D2008)</f>
        <v>44960</v>
      </c>
      <c r="Q2008" s="165">
        <f t="shared" si="66"/>
        <v>0</v>
      </c>
      <c r="R2008" s="167"/>
      <c r="S2008" s="167">
        <v>1971.0</v>
      </c>
      <c r="T2008" s="167"/>
      <c r="U2008" s="334" t="s">
        <v>7271</v>
      </c>
      <c r="V2008" s="168">
        <f t="shared" si="3"/>
        <v>126012.7604</v>
      </c>
      <c r="W2008" s="168">
        <f t="shared" si="4"/>
        <v>0</v>
      </c>
      <c r="X2008" s="168">
        <f t="shared" si="5"/>
        <v>0</v>
      </c>
      <c r="Y2008" s="168">
        <f t="shared" si="6"/>
        <v>0</v>
      </c>
      <c r="Z2008" s="168">
        <f t="shared" si="7"/>
        <v>0</v>
      </c>
      <c r="AA2008" s="168">
        <f t="shared" si="8"/>
        <v>0</v>
      </c>
      <c r="AB2008" s="168">
        <f t="shared" si="9"/>
        <v>0</v>
      </c>
    </row>
    <row r="2009" ht="15.0" customHeight="1">
      <c r="A2009" s="157" t="s">
        <v>9344</v>
      </c>
      <c r="B2009" s="169" t="s">
        <v>31</v>
      </c>
      <c r="C2009" s="169" t="s">
        <v>9345</v>
      </c>
      <c r="D2009" s="317">
        <v>44951.0</v>
      </c>
      <c r="E2009" s="157" t="s">
        <v>600</v>
      </c>
      <c r="F2009" s="160">
        <v>26073.5</v>
      </c>
      <c r="G2009" s="160">
        <f>'FACUS$'!$F2009*0.16</f>
        <v>4171.76</v>
      </c>
      <c r="H2009" s="160">
        <f t="shared" si="68"/>
        <v>30245.26</v>
      </c>
      <c r="I2009" s="172"/>
      <c r="J2009" s="169"/>
      <c r="K2009" s="172"/>
      <c r="L2009" s="172">
        <f>+'FACUS$'!$H2009-'FACUS$'!$I2009-'FACUS$'!$K2009</f>
        <v>30245.26</v>
      </c>
      <c r="M2009" s="162" t="s">
        <v>3183</v>
      </c>
      <c r="N2009" s="337" t="s">
        <v>554</v>
      </c>
      <c r="O2009" s="338">
        <v>45126.0</v>
      </c>
      <c r="P2009" s="164">
        <f t="array" ref="P2009">XLOOKUP('FACUS$'!$B2009,'perfil de pagos'!$A$4:$A$46,'perfil de pagos'!$C$4:$C$46+'FACUS$'!$D2009)</f>
        <v>44954</v>
      </c>
      <c r="Q2009" s="165">
        <f t="shared" si="66"/>
        <v>0</v>
      </c>
      <c r="R2009" s="220" t="s">
        <v>9346</v>
      </c>
      <c r="S2009" s="167">
        <v>2302.0</v>
      </c>
      <c r="T2009" s="167"/>
      <c r="U2009" s="334" t="s">
        <v>7271</v>
      </c>
      <c r="V2009" s="168">
        <f t="shared" si="3"/>
        <v>30245.26</v>
      </c>
      <c r="W2009" s="168">
        <f t="shared" si="4"/>
        <v>0</v>
      </c>
      <c r="X2009" s="168">
        <f t="shared" si="5"/>
        <v>0</v>
      </c>
      <c r="Y2009" s="168">
        <f t="shared" si="6"/>
        <v>0</v>
      </c>
      <c r="Z2009" s="168">
        <f t="shared" si="7"/>
        <v>0</v>
      </c>
      <c r="AA2009" s="168">
        <f t="shared" si="8"/>
        <v>0</v>
      </c>
      <c r="AB2009" s="168">
        <f t="shared" si="9"/>
        <v>0</v>
      </c>
    </row>
    <row r="2010" ht="15.0" customHeight="1">
      <c r="A2010" s="157" t="s">
        <v>9347</v>
      </c>
      <c r="B2010" s="169" t="s">
        <v>18</v>
      </c>
      <c r="C2010" s="169" t="s">
        <v>9348</v>
      </c>
      <c r="D2010" s="317">
        <v>44956.0</v>
      </c>
      <c r="E2010" s="157" t="s">
        <v>600</v>
      </c>
      <c r="F2010" s="160">
        <v>4896.06</v>
      </c>
      <c r="G2010" s="160">
        <f>'FACUS$'!$F2010*0.16</f>
        <v>783.3696</v>
      </c>
      <c r="H2010" s="160">
        <f t="shared" si="68"/>
        <v>5679.4296</v>
      </c>
      <c r="I2010" s="172"/>
      <c r="J2010" s="169"/>
      <c r="K2010" s="172"/>
      <c r="L2010" s="172">
        <f>+'FACUS$'!$H2010-'FACUS$'!$I2010-'FACUS$'!$K2010</f>
        <v>5679.4296</v>
      </c>
      <c r="M2010" s="162" t="s">
        <v>586</v>
      </c>
      <c r="N2010" s="337" t="s">
        <v>554</v>
      </c>
      <c r="O2010" s="338">
        <v>45072.0</v>
      </c>
      <c r="P2010" s="164">
        <f t="array" ref="P2010">XLOOKUP('FACUS$'!$B2010,'perfil de pagos'!$A$4:$A$46,'perfil de pagos'!$C$4:$C$46+'FACUS$'!$D2010)</f>
        <v>44966</v>
      </c>
      <c r="Q2010" s="165">
        <f t="shared" si="66"/>
        <v>0</v>
      </c>
      <c r="R2010" s="167"/>
      <c r="S2010" s="167">
        <v>2188.0</v>
      </c>
      <c r="T2010" s="167"/>
      <c r="U2010" s="334" t="s">
        <v>7271</v>
      </c>
      <c r="V2010" s="168">
        <f t="shared" si="3"/>
        <v>5679.4296</v>
      </c>
      <c r="W2010" s="168">
        <f t="shared" si="4"/>
        <v>0</v>
      </c>
      <c r="X2010" s="168">
        <f t="shared" si="5"/>
        <v>0</v>
      </c>
      <c r="Y2010" s="168">
        <f t="shared" si="6"/>
        <v>0</v>
      </c>
      <c r="Z2010" s="168">
        <f t="shared" si="7"/>
        <v>0</v>
      </c>
      <c r="AA2010" s="168">
        <f t="shared" si="8"/>
        <v>0</v>
      </c>
      <c r="AB2010" s="168">
        <f t="shared" si="9"/>
        <v>0</v>
      </c>
    </row>
    <row r="2011" ht="15.0" customHeight="1">
      <c r="A2011" s="157" t="s">
        <v>9349</v>
      </c>
      <c r="B2011" s="169" t="s">
        <v>20</v>
      </c>
      <c r="C2011" s="169" t="s">
        <v>9348</v>
      </c>
      <c r="D2011" s="317">
        <v>44956.0</v>
      </c>
      <c r="E2011" s="157" t="s">
        <v>600</v>
      </c>
      <c r="F2011" s="160">
        <v>10062.86</v>
      </c>
      <c r="G2011" s="160">
        <f>'FACUS$'!$F2011*0.16</f>
        <v>1610.0576</v>
      </c>
      <c r="H2011" s="160">
        <f t="shared" si="68"/>
        <v>11672.9176</v>
      </c>
      <c r="I2011" s="172"/>
      <c r="J2011" s="169"/>
      <c r="K2011" s="172"/>
      <c r="L2011" s="172">
        <f>+'FACUS$'!$H2011-'FACUS$'!$I2011-'FACUS$'!$K2011</f>
        <v>11672.9176</v>
      </c>
      <c r="M2011" s="162" t="s">
        <v>732</v>
      </c>
      <c r="N2011" s="337" t="s">
        <v>554</v>
      </c>
      <c r="O2011" s="338">
        <v>45072.0</v>
      </c>
      <c r="P2011" s="164">
        <f t="array" ref="P2011">XLOOKUP('FACUS$'!$B2011,'perfil de pagos'!$A$4:$A$46,'perfil de pagos'!$C$4:$C$46+'FACUS$'!$D2011)</f>
        <v>44966</v>
      </c>
      <c r="Q2011" s="165">
        <f t="shared" si="66"/>
        <v>0</v>
      </c>
      <c r="R2011" s="168"/>
      <c r="S2011" s="167">
        <v>2188.0</v>
      </c>
      <c r="T2011" s="167"/>
      <c r="U2011" s="334" t="s">
        <v>7271</v>
      </c>
      <c r="V2011" s="168">
        <f t="shared" si="3"/>
        <v>11672.9176</v>
      </c>
      <c r="W2011" s="168">
        <f t="shared" si="4"/>
        <v>0</v>
      </c>
      <c r="X2011" s="168">
        <f t="shared" si="5"/>
        <v>0</v>
      </c>
      <c r="Y2011" s="168">
        <f t="shared" si="6"/>
        <v>0</v>
      </c>
      <c r="Z2011" s="168">
        <f t="shared" si="7"/>
        <v>0</v>
      </c>
      <c r="AA2011" s="168">
        <f t="shared" si="8"/>
        <v>0</v>
      </c>
      <c r="AB2011" s="168">
        <f t="shared" si="9"/>
        <v>0</v>
      </c>
    </row>
    <row r="2012" ht="15.0" customHeight="1">
      <c r="A2012" s="157" t="s">
        <v>9350</v>
      </c>
      <c r="B2012" s="169" t="s">
        <v>22</v>
      </c>
      <c r="C2012" s="169" t="s">
        <v>9348</v>
      </c>
      <c r="D2012" s="317">
        <v>44956.0</v>
      </c>
      <c r="E2012" s="157" t="s">
        <v>600</v>
      </c>
      <c r="F2012" s="160">
        <v>8570.82</v>
      </c>
      <c r="G2012" s="160">
        <f>'FACUS$'!$F2012*0.16</f>
        <v>1371.3312</v>
      </c>
      <c r="H2012" s="160">
        <f t="shared" si="68"/>
        <v>9942.1512</v>
      </c>
      <c r="I2012" s="172">
        <v>1783.1289755090856</v>
      </c>
      <c r="J2012" s="169"/>
      <c r="K2012" s="172"/>
      <c r="L2012" s="172">
        <f>+'FACUS$'!$H2012-'FACUS$'!$I2012-'FACUS$'!$K2012</f>
        <v>8159.022224</v>
      </c>
      <c r="M2012" s="162" t="s">
        <v>220</v>
      </c>
      <c r="N2012" s="337" t="s">
        <v>554</v>
      </c>
      <c r="O2012" s="338">
        <v>45001.0</v>
      </c>
      <c r="P2012" s="164">
        <f t="array" ref="P2012">XLOOKUP('FACUS$'!$B2012,'perfil de pagos'!$A$4:$A$46,'perfil de pagos'!$C$4:$C$46+'FACUS$'!$D2012)</f>
        <v>44966</v>
      </c>
      <c r="Q2012" s="165">
        <f t="shared" si="66"/>
        <v>0</v>
      </c>
      <c r="R2012" s="220" t="s">
        <v>9351</v>
      </c>
      <c r="S2012" s="167" t="s">
        <v>9352</v>
      </c>
      <c r="T2012" s="167"/>
      <c r="U2012" s="334" t="s">
        <v>7271</v>
      </c>
      <c r="V2012" s="168">
        <f t="shared" si="3"/>
        <v>8159.022224</v>
      </c>
      <c r="W2012" s="168">
        <f t="shared" si="4"/>
        <v>0</v>
      </c>
      <c r="X2012" s="168">
        <f t="shared" si="5"/>
        <v>0</v>
      </c>
      <c r="Y2012" s="168">
        <f t="shared" si="6"/>
        <v>0</v>
      </c>
      <c r="Z2012" s="168">
        <f t="shared" si="7"/>
        <v>0</v>
      </c>
      <c r="AA2012" s="168">
        <f t="shared" si="8"/>
        <v>0</v>
      </c>
      <c r="AB2012" s="168">
        <f t="shared" si="9"/>
        <v>0</v>
      </c>
    </row>
    <row r="2013" ht="15.0" customHeight="1">
      <c r="A2013" s="157" t="s">
        <v>9353</v>
      </c>
      <c r="B2013" s="169" t="s">
        <v>25</v>
      </c>
      <c r="C2013" s="169" t="s">
        <v>9348</v>
      </c>
      <c r="D2013" s="317">
        <v>44956.0</v>
      </c>
      <c r="E2013" s="157" t="s">
        <v>600</v>
      </c>
      <c r="F2013" s="160">
        <v>4444.36</v>
      </c>
      <c r="G2013" s="160">
        <f>'FACUS$'!$F2013*0.16</f>
        <v>711.0976</v>
      </c>
      <c r="H2013" s="160">
        <f t="shared" si="68"/>
        <v>5155.4576</v>
      </c>
      <c r="I2013" s="172"/>
      <c r="J2013" s="169"/>
      <c r="K2013" s="172"/>
      <c r="L2013" s="172">
        <f>+'FACUS$'!$H2013-'FACUS$'!$I2013-'FACUS$'!$K2013</f>
        <v>5155.4576</v>
      </c>
      <c r="M2013" s="162" t="s">
        <v>4388</v>
      </c>
      <c r="N2013" s="337" t="s">
        <v>554</v>
      </c>
      <c r="O2013" s="338">
        <v>45050.0</v>
      </c>
      <c r="P2013" s="164">
        <f t="array" ref="P2013">XLOOKUP('FACUS$'!$B2013,'perfil de pagos'!$A$4:$A$46,'perfil de pagos'!$C$4:$C$46+'FACUS$'!$D2013)</f>
        <v>44966</v>
      </c>
      <c r="Q2013" s="165">
        <f t="shared" si="66"/>
        <v>0</v>
      </c>
      <c r="R2013" s="167"/>
      <c r="S2013" s="167">
        <v>2147.0</v>
      </c>
      <c r="T2013" s="167"/>
      <c r="U2013" s="334" t="s">
        <v>7271</v>
      </c>
      <c r="V2013" s="168">
        <f t="shared" si="3"/>
        <v>5155.4576</v>
      </c>
      <c r="W2013" s="168">
        <f t="shared" si="4"/>
        <v>0</v>
      </c>
      <c r="X2013" s="168">
        <f t="shared" si="5"/>
        <v>0</v>
      </c>
      <c r="Y2013" s="168">
        <f t="shared" si="6"/>
        <v>0</v>
      </c>
      <c r="Z2013" s="168">
        <f t="shared" si="7"/>
        <v>0</v>
      </c>
      <c r="AA2013" s="168">
        <f t="shared" si="8"/>
        <v>0</v>
      </c>
      <c r="AB2013" s="168">
        <f t="shared" si="9"/>
        <v>0</v>
      </c>
    </row>
    <row r="2014" ht="15.0" customHeight="1">
      <c r="A2014" s="157" t="s">
        <v>9354</v>
      </c>
      <c r="B2014" s="169" t="s">
        <v>37</v>
      </c>
      <c r="C2014" s="169" t="s">
        <v>9348</v>
      </c>
      <c r="D2014" s="317">
        <v>44956.0</v>
      </c>
      <c r="E2014" s="157" t="s">
        <v>600</v>
      </c>
      <c r="F2014" s="160">
        <v>88739.63</v>
      </c>
      <c r="G2014" s="160">
        <f>'FACUS$'!$F2014*0.16</f>
        <v>14198.3408</v>
      </c>
      <c r="H2014" s="160">
        <f t="shared" si="68"/>
        <v>102937.9708</v>
      </c>
      <c r="I2014" s="172"/>
      <c r="J2014" s="169"/>
      <c r="K2014" s="172"/>
      <c r="L2014" s="172">
        <f>+'FACUS$'!$H2014-'FACUS$'!$I2014-'FACUS$'!$K2014</f>
        <v>102937.9708</v>
      </c>
      <c r="M2014" s="162" t="s">
        <v>116</v>
      </c>
      <c r="N2014" s="337" t="s">
        <v>554</v>
      </c>
      <c r="O2014" s="338">
        <v>44970.0</v>
      </c>
      <c r="P2014" s="164">
        <f t="array" ref="P2014">XLOOKUP('FACUS$'!$B2014,'perfil de pagos'!$A$4:$A$46,'perfil de pagos'!$C$4:$C$46+'FACUS$'!$D2014)</f>
        <v>44966</v>
      </c>
      <c r="Q2014" s="165">
        <f t="shared" si="66"/>
        <v>0</v>
      </c>
      <c r="R2014" s="167" t="s">
        <v>9355</v>
      </c>
      <c r="S2014" s="167">
        <v>1956.0</v>
      </c>
      <c r="T2014" s="167"/>
      <c r="U2014" s="334" t="s">
        <v>7271</v>
      </c>
      <c r="V2014" s="168">
        <f t="shared" si="3"/>
        <v>102937.9708</v>
      </c>
      <c r="W2014" s="168">
        <f t="shared" si="4"/>
        <v>0</v>
      </c>
      <c r="X2014" s="168">
        <f t="shared" si="5"/>
        <v>0</v>
      </c>
      <c r="Y2014" s="168">
        <f t="shared" si="6"/>
        <v>0</v>
      </c>
      <c r="Z2014" s="168">
        <f t="shared" si="7"/>
        <v>0</v>
      </c>
      <c r="AA2014" s="168">
        <f t="shared" si="8"/>
        <v>0</v>
      </c>
      <c r="AB2014" s="168">
        <f t="shared" si="9"/>
        <v>0</v>
      </c>
    </row>
    <row r="2015" ht="15.0" customHeight="1">
      <c r="A2015" s="210" t="s">
        <v>9356</v>
      </c>
      <c r="B2015" s="189" t="s">
        <v>45</v>
      </c>
      <c r="C2015" s="189" t="s">
        <v>9357</v>
      </c>
      <c r="D2015" s="388">
        <v>44957.0</v>
      </c>
      <c r="E2015" s="210" t="s">
        <v>600</v>
      </c>
      <c r="F2015" s="211">
        <v>20136.21</v>
      </c>
      <c r="G2015" s="211">
        <f>'FACUS$'!$F2015*0.16</f>
        <v>3221.7936</v>
      </c>
      <c r="H2015" s="211">
        <f t="shared" si="68"/>
        <v>23358.0036</v>
      </c>
      <c r="I2015" s="188"/>
      <c r="J2015" s="189"/>
      <c r="K2015" s="188"/>
      <c r="L2015" s="188">
        <f>+'FACUS$'!$H2015-'FACUS$'!$I2015-'FACUS$'!$K2015</f>
        <v>23358.0036</v>
      </c>
      <c r="M2015" s="227" t="s">
        <v>3183</v>
      </c>
      <c r="N2015" s="376" t="s">
        <v>127</v>
      </c>
      <c r="O2015" s="344">
        <v>44960.0</v>
      </c>
      <c r="P2015" s="245">
        <f t="array" ref="P2015">XLOOKUP('FACUS$'!$B2015,'perfil de pagos'!$A$4:$A$46,'perfil de pagos'!$C$4:$C$46+'FACUS$'!$D2015)</f>
        <v>44960</v>
      </c>
      <c r="Q2015" s="246" t="str">
        <f t="shared" si="66"/>
        <v>N/A</v>
      </c>
      <c r="R2015" s="223" t="s">
        <v>9358</v>
      </c>
      <c r="S2015" s="223"/>
      <c r="T2015" s="223"/>
      <c r="U2015" s="378" t="s">
        <v>7271</v>
      </c>
      <c r="V2015" s="168">
        <f t="shared" si="3"/>
        <v>0</v>
      </c>
      <c r="W2015" s="168">
        <f t="shared" si="4"/>
        <v>0</v>
      </c>
      <c r="X2015" s="168">
        <f t="shared" si="5"/>
        <v>0</v>
      </c>
      <c r="Y2015" s="168">
        <f t="shared" si="6"/>
        <v>0</v>
      </c>
      <c r="Z2015" s="168">
        <f t="shared" si="7"/>
        <v>0</v>
      </c>
      <c r="AA2015" s="168">
        <f t="shared" si="8"/>
        <v>0</v>
      </c>
      <c r="AB2015" s="168">
        <f t="shared" si="9"/>
        <v>23358.0036</v>
      </c>
      <c r="AC2015" s="81"/>
      <c r="AD2015" s="81"/>
      <c r="AE2015" s="81"/>
    </row>
    <row r="2016" ht="15.0" customHeight="1">
      <c r="A2016" s="157" t="s">
        <v>9359</v>
      </c>
      <c r="B2016" s="169" t="s">
        <v>38</v>
      </c>
      <c r="C2016" s="169" t="s">
        <v>4611</v>
      </c>
      <c r="D2016" s="317">
        <v>44958.0</v>
      </c>
      <c r="E2016" s="157" t="s">
        <v>600</v>
      </c>
      <c r="F2016" s="160">
        <v>9172.99</v>
      </c>
      <c r="G2016" s="160">
        <f>'FACUS$'!$F2016*0.16</f>
        <v>1467.6784</v>
      </c>
      <c r="H2016" s="160">
        <f t="shared" si="68"/>
        <v>10640.6684</v>
      </c>
      <c r="I2016" s="172"/>
      <c r="J2016" s="169">
        <f t="array" ref="J2016">XLOOKUP('FACUS$'!$K2016,'NCUS$'!H:H,'NCUS$'!A:A)</f>
        <v>96</v>
      </c>
      <c r="K2016" s="172"/>
      <c r="L2016" s="172">
        <f>+'FACUS$'!$H2016-'FACUS$'!$I2016-'FACUS$'!$K2016</f>
        <v>10640.6684</v>
      </c>
      <c r="M2016" s="162" t="s">
        <v>145</v>
      </c>
      <c r="N2016" s="337" t="s">
        <v>554</v>
      </c>
      <c r="O2016" s="338">
        <v>45008.0</v>
      </c>
      <c r="P2016" s="164">
        <f t="array" ref="P2016">XLOOKUP('FACUS$'!$B2016,'perfil de pagos'!$A$4:$A$46,'perfil de pagos'!$C$4:$C$46+'FACUS$'!$D2016)</f>
        <v>44988</v>
      </c>
      <c r="Q2016" s="165">
        <f t="shared" si="66"/>
        <v>0</v>
      </c>
      <c r="R2016" s="220" t="s">
        <v>9360</v>
      </c>
      <c r="S2016" s="167"/>
      <c r="T2016" s="167"/>
      <c r="U2016" s="334" t="s">
        <v>7271</v>
      </c>
      <c r="V2016" s="168">
        <f t="shared" si="3"/>
        <v>10640.6684</v>
      </c>
      <c r="W2016" s="168">
        <f t="shared" si="4"/>
        <v>0</v>
      </c>
      <c r="X2016" s="168">
        <f t="shared" si="5"/>
        <v>0</v>
      </c>
      <c r="Y2016" s="168">
        <f t="shared" si="6"/>
        <v>0</v>
      </c>
      <c r="Z2016" s="168">
        <f t="shared" si="7"/>
        <v>0</v>
      </c>
      <c r="AA2016" s="168">
        <f t="shared" si="8"/>
        <v>0</v>
      </c>
      <c r="AB2016" s="168">
        <f t="shared" si="9"/>
        <v>0</v>
      </c>
    </row>
    <row r="2017" ht="15.0" customHeight="1">
      <c r="A2017" s="157" t="s">
        <v>9361</v>
      </c>
      <c r="B2017" s="169" t="s">
        <v>38</v>
      </c>
      <c r="C2017" s="169" t="s">
        <v>4611</v>
      </c>
      <c r="D2017" s="317">
        <v>44958.0</v>
      </c>
      <c r="E2017" s="157" t="s">
        <v>600</v>
      </c>
      <c r="F2017" s="160">
        <f>1866.35-'NCUS$'!F59</f>
        <v>1815.91</v>
      </c>
      <c r="G2017" s="160">
        <f>'FACUS$'!$F2017*0.16</f>
        <v>290.5456</v>
      </c>
      <c r="H2017" s="160">
        <f t="shared" si="68"/>
        <v>2106.4556</v>
      </c>
      <c r="I2017" s="172"/>
      <c r="J2017" s="169">
        <v>299.0</v>
      </c>
      <c r="K2017" s="172">
        <f>'NCUS$'!H59</f>
        <v>58.5104</v>
      </c>
      <c r="L2017" s="172">
        <f>+'FACUS$'!$H2017-'FACUS$'!$I2017-'FACUS$'!$K2017</f>
        <v>2047.9452</v>
      </c>
      <c r="M2017" s="162" t="s">
        <v>642</v>
      </c>
      <c r="N2017" s="337" t="s">
        <v>554</v>
      </c>
      <c r="O2017" s="338">
        <v>45008.0</v>
      </c>
      <c r="P2017" s="164">
        <f t="array" ref="P2017">XLOOKUP('FACUS$'!$B2017,'perfil de pagos'!$A$4:$A$46,'perfil de pagos'!$C$4:$C$46+'FACUS$'!$D2017)</f>
        <v>44988</v>
      </c>
      <c r="Q2017" s="165">
        <f t="shared" si="66"/>
        <v>0</v>
      </c>
      <c r="R2017" s="220" t="s">
        <v>9362</v>
      </c>
      <c r="S2017" s="167">
        <v>2302.0</v>
      </c>
      <c r="T2017" s="167"/>
      <c r="U2017" s="334" t="s">
        <v>7271</v>
      </c>
      <c r="V2017" s="168">
        <f t="shared" si="3"/>
        <v>2047.9452</v>
      </c>
      <c r="W2017" s="168">
        <f t="shared" si="4"/>
        <v>0</v>
      </c>
      <c r="X2017" s="168">
        <f t="shared" si="5"/>
        <v>0</v>
      </c>
      <c r="Y2017" s="168">
        <f t="shared" si="6"/>
        <v>0</v>
      </c>
      <c r="Z2017" s="168">
        <f t="shared" si="7"/>
        <v>0</v>
      </c>
      <c r="AA2017" s="168">
        <f t="shared" si="8"/>
        <v>0</v>
      </c>
      <c r="AB2017" s="168">
        <f t="shared" si="9"/>
        <v>0</v>
      </c>
    </row>
    <row r="2018" ht="15.0" customHeight="1">
      <c r="A2018" s="157" t="s">
        <v>9363</v>
      </c>
      <c r="B2018" s="169" t="s">
        <v>32</v>
      </c>
      <c r="C2018" s="169" t="s">
        <v>4665</v>
      </c>
      <c r="D2018" s="317">
        <v>44960.0</v>
      </c>
      <c r="E2018" s="157" t="s">
        <v>600</v>
      </c>
      <c r="F2018" s="160">
        <v>15271.59</v>
      </c>
      <c r="G2018" s="160">
        <f>'FACUS$'!$F2018*0.16</f>
        <v>2443.4544</v>
      </c>
      <c r="H2018" s="160">
        <f t="shared" si="68"/>
        <v>17715.0444</v>
      </c>
      <c r="I2018" s="172"/>
      <c r="J2018" s="169"/>
      <c r="K2018" s="172"/>
      <c r="L2018" s="172">
        <f>+'FACUS$'!$H2018-'FACUS$'!$I2018-'FACUS$'!$K2018</f>
        <v>17715.0444</v>
      </c>
      <c r="M2018" s="162" t="s">
        <v>395</v>
      </c>
      <c r="N2018" s="337" t="s">
        <v>554</v>
      </c>
      <c r="O2018" s="338">
        <v>45128.0</v>
      </c>
      <c r="P2018" s="164">
        <f t="array" ref="P2018">XLOOKUP('FACUS$'!$B2018,'perfil de pagos'!$A$4:$A$46,'perfil de pagos'!$C$4:$C$46+'FACUS$'!$D2018)</f>
        <v>44970</v>
      </c>
      <c r="Q2018" s="165">
        <f t="shared" si="66"/>
        <v>0</v>
      </c>
      <c r="R2018" s="167"/>
      <c r="S2018" s="167">
        <v>2315.0</v>
      </c>
      <c r="T2018" s="167"/>
      <c r="U2018" s="334" t="s">
        <v>7271</v>
      </c>
      <c r="V2018" s="168">
        <f t="shared" si="3"/>
        <v>17715.0444</v>
      </c>
      <c r="W2018" s="168">
        <f t="shared" si="4"/>
        <v>0</v>
      </c>
      <c r="X2018" s="168">
        <f t="shared" si="5"/>
        <v>0</v>
      </c>
      <c r="Y2018" s="168">
        <f t="shared" si="6"/>
        <v>0</v>
      </c>
      <c r="Z2018" s="168">
        <f t="shared" si="7"/>
        <v>0</v>
      </c>
      <c r="AA2018" s="168">
        <f t="shared" si="8"/>
        <v>0</v>
      </c>
      <c r="AB2018" s="168">
        <f t="shared" si="9"/>
        <v>0</v>
      </c>
    </row>
    <row r="2019" ht="15.0" customHeight="1">
      <c r="A2019" s="157" t="s">
        <v>9364</v>
      </c>
      <c r="B2019" s="169" t="s">
        <v>15</v>
      </c>
      <c r="C2019" s="169" t="s">
        <v>4665</v>
      </c>
      <c r="D2019" s="317">
        <v>44960.0</v>
      </c>
      <c r="E2019" s="157" t="s">
        <v>600</v>
      </c>
      <c r="F2019" s="160">
        <v>128276.46</v>
      </c>
      <c r="G2019" s="160">
        <f>'FACUS$'!$F2019*0.16</f>
        <v>20524.2336</v>
      </c>
      <c r="H2019" s="160">
        <f t="shared" si="68"/>
        <v>148800.6936</v>
      </c>
      <c r="I2019" s="172"/>
      <c r="J2019" s="169"/>
      <c r="K2019" s="172"/>
      <c r="L2019" s="172">
        <f>+'FACUS$'!$H2019-'FACUS$'!$I2019-'FACUS$'!$K2019</f>
        <v>148800.6936</v>
      </c>
      <c r="M2019" s="162" t="s">
        <v>443</v>
      </c>
      <c r="N2019" s="337" t="s">
        <v>554</v>
      </c>
      <c r="O2019" s="338">
        <v>44987.0</v>
      </c>
      <c r="P2019" s="164">
        <f t="array" ref="P2019">XLOOKUP('FACUS$'!$B2019,'perfil de pagos'!$A$4:$A$46,'perfil de pagos'!$C$4:$C$46+'FACUS$'!$D2019)</f>
        <v>44970</v>
      </c>
      <c r="Q2019" s="165">
        <f t="shared" si="66"/>
        <v>0</v>
      </c>
      <c r="R2019" s="167"/>
      <c r="S2019" s="167">
        <v>2007.0</v>
      </c>
      <c r="T2019" s="167"/>
      <c r="U2019" s="334" t="s">
        <v>7271</v>
      </c>
      <c r="V2019" s="168">
        <f t="shared" si="3"/>
        <v>148800.6936</v>
      </c>
      <c r="W2019" s="168">
        <f t="shared" si="4"/>
        <v>0</v>
      </c>
      <c r="X2019" s="168">
        <f t="shared" si="5"/>
        <v>0</v>
      </c>
      <c r="Y2019" s="168">
        <f t="shared" si="6"/>
        <v>0</v>
      </c>
      <c r="Z2019" s="168">
        <f t="shared" si="7"/>
        <v>0</v>
      </c>
      <c r="AA2019" s="168">
        <f t="shared" si="8"/>
        <v>0</v>
      </c>
      <c r="AB2019" s="168">
        <f t="shared" si="9"/>
        <v>0</v>
      </c>
    </row>
    <row r="2020" ht="15.0" customHeight="1">
      <c r="A2020" s="157" t="s">
        <v>9365</v>
      </c>
      <c r="B2020" s="169" t="s">
        <v>35</v>
      </c>
      <c r="C2020" s="169" t="s">
        <v>4665</v>
      </c>
      <c r="D2020" s="317">
        <v>44960.0</v>
      </c>
      <c r="E2020" s="157" t="s">
        <v>600</v>
      </c>
      <c r="F2020" s="160">
        <v>23469.83</v>
      </c>
      <c r="G2020" s="160">
        <f>'FACUS$'!$F2020*0.16</f>
        <v>3755.1728</v>
      </c>
      <c r="H2020" s="160">
        <f t="shared" si="68"/>
        <v>27225.0028</v>
      </c>
      <c r="I2020" s="172"/>
      <c r="J2020" s="169"/>
      <c r="K2020" s="172"/>
      <c r="L2020" s="172">
        <f>+'FACUS$'!$H2020-'FACUS$'!$I2020-'FACUS$'!$K2020</f>
        <v>27225.0028</v>
      </c>
      <c r="M2020" s="162" t="s">
        <v>276</v>
      </c>
      <c r="N2020" s="337" t="s">
        <v>554</v>
      </c>
      <c r="O2020" s="338">
        <v>45014.0</v>
      </c>
      <c r="P2020" s="164">
        <f t="array" ref="P2020">XLOOKUP('FACUS$'!$B2020,'perfil de pagos'!$A$4:$A$46,'perfil de pagos'!$C$4:$C$46+'FACUS$'!$D2020)</f>
        <v>44970</v>
      </c>
      <c r="Q2020" s="165">
        <f t="shared" si="66"/>
        <v>0</v>
      </c>
      <c r="R2020" s="167"/>
      <c r="S2020" s="167">
        <v>2057.0</v>
      </c>
      <c r="T2020" s="167"/>
      <c r="U2020" s="334" t="s">
        <v>7271</v>
      </c>
      <c r="V2020" s="168">
        <f t="shared" si="3"/>
        <v>27225.0028</v>
      </c>
      <c r="W2020" s="168">
        <f t="shared" si="4"/>
        <v>0</v>
      </c>
      <c r="X2020" s="168">
        <f t="shared" si="5"/>
        <v>0</v>
      </c>
      <c r="Y2020" s="168">
        <f t="shared" si="6"/>
        <v>0</v>
      </c>
      <c r="Z2020" s="168">
        <f t="shared" si="7"/>
        <v>0</v>
      </c>
      <c r="AA2020" s="168">
        <f t="shared" si="8"/>
        <v>0</v>
      </c>
      <c r="AB2020" s="168">
        <f t="shared" si="9"/>
        <v>0</v>
      </c>
    </row>
    <row r="2021" ht="15.0" customHeight="1">
      <c r="A2021" s="157" t="s">
        <v>9366</v>
      </c>
      <c r="B2021" s="169" t="s">
        <v>36</v>
      </c>
      <c r="C2021" s="169" t="s">
        <v>4665</v>
      </c>
      <c r="D2021" s="317">
        <v>44960.0</v>
      </c>
      <c r="E2021" s="157" t="s">
        <v>600</v>
      </c>
      <c r="F2021" s="160">
        <v>3233.67</v>
      </c>
      <c r="G2021" s="160">
        <f>'FACUS$'!$F2021*0.16</f>
        <v>517.3872</v>
      </c>
      <c r="H2021" s="160">
        <f t="shared" si="68"/>
        <v>3751.0572</v>
      </c>
      <c r="I2021" s="172"/>
      <c r="J2021" s="169"/>
      <c r="K2021" s="172"/>
      <c r="L2021" s="172">
        <f>+'FACUS$'!$H2021-'FACUS$'!$I2021-'FACUS$'!$K2021</f>
        <v>3751.0572</v>
      </c>
      <c r="M2021" s="162" t="s">
        <v>278</v>
      </c>
      <c r="N2021" s="337" t="s">
        <v>554</v>
      </c>
      <c r="O2021" s="338">
        <v>44977.0</v>
      </c>
      <c r="P2021" s="164">
        <f t="array" ref="P2021">XLOOKUP('FACUS$'!$B2021,'perfil de pagos'!$A$4:$A$46,'perfil de pagos'!$C$4:$C$46+'FACUS$'!$D2021)</f>
        <v>44970</v>
      </c>
      <c r="Q2021" s="165">
        <f t="shared" si="66"/>
        <v>0</v>
      </c>
      <c r="R2021" s="169" t="s">
        <v>9367</v>
      </c>
      <c r="S2021" s="167">
        <v>1980.0</v>
      </c>
      <c r="T2021" s="167"/>
      <c r="U2021" s="334" t="s">
        <v>7271</v>
      </c>
      <c r="V2021" s="168">
        <f t="shared" si="3"/>
        <v>3751.0572</v>
      </c>
      <c r="W2021" s="168">
        <f t="shared" si="4"/>
        <v>0</v>
      </c>
      <c r="X2021" s="168">
        <f t="shared" si="5"/>
        <v>0</v>
      </c>
      <c r="Y2021" s="168">
        <f t="shared" si="6"/>
        <v>0</v>
      </c>
      <c r="Z2021" s="168">
        <f t="shared" si="7"/>
        <v>0</v>
      </c>
      <c r="AA2021" s="168">
        <f t="shared" si="8"/>
        <v>0</v>
      </c>
      <c r="AB2021" s="168">
        <f t="shared" si="9"/>
        <v>0</v>
      </c>
    </row>
    <row r="2022" ht="15.0" customHeight="1">
      <c r="A2022" s="157" t="s">
        <v>9368</v>
      </c>
      <c r="B2022" s="169" t="s">
        <v>39</v>
      </c>
      <c r="C2022" s="169" t="s">
        <v>4638</v>
      </c>
      <c r="D2022" s="317">
        <v>44960.0</v>
      </c>
      <c r="E2022" s="157" t="s">
        <v>600</v>
      </c>
      <c r="F2022" s="160">
        <v>45308.82</v>
      </c>
      <c r="G2022" s="160">
        <f>'FACUS$'!$F2022*0.16</f>
        <v>7249.4112</v>
      </c>
      <c r="H2022" s="160">
        <f t="shared" si="68"/>
        <v>52558.2312</v>
      </c>
      <c r="I2022" s="172"/>
      <c r="J2022" s="169"/>
      <c r="K2022" s="172"/>
      <c r="L2022" s="172">
        <f>+'FACUS$'!$H2022-'FACUS$'!$I2022-'FACUS$'!$K2022</f>
        <v>52558.2312</v>
      </c>
      <c r="M2022" s="162" t="s">
        <v>570</v>
      </c>
      <c r="N2022" s="337" t="s">
        <v>554</v>
      </c>
      <c r="O2022" s="338">
        <v>44967.0</v>
      </c>
      <c r="P2022" s="164">
        <f t="array" ref="P2022">XLOOKUP('FACUS$'!$B2022,'perfil de pagos'!$A$4:$A$46,'perfil de pagos'!$C$4:$C$46+'FACUS$'!$D2022)</f>
        <v>44970</v>
      </c>
      <c r="Q2022" s="165">
        <f t="shared" si="66"/>
        <v>0</v>
      </c>
      <c r="R2022" s="167"/>
      <c r="S2022" s="167">
        <v>1958.0</v>
      </c>
      <c r="T2022" s="167"/>
      <c r="U2022" s="334" t="s">
        <v>7271</v>
      </c>
      <c r="V2022" s="168">
        <f t="shared" si="3"/>
        <v>52558.2312</v>
      </c>
      <c r="W2022" s="168">
        <f t="shared" si="4"/>
        <v>0</v>
      </c>
      <c r="X2022" s="168">
        <f t="shared" si="5"/>
        <v>0</v>
      </c>
      <c r="Y2022" s="168">
        <f t="shared" si="6"/>
        <v>0</v>
      </c>
      <c r="Z2022" s="168">
        <f t="shared" si="7"/>
        <v>0</v>
      </c>
      <c r="AA2022" s="168">
        <f t="shared" si="8"/>
        <v>0</v>
      </c>
      <c r="AB2022" s="168">
        <f t="shared" si="9"/>
        <v>0</v>
      </c>
    </row>
    <row r="2023" ht="15.0" customHeight="1">
      <c r="A2023" s="157" t="s">
        <v>9369</v>
      </c>
      <c r="B2023" s="169" t="s">
        <v>39</v>
      </c>
      <c r="C2023" s="169" t="s">
        <v>4665</v>
      </c>
      <c r="D2023" s="317">
        <v>44960.0</v>
      </c>
      <c r="E2023" s="157" t="s">
        <v>600</v>
      </c>
      <c r="F2023" s="160">
        <v>44457.36</v>
      </c>
      <c r="G2023" s="160">
        <f>'FACUS$'!$F2023*0.16</f>
        <v>7113.1776</v>
      </c>
      <c r="H2023" s="160">
        <f t="shared" si="68"/>
        <v>51570.5376</v>
      </c>
      <c r="I2023" s="172"/>
      <c r="J2023" s="169"/>
      <c r="K2023" s="172"/>
      <c r="L2023" s="172">
        <f>+'FACUS$'!$H2023-'FACUS$'!$I2023-'FACUS$'!$K2023</f>
        <v>51570.5376</v>
      </c>
      <c r="M2023" s="162" t="s">
        <v>570</v>
      </c>
      <c r="N2023" s="337" t="s">
        <v>554</v>
      </c>
      <c r="O2023" s="338">
        <v>44967.0</v>
      </c>
      <c r="P2023" s="164">
        <f t="array" ref="P2023">XLOOKUP('FACUS$'!$B2023,'perfil de pagos'!$A$4:$A$46,'perfil de pagos'!$C$4:$C$46+'FACUS$'!$D2023)</f>
        <v>44970</v>
      </c>
      <c r="Q2023" s="165">
        <f t="shared" si="66"/>
        <v>0</v>
      </c>
      <c r="R2023" s="167"/>
      <c r="S2023" s="167">
        <v>1958.0</v>
      </c>
      <c r="T2023" s="167"/>
      <c r="U2023" s="334" t="s">
        <v>7271</v>
      </c>
      <c r="V2023" s="168">
        <f t="shared" si="3"/>
        <v>51570.5376</v>
      </c>
      <c r="W2023" s="168">
        <f t="shared" si="4"/>
        <v>0</v>
      </c>
      <c r="X2023" s="168">
        <f t="shared" si="5"/>
        <v>0</v>
      </c>
      <c r="Y2023" s="168">
        <f t="shared" si="6"/>
        <v>0</v>
      </c>
      <c r="Z2023" s="168">
        <f t="shared" si="7"/>
        <v>0</v>
      </c>
      <c r="AA2023" s="168">
        <f t="shared" si="8"/>
        <v>0</v>
      </c>
      <c r="AB2023" s="168">
        <f t="shared" si="9"/>
        <v>0</v>
      </c>
    </row>
    <row r="2024" ht="15.0" customHeight="1">
      <c r="A2024" s="157" t="s">
        <v>9370</v>
      </c>
      <c r="B2024" s="169" t="s">
        <v>42</v>
      </c>
      <c r="C2024" s="169" t="s">
        <v>4665</v>
      </c>
      <c r="D2024" s="317">
        <v>44960.0</v>
      </c>
      <c r="E2024" s="157" t="s">
        <v>600</v>
      </c>
      <c r="F2024" s="160">
        <v>28209.0</v>
      </c>
      <c r="G2024" s="160">
        <f>'FACUS$'!$F2024*0.16</f>
        <v>4513.44</v>
      </c>
      <c r="H2024" s="160">
        <f t="shared" si="68"/>
        <v>32722.44</v>
      </c>
      <c r="I2024" s="172"/>
      <c r="J2024" s="169"/>
      <c r="K2024" s="172"/>
      <c r="L2024" s="172">
        <f>+'FACUS$'!$H2024-'FACUS$'!$I2024-'FACUS$'!$K2024</f>
        <v>32722.44</v>
      </c>
      <c r="M2024" s="162" t="s">
        <v>42</v>
      </c>
      <c r="N2024" s="337" t="s">
        <v>554</v>
      </c>
      <c r="O2024" s="338">
        <v>44994.0</v>
      </c>
      <c r="P2024" s="164">
        <f t="array" ref="P2024">XLOOKUP('FACUS$'!$B2024,'perfil de pagos'!$A$4:$A$46,'perfil de pagos'!$C$4:$C$46+'FACUS$'!$D2024)</f>
        <v>44970</v>
      </c>
      <c r="Q2024" s="165">
        <f t="shared" si="66"/>
        <v>0</v>
      </c>
      <c r="R2024" s="167"/>
      <c r="S2024" s="167">
        <v>2010.0</v>
      </c>
      <c r="T2024" s="167"/>
      <c r="U2024" s="334" t="s">
        <v>7271</v>
      </c>
      <c r="V2024" s="168">
        <f t="shared" si="3"/>
        <v>32722.44</v>
      </c>
      <c r="W2024" s="168">
        <f t="shared" si="4"/>
        <v>0</v>
      </c>
      <c r="X2024" s="168">
        <f t="shared" si="5"/>
        <v>0</v>
      </c>
      <c r="Y2024" s="168">
        <f t="shared" si="6"/>
        <v>0</v>
      </c>
      <c r="Z2024" s="168">
        <f t="shared" si="7"/>
        <v>0</v>
      </c>
      <c r="AA2024" s="168">
        <f t="shared" si="8"/>
        <v>0</v>
      </c>
      <c r="AB2024" s="168">
        <f t="shared" si="9"/>
        <v>0</v>
      </c>
    </row>
    <row r="2025" ht="15.0" customHeight="1">
      <c r="A2025" s="157" t="s">
        <v>9371</v>
      </c>
      <c r="B2025" s="169" t="s">
        <v>44</v>
      </c>
      <c r="C2025" s="169" t="s">
        <v>4665</v>
      </c>
      <c r="D2025" s="317">
        <v>44960.0</v>
      </c>
      <c r="E2025" s="157" t="s">
        <v>600</v>
      </c>
      <c r="F2025" s="160">
        <v>48744.24</v>
      </c>
      <c r="G2025" s="160">
        <f>'FACUS$'!$F2025*0.16</f>
        <v>7799.0784</v>
      </c>
      <c r="H2025" s="160">
        <f t="shared" si="68"/>
        <v>56543.3184</v>
      </c>
      <c r="I2025" s="172"/>
      <c r="J2025" s="169"/>
      <c r="K2025" s="172"/>
      <c r="L2025" s="172">
        <f>+'FACUS$'!$H2025-'FACUS$'!$I2025-'FACUS$'!$K2025</f>
        <v>56543.3184</v>
      </c>
      <c r="M2025" s="162" t="s">
        <v>361</v>
      </c>
      <c r="N2025" s="337" t="s">
        <v>554</v>
      </c>
      <c r="O2025" s="338">
        <v>44974.0</v>
      </c>
      <c r="P2025" s="164">
        <f t="array" ref="P2025">XLOOKUP('FACUS$'!$B2025,'perfil de pagos'!$A$4:$A$46,'perfil de pagos'!$C$4:$C$46+'FACUS$'!$D2025)</f>
        <v>44970</v>
      </c>
      <c r="Q2025" s="165">
        <f t="shared" si="66"/>
        <v>0</v>
      </c>
      <c r="R2025" s="167"/>
      <c r="S2025" s="167">
        <v>1984.0</v>
      </c>
      <c r="T2025" s="167"/>
      <c r="U2025" s="334" t="s">
        <v>7271</v>
      </c>
      <c r="V2025" s="168">
        <f t="shared" si="3"/>
        <v>56543.3184</v>
      </c>
      <c r="W2025" s="168">
        <f t="shared" si="4"/>
        <v>0</v>
      </c>
      <c r="X2025" s="168">
        <f t="shared" si="5"/>
        <v>0</v>
      </c>
      <c r="Y2025" s="168">
        <f t="shared" si="6"/>
        <v>0</v>
      </c>
      <c r="Z2025" s="168">
        <f t="shared" si="7"/>
        <v>0</v>
      </c>
      <c r="AA2025" s="168">
        <f t="shared" si="8"/>
        <v>0</v>
      </c>
      <c r="AB2025" s="168">
        <f t="shared" si="9"/>
        <v>0</v>
      </c>
    </row>
    <row r="2026" ht="15.0" customHeight="1">
      <c r="A2026" s="157" t="s">
        <v>9372</v>
      </c>
      <c r="B2026" s="169" t="s">
        <v>31</v>
      </c>
      <c r="C2026" s="169" t="s">
        <v>9373</v>
      </c>
      <c r="D2026" s="317">
        <v>44960.0</v>
      </c>
      <c r="E2026" s="157" t="s">
        <v>600</v>
      </c>
      <c r="F2026" s="160">
        <v>7658.8</v>
      </c>
      <c r="G2026" s="160">
        <f>'FACUS$'!$F2026*0.16</f>
        <v>1225.408</v>
      </c>
      <c r="H2026" s="160">
        <f t="shared" si="68"/>
        <v>8884.208</v>
      </c>
      <c r="I2026" s="172"/>
      <c r="J2026" s="169"/>
      <c r="K2026" s="172"/>
      <c r="L2026" s="172">
        <f>+'FACUS$'!$H2026-'FACUS$'!$I2026-'FACUS$'!$K2026</f>
        <v>8884.208</v>
      </c>
      <c r="M2026" s="162" t="s">
        <v>3183</v>
      </c>
      <c r="N2026" s="337" t="s">
        <v>554</v>
      </c>
      <c r="O2026" s="338">
        <v>45126.0</v>
      </c>
      <c r="P2026" s="164">
        <f t="array" ref="P2026">XLOOKUP('FACUS$'!$B2026,'perfil de pagos'!$A$4:$A$46,'perfil de pagos'!$C$4:$C$46+'FACUS$'!$D2026)</f>
        <v>44963</v>
      </c>
      <c r="Q2026" s="165">
        <f t="shared" si="66"/>
        <v>0</v>
      </c>
      <c r="R2026" s="220" t="s">
        <v>9346</v>
      </c>
      <c r="S2026" s="167">
        <v>2302.0</v>
      </c>
      <c r="T2026" s="167"/>
      <c r="U2026" s="334" t="s">
        <v>7271</v>
      </c>
      <c r="V2026" s="168">
        <f t="shared" si="3"/>
        <v>8884.208</v>
      </c>
      <c r="W2026" s="168">
        <f t="shared" si="4"/>
        <v>0</v>
      </c>
      <c r="X2026" s="168">
        <f t="shared" si="5"/>
        <v>0</v>
      </c>
      <c r="Y2026" s="168">
        <f t="shared" si="6"/>
        <v>0</v>
      </c>
      <c r="Z2026" s="168">
        <f t="shared" si="7"/>
        <v>0</v>
      </c>
      <c r="AA2026" s="168">
        <f t="shared" si="8"/>
        <v>0</v>
      </c>
      <c r="AB2026" s="168">
        <f t="shared" si="9"/>
        <v>0</v>
      </c>
    </row>
    <row r="2027" ht="15.0" customHeight="1">
      <c r="A2027" s="157" t="s">
        <v>9374</v>
      </c>
      <c r="B2027" s="169" t="s">
        <v>39</v>
      </c>
      <c r="C2027" s="169" t="s">
        <v>9375</v>
      </c>
      <c r="D2027" s="317">
        <v>44960.0</v>
      </c>
      <c r="E2027" s="157" t="s">
        <v>600</v>
      </c>
      <c r="F2027" s="160">
        <v>31925.19</v>
      </c>
      <c r="G2027" s="160">
        <f>'FACUS$'!$F2027*0.16</f>
        <v>5108.0304</v>
      </c>
      <c r="H2027" s="160">
        <f t="shared" si="68"/>
        <v>37033.2204</v>
      </c>
      <c r="I2027" s="172"/>
      <c r="J2027" s="169"/>
      <c r="K2027" s="172"/>
      <c r="L2027" s="172">
        <f>+'FACUS$'!$H2027-'FACUS$'!$I2027-'FACUS$'!$K2027</f>
        <v>37033.2204</v>
      </c>
      <c r="M2027" s="162" t="s">
        <v>570</v>
      </c>
      <c r="N2027" s="337" t="s">
        <v>554</v>
      </c>
      <c r="O2027" s="338"/>
      <c r="P2027" s="164">
        <f t="array" ref="P2027">XLOOKUP('FACUS$'!$B2027,'perfil de pagos'!$A$4:$A$46,'perfil de pagos'!$C$4:$C$46+'FACUS$'!$D2027)</f>
        <v>44970</v>
      </c>
      <c r="Q2027" s="165">
        <f t="shared" si="66"/>
        <v>0</v>
      </c>
      <c r="R2027" s="167"/>
      <c r="S2027" s="167">
        <v>1948.0</v>
      </c>
      <c r="T2027" s="167"/>
      <c r="U2027" s="334" t="s">
        <v>7271</v>
      </c>
      <c r="V2027" s="168">
        <f t="shared" si="3"/>
        <v>37033.2204</v>
      </c>
      <c r="W2027" s="168">
        <f t="shared" si="4"/>
        <v>0</v>
      </c>
      <c r="X2027" s="168">
        <f t="shared" si="5"/>
        <v>0</v>
      </c>
      <c r="Y2027" s="168">
        <f t="shared" si="6"/>
        <v>0</v>
      </c>
      <c r="Z2027" s="168">
        <f t="shared" si="7"/>
        <v>0</v>
      </c>
      <c r="AA2027" s="168">
        <f t="shared" si="8"/>
        <v>0</v>
      </c>
      <c r="AB2027" s="168">
        <f t="shared" si="9"/>
        <v>0</v>
      </c>
    </row>
    <row r="2028" ht="15.0" customHeight="1">
      <c r="A2028" s="157" t="s">
        <v>9376</v>
      </c>
      <c r="B2028" s="169" t="s">
        <v>17</v>
      </c>
      <c r="C2028" s="169" t="s">
        <v>4585</v>
      </c>
      <c r="D2028" s="317">
        <v>44960.0</v>
      </c>
      <c r="E2028" s="157" t="s">
        <v>600</v>
      </c>
      <c r="F2028" s="160">
        <v>16104.4</v>
      </c>
      <c r="G2028" s="160">
        <f>'FACUS$'!$F2028*0.16</f>
        <v>2576.704</v>
      </c>
      <c r="H2028" s="160">
        <f t="shared" si="68"/>
        <v>18681.104</v>
      </c>
      <c r="I2028" s="172"/>
      <c r="J2028" s="169"/>
      <c r="K2028" s="172"/>
      <c r="L2028" s="172">
        <f>+'FACUS$'!$H2028-'FACUS$'!$I2028-'FACUS$'!$K2028</f>
        <v>18681.104</v>
      </c>
      <c r="M2028" s="162" t="s">
        <v>17</v>
      </c>
      <c r="N2028" s="337" t="s">
        <v>127</v>
      </c>
      <c r="O2028" s="338"/>
      <c r="P2028" s="164">
        <f t="array" ref="P2028">XLOOKUP('FACUS$'!$B2028,'perfil de pagos'!$A$4:$A$46,'perfil de pagos'!$C$4:$C$46+'FACUS$'!$D2028)</f>
        <v>44970</v>
      </c>
      <c r="Q2028" s="165" t="str">
        <f t="shared" si="66"/>
        <v>N/A</v>
      </c>
      <c r="R2028" s="220" t="s">
        <v>9377</v>
      </c>
      <c r="S2028" s="167"/>
      <c r="T2028" s="167"/>
      <c r="U2028" s="334" t="s">
        <v>7271</v>
      </c>
      <c r="V2028" s="168">
        <f t="shared" si="3"/>
        <v>0</v>
      </c>
      <c r="W2028" s="168">
        <f t="shared" si="4"/>
        <v>0</v>
      </c>
      <c r="X2028" s="168">
        <f t="shared" si="5"/>
        <v>0</v>
      </c>
      <c r="Y2028" s="168">
        <f t="shared" si="6"/>
        <v>0</v>
      </c>
      <c r="Z2028" s="168">
        <f t="shared" si="7"/>
        <v>0</v>
      </c>
      <c r="AA2028" s="168">
        <f t="shared" si="8"/>
        <v>0</v>
      </c>
      <c r="AB2028" s="168">
        <f t="shared" si="9"/>
        <v>18681.104</v>
      </c>
    </row>
    <row r="2029" ht="15.0" customHeight="1">
      <c r="A2029" s="157" t="s">
        <v>9378</v>
      </c>
      <c r="B2029" s="169" t="s">
        <v>31</v>
      </c>
      <c r="C2029" s="169" t="s">
        <v>4632</v>
      </c>
      <c r="D2029" s="317">
        <v>44960.0</v>
      </c>
      <c r="E2029" s="157" t="s">
        <v>600</v>
      </c>
      <c r="F2029" s="160">
        <v>20136.21</v>
      </c>
      <c r="G2029" s="160">
        <f>'FACUS$'!$F2029*0.16</f>
        <v>3221.7936</v>
      </c>
      <c r="H2029" s="160">
        <f t="shared" si="68"/>
        <v>23358.0036</v>
      </c>
      <c r="I2029" s="172"/>
      <c r="J2029" s="169"/>
      <c r="K2029" s="172"/>
      <c r="L2029" s="172">
        <f>+'FACUS$'!$H2029-'FACUS$'!$I2029-'FACUS$'!$K2029</f>
        <v>23358.0036</v>
      </c>
      <c r="M2029" s="162" t="s">
        <v>3183</v>
      </c>
      <c r="N2029" s="337" t="s">
        <v>127</v>
      </c>
      <c r="O2029" s="338"/>
      <c r="P2029" s="164">
        <f t="array" ref="P2029">XLOOKUP('FACUS$'!$B2029,'perfil de pagos'!$A$4:$A$46,'perfil de pagos'!$C$4:$C$46+'FACUS$'!$D2029)</f>
        <v>44963</v>
      </c>
      <c r="Q2029" s="165" t="str">
        <f t="shared" si="66"/>
        <v>N/A</v>
      </c>
      <c r="R2029" s="220" t="s">
        <v>9379</v>
      </c>
      <c r="S2029" s="167"/>
      <c r="T2029" s="167"/>
      <c r="U2029" s="334" t="s">
        <v>7271</v>
      </c>
      <c r="V2029" s="168">
        <f t="shared" si="3"/>
        <v>0</v>
      </c>
      <c r="W2029" s="168">
        <f t="shared" si="4"/>
        <v>0</v>
      </c>
      <c r="X2029" s="168">
        <f t="shared" si="5"/>
        <v>0</v>
      </c>
      <c r="Y2029" s="168">
        <f t="shared" si="6"/>
        <v>0</v>
      </c>
      <c r="Z2029" s="168">
        <f t="shared" si="7"/>
        <v>0</v>
      </c>
      <c r="AA2029" s="168">
        <f t="shared" si="8"/>
        <v>0</v>
      </c>
      <c r="AB2029" s="168">
        <f t="shared" si="9"/>
        <v>23358.0036</v>
      </c>
    </row>
    <row r="2030" ht="15.0" customHeight="1">
      <c r="A2030" s="157" t="s">
        <v>9380</v>
      </c>
      <c r="B2030" s="169" t="s">
        <v>17</v>
      </c>
      <c r="C2030" s="169" t="s">
        <v>4638</v>
      </c>
      <c r="D2030" s="317">
        <v>44960.0</v>
      </c>
      <c r="E2030" s="157" t="s">
        <v>600</v>
      </c>
      <c r="F2030" s="160">
        <v>23272.52</v>
      </c>
      <c r="G2030" s="160">
        <f>'FACUS$'!$F2030*0.16</f>
        <v>3723.6032</v>
      </c>
      <c r="H2030" s="160">
        <f t="shared" si="68"/>
        <v>26996.1232</v>
      </c>
      <c r="I2030" s="172"/>
      <c r="J2030" s="169"/>
      <c r="K2030" s="172"/>
      <c r="L2030" s="172">
        <f>+'FACUS$'!$H2030-'FACUS$'!$I2030-'FACUS$'!$K2030</f>
        <v>26996.1232</v>
      </c>
      <c r="M2030" s="162" t="s">
        <v>17</v>
      </c>
      <c r="N2030" s="337" t="s">
        <v>554</v>
      </c>
      <c r="O2030" s="338">
        <v>44973.0</v>
      </c>
      <c r="P2030" s="164">
        <f t="array" ref="P2030">XLOOKUP('FACUS$'!$B2030,'perfil de pagos'!$A$4:$A$46,'perfil de pagos'!$C$4:$C$46+'FACUS$'!$D2030)</f>
        <v>44970</v>
      </c>
      <c r="Q2030" s="165">
        <f t="shared" si="66"/>
        <v>0</v>
      </c>
      <c r="R2030" s="167"/>
      <c r="S2030" s="167">
        <v>1973.0</v>
      </c>
      <c r="T2030" s="167"/>
      <c r="U2030" s="334" t="s">
        <v>7271</v>
      </c>
      <c r="V2030" s="168">
        <f t="shared" si="3"/>
        <v>26996.1232</v>
      </c>
      <c r="W2030" s="168">
        <f t="shared" si="4"/>
        <v>0</v>
      </c>
      <c r="X2030" s="168">
        <f t="shared" si="5"/>
        <v>0</v>
      </c>
      <c r="Y2030" s="168">
        <f t="shared" si="6"/>
        <v>0</v>
      </c>
      <c r="Z2030" s="168">
        <f t="shared" si="7"/>
        <v>0</v>
      </c>
      <c r="AA2030" s="168">
        <f t="shared" si="8"/>
        <v>0</v>
      </c>
      <c r="AB2030" s="168">
        <f t="shared" si="9"/>
        <v>0</v>
      </c>
    </row>
    <row r="2031" ht="15.0" customHeight="1">
      <c r="A2031" s="157" t="s">
        <v>9381</v>
      </c>
      <c r="B2031" s="169" t="s">
        <v>17</v>
      </c>
      <c r="C2031" s="169" t="s">
        <v>4665</v>
      </c>
      <c r="D2031" s="317">
        <v>44960.0</v>
      </c>
      <c r="E2031" s="157" t="s">
        <v>600</v>
      </c>
      <c r="F2031" s="160">
        <v>33137.99</v>
      </c>
      <c r="G2031" s="160">
        <f>'FACUS$'!$F2031*0.16</f>
        <v>5302.0784</v>
      </c>
      <c r="H2031" s="160">
        <f t="shared" si="68"/>
        <v>38440.0684</v>
      </c>
      <c r="I2031" s="172"/>
      <c r="J2031" s="169"/>
      <c r="K2031" s="172"/>
      <c r="L2031" s="172">
        <f>+'FACUS$'!$H2031-'FACUS$'!$I2031-'FACUS$'!$K2031</f>
        <v>38440.0684</v>
      </c>
      <c r="M2031" s="162" t="s">
        <v>17</v>
      </c>
      <c r="N2031" s="337" t="s">
        <v>554</v>
      </c>
      <c r="O2031" s="338">
        <v>44973.0</v>
      </c>
      <c r="P2031" s="164">
        <f t="array" ref="P2031">XLOOKUP('FACUS$'!$B2031,'perfil de pagos'!$A$4:$A$46,'perfil de pagos'!$C$4:$C$46+'FACUS$'!$D2031)</f>
        <v>44970</v>
      </c>
      <c r="Q2031" s="165">
        <f t="shared" si="66"/>
        <v>0</v>
      </c>
      <c r="R2031" s="167"/>
      <c r="S2031" s="167">
        <v>1972.0</v>
      </c>
      <c r="T2031" s="167"/>
      <c r="U2031" s="334" t="s">
        <v>7271</v>
      </c>
      <c r="V2031" s="168">
        <f t="shared" si="3"/>
        <v>38440.0684</v>
      </c>
      <c r="W2031" s="168">
        <f t="shared" si="4"/>
        <v>0</v>
      </c>
      <c r="X2031" s="168">
        <f t="shared" si="5"/>
        <v>0</v>
      </c>
      <c r="Y2031" s="168">
        <f t="shared" si="6"/>
        <v>0</v>
      </c>
      <c r="Z2031" s="168">
        <f t="shared" si="7"/>
        <v>0</v>
      </c>
      <c r="AA2031" s="168">
        <f t="shared" si="8"/>
        <v>0</v>
      </c>
      <c r="AB2031" s="168">
        <f t="shared" si="9"/>
        <v>0</v>
      </c>
    </row>
    <row r="2032" ht="15.0" customHeight="1">
      <c r="A2032" s="157" t="s">
        <v>9382</v>
      </c>
      <c r="B2032" s="169" t="s">
        <v>43</v>
      </c>
      <c r="C2032" s="169" t="s">
        <v>4665</v>
      </c>
      <c r="D2032" s="317">
        <v>44964.0</v>
      </c>
      <c r="E2032" s="157" t="s">
        <v>600</v>
      </c>
      <c r="F2032" s="160">
        <v>100692.77</v>
      </c>
      <c r="G2032" s="160">
        <f>'FACUS$'!$F2032*0.16</f>
        <v>16110.8432</v>
      </c>
      <c r="H2032" s="160">
        <f t="shared" si="68"/>
        <v>116803.6132</v>
      </c>
      <c r="I2032" s="172"/>
      <c r="J2032" s="169"/>
      <c r="K2032" s="172"/>
      <c r="L2032" s="172">
        <f>+'FACUS$'!$H2032-'FACUS$'!$I2032-'FACUS$'!$K2032</f>
        <v>116803.6132</v>
      </c>
      <c r="M2032" s="162" t="s">
        <v>43</v>
      </c>
      <c r="N2032" s="337" t="s">
        <v>554</v>
      </c>
      <c r="O2032" s="338">
        <v>44977.0</v>
      </c>
      <c r="P2032" s="164">
        <f t="array" ref="P2032">XLOOKUP('FACUS$'!$B2032,'perfil de pagos'!$A$4:$A$46,'perfil de pagos'!$C$4:$C$46+'FACUS$'!$D2032)</f>
        <v>44989</v>
      </c>
      <c r="Q2032" s="165">
        <f t="shared" si="66"/>
        <v>0</v>
      </c>
      <c r="R2032" s="167"/>
      <c r="S2032" s="167">
        <v>1985.0</v>
      </c>
      <c r="T2032" s="167"/>
      <c r="U2032" s="334" t="s">
        <v>7271</v>
      </c>
      <c r="V2032" s="168">
        <f t="shared" si="3"/>
        <v>116803.6132</v>
      </c>
      <c r="W2032" s="168">
        <f t="shared" si="4"/>
        <v>0</v>
      </c>
      <c r="X2032" s="168">
        <f t="shared" si="5"/>
        <v>0</v>
      </c>
      <c r="Y2032" s="168">
        <f t="shared" si="6"/>
        <v>0</v>
      </c>
      <c r="Z2032" s="168">
        <f t="shared" si="7"/>
        <v>0</v>
      </c>
      <c r="AA2032" s="168">
        <f t="shared" si="8"/>
        <v>0</v>
      </c>
      <c r="AB2032" s="168">
        <f t="shared" si="9"/>
        <v>0</v>
      </c>
    </row>
    <row r="2033" ht="15.0" customHeight="1">
      <c r="A2033" s="157" t="s">
        <v>9383</v>
      </c>
      <c r="B2033" s="169" t="s">
        <v>38</v>
      </c>
      <c r="C2033" s="169" t="s">
        <v>4665</v>
      </c>
      <c r="D2033" s="317">
        <v>44965.0</v>
      </c>
      <c r="E2033" s="157" t="s">
        <v>600</v>
      </c>
      <c r="F2033" s="160">
        <v>983.3</v>
      </c>
      <c r="G2033" s="160">
        <f>'FACUS$'!$F2033*0.16</f>
        <v>157.328</v>
      </c>
      <c r="H2033" s="160">
        <f t="shared" si="68"/>
        <v>1140.628</v>
      </c>
      <c r="I2033" s="172"/>
      <c r="J2033" s="169"/>
      <c r="K2033" s="172"/>
      <c r="L2033" s="172">
        <f>+'FACUS$'!$H2033-'FACUS$'!$I2033-'FACUS$'!$K2033</f>
        <v>1140.628</v>
      </c>
      <c r="M2033" s="162" t="s">
        <v>4654</v>
      </c>
      <c r="N2033" s="337" t="s">
        <v>554</v>
      </c>
      <c r="O2033" s="338">
        <v>45008.0</v>
      </c>
      <c r="P2033" s="164">
        <f t="array" ref="P2033">XLOOKUP('FACUS$'!$B2033,'perfil de pagos'!$A$4:$A$46,'perfil de pagos'!$C$4:$C$46+'FACUS$'!$D2033)</f>
        <v>44995</v>
      </c>
      <c r="Q2033" s="165">
        <f t="shared" si="66"/>
        <v>0</v>
      </c>
      <c r="R2033" s="220" t="s">
        <v>9384</v>
      </c>
      <c r="S2033" s="167"/>
      <c r="T2033" s="167"/>
      <c r="U2033" s="334" t="s">
        <v>7271</v>
      </c>
      <c r="V2033" s="168">
        <f t="shared" si="3"/>
        <v>1140.628</v>
      </c>
      <c r="W2033" s="168">
        <f t="shared" si="4"/>
        <v>0</v>
      </c>
      <c r="X2033" s="168">
        <f t="shared" si="5"/>
        <v>0</v>
      </c>
      <c r="Y2033" s="168">
        <f t="shared" si="6"/>
        <v>0</v>
      </c>
      <c r="Z2033" s="168">
        <f t="shared" si="7"/>
        <v>0</v>
      </c>
      <c r="AA2033" s="168">
        <f t="shared" si="8"/>
        <v>0</v>
      </c>
      <c r="AB2033" s="168">
        <f t="shared" si="9"/>
        <v>0</v>
      </c>
    </row>
    <row r="2034" ht="15.0" customHeight="1">
      <c r="A2034" s="157" t="s">
        <v>9385</v>
      </c>
      <c r="B2034" s="169" t="s">
        <v>18</v>
      </c>
      <c r="C2034" s="169" t="s">
        <v>4665</v>
      </c>
      <c r="D2034" s="317">
        <v>44965.0</v>
      </c>
      <c r="E2034" s="157" t="s">
        <v>600</v>
      </c>
      <c r="F2034" s="160">
        <v>6803.86</v>
      </c>
      <c r="G2034" s="160">
        <f>'FACUS$'!$F2034*0.16</f>
        <v>1088.6176</v>
      </c>
      <c r="H2034" s="160">
        <f t="shared" si="68"/>
        <v>7892.4776</v>
      </c>
      <c r="I2034" s="172"/>
      <c r="J2034" s="169"/>
      <c r="K2034" s="172"/>
      <c r="L2034" s="172">
        <f>+'FACUS$'!$H2034-'FACUS$'!$I2034-'FACUS$'!$K2034</f>
        <v>7892.4776</v>
      </c>
      <c r="M2034" s="162" t="s">
        <v>586</v>
      </c>
      <c r="N2034" s="337" t="s">
        <v>554</v>
      </c>
      <c r="O2034" s="338">
        <v>45075.0</v>
      </c>
      <c r="P2034" s="164">
        <f t="array" ref="P2034">XLOOKUP('FACUS$'!$B2034,'perfil de pagos'!$A$4:$A$46,'perfil de pagos'!$C$4:$C$46+'FACUS$'!$D2034)</f>
        <v>44975</v>
      </c>
      <c r="Q2034" s="165">
        <f t="shared" si="66"/>
        <v>0</v>
      </c>
      <c r="R2034" s="167"/>
      <c r="S2034" s="167">
        <v>2191.0</v>
      </c>
      <c r="T2034" s="167"/>
      <c r="U2034" s="334" t="s">
        <v>7271</v>
      </c>
      <c r="V2034" s="168">
        <f t="shared" si="3"/>
        <v>7892.4776</v>
      </c>
      <c r="W2034" s="168">
        <f t="shared" si="4"/>
        <v>0</v>
      </c>
      <c r="X2034" s="168">
        <f t="shared" si="5"/>
        <v>0</v>
      </c>
      <c r="Y2034" s="168">
        <f t="shared" si="6"/>
        <v>0</v>
      </c>
      <c r="Z2034" s="168">
        <f t="shared" si="7"/>
        <v>0</v>
      </c>
      <c r="AA2034" s="168">
        <f t="shared" si="8"/>
        <v>0</v>
      </c>
      <c r="AB2034" s="168">
        <f t="shared" si="9"/>
        <v>0</v>
      </c>
    </row>
    <row r="2035" ht="15.0" customHeight="1">
      <c r="A2035" s="157" t="s">
        <v>9386</v>
      </c>
      <c r="B2035" s="169" t="s">
        <v>20</v>
      </c>
      <c r="C2035" s="169" t="s">
        <v>4665</v>
      </c>
      <c r="D2035" s="317">
        <v>44965.0</v>
      </c>
      <c r="E2035" s="157" t="s">
        <v>600</v>
      </c>
      <c r="F2035" s="160">
        <v>12834.37</v>
      </c>
      <c r="G2035" s="160">
        <f>'FACUS$'!$F2035*0.16</f>
        <v>2053.4992</v>
      </c>
      <c r="H2035" s="160">
        <f t="shared" si="68"/>
        <v>14887.8692</v>
      </c>
      <c r="I2035" s="172"/>
      <c r="J2035" s="169"/>
      <c r="K2035" s="172"/>
      <c r="L2035" s="172">
        <f>+'FACUS$'!$H2035-'FACUS$'!$I2035-'FACUS$'!$K2035</f>
        <v>14887.8692</v>
      </c>
      <c r="M2035" s="162" t="s">
        <v>732</v>
      </c>
      <c r="N2035" s="337" t="s">
        <v>554</v>
      </c>
      <c r="O2035" s="338">
        <v>45075.0</v>
      </c>
      <c r="P2035" s="164">
        <f t="array" ref="P2035">XLOOKUP('FACUS$'!$B2035,'perfil de pagos'!$A$4:$A$46,'perfil de pagos'!$C$4:$C$46+'FACUS$'!$D2035)</f>
        <v>44975</v>
      </c>
      <c r="Q2035" s="165">
        <f t="shared" si="66"/>
        <v>0</v>
      </c>
      <c r="R2035" s="167"/>
      <c r="S2035" s="167">
        <v>2191.0</v>
      </c>
      <c r="T2035" s="167"/>
      <c r="U2035" s="334" t="s">
        <v>7271</v>
      </c>
      <c r="V2035" s="168">
        <f t="shared" si="3"/>
        <v>14887.8692</v>
      </c>
      <c r="W2035" s="168">
        <f t="shared" si="4"/>
        <v>0</v>
      </c>
      <c r="X2035" s="168">
        <f t="shared" si="5"/>
        <v>0</v>
      </c>
      <c r="Y2035" s="168">
        <f t="shared" si="6"/>
        <v>0</v>
      </c>
      <c r="Z2035" s="168">
        <f t="shared" si="7"/>
        <v>0</v>
      </c>
      <c r="AA2035" s="168">
        <f t="shared" si="8"/>
        <v>0</v>
      </c>
      <c r="AB2035" s="168">
        <f t="shared" si="9"/>
        <v>0</v>
      </c>
    </row>
    <row r="2036" ht="15.0" customHeight="1">
      <c r="A2036" s="157" t="s">
        <v>9387</v>
      </c>
      <c r="B2036" s="169" t="s">
        <v>22</v>
      </c>
      <c r="C2036" s="169" t="s">
        <v>4665</v>
      </c>
      <c r="D2036" s="317">
        <v>44965.0</v>
      </c>
      <c r="E2036" s="157" t="s">
        <v>600</v>
      </c>
      <c r="F2036" s="160">
        <v>9747.5</v>
      </c>
      <c r="G2036" s="160">
        <f>'FACUS$'!$F2036*0.16</f>
        <v>1559.6</v>
      </c>
      <c r="H2036" s="160">
        <f t="shared" si="68"/>
        <v>11307.1</v>
      </c>
      <c r="I2036" s="172"/>
      <c r="J2036" s="169"/>
      <c r="K2036" s="172"/>
      <c r="L2036" s="172">
        <f>+'FACUS$'!$H2036-'FACUS$'!$I2036-'FACUS$'!$K2036</f>
        <v>11307.1</v>
      </c>
      <c r="M2036" s="162" t="s">
        <v>220</v>
      </c>
      <c r="N2036" s="337" t="s">
        <v>554</v>
      </c>
      <c r="O2036" s="338">
        <v>45001.0</v>
      </c>
      <c r="P2036" s="164">
        <f t="array" ref="P2036">XLOOKUP('FACUS$'!$B2036,'perfil de pagos'!$A$4:$A$46,'perfil de pagos'!$C$4:$C$46+'FACUS$'!$D2036)</f>
        <v>44975</v>
      </c>
      <c r="Q2036" s="165">
        <f t="shared" si="66"/>
        <v>0</v>
      </c>
      <c r="R2036" s="167"/>
      <c r="S2036" s="167">
        <v>2046.0</v>
      </c>
      <c r="T2036" s="167"/>
      <c r="U2036" s="334" t="s">
        <v>7271</v>
      </c>
      <c r="V2036" s="168">
        <f t="shared" si="3"/>
        <v>11307.1</v>
      </c>
      <c r="W2036" s="168">
        <f t="shared" si="4"/>
        <v>0</v>
      </c>
      <c r="X2036" s="168">
        <f t="shared" si="5"/>
        <v>0</v>
      </c>
      <c r="Y2036" s="168">
        <f t="shared" si="6"/>
        <v>0</v>
      </c>
      <c r="Z2036" s="168">
        <f t="shared" si="7"/>
        <v>0</v>
      </c>
      <c r="AA2036" s="168">
        <f t="shared" si="8"/>
        <v>0</v>
      </c>
      <c r="AB2036" s="168">
        <f t="shared" si="9"/>
        <v>0</v>
      </c>
    </row>
    <row r="2037" ht="15.0" customHeight="1">
      <c r="A2037" s="157" t="s">
        <v>9388</v>
      </c>
      <c r="B2037" s="169" t="s">
        <v>37</v>
      </c>
      <c r="C2037" s="169" t="s">
        <v>4665</v>
      </c>
      <c r="D2037" s="317">
        <v>44965.0</v>
      </c>
      <c r="E2037" s="157" t="s">
        <v>600</v>
      </c>
      <c r="F2037" s="160">
        <v>99799.66</v>
      </c>
      <c r="G2037" s="160">
        <f>'FACUS$'!$F2037*0.16</f>
        <v>15967.9456</v>
      </c>
      <c r="H2037" s="160">
        <f t="shared" si="68"/>
        <v>115767.6056</v>
      </c>
      <c r="I2037" s="172"/>
      <c r="J2037" s="169"/>
      <c r="K2037" s="172"/>
      <c r="L2037" s="172">
        <f>+'FACUS$'!$H2037-'FACUS$'!$I2037-'FACUS$'!$K2037</f>
        <v>115767.6056</v>
      </c>
      <c r="M2037" s="162" t="s">
        <v>116</v>
      </c>
      <c r="N2037" s="337" t="s">
        <v>554</v>
      </c>
      <c r="O2037" s="338">
        <v>44977.0</v>
      </c>
      <c r="P2037" s="164">
        <f t="array" ref="P2037">XLOOKUP('FACUS$'!$B2037,'perfil de pagos'!$A$4:$A$46,'perfil de pagos'!$C$4:$C$46+'FACUS$'!$D2037)</f>
        <v>44975</v>
      </c>
      <c r="Q2037" s="165">
        <f t="shared" si="66"/>
        <v>0</v>
      </c>
      <c r="R2037" s="399" t="s">
        <v>9389</v>
      </c>
      <c r="S2037" s="167">
        <v>1982.0</v>
      </c>
      <c r="T2037" s="167"/>
      <c r="U2037" s="334" t="s">
        <v>7271</v>
      </c>
      <c r="V2037" s="168">
        <f t="shared" si="3"/>
        <v>115767.6056</v>
      </c>
      <c r="W2037" s="168">
        <f t="shared" si="4"/>
        <v>0</v>
      </c>
      <c r="X2037" s="168">
        <f t="shared" si="5"/>
        <v>0</v>
      </c>
      <c r="Y2037" s="168">
        <f t="shared" si="6"/>
        <v>0</v>
      </c>
      <c r="Z2037" s="168">
        <f t="shared" si="7"/>
        <v>0</v>
      </c>
      <c r="AA2037" s="168">
        <f t="shared" si="8"/>
        <v>0</v>
      </c>
      <c r="AB2037" s="168">
        <f t="shared" si="9"/>
        <v>0</v>
      </c>
    </row>
    <row r="2038" ht="15.0" customHeight="1">
      <c r="A2038" s="157" t="s">
        <v>9390</v>
      </c>
      <c r="B2038" s="169" t="s">
        <v>146</v>
      </c>
      <c r="C2038" s="169" t="s">
        <v>146</v>
      </c>
      <c r="D2038" s="317"/>
      <c r="E2038" s="157" t="s">
        <v>600</v>
      </c>
      <c r="F2038" s="160">
        <v>4928.63</v>
      </c>
      <c r="G2038" s="160">
        <f>'FACUS$'!$F2038*0.16</f>
        <v>788.5808</v>
      </c>
      <c r="H2038" s="160">
        <f t="shared" si="68"/>
        <v>5717.2108</v>
      </c>
      <c r="I2038" s="172"/>
      <c r="J2038" s="169"/>
      <c r="K2038" s="172"/>
      <c r="L2038" s="172">
        <f>+'FACUS$'!$H2038-'FACUS$'!$I2038-'FACUS$'!$K2038</f>
        <v>5717.2108</v>
      </c>
      <c r="M2038" s="162"/>
      <c r="N2038" s="337" t="s">
        <v>127</v>
      </c>
      <c r="O2038" s="338"/>
      <c r="P2038" s="164" t="str">
        <f t="array" ref="P2038">XLOOKUP('FACUS$'!$B2038,'perfil de pagos'!$A$4:$A$46,'perfil de pagos'!$C$4:$C$46+'FACUS$'!$D2038)</f>
        <v>#N/A</v>
      </c>
      <c r="Q2038" s="165" t="str">
        <f t="shared" si="66"/>
        <v>N/A</v>
      </c>
      <c r="R2038" s="220" t="s">
        <v>9391</v>
      </c>
      <c r="S2038" s="167"/>
      <c r="T2038" s="167"/>
      <c r="U2038" s="334" t="s">
        <v>7271</v>
      </c>
      <c r="V2038" s="168">
        <f t="shared" si="3"/>
        <v>0</v>
      </c>
      <c r="W2038" s="168">
        <f t="shared" si="4"/>
        <v>0</v>
      </c>
      <c r="X2038" s="168">
        <f t="shared" si="5"/>
        <v>0</v>
      </c>
      <c r="Y2038" s="168">
        <f t="shared" si="6"/>
        <v>0</v>
      </c>
      <c r="Z2038" s="168">
        <f t="shared" si="7"/>
        <v>0</v>
      </c>
      <c r="AA2038" s="168">
        <f t="shared" si="8"/>
        <v>0</v>
      </c>
      <c r="AB2038" s="168">
        <f t="shared" si="9"/>
        <v>5717.2108</v>
      </c>
    </row>
    <row r="2039" ht="15.0" customHeight="1">
      <c r="A2039" s="157" t="s">
        <v>9392</v>
      </c>
      <c r="B2039" s="169" t="s">
        <v>25</v>
      </c>
      <c r="C2039" s="169" t="s">
        <v>4665</v>
      </c>
      <c r="D2039" s="317">
        <v>44965.0</v>
      </c>
      <c r="E2039" s="157" t="s">
        <v>600</v>
      </c>
      <c r="F2039" s="160">
        <v>4928.63</v>
      </c>
      <c r="G2039" s="160">
        <f>'FACUS$'!$F2039*0.16</f>
        <v>788.5808</v>
      </c>
      <c r="H2039" s="160">
        <f t="shared" si="68"/>
        <v>5717.2108</v>
      </c>
      <c r="I2039" s="172"/>
      <c r="J2039" s="169"/>
      <c r="K2039" s="172"/>
      <c r="L2039" s="172">
        <f>+'FACUS$'!$H2039-'FACUS$'!$I2039-'FACUS$'!$K2039</f>
        <v>5717.2108</v>
      </c>
      <c r="M2039" s="162" t="s">
        <v>4388</v>
      </c>
      <c r="N2039" s="337" t="s">
        <v>554</v>
      </c>
      <c r="O2039" s="338">
        <v>45050.0</v>
      </c>
      <c r="P2039" s="164">
        <f t="array" ref="P2039">XLOOKUP('FACUS$'!$B2039,'perfil de pagos'!$A$4:$A$46,'perfil de pagos'!$C$4:$C$46+'FACUS$'!$D2039)</f>
        <v>44975</v>
      </c>
      <c r="Q2039" s="165">
        <f t="shared" si="66"/>
        <v>0</v>
      </c>
      <c r="R2039" s="167"/>
      <c r="S2039" s="167">
        <v>2147.0</v>
      </c>
      <c r="T2039" s="167"/>
      <c r="U2039" s="334" t="s">
        <v>7271</v>
      </c>
      <c r="V2039" s="168">
        <f t="shared" si="3"/>
        <v>5717.2108</v>
      </c>
      <c r="W2039" s="168">
        <f t="shared" si="4"/>
        <v>0</v>
      </c>
      <c r="X2039" s="168">
        <f t="shared" si="5"/>
        <v>0</v>
      </c>
      <c r="Y2039" s="168">
        <f t="shared" si="6"/>
        <v>0</v>
      </c>
      <c r="Z2039" s="168">
        <f t="shared" si="7"/>
        <v>0</v>
      </c>
      <c r="AA2039" s="168">
        <f t="shared" si="8"/>
        <v>0</v>
      </c>
      <c r="AB2039" s="168">
        <f t="shared" si="9"/>
        <v>0</v>
      </c>
    </row>
    <row r="2040" ht="15.0" customHeight="1">
      <c r="A2040" s="157" t="s">
        <v>9393</v>
      </c>
      <c r="B2040" s="169" t="s">
        <v>41</v>
      </c>
      <c r="C2040" s="169" t="s">
        <v>4665</v>
      </c>
      <c r="D2040" s="317">
        <v>44966.0</v>
      </c>
      <c r="E2040" s="157" t="s">
        <v>600</v>
      </c>
      <c r="F2040" s="160">
        <v>66707.39</v>
      </c>
      <c r="G2040" s="160">
        <f>'FACUS$'!$F2040*0.16</f>
        <v>10673.1824</v>
      </c>
      <c r="H2040" s="160">
        <f t="shared" si="68"/>
        <v>77380.5724</v>
      </c>
      <c r="I2040" s="172"/>
      <c r="J2040" s="169"/>
      <c r="K2040" s="172"/>
      <c r="L2040" s="172">
        <f>+'FACUS$'!$H2040-'FACUS$'!$I2040-'FACUS$'!$K2040</f>
        <v>77380.5724</v>
      </c>
      <c r="M2040" s="162" t="s">
        <v>875</v>
      </c>
      <c r="N2040" s="337" t="s">
        <v>554</v>
      </c>
      <c r="O2040" s="338">
        <v>45002.0</v>
      </c>
      <c r="P2040" s="164">
        <f t="array" ref="P2040">XLOOKUP('FACUS$'!$B2040,'perfil de pagos'!$A$4:$A$46,'perfil de pagos'!$C$4:$C$46+'FACUS$'!$D2040)</f>
        <v>44976</v>
      </c>
      <c r="Q2040" s="165">
        <f t="shared" si="66"/>
        <v>0</v>
      </c>
      <c r="R2040" s="167"/>
      <c r="S2040" s="167">
        <v>2043.0</v>
      </c>
      <c r="T2040" s="167"/>
      <c r="U2040" s="334" t="s">
        <v>7271</v>
      </c>
      <c r="V2040" s="168">
        <f t="shared" si="3"/>
        <v>77380.5724</v>
      </c>
      <c r="W2040" s="168">
        <f t="shared" si="4"/>
        <v>0</v>
      </c>
      <c r="X2040" s="168">
        <f t="shared" si="5"/>
        <v>0</v>
      </c>
      <c r="Y2040" s="168">
        <f t="shared" si="6"/>
        <v>0</v>
      </c>
      <c r="Z2040" s="168">
        <f t="shared" si="7"/>
        <v>0</v>
      </c>
      <c r="AA2040" s="168">
        <f t="shared" si="8"/>
        <v>0</v>
      </c>
      <c r="AB2040" s="168">
        <f t="shared" si="9"/>
        <v>0</v>
      </c>
    </row>
    <row r="2041" ht="15.0" customHeight="1">
      <c r="A2041" s="157" t="s">
        <v>9394</v>
      </c>
      <c r="B2041" s="169" t="s">
        <v>38</v>
      </c>
      <c r="C2041" s="169" t="s">
        <v>4665</v>
      </c>
      <c r="D2041" s="317">
        <v>44966.0</v>
      </c>
      <c r="E2041" s="157" t="s">
        <v>600</v>
      </c>
      <c r="F2041" s="160">
        <v>12946.05</v>
      </c>
      <c r="G2041" s="160">
        <f>'FACUS$'!$F2041*0.16</f>
        <v>2071.368</v>
      </c>
      <c r="H2041" s="160">
        <f t="shared" si="68"/>
        <v>15017.418</v>
      </c>
      <c r="I2041" s="172"/>
      <c r="J2041" s="169"/>
      <c r="K2041" s="172"/>
      <c r="L2041" s="172">
        <f>+'FACUS$'!$H2041-'FACUS$'!$I2041-'FACUS$'!$K2041</f>
        <v>15017.418</v>
      </c>
      <c r="M2041" s="162" t="s">
        <v>145</v>
      </c>
      <c r="N2041" s="337" t="s">
        <v>554</v>
      </c>
      <c r="O2041" s="338">
        <v>45037.0</v>
      </c>
      <c r="P2041" s="164">
        <f t="array" ref="P2041">XLOOKUP('FACUS$'!$B2041,'perfil de pagos'!$A$4:$A$46,'perfil de pagos'!$C$4:$C$46+'FACUS$'!$D2041)</f>
        <v>44996</v>
      </c>
      <c r="Q2041" s="165">
        <f t="shared" si="66"/>
        <v>0</v>
      </c>
      <c r="R2041" s="167"/>
      <c r="S2041" s="167">
        <v>2124.0</v>
      </c>
      <c r="T2041" s="167"/>
      <c r="U2041" s="334" t="s">
        <v>7271</v>
      </c>
      <c r="V2041" s="168">
        <f t="shared" si="3"/>
        <v>15017.418</v>
      </c>
      <c r="W2041" s="168">
        <f t="shared" si="4"/>
        <v>0</v>
      </c>
      <c r="X2041" s="168">
        <f t="shared" si="5"/>
        <v>0</v>
      </c>
      <c r="Y2041" s="168">
        <f t="shared" si="6"/>
        <v>0</v>
      </c>
      <c r="Z2041" s="168">
        <f t="shared" si="7"/>
        <v>0</v>
      </c>
      <c r="AA2041" s="168">
        <f t="shared" si="8"/>
        <v>0</v>
      </c>
      <c r="AB2041" s="168">
        <f t="shared" si="9"/>
        <v>0</v>
      </c>
    </row>
    <row r="2042" ht="15.0" customHeight="1">
      <c r="A2042" s="157" t="s">
        <v>9395</v>
      </c>
      <c r="B2042" s="169" t="s">
        <v>38</v>
      </c>
      <c r="C2042" s="169" t="s">
        <v>4665</v>
      </c>
      <c r="D2042" s="317">
        <v>44966.0</v>
      </c>
      <c r="E2042" s="157" t="s">
        <v>600</v>
      </c>
      <c r="F2042" s="160">
        <v>2574.54</v>
      </c>
      <c r="G2042" s="160">
        <f>'FACUS$'!$F2042*0.16</f>
        <v>411.9264</v>
      </c>
      <c r="H2042" s="160">
        <f t="shared" si="68"/>
        <v>2986.4664</v>
      </c>
      <c r="I2042" s="172"/>
      <c r="J2042" s="169"/>
      <c r="K2042" s="172"/>
      <c r="L2042" s="172">
        <f>+'FACUS$'!$H2042-'FACUS$'!$I2042-'FACUS$'!$K2042</f>
        <v>2986.4664</v>
      </c>
      <c r="M2042" s="162" t="s">
        <v>642</v>
      </c>
      <c r="N2042" s="337" t="s">
        <v>554</v>
      </c>
      <c r="O2042" s="338">
        <v>45008.0</v>
      </c>
      <c r="P2042" s="164">
        <f t="array" ref="P2042">XLOOKUP('FACUS$'!$B2042,'perfil de pagos'!$A$4:$A$46,'perfil de pagos'!$C$4:$C$46+'FACUS$'!$D2042)</f>
        <v>44996</v>
      </c>
      <c r="Q2042" s="165">
        <f t="shared" si="66"/>
        <v>0</v>
      </c>
      <c r="R2042" s="220" t="s">
        <v>9396</v>
      </c>
      <c r="S2042" s="167"/>
      <c r="T2042" s="167"/>
      <c r="U2042" s="334" t="s">
        <v>7271</v>
      </c>
      <c r="V2042" s="168">
        <f t="shared" si="3"/>
        <v>2986.4664</v>
      </c>
      <c r="W2042" s="168">
        <f t="shared" si="4"/>
        <v>0</v>
      </c>
      <c r="X2042" s="168">
        <f t="shared" si="5"/>
        <v>0</v>
      </c>
      <c r="Y2042" s="168">
        <f t="shared" si="6"/>
        <v>0</v>
      </c>
      <c r="Z2042" s="168">
        <f t="shared" si="7"/>
        <v>0</v>
      </c>
      <c r="AA2042" s="168">
        <f t="shared" si="8"/>
        <v>0</v>
      </c>
      <c r="AB2042" s="168">
        <f t="shared" si="9"/>
        <v>0</v>
      </c>
    </row>
    <row r="2043" ht="15.0" customHeight="1">
      <c r="A2043" s="157" t="s">
        <v>9397</v>
      </c>
      <c r="B2043" s="169" t="s">
        <v>45</v>
      </c>
      <c r="C2043" s="169" t="s">
        <v>9357</v>
      </c>
      <c r="D2043" s="317">
        <v>44967.0</v>
      </c>
      <c r="E2043" s="157" t="s">
        <v>600</v>
      </c>
      <c r="F2043" s="160">
        <v>20136.21</v>
      </c>
      <c r="G2043" s="160">
        <f>'FACUS$'!$F2043*0.16</f>
        <v>3221.7936</v>
      </c>
      <c r="H2043" s="160">
        <f t="shared" si="68"/>
        <v>23358.0036</v>
      </c>
      <c r="I2043" s="172">
        <f>10000+13358</f>
        <v>23358</v>
      </c>
      <c r="J2043" s="169"/>
      <c r="K2043" s="172"/>
      <c r="L2043" s="172">
        <f>+'FACUS$'!$H2043-'FACUS$'!$I2043-'FACUS$'!$K2043</f>
        <v>0.0036</v>
      </c>
      <c r="M2043" s="162" t="s">
        <v>3183</v>
      </c>
      <c r="N2043" s="337" t="s">
        <v>554</v>
      </c>
      <c r="O2043" s="338">
        <v>44960.0</v>
      </c>
      <c r="P2043" s="164">
        <f t="array" ref="P2043">XLOOKUP('FACUS$'!$B2043,'perfil de pagos'!$A$4:$A$46,'perfil de pagos'!$C$4:$C$46+'FACUS$'!$D2043)</f>
        <v>44970</v>
      </c>
      <c r="Q2043" s="165">
        <f t="shared" si="66"/>
        <v>0</v>
      </c>
      <c r="R2043" s="167" t="s">
        <v>9398</v>
      </c>
      <c r="S2043" s="167"/>
      <c r="T2043" s="167"/>
      <c r="U2043" s="334" t="s">
        <v>7271</v>
      </c>
      <c r="V2043" s="168">
        <f t="shared" si="3"/>
        <v>0.0036</v>
      </c>
      <c r="W2043" s="168">
        <f t="shared" si="4"/>
        <v>0</v>
      </c>
      <c r="X2043" s="168">
        <f t="shared" si="5"/>
        <v>0</v>
      </c>
      <c r="Y2043" s="168">
        <f t="shared" si="6"/>
        <v>0</v>
      </c>
      <c r="Z2043" s="168">
        <f t="shared" si="7"/>
        <v>0</v>
      </c>
      <c r="AA2043" s="168">
        <f t="shared" si="8"/>
        <v>0</v>
      </c>
      <c r="AB2043" s="168">
        <f t="shared" si="9"/>
        <v>0</v>
      </c>
    </row>
    <row r="2044" ht="15.0" customHeight="1">
      <c r="A2044" s="157" t="s">
        <v>9399</v>
      </c>
      <c r="B2044" s="169" t="s">
        <v>17</v>
      </c>
      <c r="C2044" s="169" t="s">
        <v>4585</v>
      </c>
      <c r="D2044" s="317">
        <v>44970.0</v>
      </c>
      <c r="E2044" s="157" t="s">
        <v>600</v>
      </c>
      <c r="F2044" s="160">
        <v>16092.22</v>
      </c>
      <c r="G2044" s="160">
        <f>'FACUS$'!$F2044*0.16</f>
        <v>2574.7552</v>
      </c>
      <c r="H2044" s="160">
        <f t="shared" si="68"/>
        <v>18666.9752</v>
      </c>
      <c r="I2044" s="172"/>
      <c r="J2044" s="169"/>
      <c r="K2044" s="172"/>
      <c r="L2044" s="172">
        <f>+'FACUS$'!$H2044-'FACUS$'!$I2044-'FACUS$'!$K2044</f>
        <v>18666.9752</v>
      </c>
      <c r="M2044" s="162" t="s">
        <v>17</v>
      </c>
      <c r="N2044" s="337" t="s">
        <v>554</v>
      </c>
      <c r="O2044" s="338"/>
      <c r="P2044" s="164">
        <f t="array" ref="P2044">XLOOKUP('FACUS$'!$B2044,'perfil de pagos'!$A$4:$A$46,'perfil de pagos'!$C$4:$C$46+'FACUS$'!$D2044)</f>
        <v>44980</v>
      </c>
      <c r="Q2044" s="165">
        <f t="shared" si="66"/>
        <v>0</v>
      </c>
      <c r="R2044" s="220" t="s">
        <v>9400</v>
      </c>
      <c r="S2044" s="167"/>
      <c r="T2044" s="167"/>
      <c r="U2044" s="334" t="s">
        <v>7271</v>
      </c>
      <c r="V2044" s="168">
        <f t="shared" si="3"/>
        <v>18666.9752</v>
      </c>
      <c r="W2044" s="168">
        <f t="shared" si="4"/>
        <v>0</v>
      </c>
      <c r="X2044" s="168">
        <f t="shared" si="5"/>
        <v>0</v>
      </c>
      <c r="Y2044" s="168">
        <f t="shared" si="6"/>
        <v>0</v>
      </c>
      <c r="Z2044" s="168">
        <f t="shared" si="7"/>
        <v>0</v>
      </c>
      <c r="AA2044" s="168">
        <f t="shared" si="8"/>
        <v>0</v>
      </c>
      <c r="AB2044" s="168">
        <f t="shared" si="9"/>
        <v>0</v>
      </c>
    </row>
    <row r="2045" ht="15.0" customHeight="1">
      <c r="A2045" s="157" t="s">
        <v>9401</v>
      </c>
      <c r="B2045" s="169" t="s">
        <v>31</v>
      </c>
      <c r="C2045" s="169" t="s">
        <v>9402</v>
      </c>
      <c r="D2045" s="317">
        <v>44970.0</v>
      </c>
      <c r="E2045" s="157" t="s">
        <v>600</v>
      </c>
      <c r="F2045" s="160">
        <v>15516.51</v>
      </c>
      <c r="G2045" s="160">
        <f>'FACUS$'!$F2045*0.16</f>
        <v>2482.6416</v>
      </c>
      <c r="H2045" s="160">
        <f t="shared" si="68"/>
        <v>17999.1516</v>
      </c>
      <c r="I2045" s="172"/>
      <c r="J2045" s="169"/>
      <c r="K2045" s="172"/>
      <c r="L2045" s="172">
        <f>+'FACUS$'!$H2045-'FACUS$'!$I2045-'FACUS$'!$K2045</f>
        <v>17999.1516</v>
      </c>
      <c r="M2045" s="162" t="s">
        <v>3183</v>
      </c>
      <c r="N2045" s="337" t="s">
        <v>554</v>
      </c>
      <c r="O2045" s="338">
        <v>45126.0</v>
      </c>
      <c r="P2045" s="164">
        <f t="array" ref="P2045">XLOOKUP('FACUS$'!$B2045,'perfil de pagos'!$A$4:$A$46,'perfil de pagos'!$C$4:$C$46+'FACUS$'!$D2045)</f>
        <v>44973</v>
      </c>
      <c r="Q2045" s="165">
        <f t="shared" si="66"/>
        <v>0</v>
      </c>
      <c r="R2045" s="220" t="s">
        <v>9346</v>
      </c>
      <c r="S2045" s="167">
        <v>2302.0</v>
      </c>
      <c r="T2045" s="167"/>
      <c r="U2045" s="334" t="s">
        <v>7271</v>
      </c>
      <c r="V2045" s="168">
        <f t="shared" si="3"/>
        <v>17999.1516</v>
      </c>
      <c r="W2045" s="168">
        <f t="shared" si="4"/>
        <v>0</v>
      </c>
      <c r="X2045" s="168">
        <f t="shared" si="5"/>
        <v>0</v>
      </c>
      <c r="Y2045" s="168">
        <f t="shared" si="6"/>
        <v>0</v>
      </c>
      <c r="Z2045" s="168">
        <f t="shared" si="7"/>
        <v>0</v>
      </c>
      <c r="AA2045" s="168">
        <f t="shared" si="8"/>
        <v>0</v>
      </c>
      <c r="AB2045" s="168">
        <f t="shared" si="9"/>
        <v>0</v>
      </c>
    </row>
    <row r="2046" ht="15.0" customHeight="1">
      <c r="A2046" s="157" t="s">
        <v>9403</v>
      </c>
      <c r="B2046" s="169" t="s">
        <v>31</v>
      </c>
      <c r="C2046" s="169" t="s">
        <v>9404</v>
      </c>
      <c r="D2046" s="317">
        <v>44974.0</v>
      </c>
      <c r="E2046" s="157" t="s">
        <v>600</v>
      </c>
      <c r="F2046" s="160">
        <v>16073.43</v>
      </c>
      <c r="G2046" s="160">
        <f>'FACUS$'!$F2046*0.16</f>
        <v>2571.7488</v>
      </c>
      <c r="H2046" s="160">
        <f t="shared" si="68"/>
        <v>18645.1788</v>
      </c>
      <c r="I2046" s="172"/>
      <c r="J2046" s="169"/>
      <c r="K2046" s="172"/>
      <c r="L2046" s="172">
        <f>+'FACUS$'!$H2046-'FACUS$'!$I2046-'FACUS$'!$K2046</f>
        <v>18645.1788</v>
      </c>
      <c r="M2046" s="162" t="s">
        <v>3183</v>
      </c>
      <c r="N2046" s="337" t="s">
        <v>554</v>
      </c>
      <c r="O2046" s="338">
        <v>45126.0</v>
      </c>
      <c r="P2046" s="164">
        <f t="array" ref="P2046">XLOOKUP('FACUS$'!$B2046,'perfil de pagos'!$A$4:$A$46,'perfil de pagos'!$C$4:$C$46+'FACUS$'!$D2046)</f>
        <v>44977</v>
      </c>
      <c r="Q2046" s="165">
        <f t="shared" si="66"/>
        <v>0</v>
      </c>
      <c r="R2046" s="220" t="s">
        <v>9346</v>
      </c>
      <c r="S2046" s="167"/>
      <c r="T2046" s="167"/>
      <c r="U2046" s="334" t="s">
        <v>7271</v>
      </c>
      <c r="V2046" s="168">
        <f t="shared" si="3"/>
        <v>18645.1788</v>
      </c>
      <c r="W2046" s="168">
        <f t="shared" si="4"/>
        <v>0</v>
      </c>
      <c r="X2046" s="168">
        <f t="shared" si="5"/>
        <v>0</v>
      </c>
      <c r="Y2046" s="168">
        <f t="shared" si="6"/>
        <v>0</v>
      </c>
      <c r="Z2046" s="168">
        <f t="shared" si="7"/>
        <v>0</v>
      </c>
      <c r="AA2046" s="168">
        <f t="shared" si="8"/>
        <v>0</v>
      </c>
      <c r="AB2046" s="168">
        <f t="shared" si="9"/>
        <v>0</v>
      </c>
    </row>
    <row r="2047" ht="15.0" customHeight="1">
      <c r="A2047" s="157" t="s">
        <v>9405</v>
      </c>
      <c r="B2047" s="169" t="s">
        <v>35</v>
      </c>
      <c r="C2047" s="169" t="s">
        <v>9406</v>
      </c>
      <c r="D2047" s="317">
        <v>44974.0</v>
      </c>
      <c r="E2047" s="157" t="s">
        <v>600</v>
      </c>
      <c r="F2047" s="160">
        <v>20490.74</v>
      </c>
      <c r="G2047" s="160">
        <f>'FACUS$'!$F2047*0.16</f>
        <v>3278.5184</v>
      </c>
      <c r="H2047" s="160">
        <f t="shared" si="68"/>
        <v>23769.2584</v>
      </c>
      <c r="I2047" s="172"/>
      <c r="J2047" s="169"/>
      <c r="K2047" s="172"/>
      <c r="L2047" s="172">
        <f>+'FACUS$'!$H2047-'FACUS$'!$I2047-'FACUS$'!$K2047</f>
        <v>23769.2584</v>
      </c>
      <c r="M2047" s="162" t="s">
        <v>276</v>
      </c>
      <c r="N2047" s="337" t="s">
        <v>554</v>
      </c>
      <c r="O2047" s="338">
        <v>45021.0</v>
      </c>
      <c r="P2047" s="164">
        <f t="array" ref="P2047">XLOOKUP('FACUS$'!$B2047,'perfil de pagos'!$A$4:$A$46,'perfil de pagos'!$C$4:$C$46+'FACUS$'!$D2047)</f>
        <v>44984</v>
      </c>
      <c r="Q2047" s="165">
        <f t="shared" si="66"/>
        <v>0</v>
      </c>
      <c r="R2047" s="167"/>
      <c r="S2047" s="167">
        <v>2103.0</v>
      </c>
      <c r="T2047" s="167"/>
      <c r="U2047" s="334" t="s">
        <v>7271</v>
      </c>
      <c r="V2047" s="168">
        <f t="shared" si="3"/>
        <v>23769.2584</v>
      </c>
      <c r="W2047" s="168">
        <f t="shared" si="4"/>
        <v>0</v>
      </c>
      <c r="X2047" s="168">
        <f t="shared" si="5"/>
        <v>0</v>
      </c>
      <c r="Y2047" s="168">
        <f t="shared" si="6"/>
        <v>0</v>
      </c>
      <c r="Z2047" s="168">
        <f t="shared" si="7"/>
        <v>0</v>
      </c>
      <c r="AA2047" s="168">
        <f t="shared" si="8"/>
        <v>0</v>
      </c>
      <c r="AB2047" s="168">
        <f t="shared" si="9"/>
        <v>0</v>
      </c>
    </row>
    <row r="2048" ht="15.0" customHeight="1">
      <c r="A2048" s="157" t="s">
        <v>9407</v>
      </c>
      <c r="B2048" s="169" t="s">
        <v>36</v>
      </c>
      <c r="C2048" s="169" t="s">
        <v>9406</v>
      </c>
      <c r="D2048" s="317">
        <v>44974.0</v>
      </c>
      <c r="E2048" s="157" t="s">
        <v>600</v>
      </c>
      <c r="F2048" s="160">
        <v>2510.91</v>
      </c>
      <c r="G2048" s="160">
        <f>'FACUS$'!$F2048*0.16</f>
        <v>401.7456</v>
      </c>
      <c r="H2048" s="160">
        <f t="shared" si="68"/>
        <v>2912.6556</v>
      </c>
      <c r="I2048" s="172"/>
      <c r="J2048" s="169"/>
      <c r="K2048" s="172"/>
      <c r="L2048" s="172">
        <f>+'FACUS$'!$H2048-'FACUS$'!$I2048-'FACUS$'!$K2048</f>
        <v>2912.6556</v>
      </c>
      <c r="M2048" s="162" t="s">
        <v>278</v>
      </c>
      <c r="N2048" s="337" t="s">
        <v>554</v>
      </c>
      <c r="O2048" s="338">
        <v>44977.0</v>
      </c>
      <c r="P2048" s="164">
        <f t="array" ref="P2048">XLOOKUP('FACUS$'!$B2048,'perfil de pagos'!$A$4:$A$46,'perfil de pagos'!$C$4:$C$46+'FACUS$'!$D2048)</f>
        <v>44984</v>
      </c>
      <c r="Q2048" s="165">
        <f t="shared" si="66"/>
        <v>0</v>
      </c>
      <c r="R2048" s="399" t="s">
        <v>9408</v>
      </c>
      <c r="S2048" s="167">
        <v>1977.0</v>
      </c>
      <c r="T2048" s="167"/>
      <c r="U2048" s="334" t="s">
        <v>7271</v>
      </c>
      <c r="V2048" s="168">
        <f t="shared" si="3"/>
        <v>2912.6556</v>
      </c>
      <c r="W2048" s="168">
        <f t="shared" si="4"/>
        <v>0</v>
      </c>
      <c r="X2048" s="168">
        <f t="shared" si="5"/>
        <v>0</v>
      </c>
      <c r="Y2048" s="168">
        <f t="shared" si="6"/>
        <v>0</v>
      </c>
      <c r="Z2048" s="168">
        <f t="shared" si="7"/>
        <v>0</v>
      </c>
      <c r="AA2048" s="168">
        <f t="shared" si="8"/>
        <v>0</v>
      </c>
      <c r="AB2048" s="168">
        <f t="shared" si="9"/>
        <v>0</v>
      </c>
    </row>
    <row r="2049" ht="15.0" customHeight="1">
      <c r="A2049" s="157" t="s">
        <v>9409</v>
      </c>
      <c r="B2049" s="166" t="s">
        <v>42</v>
      </c>
      <c r="C2049" s="169" t="s">
        <v>9406</v>
      </c>
      <c r="D2049" s="317">
        <v>44974.0</v>
      </c>
      <c r="E2049" s="157" t="s">
        <v>600</v>
      </c>
      <c r="F2049" s="160">
        <v>17521.79</v>
      </c>
      <c r="G2049" s="160">
        <f>'FACUS$'!$F2049*0.16</f>
        <v>2803.4864</v>
      </c>
      <c r="H2049" s="160">
        <f t="shared" si="68"/>
        <v>20325.2764</v>
      </c>
      <c r="I2049" s="172"/>
      <c r="J2049" s="169"/>
      <c r="K2049" s="172"/>
      <c r="L2049" s="172">
        <f>+'FACUS$'!$H2049-'FACUS$'!$I2049-'FACUS$'!$K2049</f>
        <v>20325.2764</v>
      </c>
      <c r="M2049" s="162" t="s">
        <v>42</v>
      </c>
      <c r="N2049" s="337" t="s">
        <v>554</v>
      </c>
      <c r="O2049" s="338">
        <v>45001.0</v>
      </c>
      <c r="P2049" s="164">
        <f t="array" ref="P2049">XLOOKUP('FACUS$'!$B2049,'perfil de pagos'!$A$4:$A$46,'perfil de pagos'!$C$4:$C$46+'FACUS$'!$D2049)</f>
        <v>44984</v>
      </c>
      <c r="Q2049" s="165">
        <f t="shared" si="66"/>
        <v>0</v>
      </c>
      <c r="R2049" s="167"/>
      <c r="S2049" s="167">
        <v>2042.0</v>
      </c>
      <c r="T2049" s="167"/>
      <c r="U2049" s="334" t="s">
        <v>7271</v>
      </c>
      <c r="V2049" s="168">
        <f t="shared" si="3"/>
        <v>20325.2764</v>
      </c>
      <c r="W2049" s="168">
        <f t="shared" si="4"/>
        <v>0</v>
      </c>
      <c r="X2049" s="168">
        <f t="shared" si="5"/>
        <v>0</v>
      </c>
      <c r="Y2049" s="168">
        <f t="shared" si="6"/>
        <v>0</v>
      </c>
      <c r="Z2049" s="168">
        <f t="shared" si="7"/>
        <v>0</v>
      </c>
      <c r="AA2049" s="168">
        <f t="shared" si="8"/>
        <v>0</v>
      </c>
      <c r="AB2049" s="168">
        <f t="shared" si="9"/>
        <v>0</v>
      </c>
    </row>
    <row r="2050" ht="15.0" customHeight="1">
      <c r="A2050" s="157" t="s">
        <v>9410</v>
      </c>
      <c r="B2050" s="169" t="s">
        <v>43</v>
      </c>
      <c r="C2050" s="169" t="s">
        <v>9406</v>
      </c>
      <c r="D2050" s="317">
        <v>44974.0</v>
      </c>
      <c r="E2050" s="157" t="s">
        <v>600</v>
      </c>
      <c r="F2050" s="160">
        <v>92587.46</v>
      </c>
      <c r="G2050" s="160">
        <f>'FACUS$'!$F2050*0.16</f>
        <v>14813.9936</v>
      </c>
      <c r="H2050" s="160">
        <f t="shared" si="68"/>
        <v>107401.4536</v>
      </c>
      <c r="I2050" s="172"/>
      <c r="J2050" s="169"/>
      <c r="K2050" s="172"/>
      <c r="L2050" s="172">
        <f>+'FACUS$'!$H2050-'FACUS$'!$I2050-'FACUS$'!$K2050</f>
        <v>107401.4536</v>
      </c>
      <c r="M2050" s="162" t="s">
        <v>43</v>
      </c>
      <c r="N2050" s="337" t="s">
        <v>554</v>
      </c>
      <c r="O2050" s="338">
        <v>44999.0</v>
      </c>
      <c r="P2050" s="164">
        <f t="array" ref="P2050">XLOOKUP('FACUS$'!$B2050,'perfil de pagos'!$A$4:$A$46,'perfil de pagos'!$C$4:$C$46+'FACUS$'!$D2050)</f>
        <v>44999</v>
      </c>
      <c r="Q2050" s="165">
        <f t="shared" si="66"/>
        <v>0</v>
      </c>
      <c r="R2050" s="167"/>
      <c r="S2050" s="167">
        <v>2030.0</v>
      </c>
      <c r="T2050" s="167"/>
      <c r="U2050" s="334" t="s">
        <v>7271</v>
      </c>
      <c r="V2050" s="168">
        <f t="shared" si="3"/>
        <v>107401.4536</v>
      </c>
      <c r="W2050" s="168">
        <f t="shared" si="4"/>
        <v>0</v>
      </c>
      <c r="X2050" s="168">
        <f t="shared" si="5"/>
        <v>0</v>
      </c>
      <c r="Y2050" s="168">
        <f t="shared" si="6"/>
        <v>0</v>
      </c>
      <c r="Z2050" s="168">
        <f t="shared" si="7"/>
        <v>0</v>
      </c>
      <c r="AA2050" s="168">
        <f t="shared" si="8"/>
        <v>0</v>
      </c>
      <c r="AB2050" s="168">
        <f t="shared" si="9"/>
        <v>0</v>
      </c>
    </row>
    <row r="2051" ht="15.0" customHeight="1">
      <c r="A2051" s="157" t="s">
        <v>9411</v>
      </c>
      <c r="B2051" s="169" t="s">
        <v>44</v>
      </c>
      <c r="C2051" s="169" t="s">
        <v>9406</v>
      </c>
      <c r="D2051" s="317">
        <v>44974.0</v>
      </c>
      <c r="E2051" s="157" t="s">
        <v>600</v>
      </c>
      <c r="F2051" s="160">
        <v>30784.54</v>
      </c>
      <c r="G2051" s="160">
        <f>'FACUS$'!$F2051*0.16</f>
        <v>4925.5264</v>
      </c>
      <c r="H2051" s="160">
        <f t="shared" si="68"/>
        <v>35710.0664</v>
      </c>
      <c r="I2051" s="172"/>
      <c r="J2051" s="169"/>
      <c r="K2051" s="172"/>
      <c r="L2051" s="172">
        <f>+'FACUS$'!$H2051-'FACUS$'!$I2051-'FACUS$'!$K2051</f>
        <v>35710.0664</v>
      </c>
      <c r="M2051" s="162" t="s">
        <v>361</v>
      </c>
      <c r="N2051" s="337" t="s">
        <v>554</v>
      </c>
      <c r="O2051" s="338">
        <v>44988.0</v>
      </c>
      <c r="P2051" s="164">
        <f t="array" ref="P2051">XLOOKUP('FACUS$'!$B2051,'perfil de pagos'!$A$4:$A$46,'perfil de pagos'!$C$4:$C$46+'FACUS$'!$D2051)</f>
        <v>44984</v>
      </c>
      <c r="Q2051" s="165">
        <f t="shared" si="66"/>
        <v>0</v>
      </c>
      <c r="R2051" s="167"/>
      <c r="S2051" s="167">
        <v>2008.0</v>
      </c>
      <c r="T2051" s="167"/>
      <c r="U2051" s="334" t="s">
        <v>7271</v>
      </c>
      <c r="V2051" s="168">
        <f t="shared" si="3"/>
        <v>35710.0664</v>
      </c>
      <c r="W2051" s="168">
        <f t="shared" si="4"/>
        <v>0</v>
      </c>
      <c r="X2051" s="168">
        <f t="shared" si="5"/>
        <v>0</v>
      </c>
      <c r="Y2051" s="168">
        <f t="shared" si="6"/>
        <v>0</v>
      </c>
      <c r="Z2051" s="168">
        <f t="shared" si="7"/>
        <v>0</v>
      </c>
      <c r="AA2051" s="168">
        <f t="shared" si="8"/>
        <v>0</v>
      </c>
      <c r="AB2051" s="168">
        <f t="shared" si="9"/>
        <v>0</v>
      </c>
    </row>
    <row r="2052" ht="15.0" customHeight="1">
      <c r="A2052" s="157" t="s">
        <v>9412</v>
      </c>
      <c r="B2052" s="169" t="s">
        <v>15</v>
      </c>
      <c r="C2052" s="169" t="s">
        <v>9406</v>
      </c>
      <c r="D2052" s="317">
        <v>44977.0</v>
      </c>
      <c r="E2052" s="157" t="s">
        <v>600</v>
      </c>
      <c r="F2052" s="160">
        <v>90676.76</v>
      </c>
      <c r="G2052" s="160">
        <f>'FACUS$'!$F2052*0.16</f>
        <v>14508.2816</v>
      </c>
      <c r="H2052" s="160">
        <f t="shared" si="68"/>
        <v>105185.0416</v>
      </c>
      <c r="I2052" s="172"/>
      <c r="J2052" s="169"/>
      <c r="K2052" s="172"/>
      <c r="L2052" s="172">
        <f>+'FACUS$'!$H2052-'FACUS$'!$I2052-'FACUS$'!$K2052</f>
        <v>105185.0416</v>
      </c>
      <c r="M2052" s="162" t="s">
        <v>443</v>
      </c>
      <c r="N2052" s="337" t="s">
        <v>554</v>
      </c>
      <c r="O2052" s="338">
        <v>45002.0</v>
      </c>
      <c r="P2052" s="164">
        <f t="array" ref="P2052">XLOOKUP('FACUS$'!$B2052,'perfil de pagos'!$A$4:$A$46,'perfil de pagos'!$C$4:$C$46+'FACUS$'!$D2052)</f>
        <v>44987</v>
      </c>
      <c r="Q2052" s="165">
        <f t="shared" si="66"/>
        <v>0</v>
      </c>
      <c r="R2052" s="167"/>
      <c r="S2052" s="167">
        <v>2044.0</v>
      </c>
      <c r="T2052" s="167"/>
      <c r="U2052" s="334" t="s">
        <v>7271</v>
      </c>
      <c r="V2052" s="168">
        <f t="shared" si="3"/>
        <v>105185.0416</v>
      </c>
      <c r="W2052" s="168">
        <f t="shared" si="4"/>
        <v>0</v>
      </c>
      <c r="X2052" s="168">
        <f t="shared" si="5"/>
        <v>0</v>
      </c>
      <c r="Y2052" s="168">
        <f t="shared" si="6"/>
        <v>0</v>
      </c>
      <c r="Z2052" s="168">
        <f t="shared" si="7"/>
        <v>0</v>
      </c>
      <c r="AA2052" s="168">
        <f t="shared" si="8"/>
        <v>0</v>
      </c>
      <c r="AB2052" s="168">
        <f t="shared" si="9"/>
        <v>0</v>
      </c>
    </row>
    <row r="2053" ht="15.0" customHeight="1">
      <c r="A2053" s="157" t="s">
        <v>9413</v>
      </c>
      <c r="B2053" s="169" t="s">
        <v>41</v>
      </c>
      <c r="C2053" s="169" t="s">
        <v>9406</v>
      </c>
      <c r="D2053" s="317">
        <v>44977.0</v>
      </c>
      <c r="E2053" s="157" t="s">
        <v>600</v>
      </c>
      <c r="F2053" s="160">
        <v>68333.63</v>
      </c>
      <c r="G2053" s="160">
        <f>'FACUS$'!$F2053*0.16</f>
        <v>10933.3808</v>
      </c>
      <c r="H2053" s="160">
        <f t="shared" si="68"/>
        <v>79267.0108</v>
      </c>
      <c r="I2053" s="172"/>
      <c r="J2053" s="169"/>
      <c r="K2053" s="172"/>
      <c r="L2053" s="172">
        <f>+'FACUS$'!$H2053-'FACUS$'!$I2053-'FACUS$'!$K2053</f>
        <v>79267.0108</v>
      </c>
      <c r="M2053" s="162" t="s">
        <v>875</v>
      </c>
      <c r="N2053" s="337" t="s">
        <v>554</v>
      </c>
      <c r="O2053" s="338">
        <v>45020.0</v>
      </c>
      <c r="P2053" s="164">
        <f t="array" ref="P2053">XLOOKUP('FACUS$'!$B2053,'perfil de pagos'!$A$4:$A$46,'perfil de pagos'!$C$4:$C$46+'FACUS$'!$D2053)</f>
        <v>44987</v>
      </c>
      <c r="Q2053" s="165">
        <f t="shared" si="66"/>
        <v>0</v>
      </c>
      <c r="R2053" s="167"/>
      <c r="S2053" s="167">
        <v>2101.0</v>
      </c>
      <c r="T2053" s="167"/>
      <c r="U2053" s="334" t="s">
        <v>7271</v>
      </c>
      <c r="V2053" s="168">
        <f t="shared" si="3"/>
        <v>79267.0108</v>
      </c>
      <c r="W2053" s="168">
        <f t="shared" si="4"/>
        <v>0</v>
      </c>
      <c r="X2053" s="168">
        <f t="shared" si="5"/>
        <v>0</v>
      </c>
      <c r="Y2053" s="168">
        <f t="shared" si="6"/>
        <v>0</v>
      </c>
      <c r="Z2053" s="168">
        <f t="shared" si="7"/>
        <v>0</v>
      </c>
      <c r="AA2053" s="168">
        <f t="shared" si="8"/>
        <v>0</v>
      </c>
      <c r="AB2053" s="168">
        <f t="shared" si="9"/>
        <v>0</v>
      </c>
    </row>
    <row r="2054" ht="15.0" customHeight="1">
      <c r="A2054" s="157" t="s">
        <v>9414</v>
      </c>
      <c r="B2054" s="169" t="s">
        <v>31</v>
      </c>
      <c r="C2054" s="169" t="s">
        <v>9415</v>
      </c>
      <c r="D2054" s="317">
        <v>44979.0</v>
      </c>
      <c r="E2054" s="157" t="s">
        <v>600</v>
      </c>
      <c r="F2054" s="160">
        <v>23044.12</v>
      </c>
      <c r="G2054" s="160">
        <f>'FACUS$'!$F2054*0.16</f>
        <v>3687.0592</v>
      </c>
      <c r="H2054" s="160">
        <f t="shared" si="68"/>
        <v>26731.1792</v>
      </c>
      <c r="I2054" s="172"/>
      <c r="J2054" s="169"/>
      <c r="K2054" s="172"/>
      <c r="L2054" s="172">
        <f>+'FACUS$'!$H2054-'FACUS$'!$I2054-'FACUS$'!$K2054</f>
        <v>26731.1792</v>
      </c>
      <c r="M2054" s="162" t="s">
        <v>3183</v>
      </c>
      <c r="N2054" s="337" t="s">
        <v>554</v>
      </c>
      <c r="O2054" s="338">
        <v>45126.0</v>
      </c>
      <c r="P2054" s="164">
        <f t="array" ref="P2054">XLOOKUP('FACUS$'!$B2054,'perfil de pagos'!$A$4:$A$46,'perfil de pagos'!$C$4:$C$46+'FACUS$'!$D2054)</f>
        <v>44982</v>
      </c>
      <c r="Q2054" s="165">
        <f t="shared" si="66"/>
        <v>0</v>
      </c>
      <c r="R2054" s="220" t="s">
        <v>9346</v>
      </c>
      <c r="S2054" s="167">
        <v>2302.0</v>
      </c>
      <c r="T2054" s="167"/>
      <c r="U2054" s="334" t="s">
        <v>7271</v>
      </c>
      <c r="V2054" s="168">
        <f t="shared" si="3"/>
        <v>26731.1792</v>
      </c>
      <c r="W2054" s="168">
        <f t="shared" si="4"/>
        <v>0</v>
      </c>
      <c r="X2054" s="168">
        <f t="shared" si="5"/>
        <v>0</v>
      </c>
      <c r="Y2054" s="168">
        <f t="shared" si="6"/>
        <v>0</v>
      </c>
      <c r="Z2054" s="168">
        <f t="shared" si="7"/>
        <v>0</v>
      </c>
      <c r="AA2054" s="168">
        <f t="shared" si="8"/>
        <v>0</v>
      </c>
      <c r="AB2054" s="168">
        <f t="shared" si="9"/>
        <v>0</v>
      </c>
    </row>
    <row r="2055" ht="15.0" customHeight="1">
      <c r="A2055" s="157" t="s">
        <v>9416</v>
      </c>
      <c r="B2055" s="169" t="s">
        <v>32</v>
      </c>
      <c r="C2055" s="169" t="s">
        <v>9415</v>
      </c>
      <c r="D2055" s="317">
        <v>44979.0</v>
      </c>
      <c r="E2055" s="157" t="s">
        <v>600</v>
      </c>
      <c r="F2055" s="160">
        <v>7484.0</v>
      </c>
      <c r="G2055" s="160">
        <f>'FACUS$'!$F2055*0.16</f>
        <v>1197.44</v>
      </c>
      <c r="H2055" s="160">
        <f t="shared" si="68"/>
        <v>8681.44</v>
      </c>
      <c r="I2055" s="172"/>
      <c r="J2055" s="169"/>
      <c r="K2055" s="172"/>
      <c r="L2055" s="172">
        <f>+'FACUS$'!$H2055-'FACUS$'!$I2055-'FACUS$'!$K2055</f>
        <v>8681.44</v>
      </c>
      <c r="M2055" s="162" t="s">
        <v>395</v>
      </c>
      <c r="N2055" s="337" t="s">
        <v>554</v>
      </c>
      <c r="O2055" s="338">
        <v>45128.0</v>
      </c>
      <c r="P2055" s="164">
        <f t="array" ref="P2055">XLOOKUP('FACUS$'!$B2055,'perfil de pagos'!$A$4:$A$46,'perfil de pagos'!$C$4:$C$46+'FACUS$'!$D2055)</f>
        <v>44989</v>
      </c>
      <c r="Q2055" s="165">
        <f t="shared" si="66"/>
        <v>0</v>
      </c>
      <c r="R2055" s="167"/>
      <c r="S2055" s="167">
        <v>2315.0</v>
      </c>
      <c r="T2055" s="167"/>
      <c r="U2055" s="334" t="s">
        <v>7271</v>
      </c>
      <c r="V2055" s="168">
        <f t="shared" si="3"/>
        <v>8681.44</v>
      </c>
      <c r="W2055" s="168">
        <f t="shared" si="4"/>
        <v>0</v>
      </c>
      <c r="X2055" s="168">
        <f t="shared" si="5"/>
        <v>0</v>
      </c>
      <c r="Y2055" s="168">
        <f t="shared" si="6"/>
        <v>0</v>
      </c>
      <c r="Z2055" s="168">
        <f t="shared" si="7"/>
        <v>0</v>
      </c>
      <c r="AA2055" s="168">
        <f t="shared" si="8"/>
        <v>0</v>
      </c>
      <c r="AB2055" s="168">
        <f t="shared" si="9"/>
        <v>0</v>
      </c>
    </row>
    <row r="2056" ht="15.0" customHeight="1">
      <c r="A2056" s="157" t="s">
        <v>9417</v>
      </c>
      <c r="B2056" s="169" t="s">
        <v>17</v>
      </c>
      <c r="C2056" s="169" t="s">
        <v>4698</v>
      </c>
      <c r="D2056" s="317">
        <v>44980.0</v>
      </c>
      <c r="E2056" s="157" t="s">
        <v>600</v>
      </c>
      <c r="F2056" s="160">
        <v>14008.72</v>
      </c>
      <c r="G2056" s="160">
        <f>'FACUS$'!$F2056*0.16</f>
        <v>2241.3952</v>
      </c>
      <c r="H2056" s="160">
        <f t="shared" si="68"/>
        <v>16250.1152</v>
      </c>
      <c r="I2056" s="172"/>
      <c r="J2056" s="169">
        <v>300.0</v>
      </c>
      <c r="K2056" s="172">
        <v>6632.69</v>
      </c>
      <c r="L2056" s="172">
        <f>+'FACUS$'!$H2056-'FACUS$'!$I2056-'FACUS$'!$K2056</f>
        <v>9617.4252</v>
      </c>
      <c r="M2056" s="162" t="s">
        <v>17</v>
      </c>
      <c r="N2056" s="337" t="s">
        <v>554</v>
      </c>
      <c r="O2056" s="338">
        <v>44994.0</v>
      </c>
      <c r="P2056" s="164">
        <f t="array" ref="P2056">XLOOKUP('FACUS$'!$B2056,'perfil de pagos'!$A$4:$A$46,'perfil de pagos'!$C$4:$C$46+'FACUS$'!$D2056)</f>
        <v>44990</v>
      </c>
      <c r="Q2056" s="165">
        <f t="shared" si="66"/>
        <v>0</v>
      </c>
      <c r="R2056" s="167"/>
      <c r="S2056" s="167">
        <v>2012.0</v>
      </c>
      <c r="T2056" s="167"/>
      <c r="U2056" s="334" t="s">
        <v>7271</v>
      </c>
      <c r="V2056" s="168">
        <f t="shared" si="3"/>
        <v>9617.4252</v>
      </c>
      <c r="W2056" s="168">
        <f t="shared" si="4"/>
        <v>0</v>
      </c>
      <c r="X2056" s="168">
        <f t="shared" si="5"/>
        <v>0</v>
      </c>
      <c r="Y2056" s="168">
        <f t="shared" si="6"/>
        <v>0</v>
      </c>
      <c r="Z2056" s="168">
        <f t="shared" si="7"/>
        <v>0</v>
      </c>
      <c r="AA2056" s="168">
        <f t="shared" si="8"/>
        <v>0</v>
      </c>
      <c r="AB2056" s="168">
        <f t="shared" si="9"/>
        <v>0</v>
      </c>
    </row>
    <row r="2057" ht="15.0" customHeight="1">
      <c r="A2057" s="157" t="s">
        <v>9418</v>
      </c>
      <c r="B2057" s="169" t="s">
        <v>17</v>
      </c>
      <c r="C2057" s="169" t="s">
        <v>4711</v>
      </c>
      <c r="D2057" s="317">
        <v>44980.0</v>
      </c>
      <c r="E2057" s="157" t="s">
        <v>600</v>
      </c>
      <c r="F2057" s="160">
        <v>25954.86</v>
      </c>
      <c r="G2057" s="160">
        <f>'FACUS$'!$F2057*0.16</f>
        <v>4152.7776</v>
      </c>
      <c r="H2057" s="160">
        <f t="shared" si="68"/>
        <v>30107.6376</v>
      </c>
      <c r="I2057" s="172"/>
      <c r="J2057" s="169"/>
      <c r="K2057" s="172"/>
      <c r="L2057" s="172">
        <f>+'FACUS$'!$H2057-'FACUS$'!$I2057-'FACUS$'!$K2057</f>
        <v>30107.6376</v>
      </c>
      <c r="M2057" s="162" t="s">
        <v>17</v>
      </c>
      <c r="N2057" s="337" t="s">
        <v>554</v>
      </c>
      <c r="O2057" s="338">
        <v>44994.0</v>
      </c>
      <c r="P2057" s="164">
        <f t="array" ref="P2057">XLOOKUP('FACUS$'!$B2057,'perfil de pagos'!$A$4:$A$46,'perfil de pagos'!$C$4:$C$46+'FACUS$'!$D2057)</f>
        <v>44990</v>
      </c>
      <c r="Q2057" s="165">
        <f t="shared" si="66"/>
        <v>0</v>
      </c>
      <c r="R2057" s="167"/>
      <c r="S2057" s="167">
        <v>2011.0</v>
      </c>
      <c r="T2057" s="167"/>
      <c r="U2057" s="334" t="s">
        <v>7271</v>
      </c>
      <c r="V2057" s="168">
        <f t="shared" si="3"/>
        <v>30107.6376</v>
      </c>
      <c r="W2057" s="168">
        <f t="shared" si="4"/>
        <v>0</v>
      </c>
      <c r="X2057" s="168">
        <f t="shared" si="5"/>
        <v>0</v>
      </c>
      <c r="Y2057" s="168">
        <f t="shared" si="6"/>
        <v>0</v>
      </c>
      <c r="Z2057" s="168">
        <f t="shared" si="7"/>
        <v>0</v>
      </c>
      <c r="AA2057" s="168">
        <f t="shared" si="8"/>
        <v>0</v>
      </c>
      <c r="AB2057" s="168">
        <f t="shared" si="9"/>
        <v>0</v>
      </c>
    </row>
    <row r="2058" ht="15.0" customHeight="1">
      <c r="A2058" s="157" t="s">
        <v>9419</v>
      </c>
      <c r="B2058" s="169" t="s">
        <v>39</v>
      </c>
      <c r="C2058" s="169" t="s">
        <v>4698</v>
      </c>
      <c r="D2058" s="317">
        <v>44980.0</v>
      </c>
      <c r="E2058" s="157" t="s">
        <v>600</v>
      </c>
      <c r="F2058" s="160">
        <v>28779.94</v>
      </c>
      <c r="G2058" s="160">
        <f>'FACUS$'!$F2058*0.16</f>
        <v>4604.7904</v>
      </c>
      <c r="H2058" s="160">
        <f t="shared" si="68"/>
        <v>33384.7304</v>
      </c>
      <c r="I2058" s="172"/>
      <c r="J2058" s="169"/>
      <c r="K2058" s="172"/>
      <c r="L2058" s="172">
        <f>+'FACUS$'!$H2058-'FACUS$'!$I2058-'FACUS$'!$K2058</f>
        <v>33384.7304</v>
      </c>
      <c r="M2058" s="162" t="s">
        <v>570</v>
      </c>
      <c r="N2058" s="337" t="s">
        <v>554</v>
      </c>
      <c r="O2058" s="338">
        <v>44988.0</v>
      </c>
      <c r="P2058" s="164">
        <f t="array" ref="P2058">XLOOKUP('FACUS$'!$B2058,'perfil de pagos'!$A$4:$A$46,'perfil de pagos'!$C$4:$C$46+'FACUS$'!$D2058)</f>
        <v>44990</v>
      </c>
      <c r="Q2058" s="165">
        <f t="shared" si="66"/>
        <v>0</v>
      </c>
      <c r="R2058" s="167"/>
      <c r="S2058" s="167">
        <v>2009.0</v>
      </c>
      <c r="T2058" s="167"/>
      <c r="U2058" s="334" t="s">
        <v>7271</v>
      </c>
      <c r="V2058" s="168">
        <f t="shared" si="3"/>
        <v>33384.7304</v>
      </c>
      <c r="W2058" s="168">
        <f t="shared" si="4"/>
        <v>0</v>
      </c>
      <c r="X2058" s="168">
        <f t="shared" si="5"/>
        <v>0</v>
      </c>
      <c r="Y2058" s="168">
        <f t="shared" si="6"/>
        <v>0</v>
      </c>
      <c r="Z2058" s="168">
        <f t="shared" si="7"/>
        <v>0</v>
      </c>
      <c r="AA2058" s="168">
        <f t="shared" si="8"/>
        <v>0</v>
      </c>
      <c r="AB2058" s="168">
        <f t="shared" si="9"/>
        <v>0</v>
      </c>
    </row>
    <row r="2059" ht="15.0" customHeight="1">
      <c r="A2059" s="157" t="s">
        <v>9420</v>
      </c>
      <c r="B2059" s="169" t="s">
        <v>39</v>
      </c>
      <c r="C2059" s="169" t="s">
        <v>4711</v>
      </c>
      <c r="D2059" s="317">
        <v>44980.0</v>
      </c>
      <c r="E2059" s="157" t="s">
        <v>600</v>
      </c>
      <c r="F2059" s="160">
        <v>36681.36</v>
      </c>
      <c r="G2059" s="160">
        <f>'FACUS$'!$F2059*0.16</f>
        <v>5869.0176</v>
      </c>
      <c r="H2059" s="160">
        <f t="shared" si="68"/>
        <v>42550.3776</v>
      </c>
      <c r="I2059" s="172"/>
      <c r="J2059" s="169"/>
      <c r="K2059" s="172"/>
      <c r="L2059" s="172">
        <f>+'FACUS$'!$H2059-'FACUS$'!$I2059-'FACUS$'!$K2059</f>
        <v>42550.3776</v>
      </c>
      <c r="M2059" s="162" t="s">
        <v>570</v>
      </c>
      <c r="N2059" s="337" t="s">
        <v>554</v>
      </c>
      <c r="O2059" s="338">
        <v>44988.0</v>
      </c>
      <c r="P2059" s="164">
        <f t="array" ref="P2059">XLOOKUP('FACUS$'!$B2059,'perfil de pagos'!$A$4:$A$46,'perfil de pagos'!$C$4:$C$46+'FACUS$'!$D2059)</f>
        <v>44990</v>
      </c>
      <c r="Q2059" s="165">
        <f t="shared" si="66"/>
        <v>0</v>
      </c>
      <c r="R2059" s="167"/>
      <c r="S2059" s="167">
        <v>2009.0</v>
      </c>
      <c r="T2059" s="167"/>
      <c r="U2059" s="334" t="s">
        <v>7271</v>
      </c>
      <c r="V2059" s="168">
        <f t="shared" si="3"/>
        <v>42550.3776</v>
      </c>
      <c r="W2059" s="168">
        <f t="shared" si="4"/>
        <v>0</v>
      </c>
      <c r="X2059" s="168">
        <f t="shared" si="5"/>
        <v>0</v>
      </c>
      <c r="Y2059" s="168">
        <f t="shared" si="6"/>
        <v>0</v>
      </c>
      <c r="Z2059" s="168">
        <f t="shared" si="7"/>
        <v>0</v>
      </c>
      <c r="AA2059" s="168">
        <f t="shared" si="8"/>
        <v>0</v>
      </c>
      <c r="AB2059" s="168">
        <f t="shared" si="9"/>
        <v>0</v>
      </c>
    </row>
    <row r="2060" ht="15.0" customHeight="1">
      <c r="A2060" s="157" t="s">
        <v>9421</v>
      </c>
      <c r="B2060" s="169" t="s">
        <v>146</v>
      </c>
      <c r="C2060" s="169"/>
      <c r="D2060" s="317"/>
      <c r="E2060" s="157" t="s">
        <v>600</v>
      </c>
      <c r="F2060" s="160"/>
      <c r="G2060" s="160">
        <f>'FACUS$'!$F2060*0.16</f>
        <v>0</v>
      </c>
      <c r="H2060" s="160">
        <f t="shared" si="68"/>
        <v>0</v>
      </c>
      <c r="I2060" s="172"/>
      <c r="J2060" s="169"/>
      <c r="K2060" s="172"/>
      <c r="L2060" s="172">
        <f>+'FACUS$'!$H2060-'FACUS$'!$I2060-'FACUS$'!$K2060</f>
        <v>0</v>
      </c>
      <c r="M2060" s="162"/>
      <c r="N2060" s="337"/>
      <c r="O2060" s="338"/>
      <c r="P2060" s="164" t="str">
        <f t="array" ref="P2060">XLOOKUP('FACUS$'!$B2060,'perfil de pagos'!$A$4:$A$46,'perfil de pagos'!$C$4:$C$46+'FACUS$'!$D2060)</f>
        <v>#N/A</v>
      </c>
      <c r="Q2060" s="165" t="str">
        <f t="shared" si="66"/>
        <v>#N/A</v>
      </c>
      <c r="R2060" s="167" t="s">
        <v>9422</v>
      </c>
      <c r="S2060" s="167"/>
      <c r="T2060" s="167"/>
      <c r="U2060" s="334" t="s">
        <v>7271</v>
      </c>
      <c r="V2060" s="168" t="str">
        <f t="shared" si="3"/>
        <v>#N/A</v>
      </c>
      <c r="W2060" s="168" t="str">
        <f t="shared" si="4"/>
        <v>#N/A</v>
      </c>
      <c r="X2060" s="168" t="str">
        <f t="shared" si="5"/>
        <v>#N/A</v>
      </c>
      <c r="Y2060" s="168" t="str">
        <f t="shared" si="6"/>
        <v>#N/A</v>
      </c>
      <c r="Z2060" s="168" t="str">
        <f t="shared" si="7"/>
        <v>#N/A</v>
      </c>
      <c r="AA2060" s="168" t="str">
        <f t="shared" si="8"/>
        <v>#N/A</v>
      </c>
      <c r="AB2060" s="168" t="str">
        <f t="shared" si="9"/>
        <v>#N/A</v>
      </c>
    </row>
    <row r="2061" ht="15.0" customHeight="1">
      <c r="A2061" s="157" t="s">
        <v>9423</v>
      </c>
      <c r="B2061" s="169" t="s">
        <v>38</v>
      </c>
      <c r="C2061" s="169" t="s">
        <v>4711</v>
      </c>
      <c r="D2061" s="317">
        <v>44984.0</v>
      </c>
      <c r="E2061" s="157" t="s">
        <v>600</v>
      </c>
      <c r="F2061" s="160">
        <v>2082.23</v>
      </c>
      <c r="G2061" s="160">
        <f>'FACUS$'!$F2061*0.16</f>
        <v>333.1568</v>
      </c>
      <c r="H2061" s="160">
        <f t="shared" si="68"/>
        <v>2415.3868</v>
      </c>
      <c r="I2061" s="172"/>
      <c r="J2061" s="169"/>
      <c r="K2061" s="172"/>
      <c r="L2061" s="172">
        <f>+'FACUS$'!$H2061-'FACUS$'!$I2061-'FACUS$'!$K2061</f>
        <v>2415.3868</v>
      </c>
      <c r="M2061" s="162" t="s">
        <v>4654</v>
      </c>
      <c r="N2061" s="337" t="s">
        <v>554</v>
      </c>
      <c r="O2061" s="338">
        <v>45037.0</v>
      </c>
      <c r="P2061" s="164">
        <f t="array" ref="P2061">XLOOKUP('FACUS$'!$B2061,'perfil de pagos'!$A$4:$A$46,'perfil de pagos'!$C$4:$C$46+'FACUS$'!$D2061)</f>
        <v>45014</v>
      </c>
      <c r="Q2061" s="165">
        <f t="shared" si="66"/>
        <v>0</v>
      </c>
      <c r="R2061" s="167"/>
      <c r="S2061" s="167">
        <v>2124.0</v>
      </c>
      <c r="T2061" s="167"/>
      <c r="U2061" s="334" t="s">
        <v>7271</v>
      </c>
      <c r="V2061" s="168">
        <f t="shared" si="3"/>
        <v>2415.3868</v>
      </c>
      <c r="W2061" s="168">
        <f t="shared" si="4"/>
        <v>0</v>
      </c>
      <c r="X2061" s="168">
        <f t="shared" si="5"/>
        <v>0</v>
      </c>
      <c r="Y2061" s="168">
        <f t="shared" si="6"/>
        <v>0</v>
      </c>
      <c r="Z2061" s="168">
        <f t="shared" si="7"/>
        <v>0</v>
      </c>
      <c r="AA2061" s="168">
        <f t="shared" si="8"/>
        <v>0</v>
      </c>
      <c r="AB2061" s="168">
        <f t="shared" si="9"/>
        <v>0</v>
      </c>
    </row>
    <row r="2062" ht="15.0" customHeight="1">
      <c r="A2062" s="157" t="s">
        <v>9424</v>
      </c>
      <c r="B2062" s="169" t="s">
        <v>37</v>
      </c>
      <c r="C2062" s="169" t="s">
        <v>4711</v>
      </c>
      <c r="D2062" s="317">
        <v>44984.0</v>
      </c>
      <c r="E2062" s="157" t="s">
        <v>600</v>
      </c>
      <c r="F2062" s="160">
        <v>81276.35</v>
      </c>
      <c r="G2062" s="160">
        <f>'FACUS$'!$F2062*0.16</f>
        <v>13004.216</v>
      </c>
      <c r="H2062" s="160">
        <f t="shared" si="68"/>
        <v>94280.566</v>
      </c>
      <c r="I2062" s="172"/>
      <c r="J2062" s="169"/>
      <c r="K2062" s="172"/>
      <c r="L2062" s="172">
        <f>+'FACUS$'!$H2062-'FACUS$'!$I2062-'FACUS$'!$K2062</f>
        <v>94280.566</v>
      </c>
      <c r="M2062" s="162" t="s">
        <v>116</v>
      </c>
      <c r="N2062" s="337" t="s">
        <v>554</v>
      </c>
      <c r="O2062" s="338">
        <v>44998.0</v>
      </c>
      <c r="P2062" s="164">
        <f t="array" ref="P2062">XLOOKUP('FACUS$'!$B2062,'perfil de pagos'!$A$4:$A$46,'perfil de pagos'!$C$4:$C$46+'FACUS$'!$D2062)</f>
        <v>44994</v>
      </c>
      <c r="Q2062" s="165">
        <f t="shared" si="66"/>
        <v>0</v>
      </c>
      <c r="R2062" s="220" t="s">
        <v>9425</v>
      </c>
      <c r="S2062" s="167"/>
      <c r="T2062" s="167"/>
      <c r="U2062" s="334" t="s">
        <v>7271</v>
      </c>
      <c r="V2062" s="168">
        <f t="shared" si="3"/>
        <v>94280.566</v>
      </c>
      <c r="W2062" s="168">
        <f t="shared" si="4"/>
        <v>0</v>
      </c>
      <c r="X2062" s="168">
        <f t="shared" si="5"/>
        <v>0</v>
      </c>
      <c r="Y2062" s="168">
        <f t="shared" si="6"/>
        <v>0</v>
      </c>
      <c r="Z2062" s="168">
        <f t="shared" si="7"/>
        <v>0</v>
      </c>
      <c r="AA2062" s="168">
        <f t="shared" si="8"/>
        <v>0</v>
      </c>
      <c r="AB2062" s="168">
        <f t="shared" si="9"/>
        <v>0</v>
      </c>
    </row>
    <row r="2063" ht="15.0" customHeight="1">
      <c r="A2063" s="157" t="s">
        <v>9426</v>
      </c>
      <c r="B2063" s="169" t="s">
        <v>18</v>
      </c>
      <c r="C2063" s="169" t="s">
        <v>4711</v>
      </c>
      <c r="D2063" s="317">
        <v>44985.0</v>
      </c>
      <c r="E2063" s="157" t="s">
        <v>600</v>
      </c>
      <c r="F2063" s="160">
        <v>5175.2</v>
      </c>
      <c r="G2063" s="160">
        <f>'FACUS$'!$F2063*0.16</f>
        <v>828.032</v>
      </c>
      <c r="H2063" s="160">
        <f t="shared" si="68"/>
        <v>6003.232</v>
      </c>
      <c r="I2063" s="172"/>
      <c r="J2063" s="169"/>
      <c r="K2063" s="172"/>
      <c r="L2063" s="172">
        <f>+'FACUS$'!$H2063-'FACUS$'!$I2063-'FACUS$'!$K2063</f>
        <v>6003.232</v>
      </c>
      <c r="M2063" s="162" t="s">
        <v>586</v>
      </c>
      <c r="N2063" s="337" t="s">
        <v>554</v>
      </c>
      <c r="O2063" s="338">
        <v>45075.0</v>
      </c>
      <c r="P2063" s="164">
        <f t="array" ref="P2063">XLOOKUP('FACUS$'!$B2063,'perfil de pagos'!$A$4:$A$46,'perfil de pagos'!$C$4:$C$46+'FACUS$'!$D2063)</f>
        <v>44995</v>
      </c>
      <c r="Q2063" s="165">
        <f t="shared" si="66"/>
        <v>0</v>
      </c>
      <c r="R2063" s="167"/>
      <c r="S2063" s="167">
        <v>2191.0</v>
      </c>
      <c r="T2063" s="167"/>
      <c r="U2063" s="334" t="s">
        <v>7271</v>
      </c>
      <c r="V2063" s="168">
        <f t="shared" si="3"/>
        <v>6003.232</v>
      </c>
      <c r="W2063" s="168">
        <f t="shared" si="4"/>
        <v>0</v>
      </c>
      <c r="X2063" s="168">
        <f t="shared" si="5"/>
        <v>0</v>
      </c>
      <c r="Y2063" s="168">
        <f t="shared" si="6"/>
        <v>0</v>
      </c>
      <c r="Z2063" s="168">
        <f t="shared" si="7"/>
        <v>0</v>
      </c>
      <c r="AA2063" s="168">
        <f t="shared" si="8"/>
        <v>0</v>
      </c>
      <c r="AB2063" s="168">
        <f t="shared" si="9"/>
        <v>0</v>
      </c>
    </row>
    <row r="2064" ht="15.0" customHeight="1">
      <c r="A2064" s="157" t="s">
        <v>9427</v>
      </c>
      <c r="B2064" s="169" t="s">
        <v>20</v>
      </c>
      <c r="C2064" s="169" t="s">
        <v>4711</v>
      </c>
      <c r="D2064" s="317">
        <v>44985.0</v>
      </c>
      <c r="E2064" s="157" t="s">
        <v>600</v>
      </c>
      <c r="F2064" s="160">
        <v>9038.92</v>
      </c>
      <c r="G2064" s="160">
        <f>'FACUS$'!$F2064*0.16</f>
        <v>1446.2272</v>
      </c>
      <c r="H2064" s="160">
        <f t="shared" si="68"/>
        <v>10485.1472</v>
      </c>
      <c r="I2064" s="172"/>
      <c r="J2064" s="169"/>
      <c r="K2064" s="172"/>
      <c r="L2064" s="172">
        <f>+'FACUS$'!$H2064-'FACUS$'!$I2064-'FACUS$'!$K2064</f>
        <v>10485.1472</v>
      </c>
      <c r="M2064" s="162" t="s">
        <v>732</v>
      </c>
      <c r="N2064" s="337" t="s">
        <v>554</v>
      </c>
      <c r="O2064" s="338">
        <v>45075.0</v>
      </c>
      <c r="P2064" s="164">
        <f t="array" ref="P2064">XLOOKUP('FACUS$'!$B2064,'perfil de pagos'!$A$4:$A$46,'perfil de pagos'!$C$4:$C$46+'FACUS$'!$D2064)</f>
        <v>44995</v>
      </c>
      <c r="Q2064" s="165">
        <f t="shared" si="66"/>
        <v>0</v>
      </c>
      <c r="R2064" s="167"/>
      <c r="S2064" s="167">
        <v>2191.0</v>
      </c>
      <c r="T2064" s="167"/>
      <c r="U2064" s="334" t="s">
        <v>7271</v>
      </c>
      <c r="V2064" s="168">
        <f t="shared" si="3"/>
        <v>10485.1472</v>
      </c>
      <c r="W2064" s="168">
        <f t="shared" si="4"/>
        <v>0</v>
      </c>
      <c r="X2064" s="168">
        <f t="shared" si="5"/>
        <v>0</v>
      </c>
      <c r="Y2064" s="168">
        <f t="shared" si="6"/>
        <v>0</v>
      </c>
      <c r="Z2064" s="168">
        <f t="shared" si="7"/>
        <v>0</v>
      </c>
      <c r="AA2064" s="168">
        <f t="shared" si="8"/>
        <v>0</v>
      </c>
      <c r="AB2064" s="168">
        <f t="shared" si="9"/>
        <v>0</v>
      </c>
    </row>
    <row r="2065" ht="15.0" customHeight="1">
      <c r="A2065" s="157" t="s">
        <v>9428</v>
      </c>
      <c r="B2065" s="169" t="s">
        <v>22</v>
      </c>
      <c r="C2065" s="169" t="s">
        <v>4711</v>
      </c>
      <c r="D2065" s="317">
        <v>44985.0</v>
      </c>
      <c r="E2065" s="157" t="s">
        <v>600</v>
      </c>
      <c r="F2065" s="160">
        <v>9514.64</v>
      </c>
      <c r="G2065" s="160">
        <f>'FACUS$'!$F2065*0.16</f>
        <v>1522.3424</v>
      </c>
      <c r="H2065" s="160">
        <f t="shared" si="68"/>
        <v>11036.9824</v>
      </c>
      <c r="I2065" s="172">
        <v>1989.997329007234</v>
      </c>
      <c r="J2065" s="169"/>
      <c r="K2065" s="172"/>
      <c r="L2065" s="172">
        <f>+'FACUS$'!$H2065-'FACUS$'!$I2065-'FACUS$'!$K2065</f>
        <v>9046.985071</v>
      </c>
      <c r="M2065" s="162" t="s">
        <v>220</v>
      </c>
      <c r="N2065" s="337" t="s">
        <v>554</v>
      </c>
      <c r="O2065" s="338">
        <v>45044.0</v>
      </c>
      <c r="P2065" s="164">
        <f t="array" ref="P2065">XLOOKUP('FACUS$'!$B2065,'perfil de pagos'!$A$4:$A$46,'perfil de pagos'!$C$4:$C$46+'FACUS$'!$D2065)</f>
        <v>44995</v>
      </c>
      <c r="Q2065" s="165">
        <f t="shared" si="66"/>
        <v>0</v>
      </c>
      <c r="R2065" s="220" t="s">
        <v>9429</v>
      </c>
      <c r="S2065" s="167" t="s">
        <v>9430</v>
      </c>
      <c r="T2065" s="167"/>
      <c r="U2065" s="334" t="s">
        <v>7271</v>
      </c>
      <c r="V2065" s="168">
        <f t="shared" si="3"/>
        <v>9046.985071</v>
      </c>
      <c r="W2065" s="168">
        <f t="shared" si="4"/>
        <v>0</v>
      </c>
      <c r="X2065" s="168">
        <f t="shared" si="5"/>
        <v>0</v>
      </c>
      <c r="Y2065" s="168">
        <f t="shared" si="6"/>
        <v>0</v>
      </c>
      <c r="Z2065" s="168">
        <f t="shared" si="7"/>
        <v>0</v>
      </c>
      <c r="AA2065" s="168">
        <f t="shared" si="8"/>
        <v>0</v>
      </c>
      <c r="AB2065" s="168">
        <f t="shared" si="9"/>
        <v>0</v>
      </c>
    </row>
    <row r="2066" ht="15.0" customHeight="1">
      <c r="A2066" s="157" t="s">
        <v>9431</v>
      </c>
      <c r="B2066" s="169" t="s">
        <v>25</v>
      </c>
      <c r="C2066" s="169" t="s">
        <v>4711</v>
      </c>
      <c r="D2066" s="317">
        <v>44985.0</v>
      </c>
      <c r="E2066" s="157" t="s">
        <v>600</v>
      </c>
      <c r="F2066" s="160">
        <v>4082.45</v>
      </c>
      <c r="G2066" s="160">
        <f>'FACUS$'!$F2066*0.16</f>
        <v>653.192</v>
      </c>
      <c r="H2066" s="160">
        <f t="shared" si="68"/>
        <v>4735.642</v>
      </c>
      <c r="I2066" s="172"/>
      <c r="J2066" s="169"/>
      <c r="K2066" s="172"/>
      <c r="L2066" s="172">
        <f>+'FACUS$'!$H2066-'FACUS$'!$I2066-'FACUS$'!$K2066</f>
        <v>4735.642</v>
      </c>
      <c r="M2066" s="162" t="s">
        <v>4388</v>
      </c>
      <c r="N2066" s="337" t="s">
        <v>554</v>
      </c>
      <c r="O2066" s="338">
        <v>45050.0</v>
      </c>
      <c r="P2066" s="164">
        <f t="array" ref="P2066">XLOOKUP('FACUS$'!$B2066,'perfil de pagos'!$A$4:$A$46,'perfil de pagos'!$C$4:$C$46+'FACUS$'!$D2066)</f>
        <v>44995</v>
      </c>
      <c r="Q2066" s="165">
        <f t="shared" si="66"/>
        <v>0</v>
      </c>
      <c r="R2066" s="167"/>
      <c r="S2066" s="167">
        <v>2147.0</v>
      </c>
      <c r="T2066" s="167"/>
      <c r="U2066" s="334" t="s">
        <v>7271</v>
      </c>
      <c r="V2066" s="168">
        <f t="shared" si="3"/>
        <v>4735.642</v>
      </c>
      <c r="W2066" s="168">
        <f t="shared" si="4"/>
        <v>0</v>
      </c>
      <c r="X2066" s="168">
        <f t="shared" si="5"/>
        <v>0</v>
      </c>
      <c r="Y2066" s="168">
        <f t="shared" si="6"/>
        <v>0</v>
      </c>
      <c r="Z2066" s="168">
        <f t="shared" si="7"/>
        <v>0</v>
      </c>
      <c r="AA2066" s="168">
        <f t="shared" si="8"/>
        <v>0</v>
      </c>
      <c r="AB2066" s="168">
        <f t="shared" si="9"/>
        <v>0</v>
      </c>
    </row>
    <row r="2067" ht="15.0" customHeight="1">
      <c r="A2067" s="157" t="s">
        <v>9432</v>
      </c>
      <c r="B2067" s="169" t="s">
        <v>38</v>
      </c>
      <c r="C2067" s="169" t="s">
        <v>4711</v>
      </c>
      <c r="D2067" s="317">
        <v>44985.0</v>
      </c>
      <c r="E2067" s="157" t="s">
        <v>600</v>
      </c>
      <c r="F2067" s="160">
        <v>9965.66</v>
      </c>
      <c r="G2067" s="160">
        <f>'FACUS$'!$F2067*0.16</f>
        <v>1594.5056</v>
      </c>
      <c r="H2067" s="160">
        <f t="shared" si="68"/>
        <v>11560.1656</v>
      </c>
      <c r="I2067" s="172"/>
      <c r="J2067" s="169"/>
      <c r="K2067" s="172"/>
      <c r="L2067" s="172">
        <f>+'FACUS$'!$H2067-'FACUS$'!$I2067-'FACUS$'!$K2067</f>
        <v>11560.1656</v>
      </c>
      <c r="M2067" s="162" t="s">
        <v>145</v>
      </c>
      <c r="N2067" s="337" t="s">
        <v>554</v>
      </c>
      <c r="O2067" s="338">
        <v>45037.0</v>
      </c>
      <c r="P2067" s="164">
        <f t="array" ref="P2067">XLOOKUP('FACUS$'!$B2067,'perfil de pagos'!$A$4:$A$46,'perfil de pagos'!$C$4:$C$46+'FACUS$'!$D2067)</f>
        <v>45015</v>
      </c>
      <c r="Q2067" s="165">
        <f t="shared" si="66"/>
        <v>0</v>
      </c>
      <c r="R2067" s="167"/>
      <c r="S2067" s="167">
        <v>2124.0</v>
      </c>
      <c r="T2067" s="167"/>
      <c r="U2067" s="334" t="s">
        <v>7271</v>
      </c>
      <c r="V2067" s="168">
        <f t="shared" si="3"/>
        <v>11560.1656</v>
      </c>
      <c r="W2067" s="168">
        <f t="shared" si="4"/>
        <v>0</v>
      </c>
      <c r="X2067" s="168">
        <f t="shared" si="5"/>
        <v>0</v>
      </c>
      <c r="Y2067" s="168">
        <f t="shared" si="6"/>
        <v>0</v>
      </c>
      <c r="Z2067" s="168">
        <f t="shared" si="7"/>
        <v>0</v>
      </c>
      <c r="AA2067" s="168">
        <f t="shared" si="8"/>
        <v>0</v>
      </c>
      <c r="AB2067" s="168">
        <f t="shared" si="9"/>
        <v>0</v>
      </c>
    </row>
    <row r="2068" ht="15.0" customHeight="1">
      <c r="A2068" s="157" t="s">
        <v>9433</v>
      </c>
      <c r="B2068" s="169" t="s">
        <v>38</v>
      </c>
      <c r="C2068" s="169" t="s">
        <v>4711</v>
      </c>
      <c r="D2068" s="317">
        <v>44985.0</v>
      </c>
      <c r="E2068" s="157" t="s">
        <v>600</v>
      </c>
      <c r="F2068" s="160">
        <v>1973.72</v>
      </c>
      <c r="G2068" s="160">
        <f>'FACUS$'!$F2068*0.16</f>
        <v>315.7952</v>
      </c>
      <c r="H2068" s="160">
        <f t="shared" si="68"/>
        <v>2289.5152</v>
      </c>
      <c r="I2068" s="172"/>
      <c r="J2068" s="169"/>
      <c r="K2068" s="172"/>
      <c r="L2068" s="172">
        <f>+'FACUS$'!$H2068-'FACUS$'!$I2068-'FACUS$'!$K2068</f>
        <v>2289.5152</v>
      </c>
      <c r="M2068" s="162" t="s">
        <v>642</v>
      </c>
      <c r="N2068" s="337" t="s">
        <v>554</v>
      </c>
      <c r="O2068" s="338">
        <v>45037.0</v>
      </c>
      <c r="P2068" s="164">
        <f t="array" ref="P2068">XLOOKUP('FACUS$'!$B2068,'perfil de pagos'!$A$4:$A$46,'perfil de pagos'!$C$4:$C$46+'FACUS$'!$D2068)</f>
        <v>45015</v>
      </c>
      <c r="Q2068" s="165">
        <f t="shared" si="66"/>
        <v>0</v>
      </c>
      <c r="R2068" s="167"/>
      <c r="S2068" s="167">
        <v>2124.0</v>
      </c>
      <c r="T2068" s="167"/>
      <c r="U2068" s="334" t="s">
        <v>7271</v>
      </c>
      <c r="V2068" s="168">
        <f t="shared" si="3"/>
        <v>2289.5152</v>
      </c>
      <c r="W2068" s="168">
        <f t="shared" si="4"/>
        <v>0</v>
      </c>
      <c r="X2068" s="168">
        <f t="shared" si="5"/>
        <v>0</v>
      </c>
      <c r="Y2068" s="168">
        <f t="shared" si="6"/>
        <v>0</v>
      </c>
      <c r="Z2068" s="168">
        <f t="shared" si="7"/>
        <v>0</v>
      </c>
      <c r="AA2068" s="168">
        <f t="shared" si="8"/>
        <v>0</v>
      </c>
      <c r="AB2068" s="168">
        <f t="shared" si="9"/>
        <v>0</v>
      </c>
    </row>
    <row r="2069" ht="15.0" customHeight="1">
      <c r="A2069" s="157" t="s">
        <v>9434</v>
      </c>
      <c r="B2069" s="169" t="s">
        <v>15</v>
      </c>
      <c r="C2069" s="169" t="s">
        <v>4769</v>
      </c>
      <c r="D2069" s="317">
        <v>44991.0</v>
      </c>
      <c r="E2069" s="157" t="s">
        <v>600</v>
      </c>
      <c r="F2069" s="160">
        <v>67559.31</v>
      </c>
      <c r="G2069" s="160">
        <f>'FACUS$'!$F2069*0.16</f>
        <v>10809.4896</v>
      </c>
      <c r="H2069" s="160">
        <f t="shared" si="68"/>
        <v>78368.7996</v>
      </c>
      <c r="I2069" s="172"/>
      <c r="J2069" s="169"/>
      <c r="K2069" s="172"/>
      <c r="L2069" s="172">
        <f>+'FACUS$'!$H2069-'FACUS$'!$I2069-'FACUS$'!$K2069</f>
        <v>78368.7996</v>
      </c>
      <c r="M2069" s="162" t="s">
        <v>443</v>
      </c>
      <c r="N2069" s="337" t="s">
        <v>554</v>
      </c>
      <c r="O2069" s="338">
        <v>45013.0</v>
      </c>
      <c r="P2069" s="164">
        <f t="array" ref="P2069">XLOOKUP('FACUS$'!$B2069,'perfil de pagos'!$A$4:$A$46,'perfil de pagos'!$C$4:$C$46+'FACUS$'!$D2069)</f>
        <v>45001</v>
      </c>
      <c r="Q2069" s="165">
        <f t="shared" si="66"/>
        <v>0</v>
      </c>
      <c r="R2069" s="167"/>
      <c r="S2069" s="167">
        <v>2074.0</v>
      </c>
      <c r="T2069" s="167"/>
      <c r="U2069" s="334" t="s">
        <v>7271</v>
      </c>
      <c r="V2069" s="168">
        <f t="shared" si="3"/>
        <v>78368.7996</v>
      </c>
      <c r="W2069" s="168">
        <f t="shared" si="4"/>
        <v>0</v>
      </c>
      <c r="X2069" s="168">
        <f t="shared" si="5"/>
        <v>0</v>
      </c>
      <c r="Y2069" s="168">
        <f t="shared" si="6"/>
        <v>0</v>
      </c>
      <c r="Z2069" s="168">
        <f t="shared" si="7"/>
        <v>0</v>
      </c>
      <c r="AA2069" s="168">
        <f t="shared" si="8"/>
        <v>0</v>
      </c>
      <c r="AB2069" s="168">
        <f t="shared" si="9"/>
        <v>0</v>
      </c>
    </row>
    <row r="2070" ht="15.0" customHeight="1">
      <c r="A2070" s="157" t="s">
        <v>9435</v>
      </c>
      <c r="B2070" s="169" t="s">
        <v>32</v>
      </c>
      <c r="C2070" s="169" t="s">
        <v>4769</v>
      </c>
      <c r="D2070" s="317">
        <v>44991.0</v>
      </c>
      <c r="E2070" s="157" t="s">
        <v>600</v>
      </c>
      <c r="F2070" s="160">
        <v>1213.08</v>
      </c>
      <c r="G2070" s="160">
        <f>'FACUS$'!$F2070*0.16</f>
        <v>194.0928</v>
      </c>
      <c r="H2070" s="160">
        <f t="shared" si="68"/>
        <v>1407.1728</v>
      </c>
      <c r="I2070" s="172"/>
      <c r="J2070" s="169"/>
      <c r="K2070" s="172"/>
      <c r="L2070" s="172">
        <f>+'FACUS$'!$H2070-'FACUS$'!$I2070-'FACUS$'!$K2070</f>
        <v>1407.1728</v>
      </c>
      <c r="M2070" s="162" t="s">
        <v>395</v>
      </c>
      <c r="N2070" s="337" t="s">
        <v>554</v>
      </c>
      <c r="O2070" s="338">
        <v>45107.0</v>
      </c>
      <c r="P2070" s="164">
        <f t="array" ref="P2070">XLOOKUP('FACUS$'!$B2070,'perfil de pagos'!$A$4:$A$46,'perfil de pagos'!$C$4:$C$46+'FACUS$'!$D2070)</f>
        <v>45001</v>
      </c>
      <c r="Q2070" s="165">
        <f t="shared" si="66"/>
        <v>0</v>
      </c>
      <c r="R2070" s="167"/>
      <c r="S2070" s="167">
        <v>2258.0</v>
      </c>
      <c r="T2070" s="167"/>
      <c r="U2070" s="334" t="s">
        <v>7271</v>
      </c>
      <c r="V2070" s="168">
        <f t="shared" si="3"/>
        <v>1407.1728</v>
      </c>
      <c r="W2070" s="168">
        <f t="shared" si="4"/>
        <v>0</v>
      </c>
      <c r="X2070" s="168">
        <f t="shared" si="5"/>
        <v>0</v>
      </c>
      <c r="Y2070" s="168">
        <f t="shared" si="6"/>
        <v>0</v>
      </c>
      <c r="Z2070" s="168">
        <f t="shared" si="7"/>
        <v>0</v>
      </c>
      <c r="AA2070" s="168">
        <f t="shared" si="8"/>
        <v>0</v>
      </c>
      <c r="AB2070" s="168">
        <f t="shared" si="9"/>
        <v>0</v>
      </c>
    </row>
    <row r="2071" ht="15.0" customHeight="1">
      <c r="A2071" s="157" t="s">
        <v>9436</v>
      </c>
      <c r="B2071" s="169" t="s">
        <v>35</v>
      </c>
      <c r="C2071" s="169" t="s">
        <v>4769</v>
      </c>
      <c r="D2071" s="317">
        <v>44991.0</v>
      </c>
      <c r="E2071" s="157" t="s">
        <v>600</v>
      </c>
      <c r="F2071" s="160">
        <v>18316.97</v>
      </c>
      <c r="G2071" s="160">
        <f>'FACUS$'!$F2071*0.16</f>
        <v>2930.7152</v>
      </c>
      <c r="H2071" s="160">
        <f t="shared" si="68"/>
        <v>21247.6852</v>
      </c>
      <c r="I2071" s="172"/>
      <c r="J2071" s="169"/>
      <c r="K2071" s="172"/>
      <c r="L2071" s="172">
        <f>+'FACUS$'!$H2071-'FACUS$'!$I2071-'FACUS$'!$K2071</f>
        <v>21247.6852</v>
      </c>
      <c r="M2071" s="162" t="s">
        <v>276</v>
      </c>
      <c r="N2071" s="337" t="s">
        <v>554</v>
      </c>
      <c r="O2071" s="338">
        <v>45064.0</v>
      </c>
      <c r="P2071" s="164">
        <f t="array" ref="P2071">XLOOKUP('FACUS$'!$B2071,'perfil de pagos'!$A$4:$A$46,'perfil de pagos'!$C$4:$C$46+'FACUS$'!$D2071)</f>
        <v>45001</v>
      </c>
      <c r="Q2071" s="165">
        <f t="shared" si="66"/>
        <v>0</v>
      </c>
      <c r="R2071" s="167"/>
      <c r="S2071" s="167">
        <v>2183.0</v>
      </c>
      <c r="T2071" s="167"/>
      <c r="U2071" s="334" t="s">
        <v>7271</v>
      </c>
      <c r="V2071" s="168">
        <f t="shared" si="3"/>
        <v>21247.6852</v>
      </c>
      <c r="W2071" s="168">
        <f t="shared" si="4"/>
        <v>0</v>
      </c>
      <c r="X2071" s="168">
        <f t="shared" si="5"/>
        <v>0</v>
      </c>
      <c r="Y2071" s="168">
        <f t="shared" si="6"/>
        <v>0</v>
      </c>
      <c r="Z2071" s="168">
        <f t="shared" si="7"/>
        <v>0</v>
      </c>
      <c r="AA2071" s="168">
        <f t="shared" si="8"/>
        <v>0</v>
      </c>
      <c r="AB2071" s="168">
        <f t="shared" si="9"/>
        <v>0</v>
      </c>
    </row>
    <row r="2072" ht="15.0" customHeight="1">
      <c r="A2072" s="157" t="s">
        <v>9437</v>
      </c>
      <c r="B2072" s="169" t="s">
        <v>36</v>
      </c>
      <c r="C2072" s="169" t="s">
        <v>4769</v>
      </c>
      <c r="D2072" s="317">
        <v>44991.0</v>
      </c>
      <c r="E2072" s="157" t="s">
        <v>600</v>
      </c>
      <c r="F2072" s="160">
        <v>3194.7</v>
      </c>
      <c r="G2072" s="160">
        <f>'FACUS$'!$F2072*0.16</f>
        <v>511.152</v>
      </c>
      <c r="H2072" s="160">
        <f t="shared" si="68"/>
        <v>3705.852</v>
      </c>
      <c r="I2072" s="172"/>
      <c r="J2072" s="169"/>
      <c r="K2072" s="172"/>
      <c r="L2072" s="172">
        <f>+'FACUS$'!$H2072-'FACUS$'!$I2072-'FACUS$'!$K2072</f>
        <v>3705.852</v>
      </c>
      <c r="M2072" s="162" t="s">
        <v>278</v>
      </c>
      <c r="N2072" s="337" t="s">
        <v>554</v>
      </c>
      <c r="O2072" s="338">
        <v>44998.0</v>
      </c>
      <c r="P2072" s="164">
        <f t="array" ref="P2072">XLOOKUP('FACUS$'!$B2072,'perfil de pagos'!$A$4:$A$46,'perfil de pagos'!$C$4:$C$46+'FACUS$'!$D2072)</f>
        <v>45001</v>
      </c>
      <c r="Q2072" s="165">
        <f t="shared" si="66"/>
        <v>0</v>
      </c>
      <c r="R2072" s="167"/>
      <c r="S2072" s="167">
        <v>2026.0</v>
      </c>
      <c r="T2072" s="167"/>
      <c r="U2072" s="334" t="s">
        <v>7271</v>
      </c>
      <c r="V2072" s="168">
        <f t="shared" si="3"/>
        <v>3705.852</v>
      </c>
      <c r="W2072" s="168">
        <f t="shared" si="4"/>
        <v>0</v>
      </c>
      <c r="X2072" s="168">
        <f t="shared" si="5"/>
        <v>0</v>
      </c>
      <c r="Y2072" s="168">
        <f t="shared" si="6"/>
        <v>0</v>
      </c>
      <c r="Z2072" s="168">
        <f t="shared" si="7"/>
        <v>0</v>
      </c>
      <c r="AA2072" s="168">
        <f t="shared" si="8"/>
        <v>0</v>
      </c>
      <c r="AB2072" s="168">
        <f t="shared" si="9"/>
        <v>0</v>
      </c>
    </row>
    <row r="2073" ht="15.0" customHeight="1">
      <c r="A2073" s="157" t="s">
        <v>9438</v>
      </c>
      <c r="B2073" s="169" t="s">
        <v>41</v>
      </c>
      <c r="C2073" s="169" t="s">
        <v>4769</v>
      </c>
      <c r="D2073" s="317">
        <v>44991.0</v>
      </c>
      <c r="E2073" s="157" t="s">
        <v>600</v>
      </c>
      <c r="F2073" s="160">
        <v>64615.9</v>
      </c>
      <c r="G2073" s="160">
        <f>'FACUS$'!$F2073*0.16</f>
        <v>10338.544</v>
      </c>
      <c r="H2073" s="160">
        <f t="shared" si="68"/>
        <v>74954.444</v>
      </c>
      <c r="I2073" s="172"/>
      <c r="J2073" s="169"/>
      <c r="K2073" s="172"/>
      <c r="L2073" s="172">
        <f>+'FACUS$'!$H2073-'FACUS$'!$I2073-'FACUS$'!$K2073</f>
        <v>74954.444</v>
      </c>
      <c r="M2073" s="162" t="s">
        <v>875</v>
      </c>
      <c r="N2073" s="337" t="s">
        <v>554</v>
      </c>
      <c r="O2073" s="338">
        <v>45051.0</v>
      </c>
      <c r="P2073" s="164">
        <f t="array" ref="P2073">XLOOKUP('FACUS$'!$B2073,'perfil de pagos'!$A$4:$A$46,'perfil de pagos'!$C$4:$C$46+'FACUS$'!$D2073)</f>
        <v>45001</v>
      </c>
      <c r="Q2073" s="165">
        <f t="shared" si="66"/>
        <v>0</v>
      </c>
      <c r="R2073" s="167"/>
      <c r="S2073" s="167">
        <v>2149.0</v>
      </c>
      <c r="T2073" s="167"/>
      <c r="U2073" s="334" t="s">
        <v>7271</v>
      </c>
      <c r="V2073" s="168">
        <f t="shared" si="3"/>
        <v>74954.444</v>
      </c>
      <c r="W2073" s="168">
        <f t="shared" si="4"/>
        <v>0</v>
      </c>
      <c r="X2073" s="168">
        <f t="shared" si="5"/>
        <v>0</v>
      </c>
      <c r="Y2073" s="168">
        <f t="shared" si="6"/>
        <v>0</v>
      </c>
      <c r="Z2073" s="168">
        <f t="shared" si="7"/>
        <v>0</v>
      </c>
      <c r="AA2073" s="168">
        <f t="shared" si="8"/>
        <v>0</v>
      </c>
      <c r="AB2073" s="168">
        <f t="shared" si="9"/>
        <v>0</v>
      </c>
    </row>
    <row r="2074" ht="15.0" customHeight="1">
      <c r="A2074" s="157" t="s">
        <v>9439</v>
      </c>
      <c r="B2074" s="169" t="s">
        <v>42</v>
      </c>
      <c r="C2074" s="169" t="s">
        <v>4769</v>
      </c>
      <c r="D2074" s="317">
        <v>44991.0</v>
      </c>
      <c r="E2074" s="157" t="s">
        <v>600</v>
      </c>
      <c r="F2074" s="160">
        <v>17195.01</v>
      </c>
      <c r="G2074" s="160">
        <f>'FACUS$'!$F2074*0.16</f>
        <v>2751.2016</v>
      </c>
      <c r="H2074" s="160">
        <f t="shared" si="68"/>
        <v>19946.2116</v>
      </c>
      <c r="I2074" s="172"/>
      <c r="J2074" s="169"/>
      <c r="K2074" s="172"/>
      <c r="L2074" s="172">
        <f>+'FACUS$'!$H2074-'FACUS$'!$I2074-'FACUS$'!$K2074</f>
        <v>19946.2116</v>
      </c>
      <c r="M2074" s="162" t="s">
        <v>42</v>
      </c>
      <c r="N2074" s="337" t="s">
        <v>554</v>
      </c>
      <c r="O2074" s="338">
        <v>45021.0</v>
      </c>
      <c r="P2074" s="164">
        <f t="array" ref="P2074">XLOOKUP('FACUS$'!$B2074,'perfil de pagos'!$A$4:$A$46,'perfil de pagos'!$C$4:$C$46+'FACUS$'!$D2074)</f>
        <v>45001</v>
      </c>
      <c r="Q2074" s="165">
        <f t="shared" si="66"/>
        <v>0</v>
      </c>
      <c r="R2074" s="167"/>
      <c r="S2074" s="167">
        <v>2102.0</v>
      </c>
      <c r="T2074" s="167"/>
      <c r="U2074" s="334" t="s">
        <v>7271</v>
      </c>
      <c r="V2074" s="168">
        <f t="shared" si="3"/>
        <v>19946.2116</v>
      </c>
      <c r="W2074" s="168">
        <f t="shared" si="4"/>
        <v>0</v>
      </c>
      <c r="X2074" s="168">
        <f t="shared" si="5"/>
        <v>0</v>
      </c>
      <c r="Y2074" s="168">
        <f t="shared" si="6"/>
        <v>0</v>
      </c>
      <c r="Z2074" s="168">
        <f t="shared" si="7"/>
        <v>0</v>
      </c>
      <c r="AA2074" s="168">
        <f t="shared" si="8"/>
        <v>0</v>
      </c>
      <c r="AB2074" s="168">
        <f t="shared" si="9"/>
        <v>0</v>
      </c>
    </row>
    <row r="2075" ht="15.0" customHeight="1">
      <c r="A2075" s="157" t="s">
        <v>9440</v>
      </c>
      <c r="B2075" s="169" t="s">
        <v>43</v>
      </c>
      <c r="C2075" s="169" t="s">
        <v>4769</v>
      </c>
      <c r="D2075" s="317">
        <v>44991.0</v>
      </c>
      <c r="E2075" s="157" t="s">
        <v>600</v>
      </c>
      <c r="F2075" s="160">
        <v>68844.42</v>
      </c>
      <c r="G2075" s="160">
        <f>'FACUS$'!$F2075*0.16</f>
        <v>11015.1072</v>
      </c>
      <c r="H2075" s="160">
        <f t="shared" si="68"/>
        <v>79859.5272</v>
      </c>
      <c r="I2075" s="172"/>
      <c r="J2075" s="169"/>
      <c r="K2075" s="172"/>
      <c r="L2075" s="172">
        <f>+'FACUS$'!$H2075-'FACUS$'!$I2075-'FACUS$'!$K2075</f>
        <v>79859.5272</v>
      </c>
      <c r="M2075" s="162" t="s">
        <v>43</v>
      </c>
      <c r="N2075" s="337" t="s">
        <v>554</v>
      </c>
      <c r="O2075" s="338">
        <v>44634.0</v>
      </c>
      <c r="P2075" s="164">
        <f t="array" ref="P2075">XLOOKUP('FACUS$'!$B2075,'perfil de pagos'!$A$4:$A$46,'perfil de pagos'!$C$4:$C$46+'FACUS$'!$D2075)</f>
        <v>45016</v>
      </c>
      <c r="Q2075" s="165">
        <f t="shared" si="66"/>
        <v>0</v>
      </c>
      <c r="R2075" s="167"/>
      <c r="S2075" s="167">
        <v>2029.0</v>
      </c>
      <c r="T2075" s="167"/>
      <c r="U2075" s="334" t="s">
        <v>7271</v>
      </c>
      <c r="V2075" s="168">
        <f t="shared" si="3"/>
        <v>79859.5272</v>
      </c>
      <c r="W2075" s="168">
        <f t="shared" si="4"/>
        <v>0</v>
      </c>
      <c r="X2075" s="168">
        <f t="shared" si="5"/>
        <v>0</v>
      </c>
      <c r="Y2075" s="168">
        <f t="shared" si="6"/>
        <v>0</v>
      </c>
      <c r="Z2075" s="168">
        <f t="shared" si="7"/>
        <v>0</v>
      </c>
      <c r="AA2075" s="168">
        <f t="shared" si="8"/>
        <v>0</v>
      </c>
      <c r="AB2075" s="168">
        <f t="shared" si="9"/>
        <v>0</v>
      </c>
    </row>
    <row r="2076" ht="15.0" customHeight="1">
      <c r="A2076" s="157" t="s">
        <v>9441</v>
      </c>
      <c r="B2076" s="169" t="s">
        <v>44</v>
      </c>
      <c r="C2076" s="169" t="s">
        <v>4769</v>
      </c>
      <c r="D2076" s="317">
        <v>44991.0</v>
      </c>
      <c r="E2076" s="157" t="s">
        <v>600</v>
      </c>
      <c r="F2076" s="160">
        <v>22479.2</v>
      </c>
      <c r="G2076" s="160">
        <f>'FACUS$'!$F2076*0.16</f>
        <v>3596.672</v>
      </c>
      <c r="H2076" s="160">
        <f t="shared" si="68"/>
        <v>26075.872</v>
      </c>
      <c r="I2076" s="172"/>
      <c r="J2076" s="169"/>
      <c r="K2076" s="172"/>
      <c r="L2076" s="172">
        <f>+'FACUS$'!$H2076-'FACUS$'!$I2076-'FACUS$'!$K2076</f>
        <v>26075.872</v>
      </c>
      <c r="M2076" s="162" t="s">
        <v>361</v>
      </c>
      <c r="N2076" s="337" t="s">
        <v>554</v>
      </c>
      <c r="O2076" s="338">
        <v>44995.0</v>
      </c>
      <c r="P2076" s="164">
        <f t="array" ref="P2076">XLOOKUP('FACUS$'!$B2076,'perfil de pagos'!$A$4:$A$46,'perfil de pagos'!$C$4:$C$46+'FACUS$'!$D2076)</f>
        <v>45001</v>
      </c>
      <c r="Q2076" s="165">
        <f t="shared" si="66"/>
        <v>0</v>
      </c>
      <c r="R2076" s="167"/>
      <c r="S2076" s="167">
        <v>2018.0</v>
      </c>
      <c r="T2076" s="167"/>
      <c r="U2076" s="334" t="s">
        <v>7271</v>
      </c>
      <c r="V2076" s="168">
        <f t="shared" si="3"/>
        <v>26075.872</v>
      </c>
      <c r="W2076" s="168">
        <f t="shared" si="4"/>
        <v>0</v>
      </c>
      <c r="X2076" s="168">
        <f t="shared" si="5"/>
        <v>0</v>
      </c>
      <c r="Y2076" s="168">
        <f t="shared" si="6"/>
        <v>0</v>
      </c>
      <c r="Z2076" s="168">
        <f t="shared" si="7"/>
        <v>0</v>
      </c>
      <c r="AA2076" s="168">
        <f t="shared" si="8"/>
        <v>0</v>
      </c>
      <c r="AB2076" s="168">
        <f t="shared" si="9"/>
        <v>0</v>
      </c>
    </row>
    <row r="2077" ht="15.0" customHeight="1">
      <c r="A2077" s="157" t="s">
        <v>9442</v>
      </c>
      <c r="B2077" s="169" t="s">
        <v>39</v>
      </c>
      <c r="C2077" s="169" t="s">
        <v>9443</v>
      </c>
      <c r="D2077" s="317">
        <v>44991.0</v>
      </c>
      <c r="E2077" s="157" t="s">
        <v>600</v>
      </c>
      <c r="F2077" s="160">
        <v>27797.41</v>
      </c>
      <c r="G2077" s="160">
        <f>'FACUS$'!$F2077*0.16</f>
        <v>4447.5856</v>
      </c>
      <c r="H2077" s="160">
        <f t="shared" si="68"/>
        <v>32244.9956</v>
      </c>
      <c r="I2077" s="172"/>
      <c r="J2077" s="169"/>
      <c r="K2077" s="172"/>
      <c r="L2077" s="172">
        <f>+'FACUS$'!$H2077-'FACUS$'!$I2077-'FACUS$'!$K2077</f>
        <v>32244.9956</v>
      </c>
      <c r="M2077" s="162" t="s">
        <v>570</v>
      </c>
      <c r="N2077" s="337" t="s">
        <v>554</v>
      </c>
      <c r="O2077" s="338">
        <v>45009.0</v>
      </c>
      <c r="P2077" s="164">
        <f t="array" ref="P2077">XLOOKUP('FACUS$'!$B2077,'perfil de pagos'!$A$4:$A$46,'perfil de pagos'!$C$4:$C$46+'FACUS$'!$D2077)</f>
        <v>45001</v>
      </c>
      <c r="Q2077" s="165">
        <f t="shared" si="66"/>
        <v>0</v>
      </c>
      <c r="R2077" s="167"/>
      <c r="S2077" s="167">
        <v>2073.0</v>
      </c>
      <c r="T2077" s="167"/>
      <c r="U2077" s="334" t="s">
        <v>7271</v>
      </c>
      <c r="V2077" s="168">
        <f t="shared" si="3"/>
        <v>32244.9956</v>
      </c>
      <c r="W2077" s="168">
        <f t="shared" si="4"/>
        <v>0</v>
      </c>
      <c r="X2077" s="168">
        <f t="shared" si="5"/>
        <v>0</v>
      </c>
      <c r="Y2077" s="168">
        <f t="shared" si="6"/>
        <v>0</v>
      </c>
      <c r="Z2077" s="168">
        <f t="shared" si="7"/>
        <v>0</v>
      </c>
      <c r="AA2077" s="168">
        <f t="shared" si="8"/>
        <v>0</v>
      </c>
      <c r="AB2077" s="168">
        <f t="shared" si="9"/>
        <v>0</v>
      </c>
    </row>
    <row r="2078" ht="15.0" customHeight="1">
      <c r="A2078" s="157" t="s">
        <v>9444</v>
      </c>
      <c r="B2078" s="169" t="s">
        <v>39</v>
      </c>
      <c r="C2078" s="169" t="s">
        <v>4769</v>
      </c>
      <c r="D2078" s="317">
        <v>44991.0</v>
      </c>
      <c r="E2078" s="157" t="s">
        <v>600</v>
      </c>
      <c r="F2078" s="160">
        <v>36296.8</v>
      </c>
      <c r="G2078" s="160">
        <f>'FACUS$'!$F2078*0.16</f>
        <v>5807.488</v>
      </c>
      <c r="H2078" s="160">
        <f t="shared" si="68"/>
        <v>42104.288</v>
      </c>
      <c r="I2078" s="172"/>
      <c r="J2078" s="169"/>
      <c r="K2078" s="172"/>
      <c r="L2078" s="172">
        <f>+'FACUS$'!$H2078-'FACUS$'!$I2078-'FACUS$'!$K2078</f>
        <v>42104.288</v>
      </c>
      <c r="M2078" s="162" t="s">
        <v>570</v>
      </c>
      <c r="N2078" s="337" t="s">
        <v>554</v>
      </c>
      <c r="O2078" s="338">
        <v>45009.0</v>
      </c>
      <c r="P2078" s="164">
        <f t="array" ref="P2078">XLOOKUP('FACUS$'!$B2078,'perfil de pagos'!$A$4:$A$46,'perfil de pagos'!$C$4:$C$46+'FACUS$'!$D2078)</f>
        <v>45001</v>
      </c>
      <c r="Q2078" s="165">
        <f t="shared" si="66"/>
        <v>0</v>
      </c>
      <c r="R2078" s="167"/>
      <c r="S2078" s="167">
        <v>2073.0</v>
      </c>
      <c r="T2078" s="167"/>
      <c r="U2078" s="334" t="s">
        <v>7271</v>
      </c>
      <c r="V2078" s="168">
        <f t="shared" si="3"/>
        <v>42104.288</v>
      </c>
      <c r="W2078" s="168">
        <f t="shared" si="4"/>
        <v>0</v>
      </c>
      <c r="X2078" s="168">
        <f t="shared" si="5"/>
        <v>0</v>
      </c>
      <c r="Y2078" s="168">
        <f t="shared" si="6"/>
        <v>0</v>
      </c>
      <c r="Z2078" s="168">
        <f t="shared" si="7"/>
        <v>0</v>
      </c>
      <c r="AA2078" s="168">
        <f t="shared" si="8"/>
        <v>0</v>
      </c>
      <c r="AB2078" s="168">
        <f t="shared" si="9"/>
        <v>0</v>
      </c>
    </row>
    <row r="2079" ht="15.0" customHeight="1">
      <c r="A2079" s="157" t="s">
        <v>9445</v>
      </c>
      <c r="B2079" s="169" t="s">
        <v>17</v>
      </c>
      <c r="C2079" s="169" t="s">
        <v>9443</v>
      </c>
      <c r="D2079" s="317">
        <v>44991.0</v>
      </c>
      <c r="E2079" s="157" t="s">
        <v>600</v>
      </c>
      <c r="F2079" s="160">
        <v>8305.59</v>
      </c>
      <c r="G2079" s="160">
        <f>'FACUS$'!$F2079*0.16</f>
        <v>1328.8944</v>
      </c>
      <c r="H2079" s="160">
        <f t="shared" si="68"/>
        <v>9634.4844</v>
      </c>
      <c r="I2079" s="172"/>
      <c r="J2079" s="169">
        <v>301.0</v>
      </c>
      <c r="K2079" s="172">
        <f>'NCUS$'!H60</f>
        <v>7693.9204</v>
      </c>
      <c r="L2079" s="172">
        <f>+'FACUS$'!$H2079-'FACUS$'!$I2079-'FACUS$'!$K2079</f>
        <v>1940.564</v>
      </c>
      <c r="M2079" s="162" t="s">
        <v>17</v>
      </c>
      <c r="N2079" s="337" t="s">
        <v>554</v>
      </c>
      <c r="O2079" s="338">
        <v>45008.0</v>
      </c>
      <c r="P2079" s="164">
        <f t="array" ref="P2079">XLOOKUP('FACUS$'!$B2079,'perfil de pagos'!$A$4:$A$46,'perfil de pagos'!$C$4:$C$46+'FACUS$'!$D2079)</f>
        <v>45001</v>
      </c>
      <c r="Q2079" s="165">
        <f t="shared" si="66"/>
        <v>0</v>
      </c>
      <c r="R2079" s="167"/>
      <c r="S2079" s="167">
        <v>2056.0</v>
      </c>
      <c r="T2079" s="167"/>
      <c r="U2079" s="334" t="s">
        <v>7271</v>
      </c>
      <c r="V2079" s="168">
        <f t="shared" si="3"/>
        <v>1940.564</v>
      </c>
      <c r="W2079" s="168">
        <f t="shared" si="4"/>
        <v>0</v>
      </c>
      <c r="X2079" s="168">
        <f t="shared" si="5"/>
        <v>0</v>
      </c>
      <c r="Y2079" s="168">
        <f t="shared" si="6"/>
        <v>0</v>
      </c>
      <c r="Z2079" s="168">
        <f t="shared" si="7"/>
        <v>0</v>
      </c>
      <c r="AA2079" s="168">
        <f t="shared" si="8"/>
        <v>0</v>
      </c>
      <c r="AB2079" s="168">
        <f t="shared" si="9"/>
        <v>0</v>
      </c>
    </row>
    <row r="2080" ht="15.0" customHeight="1">
      <c r="A2080" s="157" t="s">
        <v>9446</v>
      </c>
      <c r="B2080" s="169" t="s">
        <v>17</v>
      </c>
      <c r="C2080" s="169" t="s">
        <v>4769</v>
      </c>
      <c r="D2080" s="317">
        <v>44991.0</v>
      </c>
      <c r="E2080" s="157" t="s">
        <v>600</v>
      </c>
      <c r="F2080" s="160">
        <v>17331.53</v>
      </c>
      <c r="G2080" s="160">
        <f>'FACUS$'!$F2080*0.16</f>
        <v>2773.0448</v>
      </c>
      <c r="H2080" s="160">
        <f t="shared" si="68"/>
        <v>20104.5748</v>
      </c>
      <c r="I2080" s="172"/>
      <c r="J2080" s="169"/>
      <c r="K2080" s="172"/>
      <c r="L2080" s="172">
        <f>+'FACUS$'!$H2080-'FACUS$'!$I2080-'FACUS$'!$K2080</f>
        <v>20104.5748</v>
      </c>
      <c r="M2080" s="162" t="s">
        <v>17</v>
      </c>
      <c r="N2080" s="337" t="s">
        <v>554</v>
      </c>
      <c r="O2080" s="338">
        <v>45008.0</v>
      </c>
      <c r="P2080" s="164">
        <f t="array" ref="P2080">XLOOKUP('FACUS$'!$B2080,'perfil de pagos'!$A$4:$A$46,'perfil de pagos'!$C$4:$C$46+'FACUS$'!$D2080)</f>
        <v>45001</v>
      </c>
      <c r="Q2080" s="165">
        <f t="shared" si="66"/>
        <v>0</v>
      </c>
      <c r="R2080" s="167"/>
      <c r="S2080" s="167">
        <v>2055.0</v>
      </c>
      <c r="T2080" s="167"/>
      <c r="U2080" s="334" t="s">
        <v>7271</v>
      </c>
      <c r="V2080" s="168">
        <f t="shared" si="3"/>
        <v>20104.5748</v>
      </c>
      <c r="W2080" s="168">
        <f t="shared" si="4"/>
        <v>0</v>
      </c>
      <c r="X2080" s="168">
        <f t="shared" si="5"/>
        <v>0</v>
      </c>
      <c r="Y2080" s="168">
        <f t="shared" si="6"/>
        <v>0</v>
      </c>
      <c r="Z2080" s="168">
        <f t="shared" si="7"/>
        <v>0</v>
      </c>
      <c r="AA2080" s="168">
        <f t="shared" si="8"/>
        <v>0</v>
      </c>
      <c r="AB2080" s="168">
        <f t="shared" si="9"/>
        <v>0</v>
      </c>
    </row>
    <row r="2081" ht="15.0" customHeight="1">
      <c r="A2081" s="157" t="s">
        <v>9447</v>
      </c>
      <c r="B2081" s="169" t="s">
        <v>18</v>
      </c>
      <c r="C2081" s="169" t="s">
        <v>4755</v>
      </c>
      <c r="D2081" s="317">
        <v>44991.0</v>
      </c>
      <c r="E2081" s="157" t="s">
        <v>600</v>
      </c>
      <c r="F2081" s="160">
        <v>116.71</v>
      </c>
      <c r="G2081" s="160">
        <f>'FACUS$'!$F2081*0.16</f>
        <v>18.6736</v>
      </c>
      <c r="H2081" s="160">
        <f t="shared" si="68"/>
        <v>135.3836</v>
      </c>
      <c r="I2081" s="172"/>
      <c r="J2081" s="169"/>
      <c r="K2081" s="172"/>
      <c r="L2081" s="172">
        <f>+'FACUS$'!$H2081-'FACUS$'!$I2081-'FACUS$'!$K2081</f>
        <v>135.3836</v>
      </c>
      <c r="M2081" s="162" t="s">
        <v>586</v>
      </c>
      <c r="N2081" s="337" t="s">
        <v>127</v>
      </c>
      <c r="O2081" s="338"/>
      <c r="P2081" s="164">
        <f t="array" ref="P2081">XLOOKUP('FACUS$'!$B2081,'perfil de pagos'!$A$4:$A$46,'perfil de pagos'!$C$4:$C$46+'FACUS$'!$D2081)</f>
        <v>45001</v>
      </c>
      <c r="Q2081" s="165" t="str">
        <f t="shared" si="66"/>
        <v>N/A</v>
      </c>
      <c r="R2081" s="167" t="s">
        <v>9448</v>
      </c>
      <c r="S2081" s="167"/>
      <c r="T2081" s="167"/>
      <c r="U2081" s="334" t="s">
        <v>7271</v>
      </c>
      <c r="V2081" s="168">
        <f t="shared" si="3"/>
        <v>0</v>
      </c>
      <c r="W2081" s="168">
        <f t="shared" si="4"/>
        <v>0</v>
      </c>
      <c r="X2081" s="168">
        <f t="shared" si="5"/>
        <v>0</v>
      </c>
      <c r="Y2081" s="168">
        <f t="shared" si="6"/>
        <v>0</v>
      </c>
      <c r="Z2081" s="168">
        <f t="shared" si="7"/>
        <v>0</v>
      </c>
      <c r="AA2081" s="168">
        <f t="shared" si="8"/>
        <v>0</v>
      </c>
      <c r="AB2081" s="168">
        <f t="shared" si="9"/>
        <v>135.3836</v>
      </c>
    </row>
    <row r="2082" ht="15.0" customHeight="1">
      <c r="A2082" s="157" t="s">
        <v>9449</v>
      </c>
      <c r="B2082" s="169" t="s">
        <v>20</v>
      </c>
      <c r="C2082" s="169" t="s">
        <v>4755</v>
      </c>
      <c r="D2082" s="317">
        <v>44991.0</v>
      </c>
      <c r="E2082" s="157" t="s">
        <v>600</v>
      </c>
      <c r="F2082" s="160">
        <v>206.73</v>
      </c>
      <c r="G2082" s="160">
        <f>'FACUS$'!$F2082*0.16</f>
        <v>33.0768</v>
      </c>
      <c r="H2082" s="160">
        <f t="shared" si="68"/>
        <v>239.8068</v>
      </c>
      <c r="I2082" s="172"/>
      <c r="J2082" s="169"/>
      <c r="K2082" s="172"/>
      <c r="L2082" s="172">
        <f>+'FACUS$'!$H2082-'FACUS$'!$I2082-'FACUS$'!$K2082</f>
        <v>239.8068</v>
      </c>
      <c r="M2082" s="162" t="s">
        <v>732</v>
      </c>
      <c r="N2082" s="337" t="s">
        <v>554</v>
      </c>
      <c r="O2082" s="338">
        <v>45091.0</v>
      </c>
      <c r="P2082" s="164">
        <f t="array" ref="P2082">XLOOKUP('FACUS$'!$B2082,'perfil de pagos'!$A$4:$A$46,'perfil de pagos'!$C$4:$C$46+'FACUS$'!$D2082)</f>
        <v>45001</v>
      </c>
      <c r="Q2082" s="165">
        <f t="shared" si="66"/>
        <v>0</v>
      </c>
      <c r="R2082" s="167"/>
      <c r="S2082" s="167">
        <v>2223.0</v>
      </c>
      <c r="T2082" s="167"/>
      <c r="U2082" s="334" t="s">
        <v>7271</v>
      </c>
      <c r="V2082" s="168">
        <f t="shared" si="3"/>
        <v>239.8068</v>
      </c>
      <c r="W2082" s="168">
        <f t="shared" si="4"/>
        <v>0</v>
      </c>
      <c r="X2082" s="168">
        <f t="shared" si="5"/>
        <v>0</v>
      </c>
      <c r="Y2082" s="168">
        <f t="shared" si="6"/>
        <v>0</v>
      </c>
      <c r="Z2082" s="168">
        <f t="shared" si="7"/>
        <v>0</v>
      </c>
      <c r="AA2082" s="168">
        <f t="shared" si="8"/>
        <v>0</v>
      </c>
      <c r="AB2082" s="168">
        <f t="shared" si="9"/>
        <v>0</v>
      </c>
    </row>
    <row r="2083" ht="15.0" customHeight="1">
      <c r="A2083" s="157" t="s">
        <v>9450</v>
      </c>
      <c r="B2083" s="169" t="s">
        <v>22</v>
      </c>
      <c r="C2083" s="169" t="s">
        <v>4755</v>
      </c>
      <c r="D2083" s="317">
        <v>44991.0</v>
      </c>
      <c r="E2083" s="157" t="s">
        <v>600</v>
      </c>
      <c r="F2083" s="160">
        <v>206.24</v>
      </c>
      <c r="G2083" s="160">
        <f>'FACUS$'!$F2083*0.16</f>
        <v>32.9984</v>
      </c>
      <c r="H2083" s="160">
        <f t="shared" si="68"/>
        <v>239.2384</v>
      </c>
      <c r="I2083" s="172"/>
      <c r="J2083" s="169"/>
      <c r="K2083" s="172"/>
      <c r="L2083" s="172">
        <f>+'FACUS$'!$H2083-'FACUS$'!$I2083-'FACUS$'!$K2083</f>
        <v>239.2384</v>
      </c>
      <c r="M2083" s="162" t="s">
        <v>220</v>
      </c>
      <c r="N2083" s="337" t="s">
        <v>554</v>
      </c>
      <c r="O2083" s="338">
        <v>45044.0</v>
      </c>
      <c r="P2083" s="164">
        <f t="array" ref="P2083">XLOOKUP('FACUS$'!$B2083,'perfil de pagos'!$A$4:$A$46,'perfil de pagos'!$C$4:$C$46+'FACUS$'!$D2083)</f>
        <v>45001</v>
      </c>
      <c r="Q2083" s="165">
        <f t="shared" si="66"/>
        <v>0</v>
      </c>
      <c r="R2083" s="167" t="s">
        <v>9451</v>
      </c>
      <c r="S2083" s="167">
        <v>2136.0</v>
      </c>
      <c r="T2083" s="167"/>
      <c r="U2083" s="334" t="s">
        <v>7271</v>
      </c>
      <c r="V2083" s="168">
        <f t="shared" si="3"/>
        <v>239.2384</v>
      </c>
      <c r="W2083" s="168">
        <f t="shared" si="4"/>
        <v>0</v>
      </c>
      <c r="X2083" s="168">
        <f t="shared" si="5"/>
        <v>0</v>
      </c>
      <c r="Y2083" s="168">
        <f t="shared" si="6"/>
        <v>0</v>
      </c>
      <c r="Z2083" s="168">
        <f t="shared" si="7"/>
        <v>0</v>
      </c>
      <c r="AA2083" s="168">
        <f t="shared" si="8"/>
        <v>0</v>
      </c>
      <c r="AB2083" s="168">
        <f t="shared" si="9"/>
        <v>0</v>
      </c>
    </row>
    <row r="2084" ht="15.0" customHeight="1">
      <c r="A2084" s="157" t="s">
        <v>9452</v>
      </c>
      <c r="B2084" s="169" t="s">
        <v>25</v>
      </c>
      <c r="C2084" s="169" t="s">
        <v>4755</v>
      </c>
      <c r="D2084" s="317">
        <v>44991.0</v>
      </c>
      <c r="E2084" s="157" t="s">
        <v>600</v>
      </c>
      <c r="F2084" s="160">
        <v>100.56</v>
      </c>
      <c r="G2084" s="160">
        <f>'FACUS$'!$F2084*0.16</f>
        <v>16.0896</v>
      </c>
      <c r="H2084" s="160">
        <f t="shared" si="68"/>
        <v>116.6496</v>
      </c>
      <c r="I2084" s="172"/>
      <c r="J2084" s="169"/>
      <c r="K2084" s="172"/>
      <c r="L2084" s="172">
        <f>+'FACUS$'!$H2084-'FACUS$'!$I2084-'FACUS$'!$K2084</f>
        <v>116.6496</v>
      </c>
      <c r="M2084" s="162" t="s">
        <v>4388</v>
      </c>
      <c r="N2084" s="337" t="s">
        <v>554</v>
      </c>
      <c r="O2084" s="338">
        <v>45050.0</v>
      </c>
      <c r="P2084" s="164">
        <f t="array" ref="P2084">XLOOKUP('FACUS$'!$B2084,'perfil de pagos'!$A$4:$A$46,'perfil de pagos'!$C$4:$C$46+'FACUS$'!$D2084)</f>
        <v>45001</v>
      </c>
      <c r="Q2084" s="165">
        <f t="shared" si="66"/>
        <v>0</v>
      </c>
      <c r="R2084" s="167"/>
      <c r="S2084" s="167">
        <v>2147.0</v>
      </c>
      <c r="T2084" s="167"/>
      <c r="U2084" s="334" t="s">
        <v>7271</v>
      </c>
      <c r="V2084" s="168">
        <f t="shared" si="3"/>
        <v>116.6496</v>
      </c>
      <c r="W2084" s="168">
        <f t="shared" si="4"/>
        <v>0</v>
      </c>
      <c r="X2084" s="168">
        <f t="shared" si="5"/>
        <v>0</v>
      </c>
      <c r="Y2084" s="168">
        <f t="shared" si="6"/>
        <v>0</v>
      </c>
      <c r="Z2084" s="168">
        <f t="shared" si="7"/>
        <v>0</v>
      </c>
      <c r="AA2084" s="168">
        <f t="shared" si="8"/>
        <v>0</v>
      </c>
      <c r="AB2084" s="168">
        <f t="shared" si="9"/>
        <v>0</v>
      </c>
    </row>
    <row r="2085" ht="15.0" customHeight="1">
      <c r="A2085" s="157" t="s">
        <v>9453</v>
      </c>
      <c r="B2085" s="169" t="s">
        <v>37</v>
      </c>
      <c r="C2085" s="169" t="s">
        <v>4755</v>
      </c>
      <c r="D2085" s="317">
        <v>44991.0</v>
      </c>
      <c r="E2085" s="157" t="s">
        <v>600</v>
      </c>
      <c r="F2085" s="160">
        <v>1607.67</v>
      </c>
      <c r="G2085" s="160">
        <f>'FACUS$'!$F2085*0.16</f>
        <v>257.2272</v>
      </c>
      <c r="H2085" s="160">
        <f t="shared" si="68"/>
        <v>1864.8972</v>
      </c>
      <c r="I2085" s="172"/>
      <c r="J2085" s="169"/>
      <c r="K2085" s="172"/>
      <c r="L2085" s="172">
        <f>+'FACUS$'!$H2085-'FACUS$'!$I2085-'FACUS$'!$K2085</f>
        <v>1864.8972</v>
      </c>
      <c r="M2085" s="162" t="s">
        <v>116</v>
      </c>
      <c r="N2085" s="337" t="s">
        <v>554</v>
      </c>
      <c r="O2085" s="338">
        <v>45006.0</v>
      </c>
      <c r="P2085" s="164">
        <f t="array" ref="P2085">XLOOKUP('FACUS$'!$B2085,'perfil de pagos'!$A$4:$A$46,'perfil de pagos'!$C$4:$C$46+'FACUS$'!$D2085)</f>
        <v>45001</v>
      </c>
      <c r="Q2085" s="165">
        <f t="shared" si="66"/>
        <v>0</v>
      </c>
      <c r="R2085" s="167"/>
      <c r="S2085" s="167">
        <v>2048.0</v>
      </c>
      <c r="T2085" s="167"/>
      <c r="U2085" s="334" t="s">
        <v>7271</v>
      </c>
      <c r="V2085" s="168">
        <f t="shared" si="3"/>
        <v>1864.8972</v>
      </c>
      <c r="W2085" s="168">
        <f t="shared" si="4"/>
        <v>0</v>
      </c>
      <c r="X2085" s="168">
        <f t="shared" si="5"/>
        <v>0</v>
      </c>
      <c r="Y2085" s="168">
        <f t="shared" si="6"/>
        <v>0</v>
      </c>
      <c r="Z2085" s="168">
        <f t="shared" si="7"/>
        <v>0</v>
      </c>
      <c r="AA2085" s="168">
        <f t="shared" si="8"/>
        <v>0</v>
      </c>
      <c r="AB2085" s="168">
        <f t="shared" si="9"/>
        <v>0</v>
      </c>
    </row>
    <row r="2086" ht="15.0" customHeight="1">
      <c r="A2086" s="157" t="s">
        <v>9454</v>
      </c>
      <c r="B2086" s="169" t="s">
        <v>38</v>
      </c>
      <c r="C2086" s="169" t="s">
        <v>4755</v>
      </c>
      <c r="D2086" s="317">
        <v>44993.0</v>
      </c>
      <c r="E2086" s="157" t="s">
        <v>600</v>
      </c>
      <c r="F2086" s="160">
        <v>203.23</v>
      </c>
      <c r="G2086" s="160">
        <f>'FACUS$'!$F2086*0.16</f>
        <v>32.5168</v>
      </c>
      <c r="H2086" s="160">
        <f t="shared" si="68"/>
        <v>235.7468</v>
      </c>
      <c r="I2086" s="172"/>
      <c r="J2086" s="169"/>
      <c r="K2086" s="172"/>
      <c r="L2086" s="172">
        <f>+'FACUS$'!$H2086-'FACUS$'!$I2086-'FACUS$'!$K2086</f>
        <v>235.7468</v>
      </c>
      <c r="M2086" s="162" t="s">
        <v>145</v>
      </c>
      <c r="N2086" s="337" t="s">
        <v>554</v>
      </c>
      <c r="O2086" s="338">
        <v>45006.0</v>
      </c>
      <c r="P2086" s="164">
        <f t="array" ref="P2086">XLOOKUP('FACUS$'!$B2086,'perfil de pagos'!$A$4:$A$46,'perfil de pagos'!$C$4:$C$46+'FACUS$'!$D2086)</f>
        <v>45023</v>
      </c>
      <c r="Q2086" s="165">
        <f t="shared" si="66"/>
        <v>0</v>
      </c>
      <c r="R2086" s="167"/>
      <c r="S2086" s="167">
        <v>2124.0</v>
      </c>
      <c r="T2086" s="167"/>
      <c r="U2086" s="334" t="s">
        <v>7271</v>
      </c>
      <c r="V2086" s="168">
        <f t="shared" si="3"/>
        <v>235.7468</v>
      </c>
      <c r="W2086" s="168">
        <f t="shared" si="4"/>
        <v>0</v>
      </c>
      <c r="X2086" s="168">
        <f t="shared" si="5"/>
        <v>0</v>
      </c>
      <c r="Y2086" s="168">
        <f t="shared" si="6"/>
        <v>0</v>
      </c>
      <c r="Z2086" s="168">
        <f t="shared" si="7"/>
        <v>0</v>
      </c>
      <c r="AA2086" s="168">
        <f t="shared" si="8"/>
        <v>0</v>
      </c>
      <c r="AB2086" s="168">
        <f t="shared" si="9"/>
        <v>0</v>
      </c>
    </row>
    <row r="2087" ht="15.0" customHeight="1">
      <c r="A2087" s="157" t="s">
        <v>9455</v>
      </c>
      <c r="B2087" s="169" t="s">
        <v>38</v>
      </c>
      <c r="C2087" s="169" t="s">
        <v>4755</v>
      </c>
      <c r="D2087" s="317">
        <v>44993.0</v>
      </c>
      <c r="E2087" s="157" t="s">
        <v>600</v>
      </c>
      <c r="F2087" s="160">
        <v>42.56</v>
      </c>
      <c r="G2087" s="160">
        <f>'FACUS$'!$F2087*0.16</f>
        <v>6.8096</v>
      </c>
      <c r="H2087" s="160">
        <f t="shared" si="68"/>
        <v>49.3696</v>
      </c>
      <c r="I2087" s="172"/>
      <c r="J2087" s="169"/>
      <c r="K2087" s="172"/>
      <c r="L2087" s="172">
        <f>+'FACUS$'!$H2087-'FACUS$'!$I2087-'FACUS$'!$K2087</f>
        <v>49.3696</v>
      </c>
      <c r="M2087" s="162" t="s">
        <v>642</v>
      </c>
      <c r="N2087" s="337" t="s">
        <v>554</v>
      </c>
      <c r="O2087" s="338">
        <v>45006.0</v>
      </c>
      <c r="P2087" s="164">
        <f t="array" ref="P2087">XLOOKUP('FACUS$'!$B2087,'perfil de pagos'!$A$4:$A$46,'perfil de pagos'!$C$4:$C$46+'FACUS$'!$D2087)</f>
        <v>45023</v>
      </c>
      <c r="Q2087" s="165">
        <f t="shared" si="66"/>
        <v>0</v>
      </c>
      <c r="R2087" s="167"/>
      <c r="S2087" s="167">
        <v>2124.0</v>
      </c>
      <c r="T2087" s="167"/>
      <c r="U2087" s="334" t="s">
        <v>7271</v>
      </c>
      <c r="V2087" s="168">
        <f t="shared" si="3"/>
        <v>49.3696</v>
      </c>
      <c r="W2087" s="168">
        <f t="shared" si="4"/>
        <v>0</v>
      </c>
      <c r="X2087" s="168">
        <f t="shared" si="5"/>
        <v>0</v>
      </c>
      <c r="Y2087" s="168">
        <f t="shared" si="6"/>
        <v>0</v>
      </c>
      <c r="Z2087" s="168">
        <f t="shared" si="7"/>
        <v>0</v>
      </c>
      <c r="AA2087" s="168">
        <f t="shared" si="8"/>
        <v>0</v>
      </c>
      <c r="AB2087" s="168">
        <f t="shared" si="9"/>
        <v>0</v>
      </c>
    </row>
    <row r="2088" ht="15.0" customHeight="1">
      <c r="A2088" s="157" t="s">
        <v>9456</v>
      </c>
      <c r="B2088" s="169" t="s">
        <v>38</v>
      </c>
      <c r="C2088" s="169" t="s">
        <v>4769</v>
      </c>
      <c r="D2088" s="317">
        <v>44993.0</v>
      </c>
      <c r="E2088" s="157" t="s">
        <v>600</v>
      </c>
      <c r="F2088" s="160">
        <v>3164.77</v>
      </c>
      <c r="G2088" s="160">
        <f>'FACUS$'!$F2088*0.16</f>
        <v>506.3632</v>
      </c>
      <c r="H2088" s="160">
        <f t="shared" si="68"/>
        <v>3671.1332</v>
      </c>
      <c r="I2088" s="172"/>
      <c r="J2088" s="169"/>
      <c r="K2088" s="172"/>
      <c r="L2088" s="172">
        <f>+'FACUS$'!$H2088-'FACUS$'!$I2088-'FACUS$'!$K2088</f>
        <v>3671.1332</v>
      </c>
      <c r="M2088" s="162" t="s">
        <v>4654</v>
      </c>
      <c r="N2088" s="337" t="s">
        <v>554</v>
      </c>
      <c r="O2088" s="338">
        <v>45065.0</v>
      </c>
      <c r="P2088" s="164">
        <f t="array" ref="P2088">XLOOKUP('FACUS$'!$B2088,'perfil de pagos'!$A$4:$A$46,'perfil de pagos'!$C$4:$C$46+'FACUS$'!$D2088)</f>
        <v>45023</v>
      </c>
      <c r="Q2088" s="165">
        <f t="shared" si="66"/>
        <v>0</v>
      </c>
      <c r="R2088" s="167"/>
      <c r="S2088" s="167">
        <v>2171.0</v>
      </c>
      <c r="T2088" s="167"/>
      <c r="U2088" s="334" t="s">
        <v>7271</v>
      </c>
      <c r="V2088" s="168">
        <f t="shared" si="3"/>
        <v>3671.1332</v>
      </c>
      <c r="W2088" s="168">
        <f t="shared" si="4"/>
        <v>0</v>
      </c>
      <c r="X2088" s="168">
        <f t="shared" si="5"/>
        <v>0</v>
      </c>
      <c r="Y2088" s="168">
        <f t="shared" si="6"/>
        <v>0</v>
      </c>
      <c r="Z2088" s="168">
        <f t="shared" si="7"/>
        <v>0</v>
      </c>
      <c r="AA2088" s="168">
        <f t="shared" si="8"/>
        <v>0</v>
      </c>
      <c r="AB2088" s="168">
        <f t="shared" si="9"/>
        <v>0</v>
      </c>
    </row>
    <row r="2089" ht="15.0" customHeight="1">
      <c r="A2089" s="157" t="s">
        <v>9457</v>
      </c>
      <c r="B2089" s="169" t="s">
        <v>18</v>
      </c>
      <c r="C2089" s="169" t="s">
        <v>4769</v>
      </c>
      <c r="D2089" s="317">
        <v>44993.0</v>
      </c>
      <c r="E2089" s="157" t="s">
        <v>600</v>
      </c>
      <c r="F2089" s="160">
        <v>5650.41</v>
      </c>
      <c r="G2089" s="160">
        <f>'FACUS$'!$F2089*0.16</f>
        <v>904.0656</v>
      </c>
      <c r="H2089" s="160">
        <f t="shared" si="68"/>
        <v>6554.4756</v>
      </c>
      <c r="I2089" s="172"/>
      <c r="J2089" s="169"/>
      <c r="K2089" s="172"/>
      <c r="L2089" s="172">
        <f>+'FACUS$'!$H2089-'FACUS$'!$I2089-'FACUS$'!$K2089</f>
        <v>6554.4756</v>
      </c>
      <c r="M2089" s="162" t="s">
        <v>586</v>
      </c>
      <c r="N2089" s="337" t="s">
        <v>554</v>
      </c>
      <c r="O2089" s="338">
        <v>45091.0</v>
      </c>
      <c r="P2089" s="164">
        <f t="array" ref="P2089">XLOOKUP('FACUS$'!$B2089,'perfil de pagos'!$A$4:$A$46,'perfil de pagos'!$C$4:$C$46+'FACUS$'!$D2089)</f>
        <v>45003</v>
      </c>
      <c r="Q2089" s="165">
        <f t="shared" si="66"/>
        <v>0</v>
      </c>
      <c r="R2089" s="167"/>
      <c r="S2089" s="167">
        <v>2223.0</v>
      </c>
      <c r="T2089" s="167"/>
      <c r="U2089" s="334" t="s">
        <v>7271</v>
      </c>
      <c r="V2089" s="168">
        <f t="shared" si="3"/>
        <v>6554.4756</v>
      </c>
      <c r="W2089" s="168">
        <f t="shared" si="4"/>
        <v>0</v>
      </c>
      <c r="X2089" s="168">
        <f t="shared" si="5"/>
        <v>0</v>
      </c>
      <c r="Y2089" s="168">
        <f t="shared" si="6"/>
        <v>0</v>
      </c>
      <c r="Z2089" s="168">
        <f t="shared" si="7"/>
        <v>0</v>
      </c>
      <c r="AA2089" s="168">
        <f t="shared" si="8"/>
        <v>0</v>
      </c>
      <c r="AB2089" s="168">
        <f t="shared" si="9"/>
        <v>0</v>
      </c>
    </row>
    <row r="2090" ht="15.0" customHeight="1">
      <c r="A2090" s="157" t="s">
        <v>9458</v>
      </c>
      <c r="B2090" s="169" t="s">
        <v>20</v>
      </c>
      <c r="C2090" s="169" t="s">
        <v>4769</v>
      </c>
      <c r="D2090" s="317">
        <v>44993.0</v>
      </c>
      <c r="E2090" s="157" t="s">
        <v>600</v>
      </c>
      <c r="F2090" s="160">
        <v>11764.4</v>
      </c>
      <c r="G2090" s="160">
        <f>'FACUS$'!$F2090*0.16</f>
        <v>1882.304</v>
      </c>
      <c r="H2090" s="160">
        <f t="shared" si="68"/>
        <v>13646.704</v>
      </c>
      <c r="I2090" s="172"/>
      <c r="J2090" s="169"/>
      <c r="K2090" s="172"/>
      <c r="L2090" s="172">
        <f>+'FACUS$'!$H2090-'FACUS$'!$I2090-'FACUS$'!$K2090</f>
        <v>13646.704</v>
      </c>
      <c r="M2090" s="162" t="s">
        <v>732</v>
      </c>
      <c r="N2090" s="337" t="s">
        <v>554</v>
      </c>
      <c r="O2090" s="338">
        <v>45091.0</v>
      </c>
      <c r="P2090" s="164">
        <f t="array" ref="P2090">XLOOKUP('FACUS$'!$B2090,'perfil de pagos'!$A$4:$A$46,'perfil de pagos'!$C$4:$C$46+'FACUS$'!$D2090)</f>
        <v>45003</v>
      </c>
      <c r="Q2090" s="165">
        <f t="shared" si="66"/>
        <v>0</v>
      </c>
      <c r="R2090" s="167"/>
      <c r="S2090" s="167">
        <v>2223.0</v>
      </c>
      <c r="T2090" s="167"/>
      <c r="U2090" s="334" t="s">
        <v>7271</v>
      </c>
      <c r="V2090" s="168">
        <f t="shared" si="3"/>
        <v>13646.704</v>
      </c>
      <c r="W2090" s="168">
        <f t="shared" si="4"/>
        <v>0</v>
      </c>
      <c r="X2090" s="168">
        <f t="shared" si="5"/>
        <v>0</v>
      </c>
      <c r="Y2090" s="168">
        <f t="shared" si="6"/>
        <v>0</v>
      </c>
      <c r="Z2090" s="168">
        <f t="shared" si="7"/>
        <v>0</v>
      </c>
      <c r="AA2090" s="168">
        <f t="shared" si="8"/>
        <v>0</v>
      </c>
      <c r="AB2090" s="168">
        <f t="shared" si="9"/>
        <v>0</v>
      </c>
    </row>
    <row r="2091" ht="15.0" customHeight="1">
      <c r="A2091" s="157" t="s">
        <v>9459</v>
      </c>
      <c r="B2091" s="169" t="s">
        <v>22</v>
      </c>
      <c r="C2091" s="169" t="s">
        <v>4769</v>
      </c>
      <c r="D2091" s="317">
        <v>44993.0</v>
      </c>
      <c r="E2091" s="157" t="s">
        <v>600</v>
      </c>
      <c r="F2091" s="160">
        <v>8975.69</v>
      </c>
      <c r="G2091" s="160">
        <f>'FACUS$'!$F2091*0.16</f>
        <v>1436.1104</v>
      </c>
      <c r="H2091" s="160">
        <f t="shared" si="68"/>
        <v>10411.8004</v>
      </c>
      <c r="I2091" s="172"/>
      <c r="J2091" s="169"/>
      <c r="K2091" s="172"/>
      <c r="L2091" s="172">
        <f>+'FACUS$'!$H2091-'FACUS$'!$I2091-'FACUS$'!$K2091</f>
        <v>10411.8004</v>
      </c>
      <c r="M2091" s="162" t="s">
        <v>220</v>
      </c>
      <c r="N2091" s="337" t="s">
        <v>554</v>
      </c>
      <c r="O2091" s="338">
        <v>45044.0</v>
      </c>
      <c r="P2091" s="164">
        <f t="array" ref="P2091">XLOOKUP('FACUS$'!$B2091,'perfil de pagos'!$A$4:$A$46,'perfil de pagos'!$C$4:$C$46+'FACUS$'!$D2091)</f>
        <v>45003</v>
      </c>
      <c r="Q2091" s="165">
        <f t="shared" si="66"/>
        <v>0</v>
      </c>
      <c r="R2091" s="167" t="s">
        <v>9451</v>
      </c>
      <c r="S2091" s="167">
        <v>2136.0</v>
      </c>
      <c r="T2091" s="167"/>
      <c r="U2091" s="334" t="s">
        <v>7271</v>
      </c>
      <c r="V2091" s="168">
        <f t="shared" si="3"/>
        <v>10411.8004</v>
      </c>
      <c r="W2091" s="168">
        <f t="shared" si="4"/>
        <v>0</v>
      </c>
      <c r="X2091" s="168">
        <f t="shared" si="5"/>
        <v>0</v>
      </c>
      <c r="Y2091" s="168">
        <f t="shared" si="6"/>
        <v>0</v>
      </c>
      <c r="Z2091" s="168">
        <f t="shared" si="7"/>
        <v>0</v>
      </c>
      <c r="AA2091" s="168">
        <f t="shared" si="8"/>
        <v>0</v>
      </c>
      <c r="AB2091" s="168">
        <f t="shared" si="9"/>
        <v>0</v>
      </c>
    </row>
    <row r="2092" ht="15.0" customHeight="1">
      <c r="A2092" s="157" t="s">
        <v>9460</v>
      </c>
      <c r="B2092" s="169" t="s">
        <v>25</v>
      </c>
      <c r="C2092" s="169" t="s">
        <v>4769</v>
      </c>
      <c r="D2092" s="317">
        <v>44993.0</v>
      </c>
      <c r="E2092" s="157" t="s">
        <v>600</v>
      </c>
      <c r="F2092" s="160">
        <v>4281.11</v>
      </c>
      <c r="G2092" s="160">
        <f>'FACUS$'!$F2092*0.16</f>
        <v>684.9776</v>
      </c>
      <c r="H2092" s="160">
        <f t="shared" si="68"/>
        <v>4966.0876</v>
      </c>
      <c r="I2092" s="172"/>
      <c r="J2092" s="169"/>
      <c r="K2092" s="172"/>
      <c r="L2092" s="172">
        <f>+'FACUS$'!$H2092-'FACUS$'!$I2092-'FACUS$'!$K2092</f>
        <v>4966.0876</v>
      </c>
      <c r="M2092" s="162" t="s">
        <v>4388</v>
      </c>
      <c r="N2092" s="337" t="s">
        <v>554</v>
      </c>
      <c r="O2092" s="338">
        <v>45050.0</v>
      </c>
      <c r="P2092" s="164">
        <f t="array" ref="P2092">XLOOKUP('FACUS$'!$B2092,'perfil de pagos'!$A$4:$A$46,'perfil de pagos'!$C$4:$C$46+'FACUS$'!$D2092)</f>
        <v>45003</v>
      </c>
      <c r="Q2092" s="165">
        <f t="shared" si="66"/>
        <v>0</v>
      </c>
      <c r="R2092" s="167"/>
      <c r="S2092" s="167"/>
      <c r="T2092" s="167"/>
      <c r="U2092" s="334" t="s">
        <v>7271</v>
      </c>
      <c r="V2092" s="168">
        <f t="shared" si="3"/>
        <v>4966.0876</v>
      </c>
      <c r="W2092" s="168">
        <f t="shared" si="4"/>
        <v>0</v>
      </c>
      <c r="X2092" s="168">
        <f t="shared" si="5"/>
        <v>0</v>
      </c>
      <c r="Y2092" s="168">
        <f t="shared" si="6"/>
        <v>0</v>
      </c>
      <c r="Z2092" s="168">
        <f t="shared" si="7"/>
        <v>0</v>
      </c>
      <c r="AA2092" s="168">
        <f t="shared" si="8"/>
        <v>0</v>
      </c>
      <c r="AB2092" s="168">
        <f t="shared" si="9"/>
        <v>0</v>
      </c>
    </row>
    <row r="2093" ht="15.0" customHeight="1">
      <c r="A2093" s="157" t="s">
        <v>9461</v>
      </c>
      <c r="B2093" s="169" t="s">
        <v>37</v>
      </c>
      <c r="C2093" s="169" t="s">
        <v>4769</v>
      </c>
      <c r="D2093" s="317">
        <v>44993.0</v>
      </c>
      <c r="E2093" s="157" t="s">
        <v>600</v>
      </c>
      <c r="F2093" s="160">
        <v>99726.31</v>
      </c>
      <c r="G2093" s="160">
        <f>'FACUS$'!$F2093*0.16</f>
        <v>15956.2096</v>
      </c>
      <c r="H2093" s="160">
        <f t="shared" si="68"/>
        <v>115682.5196</v>
      </c>
      <c r="I2093" s="172"/>
      <c r="J2093" s="169"/>
      <c r="K2093" s="172"/>
      <c r="L2093" s="172">
        <f>+'FACUS$'!$H2093-'FACUS$'!$I2093-'FACUS$'!$K2093</f>
        <v>115682.5196</v>
      </c>
      <c r="M2093" s="162" t="s">
        <v>116</v>
      </c>
      <c r="N2093" s="337" t="s">
        <v>554</v>
      </c>
      <c r="O2093" s="338">
        <v>45020.0</v>
      </c>
      <c r="P2093" s="164">
        <f t="array" ref="P2093">XLOOKUP('FACUS$'!$B2093,'perfil de pagos'!$A$4:$A$46,'perfil de pagos'!$C$4:$C$46+'FACUS$'!$D2093)</f>
        <v>45003</v>
      </c>
      <c r="Q2093" s="165">
        <f t="shared" si="66"/>
        <v>0</v>
      </c>
      <c r="R2093" s="243" t="s">
        <v>9462</v>
      </c>
      <c r="S2093" s="167"/>
      <c r="T2093" s="167"/>
      <c r="U2093" s="334" t="s">
        <v>7271</v>
      </c>
      <c r="V2093" s="168">
        <f t="shared" si="3"/>
        <v>115682.5196</v>
      </c>
      <c r="W2093" s="168">
        <f t="shared" si="4"/>
        <v>0</v>
      </c>
      <c r="X2093" s="168">
        <f t="shared" si="5"/>
        <v>0</v>
      </c>
      <c r="Y2093" s="168">
        <f t="shared" si="6"/>
        <v>0</v>
      </c>
      <c r="Z2093" s="168">
        <f t="shared" si="7"/>
        <v>0</v>
      </c>
      <c r="AA2093" s="168">
        <f t="shared" si="8"/>
        <v>0</v>
      </c>
      <c r="AB2093" s="168">
        <f t="shared" si="9"/>
        <v>0</v>
      </c>
    </row>
    <row r="2094" ht="15.0" customHeight="1">
      <c r="A2094" s="157" t="s">
        <v>9463</v>
      </c>
      <c r="B2094" s="169" t="s">
        <v>38</v>
      </c>
      <c r="C2094" s="169" t="s">
        <v>4769</v>
      </c>
      <c r="D2094" s="317">
        <v>44994.0</v>
      </c>
      <c r="E2094" s="157" t="s">
        <v>600</v>
      </c>
      <c r="F2094" s="160">
        <v>9991.09</v>
      </c>
      <c r="G2094" s="160">
        <f>'FACUS$'!$F2094*0.16</f>
        <v>1598.5744</v>
      </c>
      <c r="H2094" s="160">
        <f t="shared" si="68"/>
        <v>11589.6644</v>
      </c>
      <c r="I2094" s="172"/>
      <c r="J2094" s="169"/>
      <c r="K2094" s="172"/>
      <c r="L2094" s="172">
        <f>+'FACUS$'!$H2094-'FACUS$'!$I2094-'FACUS$'!$K2094</f>
        <v>11589.6644</v>
      </c>
      <c r="M2094" s="162" t="s">
        <v>145</v>
      </c>
      <c r="N2094" s="337" t="s">
        <v>554</v>
      </c>
      <c r="O2094" s="338">
        <v>45065.0</v>
      </c>
      <c r="P2094" s="164">
        <f t="array" ref="P2094">XLOOKUP('FACUS$'!$B2094,'perfil de pagos'!$A$4:$A$46,'perfil de pagos'!$C$4:$C$46+'FACUS$'!$D2094)</f>
        <v>45024</v>
      </c>
      <c r="Q2094" s="165">
        <f t="shared" si="66"/>
        <v>0</v>
      </c>
      <c r="R2094" s="167"/>
      <c r="S2094" s="167">
        <v>2172.0</v>
      </c>
      <c r="T2094" s="167"/>
      <c r="U2094" s="334" t="s">
        <v>7271</v>
      </c>
      <c r="V2094" s="168">
        <f t="shared" si="3"/>
        <v>11589.6644</v>
      </c>
      <c r="W2094" s="168">
        <f t="shared" si="4"/>
        <v>0</v>
      </c>
      <c r="X2094" s="168">
        <f t="shared" si="5"/>
        <v>0</v>
      </c>
      <c r="Y2094" s="168">
        <f t="shared" si="6"/>
        <v>0</v>
      </c>
      <c r="Z2094" s="168">
        <f t="shared" si="7"/>
        <v>0</v>
      </c>
      <c r="AA2094" s="168">
        <f t="shared" si="8"/>
        <v>0</v>
      </c>
      <c r="AB2094" s="168">
        <f t="shared" si="9"/>
        <v>0</v>
      </c>
    </row>
    <row r="2095" ht="15.0" customHeight="1">
      <c r="A2095" s="157" t="s">
        <v>9464</v>
      </c>
      <c r="B2095" s="169" t="s">
        <v>38</v>
      </c>
      <c r="C2095" s="169" t="s">
        <v>4769</v>
      </c>
      <c r="D2095" s="317">
        <v>44994.0</v>
      </c>
      <c r="E2095" s="157" t="s">
        <v>600</v>
      </c>
      <c r="F2095" s="160">
        <v>2216.52</v>
      </c>
      <c r="G2095" s="160">
        <f>'FACUS$'!$F2095*0.16</f>
        <v>354.6432</v>
      </c>
      <c r="H2095" s="160">
        <f t="shared" si="68"/>
        <v>2571.1632</v>
      </c>
      <c r="I2095" s="172"/>
      <c r="J2095" s="169"/>
      <c r="K2095" s="172"/>
      <c r="L2095" s="172">
        <f>+'FACUS$'!$H2095-'FACUS$'!$I2095-'FACUS$'!$K2095</f>
        <v>2571.1632</v>
      </c>
      <c r="M2095" s="162" t="s">
        <v>642</v>
      </c>
      <c r="N2095" s="337" t="s">
        <v>554</v>
      </c>
      <c r="O2095" s="338">
        <v>45065.0</v>
      </c>
      <c r="P2095" s="164">
        <f t="array" ref="P2095">XLOOKUP('FACUS$'!$B2095,'perfil de pagos'!$A$4:$A$46,'perfil de pagos'!$C$4:$C$46+'FACUS$'!$D2095)</f>
        <v>45024</v>
      </c>
      <c r="Q2095" s="165">
        <f t="shared" si="66"/>
        <v>0</v>
      </c>
      <c r="R2095" s="167"/>
      <c r="S2095" s="167">
        <v>2172.0</v>
      </c>
      <c r="T2095" s="167"/>
      <c r="U2095" s="334" t="s">
        <v>7271</v>
      </c>
      <c r="V2095" s="168">
        <f t="shared" si="3"/>
        <v>2571.1632</v>
      </c>
      <c r="W2095" s="168">
        <f t="shared" si="4"/>
        <v>0</v>
      </c>
      <c r="X2095" s="168">
        <f t="shared" si="5"/>
        <v>0</v>
      </c>
      <c r="Y2095" s="168">
        <f t="shared" si="6"/>
        <v>0</v>
      </c>
      <c r="Z2095" s="168">
        <f t="shared" si="7"/>
        <v>0</v>
      </c>
      <c r="AA2095" s="168">
        <f t="shared" si="8"/>
        <v>0</v>
      </c>
      <c r="AB2095" s="168">
        <f t="shared" si="9"/>
        <v>0</v>
      </c>
    </row>
    <row r="2096" ht="15.0" customHeight="1">
      <c r="A2096" s="157" t="s">
        <v>9465</v>
      </c>
      <c r="B2096" s="169" t="s">
        <v>31</v>
      </c>
      <c r="C2096" s="169" t="s">
        <v>9466</v>
      </c>
      <c r="D2096" s="317">
        <v>44999.0</v>
      </c>
      <c r="E2096" s="157" t="s">
        <v>600</v>
      </c>
      <c r="F2096" s="160">
        <v>6897.34</v>
      </c>
      <c r="G2096" s="160">
        <f>'FACUS$'!$F2096*0.16</f>
        <v>1103.5744</v>
      </c>
      <c r="H2096" s="160">
        <f t="shared" si="68"/>
        <v>8000.9144</v>
      </c>
      <c r="I2096" s="172"/>
      <c r="J2096" s="169"/>
      <c r="K2096" s="172"/>
      <c r="L2096" s="172">
        <f>+'FACUS$'!$H2096-'FACUS$'!$I2096-'FACUS$'!$K2096</f>
        <v>8000.9144</v>
      </c>
      <c r="M2096" s="162" t="s">
        <v>3183</v>
      </c>
      <c r="N2096" s="337" t="s">
        <v>554</v>
      </c>
      <c r="O2096" s="338">
        <v>45126.0</v>
      </c>
      <c r="P2096" s="164">
        <f t="array" ref="P2096">XLOOKUP('FACUS$'!$B2096,'perfil de pagos'!$A$4:$A$46,'perfil de pagos'!$C$4:$C$46+'FACUS$'!$D2096)</f>
        <v>45002</v>
      </c>
      <c r="Q2096" s="165">
        <f t="shared" si="66"/>
        <v>0</v>
      </c>
      <c r="R2096" s="220" t="s">
        <v>9467</v>
      </c>
      <c r="S2096" s="167">
        <v>2302.0</v>
      </c>
      <c r="T2096" s="167"/>
      <c r="U2096" s="334" t="s">
        <v>7271</v>
      </c>
      <c r="V2096" s="168">
        <f t="shared" si="3"/>
        <v>8000.9144</v>
      </c>
      <c r="W2096" s="168">
        <f t="shared" si="4"/>
        <v>0</v>
      </c>
      <c r="X2096" s="168">
        <f t="shared" si="5"/>
        <v>0</v>
      </c>
      <c r="Y2096" s="168">
        <f t="shared" si="6"/>
        <v>0</v>
      </c>
      <c r="Z2096" s="168">
        <f t="shared" si="7"/>
        <v>0</v>
      </c>
      <c r="AA2096" s="168">
        <f t="shared" si="8"/>
        <v>0</v>
      </c>
      <c r="AB2096" s="168">
        <f t="shared" si="9"/>
        <v>0</v>
      </c>
    </row>
    <row r="2097" ht="15.0" customHeight="1">
      <c r="A2097" s="157" t="s">
        <v>9468</v>
      </c>
      <c r="B2097" s="169" t="s">
        <v>17</v>
      </c>
      <c r="C2097" s="169" t="s">
        <v>4785</v>
      </c>
      <c r="D2097" s="317">
        <v>45001.0</v>
      </c>
      <c r="E2097" s="157" t="s">
        <v>600</v>
      </c>
      <c r="F2097" s="160">
        <v>8417.92</v>
      </c>
      <c r="G2097" s="160">
        <f>'FACUS$'!$F2097*0.16</f>
        <v>1346.8672</v>
      </c>
      <c r="H2097" s="160">
        <f t="shared" si="68"/>
        <v>9764.7872</v>
      </c>
      <c r="I2097" s="172"/>
      <c r="J2097" s="169">
        <v>302.0</v>
      </c>
      <c r="K2097" s="172">
        <f>'NCUS$'!H62</f>
        <v>7693.9204</v>
      </c>
      <c r="L2097" s="172">
        <f>+'FACUS$'!$H2097-'FACUS$'!$I2097-'FACUS$'!$K2097</f>
        <v>2070.8668</v>
      </c>
      <c r="M2097" s="162" t="s">
        <v>17</v>
      </c>
      <c r="N2097" s="337" t="s">
        <v>554</v>
      </c>
      <c r="O2097" s="338">
        <v>45015.0</v>
      </c>
      <c r="P2097" s="164">
        <f t="array" ref="P2097">XLOOKUP('FACUS$'!$B2097,'perfil de pagos'!$A$4:$A$46,'perfil de pagos'!$C$4:$C$46+'FACUS$'!$D2097)</f>
        <v>45011</v>
      </c>
      <c r="Q2097" s="165">
        <f t="shared" si="66"/>
        <v>0</v>
      </c>
      <c r="R2097" s="167"/>
      <c r="S2097" s="167">
        <v>2076.0</v>
      </c>
      <c r="T2097" s="167"/>
      <c r="U2097" s="334" t="s">
        <v>7271</v>
      </c>
      <c r="V2097" s="168">
        <f t="shared" si="3"/>
        <v>2070.8668</v>
      </c>
      <c r="W2097" s="168">
        <f t="shared" si="4"/>
        <v>0</v>
      </c>
      <c r="X2097" s="168">
        <f t="shared" si="5"/>
        <v>0</v>
      </c>
      <c r="Y2097" s="168">
        <f t="shared" si="6"/>
        <v>0</v>
      </c>
      <c r="Z2097" s="168">
        <f t="shared" si="7"/>
        <v>0</v>
      </c>
      <c r="AA2097" s="168">
        <f t="shared" si="8"/>
        <v>0</v>
      </c>
      <c r="AB2097" s="168">
        <f t="shared" si="9"/>
        <v>0</v>
      </c>
    </row>
    <row r="2098" ht="15.0" customHeight="1">
      <c r="A2098" s="157" t="s">
        <v>9469</v>
      </c>
      <c r="B2098" s="169" t="s">
        <v>17</v>
      </c>
      <c r="C2098" s="169" t="s">
        <v>4809</v>
      </c>
      <c r="D2098" s="317">
        <v>45001.0</v>
      </c>
      <c r="E2098" s="157" t="s">
        <v>600</v>
      </c>
      <c r="F2098" s="160">
        <v>14955.53</v>
      </c>
      <c r="G2098" s="160">
        <f>'FACUS$'!$F2098*0.16</f>
        <v>2392.8848</v>
      </c>
      <c r="H2098" s="160">
        <f t="shared" si="68"/>
        <v>17348.4148</v>
      </c>
      <c r="I2098" s="172"/>
      <c r="J2098" s="169"/>
      <c r="K2098" s="172"/>
      <c r="L2098" s="172">
        <f>+'FACUS$'!$H2098-'FACUS$'!$I2098-'FACUS$'!$K2098</f>
        <v>17348.4148</v>
      </c>
      <c r="M2098" s="162" t="s">
        <v>17</v>
      </c>
      <c r="N2098" s="337" t="s">
        <v>554</v>
      </c>
      <c r="O2098" s="338">
        <v>45015.0</v>
      </c>
      <c r="P2098" s="164">
        <f t="array" ref="P2098">XLOOKUP('FACUS$'!$B2098,'perfil de pagos'!$A$4:$A$46,'perfil de pagos'!$C$4:$C$46+'FACUS$'!$D2098)</f>
        <v>45011</v>
      </c>
      <c r="Q2098" s="165">
        <f t="shared" si="66"/>
        <v>0</v>
      </c>
      <c r="R2098" s="167"/>
      <c r="S2098" s="167">
        <v>2075.0</v>
      </c>
      <c r="T2098" s="167"/>
      <c r="U2098" s="334" t="s">
        <v>7271</v>
      </c>
      <c r="V2098" s="168">
        <f t="shared" si="3"/>
        <v>17348.4148</v>
      </c>
      <c r="W2098" s="168">
        <f t="shared" si="4"/>
        <v>0</v>
      </c>
      <c r="X2098" s="168">
        <f t="shared" si="5"/>
        <v>0</v>
      </c>
      <c r="Y2098" s="168">
        <f t="shared" si="6"/>
        <v>0</v>
      </c>
      <c r="Z2098" s="168">
        <f t="shared" si="7"/>
        <v>0</v>
      </c>
      <c r="AA2098" s="168">
        <f t="shared" si="8"/>
        <v>0</v>
      </c>
      <c r="AB2098" s="168">
        <f t="shared" si="9"/>
        <v>0</v>
      </c>
    </row>
    <row r="2099" ht="15.0" customHeight="1">
      <c r="A2099" s="157" t="s">
        <v>9470</v>
      </c>
      <c r="B2099" s="169" t="s">
        <v>35</v>
      </c>
      <c r="C2099" s="169" t="s">
        <v>4809</v>
      </c>
      <c r="D2099" s="317">
        <v>45001.0</v>
      </c>
      <c r="E2099" s="157" t="s">
        <v>600</v>
      </c>
      <c r="F2099" s="160">
        <v>15938.4</v>
      </c>
      <c r="G2099" s="160">
        <f>'FACUS$'!$F2099*0.16</f>
        <v>2550.144</v>
      </c>
      <c r="H2099" s="160">
        <f t="shared" si="68"/>
        <v>18488.544</v>
      </c>
      <c r="I2099" s="172"/>
      <c r="J2099" s="169"/>
      <c r="K2099" s="172"/>
      <c r="L2099" s="172">
        <f>+'FACUS$'!$H2099-'FACUS$'!$I2099-'FACUS$'!$K2099</f>
        <v>18488.544</v>
      </c>
      <c r="M2099" s="162" t="s">
        <v>276</v>
      </c>
      <c r="N2099" s="337" t="s">
        <v>554</v>
      </c>
      <c r="O2099" s="338">
        <v>45070.0</v>
      </c>
      <c r="P2099" s="164">
        <f t="array" ref="P2099">XLOOKUP('FACUS$'!$B2099,'perfil de pagos'!$A$4:$A$46,'perfil de pagos'!$C$4:$C$46+'FACUS$'!$D2099)</f>
        <v>45011</v>
      </c>
      <c r="Q2099" s="165">
        <f t="shared" si="66"/>
        <v>0</v>
      </c>
      <c r="R2099" s="167"/>
      <c r="S2099" s="167">
        <v>2186.0</v>
      </c>
      <c r="T2099" s="167"/>
      <c r="U2099" s="334" t="s">
        <v>7271</v>
      </c>
      <c r="V2099" s="168">
        <f t="shared" si="3"/>
        <v>18488.544</v>
      </c>
      <c r="W2099" s="168">
        <f t="shared" si="4"/>
        <v>0</v>
      </c>
      <c r="X2099" s="168">
        <f t="shared" si="5"/>
        <v>0</v>
      </c>
      <c r="Y2099" s="168">
        <f t="shared" si="6"/>
        <v>0</v>
      </c>
      <c r="Z2099" s="168">
        <f t="shared" si="7"/>
        <v>0</v>
      </c>
      <c r="AA2099" s="168">
        <f t="shared" si="8"/>
        <v>0</v>
      </c>
      <c r="AB2099" s="168">
        <f t="shared" si="9"/>
        <v>0</v>
      </c>
    </row>
    <row r="2100" ht="15.0" customHeight="1">
      <c r="A2100" s="157" t="s">
        <v>9471</v>
      </c>
      <c r="B2100" s="169" t="s">
        <v>36</v>
      </c>
      <c r="C2100" s="169" t="s">
        <v>4809</v>
      </c>
      <c r="D2100" s="317">
        <v>45001.0</v>
      </c>
      <c r="E2100" s="157" t="s">
        <v>600</v>
      </c>
      <c r="F2100" s="160">
        <v>2884.77</v>
      </c>
      <c r="G2100" s="160">
        <f>'FACUS$'!$F2100*0.16</f>
        <v>461.5632</v>
      </c>
      <c r="H2100" s="160">
        <f t="shared" si="68"/>
        <v>3346.3332</v>
      </c>
      <c r="I2100" s="172"/>
      <c r="J2100" s="169"/>
      <c r="K2100" s="172"/>
      <c r="L2100" s="172">
        <f>+'FACUS$'!$H2100-'FACUS$'!$I2100-'FACUS$'!$K2100</f>
        <v>3346.3332</v>
      </c>
      <c r="M2100" s="162" t="s">
        <v>278</v>
      </c>
      <c r="N2100" s="337" t="s">
        <v>554</v>
      </c>
      <c r="O2100" s="338">
        <v>45015.0</v>
      </c>
      <c r="P2100" s="164">
        <f t="array" ref="P2100">XLOOKUP('FACUS$'!$B2100,'perfil de pagos'!$A$4:$A$46,'perfil de pagos'!$C$4:$C$46+'FACUS$'!$D2100)</f>
        <v>45011</v>
      </c>
      <c r="Q2100" s="165">
        <f t="shared" si="66"/>
        <v>0</v>
      </c>
      <c r="R2100" s="167" t="s">
        <v>9472</v>
      </c>
      <c r="S2100" s="167"/>
      <c r="T2100" s="167"/>
      <c r="U2100" s="334" t="s">
        <v>7271</v>
      </c>
      <c r="V2100" s="168">
        <f t="shared" si="3"/>
        <v>3346.3332</v>
      </c>
      <c r="W2100" s="168">
        <f t="shared" si="4"/>
        <v>0</v>
      </c>
      <c r="X2100" s="168">
        <f t="shared" si="5"/>
        <v>0</v>
      </c>
      <c r="Y2100" s="168">
        <f t="shared" si="6"/>
        <v>0</v>
      </c>
      <c r="Z2100" s="168">
        <f t="shared" si="7"/>
        <v>0</v>
      </c>
      <c r="AA2100" s="168">
        <f t="shared" si="8"/>
        <v>0</v>
      </c>
      <c r="AB2100" s="168">
        <f t="shared" si="9"/>
        <v>0</v>
      </c>
    </row>
    <row r="2101" ht="15.0" customHeight="1">
      <c r="A2101" s="157" t="s">
        <v>9473</v>
      </c>
      <c r="B2101" s="169" t="s">
        <v>39</v>
      </c>
      <c r="C2101" s="169" t="s">
        <v>4785</v>
      </c>
      <c r="D2101" s="317">
        <v>45001.0</v>
      </c>
      <c r="E2101" s="157" t="s">
        <v>600</v>
      </c>
      <c r="F2101" s="160">
        <v>21198.28</v>
      </c>
      <c r="G2101" s="160">
        <f>'FACUS$'!$F2101*0.16</f>
        <v>3391.7248</v>
      </c>
      <c r="H2101" s="160">
        <f t="shared" si="68"/>
        <v>24590.0048</v>
      </c>
      <c r="I2101" s="172"/>
      <c r="J2101" s="169"/>
      <c r="K2101" s="172"/>
      <c r="L2101" s="172">
        <f>+'FACUS$'!$H2101-'FACUS$'!$I2101-'FACUS$'!$K2101</f>
        <v>24590.0048</v>
      </c>
      <c r="M2101" s="162" t="s">
        <v>570</v>
      </c>
      <c r="N2101" s="337" t="s">
        <v>554</v>
      </c>
      <c r="O2101" s="338">
        <v>45009.0</v>
      </c>
      <c r="P2101" s="164">
        <f t="array" ref="P2101">XLOOKUP('FACUS$'!$B2101,'perfil de pagos'!$A$4:$A$46,'perfil de pagos'!$C$4:$C$46+'FACUS$'!$D2101)</f>
        <v>45011</v>
      </c>
      <c r="Q2101" s="165">
        <f t="shared" si="66"/>
        <v>0</v>
      </c>
      <c r="R2101" s="167"/>
      <c r="S2101" s="167">
        <v>2073.0</v>
      </c>
      <c r="T2101" s="167"/>
      <c r="U2101" s="334" t="s">
        <v>7271</v>
      </c>
      <c r="V2101" s="168">
        <f t="shared" si="3"/>
        <v>24590.0048</v>
      </c>
      <c r="W2101" s="168">
        <f t="shared" si="4"/>
        <v>0</v>
      </c>
      <c r="X2101" s="168">
        <f t="shared" si="5"/>
        <v>0</v>
      </c>
      <c r="Y2101" s="168">
        <f t="shared" si="6"/>
        <v>0</v>
      </c>
      <c r="Z2101" s="168">
        <f t="shared" si="7"/>
        <v>0</v>
      </c>
      <c r="AA2101" s="168">
        <f t="shared" si="8"/>
        <v>0</v>
      </c>
      <c r="AB2101" s="168">
        <f t="shared" si="9"/>
        <v>0</v>
      </c>
    </row>
    <row r="2102" ht="15.0" customHeight="1">
      <c r="A2102" s="157" t="s">
        <v>9474</v>
      </c>
      <c r="B2102" s="169" t="s">
        <v>39</v>
      </c>
      <c r="C2102" s="169" t="s">
        <v>4809</v>
      </c>
      <c r="D2102" s="317">
        <v>45001.0</v>
      </c>
      <c r="E2102" s="157" t="s">
        <v>600</v>
      </c>
      <c r="F2102" s="160">
        <v>25854.96</v>
      </c>
      <c r="G2102" s="160">
        <f>'FACUS$'!$F2102*0.16</f>
        <v>4136.7936</v>
      </c>
      <c r="H2102" s="160">
        <f t="shared" si="68"/>
        <v>29991.7536</v>
      </c>
      <c r="I2102" s="172"/>
      <c r="J2102" s="169"/>
      <c r="K2102" s="172"/>
      <c r="L2102" s="172">
        <f>+'FACUS$'!$H2102-'FACUS$'!$I2102-'FACUS$'!$K2102</f>
        <v>29991.7536</v>
      </c>
      <c r="M2102" s="162" t="s">
        <v>570</v>
      </c>
      <c r="N2102" s="337" t="s">
        <v>554</v>
      </c>
      <c r="O2102" s="338">
        <v>45009.0</v>
      </c>
      <c r="P2102" s="164">
        <f t="array" ref="P2102">XLOOKUP('FACUS$'!$B2102,'perfil de pagos'!$A$4:$A$46,'perfil de pagos'!$C$4:$C$46+'FACUS$'!$D2102)</f>
        <v>45011</v>
      </c>
      <c r="Q2102" s="165">
        <f t="shared" si="66"/>
        <v>0</v>
      </c>
      <c r="R2102" s="167"/>
      <c r="S2102" s="167">
        <v>2073.0</v>
      </c>
      <c r="T2102" s="167"/>
      <c r="U2102" s="334" t="s">
        <v>7271</v>
      </c>
      <c r="V2102" s="168">
        <f t="shared" si="3"/>
        <v>29991.7536</v>
      </c>
      <c r="W2102" s="168">
        <f t="shared" si="4"/>
        <v>0</v>
      </c>
      <c r="X2102" s="168">
        <f t="shared" si="5"/>
        <v>0</v>
      </c>
      <c r="Y2102" s="168">
        <f t="shared" si="6"/>
        <v>0</v>
      </c>
      <c r="Z2102" s="168">
        <f t="shared" si="7"/>
        <v>0</v>
      </c>
      <c r="AA2102" s="168">
        <f t="shared" si="8"/>
        <v>0</v>
      </c>
      <c r="AB2102" s="168">
        <f t="shared" si="9"/>
        <v>0</v>
      </c>
    </row>
    <row r="2103" ht="15.0" customHeight="1">
      <c r="A2103" s="157" t="s">
        <v>9475</v>
      </c>
      <c r="B2103" s="169" t="s">
        <v>41</v>
      </c>
      <c r="C2103" s="169" t="s">
        <v>4809</v>
      </c>
      <c r="D2103" s="317">
        <v>45001.0</v>
      </c>
      <c r="E2103" s="157" t="s">
        <v>600</v>
      </c>
      <c r="F2103" s="160">
        <v>47769.39</v>
      </c>
      <c r="G2103" s="160">
        <f>'FACUS$'!$F2103*0.16</f>
        <v>7643.1024</v>
      </c>
      <c r="H2103" s="160">
        <f t="shared" si="68"/>
        <v>55412.4924</v>
      </c>
      <c r="I2103" s="172"/>
      <c r="J2103" s="169"/>
      <c r="K2103" s="172"/>
      <c r="L2103" s="172">
        <f>+'FACUS$'!$H2103-'FACUS$'!$I2103-'FACUS$'!$K2103</f>
        <v>55412.4924</v>
      </c>
      <c r="M2103" s="162" t="s">
        <v>875</v>
      </c>
      <c r="N2103" s="337" t="s">
        <v>554</v>
      </c>
      <c r="O2103" s="338">
        <v>45051.0</v>
      </c>
      <c r="P2103" s="164">
        <f t="array" ref="P2103">XLOOKUP('FACUS$'!$B2103,'perfil de pagos'!$A$4:$A$46,'perfil de pagos'!$C$4:$C$46+'FACUS$'!$D2103)</f>
        <v>45011</v>
      </c>
      <c r="Q2103" s="165">
        <f t="shared" si="66"/>
        <v>0</v>
      </c>
      <c r="R2103" s="167"/>
      <c r="S2103" s="167">
        <v>2149.0</v>
      </c>
      <c r="T2103" s="167"/>
      <c r="U2103" s="334" t="s">
        <v>7271</v>
      </c>
      <c r="V2103" s="168">
        <f t="shared" si="3"/>
        <v>55412.4924</v>
      </c>
      <c r="W2103" s="168">
        <f t="shared" si="4"/>
        <v>0</v>
      </c>
      <c r="X2103" s="168">
        <f t="shared" si="5"/>
        <v>0</v>
      </c>
      <c r="Y2103" s="168">
        <f t="shared" si="6"/>
        <v>0</v>
      </c>
      <c r="Z2103" s="168">
        <f t="shared" si="7"/>
        <v>0</v>
      </c>
      <c r="AA2103" s="168">
        <f t="shared" si="8"/>
        <v>0</v>
      </c>
      <c r="AB2103" s="168">
        <f t="shared" si="9"/>
        <v>0</v>
      </c>
    </row>
    <row r="2104" ht="15.0" customHeight="1">
      <c r="A2104" s="157" t="s">
        <v>9476</v>
      </c>
      <c r="B2104" s="169" t="s">
        <v>42</v>
      </c>
      <c r="C2104" s="169" t="s">
        <v>4809</v>
      </c>
      <c r="D2104" s="317">
        <v>45001.0</v>
      </c>
      <c r="E2104" s="157" t="s">
        <v>600</v>
      </c>
      <c r="F2104" s="160">
        <v>11416.57</v>
      </c>
      <c r="G2104" s="160">
        <f>'FACUS$'!$F2104*0.16</f>
        <v>1826.6512</v>
      </c>
      <c r="H2104" s="160">
        <f t="shared" si="68"/>
        <v>13243.2212</v>
      </c>
      <c r="I2104" s="172"/>
      <c r="J2104" s="169"/>
      <c r="K2104" s="172"/>
      <c r="L2104" s="172">
        <f>+'FACUS$'!$H2104-'FACUS$'!$I2104-'FACUS$'!$K2104</f>
        <v>13243.2212</v>
      </c>
      <c r="M2104" s="162" t="s">
        <v>42</v>
      </c>
      <c r="N2104" s="337" t="s">
        <v>554</v>
      </c>
      <c r="O2104" s="338">
        <v>45021.0</v>
      </c>
      <c r="P2104" s="164">
        <f t="array" ref="P2104">XLOOKUP('FACUS$'!$B2104,'perfil de pagos'!$A$4:$A$46,'perfil de pagos'!$C$4:$C$46+'FACUS$'!$D2104)</f>
        <v>45011</v>
      </c>
      <c r="Q2104" s="165">
        <f t="shared" si="66"/>
        <v>0</v>
      </c>
      <c r="R2104" s="167"/>
      <c r="S2104" s="167">
        <v>2102.0</v>
      </c>
      <c r="T2104" s="167"/>
      <c r="U2104" s="334" t="s">
        <v>7271</v>
      </c>
      <c r="V2104" s="168">
        <f t="shared" si="3"/>
        <v>13243.2212</v>
      </c>
      <c r="W2104" s="168">
        <f t="shared" si="4"/>
        <v>0</v>
      </c>
      <c r="X2104" s="168">
        <f t="shared" si="5"/>
        <v>0</v>
      </c>
      <c r="Y2104" s="168">
        <f t="shared" si="6"/>
        <v>0</v>
      </c>
      <c r="Z2104" s="168">
        <f t="shared" si="7"/>
        <v>0</v>
      </c>
      <c r="AA2104" s="168">
        <f t="shared" si="8"/>
        <v>0</v>
      </c>
      <c r="AB2104" s="168">
        <f t="shared" si="9"/>
        <v>0</v>
      </c>
    </row>
    <row r="2105" ht="15.0" customHeight="1">
      <c r="A2105" s="157" t="s">
        <v>9477</v>
      </c>
      <c r="B2105" s="169" t="s">
        <v>44</v>
      </c>
      <c r="C2105" s="169" t="s">
        <v>4809</v>
      </c>
      <c r="D2105" s="317">
        <v>45001.0</v>
      </c>
      <c r="E2105" s="157" t="s">
        <v>600</v>
      </c>
      <c r="F2105" s="160">
        <v>17574.26</v>
      </c>
      <c r="G2105" s="160">
        <f>'FACUS$'!$F2105*0.16</f>
        <v>2811.8816</v>
      </c>
      <c r="H2105" s="160">
        <f t="shared" si="68"/>
        <v>20386.1416</v>
      </c>
      <c r="I2105" s="172"/>
      <c r="J2105" s="169"/>
      <c r="K2105" s="172"/>
      <c r="L2105" s="172">
        <f>+'FACUS$'!$H2105-'FACUS$'!$I2105-'FACUS$'!$K2105</f>
        <v>20386.1416</v>
      </c>
      <c r="M2105" s="162" t="s">
        <v>361</v>
      </c>
      <c r="N2105" s="337" t="s">
        <v>554</v>
      </c>
      <c r="O2105" s="338">
        <v>45016.0</v>
      </c>
      <c r="P2105" s="164">
        <f t="array" ref="P2105">XLOOKUP('FACUS$'!$B2105,'perfil de pagos'!$A$4:$A$46,'perfil de pagos'!$C$4:$C$46+'FACUS$'!$D2105)</f>
        <v>45011</v>
      </c>
      <c r="Q2105" s="165">
        <f t="shared" si="66"/>
        <v>0</v>
      </c>
      <c r="R2105" s="167"/>
      <c r="S2105" s="167">
        <v>2078.0</v>
      </c>
      <c r="T2105" s="167"/>
      <c r="U2105" s="334" t="s">
        <v>7271</v>
      </c>
      <c r="V2105" s="168">
        <f t="shared" si="3"/>
        <v>20386.1416</v>
      </c>
      <c r="W2105" s="168">
        <f t="shared" si="4"/>
        <v>0</v>
      </c>
      <c r="X2105" s="168">
        <f t="shared" si="5"/>
        <v>0</v>
      </c>
      <c r="Y2105" s="168">
        <f t="shared" si="6"/>
        <v>0</v>
      </c>
      <c r="Z2105" s="168">
        <f t="shared" si="7"/>
        <v>0</v>
      </c>
      <c r="AA2105" s="168">
        <f t="shared" si="8"/>
        <v>0</v>
      </c>
      <c r="AB2105" s="168">
        <f t="shared" si="9"/>
        <v>0</v>
      </c>
    </row>
    <row r="2106" ht="15.0" customHeight="1">
      <c r="A2106" s="157" t="s">
        <v>9478</v>
      </c>
      <c r="B2106" s="169" t="s">
        <v>43</v>
      </c>
      <c r="C2106" s="169" t="s">
        <v>4809</v>
      </c>
      <c r="D2106" s="317">
        <v>45001.0</v>
      </c>
      <c r="E2106" s="157" t="s">
        <v>600</v>
      </c>
      <c r="F2106" s="160">
        <v>45289.8</v>
      </c>
      <c r="G2106" s="160">
        <f>'FACUS$'!$F2106*0.16</f>
        <v>7246.368</v>
      </c>
      <c r="H2106" s="160">
        <f t="shared" si="68"/>
        <v>52536.168</v>
      </c>
      <c r="I2106" s="172"/>
      <c r="J2106" s="169"/>
      <c r="K2106" s="172"/>
      <c r="L2106" s="172">
        <f>+'FACUS$'!$H2106-'FACUS$'!$I2106-'FACUS$'!$K2106</f>
        <v>52536.168</v>
      </c>
      <c r="M2106" s="162" t="s">
        <v>43</v>
      </c>
      <c r="N2106" s="337" t="s">
        <v>554</v>
      </c>
      <c r="O2106" s="338">
        <v>45016.0</v>
      </c>
      <c r="P2106" s="164">
        <f t="array" ref="P2106">XLOOKUP('FACUS$'!$B2106,'perfil de pagos'!$A$4:$A$46,'perfil de pagos'!$C$4:$C$46+'FACUS$'!$D2106)</f>
        <v>45026</v>
      </c>
      <c r="Q2106" s="165">
        <f t="shared" si="66"/>
        <v>0</v>
      </c>
      <c r="R2106" s="167"/>
      <c r="S2106" s="167">
        <v>2077.0</v>
      </c>
      <c r="T2106" s="167"/>
      <c r="U2106" s="334" t="s">
        <v>7271</v>
      </c>
      <c r="V2106" s="168">
        <f t="shared" si="3"/>
        <v>52536.168</v>
      </c>
      <c r="W2106" s="168">
        <f t="shared" si="4"/>
        <v>0</v>
      </c>
      <c r="X2106" s="168">
        <f t="shared" si="5"/>
        <v>0</v>
      </c>
      <c r="Y2106" s="168">
        <f t="shared" si="6"/>
        <v>0</v>
      </c>
      <c r="Z2106" s="168">
        <f t="shared" si="7"/>
        <v>0</v>
      </c>
      <c r="AA2106" s="168">
        <f t="shared" si="8"/>
        <v>0</v>
      </c>
      <c r="AB2106" s="168">
        <f t="shared" si="9"/>
        <v>0</v>
      </c>
    </row>
    <row r="2107" ht="15.0" customHeight="1">
      <c r="A2107" s="157" t="s">
        <v>9479</v>
      </c>
      <c r="B2107" s="169" t="s">
        <v>15</v>
      </c>
      <c r="C2107" s="169" t="s">
        <v>4809</v>
      </c>
      <c r="D2107" s="317">
        <v>45006.0</v>
      </c>
      <c r="E2107" s="157" t="s">
        <v>600</v>
      </c>
      <c r="F2107" s="160">
        <v>50623.44</v>
      </c>
      <c r="G2107" s="160">
        <f>'FACUS$'!$F2107*0.16</f>
        <v>8099.7504</v>
      </c>
      <c r="H2107" s="160">
        <f t="shared" si="68"/>
        <v>58723.1904</v>
      </c>
      <c r="I2107" s="172"/>
      <c r="J2107" s="169"/>
      <c r="K2107" s="172"/>
      <c r="L2107" s="172">
        <f>+'FACUS$'!$H2107-'FACUS$'!$I2107-'FACUS$'!$K2107</f>
        <v>58723.1904</v>
      </c>
      <c r="M2107" s="162" t="s">
        <v>443</v>
      </c>
      <c r="N2107" s="337" t="s">
        <v>554</v>
      </c>
      <c r="O2107" s="338">
        <v>45027.0</v>
      </c>
      <c r="P2107" s="164">
        <f t="array" ref="P2107">XLOOKUP('FACUS$'!$B2107,'perfil de pagos'!$A$4:$A$46,'perfil de pagos'!$C$4:$C$46+'FACUS$'!$D2107)</f>
        <v>45016</v>
      </c>
      <c r="Q2107" s="165">
        <f t="shared" si="66"/>
        <v>0</v>
      </c>
      <c r="R2107" s="167"/>
      <c r="S2107" s="167">
        <v>2104.0</v>
      </c>
      <c r="T2107" s="167"/>
      <c r="U2107" s="334" t="s">
        <v>7271</v>
      </c>
      <c r="V2107" s="168">
        <f t="shared" si="3"/>
        <v>58723.1904</v>
      </c>
      <c r="W2107" s="168">
        <f t="shared" si="4"/>
        <v>0</v>
      </c>
      <c r="X2107" s="168">
        <f t="shared" si="5"/>
        <v>0</v>
      </c>
      <c r="Y2107" s="168">
        <f t="shared" si="6"/>
        <v>0</v>
      </c>
      <c r="Z2107" s="168">
        <f t="shared" si="7"/>
        <v>0</v>
      </c>
      <c r="AA2107" s="168">
        <f t="shared" si="8"/>
        <v>0</v>
      </c>
      <c r="AB2107" s="168">
        <f t="shared" si="9"/>
        <v>0</v>
      </c>
    </row>
    <row r="2108" ht="15.0" customHeight="1">
      <c r="A2108" s="157" t="s">
        <v>9480</v>
      </c>
      <c r="B2108" s="169" t="s">
        <v>18</v>
      </c>
      <c r="C2108" s="169" t="s">
        <v>4809</v>
      </c>
      <c r="D2108" s="317">
        <v>45007.0</v>
      </c>
      <c r="E2108" s="157" t="s">
        <v>600</v>
      </c>
      <c r="F2108" s="160">
        <v>5299.34</v>
      </c>
      <c r="G2108" s="160">
        <f>'FACUS$'!$F2108*0.16</f>
        <v>847.8944</v>
      </c>
      <c r="H2108" s="160">
        <f t="shared" si="68"/>
        <v>6147.2344</v>
      </c>
      <c r="I2108" s="172"/>
      <c r="J2108" s="169"/>
      <c r="K2108" s="172"/>
      <c r="L2108" s="172">
        <f>+'FACUS$'!$H2108-'FACUS$'!$I2108-'FACUS$'!$K2108</f>
        <v>6147.2344</v>
      </c>
      <c r="M2108" s="162" t="s">
        <v>586</v>
      </c>
      <c r="N2108" s="337" t="s">
        <v>554</v>
      </c>
      <c r="O2108" s="338">
        <v>45091.0</v>
      </c>
      <c r="P2108" s="164">
        <f t="array" ref="P2108">XLOOKUP('FACUS$'!$B2108,'perfil de pagos'!$A$4:$A$46,'perfil de pagos'!$C$4:$C$46+'FACUS$'!$D2108)</f>
        <v>45017</v>
      </c>
      <c r="Q2108" s="165">
        <f t="shared" si="66"/>
        <v>0</v>
      </c>
      <c r="R2108" s="167"/>
      <c r="S2108" s="167">
        <v>2223.0</v>
      </c>
      <c r="T2108" s="167"/>
      <c r="U2108" s="334" t="s">
        <v>7271</v>
      </c>
      <c r="V2108" s="168">
        <f t="shared" si="3"/>
        <v>6147.2344</v>
      </c>
      <c r="W2108" s="168">
        <f t="shared" si="4"/>
        <v>0</v>
      </c>
      <c r="X2108" s="168">
        <f t="shared" si="5"/>
        <v>0</v>
      </c>
      <c r="Y2108" s="168">
        <f t="shared" si="6"/>
        <v>0</v>
      </c>
      <c r="Z2108" s="168">
        <f t="shared" si="7"/>
        <v>0</v>
      </c>
      <c r="AA2108" s="168">
        <f t="shared" si="8"/>
        <v>0</v>
      </c>
      <c r="AB2108" s="168">
        <f t="shared" si="9"/>
        <v>0</v>
      </c>
    </row>
    <row r="2109" ht="15.0" customHeight="1">
      <c r="A2109" s="157" t="s">
        <v>9481</v>
      </c>
      <c r="B2109" s="169" t="s">
        <v>20</v>
      </c>
      <c r="C2109" s="169" t="s">
        <v>4809</v>
      </c>
      <c r="D2109" s="317">
        <v>45007.0</v>
      </c>
      <c r="E2109" s="157" t="s">
        <v>600</v>
      </c>
      <c r="F2109" s="160">
        <v>11629.52</v>
      </c>
      <c r="G2109" s="160">
        <f>'FACUS$'!$F2109*0.16</f>
        <v>1860.7232</v>
      </c>
      <c r="H2109" s="160">
        <f t="shared" si="68"/>
        <v>13490.2432</v>
      </c>
      <c r="I2109" s="172"/>
      <c r="J2109" s="169"/>
      <c r="K2109" s="172"/>
      <c r="L2109" s="172">
        <f>+'FACUS$'!$H2109-'FACUS$'!$I2109-'FACUS$'!$K2109</f>
        <v>13490.2432</v>
      </c>
      <c r="M2109" s="162" t="s">
        <v>732</v>
      </c>
      <c r="N2109" s="337" t="s">
        <v>554</v>
      </c>
      <c r="O2109" s="338">
        <v>45091.0</v>
      </c>
      <c r="P2109" s="164">
        <f t="array" ref="P2109">XLOOKUP('FACUS$'!$B2109,'perfil de pagos'!$A$4:$A$46,'perfil de pagos'!$C$4:$C$46+'FACUS$'!$D2109)</f>
        <v>45017</v>
      </c>
      <c r="Q2109" s="165">
        <f t="shared" si="66"/>
        <v>0</v>
      </c>
      <c r="R2109" s="167"/>
      <c r="S2109" s="167">
        <v>2223.0</v>
      </c>
      <c r="T2109" s="167"/>
      <c r="U2109" s="334" t="s">
        <v>7271</v>
      </c>
      <c r="V2109" s="168">
        <f t="shared" si="3"/>
        <v>13490.2432</v>
      </c>
      <c r="W2109" s="168">
        <f t="shared" si="4"/>
        <v>0</v>
      </c>
      <c r="X2109" s="168">
        <f t="shared" si="5"/>
        <v>0</v>
      </c>
      <c r="Y2109" s="168">
        <f t="shared" si="6"/>
        <v>0</v>
      </c>
      <c r="Z2109" s="168">
        <f t="shared" si="7"/>
        <v>0</v>
      </c>
      <c r="AA2109" s="168">
        <f t="shared" si="8"/>
        <v>0</v>
      </c>
      <c r="AB2109" s="168">
        <f t="shared" si="9"/>
        <v>0</v>
      </c>
    </row>
    <row r="2110" ht="15.0" customHeight="1">
      <c r="A2110" s="157" t="s">
        <v>9482</v>
      </c>
      <c r="B2110" s="169" t="s">
        <v>22</v>
      </c>
      <c r="C2110" s="169" t="s">
        <v>4809</v>
      </c>
      <c r="D2110" s="317">
        <v>45007.0</v>
      </c>
      <c r="E2110" s="157" t="s">
        <v>600</v>
      </c>
      <c r="F2110" s="160">
        <v>11151.21</v>
      </c>
      <c r="G2110" s="160">
        <f>'FACUS$'!$F2110*0.16</f>
        <v>1784.1936</v>
      </c>
      <c r="H2110" s="160">
        <f t="shared" si="68"/>
        <v>12935.4036</v>
      </c>
      <c r="I2110" s="172">
        <v>7921.707665216705</v>
      </c>
      <c r="J2110" s="169"/>
      <c r="K2110" s="172"/>
      <c r="L2110" s="172">
        <f>+'FACUS$'!$H2110-'FACUS$'!$I2110-'FACUS$'!$K2110</f>
        <v>5013.695935</v>
      </c>
      <c r="M2110" s="162" t="s">
        <v>220</v>
      </c>
      <c r="N2110" s="337" t="s">
        <v>554</v>
      </c>
      <c r="O2110" s="338">
        <v>45063.0</v>
      </c>
      <c r="P2110" s="164">
        <f t="array" ref="P2110">XLOOKUP('FACUS$'!$B2110,'perfil de pagos'!$A$4:$A$46,'perfil de pagos'!$C$4:$C$46+'FACUS$'!$D2110)</f>
        <v>45017</v>
      </c>
      <c r="Q2110" s="165">
        <f t="shared" si="66"/>
        <v>0</v>
      </c>
      <c r="R2110" s="220" t="s">
        <v>9483</v>
      </c>
      <c r="S2110" s="167">
        <v>2136.0</v>
      </c>
      <c r="T2110" s="167"/>
      <c r="U2110" s="334" t="s">
        <v>7271</v>
      </c>
      <c r="V2110" s="168">
        <f t="shared" si="3"/>
        <v>5013.695935</v>
      </c>
      <c r="W2110" s="168">
        <f t="shared" si="4"/>
        <v>0</v>
      </c>
      <c r="X2110" s="168">
        <f t="shared" si="5"/>
        <v>0</v>
      </c>
      <c r="Y2110" s="168">
        <f t="shared" si="6"/>
        <v>0</v>
      </c>
      <c r="Z2110" s="168">
        <f t="shared" si="7"/>
        <v>0</v>
      </c>
      <c r="AA2110" s="168">
        <f t="shared" si="8"/>
        <v>0</v>
      </c>
      <c r="AB2110" s="168">
        <f t="shared" si="9"/>
        <v>0</v>
      </c>
    </row>
    <row r="2111" ht="15.0" customHeight="1">
      <c r="A2111" s="157" t="s">
        <v>9484</v>
      </c>
      <c r="B2111" s="169" t="s">
        <v>25</v>
      </c>
      <c r="C2111" s="169" t="s">
        <v>4809</v>
      </c>
      <c r="D2111" s="317">
        <v>45007.0</v>
      </c>
      <c r="E2111" s="157" t="s">
        <v>600</v>
      </c>
      <c r="F2111" s="160">
        <v>4697.52</v>
      </c>
      <c r="G2111" s="160">
        <f>'FACUS$'!$F2111*0.16</f>
        <v>751.6032</v>
      </c>
      <c r="H2111" s="160">
        <f t="shared" si="68"/>
        <v>5449.1232</v>
      </c>
      <c r="I2111" s="172"/>
      <c r="J2111" s="169"/>
      <c r="K2111" s="172"/>
      <c r="L2111" s="172">
        <f>+'FACUS$'!$H2111-'FACUS$'!$I2111-'FACUS$'!$K2111</f>
        <v>5449.1232</v>
      </c>
      <c r="M2111" s="162" t="s">
        <v>4388</v>
      </c>
      <c r="N2111" s="337" t="s">
        <v>554</v>
      </c>
      <c r="O2111" s="338">
        <v>45050.0</v>
      </c>
      <c r="P2111" s="164">
        <f t="array" ref="P2111">XLOOKUP('FACUS$'!$B2111,'perfil de pagos'!$A$4:$A$46,'perfil de pagos'!$C$4:$C$46+'FACUS$'!$D2111)</f>
        <v>45017</v>
      </c>
      <c r="Q2111" s="165">
        <f t="shared" si="66"/>
        <v>0</v>
      </c>
      <c r="R2111" s="167"/>
      <c r="S2111" s="167">
        <v>2147.0</v>
      </c>
      <c r="T2111" s="167"/>
      <c r="U2111" s="334" t="s">
        <v>7271</v>
      </c>
      <c r="V2111" s="168">
        <f t="shared" si="3"/>
        <v>5449.1232</v>
      </c>
      <c r="W2111" s="168">
        <f t="shared" si="4"/>
        <v>0</v>
      </c>
      <c r="X2111" s="168">
        <f t="shared" si="5"/>
        <v>0</v>
      </c>
      <c r="Y2111" s="168">
        <f t="shared" si="6"/>
        <v>0</v>
      </c>
      <c r="Z2111" s="168">
        <f t="shared" si="7"/>
        <v>0</v>
      </c>
      <c r="AA2111" s="168">
        <f t="shared" si="8"/>
        <v>0</v>
      </c>
      <c r="AB2111" s="168">
        <f t="shared" si="9"/>
        <v>0</v>
      </c>
    </row>
    <row r="2112" ht="15.0" customHeight="1">
      <c r="A2112" s="157" t="s">
        <v>9485</v>
      </c>
      <c r="B2112" s="169" t="s">
        <v>37</v>
      </c>
      <c r="C2112" s="169" t="s">
        <v>4809</v>
      </c>
      <c r="D2112" s="317">
        <v>45007.0</v>
      </c>
      <c r="E2112" s="157" t="s">
        <v>600</v>
      </c>
      <c r="F2112" s="160">
        <v>92995.04</v>
      </c>
      <c r="G2112" s="160">
        <f>'FACUS$'!$F2112*0.16</f>
        <v>14879.2064</v>
      </c>
      <c r="H2112" s="160">
        <f t="shared" si="68"/>
        <v>107874.2464</v>
      </c>
      <c r="I2112" s="172"/>
      <c r="J2112" s="169"/>
      <c r="K2112" s="172"/>
      <c r="L2112" s="172">
        <f>+'FACUS$'!$H2112-'FACUS$'!$I2112-'FACUS$'!$K2112</f>
        <v>107874.2464</v>
      </c>
      <c r="M2112" s="162" t="s">
        <v>116</v>
      </c>
      <c r="N2112" s="337" t="s">
        <v>554</v>
      </c>
      <c r="O2112" s="338">
        <v>45020.0</v>
      </c>
      <c r="P2112" s="164">
        <f t="array" ref="P2112">XLOOKUP('FACUS$'!$B2112,'perfil de pagos'!$A$4:$A$46,'perfil de pagos'!$C$4:$C$46+'FACUS$'!$D2112)</f>
        <v>45017</v>
      </c>
      <c r="Q2112" s="165">
        <f t="shared" si="66"/>
        <v>0</v>
      </c>
      <c r="R2112" s="243" t="s">
        <v>9462</v>
      </c>
      <c r="S2112" s="167"/>
      <c r="T2112" s="167"/>
      <c r="U2112" s="334" t="s">
        <v>7271</v>
      </c>
      <c r="V2112" s="168">
        <f t="shared" si="3"/>
        <v>107874.2464</v>
      </c>
      <c r="W2112" s="168">
        <f t="shared" si="4"/>
        <v>0</v>
      </c>
      <c r="X2112" s="168">
        <f t="shared" si="5"/>
        <v>0</v>
      </c>
      <c r="Y2112" s="168">
        <f t="shared" si="6"/>
        <v>0</v>
      </c>
      <c r="Z2112" s="168">
        <f t="shared" si="7"/>
        <v>0</v>
      </c>
      <c r="AA2112" s="168">
        <f t="shared" si="8"/>
        <v>0</v>
      </c>
      <c r="AB2112" s="168">
        <f t="shared" si="9"/>
        <v>0</v>
      </c>
    </row>
    <row r="2113" ht="15.0" customHeight="1">
      <c r="A2113" s="157" t="s">
        <v>9486</v>
      </c>
      <c r="B2113" s="169" t="s">
        <v>38</v>
      </c>
      <c r="C2113" s="169" t="s">
        <v>4809</v>
      </c>
      <c r="D2113" s="317">
        <v>45008.0</v>
      </c>
      <c r="E2113" s="157" t="s">
        <v>600</v>
      </c>
      <c r="F2113" s="160">
        <v>3453.21</v>
      </c>
      <c r="G2113" s="160">
        <f>'FACUS$'!$F2113*0.16</f>
        <v>552.5136</v>
      </c>
      <c r="H2113" s="160">
        <f t="shared" si="68"/>
        <v>4005.7236</v>
      </c>
      <c r="I2113" s="172"/>
      <c r="J2113" s="169"/>
      <c r="K2113" s="172"/>
      <c r="L2113" s="172">
        <f>+'FACUS$'!$H2113-'FACUS$'!$I2113-'FACUS$'!$K2113</f>
        <v>4005.7236</v>
      </c>
      <c r="M2113" s="162" t="s">
        <v>4654</v>
      </c>
      <c r="N2113" s="337" t="s">
        <v>554</v>
      </c>
      <c r="O2113" s="338">
        <v>45065.0</v>
      </c>
      <c r="P2113" s="164">
        <f t="array" ref="P2113">XLOOKUP('FACUS$'!$B2113,'perfil de pagos'!$A$4:$A$46,'perfil de pagos'!$C$4:$C$46+'FACUS$'!$D2113)</f>
        <v>45038</v>
      </c>
      <c r="Q2113" s="165">
        <f t="shared" si="66"/>
        <v>0</v>
      </c>
      <c r="R2113" s="167"/>
      <c r="S2113" s="167">
        <v>2171.0</v>
      </c>
      <c r="T2113" s="167"/>
      <c r="U2113" s="334" t="s">
        <v>7271</v>
      </c>
      <c r="V2113" s="168">
        <f t="shared" si="3"/>
        <v>4005.7236</v>
      </c>
      <c r="W2113" s="168">
        <f t="shared" si="4"/>
        <v>0</v>
      </c>
      <c r="X2113" s="168">
        <f t="shared" si="5"/>
        <v>0</v>
      </c>
      <c r="Y2113" s="168">
        <f t="shared" si="6"/>
        <v>0</v>
      </c>
      <c r="Z2113" s="168">
        <f t="shared" si="7"/>
        <v>0</v>
      </c>
      <c r="AA2113" s="168">
        <f t="shared" si="8"/>
        <v>0</v>
      </c>
      <c r="AB2113" s="168">
        <f t="shared" si="9"/>
        <v>0</v>
      </c>
    </row>
    <row r="2114" ht="15.0" customHeight="1">
      <c r="A2114" s="157" t="s">
        <v>9487</v>
      </c>
      <c r="B2114" s="169" t="s">
        <v>38</v>
      </c>
      <c r="C2114" s="169" t="s">
        <v>4809</v>
      </c>
      <c r="D2114" s="317">
        <v>45009.0</v>
      </c>
      <c r="E2114" s="157" t="s">
        <v>600</v>
      </c>
      <c r="F2114" s="160">
        <v>9960.65</v>
      </c>
      <c r="G2114" s="160">
        <f>'FACUS$'!$F2114*0.16</f>
        <v>1593.704</v>
      </c>
      <c r="H2114" s="160">
        <f t="shared" si="68"/>
        <v>11554.354</v>
      </c>
      <c r="I2114" s="172"/>
      <c r="J2114" s="169"/>
      <c r="K2114" s="172"/>
      <c r="L2114" s="172">
        <f>+'FACUS$'!$H2114-'FACUS$'!$I2114-'FACUS$'!$K2114</f>
        <v>11554.354</v>
      </c>
      <c r="M2114" s="162" t="s">
        <v>145</v>
      </c>
      <c r="N2114" s="337" t="s">
        <v>554</v>
      </c>
      <c r="O2114" s="338">
        <v>45065.0</v>
      </c>
      <c r="P2114" s="164">
        <f t="array" ref="P2114">XLOOKUP('FACUS$'!$B2114,'perfil de pagos'!$A$4:$A$46,'perfil de pagos'!$C$4:$C$46+'FACUS$'!$D2114)</f>
        <v>45039</v>
      </c>
      <c r="Q2114" s="165">
        <f t="shared" si="66"/>
        <v>0</v>
      </c>
      <c r="R2114" s="167"/>
      <c r="S2114" s="167">
        <v>2171.0</v>
      </c>
      <c r="T2114" s="167"/>
      <c r="U2114" s="334" t="s">
        <v>7271</v>
      </c>
      <c r="V2114" s="168">
        <f t="shared" si="3"/>
        <v>11554.354</v>
      </c>
      <c r="W2114" s="168">
        <f t="shared" si="4"/>
        <v>0</v>
      </c>
      <c r="X2114" s="168">
        <f t="shared" si="5"/>
        <v>0</v>
      </c>
      <c r="Y2114" s="168">
        <f t="shared" si="6"/>
        <v>0</v>
      </c>
      <c r="Z2114" s="168">
        <f t="shared" si="7"/>
        <v>0</v>
      </c>
      <c r="AA2114" s="168">
        <f t="shared" si="8"/>
        <v>0</v>
      </c>
      <c r="AB2114" s="168">
        <f t="shared" si="9"/>
        <v>0</v>
      </c>
    </row>
    <row r="2115" ht="15.0" customHeight="1">
      <c r="A2115" s="157" t="s">
        <v>9488</v>
      </c>
      <c r="B2115" s="169" t="s">
        <v>38</v>
      </c>
      <c r="C2115" s="169" t="s">
        <v>4809</v>
      </c>
      <c r="D2115" s="317">
        <v>45009.0</v>
      </c>
      <c r="E2115" s="157" t="s">
        <v>600</v>
      </c>
      <c r="F2115" s="160">
        <v>2515.05</v>
      </c>
      <c r="G2115" s="160">
        <f>'FACUS$'!$F2115*0.16</f>
        <v>402.408</v>
      </c>
      <c r="H2115" s="160">
        <f t="shared" si="68"/>
        <v>2917.458</v>
      </c>
      <c r="I2115" s="172"/>
      <c r="J2115" s="169"/>
      <c r="K2115" s="172"/>
      <c r="L2115" s="172">
        <f>+'FACUS$'!$H2115-'FACUS$'!$I2115-'FACUS$'!$K2115</f>
        <v>2917.458</v>
      </c>
      <c r="M2115" s="162" t="s">
        <v>642</v>
      </c>
      <c r="N2115" s="337" t="s">
        <v>554</v>
      </c>
      <c r="O2115" s="338">
        <v>45065.0</v>
      </c>
      <c r="P2115" s="164">
        <f t="array" ref="P2115">XLOOKUP('FACUS$'!$B2115,'perfil de pagos'!$A$4:$A$46,'perfil de pagos'!$C$4:$C$46+'FACUS$'!$D2115)</f>
        <v>45039</v>
      </c>
      <c r="Q2115" s="165">
        <f t="shared" si="66"/>
        <v>0</v>
      </c>
      <c r="R2115" s="167"/>
      <c r="S2115" s="167">
        <v>2171.0</v>
      </c>
      <c r="T2115" s="167"/>
      <c r="U2115" s="334" t="s">
        <v>7271</v>
      </c>
      <c r="V2115" s="168">
        <f t="shared" si="3"/>
        <v>2917.458</v>
      </c>
      <c r="W2115" s="168">
        <f t="shared" si="4"/>
        <v>0</v>
      </c>
      <c r="X2115" s="168">
        <f t="shared" si="5"/>
        <v>0</v>
      </c>
      <c r="Y2115" s="168">
        <f t="shared" si="6"/>
        <v>0</v>
      </c>
      <c r="Z2115" s="168">
        <f t="shared" si="7"/>
        <v>0</v>
      </c>
      <c r="AA2115" s="168">
        <f t="shared" si="8"/>
        <v>0</v>
      </c>
      <c r="AB2115" s="168">
        <f t="shared" si="9"/>
        <v>0</v>
      </c>
    </row>
    <row r="2116" ht="15.0" customHeight="1">
      <c r="A2116" s="157" t="s">
        <v>9489</v>
      </c>
      <c r="B2116" s="169" t="s">
        <v>15</v>
      </c>
      <c r="C2116" s="169" t="s">
        <v>4842</v>
      </c>
      <c r="D2116" s="317">
        <v>45019.0</v>
      </c>
      <c r="E2116" s="157" t="s">
        <v>600</v>
      </c>
      <c r="F2116" s="160">
        <v>58360.19</v>
      </c>
      <c r="G2116" s="160">
        <f>'FACUS$'!$F2116*0.16</f>
        <v>9337.6304</v>
      </c>
      <c r="H2116" s="160">
        <f t="shared" si="68"/>
        <v>67697.8204</v>
      </c>
      <c r="I2116" s="172"/>
      <c r="J2116" s="169"/>
      <c r="K2116" s="172"/>
      <c r="L2116" s="172">
        <f>+'FACUS$'!$H2116-'FACUS$'!$I2116-'FACUS$'!$K2116</f>
        <v>67697.8204</v>
      </c>
      <c r="M2116" s="162" t="s">
        <v>443</v>
      </c>
      <c r="N2116" s="337" t="s">
        <v>554</v>
      </c>
      <c r="O2116" s="338">
        <v>45044.0</v>
      </c>
      <c r="P2116" s="164">
        <f t="array" ref="P2116">XLOOKUP('FACUS$'!$B2116,'perfil de pagos'!$A$4:$A$46,'perfil de pagos'!$C$4:$C$46+'FACUS$'!$D2116)</f>
        <v>45029</v>
      </c>
      <c r="Q2116" s="165">
        <f t="shared" si="66"/>
        <v>0</v>
      </c>
      <c r="R2116" s="167"/>
      <c r="S2116" s="167">
        <v>2135.0</v>
      </c>
      <c r="T2116" s="167"/>
      <c r="U2116" s="334" t="s">
        <v>7271</v>
      </c>
      <c r="V2116" s="168">
        <f t="shared" si="3"/>
        <v>67697.8204</v>
      </c>
      <c r="W2116" s="168">
        <f t="shared" si="4"/>
        <v>0</v>
      </c>
      <c r="X2116" s="168">
        <f t="shared" si="5"/>
        <v>0</v>
      </c>
      <c r="Y2116" s="168">
        <f t="shared" si="6"/>
        <v>0</v>
      </c>
      <c r="Z2116" s="168">
        <f t="shared" si="7"/>
        <v>0</v>
      </c>
      <c r="AA2116" s="168">
        <f t="shared" si="8"/>
        <v>0</v>
      </c>
      <c r="AB2116" s="168">
        <f t="shared" si="9"/>
        <v>0</v>
      </c>
    </row>
    <row r="2117" ht="15.0" customHeight="1">
      <c r="A2117" s="157" t="s">
        <v>9490</v>
      </c>
      <c r="B2117" s="169" t="s">
        <v>17</v>
      </c>
      <c r="C2117" s="169" t="s">
        <v>4832</v>
      </c>
      <c r="D2117" s="317">
        <v>45019.0</v>
      </c>
      <c r="E2117" s="157" t="s">
        <v>600</v>
      </c>
      <c r="F2117" s="160">
        <v>8835.19</v>
      </c>
      <c r="G2117" s="160">
        <f>'FACUS$'!$F2117*0.16</f>
        <v>1413.6304</v>
      </c>
      <c r="H2117" s="160">
        <f t="shared" si="68"/>
        <v>10248.8204</v>
      </c>
      <c r="I2117" s="172"/>
      <c r="J2117" s="169">
        <v>303.0</v>
      </c>
      <c r="K2117" s="172">
        <f>'NCUS$'!H63</f>
        <v>7693.9204</v>
      </c>
      <c r="L2117" s="172">
        <f>+'FACUS$'!$H2117-'FACUS$'!$I2117-'FACUS$'!$K2117</f>
        <v>2554.9</v>
      </c>
      <c r="M2117" s="162" t="s">
        <v>17</v>
      </c>
      <c r="N2117" s="337" t="s">
        <v>554</v>
      </c>
      <c r="O2117" s="338">
        <v>45036.0</v>
      </c>
      <c r="P2117" s="164">
        <f t="array" ref="P2117">XLOOKUP('FACUS$'!$B2117,'perfil de pagos'!$A$4:$A$46,'perfil de pagos'!$C$4:$C$46+'FACUS$'!$D2117)</f>
        <v>45029</v>
      </c>
      <c r="Q2117" s="165">
        <f t="shared" si="66"/>
        <v>0</v>
      </c>
      <c r="R2117" s="167"/>
      <c r="S2117" s="167">
        <v>2123.0</v>
      </c>
      <c r="T2117" s="167"/>
      <c r="U2117" s="334" t="s">
        <v>7271</v>
      </c>
      <c r="V2117" s="168">
        <f t="shared" si="3"/>
        <v>2554.9</v>
      </c>
      <c r="W2117" s="168">
        <f t="shared" si="4"/>
        <v>0</v>
      </c>
      <c r="X2117" s="168">
        <f t="shared" si="5"/>
        <v>0</v>
      </c>
      <c r="Y2117" s="168">
        <f t="shared" si="6"/>
        <v>0</v>
      </c>
      <c r="Z2117" s="168">
        <f t="shared" si="7"/>
        <v>0</v>
      </c>
      <c r="AA2117" s="168">
        <f t="shared" si="8"/>
        <v>0</v>
      </c>
      <c r="AB2117" s="168">
        <f t="shared" si="9"/>
        <v>0</v>
      </c>
    </row>
    <row r="2118" ht="15.0" customHeight="1">
      <c r="A2118" s="157" t="s">
        <v>9491</v>
      </c>
      <c r="B2118" s="169" t="s">
        <v>17</v>
      </c>
      <c r="C2118" s="169" t="s">
        <v>4842</v>
      </c>
      <c r="D2118" s="317">
        <v>45019.0</v>
      </c>
      <c r="E2118" s="157" t="s">
        <v>600</v>
      </c>
      <c r="F2118" s="160">
        <v>18481.73</v>
      </c>
      <c r="G2118" s="160">
        <f>'FACUS$'!$F2118*0.16</f>
        <v>2957.0768</v>
      </c>
      <c r="H2118" s="160">
        <f t="shared" si="68"/>
        <v>21438.8068</v>
      </c>
      <c r="I2118" s="172"/>
      <c r="J2118" s="169"/>
      <c r="K2118" s="172"/>
      <c r="L2118" s="172">
        <f>+'FACUS$'!$H2118-'FACUS$'!$I2118-'FACUS$'!$K2118</f>
        <v>21438.8068</v>
      </c>
      <c r="M2118" s="162" t="s">
        <v>17</v>
      </c>
      <c r="N2118" s="337" t="s">
        <v>554</v>
      </c>
      <c r="O2118" s="338">
        <v>45036.0</v>
      </c>
      <c r="P2118" s="164">
        <f t="array" ref="P2118">XLOOKUP('FACUS$'!$B2118,'perfil de pagos'!$A$4:$A$46,'perfil de pagos'!$C$4:$C$46+'FACUS$'!$D2118)</f>
        <v>45029</v>
      </c>
      <c r="Q2118" s="165">
        <f t="shared" si="66"/>
        <v>0</v>
      </c>
      <c r="R2118" s="167"/>
      <c r="S2118" s="167">
        <v>2122.0</v>
      </c>
      <c r="T2118" s="167"/>
      <c r="U2118" s="334" t="s">
        <v>7271</v>
      </c>
      <c r="V2118" s="168">
        <f t="shared" si="3"/>
        <v>21438.8068</v>
      </c>
      <c r="W2118" s="168">
        <f t="shared" si="4"/>
        <v>0</v>
      </c>
      <c r="X2118" s="168">
        <f t="shared" si="5"/>
        <v>0</v>
      </c>
      <c r="Y2118" s="168">
        <f t="shared" si="6"/>
        <v>0</v>
      </c>
      <c r="Z2118" s="168">
        <f t="shared" si="7"/>
        <v>0</v>
      </c>
      <c r="AA2118" s="168">
        <f t="shared" si="8"/>
        <v>0</v>
      </c>
      <c r="AB2118" s="168">
        <f t="shared" si="9"/>
        <v>0</v>
      </c>
    </row>
    <row r="2119" ht="15.0" customHeight="1">
      <c r="A2119" s="157" t="s">
        <v>9492</v>
      </c>
      <c r="B2119" s="169" t="s">
        <v>39</v>
      </c>
      <c r="C2119" s="169" t="s">
        <v>4832</v>
      </c>
      <c r="D2119" s="317">
        <v>45019.0</v>
      </c>
      <c r="E2119" s="157" t="s">
        <v>600</v>
      </c>
      <c r="F2119" s="160">
        <v>22817.4</v>
      </c>
      <c r="G2119" s="160">
        <f>'FACUS$'!$F2119*0.16</f>
        <v>3650.784</v>
      </c>
      <c r="H2119" s="160">
        <f t="shared" si="68"/>
        <v>26468.184</v>
      </c>
      <c r="I2119" s="172"/>
      <c r="J2119" s="169"/>
      <c r="K2119" s="172"/>
      <c r="L2119" s="172">
        <f>+'FACUS$'!$H2119-'FACUS$'!$I2119-'FACUS$'!$K2119</f>
        <v>26468.184</v>
      </c>
      <c r="M2119" s="162" t="s">
        <v>570</v>
      </c>
      <c r="N2119" s="337" t="s">
        <v>554</v>
      </c>
      <c r="O2119" s="338">
        <v>45030.0</v>
      </c>
      <c r="P2119" s="164">
        <f t="array" ref="P2119">XLOOKUP('FACUS$'!$B2119,'perfil de pagos'!$A$4:$A$46,'perfil de pagos'!$C$4:$C$46+'FACUS$'!$D2119)</f>
        <v>45029</v>
      </c>
      <c r="Q2119" s="165">
        <f t="shared" si="66"/>
        <v>0</v>
      </c>
      <c r="R2119" s="167"/>
      <c r="S2119" s="167">
        <v>2106.0</v>
      </c>
      <c r="T2119" s="167"/>
      <c r="U2119" s="334" t="s">
        <v>7271</v>
      </c>
      <c r="V2119" s="168">
        <f t="shared" si="3"/>
        <v>26468.184</v>
      </c>
      <c r="W2119" s="168">
        <f t="shared" si="4"/>
        <v>0</v>
      </c>
      <c r="X2119" s="168">
        <f t="shared" si="5"/>
        <v>0</v>
      </c>
      <c r="Y2119" s="168">
        <f t="shared" si="6"/>
        <v>0</v>
      </c>
      <c r="Z2119" s="168">
        <f t="shared" si="7"/>
        <v>0</v>
      </c>
      <c r="AA2119" s="168">
        <f t="shared" si="8"/>
        <v>0</v>
      </c>
      <c r="AB2119" s="168">
        <f t="shared" si="9"/>
        <v>0</v>
      </c>
    </row>
    <row r="2120" ht="15.0" customHeight="1">
      <c r="A2120" s="157" t="s">
        <v>9493</v>
      </c>
      <c r="B2120" s="169" t="s">
        <v>39</v>
      </c>
      <c r="C2120" s="169" t="s">
        <v>4842</v>
      </c>
      <c r="D2120" s="317">
        <v>45019.0</v>
      </c>
      <c r="E2120" s="157" t="s">
        <v>600</v>
      </c>
      <c r="F2120" s="160">
        <v>29973.12</v>
      </c>
      <c r="G2120" s="160">
        <f>'FACUS$'!$F2120*0.16</f>
        <v>4795.6992</v>
      </c>
      <c r="H2120" s="160">
        <f t="shared" si="68"/>
        <v>34768.8192</v>
      </c>
      <c r="I2120" s="172"/>
      <c r="J2120" s="169"/>
      <c r="K2120" s="172"/>
      <c r="L2120" s="172">
        <f>+'FACUS$'!$H2120-'FACUS$'!$I2120-'FACUS$'!$K2120</f>
        <v>34768.8192</v>
      </c>
      <c r="M2120" s="162" t="s">
        <v>570</v>
      </c>
      <c r="N2120" s="337" t="s">
        <v>554</v>
      </c>
      <c r="O2120" s="338">
        <v>45030.0</v>
      </c>
      <c r="P2120" s="164">
        <f t="array" ref="P2120">XLOOKUP('FACUS$'!$B2120,'perfil de pagos'!$A$4:$A$46,'perfil de pagos'!$C$4:$C$46+'FACUS$'!$D2120)</f>
        <v>45029</v>
      </c>
      <c r="Q2120" s="165">
        <f t="shared" si="66"/>
        <v>0</v>
      </c>
      <c r="R2120" s="167"/>
      <c r="S2120" s="167">
        <v>2106.0</v>
      </c>
      <c r="T2120" s="167"/>
      <c r="U2120" s="334" t="s">
        <v>7271</v>
      </c>
      <c r="V2120" s="168">
        <f t="shared" si="3"/>
        <v>34768.8192</v>
      </c>
      <c r="W2120" s="168">
        <f t="shared" si="4"/>
        <v>0</v>
      </c>
      <c r="X2120" s="168">
        <f t="shared" si="5"/>
        <v>0</v>
      </c>
      <c r="Y2120" s="168">
        <f t="shared" si="6"/>
        <v>0</v>
      </c>
      <c r="Z2120" s="168">
        <f t="shared" si="7"/>
        <v>0</v>
      </c>
      <c r="AA2120" s="168">
        <f t="shared" si="8"/>
        <v>0</v>
      </c>
      <c r="AB2120" s="168">
        <f t="shared" si="9"/>
        <v>0</v>
      </c>
    </row>
    <row r="2121" ht="15.0" customHeight="1">
      <c r="A2121" s="157" t="s">
        <v>9494</v>
      </c>
      <c r="B2121" s="169" t="s">
        <v>35</v>
      </c>
      <c r="C2121" s="169" t="s">
        <v>4842</v>
      </c>
      <c r="D2121" s="317">
        <v>45019.0</v>
      </c>
      <c r="E2121" s="157" t="s">
        <v>600</v>
      </c>
      <c r="F2121" s="160">
        <v>20891.89</v>
      </c>
      <c r="G2121" s="160">
        <f>'FACUS$'!$F2121*0.16</f>
        <v>3342.7024</v>
      </c>
      <c r="H2121" s="160">
        <f t="shared" si="68"/>
        <v>24234.5924</v>
      </c>
      <c r="I2121" s="172"/>
      <c r="J2121" s="169"/>
      <c r="K2121" s="172"/>
      <c r="L2121" s="172">
        <f>+'FACUS$'!$H2121-'FACUS$'!$I2121-'FACUS$'!$K2121</f>
        <v>24234.5924</v>
      </c>
      <c r="M2121" s="162" t="s">
        <v>276</v>
      </c>
      <c r="N2121" s="337" t="s">
        <v>554</v>
      </c>
      <c r="O2121" s="338">
        <v>45103.0</v>
      </c>
      <c r="P2121" s="164">
        <f t="array" ref="P2121">XLOOKUP('FACUS$'!$B2121,'perfil de pagos'!$A$4:$A$46,'perfil de pagos'!$C$4:$C$46+'FACUS$'!$D2121)</f>
        <v>45029</v>
      </c>
      <c r="Q2121" s="165">
        <f t="shared" si="66"/>
        <v>0</v>
      </c>
      <c r="R2121" s="167"/>
      <c r="S2121" s="167">
        <v>2241.0</v>
      </c>
      <c r="T2121" s="167"/>
      <c r="U2121" s="334" t="s">
        <v>7271</v>
      </c>
      <c r="V2121" s="168">
        <f t="shared" si="3"/>
        <v>24234.5924</v>
      </c>
      <c r="W2121" s="168">
        <f t="shared" si="4"/>
        <v>0</v>
      </c>
      <c r="X2121" s="168">
        <f t="shared" si="5"/>
        <v>0</v>
      </c>
      <c r="Y2121" s="168">
        <f t="shared" si="6"/>
        <v>0</v>
      </c>
      <c r="Z2121" s="168">
        <f t="shared" si="7"/>
        <v>0</v>
      </c>
      <c r="AA2121" s="168">
        <f t="shared" si="8"/>
        <v>0</v>
      </c>
      <c r="AB2121" s="168">
        <f t="shared" si="9"/>
        <v>0</v>
      </c>
    </row>
    <row r="2122" ht="15.0" customHeight="1">
      <c r="A2122" s="157" t="s">
        <v>9495</v>
      </c>
      <c r="B2122" s="169" t="s">
        <v>36</v>
      </c>
      <c r="C2122" s="169" t="s">
        <v>4842</v>
      </c>
      <c r="D2122" s="317">
        <v>45019.0</v>
      </c>
      <c r="E2122" s="157" t="s">
        <v>600</v>
      </c>
      <c r="F2122" s="160">
        <v>4411.08</v>
      </c>
      <c r="G2122" s="160">
        <f>'FACUS$'!$F2122*0.16</f>
        <v>705.7728</v>
      </c>
      <c r="H2122" s="160">
        <f t="shared" si="68"/>
        <v>5116.8528</v>
      </c>
      <c r="I2122" s="172"/>
      <c r="J2122" s="169"/>
      <c r="K2122" s="172"/>
      <c r="L2122" s="172">
        <f>+'FACUS$'!$H2122-'FACUS$'!$I2122-'FACUS$'!$K2122</f>
        <v>5116.8528</v>
      </c>
      <c r="M2122" s="162" t="s">
        <v>278</v>
      </c>
      <c r="N2122" s="337" t="s">
        <v>554</v>
      </c>
      <c r="O2122" s="338">
        <v>45020.0</v>
      </c>
      <c r="P2122" s="164">
        <f t="array" ref="P2122">XLOOKUP('FACUS$'!$B2122,'perfil de pagos'!$A$4:$A$46,'perfil de pagos'!$C$4:$C$46+'FACUS$'!$D2122)</f>
        <v>45029</v>
      </c>
      <c r="Q2122" s="165">
        <f t="shared" si="66"/>
        <v>0</v>
      </c>
      <c r="R2122" s="167" t="s">
        <v>9496</v>
      </c>
      <c r="S2122" s="167">
        <v>2107.0</v>
      </c>
      <c r="T2122" s="167"/>
      <c r="U2122" s="334" t="s">
        <v>7271</v>
      </c>
      <c r="V2122" s="168">
        <f t="shared" si="3"/>
        <v>5116.8528</v>
      </c>
      <c r="W2122" s="168">
        <f t="shared" si="4"/>
        <v>0</v>
      </c>
      <c r="X2122" s="168">
        <f t="shared" si="5"/>
        <v>0</v>
      </c>
      <c r="Y2122" s="168">
        <f t="shared" si="6"/>
        <v>0</v>
      </c>
      <c r="Z2122" s="168">
        <f t="shared" si="7"/>
        <v>0</v>
      </c>
      <c r="AA2122" s="168">
        <f t="shared" si="8"/>
        <v>0</v>
      </c>
      <c r="AB2122" s="168">
        <f t="shared" si="9"/>
        <v>0</v>
      </c>
    </row>
    <row r="2123" ht="15.0" customHeight="1">
      <c r="A2123" s="157" t="s">
        <v>9497</v>
      </c>
      <c r="B2123" s="169" t="s">
        <v>44</v>
      </c>
      <c r="C2123" s="169" t="s">
        <v>4842</v>
      </c>
      <c r="D2123" s="317">
        <v>45019.0</v>
      </c>
      <c r="E2123" s="157" t="s">
        <v>600</v>
      </c>
      <c r="F2123" s="160">
        <v>11839.11</v>
      </c>
      <c r="G2123" s="160">
        <f>'FACUS$'!$F2123*0.16</f>
        <v>1894.2576</v>
      </c>
      <c r="H2123" s="160">
        <f t="shared" si="68"/>
        <v>13733.3676</v>
      </c>
      <c r="I2123" s="172"/>
      <c r="J2123" s="169"/>
      <c r="K2123" s="172"/>
      <c r="L2123" s="172">
        <f>+'FACUS$'!$H2123-'FACUS$'!$I2123-'FACUS$'!$K2123</f>
        <v>13733.3676</v>
      </c>
      <c r="M2123" s="162" t="s">
        <v>361</v>
      </c>
      <c r="N2123" s="337" t="s">
        <v>554</v>
      </c>
      <c r="O2123" s="338">
        <v>45030.0</v>
      </c>
      <c r="P2123" s="164">
        <f t="array" ref="P2123">XLOOKUP('FACUS$'!$B2123,'perfil de pagos'!$A$4:$A$46,'perfil de pagos'!$C$4:$C$46+'FACUS$'!$D2123)</f>
        <v>45029</v>
      </c>
      <c r="Q2123" s="165">
        <f t="shared" si="66"/>
        <v>0</v>
      </c>
      <c r="R2123" s="167"/>
      <c r="S2123" s="167">
        <v>2105.0</v>
      </c>
      <c r="T2123" s="167"/>
      <c r="U2123" s="334" t="s">
        <v>7271</v>
      </c>
      <c r="V2123" s="168">
        <f t="shared" si="3"/>
        <v>13733.3676</v>
      </c>
      <c r="W2123" s="168">
        <f t="shared" si="4"/>
        <v>0</v>
      </c>
      <c r="X2123" s="168">
        <f t="shared" si="5"/>
        <v>0</v>
      </c>
      <c r="Y2123" s="168">
        <f t="shared" si="6"/>
        <v>0</v>
      </c>
      <c r="Z2123" s="168">
        <f t="shared" si="7"/>
        <v>0</v>
      </c>
      <c r="AA2123" s="168">
        <f t="shared" si="8"/>
        <v>0</v>
      </c>
      <c r="AB2123" s="168">
        <f t="shared" si="9"/>
        <v>0</v>
      </c>
    </row>
    <row r="2124" ht="15.0" customHeight="1">
      <c r="A2124" s="157" t="s">
        <v>9498</v>
      </c>
      <c r="B2124" s="169" t="s">
        <v>41</v>
      </c>
      <c r="C2124" s="169" t="s">
        <v>4842</v>
      </c>
      <c r="D2124" s="317">
        <v>45019.0</v>
      </c>
      <c r="E2124" s="157" t="s">
        <v>600</v>
      </c>
      <c r="F2124" s="160">
        <v>58770.81</v>
      </c>
      <c r="G2124" s="160">
        <f>'FACUS$'!$F2124*0.16</f>
        <v>9403.3296</v>
      </c>
      <c r="H2124" s="160">
        <f t="shared" si="68"/>
        <v>68174.1396</v>
      </c>
      <c r="I2124" s="172"/>
      <c r="J2124" s="169"/>
      <c r="K2124" s="172"/>
      <c r="L2124" s="172">
        <f>+'FACUS$'!$H2124-'FACUS$'!$I2124-'FACUS$'!$K2124</f>
        <v>68174.1396</v>
      </c>
      <c r="M2124" s="162" t="s">
        <v>875</v>
      </c>
      <c r="N2124" s="337" t="s">
        <v>554</v>
      </c>
      <c r="O2124" s="338">
        <v>45051.0</v>
      </c>
      <c r="P2124" s="164">
        <f t="array" ref="P2124">XLOOKUP('FACUS$'!$B2124,'perfil de pagos'!$A$4:$A$46,'perfil de pagos'!$C$4:$C$46+'FACUS$'!$D2124)</f>
        <v>45029</v>
      </c>
      <c r="Q2124" s="165">
        <f t="shared" si="66"/>
        <v>0</v>
      </c>
      <c r="R2124" s="167"/>
      <c r="S2124" s="167">
        <v>2149.0</v>
      </c>
      <c r="T2124" s="167"/>
      <c r="U2124" s="334" t="s">
        <v>7271</v>
      </c>
      <c r="V2124" s="168">
        <f t="shared" si="3"/>
        <v>68174.1396</v>
      </c>
      <c r="W2124" s="168">
        <f t="shared" si="4"/>
        <v>0</v>
      </c>
      <c r="X2124" s="168">
        <f t="shared" si="5"/>
        <v>0</v>
      </c>
      <c r="Y2124" s="168">
        <f t="shared" si="6"/>
        <v>0</v>
      </c>
      <c r="Z2124" s="168">
        <f t="shared" si="7"/>
        <v>0</v>
      </c>
      <c r="AA2124" s="168">
        <f t="shared" si="8"/>
        <v>0</v>
      </c>
      <c r="AB2124" s="168">
        <f t="shared" si="9"/>
        <v>0</v>
      </c>
    </row>
    <row r="2125" ht="15.0" customHeight="1">
      <c r="A2125" s="157" t="s">
        <v>9499</v>
      </c>
      <c r="B2125" s="169" t="s">
        <v>43</v>
      </c>
      <c r="C2125" s="169" t="s">
        <v>4842</v>
      </c>
      <c r="D2125" s="317">
        <v>45019.0</v>
      </c>
      <c r="E2125" s="157" t="s">
        <v>600</v>
      </c>
      <c r="F2125" s="160">
        <v>37062.39</v>
      </c>
      <c r="G2125" s="160">
        <f>'FACUS$'!$F2125*0.16</f>
        <v>5929.9824</v>
      </c>
      <c r="H2125" s="160">
        <f t="shared" si="68"/>
        <v>42992.3724</v>
      </c>
      <c r="I2125" s="172"/>
      <c r="J2125" s="169"/>
      <c r="K2125" s="172"/>
      <c r="L2125" s="172">
        <f>+'FACUS$'!$H2125-'FACUS$'!$I2125-'FACUS$'!$K2125</f>
        <v>42992.3724</v>
      </c>
      <c r="M2125" s="162" t="s">
        <v>43</v>
      </c>
      <c r="N2125" s="337" t="s">
        <v>127</v>
      </c>
      <c r="O2125" s="338"/>
      <c r="P2125" s="164">
        <f t="array" ref="P2125">XLOOKUP('FACUS$'!$B2125,'perfil de pagos'!$A$4:$A$46,'perfil de pagos'!$C$4:$C$46+'FACUS$'!$D2125)</f>
        <v>45044</v>
      </c>
      <c r="Q2125" s="165" t="str">
        <f t="shared" si="66"/>
        <v>N/A</v>
      </c>
      <c r="R2125" s="167" t="s">
        <v>9500</v>
      </c>
      <c r="S2125" s="167"/>
      <c r="T2125" s="167"/>
      <c r="U2125" s="334" t="s">
        <v>7271</v>
      </c>
      <c r="V2125" s="168">
        <f t="shared" si="3"/>
        <v>0</v>
      </c>
      <c r="W2125" s="168">
        <f t="shared" si="4"/>
        <v>0</v>
      </c>
      <c r="X2125" s="168">
        <f t="shared" si="5"/>
        <v>0</v>
      </c>
      <c r="Y2125" s="168">
        <f t="shared" si="6"/>
        <v>0</v>
      </c>
      <c r="Z2125" s="168">
        <f t="shared" si="7"/>
        <v>0</v>
      </c>
      <c r="AA2125" s="168">
        <f t="shared" si="8"/>
        <v>0</v>
      </c>
      <c r="AB2125" s="168">
        <f t="shared" si="9"/>
        <v>42992.3724</v>
      </c>
    </row>
    <row r="2126" ht="15.0" customHeight="1">
      <c r="A2126" s="157" t="s">
        <v>9501</v>
      </c>
      <c r="B2126" s="169" t="s">
        <v>42</v>
      </c>
      <c r="C2126" s="169" t="s">
        <v>4842</v>
      </c>
      <c r="D2126" s="317">
        <v>45019.0</v>
      </c>
      <c r="E2126" s="157" t="s">
        <v>600</v>
      </c>
      <c r="F2126" s="160">
        <v>11500.71</v>
      </c>
      <c r="G2126" s="160">
        <f>'FACUS$'!$F2126*0.16</f>
        <v>1840.1136</v>
      </c>
      <c r="H2126" s="160">
        <f t="shared" si="68"/>
        <v>13340.8236</v>
      </c>
      <c r="I2126" s="172"/>
      <c r="J2126" s="169"/>
      <c r="K2126" s="172"/>
      <c r="L2126" s="172">
        <f>+'FACUS$'!$H2126-'FACUS$'!$I2126-'FACUS$'!$K2126</f>
        <v>13340.8236</v>
      </c>
      <c r="M2126" s="162" t="s">
        <v>42</v>
      </c>
      <c r="N2126" s="337" t="s">
        <v>554</v>
      </c>
      <c r="O2126" s="338">
        <v>45036.0</v>
      </c>
      <c r="P2126" s="164">
        <f t="array" ref="P2126">XLOOKUP('FACUS$'!$B2126,'perfil de pagos'!$A$4:$A$46,'perfil de pagos'!$C$4:$C$46+'FACUS$'!$D2126)</f>
        <v>45029</v>
      </c>
      <c r="Q2126" s="165">
        <f t="shared" si="66"/>
        <v>0</v>
      </c>
      <c r="R2126" s="167"/>
      <c r="S2126" s="167">
        <v>2121.0</v>
      </c>
      <c r="T2126" s="167"/>
      <c r="U2126" s="334" t="s">
        <v>7271</v>
      </c>
      <c r="V2126" s="168">
        <f t="shared" si="3"/>
        <v>13340.8236</v>
      </c>
      <c r="W2126" s="168">
        <f t="shared" si="4"/>
        <v>0</v>
      </c>
      <c r="X2126" s="168">
        <f t="shared" si="5"/>
        <v>0</v>
      </c>
      <c r="Y2126" s="168">
        <f t="shared" si="6"/>
        <v>0</v>
      </c>
      <c r="Z2126" s="168">
        <f t="shared" si="7"/>
        <v>0</v>
      </c>
      <c r="AA2126" s="168">
        <f t="shared" si="8"/>
        <v>0</v>
      </c>
      <c r="AB2126" s="168">
        <f t="shared" si="9"/>
        <v>0</v>
      </c>
    </row>
    <row r="2127" ht="15.0" customHeight="1">
      <c r="A2127" s="157" t="s">
        <v>9502</v>
      </c>
      <c r="B2127" s="169" t="s">
        <v>32</v>
      </c>
      <c r="C2127" s="169" t="s">
        <v>9503</v>
      </c>
      <c r="D2127" s="317">
        <v>45020.0</v>
      </c>
      <c r="E2127" s="157" t="s">
        <v>600</v>
      </c>
      <c r="F2127" s="160">
        <v>817.26</v>
      </c>
      <c r="G2127" s="160">
        <f>'FACUS$'!$F2127*0.16</f>
        <v>130.7616</v>
      </c>
      <c r="H2127" s="160">
        <f t="shared" si="68"/>
        <v>948.0216</v>
      </c>
      <c r="I2127" s="172"/>
      <c r="J2127" s="169"/>
      <c r="K2127" s="172"/>
      <c r="L2127" s="172">
        <f>+'FACUS$'!$H2127-'FACUS$'!$I2127-'FACUS$'!$K2127</f>
        <v>948.0216</v>
      </c>
      <c r="M2127" s="162" t="s">
        <v>395</v>
      </c>
      <c r="N2127" s="337" t="s">
        <v>554</v>
      </c>
      <c r="O2127" s="338">
        <v>45107.0</v>
      </c>
      <c r="P2127" s="164">
        <f t="array" ref="P2127">XLOOKUP('FACUS$'!$B2127,'perfil de pagos'!$A$4:$A$46,'perfil de pagos'!$C$4:$C$46+'FACUS$'!$D2127)</f>
        <v>45030</v>
      </c>
      <c r="Q2127" s="165">
        <f t="shared" si="66"/>
        <v>0</v>
      </c>
      <c r="R2127" s="167"/>
      <c r="S2127" s="167">
        <v>2258.0</v>
      </c>
      <c r="T2127" s="167"/>
      <c r="U2127" s="334" t="s">
        <v>7271</v>
      </c>
      <c r="V2127" s="168">
        <f t="shared" si="3"/>
        <v>948.0216</v>
      </c>
      <c r="W2127" s="168">
        <f t="shared" si="4"/>
        <v>0</v>
      </c>
      <c r="X2127" s="168">
        <f t="shared" si="5"/>
        <v>0</v>
      </c>
      <c r="Y2127" s="168">
        <f t="shared" si="6"/>
        <v>0</v>
      </c>
      <c r="Z2127" s="168">
        <f t="shared" si="7"/>
        <v>0</v>
      </c>
      <c r="AA2127" s="168">
        <f t="shared" si="8"/>
        <v>0</v>
      </c>
      <c r="AB2127" s="168">
        <f t="shared" si="9"/>
        <v>0</v>
      </c>
    </row>
    <row r="2128" ht="15.0" customHeight="1">
      <c r="A2128" s="157" t="s">
        <v>9504</v>
      </c>
      <c r="B2128" s="169" t="s">
        <v>38</v>
      </c>
      <c r="C2128" s="169" t="s">
        <v>4842</v>
      </c>
      <c r="D2128" s="317">
        <v>45020.0</v>
      </c>
      <c r="E2128" s="157" t="s">
        <v>600</v>
      </c>
      <c r="F2128" s="160">
        <v>4530.45</v>
      </c>
      <c r="G2128" s="160">
        <f>'FACUS$'!$F2128*0.16</f>
        <v>724.872</v>
      </c>
      <c r="H2128" s="160">
        <f t="shared" si="68"/>
        <v>5255.322</v>
      </c>
      <c r="I2128" s="172"/>
      <c r="J2128" s="169"/>
      <c r="K2128" s="172"/>
      <c r="L2128" s="172">
        <f>+'FACUS$'!$H2128-'FACUS$'!$I2128-'FACUS$'!$K2128</f>
        <v>5255.322</v>
      </c>
      <c r="M2128" s="162" t="s">
        <v>4654</v>
      </c>
      <c r="N2128" s="337" t="s">
        <v>554</v>
      </c>
      <c r="O2128" s="338">
        <v>45065.0</v>
      </c>
      <c r="P2128" s="164">
        <f t="array" ref="P2128">XLOOKUP('FACUS$'!$B2128,'perfil de pagos'!$A$4:$A$46,'perfil de pagos'!$C$4:$C$46+'FACUS$'!$D2128)</f>
        <v>45050</v>
      </c>
      <c r="Q2128" s="165">
        <f t="shared" si="66"/>
        <v>0</v>
      </c>
      <c r="R2128" s="167"/>
      <c r="S2128" s="167">
        <v>2171.0</v>
      </c>
      <c r="T2128" s="167"/>
      <c r="U2128" s="334" t="s">
        <v>7271</v>
      </c>
      <c r="V2128" s="168">
        <f t="shared" si="3"/>
        <v>5255.322</v>
      </c>
      <c r="W2128" s="168">
        <f t="shared" si="4"/>
        <v>0</v>
      </c>
      <c r="X2128" s="168">
        <f t="shared" si="5"/>
        <v>0</v>
      </c>
      <c r="Y2128" s="168">
        <f t="shared" si="6"/>
        <v>0</v>
      </c>
      <c r="Z2128" s="168">
        <f t="shared" si="7"/>
        <v>0</v>
      </c>
      <c r="AA2128" s="168">
        <f t="shared" si="8"/>
        <v>0</v>
      </c>
      <c r="AB2128" s="168">
        <f t="shared" si="9"/>
        <v>0</v>
      </c>
    </row>
    <row r="2129" ht="15.0" customHeight="1">
      <c r="A2129" s="157" t="s">
        <v>9505</v>
      </c>
      <c r="B2129" s="169" t="s">
        <v>43</v>
      </c>
      <c r="C2129" s="169" t="s">
        <v>4842</v>
      </c>
      <c r="D2129" s="317">
        <v>45026.0</v>
      </c>
      <c r="E2129" s="157" t="s">
        <v>600</v>
      </c>
      <c r="F2129" s="160">
        <v>37062.39</v>
      </c>
      <c r="G2129" s="160">
        <f>'FACUS$'!$F2129*0.16</f>
        <v>5929.9824</v>
      </c>
      <c r="H2129" s="160">
        <f t="shared" si="68"/>
        <v>42992.3724</v>
      </c>
      <c r="I2129" s="172"/>
      <c r="J2129" s="169"/>
      <c r="K2129" s="172"/>
      <c r="L2129" s="172">
        <f>+'FACUS$'!$H2129-'FACUS$'!$I2129-'FACUS$'!$K2129</f>
        <v>42992.3724</v>
      </c>
      <c r="M2129" s="162" t="s">
        <v>43</v>
      </c>
      <c r="N2129" s="337" t="s">
        <v>554</v>
      </c>
      <c r="O2129" s="338">
        <v>45055.0</v>
      </c>
      <c r="P2129" s="164">
        <f t="array" ref="P2129">XLOOKUP('FACUS$'!$B2129,'perfil de pagos'!$A$4:$A$46,'perfil de pagos'!$C$4:$C$46+'FACUS$'!$D2129)</f>
        <v>45051</v>
      </c>
      <c r="Q2129" s="165">
        <f t="shared" si="66"/>
        <v>0</v>
      </c>
      <c r="R2129" s="167" t="s">
        <v>9506</v>
      </c>
      <c r="S2129" s="167">
        <v>2158.0</v>
      </c>
      <c r="T2129" s="167"/>
      <c r="U2129" s="334" t="s">
        <v>7271</v>
      </c>
      <c r="V2129" s="168">
        <f t="shared" si="3"/>
        <v>42992.3724</v>
      </c>
      <c r="W2129" s="168">
        <f t="shared" si="4"/>
        <v>0</v>
      </c>
      <c r="X2129" s="168">
        <f t="shared" si="5"/>
        <v>0</v>
      </c>
      <c r="Y2129" s="168">
        <f t="shared" si="6"/>
        <v>0</v>
      </c>
      <c r="Z2129" s="168">
        <f t="shared" si="7"/>
        <v>0</v>
      </c>
      <c r="AA2129" s="168">
        <f t="shared" si="8"/>
        <v>0</v>
      </c>
      <c r="AB2129" s="168">
        <f t="shared" si="9"/>
        <v>0</v>
      </c>
    </row>
    <row r="2130" ht="15.0" customHeight="1">
      <c r="A2130" s="157" t="s">
        <v>9507</v>
      </c>
      <c r="B2130" s="169" t="s">
        <v>18</v>
      </c>
      <c r="C2130" s="169" t="s">
        <v>4842</v>
      </c>
      <c r="D2130" s="317">
        <v>45027.0</v>
      </c>
      <c r="E2130" s="157" t="s">
        <v>600</v>
      </c>
      <c r="F2130" s="160">
        <v>6618.22</v>
      </c>
      <c r="G2130" s="160">
        <f>'FACUS$'!$F2130*0.16</f>
        <v>1058.9152</v>
      </c>
      <c r="H2130" s="160">
        <f t="shared" si="68"/>
        <v>7677.1352</v>
      </c>
      <c r="I2130" s="172"/>
      <c r="J2130" s="169"/>
      <c r="K2130" s="172"/>
      <c r="L2130" s="172">
        <f>+'FACUS$'!$H2130-'FACUS$'!$I2130-'FACUS$'!$K2130</f>
        <v>7677.1352</v>
      </c>
      <c r="M2130" s="162" t="s">
        <v>586</v>
      </c>
      <c r="N2130" s="337" t="s">
        <v>554</v>
      </c>
      <c r="O2130" s="338">
        <v>45091.0</v>
      </c>
      <c r="P2130" s="164">
        <f t="array" ref="P2130">XLOOKUP('FACUS$'!$B2130,'perfil de pagos'!$A$4:$A$46,'perfil de pagos'!$C$4:$C$46+'FACUS$'!$D2130)</f>
        <v>45037</v>
      </c>
      <c r="Q2130" s="165">
        <f t="shared" si="66"/>
        <v>0</v>
      </c>
      <c r="R2130" s="167"/>
      <c r="S2130" s="167">
        <v>2223.0</v>
      </c>
      <c r="T2130" s="167"/>
      <c r="U2130" s="334" t="s">
        <v>7271</v>
      </c>
      <c r="V2130" s="168">
        <f t="shared" si="3"/>
        <v>7677.1352</v>
      </c>
      <c r="W2130" s="168">
        <f t="shared" si="4"/>
        <v>0</v>
      </c>
      <c r="X2130" s="168">
        <f t="shared" si="5"/>
        <v>0</v>
      </c>
      <c r="Y2130" s="168">
        <f t="shared" si="6"/>
        <v>0</v>
      </c>
      <c r="Z2130" s="168">
        <f t="shared" si="7"/>
        <v>0</v>
      </c>
      <c r="AA2130" s="168">
        <f t="shared" si="8"/>
        <v>0</v>
      </c>
      <c r="AB2130" s="168">
        <f t="shared" si="9"/>
        <v>0</v>
      </c>
    </row>
    <row r="2131" ht="15.0" customHeight="1">
      <c r="A2131" s="157" t="s">
        <v>9508</v>
      </c>
      <c r="B2131" s="169" t="s">
        <v>20</v>
      </c>
      <c r="C2131" s="169" t="s">
        <v>4842</v>
      </c>
      <c r="D2131" s="317">
        <v>45027.0</v>
      </c>
      <c r="E2131" s="157" t="s">
        <v>600</v>
      </c>
      <c r="F2131" s="160">
        <v>13723.91</v>
      </c>
      <c r="G2131" s="160">
        <f>'FACUS$'!$F2131*0.16</f>
        <v>2195.8256</v>
      </c>
      <c r="H2131" s="160">
        <f t="shared" si="68"/>
        <v>15919.7356</v>
      </c>
      <c r="I2131" s="172"/>
      <c r="J2131" s="169"/>
      <c r="K2131" s="172"/>
      <c r="L2131" s="172">
        <f>+'FACUS$'!$H2131-'FACUS$'!$I2131-'FACUS$'!$K2131</f>
        <v>15919.7356</v>
      </c>
      <c r="M2131" s="162" t="s">
        <v>732</v>
      </c>
      <c r="N2131" s="337" t="s">
        <v>554</v>
      </c>
      <c r="O2131" s="338">
        <v>45091.0</v>
      </c>
      <c r="P2131" s="164">
        <f t="array" ref="P2131">XLOOKUP('FACUS$'!$B2131,'perfil de pagos'!$A$4:$A$46,'perfil de pagos'!$C$4:$C$46+'FACUS$'!$D2131)</f>
        <v>45037</v>
      </c>
      <c r="Q2131" s="165">
        <f t="shared" si="66"/>
        <v>0</v>
      </c>
      <c r="R2131" s="167"/>
      <c r="S2131" s="167">
        <v>2223.0</v>
      </c>
      <c r="T2131" s="167"/>
      <c r="U2131" s="334" t="s">
        <v>7271</v>
      </c>
      <c r="V2131" s="168">
        <f t="shared" si="3"/>
        <v>15919.7356</v>
      </c>
      <c r="W2131" s="168">
        <f t="shared" si="4"/>
        <v>0</v>
      </c>
      <c r="X2131" s="168">
        <f t="shared" si="5"/>
        <v>0</v>
      </c>
      <c r="Y2131" s="168">
        <f t="shared" si="6"/>
        <v>0</v>
      </c>
      <c r="Z2131" s="168">
        <f t="shared" si="7"/>
        <v>0</v>
      </c>
      <c r="AA2131" s="168">
        <f t="shared" si="8"/>
        <v>0</v>
      </c>
      <c r="AB2131" s="168">
        <f t="shared" si="9"/>
        <v>0</v>
      </c>
    </row>
    <row r="2132" ht="15.0" customHeight="1">
      <c r="A2132" s="157" t="s">
        <v>9509</v>
      </c>
      <c r="B2132" s="169" t="s">
        <v>22</v>
      </c>
      <c r="C2132" s="169" t="s">
        <v>4842</v>
      </c>
      <c r="D2132" s="317">
        <v>45027.0</v>
      </c>
      <c r="E2132" s="157" t="s">
        <v>600</v>
      </c>
      <c r="F2132" s="160">
        <v>10992.14</v>
      </c>
      <c r="G2132" s="160">
        <f>'FACUS$'!$F2132*0.16</f>
        <v>1758.7424</v>
      </c>
      <c r="H2132" s="160">
        <f t="shared" si="68"/>
        <v>12750.8824</v>
      </c>
      <c r="I2132" s="172"/>
      <c r="J2132" s="169"/>
      <c r="K2132" s="172"/>
      <c r="L2132" s="172">
        <f>+'FACUS$'!$H2132-'FACUS$'!$I2132-'FACUS$'!$K2132</f>
        <v>12750.8824</v>
      </c>
      <c r="M2132" s="162" t="s">
        <v>220</v>
      </c>
      <c r="N2132" s="337" t="s">
        <v>554</v>
      </c>
      <c r="O2132" s="338">
        <v>45077.0</v>
      </c>
      <c r="P2132" s="164">
        <f t="array" ref="P2132">XLOOKUP('FACUS$'!$B2132,'perfil de pagos'!$A$4:$A$46,'perfil de pagos'!$C$4:$C$46+'FACUS$'!$D2132)</f>
        <v>45037</v>
      </c>
      <c r="Q2132" s="165">
        <f t="shared" si="66"/>
        <v>0</v>
      </c>
      <c r="R2132" s="220" t="s">
        <v>9510</v>
      </c>
      <c r="S2132" s="167">
        <v>2197.0</v>
      </c>
      <c r="T2132" s="167"/>
      <c r="U2132" s="334" t="s">
        <v>7271</v>
      </c>
      <c r="V2132" s="168">
        <f t="shared" si="3"/>
        <v>12750.8824</v>
      </c>
      <c r="W2132" s="168">
        <f t="shared" si="4"/>
        <v>0</v>
      </c>
      <c r="X2132" s="168">
        <f t="shared" si="5"/>
        <v>0</v>
      </c>
      <c r="Y2132" s="168">
        <f t="shared" si="6"/>
        <v>0</v>
      </c>
      <c r="Z2132" s="168">
        <f t="shared" si="7"/>
        <v>0</v>
      </c>
      <c r="AA2132" s="168">
        <f t="shared" si="8"/>
        <v>0</v>
      </c>
      <c r="AB2132" s="168">
        <f t="shared" si="9"/>
        <v>0</v>
      </c>
    </row>
    <row r="2133" ht="15.0" customHeight="1">
      <c r="A2133" s="157" t="s">
        <v>9511</v>
      </c>
      <c r="B2133" s="169" t="s">
        <v>25</v>
      </c>
      <c r="C2133" s="169" t="s">
        <v>4842</v>
      </c>
      <c r="D2133" s="317">
        <v>45027.0</v>
      </c>
      <c r="E2133" s="157" t="s">
        <v>600</v>
      </c>
      <c r="F2133" s="160">
        <v>6098.53</v>
      </c>
      <c r="G2133" s="160">
        <f>'FACUS$'!$F2133*0.16</f>
        <v>975.7648</v>
      </c>
      <c r="H2133" s="160">
        <f t="shared" si="68"/>
        <v>7074.2948</v>
      </c>
      <c r="I2133" s="172"/>
      <c r="J2133" s="169"/>
      <c r="K2133" s="172"/>
      <c r="L2133" s="172">
        <f>+'FACUS$'!$H2133-'FACUS$'!$I2133-'FACUS$'!$K2133</f>
        <v>7074.2948</v>
      </c>
      <c r="M2133" s="162" t="s">
        <v>4388</v>
      </c>
      <c r="N2133" s="337" t="s">
        <v>554</v>
      </c>
      <c r="O2133" s="338">
        <v>45104.0</v>
      </c>
      <c r="P2133" s="164">
        <f t="array" ref="P2133">XLOOKUP('FACUS$'!$B2133,'perfil de pagos'!$A$4:$A$46,'perfil de pagos'!$C$4:$C$46+'FACUS$'!$D2133)</f>
        <v>45037</v>
      </c>
      <c r="Q2133" s="165">
        <f t="shared" si="66"/>
        <v>0</v>
      </c>
      <c r="R2133" s="167"/>
      <c r="S2133" s="167">
        <v>2242.0</v>
      </c>
      <c r="T2133" s="167"/>
      <c r="U2133" s="334" t="s">
        <v>7271</v>
      </c>
      <c r="V2133" s="168">
        <f t="shared" si="3"/>
        <v>7074.2948</v>
      </c>
      <c r="W2133" s="168">
        <f t="shared" si="4"/>
        <v>0</v>
      </c>
      <c r="X2133" s="168">
        <f t="shared" si="5"/>
        <v>0</v>
      </c>
      <c r="Y2133" s="168">
        <f t="shared" si="6"/>
        <v>0</v>
      </c>
      <c r="Z2133" s="168">
        <f t="shared" si="7"/>
        <v>0</v>
      </c>
      <c r="AA2133" s="168">
        <f t="shared" si="8"/>
        <v>0</v>
      </c>
      <c r="AB2133" s="168">
        <f t="shared" si="9"/>
        <v>0</v>
      </c>
    </row>
    <row r="2134" ht="15.0" customHeight="1">
      <c r="A2134" s="157" t="s">
        <v>9512</v>
      </c>
      <c r="B2134" s="169" t="s">
        <v>37</v>
      </c>
      <c r="C2134" s="169" t="s">
        <v>4842</v>
      </c>
      <c r="D2134" s="317">
        <v>45027.0</v>
      </c>
      <c r="E2134" s="157" t="s">
        <v>600</v>
      </c>
      <c r="F2134" s="160">
        <v>92572.48</v>
      </c>
      <c r="G2134" s="160">
        <f>'FACUS$'!$F2134*0.16</f>
        <v>14811.5968</v>
      </c>
      <c r="H2134" s="160">
        <f t="shared" si="68"/>
        <v>107384.0768</v>
      </c>
      <c r="I2134" s="172"/>
      <c r="J2134" s="169"/>
      <c r="K2134" s="172"/>
      <c r="L2134" s="172">
        <f>+'FACUS$'!$H2134-'FACUS$'!$I2134-'FACUS$'!$K2134</f>
        <v>107384.0768</v>
      </c>
      <c r="M2134" s="162" t="s">
        <v>116</v>
      </c>
      <c r="N2134" s="337" t="s">
        <v>554</v>
      </c>
      <c r="O2134" s="338">
        <v>45040.0</v>
      </c>
      <c r="P2134" s="164">
        <f t="array" ref="P2134">XLOOKUP('FACUS$'!$B2134,'perfil de pagos'!$A$4:$A$46,'perfil de pagos'!$C$4:$C$46+'FACUS$'!$D2134)</f>
        <v>45037</v>
      </c>
      <c r="Q2134" s="165">
        <f t="shared" si="66"/>
        <v>0</v>
      </c>
      <c r="R2134" s="167" t="s">
        <v>9513</v>
      </c>
      <c r="S2134" s="167"/>
      <c r="T2134" s="167"/>
      <c r="U2134" s="334" t="s">
        <v>7271</v>
      </c>
      <c r="V2134" s="168">
        <f t="shared" si="3"/>
        <v>107384.0768</v>
      </c>
      <c r="W2134" s="168">
        <f t="shared" si="4"/>
        <v>0</v>
      </c>
      <c r="X2134" s="168">
        <f t="shared" si="5"/>
        <v>0</v>
      </c>
      <c r="Y2134" s="168">
        <f t="shared" si="6"/>
        <v>0</v>
      </c>
      <c r="Z2134" s="168">
        <f t="shared" si="7"/>
        <v>0</v>
      </c>
      <c r="AA2134" s="168">
        <f t="shared" si="8"/>
        <v>0</v>
      </c>
      <c r="AB2134" s="168">
        <f t="shared" si="9"/>
        <v>0</v>
      </c>
    </row>
    <row r="2135" ht="15.0" customHeight="1">
      <c r="A2135" s="157" t="s">
        <v>9514</v>
      </c>
      <c r="B2135" s="169" t="s">
        <v>38</v>
      </c>
      <c r="C2135" s="169" t="s">
        <v>4842</v>
      </c>
      <c r="D2135" s="317">
        <v>45027.0</v>
      </c>
      <c r="E2135" s="157" t="s">
        <v>600</v>
      </c>
      <c r="F2135" s="160">
        <v>11046.48</v>
      </c>
      <c r="G2135" s="160">
        <f>'FACUS$'!$F2135*0.16</f>
        <v>1767.4368</v>
      </c>
      <c r="H2135" s="160">
        <f t="shared" si="68"/>
        <v>12813.9168</v>
      </c>
      <c r="I2135" s="172"/>
      <c r="J2135" s="169"/>
      <c r="K2135" s="172"/>
      <c r="L2135" s="172">
        <f>+'FACUS$'!$H2135-'FACUS$'!$I2135-'FACUS$'!$K2135</f>
        <v>12813.9168</v>
      </c>
      <c r="M2135" s="162" t="s">
        <v>145</v>
      </c>
      <c r="N2135" s="337" t="s">
        <v>554</v>
      </c>
      <c r="O2135" s="338">
        <v>45065.0</v>
      </c>
      <c r="P2135" s="164">
        <f t="array" ref="P2135">XLOOKUP('FACUS$'!$B2135,'perfil de pagos'!$A$4:$A$46,'perfil de pagos'!$C$4:$C$46+'FACUS$'!$D2135)</f>
        <v>45057</v>
      </c>
      <c r="Q2135" s="165">
        <f t="shared" si="66"/>
        <v>0</v>
      </c>
      <c r="R2135" s="167"/>
      <c r="S2135" s="167">
        <v>2171.0</v>
      </c>
      <c r="T2135" s="167"/>
      <c r="U2135" s="334" t="s">
        <v>7271</v>
      </c>
      <c r="V2135" s="168">
        <f t="shared" si="3"/>
        <v>12813.9168</v>
      </c>
      <c r="W2135" s="168">
        <f t="shared" si="4"/>
        <v>0</v>
      </c>
      <c r="X2135" s="168">
        <f t="shared" si="5"/>
        <v>0</v>
      </c>
      <c r="Y2135" s="168">
        <f t="shared" si="6"/>
        <v>0</v>
      </c>
      <c r="Z2135" s="168">
        <f t="shared" si="7"/>
        <v>0</v>
      </c>
      <c r="AA2135" s="168">
        <f t="shared" si="8"/>
        <v>0</v>
      </c>
      <c r="AB2135" s="168">
        <f t="shared" si="9"/>
        <v>0</v>
      </c>
    </row>
    <row r="2136" ht="15.0" customHeight="1">
      <c r="A2136" s="157" t="s">
        <v>9515</v>
      </c>
      <c r="B2136" s="169" t="s">
        <v>38</v>
      </c>
      <c r="C2136" s="169" t="s">
        <v>4842</v>
      </c>
      <c r="D2136" s="317">
        <v>45027.0</v>
      </c>
      <c r="E2136" s="157" t="s">
        <v>600</v>
      </c>
      <c r="F2136" s="160">
        <v>3100.9</v>
      </c>
      <c r="G2136" s="160">
        <f>'FACUS$'!$F2136*0.16</f>
        <v>496.144</v>
      </c>
      <c r="H2136" s="160">
        <f t="shared" si="68"/>
        <v>3597.044</v>
      </c>
      <c r="I2136" s="172"/>
      <c r="J2136" s="169"/>
      <c r="K2136" s="172"/>
      <c r="L2136" s="172">
        <f>+'FACUS$'!$H2136-'FACUS$'!$I2136-'FACUS$'!$K2136</f>
        <v>3597.044</v>
      </c>
      <c r="M2136" s="162" t="s">
        <v>434</v>
      </c>
      <c r="N2136" s="337" t="s">
        <v>554</v>
      </c>
      <c r="O2136" s="338">
        <v>45065.0</v>
      </c>
      <c r="P2136" s="164">
        <f t="array" ref="P2136">XLOOKUP('FACUS$'!$B2136,'perfil de pagos'!$A$4:$A$46,'perfil de pagos'!$C$4:$C$46+'FACUS$'!$D2136)</f>
        <v>45057</v>
      </c>
      <c r="Q2136" s="165">
        <f t="shared" si="66"/>
        <v>0</v>
      </c>
      <c r="R2136" s="167"/>
      <c r="S2136" s="167">
        <v>2171.0</v>
      </c>
      <c r="T2136" s="167"/>
      <c r="U2136" s="334" t="s">
        <v>7271</v>
      </c>
      <c r="V2136" s="168">
        <f t="shared" si="3"/>
        <v>3597.044</v>
      </c>
      <c r="W2136" s="168">
        <f t="shared" si="4"/>
        <v>0</v>
      </c>
      <c r="X2136" s="168">
        <f t="shared" si="5"/>
        <v>0</v>
      </c>
      <c r="Y2136" s="168">
        <f t="shared" si="6"/>
        <v>0</v>
      </c>
      <c r="Z2136" s="168">
        <f t="shared" si="7"/>
        <v>0</v>
      </c>
      <c r="AA2136" s="168">
        <f t="shared" si="8"/>
        <v>0</v>
      </c>
      <c r="AB2136" s="168">
        <f t="shared" si="9"/>
        <v>0</v>
      </c>
    </row>
    <row r="2137" ht="15.0" customHeight="1">
      <c r="A2137" s="157" t="s">
        <v>9516</v>
      </c>
      <c r="B2137" s="169" t="s">
        <v>15</v>
      </c>
      <c r="C2137" s="169" t="s">
        <v>4895</v>
      </c>
      <c r="D2137" s="317">
        <v>45034.0</v>
      </c>
      <c r="E2137" s="157" t="s">
        <v>600</v>
      </c>
      <c r="F2137" s="160">
        <v>33155.87</v>
      </c>
      <c r="G2137" s="160">
        <f>'FACUS$'!$F2137*0.16</f>
        <v>5304.9392</v>
      </c>
      <c r="H2137" s="160">
        <f t="shared" si="68"/>
        <v>38460.8092</v>
      </c>
      <c r="I2137" s="172"/>
      <c r="J2137" s="169"/>
      <c r="K2137" s="172"/>
      <c r="L2137" s="172">
        <f>+'FACUS$'!$H2137-'FACUS$'!$I2137-'FACUS$'!$K2137</f>
        <v>38460.8092</v>
      </c>
      <c r="M2137" s="162" t="s">
        <v>443</v>
      </c>
      <c r="N2137" s="337" t="s">
        <v>554</v>
      </c>
      <c r="O2137" s="338">
        <v>45055.0</v>
      </c>
      <c r="P2137" s="164">
        <f t="array" ref="P2137">XLOOKUP('FACUS$'!$B2137,'perfil de pagos'!$A$4:$A$46,'perfil de pagos'!$C$4:$C$46+'FACUS$'!$D2137)</f>
        <v>45044</v>
      </c>
      <c r="Q2137" s="165">
        <f t="shared" si="66"/>
        <v>0</v>
      </c>
      <c r="R2137" s="167"/>
      <c r="S2137" s="167">
        <v>2159.0</v>
      </c>
      <c r="T2137" s="167"/>
      <c r="U2137" s="334" t="s">
        <v>7271</v>
      </c>
      <c r="V2137" s="168">
        <f t="shared" si="3"/>
        <v>38460.8092</v>
      </c>
      <c r="W2137" s="168">
        <f t="shared" si="4"/>
        <v>0</v>
      </c>
      <c r="X2137" s="168">
        <f t="shared" si="5"/>
        <v>0</v>
      </c>
      <c r="Y2137" s="168">
        <f t="shared" si="6"/>
        <v>0</v>
      </c>
      <c r="Z2137" s="168">
        <f t="shared" si="7"/>
        <v>0</v>
      </c>
      <c r="AA2137" s="168">
        <f t="shared" si="8"/>
        <v>0</v>
      </c>
      <c r="AB2137" s="168">
        <f t="shared" si="9"/>
        <v>0</v>
      </c>
    </row>
    <row r="2138" ht="15.0" customHeight="1">
      <c r="A2138" s="157" t="s">
        <v>9517</v>
      </c>
      <c r="B2138" s="169" t="s">
        <v>35</v>
      </c>
      <c r="C2138" s="169" t="s">
        <v>4895</v>
      </c>
      <c r="D2138" s="317">
        <v>45034.0</v>
      </c>
      <c r="E2138" s="157" t="s">
        <v>600</v>
      </c>
      <c r="F2138" s="160">
        <v>14549.92</v>
      </c>
      <c r="G2138" s="160">
        <f>'FACUS$'!$F2138*0.16</f>
        <v>2327.9872</v>
      </c>
      <c r="H2138" s="160">
        <f t="shared" si="68"/>
        <v>16877.9072</v>
      </c>
      <c r="I2138" s="172"/>
      <c r="J2138" s="169"/>
      <c r="K2138" s="172"/>
      <c r="L2138" s="172">
        <f>+'FACUS$'!$H2138-'FACUS$'!$I2138-'FACUS$'!$K2138</f>
        <v>16877.9072</v>
      </c>
      <c r="M2138" s="162" t="s">
        <v>276</v>
      </c>
      <c r="N2138" s="337" t="s">
        <v>554</v>
      </c>
      <c r="O2138" s="338">
        <v>45107.0</v>
      </c>
      <c r="P2138" s="164">
        <f t="array" ref="P2138">XLOOKUP('FACUS$'!$B2138,'perfil de pagos'!$A$4:$A$46,'perfil de pagos'!$C$4:$C$46+'FACUS$'!$D2138)</f>
        <v>45044</v>
      </c>
      <c r="Q2138" s="165">
        <f t="shared" si="66"/>
        <v>0</v>
      </c>
      <c r="R2138" s="167"/>
      <c r="S2138" s="167">
        <v>2246.0</v>
      </c>
      <c r="T2138" s="167"/>
      <c r="U2138" s="334" t="s">
        <v>7271</v>
      </c>
      <c r="V2138" s="168">
        <f t="shared" si="3"/>
        <v>16877.9072</v>
      </c>
      <c r="W2138" s="168">
        <f t="shared" si="4"/>
        <v>0</v>
      </c>
      <c r="X2138" s="168">
        <f t="shared" si="5"/>
        <v>0</v>
      </c>
      <c r="Y2138" s="168">
        <f t="shared" si="6"/>
        <v>0</v>
      </c>
      <c r="Z2138" s="168">
        <f t="shared" si="7"/>
        <v>0</v>
      </c>
      <c r="AA2138" s="168">
        <f t="shared" si="8"/>
        <v>0</v>
      </c>
      <c r="AB2138" s="168">
        <f t="shared" si="9"/>
        <v>0</v>
      </c>
    </row>
    <row r="2139" ht="15.0" customHeight="1">
      <c r="A2139" s="210" t="s">
        <v>9518</v>
      </c>
      <c r="B2139" s="189" t="s">
        <v>36</v>
      </c>
      <c r="C2139" s="189" t="s">
        <v>4895</v>
      </c>
      <c r="D2139" s="388">
        <v>45034.0</v>
      </c>
      <c r="E2139" s="210" t="s">
        <v>600</v>
      </c>
      <c r="F2139" s="211">
        <v>5167.73</v>
      </c>
      <c r="G2139" s="211">
        <f>'FACUS$'!$F2139*0.16</f>
        <v>826.8368</v>
      </c>
      <c r="H2139" s="211">
        <f t="shared" si="68"/>
        <v>5994.5668</v>
      </c>
      <c r="I2139" s="188"/>
      <c r="J2139" s="189"/>
      <c r="K2139" s="188"/>
      <c r="L2139" s="188">
        <f>+'FACUS$'!$H2139-'FACUS$'!$I2139-'FACUS$'!$K2139</f>
        <v>5994.5668</v>
      </c>
      <c r="M2139" s="227" t="s">
        <v>278</v>
      </c>
      <c r="N2139" s="376" t="s">
        <v>127</v>
      </c>
      <c r="O2139" s="377"/>
      <c r="P2139" s="245">
        <f t="array" ref="P2139">XLOOKUP('FACUS$'!$B2139,'perfil de pagos'!$A$4:$A$46,'perfil de pagos'!$C$4:$C$46+'FACUS$'!$D2139)</f>
        <v>45044</v>
      </c>
      <c r="Q2139" s="246" t="str">
        <f t="shared" si="66"/>
        <v>N/A</v>
      </c>
      <c r="R2139" s="223" t="s">
        <v>9519</v>
      </c>
      <c r="S2139" s="223"/>
      <c r="T2139" s="167"/>
      <c r="U2139" s="334" t="s">
        <v>7271</v>
      </c>
      <c r="V2139" s="297">
        <f t="shared" si="3"/>
        <v>0</v>
      </c>
      <c r="W2139" s="297">
        <f t="shared" si="4"/>
        <v>0</v>
      </c>
      <c r="X2139" s="297">
        <f t="shared" si="5"/>
        <v>0</v>
      </c>
      <c r="Y2139" s="297">
        <f t="shared" si="6"/>
        <v>0</v>
      </c>
      <c r="Z2139" s="297">
        <f t="shared" si="7"/>
        <v>0</v>
      </c>
      <c r="AA2139" s="297">
        <f t="shared" si="8"/>
        <v>0</v>
      </c>
      <c r="AB2139" s="297">
        <f t="shared" si="9"/>
        <v>5994.5668</v>
      </c>
      <c r="AC2139" s="81"/>
      <c r="AD2139" s="81"/>
      <c r="AE2139" s="81"/>
    </row>
    <row r="2140" ht="15.0" customHeight="1">
      <c r="A2140" s="157" t="s">
        <v>9520</v>
      </c>
      <c r="B2140" s="169" t="s">
        <v>39</v>
      </c>
      <c r="C2140" s="169" t="s">
        <v>4877</v>
      </c>
      <c r="D2140" s="317">
        <v>45034.0</v>
      </c>
      <c r="E2140" s="157" t="s">
        <v>600</v>
      </c>
      <c r="F2140" s="160">
        <v>16527.26</v>
      </c>
      <c r="G2140" s="160">
        <f>'FACUS$'!$F2140*0.16</f>
        <v>2644.3616</v>
      </c>
      <c r="H2140" s="160">
        <f t="shared" si="68"/>
        <v>19171.6216</v>
      </c>
      <c r="I2140" s="172"/>
      <c r="J2140" s="169"/>
      <c r="K2140" s="172"/>
      <c r="L2140" s="172">
        <f>+'FACUS$'!$H2140-'FACUS$'!$I2140-'FACUS$'!$K2140</f>
        <v>19171.6216</v>
      </c>
      <c r="M2140" s="162" t="s">
        <v>570</v>
      </c>
      <c r="N2140" s="337" t="s">
        <v>554</v>
      </c>
      <c r="O2140" s="338">
        <v>45042.0</v>
      </c>
      <c r="P2140" s="164">
        <f t="array" ref="P2140">XLOOKUP('FACUS$'!$B2140,'perfil de pagos'!$A$4:$A$46,'perfil de pagos'!$C$4:$C$46+'FACUS$'!$D2140)</f>
        <v>45044</v>
      </c>
      <c r="Q2140" s="165">
        <f t="shared" si="66"/>
        <v>0</v>
      </c>
      <c r="R2140" s="167"/>
      <c r="S2140" s="167">
        <v>2134.0</v>
      </c>
      <c r="T2140" s="167"/>
      <c r="U2140" s="334" t="s">
        <v>7271</v>
      </c>
      <c r="V2140" s="168">
        <f t="shared" si="3"/>
        <v>19171.6216</v>
      </c>
      <c r="W2140" s="168">
        <f t="shared" si="4"/>
        <v>0</v>
      </c>
      <c r="X2140" s="168">
        <f t="shared" si="5"/>
        <v>0</v>
      </c>
      <c r="Y2140" s="168">
        <f t="shared" si="6"/>
        <v>0</v>
      </c>
      <c r="Z2140" s="168">
        <f t="shared" si="7"/>
        <v>0</v>
      </c>
      <c r="AA2140" s="168">
        <f t="shared" si="8"/>
        <v>0</v>
      </c>
      <c r="AB2140" s="168">
        <f t="shared" si="9"/>
        <v>0</v>
      </c>
    </row>
    <row r="2141" ht="15.0" customHeight="1">
      <c r="A2141" s="157" t="s">
        <v>9521</v>
      </c>
      <c r="B2141" s="169" t="s">
        <v>39</v>
      </c>
      <c r="C2141" s="169" t="s">
        <v>4895</v>
      </c>
      <c r="D2141" s="317">
        <v>45034.0</v>
      </c>
      <c r="E2141" s="157" t="s">
        <v>600</v>
      </c>
      <c r="F2141" s="160">
        <v>22049.76</v>
      </c>
      <c r="G2141" s="160">
        <f>'FACUS$'!$F2141*0.16</f>
        <v>3527.9616</v>
      </c>
      <c r="H2141" s="160">
        <f t="shared" si="68"/>
        <v>25577.7216</v>
      </c>
      <c r="I2141" s="172"/>
      <c r="J2141" s="169"/>
      <c r="K2141" s="172"/>
      <c r="L2141" s="172">
        <f>+'FACUS$'!$H2141-'FACUS$'!$I2141-'FACUS$'!$K2141</f>
        <v>25577.7216</v>
      </c>
      <c r="M2141" s="162" t="s">
        <v>570</v>
      </c>
      <c r="N2141" s="337" t="s">
        <v>554</v>
      </c>
      <c r="O2141" s="338">
        <v>45042.0</v>
      </c>
      <c r="P2141" s="164">
        <f t="array" ref="P2141">XLOOKUP('FACUS$'!$B2141,'perfil de pagos'!$A$4:$A$46,'perfil de pagos'!$C$4:$C$46+'FACUS$'!$D2141)</f>
        <v>45044</v>
      </c>
      <c r="Q2141" s="165">
        <f t="shared" si="66"/>
        <v>0</v>
      </c>
      <c r="R2141" s="167"/>
      <c r="S2141" s="167">
        <v>2134.0</v>
      </c>
      <c r="T2141" s="167"/>
      <c r="U2141" s="334" t="s">
        <v>7271</v>
      </c>
      <c r="V2141" s="168">
        <f t="shared" si="3"/>
        <v>25577.7216</v>
      </c>
      <c r="W2141" s="168">
        <f t="shared" si="4"/>
        <v>0</v>
      </c>
      <c r="X2141" s="168">
        <f t="shared" si="5"/>
        <v>0</v>
      </c>
      <c r="Y2141" s="168">
        <f t="shared" si="6"/>
        <v>0</v>
      </c>
      <c r="Z2141" s="168">
        <f t="shared" si="7"/>
        <v>0</v>
      </c>
      <c r="AA2141" s="168">
        <f t="shared" si="8"/>
        <v>0</v>
      </c>
      <c r="AB2141" s="168">
        <f t="shared" si="9"/>
        <v>0</v>
      </c>
    </row>
    <row r="2142" ht="15.0" customHeight="1">
      <c r="A2142" s="157" t="s">
        <v>9522</v>
      </c>
      <c r="B2142" s="169" t="s">
        <v>41</v>
      </c>
      <c r="C2142" s="169" t="s">
        <v>4895</v>
      </c>
      <c r="D2142" s="317">
        <v>45034.0</v>
      </c>
      <c r="E2142" s="157" t="s">
        <v>600</v>
      </c>
      <c r="F2142" s="160">
        <v>40855.07</v>
      </c>
      <c r="G2142" s="160">
        <f>'FACUS$'!$F2142*0.16</f>
        <v>6536.8112</v>
      </c>
      <c r="H2142" s="160">
        <f t="shared" si="68"/>
        <v>47391.8812</v>
      </c>
      <c r="I2142" s="172"/>
      <c r="J2142" s="169"/>
      <c r="K2142" s="172"/>
      <c r="L2142" s="172">
        <f>+'FACUS$'!$H2142-'FACUS$'!$I2142-'FACUS$'!$K2142</f>
        <v>47391.8812</v>
      </c>
      <c r="M2142" s="162" t="s">
        <v>875</v>
      </c>
      <c r="N2142" s="337" t="s">
        <v>554</v>
      </c>
      <c r="O2142" s="338">
        <v>45065.0</v>
      </c>
      <c r="P2142" s="164">
        <f t="array" ref="P2142">XLOOKUP('FACUS$'!$B2142,'perfil de pagos'!$A$4:$A$46,'perfil de pagos'!$C$4:$C$46+'FACUS$'!$D2142)</f>
        <v>45044</v>
      </c>
      <c r="Q2142" s="165">
        <f t="shared" si="66"/>
        <v>0</v>
      </c>
      <c r="R2142" s="167"/>
      <c r="S2142" s="167">
        <v>2185.0</v>
      </c>
      <c r="T2142" s="167"/>
      <c r="U2142" s="334" t="s">
        <v>7271</v>
      </c>
      <c r="V2142" s="168">
        <f t="shared" si="3"/>
        <v>47391.8812</v>
      </c>
      <c r="W2142" s="168">
        <f t="shared" si="4"/>
        <v>0</v>
      </c>
      <c r="X2142" s="168">
        <f t="shared" si="5"/>
        <v>0</v>
      </c>
      <c r="Y2142" s="168">
        <f t="shared" si="6"/>
        <v>0</v>
      </c>
      <c r="Z2142" s="168">
        <f t="shared" si="7"/>
        <v>0</v>
      </c>
      <c r="AA2142" s="168">
        <f t="shared" si="8"/>
        <v>0</v>
      </c>
      <c r="AB2142" s="168">
        <f t="shared" si="9"/>
        <v>0</v>
      </c>
    </row>
    <row r="2143" ht="15.0" customHeight="1">
      <c r="A2143" s="157" t="s">
        <v>9523</v>
      </c>
      <c r="B2143" s="169" t="s">
        <v>42</v>
      </c>
      <c r="C2143" s="169" t="s">
        <v>4895</v>
      </c>
      <c r="D2143" s="317">
        <v>45034.0</v>
      </c>
      <c r="E2143" s="157" t="s">
        <v>600</v>
      </c>
      <c r="F2143" s="160">
        <v>6807.04</v>
      </c>
      <c r="G2143" s="160">
        <f>'FACUS$'!$F2143*0.16</f>
        <v>1089.1264</v>
      </c>
      <c r="H2143" s="160">
        <f t="shared" si="68"/>
        <v>7896.1664</v>
      </c>
      <c r="I2143" s="172"/>
      <c r="J2143" s="169"/>
      <c r="K2143" s="172"/>
      <c r="L2143" s="172">
        <f>+'FACUS$'!$H2143-'FACUS$'!$I2143-'FACUS$'!$K2143</f>
        <v>7896.1664</v>
      </c>
      <c r="M2143" s="162" t="s">
        <v>42</v>
      </c>
      <c r="N2143" s="337" t="s">
        <v>554</v>
      </c>
      <c r="O2143" s="338">
        <v>45057.0</v>
      </c>
      <c r="P2143" s="164">
        <f t="array" ref="P2143">XLOOKUP('FACUS$'!$B2143,'perfil de pagos'!$A$4:$A$46,'perfil de pagos'!$C$4:$C$46+'FACUS$'!$D2143)</f>
        <v>45044</v>
      </c>
      <c r="Q2143" s="165">
        <f t="shared" si="66"/>
        <v>0</v>
      </c>
      <c r="R2143" s="167"/>
      <c r="S2143" s="167">
        <v>2160.0</v>
      </c>
      <c r="T2143" s="167"/>
      <c r="U2143" s="334" t="s">
        <v>7271</v>
      </c>
      <c r="V2143" s="168">
        <f t="shared" si="3"/>
        <v>7896.1664</v>
      </c>
      <c r="W2143" s="168">
        <f t="shared" si="4"/>
        <v>0</v>
      </c>
      <c r="X2143" s="168">
        <f t="shared" si="5"/>
        <v>0</v>
      </c>
      <c r="Y2143" s="168">
        <f t="shared" si="6"/>
        <v>0</v>
      </c>
      <c r="Z2143" s="168">
        <f t="shared" si="7"/>
        <v>0</v>
      </c>
      <c r="AA2143" s="168">
        <f t="shared" si="8"/>
        <v>0</v>
      </c>
      <c r="AB2143" s="168">
        <f t="shared" si="9"/>
        <v>0</v>
      </c>
    </row>
    <row r="2144" ht="15.0" customHeight="1">
      <c r="A2144" s="157" t="s">
        <v>9524</v>
      </c>
      <c r="B2144" s="169" t="s">
        <v>44</v>
      </c>
      <c r="C2144" s="169" t="s">
        <v>4895</v>
      </c>
      <c r="D2144" s="317">
        <v>45034.0</v>
      </c>
      <c r="E2144" s="157" t="s">
        <v>600</v>
      </c>
      <c r="F2144" s="160">
        <v>7122.28</v>
      </c>
      <c r="G2144" s="160">
        <f>'FACUS$'!$F2144*0.16</f>
        <v>1139.5648</v>
      </c>
      <c r="H2144" s="160">
        <f t="shared" si="68"/>
        <v>8261.8448</v>
      </c>
      <c r="I2144" s="172"/>
      <c r="J2144" s="169"/>
      <c r="K2144" s="172"/>
      <c r="L2144" s="172">
        <f>+'FACUS$'!$H2144-'FACUS$'!$I2144-'FACUS$'!$K2144</f>
        <v>8261.8448</v>
      </c>
      <c r="M2144" s="162" t="s">
        <v>361</v>
      </c>
      <c r="N2144" s="337" t="s">
        <v>554</v>
      </c>
      <c r="O2144" s="338">
        <v>45037.0</v>
      </c>
      <c r="P2144" s="164">
        <f t="array" ref="P2144">XLOOKUP('FACUS$'!$B2144,'perfil de pagos'!$A$4:$A$46,'perfil de pagos'!$C$4:$C$46+'FACUS$'!$D2144)</f>
        <v>45044</v>
      </c>
      <c r="Q2144" s="165">
        <f t="shared" si="66"/>
        <v>0</v>
      </c>
      <c r="R2144" s="167"/>
      <c r="S2144" s="167">
        <v>2115.0</v>
      </c>
      <c r="T2144" s="167"/>
      <c r="U2144" s="334" t="s">
        <v>7271</v>
      </c>
      <c r="V2144" s="168">
        <f t="shared" si="3"/>
        <v>8261.8448</v>
      </c>
      <c r="W2144" s="168">
        <f t="shared" si="4"/>
        <v>0</v>
      </c>
      <c r="X2144" s="168">
        <f t="shared" si="5"/>
        <v>0</v>
      </c>
      <c r="Y2144" s="168">
        <f t="shared" si="6"/>
        <v>0</v>
      </c>
      <c r="Z2144" s="168">
        <f t="shared" si="7"/>
        <v>0</v>
      </c>
      <c r="AA2144" s="168">
        <f t="shared" si="8"/>
        <v>0</v>
      </c>
      <c r="AB2144" s="168">
        <f t="shared" si="9"/>
        <v>0</v>
      </c>
    </row>
    <row r="2145" ht="15.0" customHeight="1">
      <c r="A2145" s="157" t="s">
        <v>9525</v>
      </c>
      <c r="B2145" s="169" t="s">
        <v>43</v>
      </c>
      <c r="C2145" s="169" t="s">
        <v>4895</v>
      </c>
      <c r="D2145" s="317">
        <v>45034.0</v>
      </c>
      <c r="E2145" s="157" t="s">
        <v>600</v>
      </c>
      <c r="F2145" s="160">
        <v>14361.16</v>
      </c>
      <c r="G2145" s="160">
        <f>'FACUS$'!$F2145*0.16</f>
        <v>2297.7856</v>
      </c>
      <c r="H2145" s="160">
        <f t="shared" si="68"/>
        <v>16658.9456</v>
      </c>
      <c r="I2145" s="172"/>
      <c r="J2145" s="169"/>
      <c r="K2145" s="172"/>
      <c r="L2145" s="172">
        <f>+'FACUS$'!$H2145-'FACUS$'!$I2145-'FACUS$'!$K2145</f>
        <v>16658.9456</v>
      </c>
      <c r="M2145" s="162" t="s">
        <v>43</v>
      </c>
      <c r="N2145" s="337" t="s">
        <v>554</v>
      </c>
      <c r="O2145" s="338">
        <v>45065.0</v>
      </c>
      <c r="P2145" s="164">
        <f t="array" ref="P2145">XLOOKUP('FACUS$'!$B2145,'perfil de pagos'!$A$4:$A$46,'perfil de pagos'!$C$4:$C$46+'FACUS$'!$D2145)</f>
        <v>45059</v>
      </c>
      <c r="Q2145" s="165">
        <f t="shared" si="66"/>
        <v>0</v>
      </c>
      <c r="R2145" s="167"/>
      <c r="S2145" s="167">
        <v>2184.0</v>
      </c>
      <c r="T2145" s="167"/>
      <c r="U2145" s="334" t="s">
        <v>7271</v>
      </c>
      <c r="V2145" s="168">
        <f t="shared" si="3"/>
        <v>16658.9456</v>
      </c>
      <c r="W2145" s="168">
        <f t="shared" si="4"/>
        <v>0</v>
      </c>
      <c r="X2145" s="168">
        <f t="shared" si="5"/>
        <v>0</v>
      </c>
      <c r="Y2145" s="168">
        <f t="shared" si="6"/>
        <v>0</v>
      </c>
      <c r="Z2145" s="168">
        <f t="shared" si="7"/>
        <v>0</v>
      </c>
      <c r="AA2145" s="168">
        <f t="shared" si="8"/>
        <v>0</v>
      </c>
      <c r="AB2145" s="168">
        <f t="shared" si="9"/>
        <v>0</v>
      </c>
    </row>
    <row r="2146" ht="15.0" customHeight="1">
      <c r="A2146" s="157" t="s">
        <v>9526</v>
      </c>
      <c r="B2146" s="169" t="s">
        <v>38</v>
      </c>
      <c r="C2146" s="169" t="s">
        <v>4895</v>
      </c>
      <c r="D2146" s="317">
        <v>45036.0</v>
      </c>
      <c r="E2146" s="157" t="s">
        <v>600</v>
      </c>
      <c r="F2146" s="160">
        <v>3186.62</v>
      </c>
      <c r="G2146" s="160">
        <f>'FACUS$'!$F2146*0.16</f>
        <v>509.8592</v>
      </c>
      <c r="H2146" s="160">
        <f t="shared" si="68"/>
        <v>3696.4792</v>
      </c>
      <c r="I2146" s="172"/>
      <c r="J2146" s="169"/>
      <c r="K2146" s="172"/>
      <c r="L2146" s="172">
        <f>+'FACUS$'!$H2146-'FACUS$'!$I2146-'FACUS$'!$K2146</f>
        <v>3696.4792</v>
      </c>
      <c r="M2146" s="162" t="s">
        <v>4654</v>
      </c>
      <c r="N2146" s="337" t="s">
        <v>554</v>
      </c>
      <c r="O2146" s="338">
        <v>45086.0</v>
      </c>
      <c r="P2146" s="164">
        <f t="array" ref="P2146">XLOOKUP('FACUS$'!$B2146,'perfil de pagos'!$A$4:$A$46,'perfil de pagos'!$C$4:$C$46+'FACUS$'!$D2146)</f>
        <v>45066</v>
      </c>
      <c r="Q2146" s="165">
        <f t="shared" si="66"/>
        <v>0</v>
      </c>
      <c r="R2146" s="167"/>
      <c r="S2146" s="167">
        <v>2209.0</v>
      </c>
      <c r="T2146" s="167"/>
      <c r="U2146" s="334" t="s">
        <v>7271</v>
      </c>
      <c r="V2146" s="168">
        <f t="shared" si="3"/>
        <v>3696.4792</v>
      </c>
      <c r="W2146" s="168">
        <f t="shared" si="4"/>
        <v>0</v>
      </c>
      <c r="X2146" s="168">
        <f t="shared" si="5"/>
        <v>0</v>
      </c>
      <c r="Y2146" s="168">
        <f t="shared" si="6"/>
        <v>0</v>
      </c>
      <c r="Z2146" s="168">
        <f t="shared" si="7"/>
        <v>0</v>
      </c>
      <c r="AA2146" s="168">
        <f t="shared" si="8"/>
        <v>0</v>
      </c>
      <c r="AB2146" s="168">
        <f t="shared" si="9"/>
        <v>0</v>
      </c>
    </row>
    <row r="2147" ht="15.0" customHeight="1">
      <c r="A2147" s="157" t="s">
        <v>9527</v>
      </c>
      <c r="B2147" s="169" t="s">
        <v>37</v>
      </c>
      <c r="C2147" s="169" t="s">
        <v>4895</v>
      </c>
      <c r="D2147" s="317">
        <v>45043.0</v>
      </c>
      <c r="E2147" s="157" t="s">
        <v>600</v>
      </c>
      <c r="F2147" s="160">
        <v>72827.22</v>
      </c>
      <c r="G2147" s="160">
        <f>'FACUS$'!$F2147*0.16</f>
        <v>11652.3552</v>
      </c>
      <c r="H2147" s="160">
        <f t="shared" si="68"/>
        <v>84479.5752</v>
      </c>
      <c r="I2147" s="172"/>
      <c r="J2147" s="169"/>
      <c r="K2147" s="172"/>
      <c r="L2147" s="172">
        <f>+'FACUS$'!$H2147-'FACUS$'!$I2147-'FACUS$'!$K2147</f>
        <v>84479.5752</v>
      </c>
      <c r="M2147" s="162" t="s">
        <v>116</v>
      </c>
      <c r="N2147" s="337" t="s">
        <v>554</v>
      </c>
      <c r="O2147" s="338">
        <v>45061.0</v>
      </c>
      <c r="P2147" s="164">
        <f t="array" ref="P2147">XLOOKUP('FACUS$'!$B2147,'perfil de pagos'!$A$4:$A$46,'perfil de pagos'!$C$4:$C$46+'FACUS$'!$D2147)</f>
        <v>45053</v>
      </c>
      <c r="Q2147" s="165">
        <f t="shared" si="66"/>
        <v>0</v>
      </c>
      <c r="R2147" s="220" t="s">
        <v>9528</v>
      </c>
      <c r="S2147" s="167">
        <v>2164.0</v>
      </c>
      <c r="T2147" s="167"/>
      <c r="U2147" s="334" t="s">
        <v>7271</v>
      </c>
      <c r="V2147" s="168">
        <f t="shared" si="3"/>
        <v>84479.5752</v>
      </c>
      <c r="W2147" s="168">
        <f t="shared" si="4"/>
        <v>0</v>
      </c>
      <c r="X2147" s="168">
        <f t="shared" si="5"/>
        <v>0</v>
      </c>
      <c r="Y2147" s="168">
        <f t="shared" si="6"/>
        <v>0</v>
      </c>
      <c r="Z2147" s="168">
        <f t="shared" si="7"/>
        <v>0</v>
      </c>
      <c r="AA2147" s="168">
        <f t="shared" si="8"/>
        <v>0</v>
      </c>
      <c r="AB2147" s="168">
        <f t="shared" si="9"/>
        <v>0</v>
      </c>
    </row>
    <row r="2148" ht="15.0" customHeight="1">
      <c r="A2148" s="157" t="s">
        <v>9529</v>
      </c>
      <c r="B2148" s="169" t="s">
        <v>18</v>
      </c>
      <c r="C2148" s="169" t="s">
        <v>4895</v>
      </c>
      <c r="D2148" s="317">
        <v>45044.0</v>
      </c>
      <c r="E2148" s="157" t="s">
        <v>600</v>
      </c>
      <c r="F2148" s="160">
        <v>5158.91</v>
      </c>
      <c r="G2148" s="160">
        <f>'FACUS$'!$F2148*0.16</f>
        <v>825.4256</v>
      </c>
      <c r="H2148" s="160">
        <f t="shared" si="68"/>
        <v>5984.3356</v>
      </c>
      <c r="I2148" s="172"/>
      <c r="J2148" s="169">
        <f>'NCUS$'!A64</f>
        <v>312</v>
      </c>
      <c r="K2148" s="172">
        <f>'NCUS$'!H64</f>
        <v>1.7748</v>
      </c>
      <c r="L2148" s="172">
        <f>+'FACUS$'!$H2148-'FACUS$'!$I2148-'FACUS$'!$K2148</f>
        <v>5982.5608</v>
      </c>
      <c r="M2148" s="162" t="s">
        <v>586</v>
      </c>
      <c r="N2148" s="337" t="s">
        <v>554</v>
      </c>
      <c r="O2148" s="338">
        <v>45091.0</v>
      </c>
      <c r="P2148" s="164">
        <f t="array" ref="P2148">XLOOKUP('FACUS$'!$B2148,'perfil de pagos'!$A$4:$A$46,'perfil de pagos'!$C$4:$C$46+'FACUS$'!$D2148)</f>
        <v>45054</v>
      </c>
      <c r="Q2148" s="165">
        <f t="shared" si="66"/>
        <v>0</v>
      </c>
      <c r="R2148" s="167"/>
      <c r="S2148" s="167">
        <v>2223.0</v>
      </c>
      <c r="T2148" s="167"/>
      <c r="U2148" s="334" t="s">
        <v>7271</v>
      </c>
      <c r="V2148" s="168">
        <f t="shared" si="3"/>
        <v>5982.5608</v>
      </c>
      <c r="W2148" s="168">
        <f t="shared" si="4"/>
        <v>0</v>
      </c>
      <c r="X2148" s="168">
        <f t="shared" si="5"/>
        <v>0</v>
      </c>
      <c r="Y2148" s="168">
        <f t="shared" si="6"/>
        <v>0</v>
      </c>
      <c r="Z2148" s="168">
        <f t="shared" si="7"/>
        <v>0</v>
      </c>
      <c r="AA2148" s="168">
        <f t="shared" si="8"/>
        <v>0</v>
      </c>
      <c r="AB2148" s="168">
        <f t="shared" si="9"/>
        <v>0</v>
      </c>
    </row>
    <row r="2149" ht="15.0" customHeight="1">
      <c r="A2149" s="157" t="s">
        <v>9530</v>
      </c>
      <c r="B2149" s="169" t="s">
        <v>20</v>
      </c>
      <c r="C2149" s="169" t="s">
        <v>4895</v>
      </c>
      <c r="D2149" s="317">
        <v>45044.0</v>
      </c>
      <c r="E2149" s="157" t="s">
        <v>600</v>
      </c>
      <c r="F2149" s="160">
        <v>10388.71</v>
      </c>
      <c r="G2149" s="160">
        <f>'FACUS$'!$F2149*0.16</f>
        <v>1662.1936</v>
      </c>
      <c r="H2149" s="160">
        <f t="shared" si="68"/>
        <v>12050.9036</v>
      </c>
      <c r="I2149" s="172"/>
      <c r="J2149" s="169">
        <f>'NCUS$'!A65</f>
        <v>314</v>
      </c>
      <c r="K2149" s="172">
        <f>'NCUS$'!H65</f>
        <v>7.6328</v>
      </c>
      <c r="L2149" s="172">
        <f>+'FACUS$'!$H2149-'FACUS$'!$I2149-'FACUS$'!$K2149</f>
        <v>12043.2708</v>
      </c>
      <c r="M2149" s="162" t="s">
        <v>732</v>
      </c>
      <c r="N2149" s="337" t="s">
        <v>554</v>
      </c>
      <c r="O2149" s="338">
        <v>45091.0</v>
      </c>
      <c r="P2149" s="164">
        <f t="array" ref="P2149">XLOOKUP('FACUS$'!$B2149,'perfil de pagos'!$A$4:$A$46,'perfil de pagos'!$C$4:$C$46+'FACUS$'!$D2149)</f>
        <v>45054</v>
      </c>
      <c r="Q2149" s="165">
        <f t="shared" si="66"/>
        <v>0</v>
      </c>
      <c r="R2149" s="167"/>
      <c r="S2149" s="167">
        <v>2223.0</v>
      </c>
      <c r="T2149" s="167"/>
      <c r="U2149" s="334" t="s">
        <v>7271</v>
      </c>
      <c r="V2149" s="168">
        <f t="shared" si="3"/>
        <v>12043.2708</v>
      </c>
      <c r="W2149" s="168">
        <f t="shared" si="4"/>
        <v>0</v>
      </c>
      <c r="X2149" s="168">
        <f t="shared" si="5"/>
        <v>0</v>
      </c>
      <c r="Y2149" s="168">
        <f t="shared" si="6"/>
        <v>0</v>
      </c>
      <c r="Z2149" s="168">
        <f t="shared" si="7"/>
        <v>0</v>
      </c>
      <c r="AA2149" s="168">
        <f t="shared" si="8"/>
        <v>0</v>
      </c>
      <c r="AB2149" s="168">
        <f t="shared" si="9"/>
        <v>0</v>
      </c>
    </row>
    <row r="2150" ht="15.0" customHeight="1">
      <c r="A2150" s="157" t="s">
        <v>9531</v>
      </c>
      <c r="B2150" s="169" t="s">
        <v>22</v>
      </c>
      <c r="C2150" s="169" t="s">
        <v>4895</v>
      </c>
      <c r="D2150" s="317">
        <v>45044.0</v>
      </c>
      <c r="E2150" s="157" t="s">
        <v>600</v>
      </c>
      <c r="F2150" s="160">
        <v>7805.04</v>
      </c>
      <c r="G2150" s="160">
        <f>'FACUS$'!$F2150*0.16</f>
        <v>1248.8064</v>
      </c>
      <c r="H2150" s="160">
        <f t="shared" si="68"/>
        <v>9053.8464</v>
      </c>
      <c r="I2150" s="172"/>
      <c r="J2150" s="169">
        <f>'NCUS$'!A66</f>
        <v>316</v>
      </c>
      <c r="K2150" s="172">
        <f>'NCUS$'!H66</f>
        <v>10.9272</v>
      </c>
      <c r="L2150" s="172">
        <f>+'FACUS$'!$H2150-'FACUS$'!$I2150-'FACUS$'!$K2150</f>
        <v>9042.9192</v>
      </c>
      <c r="M2150" s="162" t="s">
        <v>220</v>
      </c>
      <c r="N2150" s="337" t="s">
        <v>554</v>
      </c>
      <c r="O2150" s="338">
        <v>45077.0</v>
      </c>
      <c r="P2150" s="164">
        <f t="array" ref="P2150">XLOOKUP('FACUS$'!$B2150,'perfil de pagos'!$A$4:$A$46,'perfil de pagos'!$C$4:$C$46+'FACUS$'!$D2150)</f>
        <v>45054</v>
      </c>
      <c r="Q2150" s="165">
        <f t="shared" si="66"/>
        <v>0</v>
      </c>
      <c r="R2150" s="220" t="s">
        <v>9510</v>
      </c>
      <c r="S2150" s="167">
        <v>2197.0</v>
      </c>
      <c r="T2150" s="167"/>
      <c r="U2150" s="334" t="s">
        <v>7271</v>
      </c>
      <c r="V2150" s="168">
        <f t="shared" si="3"/>
        <v>9042.9192</v>
      </c>
      <c r="W2150" s="168">
        <f t="shared" si="4"/>
        <v>0</v>
      </c>
      <c r="X2150" s="168">
        <f t="shared" si="5"/>
        <v>0</v>
      </c>
      <c r="Y2150" s="168">
        <f t="shared" si="6"/>
        <v>0</v>
      </c>
      <c r="Z2150" s="168">
        <f t="shared" si="7"/>
        <v>0</v>
      </c>
      <c r="AA2150" s="168">
        <f t="shared" si="8"/>
        <v>0</v>
      </c>
      <c r="AB2150" s="168">
        <f t="shared" si="9"/>
        <v>0</v>
      </c>
    </row>
    <row r="2151" ht="15.0" customHeight="1">
      <c r="A2151" s="157" t="s">
        <v>9532</v>
      </c>
      <c r="B2151" s="169" t="s">
        <v>25</v>
      </c>
      <c r="C2151" s="169" t="s">
        <v>4895</v>
      </c>
      <c r="D2151" s="317">
        <v>45044.0</v>
      </c>
      <c r="E2151" s="157" t="s">
        <v>600</v>
      </c>
      <c r="F2151" s="160">
        <v>4428.14</v>
      </c>
      <c r="G2151" s="160">
        <f>'FACUS$'!$F2151*0.16</f>
        <v>708.5024</v>
      </c>
      <c r="H2151" s="160">
        <f t="shared" si="68"/>
        <v>5136.6424</v>
      </c>
      <c r="I2151" s="172"/>
      <c r="J2151" s="169"/>
      <c r="K2151" s="172"/>
      <c r="L2151" s="172">
        <f>+'FACUS$'!$H2151-'FACUS$'!$I2151-'FACUS$'!$K2151</f>
        <v>5136.6424</v>
      </c>
      <c r="M2151" s="162" t="s">
        <v>4388</v>
      </c>
      <c r="N2151" s="337" t="s">
        <v>554</v>
      </c>
      <c r="O2151" s="338">
        <v>45154.0</v>
      </c>
      <c r="P2151" s="164">
        <f t="array" ref="P2151">XLOOKUP('FACUS$'!$B2151,'perfil de pagos'!$A$4:$A$46,'perfil de pagos'!$C$4:$C$46+'FACUS$'!$D2151)</f>
        <v>45054</v>
      </c>
      <c r="Q2151" s="165">
        <f t="shared" si="66"/>
        <v>0</v>
      </c>
      <c r="R2151" s="167"/>
      <c r="S2151" s="167">
        <v>2354.0</v>
      </c>
      <c r="T2151" s="167"/>
      <c r="U2151" s="334" t="s">
        <v>7271</v>
      </c>
      <c r="V2151" s="168">
        <f t="shared" si="3"/>
        <v>5136.6424</v>
      </c>
      <c r="W2151" s="168">
        <f t="shared" si="4"/>
        <v>0</v>
      </c>
      <c r="X2151" s="168">
        <f t="shared" si="5"/>
        <v>0</v>
      </c>
      <c r="Y2151" s="168">
        <f t="shared" si="6"/>
        <v>0</v>
      </c>
      <c r="Z2151" s="168">
        <f t="shared" si="7"/>
        <v>0</v>
      </c>
      <c r="AA2151" s="168">
        <f t="shared" si="8"/>
        <v>0</v>
      </c>
      <c r="AB2151" s="168">
        <f t="shared" si="9"/>
        <v>0</v>
      </c>
    </row>
    <row r="2152" ht="15.0" customHeight="1">
      <c r="A2152" s="157" t="s">
        <v>9533</v>
      </c>
      <c r="B2152" s="169" t="s">
        <v>38</v>
      </c>
      <c r="C2152" s="169" t="s">
        <v>4895</v>
      </c>
      <c r="D2152" s="317">
        <v>45044.0</v>
      </c>
      <c r="E2152" s="157" t="s">
        <v>600</v>
      </c>
      <c r="F2152" s="160">
        <v>1750.21</v>
      </c>
      <c r="G2152" s="160">
        <f>'FACUS$'!$F2152*0.16</f>
        <v>280.0336</v>
      </c>
      <c r="H2152" s="160">
        <f t="shared" si="68"/>
        <v>2030.2436</v>
      </c>
      <c r="I2152" s="172"/>
      <c r="J2152" s="169">
        <f>'NCUS$'!A68</f>
        <v>322</v>
      </c>
      <c r="K2152" s="172">
        <f>'NCUS$'!H68</f>
        <v>3.1088</v>
      </c>
      <c r="L2152" s="172">
        <f>+'FACUS$'!$H2152-'FACUS$'!$I2152-'FACUS$'!$K2152</f>
        <v>2027.1348</v>
      </c>
      <c r="M2152" s="162" t="s">
        <v>642</v>
      </c>
      <c r="N2152" s="337" t="s">
        <v>554</v>
      </c>
      <c r="O2152" s="338">
        <v>45105.0</v>
      </c>
      <c r="P2152" s="164">
        <f t="array" ref="P2152">XLOOKUP('FACUS$'!$B2152,'perfil de pagos'!$A$4:$A$46,'perfil de pagos'!$C$4:$C$46+'FACUS$'!$D2152)</f>
        <v>45074</v>
      </c>
      <c r="Q2152" s="165">
        <f t="shared" si="66"/>
        <v>0</v>
      </c>
      <c r="R2152" s="167"/>
      <c r="S2152" s="167">
        <v>2240.0</v>
      </c>
      <c r="T2152" s="167"/>
      <c r="U2152" s="334" t="s">
        <v>7271</v>
      </c>
      <c r="V2152" s="168">
        <f t="shared" si="3"/>
        <v>2027.1348</v>
      </c>
      <c r="W2152" s="168">
        <f t="shared" si="4"/>
        <v>0</v>
      </c>
      <c r="X2152" s="168">
        <f t="shared" si="5"/>
        <v>0</v>
      </c>
      <c r="Y2152" s="168">
        <f t="shared" si="6"/>
        <v>0</v>
      </c>
      <c r="Z2152" s="168">
        <f t="shared" si="7"/>
        <v>0</v>
      </c>
      <c r="AA2152" s="168">
        <f t="shared" si="8"/>
        <v>0</v>
      </c>
      <c r="AB2152" s="168">
        <f t="shared" si="9"/>
        <v>0</v>
      </c>
    </row>
    <row r="2153" ht="15.0" customHeight="1">
      <c r="A2153" s="157" t="s">
        <v>9534</v>
      </c>
      <c r="B2153" s="169" t="s">
        <v>38</v>
      </c>
      <c r="C2153" s="169" t="s">
        <v>4895</v>
      </c>
      <c r="D2153" s="317">
        <v>45044.0</v>
      </c>
      <c r="E2153" s="157" t="s">
        <v>600</v>
      </c>
      <c r="F2153" s="160">
        <v>9499.68</v>
      </c>
      <c r="G2153" s="160">
        <f>'FACUS$'!$F2153*0.16</f>
        <v>1519.9488</v>
      </c>
      <c r="H2153" s="160">
        <f t="shared" si="68"/>
        <v>11019.6288</v>
      </c>
      <c r="I2153" s="172"/>
      <c r="J2153" s="169">
        <f>'NCUS$'!A67</f>
        <v>320</v>
      </c>
      <c r="K2153" s="172">
        <f>'NCUS$'!H67</f>
        <v>19.9172</v>
      </c>
      <c r="L2153" s="172">
        <f>+'FACUS$'!$H2153-'FACUS$'!$I2153-'FACUS$'!$K2153</f>
        <v>10999.7116</v>
      </c>
      <c r="M2153" s="162" t="s">
        <v>145</v>
      </c>
      <c r="N2153" s="337" t="s">
        <v>554</v>
      </c>
      <c r="O2153" s="338">
        <v>45105.0</v>
      </c>
      <c r="P2153" s="164">
        <f t="array" ref="P2153">XLOOKUP('FACUS$'!$B2153,'perfil de pagos'!$A$4:$A$46,'perfil de pagos'!$C$4:$C$46+'FACUS$'!$D2153)</f>
        <v>45074</v>
      </c>
      <c r="Q2153" s="165">
        <f t="shared" si="66"/>
        <v>0</v>
      </c>
      <c r="R2153" s="167"/>
      <c r="S2153" s="167">
        <v>2240.0</v>
      </c>
      <c r="T2153" s="167"/>
      <c r="U2153" s="334" t="s">
        <v>7271</v>
      </c>
      <c r="V2153" s="168">
        <f t="shared" si="3"/>
        <v>10999.7116</v>
      </c>
      <c r="W2153" s="168">
        <f t="shared" si="4"/>
        <v>0</v>
      </c>
      <c r="X2153" s="168">
        <f t="shared" si="5"/>
        <v>0</v>
      </c>
      <c r="Y2153" s="168">
        <f t="shared" si="6"/>
        <v>0</v>
      </c>
      <c r="Z2153" s="168">
        <f t="shared" si="7"/>
        <v>0</v>
      </c>
      <c r="AA2153" s="168">
        <f t="shared" si="8"/>
        <v>0</v>
      </c>
      <c r="AB2153" s="168">
        <f t="shared" si="9"/>
        <v>0</v>
      </c>
    </row>
    <row r="2154" ht="15.0" customHeight="1">
      <c r="A2154" s="157" t="s">
        <v>4926</v>
      </c>
      <c r="B2154" s="166" t="s">
        <v>40</v>
      </c>
      <c r="C2154" s="169" t="s">
        <v>4851</v>
      </c>
      <c r="D2154" s="317">
        <v>45048.0</v>
      </c>
      <c r="E2154" s="157" t="s">
        <v>600</v>
      </c>
      <c r="F2154" s="160">
        <v>665.08</v>
      </c>
      <c r="G2154" s="160">
        <f>'FACUS$'!$F2154*0.16</f>
        <v>106.4128</v>
      </c>
      <c r="H2154" s="160">
        <f t="shared" si="68"/>
        <v>771.4928</v>
      </c>
      <c r="I2154" s="172"/>
      <c r="J2154" s="169"/>
      <c r="K2154" s="172"/>
      <c r="L2154" s="172">
        <f>+'FACUS$'!$H2154-'FACUS$'!$I2154-'FACUS$'!$K2154</f>
        <v>771.4928</v>
      </c>
      <c r="M2154" s="162" t="s">
        <v>490</v>
      </c>
      <c r="N2154" s="337" t="s">
        <v>127</v>
      </c>
      <c r="O2154" s="338"/>
      <c r="P2154" s="164">
        <f t="array" ref="P2154">XLOOKUP('FACUS$'!$B2154,'perfil de pagos'!$A$4:$A$46,'perfil de pagos'!$C$4:$C$46+'FACUS$'!$D2154)</f>
        <v>45078</v>
      </c>
      <c r="Q2154" s="165" t="str">
        <f t="shared" si="66"/>
        <v>N/A</v>
      </c>
      <c r="R2154" s="167" t="s">
        <v>9535</v>
      </c>
      <c r="S2154" s="167"/>
      <c r="T2154" s="167"/>
      <c r="U2154" s="334" t="s">
        <v>7271</v>
      </c>
      <c r="V2154" s="168">
        <f t="shared" si="3"/>
        <v>0</v>
      </c>
      <c r="W2154" s="168">
        <f t="shared" si="4"/>
        <v>0</v>
      </c>
      <c r="X2154" s="168">
        <f t="shared" si="5"/>
        <v>0</v>
      </c>
      <c r="Y2154" s="168">
        <f t="shared" si="6"/>
        <v>0</v>
      </c>
      <c r="Z2154" s="168">
        <f t="shared" si="7"/>
        <v>0</v>
      </c>
      <c r="AA2154" s="168">
        <f t="shared" si="8"/>
        <v>0</v>
      </c>
      <c r="AB2154" s="168">
        <f t="shared" si="9"/>
        <v>771.4928</v>
      </c>
    </row>
    <row r="2155" ht="15.0" customHeight="1">
      <c r="A2155" s="157" t="s">
        <v>9536</v>
      </c>
      <c r="B2155" s="169" t="s">
        <v>15</v>
      </c>
      <c r="C2155" s="169" t="s">
        <v>4932</v>
      </c>
      <c r="D2155" s="317">
        <v>45050.0</v>
      </c>
      <c r="E2155" s="157" t="s">
        <v>600</v>
      </c>
      <c r="F2155" s="160">
        <v>42415.48</v>
      </c>
      <c r="G2155" s="160">
        <f>'FACUS$'!$F2155*0.16</f>
        <v>6786.4768</v>
      </c>
      <c r="H2155" s="160">
        <f t="shared" si="68"/>
        <v>49201.9568</v>
      </c>
      <c r="I2155" s="172"/>
      <c r="J2155" s="169"/>
      <c r="K2155" s="172"/>
      <c r="L2155" s="172">
        <f>+'FACUS$'!$H2155-'FACUS$'!$I2155-'FACUS$'!$K2155</f>
        <v>49201.9568</v>
      </c>
      <c r="M2155" s="162" t="s">
        <v>443</v>
      </c>
      <c r="N2155" s="337" t="s">
        <v>554</v>
      </c>
      <c r="O2155" s="338">
        <v>45076.0</v>
      </c>
      <c r="P2155" s="164">
        <f t="array" ref="P2155">XLOOKUP('FACUS$'!$B2155,'perfil de pagos'!$A$4:$A$46,'perfil de pagos'!$C$4:$C$46+'FACUS$'!$D2155)</f>
        <v>45060</v>
      </c>
      <c r="Q2155" s="165">
        <f t="shared" si="66"/>
        <v>0</v>
      </c>
      <c r="R2155" s="167"/>
      <c r="S2155" s="167">
        <v>2198.0</v>
      </c>
      <c r="T2155" s="167"/>
      <c r="U2155" s="334" t="s">
        <v>7271</v>
      </c>
      <c r="V2155" s="168">
        <f t="shared" si="3"/>
        <v>49201.9568</v>
      </c>
      <c r="W2155" s="168">
        <f t="shared" si="4"/>
        <v>0</v>
      </c>
      <c r="X2155" s="168">
        <f t="shared" si="5"/>
        <v>0</v>
      </c>
      <c r="Y2155" s="168">
        <f t="shared" si="6"/>
        <v>0</v>
      </c>
      <c r="Z2155" s="168">
        <f t="shared" si="7"/>
        <v>0</v>
      </c>
      <c r="AA2155" s="168">
        <f t="shared" si="8"/>
        <v>0</v>
      </c>
      <c r="AB2155" s="168">
        <f t="shared" si="9"/>
        <v>0</v>
      </c>
    </row>
    <row r="2156" ht="15.0" customHeight="1">
      <c r="A2156" s="157" t="s">
        <v>9537</v>
      </c>
      <c r="B2156" s="169" t="s">
        <v>35</v>
      </c>
      <c r="C2156" s="169" t="s">
        <v>4932</v>
      </c>
      <c r="D2156" s="317">
        <v>45050.0</v>
      </c>
      <c r="E2156" s="157" t="s">
        <v>600</v>
      </c>
      <c r="F2156" s="160">
        <v>17872.69</v>
      </c>
      <c r="G2156" s="160">
        <f>'FACUS$'!$F2156*0.16</f>
        <v>2859.6304</v>
      </c>
      <c r="H2156" s="160">
        <f t="shared" si="68"/>
        <v>20732.3204</v>
      </c>
      <c r="I2156" s="172">
        <f>5183.08+7774.62</f>
        <v>12957.7</v>
      </c>
      <c r="J2156" s="169"/>
      <c r="K2156" s="172"/>
      <c r="L2156" s="172">
        <f>+'FACUS$'!$H2156-'FACUS$'!$I2156-'FACUS$'!$K2156</f>
        <v>7774.6204</v>
      </c>
      <c r="M2156" s="162" t="s">
        <v>276</v>
      </c>
      <c r="N2156" s="337" t="s">
        <v>554</v>
      </c>
      <c r="O2156" s="338">
        <v>45170.0</v>
      </c>
      <c r="P2156" s="164">
        <f t="array" ref="P2156">XLOOKUP('FACUS$'!$B2156,'perfil de pagos'!$A$4:$A$46,'perfil de pagos'!$C$4:$C$46+'FACUS$'!$D2156)</f>
        <v>45060</v>
      </c>
      <c r="Q2156" s="165">
        <f t="shared" si="66"/>
        <v>0</v>
      </c>
      <c r="R2156" s="220" t="s">
        <v>9538</v>
      </c>
      <c r="S2156" s="167" t="s">
        <v>9539</v>
      </c>
      <c r="T2156" s="167"/>
      <c r="U2156" s="334" t="s">
        <v>7271</v>
      </c>
      <c r="V2156" s="168">
        <f t="shared" si="3"/>
        <v>7774.6204</v>
      </c>
      <c r="W2156" s="168">
        <f t="shared" si="4"/>
        <v>0</v>
      </c>
      <c r="X2156" s="168">
        <f t="shared" si="5"/>
        <v>0</v>
      </c>
      <c r="Y2156" s="168">
        <f t="shared" si="6"/>
        <v>0</v>
      </c>
      <c r="Z2156" s="168">
        <f t="shared" si="7"/>
        <v>0</v>
      </c>
      <c r="AA2156" s="168">
        <f t="shared" si="8"/>
        <v>0</v>
      </c>
      <c r="AB2156" s="168">
        <f t="shared" si="9"/>
        <v>0</v>
      </c>
    </row>
    <row r="2157" ht="15.0" customHeight="1">
      <c r="A2157" s="157" t="s">
        <v>9540</v>
      </c>
      <c r="B2157" s="169" t="s">
        <v>38</v>
      </c>
      <c r="C2157" s="169" t="s">
        <v>4932</v>
      </c>
      <c r="D2157" s="317">
        <v>45050.0</v>
      </c>
      <c r="E2157" s="157" t="s">
        <v>600</v>
      </c>
      <c r="F2157" s="160">
        <v>3782.14</v>
      </c>
      <c r="G2157" s="160">
        <f>'FACUS$'!$F2157*0.16</f>
        <v>605.1424</v>
      </c>
      <c r="H2157" s="160">
        <f t="shared" si="68"/>
        <v>4387.2824</v>
      </c>
      <c r="I2157" s="172"/>
      <c r="J2157" s="169"/>
      <c r="K2157" s="172"/>
      <c r="L2157" s="172">
        <f>+'FACUS$'!$H2157-'FACUS$'!$I2157-'FACUS$'!$K2157</f>
        <v>4387.2824</v>
      </c>
      <c r="M2157" s="162" t="s">
        <v>4654</v>
      </c>
      <c r="N2157" s="337" t="s">
        <v>554</v>
      </c>
      <c r="O2157" s="338">
        <v>45126.0</v>
      </c>
      <c r="P2157" s="164">
        <f t="array" ref="P2157">XLOOKUP('FACUS$'!$B2157,'perfil de pagos'!$A$4:$A$46,'perfil de pagos'!$C$4:$C$46+'FACUS$'!$D2157)</f>
        <v>45080</v>
      </c>
      <c r="Q2157" s="165">
        <f t="shared" si="66"/>
        <v>0</v>
      </c>
      <c r="R2157" s="167"/>
      <c r="S2157" s="167">
        <v>2282.0</v>
      </c>
      <c r="T2157" s="167"/>
      <c r="U2157" s="334" t="s">
        <v>7271</v>
      </c>
      <c r="V2157" s="168">
        <f t="shared" si="3"/>
        <v>4387.2824</v>
      </c>
      <c r="W2157" s="168">
        <f t="shared" si="4"/>
        <v>0</v>
      </c>
      <c r="X2157" s="168">
        <f t="shared" si="5"/>
        <v>0</v>
      </c>
      <c r="Y2157" s="168">
        <f t="shared" si="6"/>
        <v>0</v>
      </c>
      <c r="Z2157" s="168">
        <f t="shared" si="7"/>
        <v>0</v>
      </c>
      <c r="AA2157" s="168">
        <f t="shared" si="8"/>
        <v>0</v>
      </c>
      <c r="AB2157" s="168">
        <f t="shared" si="9"/>
        <v>0</v>
      </c>
    </row>
    <row r="2158" ht="15.0" customHeight="1">
      <c r="A2158" s="157" t="s">
        <v>9541</v>
      </c>
      <c r="B2158" s="169" t="s">
        <v>39</v>
      </c>
      <c r="C2158" s="169" t="s">
        <v>4928</v>
      </c>
      <c r="D2158" s="317">
        <v>45050.0</v>
      </c>
      <c r="E2158" s="157" t="s">
        <v>600</v>
      </c>
      <c r="F2158" s="160">
        <v>19022.5</v>
      </c>
      <c r="G2158" s="160">
        <f>'FACUS$'!$F2158*0.16</f>
        <v>3043.6</v>
      </c>
      <c r="H2158" s="160">
        <f t="shared" si="68"/>
        <v>22066.1</v>
      </c>
      <c r="I2158" s="172"/>
      <c r="J2158" s="169"/>
      <c r="K2158" s="172"/>
      <c r="L2158" s="172">
        <f>+'FACUS$'!$H2158-'FACUS$'!$I2158-'FACUS$'!$K2158</f>
        <v>22066.1</v>
      </c>
      <c r="M2158" s="162" t="s">
        <v>570</v>
      </c>
      <c r="N2158" s="337" t="s">
        <v>554</v>
      </c>
      <c r="O2158" s="338">
        <v>45058.0</v>
      </c>
      <c r="P2158" s="164">
        <f t="array" ref="P2158">XLOOKUP('FACUS$'!$B2158,'perfil de pagos'!$A$4:$A$46,'perfil de pagos'!$C$4:$C$46+'FACUS$'!$D2158)</f>
        <v>45060</v>
      </c>
      <c r="Q2158" s="165">
        <f t="shared" si="66"/>
        <v>0</v>
      </c>
      <c r="R2158" s="167"/>
      <c r="S2158" s="167">
        <v>2161.0</v>
      </c>
      <c r="T2158" s="167"/>
      <c r="U2158" s="334" t="s">
        <v>7271</v>
      </c>
      <c r="V2158" s="168">
        <f t="shared" si="3"/>
        <v>22066.1</v>
      </c>
      <c r="W2158" s="168">
        <f t="shared" si="4"/>
        <v>0</v>
      </c>
      <c r="X2158" s="168">
        <f t="shared" si="5"/>
        <v>0</v>
      </c>
      <c r="Y2158" s="168">
        <f t="shared" si="6"/>
        <v>0</v>
      </c>
      <c r="Z2158" s="168">
        <f t="shared" si="7"/>
        <v>0</v>
      </c>
      <c r="AA2158" s="168">
        <f t="shared" si="8"/>
        <v>0</v>
      </c>
      <c r="AB2158" s="168">
        <f t="shared" si="9"/>
        <v>0</v>
      </c>
    </row>
    <row r="2159" ht="15.0" customHeight="1">
      <c r="A2159" s="157" t="s">
        <v>9542</v>
      </c>
      <c r="B2159" s="169" t="s">
        <v>39</v>
      </c>
      <c r="C2159" s="169" t="s">
        <v>4932</v>
      </c>
      <c r="D2159" s="317">
        <v>45050.0</v>
      </c>
      <c r="E2159" s="157" t="s">
        <v>600</v>
      </c>
      <c r="F2159" s="160">
        <v>24757.25</v>
      </c>
      <c r="G2159" s="160">
        <f>'FACUS$'!$F2159*0.16</f>
        <v>3961.16</v>
      </c>
      <c r="H2159" s="160">
        <f t="shared" si="68"/>
        <v>28718.41</v>
      </c>
      <c r="I2159" s="172"/>
      <c r="J2159" s="169"/>
      <c r="K2159" s="172"/>
      <c r="L2159" s="172">
        <f>+'FACUS$'!$H2159-'FACUS$'!$I2159-'FACUS$'!$K2159</f>
        <v>28718.41</v>
      </c>
      <c r="M2159" s="162" t="s">
        <v>570</v>
      </c>
      <c r="N2159" s="337" t="s">
        <v>554</v>
      </c>
      <c r="O2159" s="338">
        <v>45058.0</v>
      </c>
      <c r="P2159" s="164">
        <f t="array" ref="P2159">XLOOKUP('FACUS$'!$B2159,'perfil de pagos'!$A$4:$A$46,'perfil de pagos'!$C$4:$C$46+'FACUS$'!$D2159)</f>
        <v>45060</v>
      </c>
      <c r="Q2159" s="165">
        <f t="shared" si="66"/>
        <v>0</v>
      </c>
      <c r="R2159" s="167"/>
      <c r="S2159" s="167">
        <v>2161.0</v>
      </c>
      <c r="T2159" s="167"/>
      <c r="U2159" s="334" t="s">
        <v>7271</v>
      </c>
      <c r="V2159" s="168">
        <f t="shared" si="3"/>
        <v>28718.41</v>
      </c>
      <c r="W2159" s="168">
        <f t="shared" si="4"/>
        <v>0</v>
      </c>
      <c r="X2159" s="168">
        <f t="shared" si="5"/>
        <v>0</v>
      </c>
      <c r="Y2159" s="168">
        <f t="shared" si="6"/>
        <v>0</v>
      </c>
      <c r="Z2159" s="168">
        <f t="shared" si="7"/>
        <v>0</v>
      </c>
      <c r="AA2159" s="168">
        <f t="shared" si="8"/>
        <v>0</v>
      </c>
      <c r="AB2159" s="168">
        <f t="shared" si="9"/>
        <v>0</v>
      </c>
    </row>
    <row r="2160" ht="15.0" customHeight="1">
      <c r="A2160" s="157" t="s">
        <v>9543</v>
      </c>
      <c r="B2160" s="169" t="s">
        <v>41</v>
      </c>
      <c r="C2160" s="169" t="s">
        <v>4932</v>
      </c>
      <c r="D2160" s="317">
        <v>45050.0</v>
      </c>
      <c r="E2160" s="157" t="s">
        <v>600</v>
      </c>
      <c r="F2160" s="160">
        <v>50749.8</v>
      </c>
      <c r="G2160" s="160">
        <f>'FACUS$'!$F2160*0.16</f>
        <v>8119.968</v>
      </c>
      <c r="H2160" s="160">
        <f t="shared" si="68"/>
        <v>58869.768</v>
      </c>
      <c r="I2160" s="172"/>
      <c r="J2160" s="169"/>
      <c r="K2160" s="172"/>
      <c r="L2160" s="172">
        <f>+'FACUS$'!$H2160-'FACUS$'!$I2160-'FACUS$'!$K2160</f>
        <v>58869.768</v>
      </c>
      <c r="M2160" s="162" t="s">
        <v>875</v>
      </c>
      <c r="N2160" s="337" t="s">
        <v>554</v>
      </c>
      <c r="O2160" s="338">
        <v>45085.0</v>
      </c>
      <c r="P2160" s="164">
        <f t="array" ref="P2160">XLOOKUP('FACUS$'!$B2160,'perfil de pagos'!$A$4:$A$46,'perfil de pagos'!$C$4:$C$46+'FACUS$'!$D2160)</f>
        <v>45060</v>
      </c>
      <c r="Q2160" s="165">
        <f t="shared" si="66"/>
        <v>0</v>
      </c>
      <c r="R2160" s="167"/>
      <c r="S2160" s="167">
        <v>2212.0</v>
      </c>
      <c r="T2160" s="167"/>
      <c r="U2160" s="334" t="s">
        <v>7271</v>
      </c>
      <c r="V2160" s="168">
        <f t="shared" si="3"/>
        <v>58869.768</v>
      </c>
      <c r="W2160" s="168">
        <f t="shared" si="4"/>
        <v>0</v>
      </c>
      <c r="X2160" s="168">
        <f t="shared" si="5"/>
        <v>0</v>
      </c>
      <c r="Y2160" s="168">
        <f t="shared" si="6"/>
        <v>0</v>
      </c>
      <c r="Z2160" s="168">
        <f t="shared" si="7"/>
        <v>0</v>
      </c>
      <c r="AA2160" s="168">
        <f t="shared" si="8"/>
        <v>0</v>
      </c>
      <c r="AB2160" s="168">
        <f t="shared" si="9"/>
        <v>0</v>
      </c>
    </row>
    <row r="2161" ht="15.0" customHeight="1">
      <c r="A2161" s="157" t="s">
        <v>9544</v>
      </c>
      <c r="B2161" s="169" t="s">
        <v>42</v>
      </c>
      <c r="C2161" s="169" t="s">
        <v>4932</v>
      </c>
      <c r="D2161" s="317">
        <v>45050.0</v>
      </c>
      <c r="E2161" s="157" t="s">
        <v>600</v>
      </c>
      <c r="F2161" s="160">
        <v>10625.66</v>
      </c>
      <c r="G2161" s="160">
        <f>'FACUS$'!$F2161*0.16</f>
        <v>1700.1056</v>
      </c>
      <c r="H2161" s="160">
        <f t="shared" si="68"/>
        <v>12325.7656</v>
      </c>
      <c r="I2161" s="172"/>
      <c r="J2161" s="169"/>
      <c r="K2161" s="172"/>
      <c r="L2161" s="172">
        <f>+'FACUS$'!$H2161-'FACUS$'!$I2161-'FACUS$'!$K2161</f>
        <v>12325.7656</v>
      </c>
      <c r="M2161" s="162" t="s">
        <v>42</v>
      </c>
      <c r="N2161" s="337" t="s">
        <v>554</v>
      </c>
      <c r="O2161" s="338">
        <v>45070.0</v>
      </c>
      <c r="P2161" s="164">
        <f t="array" ref="P2161">XLOOKUP('FACUS$'!$B2161,'perfil de pagos'!$A$4:$A$46,'perfil de pagos'!$C$4:$C$46+'FACUS$'!$D2161)</f>
        <v>45060</v>
      </c>
      <c r="Q2161" s="165">
        <f t="shared" si="66"/>
        <v>0</v>
      </c>
      <c r="R2161" s="167"/>
      <c r="S2161" s="167">
        <v>2187.0</v>
      </c>
      <c r="T2161" s="167"/>
      <c r="U2161" s="334" t="s">
        <v>7271</v>
      </c>
      <c r="V2161" s="168">
        <f t="shared" si="3"/>
        <v>12325.7656</v>
      </c>
      <c r="W2161" s="168">
        <f t="shared" si="4"/>
        <v>0</v>
      </c>
      <c r="X2161" s="168">
        <f t="shared" si="5"/>
        <v>0</v>
      </c>
      <c r="Y2161" s="168">
        <f t="shared" si="6"/>
        <v>0</v>
      </c>
      <c r="Z2161" s="168">
        <f t="shared" si="7"/>
        <v>0</v>
      </c>
      <c r="AA2161" s="168">
        <f t="shared" si="8"/>
        <v>0</v>
      </c>
      <c r="AB2161" s="168">
        <f t="shared" si="9"/>
        <v>0</v>
      </c>
    </row>
    <row r="2162" ht="15.0" customHeight="1">
      <c r="A2162" s="157" t="s">
        <v>9545</v>
      </c>
      <c r="B2162" s="169" t="s">
        <v>44</v>
      </c>
      <c r="C2162" s="169" t="s">
        <v>4932</v>
      </c>
      <c r="D2162" s="317">
        <v>45050.0</v>
      </c>
      <c r="E2162" s="157" t="s">
        <v>600</v>
      </c>
      <c r="F2162" s="160">
        <v>6209.93</v>
      </c>
      <c r="G2162" s="160">
        <f>'FACUS$'!$F2162*0.16</f>
        <v>993.5888</v>
      </c>
      <c r="H2162" s="160">
        <f t="shared" si="68"/>
        <v>7203.5188</v>
      </c>
      <c r="I2162" s="172"/>
      <c r="J2162" s="169"/>
      <c r="K2162" s="172"/>
      <c r="L2162" s="172">
        <f>+'FACUS$'!$H2162-'FACUS$'!$I2162-'FACUS$'!$K2162</f>
        <v>7203.5188</v>
      </c>
      <c r="M2162" s="162" t="s">
        <v>361</v>
      </c>
      <c r="N2162" s="337" t="s">
        <v>554</v>
      </c>
      <c r="O2162" s="338">
        <v>45058.0</v>
      </c>
      <c r="P2162" s="164">
        <f t="array" ref="P2162">XLOOKUP('FACUS$'!$B2162,'perfil de pagos'!$A$4:$A$46,'perfil de pagos'!$C$4:$C$46+'FACUS$'!$D2162)</f>
        <v>45060</v>
      </c>
      <c r="Q2162" s="165">
        <f t="shared" si="66"/>
        <v>0</v>
      </c>
      <c r="R2162" s="167"/>
      <c r="S2162" s="167">
        <v>2162.0</v>
      </c>
      <c r="T2162" s="167"/>
      <c r="U2162" s="334" t="s">
        <v>7271</v>
      </c>
      <c r="V2162" s="168">
        <f t="shared" si="3"/>
        <v>7203.5188</v>
      </c>
      <c r="W2162" s="168">
        <f t="shared" si="4"/>
        <v>0</v>
      </c>
      <c r="X2162" s="168">
        <f t="shared" si="5"/>
        <v>0</v>
      </c>
      <c r="Y2162" s="168">
        <f t="shared" si="6"/>
        <v>0</v>
      </c>
      <c r="Z2162" s="168">
        <f t="shared" si="7"/>
        <v>0</v>
      </c>
      <c r="AA2162" s="168">
        <f t="shared" si="8"/>
        <v>0</v>
      </c>
      <c r="AB2162" s="168">
        <f t="shared" si="9"/>
        <v>0</v>
      </c>
    </row>
    <row r="2163" ht="15.0" customHeight="1">
      <c r="A2163" s="157" t="s">
        <v>9546</v>
      </c>
      <c r="B2163" s="169" t="s">
        <v>43</v>
      </c>
      <c r="C2163" s="169" t="s">
        <v>4932</v>
      </c>
      <c r="D2163" s="317">
        <v>45050.0</v>
      </c>
      <c r="E2163" s="157" t="s">
        <v>600</v>
      </c>
      <c r="F2163" s="160">
        <v>17567.67</v>
      </c>
      <c r="G2163" s="160">
        <f>'FACUS$'!$F2163*0.16</f>
        <v>2810.8272</v>
      </c>
      <c r="H2163" s="160">
        <f t="shared" si="68"/>
        <v>20378.4972</v>
      </c>
      <c r="I2163" s="172"/>
      <c r="J2163" s="169"/>
      <c r="K2163" s="172"/>
      <c r="L2163" s="172">
        <f>+'FACUS$'!$H2163-'FACUS$'!$I2163-'FACUS$'!$K2163</f>
        <v>20378.4972</v>
      </c>
      <c r="M2163" s="162" t="s">
        <v>43</v>
      </c>
      <c r="N2163" s="337" t="s">
        <v>554</v>
      </c>
      <c r="O2163" s="338">
        <v>45125.0</v>
      </c>
      <c r="P2163" s="164">
        <f t="array" ref="P2163">XLOOKUP('FACUS$'!$B2163,'perfil de pagos'!$A$4:$A$46,'perfil de pagos'!$C$4:$C$46+'FACUS$'!$D2163)</f>
        <v>45075</v>
      </c>
      <c r="Q2163" s="165">
        <f t="shared" si="66"/>
        <v>0</v>
      </c>
      <c r="R2163" s="167"/>
      <c r="S2163" s="167">
        <v>2278.0</v>
      </c>
      <c r="T2163" s="167"/>
      <c r="U2163" s="334" t="s">
        <v>7271</v>
      </c>
      <c r="V2163" s="168">
        <f t="shared" si="3"/>
        <v>20378.4972</v>
      </c>
      <c r="W2163" s="168">
        <f t="shared" si="4"/>
        <v>0</v>
      </c>
      <c r="X2163" s="168">
        <f t="shared" si="5"/>
        <v>0</v>
      </c>
      <c r="Y2163" s="168">
        <f t="shared" si="6"/>
        <v>0</v>
      </c>
      <c r="Z2163" s="168">
        <f t="shared" si="7"/>
        <v>0</v>
      </c>
      <c r="AA2163" s="168">
        <f t="shared" si="8"/>
        <v>0</v>
      </c>
      <c r="AB2163" s="168">
        <f t="shared" si="9"/>
        <v>0</v>
      </c>
    </row>
    <row r="2164" ht="15.0" customHeight="1">
      <c r="A2164" s="157" t="s">
        <v>9547</v>
      </c>
      <c r="B2164" s="169" t="s">
        <v>25</v>
      </c>
      <c r="C2164" s="169" t="s">
        <v>9548</v>
      </c>
      <c r="D2164" s="317">
        <v>45050.0</v>
      </c>
      <c r="E2164" s="157" t="s">
        <v>600</v>
      </c>
      <c r="F2164" s="160">
        <v>3.55</v>
      </c>
      <c r="G2164" s="160">
        <f>'FACUS$'!$F2164*0.16</f>
        <v>0.568</v>
      </c>
      <c r="H2164" s="160">
        <f t="shared" si="68"/>
        <v>4.118</v>
      </c>
      <c r="I2164" s="172"/>
      <c r="J2164" s="169"/>
      <c r="K2164" s="172"/>
      <c r="L2164" s="172">
        <f>+'FACUS$'!$H2164-'FACUS$'!$I2164-'FACUS$'!$K2164</f>
        <v>4.118</v>
      </c>
      <c r="M2164" s="162" t="s">
        <v>4388</v>
      </c>
      <c r="N2164" s="337" t="s">
        <v>554</v>
      </c>
      <c r="O2164" s="338">
        <v>45154.0</v>
      </c>
      <c r="P2164" s="164">
        <f t="array" ref="P2164">XLOOKUP('FACUS$'!$B2164,'perfil de pagos'!$A$4:$A$46,'perfil de pagos'!$C$4:$C$46+'FACUS$'!$D2164)</f>
        <v>45060</v>
      </c>
      <c r="Q2164" s="165">
        <f t="shared" si="66"/>
        <v>0</v>
      </c>
      <c r="R2164" s="167"/>
      <c r="S2164" s="167">
        <v>2354.0</v>
      </c>
      <c r="T2164" s="167"/>
      <c r="U2164" s="334" t="s">
        <v>7271</v>
      </c>
      <c r="V2164" s="168">
        <f t="shared" si="3"/>
        <v>4.118</v>
      </c>
      <c r="W2164" s="168">
        <f t="shared" si="4"/>
        <v>0</v>
      </c>
      <c r="X2164" s="168">
        <f t="shared" si="5"/>
        <v>0</v>
      </c>
      <c r="Y2164" s="168">
        <f t="shared" si="6"/>
        <v>0</v>
      </c>
      <c r="Z2164" s="168">
        <f t="shared" si="7"/>
        <v>0</v>
      </c>
      <c r="AA2164" s="168">
        <f t="shared" si="8"/>
        <v>0</v>
      </c>
      <c r="AB2164" s="168">
        <f t="shared" si="9"/>
        <v>0</v>
      </c>
    </row>
    <row r="2165" ht="15.0" customHeight="1">
      <c r="A2165" s="157" t="s">
        <v>9549</v>
      </c>
      <c r="B2165" s="169" t="s">
        <v>40</v>
      </c>
      <c r="C2165" s="169" t="s">
        <v>4851</v>
      </c>
      <c r="D2165" s="317">
        <v>45050.0</v>
      </c>
      <c r="E2165" s="157" t="s">
        <v>600</v>
      </c>
      <c r="F2165" s="160">
        <v>665.08</v>
      </c>
      <c r="G2165" s="160">
        <f>'FACUS$'!$F2165*0.16</f>
        <v>106.4128</v>
      </c>
      <c r="H2165" s="160">
        <f t="shared" si="68"/>
        <v>771.4928</v>
      </c>
      <c r="I2165" s="172"/>
      <c r="J2165" s="169"/>
      <c r="K2165" s="172"/>
      <c r="L2165" s="172">
        <f>+'FACUS$'!$H2165-'FACUS$'!$I2165-'FACUS$'!$K2165</f>
        <v>771.4928</v>
      </c>
      <c r="M2165" s="162" t="s">
        <v>490</v>
      </c>
      <c r="N2165" s="337" t="s">
        <v>554</v>
      </c>
      <c r="O2165" s="338">
        <v>45072.0</v>
      </c>
      <c r="P2165" s="164">
        <f t="array" ref="P2165">XLOOKUP('FACUS$'!$B2165,'perfil de pagos'!$A$4:$A$46,'perfil de pagos'!$C$4:$C$46+'FACUS$'!$D2165)</f>
        <v>45080</v>
      </c>
      <c r="Q2165" s="165">
        <f t="shared" si="66"/>
        <v>0</v>
      </c>
      <c r="R2165" s="337" t="s">
        <v>9550</v>
      </c>
      <c r="S2165" s="167">
        <v>2190.0</v>
      </c>
      <c r="T2165" s="167"/>
      <c r="U2165" s="334" t="s">
        <v>7271</v>
      </c>
      <c r="V2165" s="168">
        <f t="shared" si="3"/>
        <v>771.4928</v>
      </c>
      <c r="W2165" s="168">
        <f t="shared" si="4"/>
        <v>0</v>
      </c>
      <c r="X2165" s="168">
        <f t="shared" si="5"/>
        <v>0</v>
      </c>
      <c r="Y2165" s="168">
        <f t="shared" si="6"/>
        <v>0</v>
      </c>
      <c r="Z2165" s="168">
        <f t="shared" si="7"/>
        <v>0</v>
      </c>
      <c r="AA2165" s="168">
        <f t="shared" si="8"/>
        <v>0</v>
      </c>
      <c r="AB2165" s="168">
        <f t="shared" si="9"/>
        <v>0</v>
      </c>
    </row>
    <row r="2166" ht="15.0" customHeight="1">
      <c r="A2166" s="157" t="s">
        <v>9551</v>
      </c>
      <c r="B2166" s="169" t="s">
        <v>18</v>
      </c>
      <c r="C2166" s="169" t="s">
        <v>4932</v>
      </c>
      <c r="D2166" s="317">
        <v>45054.0</v>
      </c>
      <c r="E2166" s="157" t="s">
        <v>600</v>
      </c>
      <c r="F2166" s="160">
        <v>5473.8</v>
      </c>
      <c r="G2166" s="160">
        <f>'FACUS$'!$F2166*0.16</f>
        <v>875.808</v>
      </c>
      <c r="H2166" s="160">
        <f t="shared" si="68"/>
        <v>6349.608</v>
      </c>
      <c r="I2166" s="172"/>
      <c r="J2166" s="169"/>
      <c r="K2166" s="172"/>
      <c r="L2166" s="172">
        <f>+'FACUS$'!$H2166-'FACUS$'!$I2166-'FACUS$'!$K2166</f>
        <v>6349.608</v>
      </c>
      <c r="M2166" s="162" t="s">
        <v>586</v>
      </c>
      <c r="N2166" s="337" t="s">
        <v>554</v>
      </c>
      <c r="O2166" s="338">
        <v>45091.0</v>
      </c>
      <c r="P2166" s="164">
        <f t="array" ref="P2166">XLOOKUP('FACUS$'!$B2166,'perfil de pagos'!$A$4:$A$46,'perfil de pagos'!$C$4:$C$46+'FACUS$'!$D2166)</f>
        <v>45064</v>
      </c>
      <c r="Q2166" s="165">
        <f t="shared" si="66"/>
        <v>0</v>
      </c>
      <c r="R2166" s="167"/>
      <c r="S2166" s="167">
        <v>2223.0</v>
      </c>
      <c r="T2166" s="167"/>
      <c r="U2166" s="334" t="s">
        <v>7271</v>
      </c>
      <c r="V2166" s="168">
        <f t="shared" si="3"/>
        <v>6349.608</v>
      </c>
      <c r="W2166" s="168">
        <f t="shared" si="4"/>
        <v>0</v>
      </c>
      <c r="X2166" s="168">
        <f t="shared" si="5"/>
        <v>0</v>
      </c>
      <c r="Y2166" s="168">
        <f t="shared" si="6"/>
        <v>0</v>
      </c>
      <c r="Z2166" s="168">
        <f t="shared" si="7"/>
        <v>0</v>
      </c>
      <c r="AA2166" s="168">
        <f t="shared" si="8"/>
        <v>0</v>
      </c>
      <c r="AB2166" s="168">
        <f t="shared" si="9"/>
        <v>0</v>
      </c>
    </row>
    <row r="2167" ht="15.0" customHeight="1">
      <c r="A2167" s="157" t="s">
        <v>9552</v>
      </c>
      <c r="B2167" s="169" t="s">
        <v>20</v>
      </c>
      <c r="C2167" s="169" t="s">
        <v>4932</v>
      </c>
      <c r="D2167" s="317">
        <v>45054.0</v>
      </c>
      <c r="E2167" s="157" t="s">
        <v>600</v>
      </c>
      <c r="F2167" s="160">
        <v>12050.11</v>
      </c>
      <c r="G2167" s="160">
        <f>'FACUS$'!$F2167*0.16</f>
        <v>1928.0176</v>
      </c>
      <c r="H2167" s="160">
        <f t="shared" si="68"/>
        <v>13978.1276</v>
      </c>
      <c r="I2167" s="172"/>
      <c r="J2167" s="169"/>
      <c r="K2167" s="172"/>
      <c r="L2167" s="172">
        <f>+'FACUS$'!$H2167-'FACUS$'!$I2167-'FACUS$'!$K2167</f>
        <v>13978.1276</v>
      </c>
      <c r="M2167" s="162" t="s">
        <v>732</v>
      </c>
      <c r="N2167" s="337" t="s">
        <v>554</v>
      </c>
      <c r="O2167" s="338">
        <v>45091.0</v>
      </c>
      <c r="P2167" s="164">
        <f t="array" ref="P2167">XLOOKUP('FACUS$'!$B2167,'perfil de pagos'!$A$4:$A$46,'perfil de pagos'!$C$4:$C$46+'FACUS$'!$D2167)</f>
        <v>45064</v>
      </c>
      <c r="Q2167" s="165">
        <f t="shared" si="66"/>
        <v>0</v>
      </c>
      <c r="R2167" s="167"/>
      <c r="S2167" s="167">
        <v>2223.0</v>
      </c>
      <c r="T2167" s="167"/>
      <c r="U2167" s="334" t="s">
        <v>7271</v>
      </c>
      <c r="V2167" s="168">
        <f t="shared" si="3"/>
        <v>13978.1276</v>
      </c>
      <c r="W2167" s="168">
        <f t="shared" si="4"/>
        <v>0</v>
      </c>
      <c r="X2167" s="168">
        <f t="shared" si="5"/>
        <v>0</v>
      </c>
      <c r="Y2167" s="168">
        <f t="shared" si="6"/>
        <v>0</v>
      </c>
      <c r="Z2167" s="168">
        <f t="shared" si="7"/>
        <v>0</v>
      </c>
      <c r="AA2167" s="168">
        <f t="shared" si="8"/>
        <v>0</v>
      </c>
      <c r="AB2167" s="168">
        <f t="shared" si="9"/>
        <v>0</v>
      </c>
    </row>
    <row r="2168" ht="15.0" customHeight="1">
      <c r="A2168" s="157" t="s">
        <v>9553</v>
      </c>
      <c r="B2168" s="169" t="s">
        <v>22</v>
      </c>
      <c r="C2168" s="169" t="s">
        <v>4932</v>
      </c>
      <c r="D2168" s="317">
        <v>45054.0</v>
      </c>
      <c r="E2168" s="157" t="s">
        <v>600</v>
      </c>
      <c r="F2168" s="160">
        <v>11405.61</v>
      </c>
      <c r="G2168" s="160">
        <f>'FACUS$'!$F2168*0.16</f>
        <v>1824.8976</v>
      </c>
      <c r="H2168" s="160">
        <f t="shared" si="68"/>
        <v>13230.5076</v>
      </c>
      <c r="I2168" s="172">
        <f>984.59+11912.42</f>
        <v>12897.01</v>
      </c>
      <c r="J2168" s="169"/>
      <c r="K2168" s="172"/>
      <c r="L2168" s="172">
        <f>+'FACUS$'!$H2168-'FACUS$'!$I2168-'FACUS$'!$K2168</f>
        <v>333.4976</v>
      </c>
      <c r="M2168" s="162" t="s">
        <v>220</v>
      </c>
      <c r="N2168" s="337" t="s">
        <v>554</v>
      </c>
      <c r="O2168" s="338">
        <v>45132.0</v>
      </c>
      <c r="P2168" s="164">
        <f t="array" ref="P2168">XLOOKUP('FACUS$'!$B2168,'perfil de pagos'!$A$4:$A$46,'perfil de pagos'!$C$4:$C$46+'FACUS$'!$D2168)</f>
        <v>45064</v>
      </c>
      <c r="Q2168" s="165">
        <f t="shared" si="66"/>
        <v>0</v>
      </c>
      <c r="R2168" s="220" t="s">
        <v>9554</v>
      </c>
      <c r="S2168" s="167" t="s">
        <v>9555</v>
      </c>
      <c r="T2168" s="167"/>
      <c r="U2168" s="334" t="s">
        <v>7271</v>
      </c>
      <c r="V2168" s="168">
        <f t="shared" si="3"/>
        <v>333.4976</v>
      </c>
      <c r="W2168" s="168">
        <f t="shared" si="4"/>
        <v>0</v>
      </c>
      <c r="X2168" s="168">
        <f t="shared" si="5"/>
        <v>0</v>
      </c>
      <c r="Y2168" s="168">
        <f t="shared" si="6"/>
        <v>0</v>
      </c>
      <c r="Z2168" s="168">
        <f t="shared" si="7"/>
        <v>0</v>
      </c>
      <c r="AA2168" s="168">
        <f t="shared" si="8"/>
        <v>0</v>
      </c>
      <c r="AB2168" s="168">
        <f t="shared" si="9"/>
        <v>0</v>
      </c>
    </row>
    <row r="2169" ht="15.0" customHeight="1">
      <c r="A2169" s="157" t="s">
        <v>9556</v>
      </c>
      <c r="B2169" s="169" t="s">
        <v>25</v>
      </c>
      <c r="C2169" s="169" t="s">
        <v>4932</v>
      </c>
      <c r="D2169" s="317">
        <v>45054.0</v>
      </c>
      <c r="E2169" s="157" t="s">
        <v>600</v>
      </c>
      <c r="F2169" s="160">
        <v>4536.3</v>
      </c>
      <c r="G2169" s="160">
        <f>'FACUS$'!$F2169*0.16</f>
        <v>725.808</v>
      </c>
      <c r="H2169" s="160">
        <f t="shared" si="68"/>
        <v>5262.108</v>
      </c>
      <c r="I2169" s="172"/>
      <c r="J2169" s="169"/>
      <c r="K2169" s="172"/>
      <c r="L2169" s="172">
        <f>+'FACUS$'!$H2169-'FACUS$'!$I2169-'FACUS$'!$K2169</f>
        <v>5262.108</v>
      </c>
      <c r="M2169" s="162" t="s">
        <v>4388</v>
      </c>
      <c r="N2169" s="337" t="s">
        <v>554</v>
      </c>
      <c r="O2169" s="338">
        <v>45154.0</v>
      </c>
      <c r="P2169" s="164">
        <f t="array" ref="P2169">XLOOKUP('FACUS$'!$B2169,'perfil de pagos'!$A$4:$A$46,'perfil de pagos'!$C$4:$C$46+'FACUS$'!$D2169)</f>
        <v>45064</v>
      </c>
      <c r="Q2169" s="165">
        <f t="shared" si="66"/>
        <v>0</v>
      </c>
      <c r="R2169" s="167"/>
      <c r="S2169" s="167">
        <v>2354.0</v>
      </c>
      <c r="T2169" s="167"/>
      <c r="U2169" s="334" t="s">
        <v>7271</v>
      </c>
      <c r="V2169" s="168">
        <f t="shared" si="3"/>
        <v>5262.108</v>
      </c>
      <c r="W2169" s="168">
        <f t="shared" si="4"/>
        <v>0</v>
      </c>
      <c r="X2169" s="168">
        <f t="shared" si="5"/>
        <v>0</v>
      </c>
      <c r="Y2169" s="168">
        <f t="shared" si="6"/>
        <v>0</v>
      </c>
      <c r="Z2169" s="168">
        <f t="shared" si="7"/>
        <v>0</v>
      </c>
      <c r="AA2169" s="168">
        <f t="shared" si="8"/>
        <v>0</v>
      </c>
      <c r="AB2169" s="168">
        <f t="shared" si="9"/>
        <v>0</v>
      </c>
    </row>
    <row r="2170" ht="15.0" customHeight="1">
      <c r="A2170" s="157" t="s">
        <v>9557</v>
      </c>
      <c r="B2170" s="169" t="s">
        <v>38</v>
      </c>
      <c r="C2170" s="169" t="s">
        <v>4932</v>
      </c>
      <c r="D2170" s="317">
        <v>45054.0</v>
      </c>
      <c r="E2170" s="157" t="s">
        <v>600</v>
      </c>
      <c r="F2170" s="160">
        <v>2751.95</v>
      </c>
      <c r="G2170" s="160">
        <f>'FACUS$'!$F2170*0.16</f>
        <v>440.312</v>
      </c>
      <c r="H2170" s="160">
        <f t="shared" si="68"/>
        <v>3192.262</v>
      </c>
      <c r="I2170" s="172"/>
      <c r="J2170" s="169"/>
      <c r="K2170" s="172"/>
      <c r="L2170" s="172">
        <f>+'FACUS$'!$H2170-'FACUS$'!$I2170-'FACUS$'!$K2170</f>
        <v>3192.262</v>
      </c>
      <c r="M2170" s="162" t="s">
        <v>145</v>
      </c>
      <c r="N2170" s="337" t="s">
        <v>554</v>
      </c>
      <c r="O2170" s="338">
        <v>45126.0</v>
      </c>
      <c r="P2170" s="164">
        <f t="array" ref="P2170">XLOOKUP('FACUS$'!$B2170,'perfil de pagos'!$A$4:$A$46,'perfil de pagos'!$C$4:$C$46+'FACUS$'!$D2170)</f>
        <v>45084</v>
      </c>
      <c r="Q2170" s="165">
        <f t="shared" si="66"/>
        <v>0</v>
      </c>
      <c r="R2170" s="167"/>
      <c r="S2170" s="167">
        <v>2281.0</v>
      </c>
      <c r="T2170" s="167"/>
      <c r="U2170" s="334" t="s">
        <v>7271</v>
      </c>
      <c r="V2170" s="168">
        <f t="shared" si="3"/>
        <v>3192.262</v>
      </c>
      <c r="W2170" s="168">
        <f t="shared" si="4"/>
        <v>0</v>
      </c>
      <c r="X2170" s="168">
        <f t="shared" si="5"/>
        <v>0</v>
      </c>
      <c r="Y2170" s="168">
        <f t="shared" si="6"/>
        <v>0</v>
      </c>
      <c r="Z2170" s="168">
        <f t="shared" si="7"/>
        <v>0</v>
      </c>
      <c r="AA2170" s="168">
        <f t="shared" si="8"/>
        <v>0</v>
      </c>
      <c r="AB2170" s="168">
        <f t="shared" si="9"/>
        <v>0</v>
      </c>
    </row>
    <row r="2171" ht="15.0" customHeight="1">
      <c r="A2171" s="157" t="s">
        <v>9558</v>
      </c>
      <c r="B2171" s="169" t="s">
        <v>38</v>
      </c>
      <c r="C2171" s="169" t="s">
        <v>4932</v>
      </c>
      <c r="D2171" s="317">
        <v>45054.0</v>
      </c>
      <c r="E2171" s="157" t="s">
        <v>600</v>
      </c>
      <c r="F2171" s="160">
        <v>2894.35</v>
      </c>
      <c r="G2171" s="160">
        <f>'FACUS$'!$F2171*0.16</f>
        <v>463.096</v>
      </c>
      <c r="H2171" s="160">
        <f t="shared" si="68"/>
        <v>3357.446</v>
      </c>
      <c r="I2171" s="172"/>
      <c r="J2171" s="169"/>
      <c r="K2171" s="172"/>
      <c r="L2171" s="172">
        <f>+'FACUS$'!$H2171-'FACUS$'!$I2171-'FACUS$'!$K2171</f>
        <v>3357.446</v>
      </c>
      <c r="M2171" s="162" t="s">
        <v>642</v>
      </c>
      <c r="N2171" s="337" t="s">
        <v>554</v>
      </c>
      <c r="O2171" s="338">
        <v>45126.0</v>
      </c>
      <c r="P2171" s="164">
        <f t="array" ref="P2171">XLOOKUP('FACUS$'!$B2171,'perfil de pagos'!$A$4:$A$46,'perfil de pagos'!$C$4:$C$46+'FACUS$'!$D2171)</f>
        <v>45084</v>
      </c>
      <c r="Q2171" s="165">
        <f t="shared" si="66"/>
        <v>0</v>
      </c>
      <c r="R2171" s="167"/>
      <c r="S2171" s="167">
        <v>2281.0</v>
      </c>
      <c r="T2171" s="167"/>
      <c r="U2171" s="334" t="s">
        <v>7271</v>
      </c>
      <c r="V2171" s="168">
        <f t="shared" si="3"/>
        <v>3357.446</v>
      </c>
      <c r="W2171" s="168">
        <f t="shared" si="4"/>
        <v>0</v>
      </c>
      <c r="X2171" s="168">
        <f t="shared" si="5"/>
        <v>0</v>
      </c>
      <c r="Y2171" s="168">
        <f t="shared" si="6"/>
        <v>0</v>
      </c>
      <c r="Z2171" s="168">
        <f t="shared" si="7"/>
        <v>0</v>
      </c>
      <c r="AA2171" s="168">
        <f t="shared" si="8"/>
        <v>0</v>
      </c>
      <c r="AB2171" s="168">
        <f t="shared" si="9"/>
        <v>0</v>
      </c>
    </row>
    <row r="2172" ht="15.0" customHeight="1">
      <c r="A2172" s="157" t="s">
        <v>9559</v>
      </c>
      <c r="B2172" s="169" t="s">
        <v>37</v>
      </c>
      <c r="C2172" s="169" t="s">
        <v>4932</v>
      </c>
      <c r="D2172" s="317">
        <v>45054.0</v>
      </c>
      <c r="E2172" s="157" t="s">
        <v>600</v>
      </c>
      <c r="F2172" s="160">
        <v>92801.06</v>
      </c>
      <c r="G2172" s="160">
        <f>'FACUS$'!$F2172*0.16</f>
        <v>14848.1696</v>
      </c>
      <c r="H2172" s="160">
        <f t="shared" si="68"/>
        <v>107649.2296</v>
      </c>
      <c r="I2172" s="172"/>
      <c r="J2172" s="169">
        <f>'NCUS$'!A69</f>
        <v>324</v>
      </c>
      <c r="K2172" s="172">
        <f>'NCUS$'!H69</f>
        <v>115.8144</v>
      </c>
      <c r="L2172" s="172">
        <f>+'FACUS$'!$H2172-'FACUS$'!$I2172-'FACUS$'!$K2172</f>
        <v>107533.4152</v>
      </c>
      <c r="M2172" s="162" t="s">
        <v>116</v>
      </c>
      <c r="N2172" s="337" t="s">
        <v>554</v>
      </c>
      <c r="O2172" s="338">
        <v>45075.0</v>
      </c>
      <c r="P2172" s="164">
        <f t="array" ref="P2172">XLOOKUP('FACUS$'!$B2172,'perfil de pagos'!$A$4:$A$46,'perfil de pagos'!$C$4:$C$46+'FACUS$'!$D2172)</f>
        <v>45064</v>
      </c>
      <c r="Q2172" s="165">
        <f t="shared" si="66"/>
        <v>0</v>
      </c>
      <c r="R2172" s="220">
        <v>17.8252</v>
      </c>
      <c r="S2172" s="167">
        <v>2180.0</v>
      </c>
      <c r="T2172" s="167"/>
      <c r="U2172" s="334" t="s">
        <v>7271</v>
      </c>
      <c r="V2172" s="168">
        <f t="shared" si="3"/>
        <v>107533.4152</v>
      </c>
      <c r="W2172" s="168">
        <f t="shared" si="4"/>
        <v>0</v>
      </c>
      <c r="X2172" s="168">
        <f t="shared" si="5"/>
        <v>0</v>
      </c>
      <c r="Y2172" s="168">
        <f t="shared" si="6"/>
        <v>0</v>
      </c>
      <c r="Z2172" s="168">
        <f t="shared" si="7"/>
        <v>0</v>
      </c>
      <c r="AA2172" s="168">
        <f t="shared" si="8"/>
        <v>0</v>
      </c>
      <c r="AB2172" s="168">
        <f t="shared" si="9"/>
        <v>0</v>
      </c>
    </row>
    <row r="2173" ht="15.0" customHeight="1">
      <c r="A2173" s="157" t="s">
        <v>9560</v>
      </c>
      <c r="B2173" s="169" t="s">
        <v>35</v>
      </c>
      <c r="C2173" s="169" t="s">
        <v>4970</v>
      </c>
      <c r="D2173" s="317">
        <v>45065.0</v>
      </c>
      <c r="E2173" s="157" t="s">
        <v>600</v>
      </c>
      <c r="F2173" s="160">
        <v>14592.99</v>
      </c>
      <c r="G2173" s="160">
        <f>'FACUS$'!$F2173*0.16</f>
        <v>2334.8784</v>
      </c>
      <c r="H2173" s="160">
        <f t="shared" si="68"/>
        <v>16927.8684</v>
      </c>
      <c r="I2173" s="172">
        <v>8463.94</v>
      </c>
      <c r="J2173" s="169"/>
      <c r="K2173" s="172"/>
      <c r="L2173" s="172">
        <f>+'FACUS$'!$H2173-'FACUS$'!$I2173-'FACUS$'!$K2173</f>
        <v>8463.9284</v>
      </c>
      <c r="M2173" s="162" t="s">
        <v>276</v>
      </c>
      <c r="N2173" s="337" t="s">
        <v>554</v>
      </c>
      <c r="O2173" s="338">
        <v>45191.0</v>
      </c>
      <c r="P2173" s="164">
        <f t="array" ref="P2173">XLOOKUP('FACUS$'!$B2173,'perfil de pagos'!$A$4:$A$46,'perfil de pagos'!$C$4:$C$46+'FACUS$'!$D2173)</f>
        <v>45075</v>
      </c>
      <c r="Q2173" s="165">
        <f t="shared" si="66"/>
        <v>0</v>
      </c>
      <c r="R2173" s="247" t="s">
        <v>9561</v>
      </c>
      <c r="S2173" s="167" t="s">
        <v>9562</v>
      </c>
      <c r="T2173" s="167"/>
      <c r="U2173" s="334" t="s">
        <v>7271</v>
      </c>
      <c r="V2173" s="168">
        <f t="shared" si="3"/>
        <v>8463.9284</v>
      </c>
      <c r="W2173" s="168">
        <f t="shared" si="4"/>
        <v>0</v>
      </c>
      <c r="X2173" s="168">
        <f t="shared" si="5"/>
        <v>0</v>
      </c>
      <c r="Y2173" s="168">
        <f t="shared" si="6"/>
        <v>0</v>
      </c>
      <c r="Z2173" s="168">
        <f t="shared" si="7"/>
        <v>0</v>
      </c>
      <c r="AA2173" s="168">
        <f t="shared" si="8"/>
        <v>0</v>
      </c>
      <c r="AB2173" s="168">
        <f t="shared" si="9"/>
        <v>0</v>
      </c>
    </row>
    <row r="2174" ht="15.0" customHeight="1">
      <c r="A2174" s="157" t="s">
        <v>9563</v>
      </c>
      <c r="B2174" s="169" t="s">
        <v>39</v>
      </c>
      <c r="C2174" s="169" t="s">
        <v>4965</v>
      </c>
      <c r="D2174" s="317">
        <v>45065.0</v>
      </c>
      <c r="E2174" s="157" t="s">
        <v>600</v>
      </c>
      <c r="F2174" s="160">
        <v>17210.61</v>
      </c>
      <c r="G2174" s="160">
        <f>'FACUS$'!$F2174*0.16</f>
        <v>2753.6976</v>
      </c>
      <c r="H2174" s="160">
        <f t="shared" si="68"/>
        <v>19964.3076</v>
      </c>
      <c r="I2174" s="172"/>
      <c r="J2174" s="169"/>
      <c r="K2174" s="172"/>
      <c r="L2174" s="172">
        <f>+'FACUS$'!$H2174-'FACUS$'!$I2174-'FACUS$'!$K2174</f>
        <v>19964.3076</v>
      </c>
      <c r="M2174" s="162" t="s">
        <v>570</v>
      </c>
      <c r="N2174" s="337" t="s">
        <v>554</v>
      </c>
      <c r="O2174" s="338">
        <v>45072.0</v>
      </c>
      <c r="P2174" s="164">
        <f t="array" ref="P2174">XLOOKUP('FACUS$'!$B2174,'perfil de pagos'!$A$4:$A$46,'perfil de pagos'!$C$4:$C$46+'FACUS$'!$D2174)</f>
        <v>45075</v>
      </c>
      <c r="Q2174" s="165">
        <f t="shared" si="66"/>
        <v>0</v>
      </c>
      <c r="R2174" s="167"/>
      <c r="S2174" s="167">
        <v>2189.0</v>
      </c>
      <c r="T2174" s="167"/>
      <c r="U2174" s="334" t="s">
        <v>7271</v>
      </c>
      <c r="V2174" s="168">
        <f t="shared" si="3"/>
        <v>19964.3076</v>
      </c>
      <c r="W2174" s="168">
        <f t="shared" si="4"/>
        <v>0</v>
      </c>
      <c r="X2174" s="168">
        <f t="shared" si="5"/>
        <v>0</v>
      </c>
      <c r="Y2174" s="168">
        <f t="shared" si="6"/>
        <v>0</v>
      </c>
      <c r="Z2174" s="168">
        <f t="shared" si="7"/>
        <v>0</v>
      </c>
      <c r="AA2174" s="168">
        <f t="shared" si="8"/>
        <v>0</v>
      </c>
      <c r="AB2174" s="168">
        <f t="shared" si="9"/>
        <v>0</v>
      </c>
    </row>
    <row r="2175" ht="15.0" customHeight="1">
      <c r="A2175" s="157" t="s">
        <v>9564</v>
      </c>
      <c r="B2175" s="169" t="s">
        <v>39</v>
      </c>
      <c r="C2175" s="169" t="s">
        <v>4970</v>
      </c>
      <c r="D2175" s="317">
        <v>45065.0</v>
      </c>
      <c r="E2175" s="157" t="s">
        <v>600</v>
      </c>
      <c r="F2175" s="160">
        <v>22027.2</v>
      </c>
      <c r="G2175" s="160">
        <f>'FACUS$'!$F2175*0.16</f>
        <v>3524.352</v>
      </c>
      <c r="H2175" s="160">
        <f t="shared" si="68"/>
        <v>25551.552</v>
      </c>
      <c r="I2175" s="172"/>
      <c r="J2175" s="169"/>
      <c r="K2175" s="172"/>
      <c r="L2175" s="172">
        <f>+'FACUS$'!$H2175-'FACUS$'!$I2175-'FACUS$'!$K2175</f>
        <v>25551.552</v>
      </c>
      <c r="M2175" s="162" t="s">
        <v>570</v>
      </c>
      <c r="N2175" s="337" t="s">
        <v>554</v>
      </c>
      <c r="O2175" s="338">
        <v>45072.0</v>
      </c>
      <c r="P2175" s="164">
        <f t="array" ref="P2175">XLOOKUP('FACUS$'!$B2175,'perfil de pagos'!$A$4:$A$46,'perfil de pagos'!$C$4:$C$46+'FACUS$'!$D2175)</f>
        <v>45075</v>
      </c>
      <c r="Q2175" s="165">
        <f t="shared" si="66"/>
        <v>0</v>
      </c>
      <c r="R2175" s="167"/>
      <c r="S2175" s="167">
        <v>2189.0</v>
      </c>
      <c r="T2175" s="167"/>
      <c r="U2175" s="334" t="s">
        <v>7271</v>
      </c>
      <c r="V2175" s="168">
        <f t="shared" si="3"/>
        <v>25551.552</v>
      </c>
      <c r="W2175" s="168">
        <f t="shared" si="4"/>
        <v>0</v>
      </c>
      <c r="X2175" s="168">
        <f t="shared" si="5"/>
        <v>0</v>
      </c>
      <c r="Y2175" s="168">
        <f t="shared" si="6"/>
        <v>0</v>
      </c>
      <c r="Z2175" s="168">
        <f t="shared" si="7"/>
        <v>0</v>
      </c>
      <c r="AA2175" s="168">
        <f t="shared" si="8"/>
        <v>0</v>
      </c>
      <c r="AB2175" s="168">
        <f t="shared" si="9"/>
        <v>0</v>
      </c>
    </row>
    <row r="2176" ht="15.0" customHeight="1">
      <c r="A2176" s="157" t="s">
        <v>9565</v>
      </c>
      <c r="B2176" s="169" t="s">
        <v>41</v>
      </c>
      <c r="C2176" s="169" t="s">
        <v>4970</v>
      </c>
      <c r="D2176" s="317">
        <v>45065.0</v>
      </c>
      <c r="E2176" s="157" t="s">
        <v>600</v>
      </c>
      <c r="F2176" s="160">
        <v>27541.05</v>
      </c>
      <c r="G2176" s="160">
        <f>'FACUS$'!$F2176*0.16</f>
        <v>4406.568</v>
      </c>
      <c r="H2176" s="160">
        <f t="shared" si="68"/>
        <v>31947.618</v>
      </c>
      <c r="I2176" s="172"/>
      <c r="J2176" s="169"/>
      <c r="K2176" s="172"/>
      <c r="L2176" s="172">
        <f>+'FACUS$'!$H2176-'FACUS$'!$I2176-'FACUS$'!$K2176</f>
        <v>31947.618</v>
      </c>
      <c r="M2176" s="162" t="s">
        <v>875</v>
      </c>
      <c r="N2176" s="337" t="s">
        <v>554</v>
      </c>
      <c r="O2176" s="338">
        <v>45107.0</v>
      </c>
      <c r="P2176" s="164">
        <f t="array" ref="P2176">XLOOKUP('FACUS$'!$B2176,'perfil de pagos'!$A$4:$A$46,'perfil de pagos'!$C$4:$C$46+'FACUS$'!$D2176)</f>
        <v>45075</v>
      </c>
      <c r="Q2176" s="165">
        <f t="shared" si="66"/>
        <v>0</v>
      </c>
      <c r="R2176" s="167"/>
      <c r="S2176" s="167">
        <v>2259.0</v>
      </c>
      <c r="T2176" s="167"/>
      <c r="U2176" s="334" t="s">
        <v>7271</v>
      </c>
      <c r="V2176" s="168">
        <f t="shared" si="3"/>
        <v>31947.618</v>
      </c>
      <c r="W2176" s="168">
        <f t="shared" si="4"/>
        <v>0</v>
      </c>
      <c r="X2176" s="168">
        <f t="shared" si="5"/>
        <v>0</v>
      </c>
      <c r="Y2176" s="168">
        <f t="shared" si="6"/>
        <v>0</v>
      </c>
      <c r="Z2176" s="168">
        <f t="shared" si="7"/>
        <v>0</v>
      </c>
      <c r="AA2176" s="168">
        <f t="shared" si="8"/>
        <v>0</v>
      </c>
      <c r="AB2176" s="168">
        <f t="shared" si="9"/>
        <v>0</v>
      </c>
    </row>
    <row r="2177" ht="15.0" customHeight="1">
      <c r="A2177" s="157" t="s">
        <v>9566</v>
      </c>
      <c r="B2177" s="169" t="s">
        <v>42</v>
      </c>
      <c r="C2177" s="169" t="s">
        <v>4970</v>
      </c>
      <c r="D2177" s="317">
        <v>45065.0</v>
      </c>
      <c r="E2177" s="157" t="s">
        <v>600</v>
      </c>
      <c r="F2177" s="160">
        <v>6856.54</v>
      </c>
      <c r="G2177" s="160">
        <f>'FACUS$'!$F2177*0.16</f>
        <v>1097.0464</v>
      </c>
      <c r="H2177" s="160">
        <f t="shared" si="68"/>
        <v>7953.5864</v>
      </c>
      <c r="I2177" s="172"/>
      <c r="J2177" s="169"/>
      <c r="K2177" s="172"/>
      <c r="L2177" s="172">
        <f>+'FACUS$'!$H2177-'FACUS$'!$I2177-'FACUS$'!$K2177</f>
        <v>7953.5864</v>
      </c>
      <c r="M2177" s="162" t="s">
        <v>42</v>
      </c>
      <c r="N2177" s="337" t="s">
        <v>554</v>
      </c>
      <c r="O2177" s="338">
        <v>45082.0</v>
      </c>
      <c r="P2177" s="164">
        <f t="array" ref="P2177">XLOOKUP('FACUS$'!$B2177,'perfil de pagos'!$A$4:$A$46,'perfil de pagos'!$C$4:$C$46+'FACUS$'!$D2177)</f>
        <v>45075</v>
      </c>
      <c r="Q2177" s="165">
        <f t="shared" si="66"/>
        <v>0</v>
      </c>
      <c r="R2177" s="167"/>
      <c r="S2177" s="167">
        <v>2199.0</v>
      </c>
      <c r="T2177" s="167"/>
      <c r="U2177" s="334" t="s">
        <v>7271</v>
      </c>
      <c r="V2177" s="168">
        <f t="shared" si="3"/>
        <v>7953.5864</v>
      </c>
      <c r="W2177" s="168">
        <f t="shared" si="4"/>
        <v>0</v>
      </c>
      <c r="X2177" s="168">
        <f t="shared" si="5"/>
        <v>0</v>
      </c>
      <c r="Y2177" s="168">
        <f t="shared" si="6"/>
        <v>0</v>
      </c>
      <c r="Z2177" s="168">
        <f t="shared" si="7"/>
        <v>0</v>
      </c>
      <c r="AA2177" s="168">
        <f t="shared" si="8"/>
        <v>0</v>
      </c>
      <c r="AB2177" s="168">
        <f t="shared" si="9"/>
        <v>0</v>
      </c>
    </row>
    <row r="2178" ht="15.0" customHeight="1">
      <c r="A2178" s="157" t="s">
        <v>9567</v>
      </c>
      <c r="B2178" s="169" t="s">
        <v>43</v>
      </c>
      <c r="C2178" s="169" t="s">
        <v>4970</v>
      </c>
      <c r="D2178" s="317">
        <v>45065.0</v>
      </c>
      <c r="E2178" s="157" t="s">
        <v>600</v>
      </c>
      <c r="F2178" s="160">
        <v>7841.76</v>
      </c>
      <c r="G2178" s="160">
        <f>'FACUS$'!$F2178*0.16</f>
        <v>1254.6816</v>
      </c>
      <c r="H2178" s="160">
        <f t="shared" si="68"/>
        <v>9096.4416</v>
      </c>
      <c r="I2178" s="172"/>
      <c r="J2178" s="169"/>
      <c r="K2178" s="172"/>
      <c r="L2178" s="172">
        <f>+'FACUS$'!$H2178-'FACUS$'!$I2178-'FACUS$'!$K2178</f>
        <v>9096.4416</v>
      </c>
      <c r="M2178" s="162" t="s">
        <v>43</v>
      </c>
      <c r="N2178" s="337" t="s">
        <v>554</v>
      </c>
      <c r="O2178" s="338">
        <v>45132.0</v>
      </c>
      <c r="P2178" s="164">
        <f t="array" ref="P2178">XLOOKUP('FACUS$'!$B2178,'perfil de pagos'!$A$4:$A$46,'perfil de pagos'!$C$4:$C$46+'FACUS$'!$D2178)</f>
        <v>45090</v>
      </c>
      <c r="Q2178" s="165">
        <f t="shared" si="66"/>
        <v>0</v>
      </c>
      <c r="R2178" s="167"/>
      <c r="S2178" s="167">
        <v>2336.0</v>
      </c>
      <c r="T2178" s="167"/>
      <c r="U2178" s="334" t="s">
        <v>7271</v>
      </c>
      <c r="V2178" s="168">
        <f t="shared" si="3"/>
        <v>9096.4416</v>
      </c>
      <c r="W2178" s="168">
        <f t="shared" si="4"/>
        <v>0</v>
      </c>
      <c r="X2178" s="168">
        <f t="shared" si="5"/>
        <v>0</v>
      </c>
      <c r="Y2178" s="168">
        <f t="shared" si="6"/>
        <v>0</v>
      </c>
      <c r="Z2178" s="168">
        <f t="shared" si="7"/>
        <v>0</v>
      </c>
      <c r="AA2178" s="168">
        <f t="shared" si="8"/>
        <v>0</v>
      </c>
      <c r="AB2178" s="168">
        <f t="shared" si="9"/>
        <v>0</v>
      </c>
    </row>
    <row r="2179" ht="15.0" customHeight="1">
      <c r="A2179" s="157" t="s">
        <v>9568</v>
      </c>
      <c r="B2179" s="169" t="s">
        <v>44</v>
      </c>
      <c r="C2179" s="169" t="s">
        <v>4970</v>
      </c>
      <c r="D2179" s="317">
        <v>45065.0</v>
      </c>
      <c r="E2179" s="157" t="s">
        <v>600</v>
      </c>
      <c r="F2179" s="160">
        <v>5958.92</v>
      </c>
      <c r="G2179" s="160">
        <f>'FACUS$'!$F2179*0.16</f>
        <v>953.4272</v>
      </c>
      <c r="H2179" s="160">
        <f t="shared" si="68"/>
        <v>6912.3472</v>
      </c>
      <c r="I2179" s="172"/>
      <c r="J2179" s="169"/>
      <c r="K2179" s="172"/>
      <c r="L2179" s="172">
        <f>+'FACUS$'!$H2179-'FACUS$'!$I2179-'FACUS$'!$K2179</f>
        <v>6912.3472</v>
      </c>
      <c r="M2179" s="162" t="s">
        <v>361</v>
      </c>
      <c r="N2179" s="337" t="s">
        <v>554</v>
      </c>
      <c r="O2179" s="338">
        <v>45082.0</v>
      </c>
      <c r="P2179" s="164">
        <f t="array" ref="P2179">XLOOKUP('FACUS$'!$B2179,'perfil de pagos'!$A$4:$A$46,'perfil de pagos'!$C$4:$C$46+'FACUS$'!$D2179)</f>
        <v>45075</v>
      </c>
      <c r="Q2179" s="165">
        <f t="shared" si="66"/>
        <v>0</v>
      </c>
      <c r="R2179" s="167"/>
      <c r="S2179" s="167">
        <v>2000.0</v>
      </c>
      <c r="T2179" s="167"/>
      <c r="U2179" s="334" t="s">
        <v>7271</v>
      </c>
      <c r="V2179" s="168">
        <f t="shared" si="3"/>
        <v>6912.3472</v>
      </c>
      <c r="W2179" s="168">
        <f t="shared" si="4"/>
        <v>0</v>
      </c>
      <c r="X2179" s="168">
        <f t="shared" si="5"/>
        <v>0</v>
      </c>
      <c r="Y2179" s="168">
        <f t="shared" si="6"/>
        <v>0</v>
      </c>
      <c r="Z2179" s="168">
        <f t="shared" si="7"/>
        <v>0</v>
      </c>
      <c r="AA2179" s="168">
        <f t="shared" si="8"/>
        <v>0</v>
      </c>
      <c r="AB2179" s="168">
        <f t="shared" si="9"/>
        <v>0</v>
      </c>
    </row>
    <row r="2180" ht="15.0" customHeight="1">
      <c r="A2180" s="157" t="s">
        <v>9569</v>
      </c>
      <c r="B2180" s="169" t="s">
        <v>15</v>
      </c>
      <c r="C2180" s="169" t="s">
        <v>4970</v>
      </c>
      <c r="D2180" s="317">
        <v>45065.0</v>
      </c>
      <c r="E2180" s="157" t="s">
        <v>600</v>
      </c>
      <c r="F2180" s="160">
        <v>20702.39</v>
      </c>
      <c r="G2180" s="160">
        <f>'FACUS$'!$F2180*0.16</f>
        <v>3312.3824</v>
      </c>
      <c r="H2180" s="160">
        <f t="shared" si="68"/>
        <v>24014.7724</v>
      </c>
      <c r="I2180" s="172"/>
      <c r="J2180" s="169">
        <f>+'NCUS$'!A70</f>
        <v>328</v>
      </c>
      <c r="K2180" s="172">
        <f>+'NCUS$'!H70</f>
        <v>968.774</v>
      </c>
      <c r="L2180" s="172">
        <f>+'FACUS$'!$H2180-'FACUS$'!$I2180-'FACUS$'!$K2180</f>
        <v>23045.9984</v>
      </c>
      <c r="M2180" s="162" t="s">
        <v>443</v>
      </c>
      <c r="N2180" s="337" t="s">
        <v>554</v>
      </c>
      <c r="O2180" s="338">
        <v>45090.0</v>
      </c>
      <c r="P2180" s="164">
        <f t="array" ref="P2180">XLOOKUP('FACUS$'!$B2180,'perfil de pagos'!$A$4:$A$46,'perfil de pagos'!$C$4:$C$46+'FACUS$'!$D2180)</f>
        <v>45075</v>
      </c>
      <c r="Q2180" s="165">
        <f t="shared" si="66"/>
        <v>0</v>
      </c>
      <c r="R2180" s="167"/>
      <c r="S2180" s="167">
        <v>2220.0</v>
      </c>
      <c r="T2180" s="167"/>
      <c r="U2180" s="334" t="s">
        <v>7271</v>
      </c>
      <c r="V2180" s="168">
        <f t="shared" si="3"/>
        <v>23045.9984</v>
      </c>
      <c r="W2180" s="168">
        <f t="shared" si="4"/>
        <v>0</v>
      </c>
      <c r="X2180" s="168">
        <f t="shared" si="5"/>
        <v>0</v>
      </c>
      <c r="Y2180" s="168">
        <f t="shared" si="6"/>
        <v>0</v>
      </c>
      <c r="Z2180" s="168">
        <f t="shared" si="7"/>
        <v>0</v>
      </c>
      <c r="AA2180" s="168">
        <f t="shared" si="8"/>
        <v>0</v>
      </c>
      <c r="AB2180" s="168">
        <f t="shared" si="9"/>
        <v>0</v>
      </c>
    </row>
    <row r="2181" ht="15.0" customHeight="1">
      <c r="A2181" s="157" t="s">
        <v>9570</v>
      </c>
      <c r="B2181" s="169" t="s">
        <v>38</v>
      </c>
      <c r="C2181" s="169" t="s">
        <v>4970</v>
      </c>
      <c r="D2181" s="317">
        <v>45065.0</v>
      </c>
      <c r="E2181" s="157" t="s">
        <v>600</v>
      </c>
      <c r="F2181" s="160">
        <v>3468.78</v>
      </c>
      <c r="G2181" s="160">
        <f>'FACUS$'!$F2181*0.16</f>
        <v>555.0048</v>
      </c>
      <c r="H2181" s="160">
        <f t="shared" si="68"/>
        <v>4023.7848</v>
      </c>
      <c r="I2181" s="172"/>
      <c r="J2181" s="169"/>
      <c r="K2181" s="172"/>
      <c r="L2181" s="172">
        <f>+'FACUS$'!$H2181-'FACUS$'!$I2181-'FACUS$'!$K2181</f>
        <v>4023.7848</v>
      </c>
      <c r="M2181" s="162" t="s">
        <v>4654</v>
      </c>
      <c r="N2181" s="337" t="s">
        <v>554</v>
      </c>
      <c r="O2181" s="338">
        <v>45126.0</v>
      </c>
      <c r="P2181" s="164">
        <f t="array" ref="P2181">XLOOKUP('FACUS$'!$B2181,'perfil de pagos'!$A$4:$A$46,'perfil de pagos'!$C$4:$C$46+'FACUS$'!$D2181)</f>
        <v>45095</v>
      </c>
      <c r="Q2181" s="165">
        <f t="shared" si="66"/>
        <v>0</v>
      </c>
      <c r="R2181" s="167"/>
      <c r="S2181" s="167">
        <v>2282.0</v>
      </c>
      <c r="T2181" s="167"/>
      <c r="U2181" s="334" t="s">
        <v>7271</v>
      </c>
      <c r="V2181" s="168">
        <f t="shared" si="3"/>
        <v>4023.7848</v>
      </c>
      <c r="W2181" s="168">
        <f t="shared" si="4"/>
        <v>0</v>
      </c>
      <c r="X2181" s="168">
        <f t="shared" si="5"/>
        <v>0</v>
      </c>
      <c r="Y2181" s="168">
        <f t="shared" si="6"/>
        <v>0</v>
      </c>
      <c r="Z2181" s="168">
        <f t="shared" si="7"/>
        <v>0</v>
      </c>
      <c r="AA2181" s="168">
        <f t="shared" si="8"/>
        <v>0</v>
      </c>
      <c r="AB2181" s="168">
        <f t="shared" si="9"/>
        <v>0</v>
      </c>
    </row>
    <row r="2182" ht="15.0" customHeight="1">
      <c r="A2182" s="157" t="s">
        <v>9571</v>
      </c>
      <c r="B2182" s="169" t="s">
        <v>18</v>
      </c>
      <c r="C2182" s="169" t="s">
        <v>4970</v>
      </c>
      <c r="D2182" s="317">
        <v>45069.0</v>
      </c>
      <c r="E2182" s="157" t="s">
        <v>600</v>
      </c>
      <c r="F2182" s="160">
        <v>5092.71</v>
      </c>
      <c r="G2182" s="160">
        <f>'FACUS$'!$F2182*0.16</f>
        <v>814.8336</v>
      </c>
      <c r="H2182" s="160">
        <f t="shared" si="68"/>
        <v>5907.5436</v>
      </c>
      <c r="I2182" s="172"/>
      <c r="J2182" s="169"/>
      <c r="K2182" s="172"/>
      <c r="L2182" s="172">
        <f>+'FACUS$'!$H2182-'FACUS$'!$I2182-'FACUS$'!$K2182</f>
        <v>5907.5436</v>
      </c>
      <c r="M2182" s="162" t="s">
        <v>586</v>
      </c>
      <c r="N2182" s="337" t="s">
        <v>554</v>
      </c>
      <c r="O2182" s="338">
        <v>45091.0</v>
      </c>
      <c r="P2182" s="164">
        <f t="array" ref="P2182">XLOOKUP('FACUS$'!$B2182,'perfil de pagos'!$A$4:$A$46,'perfil de pagos'!$C$4:$C$46+'FACUS$'!$D2182)</f>
        <v>45079</v>
      </c>
      <c r="Q2182" s="165">
        <f t="shared" si="66"/>
        <v>0</v>
      </c>
      <c r="R2182" s="167"/>
      <c r="S2182" s="167">
        <v>2223.0</v>
      </c>
      <c r="T2182" s="167"/>
      <c r="U2182" s="334" t="s">
        <v>7271</v>
      </c>
      <c r="V2182" s="168">
        <f t="shared" si="3"/>
        <v>5907.5436</v>
      </c>
      <c r="W2182" s="168">
        <f t="shared" si="4"/>
        <v>0</v>
      </c>
      <c r="X2182" s="168">
        <f t="shared" si="5"/>
        <v>0</v>
      </c>
      <c r="Y2182" s="168">
        <f t="shared" si="6"/>
        <v>0</v>
      </c>
      <c r="Z2182" s="168">
        <f t="shared" si="7"/>
        <v>0</v>
      </c>
      <c r="AA2182" s="168">
        <f t="shared" si="8"/>
        <v>0</v>
      </c>
      <c r="AB2182" s="168">
        <f t="shared" si="9"/>
        <v>0</v>
      </c>
    </row>
    <row r="2183" ht="15.0" customHeight="1">
      <c r="A2183" s="157" t="s">
        <v>9572</v>
      </c>
      <c r="B2183" s="169" t="s">
        <v>20</v>
      </c>
      <c r="C2183" s="169" t="s">
        <v>4970</v>
      </c>
      <c r="D2183" s="317">
        <v>45069.0</v>
      </c>
      <c r="E2183" s="157" t="s">
        <v>600</v>
      </c>
      <c r="F2183" s="160">
        <v>5918.06</v>
      </c>
      <c r="G2183" s="160">
        <f>'FACUS$'!$F2183*0.16</f>
        <v>946.8896</v>
      </c>
      <c r="H2183" s="160">
        <f t="shared" si="68"/>
        <v>6864.9496</v>
      </c>
      <c r="I2183" s="172"/>
      <c r="J2183" s="169"/>
      <c r="K2183" s="172"/>
      <c r="L2183" s="172">
        <f>+'FACUS$'!$H2183-'FACUS$'!$I2183-'FACUS$'!$K2183</f>
        <v>6864.9496</v>
      </c>
      <c r="M2183" s="162" t="s">
        <v>732</v>
      </c>
      <c r="N2183" s="337" t="s">
        <v>554</v>
      </c>
      <c r="O2183" s="338">
        <v>45091.0</v>
      </c>
      <c r="P2183" s="164">
        <f t="array" ref="P2183">XLOOKUP('FACUS$'!$B2183,'perfil de pagos'!$A$4:$A$46,'perfil de pagos'!$C$4:$C$46+'FACUS$'!$D2183)</f>
        <v>45079</v>
      </c>
      <c r="Q2183" s="165">
        <f t="shared" si="66"/>
        <v>0</v>
      </c>
      <c r="R2183" s="167"/>
      <c r="S2183" s="167">
        <v>2223.0</v>
      </c>
      <c r="T2183" s="167"/>
      <c r="U2183" s="334" t="s">
        <v>7271</v>
      </c>
      <c r="V2183" s="168">
        <f t="shared" si="3"/>
        <v>6864.9496</v>
      </c>
      <c r="W2183" s="168">
        <f t="shared" si="4"/>
        <v>0</v>
      </c>
      <c r="X2183" s="168">
        <f t="shared" si="5"/>
        <v>0</v>
      </c>
      <c r="Y2183" s="168">
        <f t="shared" si="6"/>
        <v>0</v>
      </c>
      <c r="Z2183" s="168">
        <f t="shared" si="7"/>
        <v>0</v>
      </c>
      <c r="AA2183" s="168">
        <f t="shared" si="8"/>
        <v>0</v>
      </c>
      <c r="AB2183" s="168">
        <f t="shared" si="9"/>
        <v>0</v>
      </c>
    </row>
    <row r="2184" ht="15.0" customHeight="1">
      <c r="A2184" s="157" t="s">
        <v>9573</v>
      </c>
      <c r="B2184" s="169" t="s">
        <v>22</v>
      </c>
      <c r="C2184" s="169" t="s">
        <v>4970</v>
      </c>
      <c r="D2184" s="317">
        <v>45069.0</v>
      </c>
      <c r="E2184" s="157" t="s">
        <v>600</v>
      </c>
      <c r="F2184" s="160">
        <v>11004.57</v>
      </c>
      <c r="G2184" s="160">
        <f>'FACUS$'!$F2184*0.16</f>
        <v>1760.7312</v>
      </c>
      <c r="H2184" s="160">
        <f t="shared" si="68"/>
        <v>12765.3012</v>
      </c>
      <c r="I2184" s="172">
        <v>11473.365729653528</v>
      </c>
      <c r="J2184" s="169"/>
      <c r="K2184" s="172"/>
      <c r="L2184" s="172">
        <f>+'FACUS$'!$H2184-'FACUS$'!$I2184-'FACUS$'!$K2184</f>
        <v>1291.93547</v>
      </c>
      <c r="M2184" s="162" t="s">
        <v>220</v>
      </c>
      <c r="N2184" s="337" t="s">
        <v>554</v>
      </c>
      <c r="O2184" s="338">
        <v>45133.0</v>
      </c>
      <c r="P2184" s="164">
        <f t="array" ref="P2184">XLOOKUP('FACUS$'!$B2184,'perfil de pagos'!$A$4:$A$46,'perfil de pagos'!$C$4:$C$46+'FACUS$'!$D2184)</f>
        <v>45079</v>
      </c>
      <c r="Q2184" s="165">
        <f t="shared" si="66"/>
        <v>0</v>
      </c>
      <c r="R2184" s="220" t="s">
        <v>9574</v>
      </c>
      <c r="S2184" s="167" t="s">
        <v>9575</v>
      </c>
      <c r="T2184" s="167"/>
      <c r="U2184" s="334" t="s">
        <v>7271</v>
      </c>
      <c r="V2184" s="168">
        <f t="shared" si="3"/>
        <v>1291.93547</v>
      </c>
      <c r="W2184" s="168">
        <f t="shared" si="4"/>
        <v>0</v>
      </c>
      <c r="X2184" s="168">
        <f t="shared" si="5"/>
        <v>0</v>
      </c>
      <c r="Y2184" s="168">
        <f t="shared" si="6"/>
        <v>0</v>
      </c>
      <c r="Z2184" s="168">
        <f t="shared" si="7"/>
        <v>0</v>
      </c>
      <c r="AA2184" s="168">
        <f t="shared" si="8"/>
        <v>0</v>
      </c>
      <c r="AB2184" s="168">
        <f t="shared" si="9"/>
        <v>0</v>
      </c>
    </row>
    <row r="2185" ht="15.0" customHeight="1">
      <c r="A2185" s="157" t="s">
        <v>9576</v>
      </c>
      <c r="B2185" s="169" t="s">
        <v>25</v>
      </c>
      <c r="C2185" s="169" t="s">
        <v>4970</v>
      </c>
      <c r="D2185" s="317">
        <v>45069.0</v>
      </c>
      <c r="E2185" s="157" t="s">
        <v>600</v>
      </c>
      <c r="F2185" s="160">
        <v>4463.21</v>
      </c>
      <c r="G2185" s="160">
        <f>'FACUS$'!$F2185*0.16</f>
        <v>714.1136</v>
      </c>
      <c r="H2185" s="160">
        <f t="shared" si="68"/>
        <v>5177.3236</v>
      </c>
      <c r="I2185" s="172"/>
      <c r="J2185" s="169"/>
      <c r="K2185" s="172"/>
      <c r="L2185" s="172">
        <f>+'FACUS$'!$H2185-'FACUS$'!$I2185-'FACUS$'!$K2185</f>
        <v>5177.3236</v>
      </c>
      <c r="M2185" s="162" t="s">
        <v>4388</v>
      </c>
      <c r="N2185" s="337" t="s">
        <v>554</v>
      </c>
      <c r="O2185" s="338">
        <v>45154.0</v>
      </c>
      <c r="P2185" s="164">
        <f t="array" ref="P2185">XLOOKUP('FACUS$'!$B2185,'perfil de pagos'!$A$4:$A$46,'perfil de pagos'!$C$4:$C$46+'FACUS$'!$D2185)</f>
        <v>45079</v>
      </c>
      <c r="Q2185" s="165">
        <f t="shared" si="66"/>
        <v>0</v>
      </c>
      <c r="R2185" s="167"/>
      <c r="S2185" s="167">
        <v>2354.0</v>
      </c>
      <c r="T2185" s="167"/>
      <c r="U2185" s="334" t="s">
        <v>7271</v>
      </c>
      <c r="V2185" s="168">
        <f t="shared" si="3"/>
        <v>5177.3236</v>
      </c>
      <c r="W2185" s="168">
        <f t="shared" si="4"/>
        <v>0</v>
      </c>
      <c r="X2185" s="168">
        <f t="shared" si="5"/>
        <v>0</v>
      </c>
      <c r="Y2185" s="168">
        <f t="shared" si="6"/>
        <v>0</v>
      </c>
      <c r="Z2185" s="168">
        <f t="shared" si="7"/>
        <v>0</v>
      </c>
      <c r="AA2185" s="168">
        <f t="shared" si="8"/>
        <v>0</v>
      </c>
      <c r="AB2185" s="168">
        <f t="shared" si="9"/>
        <v>0</v>
      </c>
    </row>
    <row r="2186" ht="15.0" customHeight="1">
      <c r="A2186" s="157" t="s">
        <v>9577</v>
      </c>
      <c r="B2186" s="169" t="s">
        <v>37</v>
      </c>
      <c r="C2186" s="169" t="s">
        <v>4970</v>
      </c>
      <c r="D2186" s="317">
        <v>45069.0</v>
      </c>
      <c r="E2186" s="157" t="s">
        <v>600</v>
      </c>
      <c r="F2186" s="160">
        <v>84474.07</v>
      </c>
      <c r="G2186" s="160">
        <f>'FACUS$'!$F2186*0.16</f>
        <v>13515.8512</v>
      </c>
      <c r="H2186" s="160">
        <f t="shared" si="68"/>
        <v>97989.9212</v>
      </c>
      <c r="I2186" s="172"/>
      <c r="J2186" s="169"/>
      <c r="K2186" s="172"/>
      <c r="L2186" s="172">
        <f>+'FACUS$'!$H2186-'FACUS$'!$I2186-'FACUS$'!$K2186</f>
        <v>97989.9212</v>
      </c>
      <c r="M2186" s="162" t="s">
        <v>116</v>
      </c>
      <c r="N2186" s="337" t="s">
        <v>554</v>
      </c>
      <c r="O2186" s="338">
        <v>45082.0</v>
      </c>
      <c r="P2186" s="164">
        <f t="array" ref="P2186">XLOOKUP('FACUS$'!$B2186,'perfil de pagos'!$A$4:$A$46,'perfil de pagos'!$C$4:$C$46+'FACUS$'!$D2186)</f>
        <v>45079</v>
      </c>
      <c r="Q2186" s="165">
        <f t="shared" si="66"/>
        <v>0</v>
      </c>
      <c r="R2186" s="400" t="s">
        <v>9578</v>
      </c>
      <c r="S2186" s="167">
        <v>2195.0</v>
      </c>
      <c r="T2186" s="167"/>
      <c r="U2186" s="334" t="s">
        <v>7271</v>
      </c>
      <c r="V2186" s="168">
        <f t="shared" si="3"/>
        <v>97989.9212</v>
      </c>
      <c r="W2186" s="168">
        <f t="shared" si="4"/>
        <v>0</v>
      </c>
      <c r="X2186" s="168">
        <f t="shared" si="5"/>
        <v>0</v>
      </c>
      <c r="Y2186" s="168">
        <f t="shared" si="6"/>
        <v>0</v>
      </c>
      <c r="Z2186" s="168">
        <f t="shared" si="7"/>
        <v>0</v>
      </c>
      <c r="AA2186" s="168">
        <f t="shared" si="8"/>
        <v>0</v>
      </c>
      <c r="AB2186" s="168">
        <f t="shared" si="9"/>
        <v>0</v>
      </c>
    </row>
    <row r="2187" ht="15.0" customHeight="1">
      <c r="A2187" s="157" t="s">
        <v>9579</v>
      </c>
      <c r="B2187" s="169" t="s">
        <v>38</v>
      </c>
      <c r="C2187" s="169" t="s">
        <v>4970</v>
      </c>
      <c r="D2187" s="317">
        <v>45069.0</v>
      </c>
      <c r="E2187" s="157" t="s">
        <v>600</v>
      </c>
      <c r="F2187" s="160">
        <v>2562.71</v>
      </c>
      <c r="G2187" s="160">
        <f>'FACUS$'!$F2187*0.16</f>
        <v>410.0336</v>
      </c>
      <c r="H2187" s="160">
        <f t="shared" si="68"/>
        <v>2972.7436</v>
      </c>
      <c r="I2187" s="172"/>
      <c r="J2187" s="169"/>
      <c r="K2187" s="172"/>
      <c r="L2187" s="172">
        <f>+'FACUS$'!$H2187-'FACUS$'!$I2187-'FACUS$'!$K2187</f>
        <v>2972.7436</v>
      </c>
      <c r="M2187" s="162" t="s">
        <v>642</v>
      </c>
      <c r="N2187" s="337" t="s">
        <v>554</v>
      </c>
      <c r="O2187" s="338">
        <v>45126.0</v>
      </c>
      <c r="P2187" s="164">
        <f t="array" ref="P2187">XLOOKUP('FACUS$'!$B2187,'perfil de pagos'!$A$4:$A$46,'perfil de pagos'!$C$4:$C$46+'FACUS$'!$D2187)</f>
        <v>45099</v>
      </c>
      <c r="Q2187" s="165">
        <f t="shared" si="66"/>
        <v>0</v>
      </c>
      <c r="R2187" s="167"/>
      <c r="S2187" s="167">
        <v>2282.0</v>
      </c>
      <c r="T2187" s="167"/>
      <c r="U2187" s="334" t="s">
        <v>7271</v>
      </c>
      <c r="V2187" s="168">
        <f t="shared" si="3"/>
        <v>2972.7436</v>
      </c>
      <c r="W2187" s="168">
        <f t="shared" si="4"/>
        <v>0</v>
      </c>
      <c r="X2187" s="168">
        <f t="shared" si="5"/>
        <v>0</v>
      </c>
      <c r="Y2187" s="168">
        <f t="shared" si="6"/>
        <v>0</v>
      </c>
      <c r="Z2187" s="168">
        <f t="shared" si="7"/>
        <v>0</v>
      </c>
      <c r="AA2187" s="168">
        <f t="shared" si="8"/>
        <v>0</v>
      </c>
      <c r="AB2187" s="168">
        <f t="shared" si="9"/>
        <v>0</v>
      </c>
    </row>
    <row r="2188" ht="15.0" customHeight="1">
      <c r="A2188" s="157" t="s">
        <v>9580</v>
      </c>
      <c r="B2188" s="169" t="s">
        <v>38</v>
      </c>
      <c r="C2188" s="169" t="s">
        <v>4970</v>
      </c>
      <c r="D2188" s="317">
        <v>45069.0</v>
      </c>
      <c r="E2188" s="157" t="s">
        <v>600</v>
      </c>
      <c r="F2188" s="160">
        <v>6327.38</v>
      </c>
      <c r="G2188" s="160">
        <f>'FACUS$'!$F2188*0.16</f>
        <v>1012.3808</v>
      </c>
      <c r="H2188" s="160">
        <f t="shared" si="68"/>
        <v>7339.7608</v>
      </c>
      <c r="I2188" s="172"/>
      <c r="J2188" s="169"/>
      <c r="K2188" s="172"/>
      <c r="L2188" s="172">
        <f>+'FACUS$'!$H2188-'FACUS$'!$I2188-'FACUS$'!$K2188</f>
        <v>7339.7608</v>
      </c>
      <c r="M2188" s="162" t="s">
        <v>145</v>
      </c>
      <c r="N2188" s="337" t="s">
        <v>554</v>
      </c>
      <c r="O2188" s="338">
        <v>45126.0</v>
      </c>
      <c r="P2188" s="164">
        <f t="array" ref="P2188">XLOOKUP('FACUS$'!$B2188,'perfil de pagos'!$A$4:$A$46,'perfil de pagos'!$C$4:$C$46+'FACUS$'!$D2188)</f>
        <v>45099</v>
      </c>
      <c r="Q2188" s="165">
        <f t="shared" si="66"/>
        <v>0</v>
      </c>
      <c r="R2188" s="167"/>
      <c r="S2188" s="167">
        <v>2282.0</v>
      </c>
      <c r="T2188" s="167"/>
      <c r="U2188" s="334" t="s">
        <v>7271</v>
      </c>
      <c r="V2188" s="168">
        <f t="shared" si="3"/>
        <v>7339.7608</v>
      </c>
      <c r="W2188" s="168">
        <f t="shared" si="4"/>
        <v>0</v>
      </c>
      <c r="X2188" s="168">
        <f t="shared" si="5"/>
        <v>0</v>
      </c>
      <c r="Y2188" s="168">
        <f t="shared" si="6"/>
        <v>0</v>
      </c>
      <c r="Z2188" s="168">
        <f t="shared" si="7"/>
        <v>0</v>
      </c>
      <c r="AA2188" s="168">
        <f t="shared" si="8"/>
        <v>0</v>
      </c>
      <c r="AB2188" s="168">
        <f t="shared" si="9"/>
        <v>0</v>
      </c>
    </row>
    <row r="2189" ht="15.0" customHeight="1">
      <c r="A2189" s="157" t="s">
        <v>9581</v>
      </c>
      <c r="B2189" s="169" t="s">
        <v>15</v>
      </c>
      <c r="C2189" s="169" t="s">
        <v>5018</v>
      </c>
      <c r="D2189" s="317">
        <v>45082.0</v>
      </c>
      <c r="E2189" s="157" t="s">
        <v>600</v>
      </c>
      <c r="F2189" s="160">
        <v>16882.44</v>
      </c>
      <c r="G2189" s="160">
        <f>'FACUS$'!$F2189*0.16</f>
        <v>2701.1904</v>
      </c>
      <c r="H2189" s="160">
        <f t="shared" si="68"/>
        <v>19583.6304</v>
      </c>
      <c r="I2189" s="172"/>
      <c r="J2189" s="169"/>
      <c r="K2189" s="172"/>
      <c r="L2189" s="172">
        <f>+'FACUS$'!$H2189-'FACUS$'!$I2189-'FACUS$'!$K2189</f>
        <v>19583.6304</v>
      </c>
      <c r="M2189" s="162" t="s">
        <v>443</v>
      </c>
      <c r="N2189" s="337" t="s">
        <v>554</v>
      </c>
      <c r="O2189" s="338">
        <v>45104.0</v>
      </c>
      <c r="P2189" s="164">
        <f t="array" ref="P2189">XLOOKUP('FACUS$'!$B2189,'perfil de pagos'!$A$4:$A$46,'perfil de pagos'!$C$4:$C$46+'FACUS$'!$D2189)</f>
        <v>45092</v>
      </c>
      <c r="Q2189" s="165">
        <f t="shared" si="66"/>
        <v>0</v>
      </c>
      <c r="R2189" s="167"/>
      <c r="S2189" s="167">
        <v>2244.0</v>
      </c>
      <c r="T2189" s="167"/>
      <c r="U2189" s="334" t="s">
        <v>7271</v>
      </c>
      <c r="V2189" s="168">
        <f t="shared" si="3"/>
        <v>19583.6304</v>
      </c>
      <c r="W2189" s="168">
        <f t="shared" si="4"/>
        <v>0</v>
      </c>
      <c r="X2189" s="168">
        <f t="shared" si="5"/>
        <v>0</v>
      </c>
      <c r="Y2189" s="168">
        <f t="shared" si="6"/>
        <v>0</v>
      </c>
      <c r="Z2189" s="168">
        <f t="shared" si="7"/>
        <v>0</v>
      </c>
      <c r="AA2189" s="168">
        <f t="shared" si="8"/>
        <v>0</v>
      </c>
      <c r="AB2189" s="168">
        <f t="shared" si="9"/>
        <v>0</v>
      </c>
    </row>
    <row r="2190" ht="15.0" customHeight="1">
      <c r="A2190" s="157" t="s">
        <v>9582</v>
      </c>
      <c r="B2190" s="169" t="s">
        <v>35</v>
      </c>
      <c r="C2190" s="169" t="s">
        <v>5018</v>
      </c>
      <c r="D2190" s="317">
        <v>45082.0</v>
      </c>
      <c r="E2190" s="157" t="s">
        <v>600</v>
      </c>
      <c r="F2190" s="160">
        <v>16655.82</v>
      </c>
      <c r="G2190" s="160">
        <f>'FACUS$'!$F2190*0.16</f>
        <v>2664.9312</v>
      </c>
      <c r="H2190" s="160">
        <f t="shared" si="68"/>
        <v>19320.7512</v>
      </c>
      <c r="I2190" s="172"/>
      <c r="J2190" s="169"/>
      <c r="K2190" s="172"/>
      <c r="L2190" s="172">
        <f>+'FACUS$'!$H2190-'FACUS$'!$I2190-'FACUS$'!$K2190</f>
        <v>19320.7512</v>
      </c>
      <c r="M2190" s="162" t="s">
        <v>276</v>
      </c>
      <c r="N2190" s="337" t="s">
        <v>554</v>
      </c>
      <c r="O2190" s="338">
        <v>45219.0</v>
      </c>
      <c r="P2190" s="164">
        <f t="array" ref="P2190">XLOOKUP('FACUS$'!$B2190,'perfil de pagos'!$A$4:$A$46,'perfil de pagos'!$C$4:$C$46+'FACUS$'!$D2190)</f>
        <v>45092</v>
      </c>
      <c r="Q2190" s="165">
        <f t="shared" si="66"/>
        <v>0</v>
      </c>
      <c r="R2190" s="220" t="s">
        <v>9583</v>
      </c>
      <c r="S2190" s="167">
        <v>2521.0</v>
      </c>
      <c r="T2190" s="167"/>
      <c r="U2190" s="334" t="s">
        <v>7271</v>
      </c>
      <c r="V2190" s="168">
        <f t="shared" si="3"/>
        <v>19320.7512</v>
      </c>
      <c r="W2190" s="168">
        <f t="shared" si="4"/>
        <v>0</v>
      </c>
      <c r="X2190" s="168">
        <f t="shared" si="5"/>
        <v>0</v>
      </c>
      <c r="Y2190" s="168">
        <f t="shared" si="6"/>
        <v>0</v>
      </c>
      <c r="Z2190" s="168">
        <f t="shared" si="7"/>
        <v>0</v>
      </c>
      <c r="AA2190" s="168">
        <f t="shared" si="8"/>
        <v>0</v>
      </c>
      <c r="AB2190" s="168">
        <f t="shared" si="9"/>
        <v>0</v>
      </c>
    </row>
    <row r="2191" ht="15.0" customHeight="1">
      <c r="A2191" s="157" t="s">
        <v>9584</v>
      </c>
      <c r="B2191" s="169" t="s">
        <v>38</v>
      </c>
      <c r="C2191" s="169" t="s">
        <v>5018</v>
      </c>
      <c r="D2191" s="317">
        <v>45082.0</v>
      </c>
      <c r="E2191" s="157" t="s">
        <v>600</v>
      </c>
      <c r="F2191" s="160">
        <v>4961.2</v>
      </c>
      <c r="G2191" s="160">
        <f>'FACUS$'!$F2191*0.16</f>
        <v>793.792</v>
      </c>
      <c r="H2191" s="160">
        <f t="shared" si="68"/>
        <v>5754.992</v>
      </c>
      <c r="I2191" s="172"/>
      <c r="J2191" s="169"/>
      <c r="K2191" s="172"/>
      <c r="L2191" s="172">
        <f>+'FACUS$'!$H2191-'FACUS$'!$I2191-'FACUS$'!$K2191</f>
        <v>5754.992</v>
      </c>
      <c r="M2191" s="162" t="s">
        <v>4654</v>
      </c>
      <c r="N2191" s="337" t="s">
        <v>554</v>
      </c>
      <c r="O2191" s="338">
        <v>45141.0</v>
      </c>
      <c r="P2191" s="164">
        <f t="array" ref="P2191">XLOOKUP('FACUS$'!$B2191,'perfil de pagos'!$A$4:$A$46,'perfil de pagos'!$C$4:$C$46+'FACUS$'!$D2191)</f>
        <v>45112</v>
      </c>
      <c r="Q2191" s="165">
        <f t="shared" si="66"/>
        <v>0</v>
      </c>
      <c r="R2191" s="167"/>
      <c r="S2191" s="167"/>
      <c r="T2191" s="167"/>
      <c r="U2191" s="334" t="s">
        <v>7271</v>
      </c>
      <c r="V2191" s="168">
        <f t="shared" si="3"/>
        <v>5754.992</v>
      </c>
      <c r="W2191" s="168">
        <f t="shared" si="4"/>
        <v>0</v>
      </c>
      <c r="X2191" s="168">
        <f t="shared" si="5"/>
        <v>0</v>
      </c>
      <c r="Y2191" s="168">
        <f t="shared" si="6"/>
        <v>0</v>
      </c>
      <c r="Z2191" s="168">
        <f t="shared" si="7"/>
        <v>0</v>
      </c>
      <c r="AA2191" s="168">
        <f t="shared" si="8"/>
        <v>0</v>
      </c>
      <c r="AB2191" s="168">
        <f t="shared" si="9"/>
        <v>0</v>
      </c>
    </row>
    <row r="2192" ht="15.0" customHeight="1">
      <c r="A2192" s="157" t="s">
        <v>9585</v>
      </c>
      <c r="B2192" s="169" t="s">
        <v>146</v>
      </c>
      <c r="C2192" s="169"/>
      <c r="D2192" s="317"/>
      <c r="E2192" s="157"/>
      <c r="F2192" s="160"/>
      <c r="G2192" s="160">
        <f>'FACUS$'!$F2192*0.16</f>
        <v>0</v>
      </c>
      <c r="H2192" s="160">
        <f t="shared" si="68"/>
        <v>0</v>
      </c>
      <c r="I2192" s="172"/>
      <c r="J2192" s="169"/>
      <c r="K2192" s="172"/>
      <c r="L2192" s="172">
        <f>+'FACUS$'!$H2192-'FACUS$'!$I2192-'FACUS$'!$K2192</f>
        <v>0</v>
      </c>
      <c r="M2192" s="162"/>
      <c r="N2192" s="337"/>
      <c r="O2192" s="338"/>
      <c r="P2192" s="164" t="str">
        <f t="array" ref="P2192">XLOOKUP('FACUS$'!$B2192,'perfil de pagos'!$A$4:$A$46,'perfil de pagos'!$C$4:$C$46+'FACUS$'!$D2192)</f>
        <v>#N/A</v>
      </c>
      <c r="Q2192" s="165" t="str">
        <f t="shared" si="66"/>
        <v>#N/A</v>
      </c>
      <c r="R2192" s="167"/>
      <c r="S2192" s="167"/>
      <c r="T2192" s="167"/>
      <c r="U2192" s="334" t="s">
        <v>7271</v>
      </c>
      <c r="V2192" s="168" t="str">
        <f t="shared" si="3"/>
        <v>#N/A</v>
      </c>
      <c r="W2192" s="168" t="str">
        <f t="shared" si="4"/>
        <v>#N/A</v>
      </c>
      <c r="X2192" s="168" t="str">
        <f t="shared" si="5"/>
        <v>#N/A</v>
      </c>
      <c r="Y2192" s="168" t="str">
        <f t="shared" si="6"/>
        <v>#N/A</v>
      </c>
      <c r="Z2192" s="168" t="str">
        <f t="shared" si="7"/>
        <v>#N/A</v>
      </c>
      <c r="AA2192" s="168" t="str">
        <f t="shared" si="8"/>
        <v>#N/A</v>
      </c>
      <c r="AB2192" s="168" t="str">
        <f t="shared" si="9"/>
        <v>#N/A</v>
      </c>
    </row>
    <row r="2193" ht="15.0" customHeight="1">
      <c r="A2193" s="157" t="s">
        <v>9586</v>
      </c>
      <c r="B2193" s="169" t="s">
        <v>39</v>
      </c>
      <c r="C2193" s="169" t="s">
        <v>5018</v>
      </c>
      <c r="D2193" s="317">
        <v>45082.0</v>
      </c>
      <c r="E2193" s="157" t="s">
        <v>600</v>
      </c>
      <c r="F2193" s="160">
        <v>26296.85</v>
      </c>
      <c r="G2193" s="160">
        <f>'FACUS$'!$F2193*0.16</f>
        <v>4207.496</v>
      </c>
      <c r="H2193" s="160">
        <f t="shared" si="68"/>
        <v>30504.346</v>
      </c>
      <c r="I2193" s="172"/>
      <c r="J2193" s="169"/>
      <c r="K2193" s="172"/>
      <c r="L2193" s="172">
        <f>+'FACUS$'!$H2193-'FACUS$'!$I2193-'FACUS$'!$K2193</f>
        <v>30504.346</v>
      </c>
      <c r="M2193" s="162" t="s">
        <v>570</v>
      </c>
      <c r="N2193" s="337" t="s">
        <v>554</v>
      </c>
      <c r="O2193" s="338">
        <v>45093.0</v>
      </c>
      <c r="P2193" s="164">
        <f t="array" ref="P2193">XLOOKUP('FACUS$'!$B2193,'perfil de pagos'!$A$4:$A$46,'perfil de pagos'!$C$4:$C$46+'FACUS$'!$D2193)</f>
        <v>45092</v>
      </c>
      <c r="Q2193" s="165">
        <f t="shared" si="66"/>
        <v>0</v>
      </c>
      <c r="R2193" s="167"/>
      <c r="S2193" s="167">
        <v>2222.0</v>
      </c>
      <c r="T2193" s="167"/>
      <c r="U2193" s="334" t="s">
        <v>7271</v>
      </c>
      <c r="V2193" s="168">
        <f t="shared" si="3"/>
        <v>30504.346</v>
      </c>
      <c r="W2193" s="168">
        <f t="shared" si="4"/>
        <v>0</v>
      </c>
      <c r="X2193" s="168">
        <f t="shared" si="5"/>
        <v>0</v>
      </c>
      <c r="Y2193" s="168">
        <f t="shared" si="6"/>
        <v>0</v>
      </c>
      <c r="Z2193" s="168">
        <f t="shared" si="7"/>
        <v>0</v>
      </c>
      <c r="AA2193" s="168">
        <f t="shared" si="8"/>
        <v>0</v>
      </c>
      <c r="AB2193" s="168">
        <f t="shared" si="9"/>
        <v>0</v>
      </c>
    </row>
    <row r="2194" ht="15.0" customHeight="1">
      <c r="A2194" s="157" t="s">
        <v>9587</v>
      </c>
      <c r="B2194" s="169" t="s">
        <v>41</v>
      </c>
      <c r="C2194" s="169" t="s">
        <v>5018</v>
      </c>
      <c r="D2194" s="317">
        <v>45082.0</v>
      </c>
      <c r="E2194" s="157" t="s">
        <v>600</v>
      </c>
      <c r="F2194" s="160">
        <v>35776.52</v>
      </c>
      <c r="G2194" s="160">
        <f>'FACUS$'!$F2194*0.16</f>
        <v>5724.2432</v>
      </c>
      <c r="H2194" s="160">
        <f t="shared" si="68"/>
        <v>41500.7632</v>
      </c>
      <c r="I2194" s="172"/>
      <c r="J2194" s="169"/>
      <c r="K2194" s="172"/>
      <c r="L2194" s="172">
        <f>+'FACUS$'!$H2194-'FACUS$'!$I2194-'FACUS$'!$K2194</f>
        <v>41500.7632</v>
      </c>
      <c r="M2194" s="162" t="s">
        <v>875</v>
      </c>
      <c r="N2194" s="337" t="s">
        <v>554</v>
      </c>
      <c r="O2194" s="338">
        <v>45120.0</v>
      </c>
      <c r="P2194" s="164">
        <f t="array" ref="P2194">XLOOKUP('FACUS$'!$B2194,'perfil de pagos'!$A$4:$A$46,'perfil de pagos'!$C$4:$C$46+'FACUS$'!$D2194)</f>
        <v>45092</v>
      </c>
      <c r="Q2194" s="165">
        <f t="shared" si="66"/>
        <v>0</v>
      </c>
      <c r="R2194" s="167"/>
      <c r="S2194" s="167">
        <v>2271.0</v>
      </c>
      <c r="T2194" s="167"/>
      <c r="U2194" s="334" t="s">
        <v>7271</v>
      </c>
      <c r="V2194" s="168">
        <f t="shared" si="3"/>
        <v>41500.7632</v>
      </c>
      <c r="W2194" s="168">
        <f t="shared" si="4"/>
        <v>0</v>
      </c>
      <c r="X2194" s="168">
        <f t="shared" si="5"/>
        <v>0</v>
      </c>
      <c r="Y2194" s="168">
        <f t="shared" si="6"/>
        <v>0</v>
      </c>
      <c r="Z2194" s="168">
        <f t="shared" si="7"/>
        <v>0</v>
      </c>
      <c r="AA2194" s="168">
        <f t="shared" si="8"/>
        <v>0</v>
      </c>
      <c r="AB2194" s="168">
        <f t="shared" si="9"/>
        <v>0</v>
      </c>
    </row>
    <row r="2195" ht="15.0" customHeight="1">
      <c r="A2195" s="157" t="s">
        <v>9588</v>
      </c>
      <c r="B2195" s="169" t="s">
        <v>42</v>
      </c>
      <c r="C2195" s="169" t="s">
        <v>5018</v>
      </c>
      <c r="D2195" s="317">
        <v>45082.0</v>
      </c>
      <c r="E2195" s="157" t="s">
        <v>600</v>
      </c>
      <c r="F2195" s="160">
        <v>8196.17</v>
      </c>
      <c r="G2195" s="160">
        <f>'FACUS$'!$F2195*0.16</f>
        <v>1311.3872</v>
      </c>
      <c r="H2195" s="160">
        <f t="shared" si="68"/>
        <v>9507.5572</v>
      </c>
      <c r="I2195" s="172"/>
      <c r="J2195" s="169"/>
      <c r="K2195" s="172"/>
      <c r="L2195" s="172">
        <f>+'FACUS$'!$H2195-'FACUS$'!$I2195-'FACUS$'!$K2195</f>
        <v>9507.5572</v>
      </c>
      <c r="M2195" s="162" t="s">
        <v>42</v>
      </c>
      <c r="N2195" s="337" t="s">
        <v>554</v>
      </c>
      <c r="O2195" s="338">
        <v>45092.0</v>
      </c>
      <c r="P2195" s="164">
        <f t="array" ref="P2195">XLOOKUP('FACUS$'!$B2195,'perfil de pagos'!$A$4:$A$46,'perfil de pagos'!$C$4:$C$46+'FACUS$'!$D2195)</f>
        <v>45092</v>
      </c>
      <c r="Q2195" s="165">
        <f t="shared" si="66"/>
        <v>0</v>
      </c>
      <c r="R2195" s="167"/>
      <c r="S2195" s="167">
        <v>2225.0</v>
      </c>
      <c r="T2195" s="167"/>
      <c r="U2195" s="334" t="s">
        <v>7271</v>
      </c>
      <c r="V2195" s="168">
        <f t="shared" si="3"/>
        <v>9507.5572</v>
      </c>
      <c r="W2195" s="168">
        <f t="shared" si="4"/>
        <v>0</v>
      </c>
      <c r="X2195" s="168">
        <f t="shared" si="5"/>
        <v>0</v>
      </c>
      <c r="Y2195" s="168">
        <f t="shared" si="6"/>
        <v>0</v>
      </c>
      <c r="Z2195" s="168">
        <f t="shared" si="7"/>
        <v>0</v>
      </c>
      <c r="AA2195" s="168">
        <f t="shared" si="8"/>
        <v>0</v>
      </c>
      <c r="AB2195" s="168">
        <f t="shared" si="9"/>
        <v>0</v>
      </c>
    </row>
    <row r="2196" ht="15.0" customHeight="1">
      <c r="A2196" s="157" t="s">
        <v>9589</v>
      </c>
      <c r="B2196" s="169" t="s">
        <v>44</v>
      </c>
      <c r="C2196" s="169" t="s">
        <v>5018</v>
      </c>
      <c r="D2196" s="317">
        <v>45082.0</v>
      </c>
      <c r="E2196" s="157" t="s">
        <v>600</v>
      </c>
      <c r="F2196" s="160">
        <v>7435.52</v>
      </c>
      <c r="G2196" s="160">
        <f>'FACUS$'!$F2196*0.16</f>
        <v>1189.6832</v>
      </c>
      <c r="H2196" s="160">
        <f t="shared" si="68"/>
        <v>8625.2032</v>
      </c>
      <c r="I2196" s="172"/>
      <c r="J2196" s="169"/>
      <c r="K2196" s="172"/>
      <c r="L2196" s="172">
        <f>+'FACUS$'!$H2196-'FACUS$'!$I2196-'FACUS$'!$K2196</f>
        <v>8625.2032</v>
      </c>
      <c r="M2196" s="162" t="s">
        <v>361</v>
      </c>
      <c r="N2196" s="337" t="s">
        <v>554</v>
      </c>
      <c r="O2196" s="338">
        <v>45093.0</v>
      </c>
      <c r="P2196" s="164">
        <f t="array" ref="P2196">XLOOKUP('FACUS$'!$B2196,'perfil de pagos'!$A$4:$A$46,'perfil de pagos'!$C$4:$C$46+'FACUS$'!$D2196)</f>
        <v>45092</v>
      </c>
      <c r="Q2196" s="165">
        <f t="shared" si="66"/>
        <v>0</v>
      </c>
      <c r="R2196" s="167"/>
      <c r="S2196" s="167">
        <v>2221.0</v>
      </c>
      <c r="T2196" s="167"/>
      <c r="U2196" s="334" t="s">
        <v>7271</v>
      </c>
      <c r="V2196" s="168">
        <f t="shared" si="3"/>
        <v>8625.2032</v>
      </c>
      <c r="W2196" s="168">
        <f t="shared" si="4"/>
        <v>0</v>
      </c>
      <c r="X2196" s="168">
        <f t="shared" si="5"/>
        <v>0</v>
      </c>
      <c r="Y2196" s="168">
        <f t="shared" si="6"/>
        <v>0</v>
      </c>
      <c r="Z2196" s="168">
        <f t="shared" si="7"/>
        <v>0</v>
      </c>
      <c r="AA2196" s="168">
        <f t="shared" si="8"/>
        <v>0</v>
      </c>
      <c r="AB2196" s="168">
        <f t="shared" si="9"/>
        <v>0</v>
      </c>
    </row>
    <row r="2197" ht="15.0" customHeight="1">
      <c r="A2197" s="157" t="s">
        <v>9590</v>
      </c>
      <c r="B2197" s="169" t="s">
        <v>43</v>
      </c>
      <c r="C2197" s="169" t="s">
        <v>5018</v>
      </c>
      <c r="D2197" s="317">
        <v>45082.0</v>
      </c>
      <c r="E2197" s="157" t="s">
        <v>600</v>
      </c>
      <c r="F2197" s="160">
        <v>9409.36</v>
      </c>
      <c r="G2197" s="160">
        <f>'FACUS$'!$F2197*0.16</f>
        <v>1505.4976</v>
      </c>
      <c r="H2197" s="160">
        <f t="shared" si="68"/>
        <v>10914.8576</v>
      </c>
      <c r="I2197" s="172"/>
      <c r="J2197" s="169">
        <f>+'NCUS$'!A71</f>
        <v>331</v>
      </c>
      <c r="K2197" s="172">
        <f>+'NCUS$'!H71</f>
        <v>959.842</v>
      </c>
      <c r="L2197" s="172">
        <f>+'FACUS$'!$H2197-'FACUS$'!$I2197-'FACUS$'!$K2197</f>
        <v>9955.0156</v>
      </c>
      <c r="M2197" s="162" t="s">
        <v>43</v>
      </c>
      <c r="N2197" s="337" t="s">
        <v>554</v>
      </c>
      <c r="O2197" s="338">
        <v>45159.0</v>
      </c>
      <c r="P2197" s="164">
        <f t="array" ref="P2197">XLOOKUP('FACUS$'!$B2197,'perfil de pagos'!$A$4:$A$46,'perfil de pagos'!$C$4:$C$46+'FACUS$'!$D2197)</f>
        <v>45107</v>
      </c>
      <c r="Q2197" s="165">
        <f t="shared" si="66"/>
        <v>0</v>
      </c>
      <c r="R2197" s="167"/>
      <c r="S2197" s="167">
        <v>2412.0</v>
      </c>
      <c r="T2197" s="167"/>
      <c r="U2197" s="334" t="s">
        <v>7271</v>
      </c>
      <c r="V2197" s="168">
        <f t="shared" si="3"/>
        <v>9955.0156</v>
      </c>
      <c r="W2197" s="168">
        <f t="shared" si="4"/>
        <v>0</v>
      </c>
      <c r="X2197" s="168">
        <f t="shared" si="5"/>
        <v>0</v>
      </c>
      <c r="Y2197" s="168">
        <f t="shared" si="6"/>
        <v>0</v>
      </c>
      <c r="Z2197" s="168">
        <f t="shared" si="7"/>
        <v>0</v>
      </c>
      <c r="AA2197" s="168">
        <f t="shared" si="8"/>
        <v>0</v>
      </c>
      <c r="AB2197" s="168">
        <f t="shared" si="9"/>
        <v>0</v>
      </c>
    </row>
    <row r="2198" ht="15.0" customHeight="1">
      <c r="A2198" s="157" t="s">
        <v>9591</v>
      </c>
      <c r="B2198" s="169" t="s">
        <v>39</v>
      </c>
      <c r="C2198" s="169" t="s">
        <v>5018</v>
      </c>
      <c r="D2198" s="317">
        <v>45082.0</v>
      </c>
      <c r="E2198" s="157" t="s">
        <v>600</v>
      </c>
      <c r="F2198" s="160">
        <v>21609.76</v>
      </c>
      <c r="G2198" s="160">
        <f>'FACUS$'!$F2198*0.16</f>
        <v>3457.5616</v>
      </c>
      <c r="H2198" s="160">
        <f t="shared" si="68"/>
        <v>25067.3216</v>
      </c>
      <c r="I2198" s="172"/>
      <c r="J2198" s="169"/>
      <c r="K2198" s="172"/>
      <c r="L2198" s="172">
        <f>+'FACUS$'!$H2198-'FACUS$'!$I2198-'FACUS$'!$K2198</f>
        <v>25067.3216</v>
      </c>
      <c r="M2198" s="162" t="s">
        <v>570</v>
      </c>
      <c r="N2198" s="337" t="s">
        <v>554</v>
      </c>
      <c r="O2198" s="338">
        <v>45093.0</v>
      </c>
      <c r="P2198" s="164">
        <f t="array" ref="P2198">XLOOKUP('FACUS$'!$B2198,'perfil de pagos'!$A$4:$A$46,'perfil de pagos'!$C$4:$C$46+'FACUS$'!$D2198)</f>
        <v>45092</v>
      </c>
      <c r="Q2198" s="165">
        <f t="shared" si="66"/>
        <v>0</v>
      </c>
      <c r="R2198" s="167"/>
      <c r="S2198" s="167">
        <v>2222.0</v>
      </c>
      <c r="T2198" s="167"/>
      <c r="U2198" s="334" t="s">
        <v>7271</v>
      </c>
      <c r="V2198" s="168">
        <f t="shared" si="3"/>
        <v>25067.3216</v>
      </c>
      <c r="W2198" s="168">
        <f t="shared" si="4"/>
        <v>0</v>
      </c>
      <c r="X2198" s="168">
        <f t="shared" si="5"/>
        <v>0</v>
      </c>
      <c r="Y2198" s="168">
        <f t="shared" si="6"/>
        <v>0</v>
      </c>
      <c r="Z2198" s="168">
        <f t="shared" si="7"/>
        <v>0</v>
      </c>
      <c r="AA2198" s="168">
        <f t="shared" si="8"/>
        <v>0</v>
      </c>
      <c r="AB2198" s="168">
        <f t="shared" si="9"/>
        <v>0</v>
      </c>
    </row>
    <row r="2199" ht="15.0" customHeight="1">
      <c r="A2199" s="157" t="s">
        <v>9592</v>
      </c>
      <c r="B2199" s="169" t="s">
        <v>24</v>
      </c>
      <c r="C2199" s="169" t="s">
        <v>9593</v>
      </c>
      <c r="D2199" s="317">
        <v>45083.0</v>
      </c>
      <c r="E2199" s="157" t="s">
        <v>600</v>
      </c>
      <c r="F2199" s="160">
        <v>5156.67</v>
      </c>
      <c r="G2199" s="160">
        <f>'FACUS$'!$F2199*0.16</f>
        <v>825.0672</v>
      </c>
      <c r="H2199" s="160">
        <f t="shared" si="68"/>
        <v>5981.7372</v>
      </c>
      <c r="I2199" s="172"/>
      <c r="J2199" s="169"/>
      <c r="K2199" s="172"/>
      <c r="L2199" s="172">
        <f>+'FACUS$'!$H2199-'FACUS$'!$I2199-'FACUS$'!$K2199</f>
        <v>5981.7372</v>
      </c>
      <c r="M2199" s="162" t="s">
        <v>91</v>
      </c>
      <c r="N2199" s="337" t="s">
        <v>554</v>
      </c>
      <c r="O2199" s="338">
        <v>45093.0</v>
      </c>
      <c r="P2199" s="164">
        <f t="array" ref="P2199">XLOOKUP('FACUS$'!$B2199,'perfil de pagos'!$A$4:$A$46,'perfil de pagos'!$C$4:$C$46+'FACUS$'!$D2199)</f>
        <v>45093</v>
      </c>
      <c r="Q2199" s="165">
        <f t="shared" si="66"/>
        <v>0</v>
      </c>
      <c r="R2199" s="220" t="s">
        <v>9594</v>
      </c>
      <c r="S2199" s="167">
        <v>2216.0</v>
      </c>
      <c r="T2199" s="167"/>
      <c r="U2199" s="334" t="s">
        <v>7271</v>
      </c>
      <c r="V2199" s="168">
        <f t="shared" si="3"/>
        <v>5981.7372</v>
      </c>
      <c r="W2199" s="168">
        <f t="shared" si="4"/>
        <v>0</v>
      </c>
      <c r="X2199" s="168">
        <f t="shared" si="5"/>
        <v>0</v>
      </c>
      <c r="Y2199" s="168">
        <f t="shared" si="6"/>
        <v>0</v>
      </c>
      <c r="Z2199" s="168">
        <f t="shared" si="7"/>
        <v>0</v>
      </c>
      <c r="AA2199" s="168">
        <f t="shared" si="8"/>
        <v>0</v>
      </c>
      <c r="AB2199" s="168">
        <f t="shared" si="9"/>
        <v>0</v>
      </c>
    </row>
    <row r="2200" ht="15.0" customHeight="1">
      <c r="A2200" s="157" t="s">
        <v>9595</v>
      </c>
      <c r="B2200" s="169" t="s">
        <v>18</v>
      </c>
      <c r="C2200" s="169" t="s">
        <v>5018</v>
      </c>
      <c r="D2200" s="159">
        <v>45086.0</v>
      </c>
      <c r="E2200" s="157" t="s">
        <v>600</v>
      </c>
      <c r="F2200" s="160">
        <v>4407.16</v>
      </c>
      <c r="G2200" s="160">
        <f>'FACUS$'!$F2200*0.16</f>
        <v>705.1456</v>
      </c>
      <c r="H2200" s="160">
        <f t="shared" si="68"/>
        <v>5112.3056</v>
      </c>
      <c r="I2200" s="172"/>
      <c r="J2200" s="169"/>
      <c r="K2200" s="172"/>
      <c r="L2200" s="172">
        <f>+'FACUS$'!$H2200-'FACUS$'!$I2200-'FACUS$'!$K2200</f>
        <v>5112.3056</v>
      </c>
      <c r="M2200" s="162" t="s">
        <v>586</v>
      </c>
      <c r="N2200" s="337" t="s">
        <v>554</v>
      </c>
      <c r="O2200" s="338">
        <v>45091.0</v>
      </c>
      <c r="P2200" s="164">
        <f t="array" ref="P2200">XLOOKUP('FACUS$'!$B2200,'perfil de pagos'!$A$4:$A$46,'perfil de pagos'!$C$4:$C$46+'FACUS$'!$D2200)</f>
        <v>45096</v>
      </c>
      <c r="Q2200" s="165">
        <f t="shared" si="66"/>
        <v>0</v>
      </c>
      <c r="R2200" s="167"/>
      <c r="S2200" s="167">
        <v>2223.0</v>
      </c>
      <c r="T2200" s="167"/>
      <c r="U2200" s="334" t="s">
        <v>7271</v>
      </c>
      <c r="V2200" s="168">
        <f t="shared" si="3"/>
        <v>5112.3056</v>
      </c>
      <c r="W2200" s="168">
        <f t="shared" si="4"/>
        <v>0</v>
      </c>
      <c r="X2200" s="168">
        <f t="shared" si="5"/>
        <v>0</v>
      </c>
      <c r="Y2200" s="168">
        <f t="shared" si="6"/>
        <v>0</v>
      </c>
      <c r="Z2200" s="168">
        <f t="shared" si="7"/>
        <v>0</v>
      </c>
      <c r="AA2200" s="168">
        <f t="shared" si="8"/>
        <v>0</v>
      </c>
      <c r="AB2200" s="168">
        <f t="shared" si="9"/>
        <v>0</v>
      </c>
    </row>
    <row r="2201" ht="15.0" customHeight="1">
      <c r="A2201" s="157" t="s">
        <v>9596</v>
      </c>
      <c r="B2201" s="169" t="s">
        <v>20</v>
      </c>
      <c r="C2201" s="169" t="s">
        <v>5018</v>
      </c>
      <c r="D2201" s="159">
        <v>45086.0</v>
      </c>
      <c r="E2201" s="157" t="s">
        <v>600</v>
      </c>
      <c r="F2201" s="160">
        <v>7378.34</v>
      </c>
      <c r="G2201" s="160">
        <f>'FACUS$'!$F2201*0.16</f>
        <v>1180.5344</v>
      </c>
      <c r="H2201" s="160">
        <f t="shared" si="68"/>
        <v>8558.8744</v>
      </c>
      <c r="I2201" s="172"/>
      <c r="J2201" s="169"/>
      <c r="K2201" s="172"/>
      <c r="L2201" s="172">
        <f>+'FACUS$'!$H2201-'FACUS$'!$I2201-'FACUS$'!$K2201</f>
        <v>8558.8744</v>
      </c>
      <c r="M2201" s="162" t="s">
        <v>732</v>
      </c>
      <c r="N2201" s="337" t="s">
        <v>554</v>
      </c>
      <c r="O2201" s="338">
        <v>45104.0</v>
      </c>
      <c r="P2201" s="164">
        <f t="array" ref="P2201">XLOOKUP('FACUS$'!$B2201,'perfil de pagos'!$A$4:$A$46,'perfil de pagos'!$C$4:$C$46+'FACUS$'!$D2201)</f>
        <v>45096</v>
      </c>
      <c r="Q2201" s="165">
        <f t="shared" si="66"/>
        <v>0</v>
      </c>
      <c r="R2201" s="167"/>
      <c r="S2201" s="167">
        <v>2243.0</v>
      </c>
      <c r="T2201" s="167"/>
      <c r="U2201" s="334" t="s">
        <v>7271</v>
      </c>
      <c r="V2201" s="168">
        <f t="shared" si="3"/>
        <v>8558.8744</v>
      </c>
      <c r="W2201" s="168">
        <f t="shared" si="4"/>
        <v>0</v>
      </c>
      <c r="X2201" s="168">
        <f t="shared" si="5"/>
        <v>0</v>
      </c>
      <c r="Y2201" s="168">
        <f t="shared" si="6"/>
        <v>0</v>
      </c>
      <c r="Z2201" s="168">
        <f t="shared" si="7"/>
        <v>0</v>
      </c>
      <c r="AA2201" s="168">
        <f t="shared" si="8"/>
        <v>0</v>
      </c>
      <c r="AB2201" s="168">
        <f t="shared" si="9"/>
        <v>0</v>
      </c>
    </row>
    <row r="2202" ht="15.0" customHeight="1">
      <c r="A2202" s="157" t="s">
        <v>9597</v>
      </c>
      <c r="B2202" s="169" t="s">
        <v>22</v>
      </c>
      <c r="C2202" s="169" t="s">
        <v>5018</v>
      </c>
      <c r="D2202" s="159">
        <v>45086.0</v>
      </c>
      <c r="E2202" s="157" t="s">
        <v>600</v>
      </c>
      <c r="F2202" s="160">
        <v>14483.88</v>
      </c>
      <c r="G2202" s="160">
        <f>'FACUS$'!$F2202*0.16</f>
        <v>2317.4208</v>
      </c>
      <c r="H2202" s="160">
        <f t="shared" si="68"/>
        <v>16801.3008</v>
      </c>
      <c r="I2202" s="172">
        <v>10586.876885994141</v>
      </c>
      <c r="J2202" s="169"/>
      <c r="K2202" s="172"/>
      <c r="L2202" s="172">
        <f>+'FACUS$'!$H2202-'FACUS$'!$I2202-'FACUS$'!$K2202</f>
        <v>6214.423914</v>
      </c>
      <c r="M2202" s="162" t="s">
        <v>220</v>
      </c>
      <c r="N2202" s="337" t="s">
        <v>554</v>
      </c>
      <c r="O2202" s="338">
        <v>45135.0</v>
      </c>
      <c r="P2202" s="164">
        <f t="array" ref="P2202">XLOOKUP('FACUS$'!$B2202,'perfil de pagos'!$A$4:$A$46,'perfil de pagos'!$C$4:$C$46+'FACUS$'!$D2202)</f>
        <v>45096</v>
      </c>
      <c r="Q2202" s="165">
        <f t="shared" si="66"/>
        <v>0</v>
      </c>
      <c r="R2202" s="220" t="s">
        <v>9598</v>
      </c>
      <c r="S2202" s="167">
        <v>2325.0</v>
      </c>
      <c r="T2202" s="167"/>
      <c r="U2202" s="334" t="s">
        <v>7271</v>
      </c>
      <c r="V2202" s="168">
        <f t="shared" si="3"/>
        <v>6214.423914</v>
      </c>
      <c r="W2202" s="168">
        <f t="shared" si="4"/>
        <v>0</v>
      </c>
      <c r="X2202" s="168">
        <f t="shared" si="5"/>
        <v>0</v>
      </c>
      <c r="Y2202" s="168">
        <f t="shared" si="6"/>
        <v>0</v>
      </c>
      <c r="Z2202" s="168">
        <f t="shared" si="7"/>
        <v>0</v>
      </c>
      <c r="AA2202" s="168">
        <f t="shared" si="8"/>
        <v>0</v>
      </c>
      <c r="AB2202" s="168">
        <f t="shared" si="9"/>
        <v>0</v>
      </c>
    </row>
    <row r="2203" ht="15.0" customHeight="1">
      <c r="A2203" s="157" t="s">
        <v>9599</v>
      </c>
      <c r="B2203" s="169" t="s">
        <v>25</v>
      </c>
      <c r="C2203" s="169" t="s">
        <v>5018</v>
      </c>
      <c r="D2203" s="159">
        <v>45086.0</v>
      </c>
      <c r="E2203" s="157" t="s">
        <v>600</v>
      </c>
      <c r="F2203" s="160">
        <v>3398.84</v>
      </c>
      <c r="G2203" s="160">
        <f>'FACUS$'!$F2203*0.16</f>
        <v>543.8144</v>
      </c>
      <c r="H2203" s="160">
        <f t="shared" si="68"/>
        <v>3942.6544</v>
      </c>
      <c r="I2203" s="172"/>
      <c r="J2203" s="169"/>
      <c r="K2203" s="172"/>
      <c r="L2203" s="172">
        <f>+'FACUS$'!$H2203-'FACUS$'!$I2203-'FACUS$'!$K2203</f>
        <v>3942.6544</v>
      </c>
      <c r="M2203" s="162" t="s">
        <v>4388</v>
      </c>
      <c r="N2203" s="337" t="s">
        <v>554</v>
      </c>
      <c r="O2203" s="338">
        <v>45208.0</v>
      </c>
      <c r="P2203" s="164">
        <f t="array" ref="P2203">XLOOKUP('FACUS$'!$B2203,'perfil de pagos'!$A$4:$A$46,'perfil de pagos'!$C$4:$C$46+'FACUS$'!$D2203)</f>
        <v>45096</v>
      </c>
      <c r="Q2203" s="165">
        <f t="shared" si="66"/>
        <v>0</v>
      </c>
      <c r="R2203" s="167"/>
      <c r="S2203" s="167">
        <v>2481.0</v>
      </c>
      <c r="T2203" s="167"/>
      <c r="U2203" s="334" t="s">
        <v>7271</v>
      </c>
      <c r="V2203" s="168">
        <f t="shared" si="3"/>
        <v>3942.6544</v>
      </c>
      <c r="W2203" s="168">
        <f t="shared" si="4"/>
        <v>0</v>
      </c>
      <c r="X2203" s="168">
        <f t="shared" si="5"/>
        <v>0</v>
      </c>
      <c r="Y2203" s="168">
        <f t="shared" si="6"/>
        <v>0</v>
      </c>
      <c r="Z2203" s="168">
        <f t="shared" si="7"/>
        <v>0</v>
      </c>
      <c r="AA2203" s="168">
        <f t="shared" si="8"/>
        <v>0</v>
      </c>
      <c r="AB2203" s="168">
        <f t="shared" si="9"/>
        <v>0</v>
      </c>
    </row>
    <row r="2204" ht="15.0" customHeight="1">
      <c r="A2204" s="157" t="s">
        <v>9600</v>
      </c>
      <c r="B2204" s="169" t="s">
        <v>37</v>
      </c>
      <c r="C2204" s="169" t="s">
        <v>5018</v>
      </c>
      <c r="D2204" s="159">
        <v>45086.0</v>
      </c>
      <c r="E2204" s="157" t="s">
        <v>600</v>
      </c>
      <c r="F2204" s="160">
        <v>105593.2</v>
      </c>
      <c r="G2204" s="160">
        <f>'FACUS$'!$F2204*0.16</f>
        <v>16894.912</v>
      </c>
      <c r="H2204" s="160">
        <f t="shared" si="68"/>
        <v>122488.112</v>
      </c>
      <c r="I2204" s="172"/>
      <c r="J2204" s="169"/>
      <c r="K2204" s="172"/>
      <c r="L2204" s="172">
        <f>+'FACUS$'!$H2204-'FACUS$'!$I2204-'FACUS$'!$K2204</f>
        <v>122488.112</v>
      </c>
      <c r="M2204" s="162" t="s">
        <v>116</v>
      </c>
      <c r="N2204" s="337" t="s">
        <v>554</v>
      </c>
      <c r="O2204" s="338">
        <v>45100.0</v>
      </c>
      <c r="P2204" s="164">
        <f t="array" ref="P2204">XLOOKUP('FACUS$'!$B2204,'perfil de pagos'!$A$4:$A$46,'perfil de pagos'!$C$4:$C$46+'FACUS$'!$D2204)</f>
        <v>45096</v>
      </c>
      <c r="Q2204" s="165">
        <f t="shared" si="66"/>
        <v>0</v>
      </c>
      <c r="R2204" s="220" t="s">
        <v>9601</v>
      </c>
      <c r="S2204" s="167">
        <v>2233.0</v>
      </c>
      <c r="T2204" s="167"/>
      <c r="U2204" s="334" t="s">
        <v>7271</v>
      </c>
      <c r="V2204" s="168">
        <f t="shared" si="3"/>
        <v>122488.112</v>
      </c>
      <c r="W2204" s="168">
        <f t="shared" si="4"/>
        <v>0</v>
      </c>
      <c r="X2204" s="168">
        <f t="shared" si="5"/>
        <v>0</v>
      </c>
      <c r="Y2204" s="168">
        <f t="shared" si="6"/>
        <v>0</v>
      </c>
      <c r="Z2204" s="168">
        <f t="shared" si="7"/>
        <v>0</v>
      </c>
      <c r="AA2204" s="168">
        <f t="shared" si="8"/>
        <v>0</v>
      </c>
      <c r="AB2204" s="168">
        <f t="shared" si="9"/>
        <v>0</v>
      </c>
    </row>
    <row r="2205" ht="15.0" customHeight="1">
      <c r="A2205" s="157" t="s">
        <v>9602</v>
      </c>
      <c r="B2205" s="169" t="s">
        <v>38</v>
      </c>
      <c r="C2205" s="169" t="s">
        <v>5018</v>
      </c>
      <c r="D2205" s="159">
        <v>45086.0</v>
      </c>
      <c r="E2205" s="157" t="s">
        <v>600</v>
      </c>
      <c r="F2205" s="160">
        <v>3453.3</v>
      </c>
      <c r="G2205" s="160">
        <f>'FACUS$'!$F2205*0.16</f>
        <v>552.528</v>
      </c>
      <c r="H2205" s="160">
        <f t="shared" si="68"/>
        <v>4005.828</v>
      </c>
      <c r="I2205" s="172"/>
      <c r="J2205" s="169"/>
      <c r="K2205" s="172"/>
      <c r="L2205" s="172">
        <f>+'FACUS$'!$H2205-'FACUS$'!$I2205-'FACUS$'!$K2205</f>
        <v>4005.828</v>
      </c>
      <c r="M2205" s="162" t="s">
        <v>642</v>
      </c>
      <c r="N2205" s="337" t="s">
        <v>554</v>
      </c>
      <c r="O2205" s="338">
        <v>45126.0</v>
      </c>
      <c r="P2205" s="164">
        <f t="array" ref="P2205">XLOOKUP('FACUS$'!$B2205,'perfil de pagos'!$A$4:$A$46,'perfil de pagos'!$C$4:$C$46+'FACUS$'!$D2205)</f>
        <v>45116</v>
      </c>
      <c r="Q2205" s="165">
        <f t="shared" si="66"/>
        <v>0</v>
      </c>
      <c r="R2205" s="167"/>
      <c r="S2205" s="167">
        <v>2282.0</v>
      </c>
      <c r="T2205" s="167"/>
      <c r="U2205" s="334" t="s">
        <v>7271</v>
      </c>
      <c r="V2205" s="168">
        <f t="shared" si="3"/>
        <v>4005.828</v>
      </c>
      <c r="W2205" s="168">
        <f t="shared" si="4"/>
        <v>0</v>
      </c>
      <c r="X2205" s="168">
        <f t="shared" si="5"/>
        <v>0</v>
      </c>
      <c r="Y2205" s="168">
        <f t="shared" si="6"/>
        <v>0</v>
      </c>
      <c r="Z2205" s="168">
        <f t="shared" si="7"/>
        <v>0</v>
      </c>
      <c r="AA2205" s="168">
        <f t="shared" si="8"/>
        <v>0</v>
      </c>
      <c r="AB2205" s="168">
        <f t="shared" si="9"/>
        <v>0</v>
      </c>
    </row>
    <row r="2206" ht="15.0" customHeight="1">
      <c r="A2206" s="157" t="s">
        <v>9603</v>
      </c>
      <c r="B2206" s="169" t="s">
        <v>38</v>
      </c>
      <c r="C2206" s="169" t="s">
        <v>5018</v>
      </c>
      <c r="D2206" s="159">
        <v>45086.0</v>
      </c>
      <c r="E2206" s="157" t="s">
        <v>600</v>
      </c>
      <c r="F2206" s="160">
        <v>10496.16</v>
      </c>
      <c r="G2206" s="160">
        <f>'FACUS$'!$F2206*0.16</f>
        <v>1679.3856</v>
      </c>
      <c r="H2206" s="160">
        <f t="shared" si="68"/>
        <v>12175.5456</v>
      </c>
      <c r="I2206" s="172"/>
      <c r="J2206" s="169"/>
      <c r="K2206" s="172"/>
      <c r="L2206" s="172">
        <f>+'FACUS$'!$H2206-'FACUS$'!$I2206-'FACUS$'!$K2206</f>
        <v>12175.5456</v>
      </c>
      <c r="M2206" s="162" t="s">
        <v>145</v>
      </c>
      <c r="N2206" s="337" t="s">
        <v>554</v>
      </c>
      <c r="O2206" s="338">
        <v>45126.0</v>
      </c>
      <c r="P2206" s="164">
        <f t="array" ref="P2206">XLOOKUP('FACUS$'!$B2206,'perfil de pagos'!$A$4:$A$46,'perfil de pagos'!$C$4:$C$46+'FACUS$'!$D2206)</f>
        <v>45116</v>
      </c>
      <c r="Q2206" s="165">
        <f t="shared" si="66"/>
        <v>0</v>
      </c>
      <c r="R2206" s="167"/>
      <c r="S2206" s="167">
        <v>2282.0</v>
      </c>
      <c r="T2206" s="167"/>
      <c r="U2206" s="334" t="s">
        <v>7271</v>
      </c>
      <c r="V2206" s="168">
        <f t="shared" si="3"/>
        <v>12175.5456</v>
      </c>
      <c r="W2206" s="168">
        <f t="shared" si="4"/>
        <v>0</v>
      </c>
      <c r="X2206" s="168">
        <f t="shared" si="5"/>
        <v>0</v>
      </c>
      <c r="Y2206" s="168">
        <f t="shared" si="6"/>
        <v>0</v>
      </c>
      <c r="Z2206" s="168">
        <f t="shared" si="7"/>
        <v>0</v>
      </c>
      <c r="AA2206" s="168">
        <f t="shared" si="8"/>
        <v>0</v>
      </c>
      <c r="AB2206" s="168">
        <f t="shared" si="9"/>
        <v>0</v>
      </c>
    </row>
    <row r="2207" ht="15.0" customHeight="1">
      <c r="A2207" s="157" t="s">
        <v>9604</v>
      </c>
      <c r="B2207" s="169" t="s">
        <v>15</v>
      </c>
      <c r="C2207" s="169" t="s">
        <v>5048</v>
      </c>
      <c r="D2207" s="317">
        <v>45096.0</v>
      </c>
      <c r="E2207" s="157" t="s">
        <v>600</v>
      </c>
      <c r="F2207" s="160">
        <v>17160.86</v>
      </c>
      <c r="G2207" s="160">
        <f>'FACUS$'!$F2207*0.16</f>
        <v>2745.7376</v>
      </c>
      <c r="H2207" s="160">
        <f t="shared" si="68"/>
        <v>19906.5976</v>
      </c>
      <c r="I2207" s="172"/>
      <c r="J2207" s="169"/>
      <c r="K2207" s="172"/>
      <c r="L2207" s="172">
        <f>+'FACUS$'!$H2207-'FACUS$'!$I2207-'FACUS$'!$K2207</f>
        <v>19906.5976</v>
      </c>
      <c r="M2207" s="162" t="s">
        <v>443</v>
      </c>
      <c r="N2207" s="337" t="s">
        <v>554</v>
      </c>
      <c r="O2207" s="338">
        <v>45120.0</v>
      </c>
      <c r="P2207" s="164">
        <f t="array" ref="P2207">XLOOKUP('FACUS$'!$B2207,'perfil de pagos'!$A$4:$A$46,'perfil de pagos'!$C$4:$C$46+'FACUS$'!$D2207)</f>
        <v>45106</v>
      </c>
      <c r="Q2207" s="165">
        <f t="shared" si="66"/>
        <v>0</v>
      </c>
      <c r="R2207" s="167"/>
      <c r="S2207" s="167">
        <v>2273.0</v>
      </c>
      <c r="T2207" s="167"/>
      <c r="U2207" s="334" t="s">
        <v>7271</v>
      </c>
      <c r="V2207" s="168">
        <f t="shared" si="3"/>
        <v>19906.5976</v>
      </c>
      <c r="W2207" s="168">
        <f t="shared" si="4"/>
        <v>0</v>
      </c>
      <c r="X2207" s="168">
        <f t="shared" si="5"/>
        <v>0</v>
      </c>
      <c r="Y2207" s="168">
        <f t="shared" si="6"/>
        <v>0</v>
      </c>
      <c r="Z2207" s="168">
        <f t="shared" si="7"/>
        <v>0</v>
      </c>
      <c r="AA2207" s="168">
        <f t="shared" si="8"/>
        <v>0</v>
      </c>
      <c r="AB2207" s="168">
        <f t="shared" si="9"/>
        <v>0</v>
      </c>
    </row>
    <row r="2208" ht="15.0" customHeight="1">
      <c r="A2208" s="157" t="s">
        <v>9605</v>
      </c>
      <c r="B2208" s="169" t="s">
        <v>35</v>
      </c>
      <c r="C2208" s="169" t="s">
        <v>5048</v>
      </c>
      <c r="D2208" s="317">
        <v>45096.0</v>
      </c>
      <c r="E2208" s="157" t="s">
        <v>600</v>
      </c>
      <c r="F2208" s="160">
        <v>6750.22</v>
      </c>
      <c r="G2208" s="160">
        <f>'FACUS$'!$F2208*0.16</f>
        <v>1080.0352</v>
      </c>
      <c r="H2208" s="160">
        <f t="shared" si="68"/>
        <v>7830.2552</v>
      </c>
      <c r="I2208" s="172"/>
      <c r="J2208" s="169"/>
      <c r="K2208" s="172"/>
      <c r="L2208" s="172">
        <f>+'FACUS$'!$H2208-'FACUS$'!$I2208-'FACUS$'!$K2208</f>
        <v>7830.2552</v>
      </c>
      <c r="M2208" s="162" t="s">
        <v>276</v>
      </c>
      <c r="N2208" s="337" t="s">
        <v>554</v>
      </c>
      <c r="O2208" s="338">
        <v>45237.0</v>
      </c>
      <c r="P2208" s="164">
        <f t="array" ref="P2208">XLOOKUP('FACUS$'!$B2208,'perfil de pagos'!$A$4:$A$46,'perfil de pagos'!$C$4:$C$46+'FACUS$'!$D2208)</f>
        <v>45106</v>
      </c>
      <c r="Q2208" s="165">
        <f t="shared" si="66"/>
        <v>0</v>
      </c>
      <c r="R2208" s="220" t="s">
        <v>9606</v>
      </c>
      <c r="S2208" s="167">
        <v>2578.0</v>
      </c>
      <c r="T2208" s="167"/>
      <c r="U2208" s="334" t="s">
        <v>7271</v>
      </c>
      <c r="V2208" s="168">
        <f t="shared" si="3"/>
        <v>7830.2552</v>
      </c>
      <c r="W2208" s="168">
        <f t="shared" si="4"/>
        <v>0</v>
      </c>
      <c r="X2208" s="168">
        <f t="shared" si="5"/>
        <v>0</v>
      </c>
      <c r="Y2208" s="168">
        <f t="shared" si="6"/>
        <v>0</v>
      </c>
      <c r="Z2208" s="168">
        <f t="shared" si="7"/>
        <v>0</v>
      </c>
      <c r="AA2208" s="168">
        <f t="shared" si="8"/>
        <v>0</v>
      </c>
      <c r="AB2208" s="168">
        <f t="shared" si="9"/>
        <v>0</v>
      </c>
    </row>
    <row r="2209" ht="15.0" customHeight="1">
      <c r="A2209" s="157" t="s">
        <v>9607</v>
      </c>
      <c r="B2209" s="169" t="s">
        <v>38</v>
      </c>
      <c r="C2209" s="169" t="s">
        <v>5048</v>
      </c>
      <c r="D2209" s="317">
        <v>45096.0</v>
      </c>
      <c r="E2209" s="157" t="s">
        <v>600</v>
      </c>
      <c r="F2209" s="160">
        <v>3506.91</v>
      </c>
      <c r="G2209" s="160">
        <f>'FACUS$'!$F2209*0.16</f>
        <v>561.1056</v>
      </c>
      <c r="H2209" s="160">
        <f t="shared" si="68"/>
        <v>4068.0156</v>
      </c>
      <c r="I2209" s="172"/>
      <c r="J2209" s="169"/>
      <c r="K2209" s="172"/>
      <c r="L2209" s="172">
        <f>+'FACUS$'!$H2209-'FACUS$'!$I2209-'FACUS$'!$K2209</f>
        <v>4068.0156</v>
      </c>
      <c r="M2209" s="162" t="s">
        <v>4654</v>
      </c>
      <c r="N2209" s="337" t="s">
        <v>554</v>
      </c>
      <c r="O2209" s="338">
        <v>45141.0</v>
      </c>
      <c r="P2209" s="164">
        <f t="array" ref="P2209">XLOOKUP('FACUS$'!$B2209,'perfil de pagos'!$A$4:$A$46,'perfil de pagos'!$C$4:$C$46+'FACUS$'!$D2209)</f>
        <v>45126</v>
      </c>
      <c r="Q2209" s="165">
        <f t="shared" si="66"/>
        <v>0</v>
      </c>
      <c r="R2209" s="167"/>
      <c r="S2209" s="167"/>
      <c r="T2209" s="167"/>
      <c r="U2209" s="334" t="s">
        <v>7271</v>
      </c>
      <c r="V2209" s="168">
        <f t="shared" si="3"/>
        <v>4068.0156</v>
      </c>
      <c r="W2209" s="168">
        <f t="shared" si="4"/>
        <v>0</v>
      </c>
      <c r="X2209" s="168">
        <f t="shared" si="5"/>
        <v>0</v>
      </c>
      <c r="Y2209" s="168">
        <f t="shared" si="6"/>
        <v>0</v>
      </c>
      <c r="Z2209" s="168">
        <f t="shared" si="7"/>
        <v>0</v>
      </c>
      <c r="AA2209" s="168">
        <f t="shared" si="8"/>
        <v>0</v>
      </c>
      <c r="AB2209" s="168">
        <f t="shared" si="9"/>
        <v>0</v>
      </c>
    </row>
    <row r="2210" ht="15.0" customHeight="1">
      <c r="A2210" s="157" t="s">
        <v>9608</v>
      </c>
      <c r="B2210" s="169" t="s">
        <v>39</v>
      </c>
      <c r="C2210" s="169" t="s">
        <v>5044</v>
      </c>
      <c r="D2210" s="317">
        <v>45096.0</v>
      </c>
      <c r="E2210" s="157" t="s">
        <v>600</v>
      </c>
      <c r="F2210" s="160">
        <v>9687.48</v>
      </c>
      <c r="G2210" s="160">
        <f>'FACUS$'!$F2210*0.16</f>
        <v>1549.9968</v>
      </c>
      <c r="H2210" s="160">
        <f t="shared" si="68"/>
        <v>11237.4768</v>
      </c>
      <c r="I2210" s="172"/>
      <c r="J2210" s="169"/>
      <c r="K2210" s="172"/>
      <c r="L2210" s="172">
        <f>+'FACUS$'!$H2210-'FACUS$'!$I2210-'FACUS$'!$K2210</f>
        <v>11237.4768</v>
      </c>
      <c r="M2210" s="162" t="s">
        <v>570</v>
      </c>
      <c r="N2210" s="337" t="s">
        <v>554</v>
      </c>
      <c r="O2210" s="338">
        <v>45107.0</v>
      </c>
      <c r="P2210" s="164">
        <f t="array" ref="P2210">XLOOKUP('FACUS$'!$B2210,'perfil de pagos'!$A$4:$A$46,'perfil de pagos'!$C$4:$C$46+'FACUS$'!$D2210)</f>
        <v>45106</v>
      </c>
      <c r="Q2210" s="165">
        <f t="shared" si="66"/>
        <v>0</v>
      </c>
      <c r="R2210" s="167"/>
      <c r="S2210" s="167">
        <v>2257.0</v>
      </c>
      <c r="T2210" s="167"/>
      <c r="U2210" s="334" t="s">
        <v>7271</v>
      </c>
      <c r="V2210" s="168">
        <f t="shared" si="3"/>
        <v>11237.4768</v>
      </c>
      <c r="W2210" s="168">
        <f t="shared" si="4"/>
        <v>0</v>
      </c>
      <c r="X2210" s="168">
        <f t="shared" si="5"/>
        <v>0</v>
      </c>
      <c r="Y2210" s="168">
        <f t="shared" si="6"/>
        <v>0</v>
      </c>
      <c r="Z2210" s="168">
        <f t="shared" si="7"/>
        <v>0</v>
      </c>
      <c r="AA2210" s="168">
        <f t="shared" si="8"/>
        <v>0</v>
      </c>
      <c r="AB2210" s="168">
        <f t="shared" si="9"/>
        <v>0</v>
      </c>
    </row>
    <row r="2211" ht="15.0" customHeight="1">
      <c r="A2211" s="157" t="s">
        <v>9609</v>
      </c>
      <c r="B2211" s="169" t="s">
        <v>39</v>
      </c>
      <c r="C2211" s="169" t="s">
        <v>5048</v>
      </c>
      <c r="D2211" s="317">
        <v>45096.0</v>
      </c>
      <c r="E2211" s="157" t="s">
        <v>600</v>
      </c>
      <c r="F2211" s="160">
        <v>13268.64</v>
      </c>
      <c r="G2211" s="160">
        <f>'FACUS$'!$F2211*0.16</f>
        <v>2122.9824</v>
      </c>
      <c r="H2211" s="160">
        <f t="shared" si="68"/>
        <v>15391.6224</v>
      </c>
      <c r="I2211" s="172"/>
      <c r="J2211" s="169"/>
      <c r="K2211" s="172"/>
      <c r="L2211" s="172">
        <f>+'FACUS$'!$H2211-'FACUS$'!$I2211-'FACUS$'!$K2211</f>
        <v>15391.6224</v>
      </c>
      <c r="M2211" s="162" t="s">
        <v>570</v>
      </c>
      <c r="N2211" s="337" t="s">
        <v>554</v>
      </c>
      <c r="O2211" s="338">
        <v>45107.0</v>
      </c>
      <c r="P2211" s="164">
        <f t="array" ref="P2211">XLOOKUP('FACUS$'!$B2211,'perfil de pagos'!$A$4:$A$46,'perfil de pagos'!$C$4:$C$46+'FACUS$'!$D2211)</f>
        <v>45106</v>
      </c>
      <c r="Q2211" s="165">
        <f t="shared" si="66"/>
        <v>0</v>
      </c>
      <c r="R2211" s="167"/>
      <c r="S2211" s="167">
        <v>2257.0</v>
      </c>
      <c r="T2211" s="167"/>
      <c r="U2211" s="334" t="s">
        <v>7271</v>
      </c>
      <c r="V2211" s="168">
        <f t="shared" si="3"/>
        <v>15391.6224</v>
      </c>
      <c r="W2211" s="168">
        <f t="shared" si="4"/>
        <v>0</v>
      </c>
      <c r="X2211" s="168">
        <f t="shared" si="5"/>
        <v>0</v>
      </c>
      <c r="Y2211" s="168">
        <f t="shared" si="6"/>
        <v>0</v>
      </c>
      <c r="Z2211" s="168">
        <f t="shared" si="7"/>
        <v>0</v>
      </c>
      <c r="AA2211" s="168">
        <f t="shared" si="8"/>
        <v>0</v>
      </c>
      <c r="AB2211" s="168">
        <f t="shared" si="9"/>
        <v>0</v>
      </c>
    </row>
    <row r="2212" ht="15.0" customHeight="1">
      <c r="A2212" s="157" t="s">
        <v>9610</v>
      </c>
      <c r="B2212" s="169" t="s">
        <v>41</v>
      </c>
      <c r="C2212" s="169" t="s">
        <v>5048</v>
      </c>
      <c r="D2212" s="317">
        <v>45096.0</v>
      </c>
      <c r="E2212" s="157" t="s">
        <v>600</v>
      </c>
      <c r="F2212" s="160">
        <v>28697.19</v>
      </c>
      <c r="G2212" s="160">
        <f>'FACUS$'!$F2212*0.16</f>
        <v>4591.5504</v>
      </c>
      <c r="H2212" s="160">
        <f t="shared" si="68"/>
        <v>33288.7404</v>
      </c>
      <c r="I2212" s="172"/>
      <c r="J2212" s="169"/>
      <c r="K2212" s="172"/>
      <c r="L2212" s="172">
        <f>+'FACUS$'!$H2212-'FACUS$'!$I2212-'FACUS$'!$K2212</f>
        <v>33288.7404</v>
      </c>
      <c r="M2212" s="162" t="s">
        <v>875</v>
      </c>
      <c r="N2212" s="337" t="s">
        <v>554</v>
      </c>
      <c r="O2212" s="338">
        <v>45170.0</v>
      </c>
      <c r="P2212" s="164">
        <f t="array" ref="P2212">XLOOKUP('FACUS$'!$B2212,'perfil de pagos'!$A$4:$A$46,'perfil de pagos'!$C$4:$C$46+'FACUS$'!$D2212)</f>
        <v>45106</v>
      </c>
      <c r="Q2212" s="165">
        <f t="shared" si="66"/>
        <v>0</v>
      </c>
      <c r="R2212" s="167"/>
      <c r="S2212" s="167">
        <v>2396.0</v>
      </c>
      <c r="T2212" s="167"/>
      <c r="U2212" s="334" t="s">
        <v>7271</v>
      </c>
      <c r="V2212" s="168">
        <f t="shared" si="3"/>
        <v>33288.7404</v>
      </c>
      <c r="W2212" s="168">
        <f t="shared" si="4"/>
        <v>0</v>
      </c>
      <c r="X2212" s="168">
        <f t="shared" si="5"/>
        <v>0</v>
      </c>
      <c r="Y2212" s="168">
        <f t="shared" si="6"/>
        <v>0</v>
      </c>
      <c r="Z2212" s="168">
        <f t="shared" si="7"/>
        <v>0</v>
      </c>
      <c r="AA2212" s="168">
        <f t="shared" si="8"/>
        <v>0</v>
      </c>
      <c r="AB2212" s="168">
        <f t="shared" si="9"/>
        <v>0</v>
      </c>
    </row>
    <row r="2213" ht="15.0" customHeight="1">
      <c r="A2213" s="157" t="s">
        <v>9611</v>
      </c>
      <c r="B2213" s="169" t="s">
        <v>43</v>
      </c>
      <c r="C2213" s="169" t="s">
        <v>5048</v>
      </c>
      <c r="D2213" s="317">
        <v>45096.0</v>
      </c>
      <c r="E2213" s="157" t="s">
        <v>600</v>
      </c>
      <c r="F2213" s="160">
        <v>15378.47</v>
      </c>
      <c r="G2213" s="160">
        <f>'FACUS$'!$F2213*0.16</f>
        <v>2460.5552</v>
      </c>
      <c r="H2213" s="160">
        <f t="shared" si="68"/>
        <v>17839.0252</v>
      </c>
      <c r="I2213" s="172"/>
      <c r="J2213" s="169"/>
      <c r="K2213" s="172"/>
      <c r="L2213" s="172">
        <f>+'FACUS$'!$H2213-'FACUS$'!$I2213-'FACUS$'!$K2213</f>
        <v>17839.0252</v>
      </c>
      <c r="M2213" s="162" t="s">
        <v>43</v>
      </c>
      <c r="N2213" s="337" t="s">
        <v>554</v>
      </c>
      <c r="O2213" s="338">
        <v>45159.0</v>
      </c>
      <c r="P2213" s="164">
        <f t="array" ref="P2213">XLOOKUP('FACUS$'!$B2213,'perfil de pagos'!$A$4:$A$46,'perfil de pagos'!$C$4:$C$46+'FACUS$'!$D2213)</f>
        <v>45121</v>
      </c>
      <c r="Q2213" s="165">
        <f t="shared" si="66"/>
        <v>0</v>
      </c>
      <c r="R2213" s="167"/>
      <c r="S2213" s="167">
        <v>2376.0</v>
      </c>
      <c r="T2213" s="167"/>
      <c r="U2213" s="334" t="s">
        <v>7271</v>
      </c>
      <c r="V2213" s="168">
        <f t="shared" si="3"/>
        <v>17839.0252</v>
      </c>
      <c r="W2213" s="168">
        <f t="shared" si="4"/>
        <v>0</v>
      </c>
      <c r="X2213" s="168">
        <f t="shared" si="5"/>
        <v>0</v>
      </c>
      <c r="Y2213" s="168">
        <f t="shared" si="6"/>
        <v>0</v>
      </c>
      <c r="Z2213" s="168">
        <f t="shared" si="7"/>
        <v>0</v>
      </c>
      <c r="AA2213" s="168">
        <f t="shared" si="8"/>
        <v>0</v>
      </c>
      <c r="AB2213" s="168">
        <f t="shared" si="9"/>
        <v>0</v>
      </c>
    </row>
    <row r="2214" ht="15.0" customHeight="1">
      <c r="A2214" s="157" t="s">
        <v>9612</v>
      </c>
      <c r="B2214" s="169" t="s">
        <v>44</v>
      </c>
      <c r="C2214" s="169" t="s">
        <v>5048</v>
      </c>
      <c r="D2214" s="317">
        <v>45096.0</v>
      </c>
      <c r="E2214" s="157" t="s">
        <v>600</v>
      </c>
      <c r="F2214" s="160">
        <v>5843.34</v>
      </c>
      <c r="G2214" s="160">
        <f>'FACUS$'!$F2214*0.16</f>
        <v>934.9344</v>
      </c>
      <c r="H2214" s="160">
        <f t="shared" si="68"/>
        <v>6778.2744</v>
      </c>
      <c r="I2214" s="172"/>
      <c r="J2214" s="169"/>
      <c r="K2214" s="172"/>
      <c r="L2214" s="172">
        <f>+'FACUS$'!$H2214-'FACUS$'!$I2214-'FACUS$'!$K2214</f>
        <v>6778.2744</v>
      </c>
      <c r="M2214" s="162" t="s">
        <v>361</v>
      </c>
      <c r="N2214" s="337" t="s">
        <v>554</v>
      </c>
      <c r="O2214" s="338">
        <v>45114.0</v>
      </c>
      <c r="P2214" s="164">
        <f t="array" ref="P2214">XLOOKUP('FACUS$'!$B2214,'perfil de pagos'!$A$4:$A$46,'perfil de pagos'!$C$4:$C$46+'FACUS$'!$D2214)</f>
        <v>45106</v>
      </c>
      <c r="Q2214" s="165">
        <f t="shared" si="66"/>
        <v>0</v>
      </c>
      <c r="R2214" s="167"/>
      <c r="S2214" s="167">
        <v>2261.0</v>
      </c>
      <c r="T2214" s="167"/>
      <c r="U2214" s="334" t="s">
        <v>7271</v>
      </c>
      <c r="V2214" s="168">
        <f t="shared" si="3"/>
        <v>6778.2744</v>
      </c>
      <c r="W2214" s="168">
        <f t="shared" si="4"/>
        <v>0</v>
      </c>
      <c r="X2214" s="168">
        <f t="shared" si="5"/>
        <v>0</v>
      </c>
      <c r="Y2214" s="168">
        <f t="shared" si="6"/>
        <v>0</v>
      </c>
      <c r="Z2214" s="168">
        <f t="shared" si="7"/>
        <v>0</v>
      </c>
      <c r="AA2214" s="168">
        <f t="shared" si="8"/>
        <v>0</v>
      </c>
      <c r="AB2214" s="168">
        <f t="shared" si="9"/>
        <v>0</v>
      </c>
    </row>
    <row r="2215" ht="15.0" customHeight="1">
      <c r="A2215" s="157" t="s">
        <v>9613</v>
      </c>
      <c r="B2215" s="169" t="s">
        <v>40</v>
      </c>
      <c r="C2215" s="169" t="s">
        <v>4851</v>
      </c>
      <c r="D2215" s="317">
        <v>45098.0</v>
      </c>
      <c r="E2215" s="157" t="s">
        <v>600</v>
      </c>
      <c r="F2215" s="160">
        <v>665.08</v>
      </c>
      <c r="G2215" s="160">
        <f>'FACUS$'!$F2215*0.16</f>
        <v>106.4128</v>
      </c>
      <c r="H2215" s="160">
        <f t="shared" si="68"/>
        <v>771.4928</v>
      </c>
      <c r="I2215" s="172"/>
      <c r="J2215" s="169"/>
      <c r="K2215" s="172"/>
      <c r="L2215" s="172">
        <f>+'FACUS$'!$H2215-'FACUS$'!$I2215-'FACUS$'!$K2215</f>
        <v>771.4928</v>
      </c>
      <c r="M2215" s="162" t="s">
        <v>490</v>
      </c>
      <c r="N2215" s="337" t="s">
        <v>127</v>
      </c>
      <c r="O2215" s="338"/>
      <c r="P2215" s="164">
        <f t="array" ref="P2215">XLOOKUP('FACUS$'!$B2215,'perfil de pagos'!$A$4:$A$46,'perfil de pagos'!$C$4:$C$46+'FACUS$'!$D2215)</f>
        <v>45128</v>
      </c>
      <c r="Q2215" s="165" t="str">
        <f t="shared" si="66"/>
        <v>N/A</v>
      </c>
      <c r="R2215" s="167" t="s">
        <v>9614</v>
      </c>
      <c r="S2215" s="167"/>
      <c r="T2215" s="167"/>
      <c r="U2215" s="334" t="s">
        <v>7271</v>
      </c>
      <c r="V2215" s="168">
        <f t="shared" si="3"/>
        <v>0</v>
      </c>
      <c r="W2215" s="168">
        <f t="shared" si="4"/>
        <v>0</v>
      </c>
      <c r="X2215" s="168">
        <f t="shared" si="5"/>
        <v>0</v>
      </c>
      <c r="Y2215" s="168">
        <f t="shared" si="6"/>
        <v>0</v>
      </c>
      <c r="Z2215" s="168">
        <f t="shared" si="7"/>
        <v>0</v>
      </c>
      <c r="AA2215" s="168">
        <f t="shared" si="8"/>
        <v>0</v>
      </c>
      <c r="AB2215" s="168">
        <f t="shared" si="9"/>
        <v>771.4928</v>
      </c>
    </row>
    <row r="2216" ht="15.0" customHeight="1">
      <c r="A2216" s="157" t="s">
        <v>9615</v>
      </c>
      <c r="B2216" s="169" t="s">
        <v>20</v>
      </c>
      <c r="C2216" s="169" t="s">
        <v>5048</v>
      </c>
      <c r="D2216" s="317">
        <v>45100.0</v>
      </c>
      <c r="E2216" s="157" t="s">
        <v>600</v>
      </c>
      <c r="F2216" s="160">
        <v>9918.46</v>
      </c>
      <c r="G2216" s="160">
        <f>'FACUS$'!$F2216*0.16</f>
        <v>1586.9536</v>
      </c>
      <c r="H2216" s="160">
        <f t="shared" si="68"/>
        <v>11505.4136</v>
      </c>
      <c r="I2216" s="172"/>
      <c r="J2216" s="169"/>
      <c r="K2216" s="172"/>
      <c r="L2216" s="172">
        <f>+'FACUS$'!$H2216-'FACUS$'!$I2216-'FACUS$'!$K2216</f>
        <v>11505.4136</v>
      </c>
      <c r="M2216" s="162" t="s">
        <v>732</v>
      </c>
      <c r="N2216" s="337" t="s">
        <v>554</v>
      </c>
      <c r="O2216" s="338">
        <v>45166.0</v>
      </c>
      <c r="P2216" s="164">
        <f t="array" ref="P2216">XLOOKUP('FACUS$'!$B2216,'perfil de pagos'!$A$4:$A$46,'perfil de pagos'!$C$4:$C$46+'FACUS$'!$D2216)</f>
        <v>45110</v>
      </c>
      <c r="Q2216" s="165">
        <f t="shared" si="66"/>
        <v>0</v>
      </c>
      <c r="R2216" s="167"/>
      <c r="S2216" s="167">
        <v>2395.0</v>
      </c>
      <c r="T2216" s="167"/>
      <c r="U2216" s="334" t="s">
        <v>7271</v>
      </c>
      <c r="V2216" s="168">
        <f t="shared" si="3"/>
        <v>11505.4136</v>
      </c>
      <c r="W2216" s="168">
        <f t="shared" si="4"/>
        <v>0</v>
      </c>
      <c r="X2216" s="168">
        <f t="shared" si="5"/>
        <v>0</v>
      </c>
      <c r="Y2216" s="168">
        <f t="shared" si="6"/>
        <v>0</v>
      </c>
      <c r="Z2216" s="168">
        <f t="shared" si="7"/>
        <v>0</v>
      </c>
      <c r="AA2216" s="168">
        <f t="shared" si="8"/>
        <v>0</v>
      </c>
      <c r="AB2216" s="168">
        <f t="shared" si="9"/>
        <v>0</v>
      </c>
    </row>
    <row r="2217" ht="15.0" customHeight="1">
      <c r="A2217" s="157" t="s">
        <v>9616</v>
      </c>
      <c r="B2217" s="169" t="s">
        <v>22</v>
      </c>
      <c r="C2217" s="169" t="s">
        <v>5048</v>
      </c>
      <c r="D2217" s="317">
        <v>45100.0</v>
      </c>
      <c r="E2217" s="157" t="s">
        <v>600</v>
      </c>
      <c r="F2217" s="160">
        <v>11207.66</v>
      </c>
      <c r="G2217" s="160">
        <f>'FACUS$'!$F2217*0.16</f>
        <v>1793.2256</v>
      </c>
      <c r="H2217" s="160">
        <f t="shared" si="68"/>
        <v>13000.8856</v>
      </c>
      <c r="I2217" s="172"/>
      <c r="J2217" s="169"/>
      <c r="K2217" s="172"/>
      <c r="L2217" s="172">
        <f>+'FACUS$'!$H2217-'FACUS$'!$I2217-'FACUS$'!$K2217</f>
        <v>13000.8856</v>
      </c>
      <c r="M2217" s="162" t="s">
        <v>220</v>
      </c>
      <c r="N2217" s="337" t="s">
        <v>554</v>
      </c>
      <c r="O2217" s="338">
        <v>45135.0</v>
      </c>
      <c r="P2217" s="164">
        <f t="array" ref="P2217">XLOOKUP('FACUS$'!$B2217,'perfil de pagos'!$A$4:$A$46,'perfil de pagos'!$C$4:$C$46+'FACUS$'!$D2217)</f>
        <v>45110</v>
      </c>
      <c r="Q2217" s="165">
        <f t="shared" si="66"/>
        <v>0</v>
      </c>
      <c r="R2217" s="220" t="s">
        <v>9617</v>
      </c>
      <c r="S2217" s="167">
        <v>2325.0</v>
      </c>
      <c r="T2217" s="167"/>
      <c r="U2217" s="334" t="s">
        <v>7271</v>
      </c>
      <c r="V2217" s="168">
        <f t="shared" si="3"/>
        <v>13000.8856</v>
      </c>
      <c r="W2217" s="168">
        <f t="shared" si="4"/>
        <v>0</v>
      </c>
      <c r="X2217" s="168">
        <f t="shared" si="5"/>
        <v>0</v>
      </c>
      <c r="Y2217" s="168">
        <f t="shared" si="6"/>
        <v>0</v>
      </c>
      <c r="Z2217" s="168">
        <f t="shared" si="7"/>
        <v>0</v>
      </c>
      <c r="AA2217" s="168">
        <f t="shared" si="8"/>
        <v>0</v>
      </c>
      <c r="AB2217" s="168">
        <f t="shared" si="9"/>
        <v>0</v>
      </c>
    </row>
    <row r="2218" ht="15.0" customHeight="1">
      <c r="A2218" s="157" t="s">
        <v>9618</v>
      </c>
      <c r="B2218" s="169" t="s">
        <v>25</v>
      </c>
      <c r="C2218" s="169" t="s">
        <v>5048</v>
      </c>
      <c r="D2218" s="317">
        <v>45100.0</v>
      </c>
      <c r="E2218" s="157" t="s">
        <v>600</v>
      </c>
      <c r="F2218" s="160">
        <v>4741.97</v>
      </c>
      <c r="G2218" s="160">
        <f>'FACUS$'!$F2218*0.16</f>
        <v>758.7152</v>
      </c>
      <c r="H2218" s="160">
        <f t="shared" si="68"/>
        <v>5500.6852</v>
      </c>
      <c r="I2218" s="172"/>
      <c r="J2218" s="169"/>
      <c r="K2218" s="172"/>
      <c r="L2218" s="172">
        <f>+'FACUS$'!$H2218-'FACUS$'!$I2218-'FACUS$'!$K2218</f>
        <v>5500.6852</v>
      </c>
      <c r="M2218" s="162" t="s">
        <v>4388</v>
      </c>
      <c r="N2218" s="337" t="s">
        <v>554</v>
      </c>
      <c r="O2218" s="338">
        <v>45208.0</v>
      </c>
      <c r="P2218" s="164">
        <f t="array" ref="P2218">XLOOKUP('FACUS$'!$B2218,'perfil de pagos'!$A$4:$A$46,'perfil de pagos'!$C$4:$C$46+'FACUS$'!$D2218)</f>
        <v>45110</v>
      </c>
      <c r="Q2218" s="165">
        <f t="shared" si="66"/>
        <v>0</v>
      </c>
      <c r="R2218" s="167"/>
      <c r="S2218" s="220">
        <v>2481.0</v>
      </c>
      <c r="T2218" s="167"/>
      <c r="U2218" s="334" t="s">
        <v>7271</v>
      </c>
      <c r="V2218" s="168">
        <f t="shared" si="3"/>
        <v>5500.6852</v>
      </c>
      <c r="W2218" s="168">
        <f t="shared" si="4"/>
        <v>0</v>
      </c>
      <c r="X2218" s="168">
        <f t="shared" si="5"/>
        <v>0</v>
      </c>
      <c r="Y2218" s="168">
        <f t="shared" si="6"/>
        <v>0</v>
      </c>
      <c r="Z2218" s="168">
        <f t="shared" si="7"/>
        <v>0</v>
      </c>
      <c r="AA2218" s="168">
        <f t="shared" si="8"/>
        <v>0</v>
      </c>
      <c r="AB2218" s="168">
        <f t="shared" si="9"/>
        <v>0</v>
      </c>
    </row>
    <row r="2219" ht="15.0" customHeight="1">
      <c r="A2219" s="157" t="s">
        <v>9619</v>
      </c>
      <c r="B2219" s="169" t="s">
        <v>37</v>
      </c>
      <c r="C2219" s="169" t="s">
        <v>5048</v>
      </c>
      <c r="D2219" s="317">
        <v>45100.0</v>
      </c>
      <c r="E2219" s="157" t="s">
        <v>600</v>
      </c>
      <c r="F2219" s="160">
        <v>81829.11</v>
      </c>
      <c r="G2219" s="160">
        <f>'FACUS$'!$F2219*0.16</f>
        <v>13092.6576</v>
      </c>
      <c r="H2219" s="160">
        <f t="shared" si="68"/>
        <v>94921.7676</v>
      </c>
      <c r="I2219" s="172"/>
      <c r="J2219" s="169"/>
      <c r="K2219" s="172"/>
      <c r="L2219" s="172">
        <f>+'FACUS$'!$H2219-'FACUS$'!$I2219-'FACUS$'!$K2219</f>
        <v>94921.7676</v>
      </c>
      <c r="M2219" s="162" t="s">
        <v>116</v>
      </c>
      <c r="N2219" s="337" t="s">
        <v>554</v>
      </c>
      <c r="O2219" s="338">
        <v>45124.0</v>
      </c>
      <c r="P2219" s="164">
        <f t="array" ref="P2219">XLOOKUP('FACUS$'!$B2219,'perfil de pagos'!$A$4:$A$46,'perfil de pagos'!$C$4:$C$46+'FACUS$'!$D2219)</f>
        <v>45110</v>
      </c>
      <c r="Q2219" s="165">
        <f t="shared" si="66"/>
        <v>0</v>
      </c>
      <c r="R2219" s="220" t="s">
        <v>9620</v>
      </c>
      <c r="S2219" s="167"/>
      <c r="T2219" s="167"/>
      <c r="U2219" s="334" t="s">
        <v>7271</v>
      </c>
      <c r="V2219" s="168">
        <f t="shared" si="3"/>
        <v>94921.7676</v>
      </c>
      <c r="W2219" s="168">
        <f t="shared" si="4"/>
        <v>0</v>
      </c>
      <c r="X2219" s="168">
        <f t="shared" si="5"/>
        <v>0</v>
      </c>
      <c r="Y2219" s="168">
        <f t="shared" si="6"/>
        <v>0</v>
      </c>
      <c r="Z2219" s="168">
        <f t="shared" si="7"/>
        <v>0</v>
      </c>
      <c r="AA2219" s="168">
        <f t="shared" si="8"/>
        <v>0</v>
      </c>
      <c r="AB2219" s="168">
        <f t="shared" si="9"/>
        <v>0</v>
      </c>
    </row>
    <row r="2220" ht="15.0" customHeight="1">
      <c r="A2220" s="157" t="s">
        <v>9621</v>
      </c>
      <c r="B2220" s="169" t="s">
        <v>38</v>
      </c>
      <c r="C2220" s="169" t="s">
        <v>5048</v>
      </c>
      <c r="D2220" s="317">
        <v>45100.0</v>
      </c>
      <c r="E2220" s="157" t="s">
        <v>600</v>
      </c>
      <c r="F2220" s="160">
        <v>2667.38</v>
      </c>
      <c r="G2220" s="160">
        <f>'FACUS$'!$F2220*0.16</f>
        <v>426.7808</v>
      </c>
      <c r="H2220" s="160">
        <f t="shared" si="68"/>
        <v>3094.1608</v>
      </c>
      <c r="I2220" s="172"/>
      <c r="J2220" s="169"/>
      <c r="K2220" s="172"/>
      <c r="L2220" s="172">
        <f>+'FACUS$'!$H2220-'FACUS$'!$I2220-'FACUS$'!$K2220</f>
        <v>3094.1608</v>
      </c>
      <c r="M2220" s="162" t="s">
        <v>642</v>
      </c>
      <c r="N2220" s="337" t="s">
        <v>554</v>
      </c>
      <c r="O2220" s="338">
        <v>45141.0</v>
      </c>
      <c r="P2220" s="164">
        <f t="array" ref="P2220">XLOOKUP('FACUS$'!$B2220,'perfil de pagos'!$A$4:$A$46,'perfil de pagos'!$C$4:$C$46+'FACUS$'!$D2220)</f>
        <v>45130</v>
      </c>
      <c r="Q2220" s="165">
        <f t="shared" si="66"/>
        <v>0</v>
      </c>
      <c r="R2220" s="167"/>
      <c r="S2220" s="167"/>
      <c r="T2220" s="167"/>
      <c r="U2220" s="334" t="s">
        <v>7271</v>
      </c>
      <c r="V2220" s="168">
        <f t="shared" si="3"/>
        <v>3094.1608</v>
      </c>
      <c r="W2220" s="168">
        <f t="shared" si="4"/>
        <v>0</v>
      </c>
      <c r="X2220" s="168">
        <f t="shared" si="5"/>
        <v>0</v>
      </c>
      <c r="Y2220" s="168">
        <f t="shared" si="6"/>
        <v>0</v>
      </c>
      <c r="Z2220" s="168">
        <f t="shared" si="7"/>
        <v>0</v>
      </c>
      <c r="AA2220" s="168">
        <f t="shared" si="8"/>
        <v>0</v>
      </c>
      <c r="AB2220" s="168">
        <f t="shared" si="9"/>
        <v>0</v>
      </c>
    </row>
    <row r="2221" ht="15.0" customHeight="1">
      <c r="A2221" s="157" t="s">
        <v>9622</v>
      </c>
      <c r="B2221" s="169" t="s">
        <v>38</v>
      </c>
      <c r="C2221" s="169" t="s">
        <v>5048</v>
      </c>
      <c r="D2221" s="317">
        <v>45100.0</v>
      </c>
      <c r="E2221" s="157" t="s">
        <v>600</v>
      </c>
      <c r="F2221" s="160">
        <v>7222.31</v>
      </c>
      <c r="G2221" s="160">
        <f>'FACUS$'!$F2221*0.16</f>
        <v>1155.5696</v>
      </c>
      <c r="H2221" s="160">
        <f t="shared" si="68"/>
        <v>8377.8796</v>
      </c>
      <c r="I2221" s="172"/>
      <c r="J2221" s="169"/>
      <c r="K2221" s="172"/>
      <c r="L2221" s="172">
        <f>+'FACUS$'!$H2221-'FACUS$'!$I2221-'FACUS$'!$K2221</f>
        <v>8377.8796</v>
      </c>
      <c r="M2221" s="162" t="s">
        <v>145</v>
      </c>
      <c r="N2221" s="337" t="s">
        <v>554</v>
      </c>
      <c r="O2221" s="338">
        <v>45141.0</v>
      </c>
      <c r="P2221" s="164">
        <f t="array" ref="P2221">XLOOKUP('FACUS$'!$B2221,'perfil de pagos'!$A$4:$A$46,'perfil de pagos'!$C$4:$C$46+'FACUS$'!$D2221)</f>
        <v>45130</v>
      </c>
      <c r="Q2221" s="165">
        <f t="shared" si="66"/>
        <v>0</v>
      </c>
      <c r="R2221" s="167"/>
      <c r="S2221" s="167"/>
      <c r="T2221" s="167"/>
      <c r="U2221" s="334" t="s">
        <v>7271</v>
      </c>
      <c r="V2221" s="168">
        <f t="shared" si="3"/>
        <v>8377.8796</v>
      </c>
      <c r="W2221" s="168">
        <f t="shared" si="4"/>
        <v>0</v>
      </c>
      <c r="X2221" s="168">
        <f t="shared" si="5"/>
        <v>0</v>
      </c>
      <c r="Y2221" s="168">
        <f t="shared" si="6"/>
        <v>0</v>
      </c>
      <c r="Z2221" s="168">
        <f t="shared" si="7"/>
        <v>0</v>
      </c>
      <c r="AA2221" s="168">
        <f t="shared" si="8"/>
        <v>0</v>
      </c>
      <c r="AB2221" s="168">
        <f t="shared" si="9"/>
        <v>0</v>
      </c>
    </row>
    <row r="2222" ht="15.0" customHeight="1">
      <c r="A2222" s="157" t="s">
        <v>9623</v>
      </c>
      <c r="B2222" s="169" t="s">
        <v>42</v>
      </c>
      <c r="C2222" s="169" t="s">
        <v>5048</v>
      </c>
      <c r="D2222" s="317">
        <v>45100.0</v>
      </c>
      <c r="E2222" s="157" t="s">
        <v>600</v>
      </c>
      <c r="F2222" s="160">
        <v>6253.22</v>
      </c>
      <c r="G2222" s="160">
        <f>'FACUS$'!$F2222*0.16</f>
        <v>1000.5152</v>
      </c>
      <c r="H2222" s="160">
        <f t="shared" si="68"/>
        <v>7253.7352</v>
      </c>
      <c r="I2222" s="172"/>
      <c r="J2222" s="169"/>
      <c r="K2222" s="172"/>
      <c r="L2222" s="172">
        <f>+'FACUS$'!$H2222-'FACUS$'!$I2222-'FACUS$'!$K2222</f>
        <v>7253.7352</v>
      </c>
      <c r="M2222" s="162" t="s">
        <v>42</v>
      </c>
      <c r="N2222" s="337" t="s">
        <v>554</v>
      </c>
      <c r="O2222" s="338">
        <v>45113.0</v>
      </c>
      <c r="P2222" s="164">
        <f t="array" ref="P2222">XLOOKUP('FACUS$'!$B2222,'perfil de pagos'!$A$4:$A$46,'perfil de pagos'!$C$4:$C$46+'FACUS$'!$D2222)</f>
        <v>45110</v>
      </c>
      <c r="Q2222" s="165">
        <f t="shared" si="66"/>
        <v>0</v>
      </c>
      <c r="R2222" s="167"/>
      <c r="S2222" s="167">
        <v>2260.0</v>
      </c>
      <c r="T2222" s="167"/>
      <c r="U2222" s="334" t="s">
        <v>7271</v>
      </c>
      <c r="V2222" s="168">
        <f t="shared" si="3"/>
        <v>7253.7352</v>
      </c>
      <c r="W2222" s="168">
        <f t="shared" si="4"/>
        <v>0</v>
      </c>
      <c r="X2222" s="168">
        <f t="shared" si="5"/>
        <v>0</v>
      </c>
      <c r="Y2222" s="168">
        <f t="shared" si="6"/>
        <v>0</v>
      </c>
      <c r="Z2222" s="168">
        <f t="shared" si="7"/>
        <v>0</v>
      </c>
      <c r="AA2222" s="168">
        <f t="shared" si="8"/>
        <v>0</v>
      </c>
      <c r="AB2222" s="168">
        <f t="shared" si="9"/>
        <v>0</v>
      </c>
    </row>
    <row r="2223" ht="15.0" customHeight="1">
      <c r="A2223" s="157" t="s">
        <v>9624</v>
      </c>
      <c r="B2223" s="169" t="s">
        <v>18</v>
      </c>
      <c r="C2223" s="169" t="s">
        <v>4755</v>
      </c>
      <c r="D2223" s="317">
        <v>45103.0</v>
      </c>
      <c r="E2223" s="157" t="s">
        <v>600</v>
      </c>
      <c r="F2223" s="160">
        <v>116.71</v>
      </c>
      <c r="G2223" s="160">
        <f>'FACUS$'!$F2223*0.16</f>
        <v>18.6736</v>
      </c>
      <c r="H2223" s="160">
        <f t="shared" si="68"/>
        <v>135.3836</v>
      </c>
      <c r="I2223" s="172"/>
      <c r="J2223" s="169"/>
      <c r="K2223" s="172"/>
      <c r="L2223" s="172">
        <f>+'FACUS$'!$H2223-'FACUS$'!$I2223-'FACUS$'!$K2223</f>
        <v>135.3836</v>
      </c>
      <c r="M2223" s="162" t="s">
        <v>586</v>
      </c>
      <c r="N2223" s="337" t="s">
        <v>554</v>
      </c>
      <c r="O2223" s="338">
        <v>45166.0</v>
      </c>
      <c r="P2223" s="164">
        <f t="array" ref="P2223">XLOOKUP('FACUS$'!$B2223,'perfil de pagos'!$A$4:$A$46,'perfil de pagos'!$C$4:$C$46+'FACUS$'!$D2223)</f>
        <v>45113</v>
      </c>
      <c r="Q2223" s="165">
        <f t="shared" si="66"/>
        <v>0</v>
      </c>
      <c r="R2223" s="167" t="s">
        <v>9625</v>
      </c>
      <c r="S2223" s="167">
        <v>2395.0</v>
      </c>
      <c r="T2223" s="167"/>
      <c r="U2223" s="334" t="s">
        <v>7271</v>
      </c>
      <c r="V2223" s="168">
        <f t="shared" si="3"/>
        <v>135.3836</v>
      </c>
      <c r="W2223" s="168">
        <f t="shared" si="4"/>
        <v>0</v>
      </c>
      <c r="X2223" s="168">
        <f t="shared" si="5"/>
        <v>0</v>
      </c>
      <c r="Y2223" s="168">
        <f t="shared" si="6"/>
        <v>0</v>
      </c>
      <c r="Z2223" s="168">
        <f t="shared" si="7"/>
        <v>0</v>
      </c>
      <c r="AA2223" s="168">
        <f t="shared" si="8"/>
        <v>0</v>
      </c>
      <c r="AB2223" s="168">
        <f t="shared" si="9"/>
        <v>0</v>
      </c>
    </row>
    <row r="2224" ht="15.0" customHeight="1">
      <c r="A2224" s="157" t="s">
        <v>9626</v>
      </c>
      <c r="B2224" s="169" t="s">
        <v>18</v>
      </c>
      <c r="C2224" s="169" t="s">
        <v>5048</v>
      </c>
      <c r="D2224" s="317">
        <v>45105.0</v>
      </c>
      <c r="E2224" s="157" t="s">
        <v>600</v>
      </c>
      <c r="F2224" s="160">
        <v>5162.22</v>
      </c>
      <c r="G2224" s="160">
        <f>'FACUS$'!$F2224*0.16</f>
        <v>825.9552</v>
      </c>
      <c r="H2224" s="160">
        <f t="shared" si="68"/>
        <v>5988.1752</v>
      </c>
      <c r="I2224" s="172"/>
      <c r="J2224" s="169"/>
      <c r="K2224" s="172"/>
      <c r="L2224" s="172">
        <f>+'FACUS$'!$H2224-'FACUS$'!$I2224-'FACUS$'!$K2224</f>
        <v>5988.1752</v>
      </c>
      <c r="M2224" s="162" t="s">
        <v>586</v>
      </c>
      <c r="N2224" s="337" t="s">
        <v>554</v>
      </c>
      <c r="O2224" s="338">
        <v>45181.0</v>
      </c>
      <c r="P2224" s="164">
        <f t="array" ref="P2224">XLOOKUP('FACUS$'!$B2224,'perfil de pagos'!$A$4:$A$46,'perfil de pagos'!$C$4:$C$46+'FACUS$'!$D2224)</f>
        <v>45115</v>
      </c>
      <c r="Q2224" s="165">
        <f t="shared" si="66"/>
        <v>0</v>
      </c>
      <c r="R2224" s="167"/>
      <c r="S2224" s="167">
        <v>2427.0</v>
      </c>
      <c r="T2224" s="167"/>
      <c r="U2224" s="334" t="s">
        <v>7271</v>
      </c>
      <c r="V2224" s="168">
        <f t="shared" si="3"/>
        <v>5988.1752</v>
      </c>
      <c r="W2224" s="168">
        <f t="shared" si="4"/>
        <v>0</v>
      </c>
      <c r="X2224" s="168">
        <f t="shared" si="5"/>
        <v>0</v>
      </c>
      <c r="Y2224" s="168">
        <f t="shared" si="6"/>
        <v>0</v>
      </c>
      <c r="Z2224" s="168">
        <f t="shared" si="7"/>
        <v>0</v>
      </c>
      <c r="AA2224" s="168">
        <f t="shared" si="8"/>
        <v>0</v>
      </c>
      <c r="AB2224" s="168">
        <f t="shared" si="9"/>
        <v>0</v>
      </c>
    </row>
    <row r="2225" ht="15.0" customHeight="1">
      <c r="A2225" s="157" t="s">
        <v>9627</v>
      </c>
      <c r="B2225" s="169" t="s">
        <v>24</v>
      </c>
      <c r="C2225" s="169" t="s">
        <v>9628</v>
      </c>
      <c r="D2225" s="317">
        <v>45106.0</v>
      </c>
      <c r="E2225" s="157" t="s">
        <v>600</v>
      </c>
      <c r="F2225" s="160">
        <v>991.67</v>
      </c>
      <c r="G2225" s="160">
        <f>'FACUS$'!$F2225*0.16</f>
        <v>158.6672</v>
      </c>
      <c r="H2225" s="160">
        <f t="shared" si="68"/>
        <v>1150.3372</v>
      </c>
      <c r="I2225" s="172"/>
      <c r="J2225" s="169"/>
      <c r="K2225" s="172"/>
      <c r="L2225" s="172">
        <f>+'FACUS$'!$H2225-'FACUS$'!$I2225-'FACUS$'!$K2225</f>
        <v>1150.3372</v>
      </c>
      <c r="M2225" s="162" t="s">
        <v>91</v>
      </c>
      <c r="N2225" s="337" t="s">
        <v>554</v>
      </c>
      <c r="O2225" s="338">
        <v>45127.0</v>
      </c>
      <c r="P2225" s="164">
        <f t="array" ref="P2225">XLOOKUP('FACUS$'!$B2225,'perfil de pagos'!$A$4:$A$46,'perfil de pagos'!$C$4:$C$46+'FACUS$'!$D2225)</f>
        <v>45116</v>
      </c>
      <c r="Q2225" s="165">
        <f t="shared" si="66"/>
        <v>0</v>
      </c>
      <c r="R2225" s="167"/>
      <c r="S2225" s="167">
        <v>2306.0</v>
      </c>
      <c r="T2225" s="167"/>
      <c r="U2225" s="334" t="s">
        <v>7271</v>
      </c>
      <c r="V2225" s="168">
        <f t="shared" si="3"/>
        <v>1150.3372</v>
      </c>
      <c r="W2225" s="168">
        <f t="shared" si="4"/>
        <v>0</v>
      </c>
      <c r="X2225" s="168">
        <f t="shared" si="5"/>
        <v>0</v>
      </c>
      <c r="Y2225" s="168">
        <f t="shared" si="6"/>
        <v>0</v>
      </c>
      <c r="Z2225" s="168">
        <f t="shared" si="7"/>
        <v>0</v>
      </c>
      <c r="AA2225" s="168">
        <f t="shared" si="8"/>
        <v>0</v>
      </c>
      <c r="AB2225" s="168">
        <f t="shared" si="9"/>
        <v>0</v>
      </c>
    </row>
    <row r="2226" ht="15.0" customHeight="1">
      <c r="A2226" s="157" t="s">
        <v>9629</v>
      </c>
      <c r="B2226" s="169" t="s">
        <v>15</v>
      </c>
      <c r="C2226" s="169" t="s">
        <v>5109</v>
      </c>
      <c r="D2226" s="317">
        <v>45111.0</v>
      </c>
      <c r="E2226" s="157" t="s">
        <v>600</v>
      </c>
      <c r="F2226" s="160">
        <v>16400.3</v>
      </c>
      <c r="G2226" s="160">
        <f>'FACUS$'!$F2226*0.16</f>
        <v>2624.048</v>
      </c>
      <c r="H2226" s="160">
        <f t="shared" si="68"/>
        <v>19024.348</v>
      </c>
      <c r="I2226" s="172"/>
      <c r="J2226" s="169"/>
      <c r="K2226" s="172"/>
      <c r="L2226" s="172">
        <f>+'FACUS$'!$H2226-'FACUS$'!$I2226-'FACUS$'!$K2226</f>
        <v>19024.348</v>
      </c>
      <c r="M2226" s="162" t="s">
        <v>443</v>
      </c>
      <c r="N2226" s="337" t="s">
        <v>554</v>
      </c>
      <c r="O2226" s="338">
        <v>45132.0</v>
      </c>
      <c r="P2226" s="164">
        <f t="array" ref="P2226">XLOOKUP('FACUS$'!$B2226,'perfil de pagos'!$A$4:$A$46,'perfil de pagos'!$C$4:$C$46+'FACUS$'!$D2226)</f>
        <v>45121</v>
      </c>
      <c r="Q2226" s="165">
        <f t="shared" si="66"/>
        <v>0</v>
      </c>
      <c r="R2226" s="167"/>
      <c r="S2226" s="167">
        <v>2335.0</v>
      </c>
      <c r="T2226" s="167"/>
      <c r="U2226" s="334" t="s">
        <v>7271</v>
      </c>
      <c r="V2226" s="168">
        <f t="shared" si="3"/>
        <v>19024.348</v>
      </c>
      <c r="W2226" s="168">
        <f t="shared" si="4"/>
        <v>0</v>
      </c>
      <c r="X2226" s="168">
        <f t="shared" si="5"/>
        <v>0</v>
      </c>
      <c r="Y2226" s="168">
        <f t="shared" si="6"/>
        <v>0</v>
      </c>
      <c r="Z2226" s="168">
        <f t="shared" si="7"/>
        <v>0</v>
      </c>
      <c r="AA2226" s="168">
        <f t="shared" si="8"/>
        <v>0</v>
      </c>
      <c r="AB2226" s="168">
        <f t="shared" si="9"/>
        <v>0</v>
      </c>
    </row>
    <row r="2227" ht="15.0" customHeight="1">
      <c r="A2227" s="157" t="s">
        <v>9630</v>
      </c>
      <c r="B2227" s="169" t="s">
        <v>35</v>
      </c>
      <c r="C2227" s="169" t="s">
        <v>5109</v>
      </c>
      <c r="D2227" s="317">
        <v>45111.0</v>
      </c>
      <c r="E2227" s="157" t="s">
        <v>600</v>
      </c>
      <c r="F2227" s="160">
        <v>7783.62</v>
      </c>
      <c r="G2227" s="160">
        <f>'FACUS$'!$F2227*0.16</f>
        <v>1245.3792</v>
      </c>
      <c r="H2227" s="160">
        <f t="shared" si="68"/>
        <v>9028.9992</v>
      </c>
      <c r="I2227" s="172"/>
      <c r="J2227" s="169"/>
      <c r="K2227" s="172"/>
      <c r="L2227" s="172">
        <f>+'FACUS$'!$H2227-'FACUS$'!$I2227-'FACUS$'!$K2227</f>
        <v>9028.9992</v>
      </c>
      <c r="M2227" s="162" t="s">
        <v>276</v>
      </c>
      <c r="N2227" s="337" t="s">
        <v>127</v>
      </c>
      <c r="O2227" s="332"/>
      <c r="P2227" s="164">
        <f t="array" ref="P2227">XLOOKUP('FACUS$'!$B2227,'perfil de pagos'!$A$4:$A$46,'perfil de pagos'!$C$4:$C$46+'FACUS$'!$D2227)</f>
        <v>45121</v>
      </c>
      <c r="Q2227" s="165" t="str">
        <f t="shared" si="66"/>
        <v>N/A</v>
      </c>
      <c r="R2227" s="167" t="s">
        <v>9631</v>
      </c>
      <c r="S2227" s="167"/>
      <c r="T2227" s="167"/>
      <c r="U2227" s="334" t="s">
        <v>7271</v>
      </c>
      <c r="V2227" s="168">
        <f t="shared" si="3"/>
        <v>0</v>
      </c>
      <c r="W2227" s="168">
        <f t="shared" si="4"/>
        <v>0</v>
      </c>
      <c r="X2227" s="168">
        <f t="shared" si="5"/>
        <v>0</v>
      </c>
      <c r="Y2227" s="168">
        <f t="shared" si="6"/>
        <v>0</v>
      </c>
      <c r="Z2227" s="168">
        <f t="shared" si="7"/>
        <v>0</v>
      </c>
      <c r="AA2227" s="168">
        <f t="shared" si="8"/>
        <v>0</v>
      </c>
      <c r="AB2227" s="168">
        <f t="shared" si="9"/>
        <v>9028.9992</v>
      </c>
    </row>
    <row r="2228" ht="15.0" customHeight="1">
      <c r="A2228" s="157" t="s">
        <v>9632</v>
      </c>
      <c r="B2228" s="169" t="s">
        <v>38</v>
      </c>
      <c r="C2228" s="169" t="s">
        <v>5109</v>
      </c>
      <c r="D2228" s="317">
        <v>45111.0</v>
      </c>
      <c r="E2228" s="157" t="s">
        <v>600</v>
      </c>
      <c r="F2228" s="160">
        <v>5264.82</v>
      </c>
      <c r="G2228" s="160">
        <f>'FACUS$'!$F2228*0.16</f>
        <v>842.3712</v>
      </c>
      <c r="H2228" s="160">
        <f t="shared" si="68"/>
        <v>6107.1912</v>
      </c>
      <c r="I2228" s="172"/>
      <c r="J2228" s="169"/>
      <c r="K2228" s="172"/>
      <c r="L2228" s="172">
        <f>+'FACUS$'!$H2228-'FACUS$'!$I2228-'FACUS$'!$K2228</f>
        <v>6107.1912</v>
      </c>
      <c r="M2228" s="162" t="s">
        <v>4654</v>
      </c>
      <c r="N2228" s="337" t="s">
        <v>554</v>
      </c>
      <c r="O2228" s="338">
        <v>45141.0</v>
      </c>
      <c r="P2228" s="164">
        <f t="array" ref="P2228">XLOOKUP('FACUS$'!$B2228,'perfil de pagos'!$A$4:$A$46,'perfil de pagos'!$C$4:$C$46+'FACUS$'!$D2228)</f>
        <v>45141</v>
      </c>
      <c r="Q2228" s="165">
        <f t="shared" si="66"/>
        <v>0</v>
      </c>
      <c r="R2228" s="167"/>
      <c r="S2228" s="167"/>
      <c r="T2228" s="167"/>
      <c r="U2228" s="334" t="s">
        <v>7271</v>
      </c>
      <c r="V2228" s="168">
        <f t="shared" si="3"/>
        <v>6107.1912</v>
      </c>
      <c r="W2228" s="168">
        <f t="shared" si="4"/>
        <v>0</v>
      </c>
      <c r="X2228" s="168">
        <f t="shared" si="5"/>
        <v>0</v>
      </c>
      <c r="Y2228" s="168">
        <f t="shared" si="6"/>
        <v>0</v>
      </c>
      <c r="Z2228" s="168">
        <f t="shared" si="7"/>
        <v>0</v>
      </c>
      <c r="AA2228" s="168">
        <f t="shared" si="8"/>
        <v>0</v>
      </c>
      <c r="AB2228" s="168">
        <f t="shared" si="9"/>
        <v>0</v>
      </c>
    </row>
    <row r="2229" ht="15.0" customHeight="1">
      <c r="A2229" s="157" t="s">
        <v>9633</v>
      </c>
      <c r="B2229" s="169" t="s">
        <v>39</v>
      </c>
      <c r="C2229" s="169" t="s">
        <v>5103</v>
      </c>
      <c r="D2229" s="317">
        <v>45111.0</v>
      </c>
      <c r="E2229" s="157" t="s">
        <v>600</v>
      </c>
      <c r="F2229" s="160">
        <v>8888.66</v>
      </c>
      <c r="G2229" s="160">
        <f>'FACUS$'!$F2229*0.16</f>
        <v>1422.1856</v>
      </c>
      <c r="H2229" s="160">
        <f t="shared" si="68"/>
        <v>10310.8456</v>
      </c>
      <c r="I2229" s="172"/>
      <c r="J2229" s="169"/>
      <c r="K2229" s="172"/>
      <c r="L2229" s="172">
        <f>+'FACUS$'!$H2229-'FACUS$'!$I2229-'FACUS$'!$K2229</f>
        <v>10310.8456</v>
      </c>
      <c r="M2229" s="162" t="s">
        <v>570</v>
      </c>
      <c r="N2229" s="337" t="s">
        <v>554</v>
      </c>
      <c r="O2229" s="338">
        <v>45121.0</v>
      </c>
      <c r="P2229" s="164">
        <f t="array" ref="P2229">XLOOKUP('FACUS$'!$B2229,'perfil de pagos'!$A$4:$A$46,'perfil de pagos'!$C$4:$C$46+'FACUS$'!$D2229)</f>
        <v>45121</v>
      </c>
      <c r="Q2229" s="165">
        <f t="shared" si="66"/>
        <v>0</v>
      </c>
      <c r="R2229" s="167"/>
      <c r="S2229" s="167">
        <v>2274.0</v>
      </c>
      <c r="T2229" s="167"/>
      <c r="U2229" s="334" t="s">
        <v>7271</v>
      </c>
      <c r="V2229" s="168">
        <f t="shared" si="3"/>
        <v>10310.8456</v>
      </c>
      <c r="W2229" s="168">
        <f t="shared" si="4"/>
        <v>0</v>
      </c>
      <c r="X2229" s="168">
        <f t="shared" si="5"/>
        <v>0</v>
      </c>
      <c r="Y2229" s="168">
        <f t="shared" si="6"/>
        <v>0</v>
      </c>
      <c r="Z2229" s="168">
        <f t="shared" si="7"/>
        <v>0</v>
      </c>
      <c r="AA2229" s="168">
        <f t="shared" si="8"/>
        <v>0</v>
      </c>
      <c r="AB2229" s="168">
        <f t="shared" si="9"/>
        <v>0</v>
      </c>
    </row>
    <row r="2230" ht="15.0" customHeight="1">
      <c r="A2230" s="157" t="s">
        <v>9634</v>
      </c>
      <c r="B2230" s="169" t="s">
        <v>39</v>
      </c>
      <c r="C2230" s="169" t="s">
        <v>5109</v>
      </c>
      <c r="D2230" s="317">
        <v>45111.0</v>
      </c>
      <c r="E2230" s="157" t="s">
        <v>600</v>
      </c>
      <c r="F2230" s="160">
        <v>10441.2</v>
      </c>
      <c r="G2230" s="160">
        <f>'FACUS$'!$F2230*0.16</f>
        <v>1670.592</v>
      </c>
      <c r="H2230" s="160">
        <f t="shared" si="68"/>
        <v>12111.792</v>
      </c>
      <c r="I2230" s="172"/>
      <c r="J2230" s="169"/>
      <c r="K2230" s="172"/>
      <c r="L2230" s="172">
        <f>+'FACUS$'!$H2230-'FACUS$'!$I2230-'FACUS$'!$K2230</f>
        <v>12111.792</v>
      </c>
      <c r="M2230" s="162" t="s">
        <v>570</v>
      </c>
      <c r="N2230" s="337" t="s">
        <v>554</v>
      </c>
      <c r="O2230" s="338">
        <v>45121.0</v>
      </c>
      <c r="P2230" s="164">
        <f t="array" ref="P2230">XLOOKUP('FACUS$'!$B2230,'perfil de pagos'!$A$4:$A$46,'perfil de pagos'!$C$4:$C$46+'FACUS$'!$D2230)</f>
        <v>45121</v>
      </c>
      <c r="Q2230" s="165">
        <f t="shared" si="66"/>
        <v>0</v>
      </c>
      <c r="R2230" s="167"/>
      <c r="S2230" s="167">
        <v>2274.0</v>
      </c>
      <c r="T2230" s="167"/>
      <c r="U2230" s="334" t="s">
        <v>7271</v>
      </c>
      <c r="V2230" s="168">
        <f t="shared" si="3"/>
        <v>12111.792</v>
      </c>
      <c r="W2230" s="168">
        <f t="shared" si="4"/>
        <v>0</v>
      </c>
      <c r="X2230" s="168">
        <f t="shared" si="5"/>
        <v>0</v>
      </c>
      <c r="Y2230" s="168">
        <f t="shared" si="6"/>
        <v>0</v>
      </c>
      <c r="Z2230" s="168">
        <f t="shared" si="7"/>
        <v>0</v>
      </c>
      <c r="AA2230" s="168">
        <f t="shared" si="8"/>
        <v>0</v>
      </c>
      <c r="AB2230" s="168">
        <f t="shared" si="9"/>
        <v>0</v>
      </c>
    </row>
    <row r="2231" ht="15.0" customHeight="1">
      <c r="A2231" s="157" t="s">
        <v>9635</v>
      </c>
      <c r="B2231" s="169" t="s">
        <v>41</v>
      </c>
      <c r="C2231" s="169" t="s">
        <v>5109</v>
      </c>
      <c r="D2231" s="317">
        <v>45111.0</v>
      </c>
      <c r="E2231" s="157" t="s">
        <v>600</v>
      </c>
      <c r="F2231" s="160">
        <v>25295.26</v>
      </c>
      <c r="G2231" s="160">
        <f>'FACUS$'!$F2231*0.16</f>
        <v>4047.2416</v>
      </c>
      <c r="H2231" s="160">
        <f t="shared" si="68"/>
        <v>29342.5016</v>
      </c>
      <c r="I2231" s="172"/>
      <c r="J2231" s="169"/>
      <c r="K2231" s="172"/>
      <c r="L2231" s="172">
        <f>+'FACUS$'!$H2231-'FACUS$'!$I2231-'FACUS$'!$K2231</f>
        <v>29342.5016</v>
      </c>
      <c r="M2231" s="162" t="s">
        <v>875</v>
      </c>
      <c r="N2231" s="337" t="s">
        <v>554</v>
      </c>
      <c r="O2231" s="338">
        <v>45170.0</v>
      </c>
      <c r="P2231" s="164">
        <f t="array" ref="P2231">XLOOKUP('FACUS$'!$B2231,'perfil de pagos'!$A$4:$A$46,'perfil de pagos'!$C$4:$C$46+'FACUS$'!$D2231)</f>
        <v>45121</v>
      </c>
      <c r="Q2231" s="165">
        <f t="shared" si="66"/>
        <v>0</v>
      </c>
      <c r="R2231" s="167"/>
      <c r="S2231" s="167">
        <v>2396.0</v>
      </c>
      <c r="T2231" s="167"/>
      <c r="U2231" s="334" t="s">
        <v>7271</v>
      </c>
      <c r="V2231" s="168">
        <f t="shared" si="3"/>
        <v>29342.5016</v>
      </c>
      <c r="W2231" s="168">
        <f t="shared" si="4"/>
        <v>0</v>
      </c>
      <c r="X2231" s="168">
        <f t="shared" si="5"/>
        <v>0</v>
      </c>
      <c r="Y2231" s="168">
        <f t="shared" si="6"/>
        <v>0</v>
      </c>
      <c r="Z2231" s="168">
        <f t="shared" si="7"/>
        <v>0</v>
      </c>
      <c r="AA2231" s="168">
        <f t="shared" si="8"/>
        <v>0</v>
      </c>
      <c r="AB2231" s="168">
        <f t="shared" si="9"/>
        <v>0</v>
      </c>
    </row>
    <row r="2232" ht="15.0" customHeight="1">
      <c r="A2232" s="157" t="s">
        <v>9636</v>
      </c>
      <c r="B2232" s="169" t="s">
        <v>42</v>
      </c>
      <c r="C2232" s="169" t="s">
        <v>5109</v>
      </c>
      <c r="D2232" s="317">
        <v>45111.0</v>
      </c>
      <c r="E2232" s="157" t="s">
        <v>600</v>
      </c>
      <c r="F2232" s="160">
        <v>6715.28</v>
      </c>
      <c r="G2232" s="160">
        <f>'FACUS$'!$F2232*0.16</f>
        <v>1074.4448</v>
      </c>
      <c r="H2232" s="160">
        <f t="shared" si="68"/>
        <v>7789.7248</v>
      </c>
      <c r="I2232" s="172"/>
      <c r="J2232" s="169"/>
      <c r="K2232" s="172"/>
      <c r="L2232" s="172">
        <f>+'FACUS$'!$H2232-'FACUS$'!$I2232-'FACUS$'!$K2232</f>
        <v>7789.7248</v>
      </c>
      <c r="M2232" s="162" t="s">
        <v>42</v>
      </c>
      <c r="N2232" s="337" t="s">
        <v>554</v>
      </c>
      <c r="O2232" s="338">
        <v>45120.0</v>
      </c>
      <c r="P2232" s="164">
        <f t="array" ref="P2232">XLOOKUP('FACUS$'!$B2232,'perfil de pagos'!$A$4:$A$46,'perfil de pagos'!$C$4:$C$46+'FACUS$'!$D2232)</f>
        <v>45121</v>
      </c>
      <c r="Q2232" s="165">
        <f t="shared" si="66"/>
        <v>0</v>
      </c>
      <c r="R2232" s="167"/>
      <c r="S2232" s="167">
        <v>2272.0</v>
      </c>
      <c r="T2232" s="167"/>
      <c r="U2232" s="334" t="s">
        <v>7271</v>
      </c>
      <c r="V2232" s="168">
        <f t="shared" si="3"/>
        <v>7789.7248</v>
      </c>
      <c r="W2232" s="168">
        <f t="shared" si="4"/>
        <v>0</v>
      </c>
      <c r="X2232" s="168">
        <f t="shared" si="5"/>
        <v>0</v>
      </c>
      <c r="Y2232" s="168">
        <f t="shared" si="6"/>
        <v>0</v>
      </c>
      <c r="Z2232" s="168">
        <f t="shared" si="7"/>
        <v>0</v>
      </c>
      <c r="AA2232" s="168">
        <f t="shared" si="8"/>
        <v>0</v>
      </c>
      <c r="AB2232" s="168">
        <f t="shared" si="9"/>
        <v>0</v>
      </c>
    </row>
    <row r="2233" ht="15.0" customHeight="1">
      <c r="A2233" s="157" t="s">
        <v>9637</v>
      </c>
      <c r="B2233" s="169" t="s">
        <v>43</v>
      </c>
      <c r="C2233" s="169" t="s">
        <v>5109</v>
      </c>
      <c r="D2233" s="317">
        <v>45111.0</v>
      </c>
      <c r="E2233" s="157" t="s">
        <v>600</v>
      </c>
      <c r="F2233" s="160">
        <v>17488.24</v>
      </c>
      <c r="G2233" s="160">
        <f>'FACUS$'!$F2233*0.16</f>
        <v>2798.1184</v>
      </c>
      <c r="H2233" s="160">
        <f t="shared" si="68"/>
        <v>20286.3584</v>
      </c>
      <c r="I2233" s="172"/>
      <c r="J2233" s="169"/>
      <c r="K2233" s="172"/>
      <c r="L2233" s="172">
        <f>+'FACUS$'!$H2233-'FACUS$'!$I2233-'FACUS$'!$K2233</f>
        <v>20286.3584</v>
      </c>
      <c r="M2233" s="162" t="s">
        <v>43</v>
      </c>
      <c r="N2233" s="337" t="s">
        <v>554</v>
      </c>
      <c r="O2233" s="338">
        <v>45188.0</v>
      </c>
      <c r="P2233" s="164">
        <f t="array" ref="P2233">XLOOKUP('FACUS$'!$B2233,'perfil de pagos'!$A$4:$A$46,'perfil de pagos'!$C$4:$C$46+'FACUS$'!$D2233)</f>
        <v>45136</v>
      </c>
      <c r="Q2233" s="165">
        <f t="shared" si="66"/>
        <v>0</v>
      </c>
      <c r="R2233" s="167"/>
      <c r="S2233" s="167">
        <v>2445.0</v>
      </c>
      <c r="T2233" s="167"/>
      <c r="U2233" s="334" t="s">
        <v>7271</v>
      </c>
      <c r="V2233" s="168">
        <f t="shared" si="3"/>
        <v>20286.3584</v>
      </c>
      <c r="W2233" s="168">
        <f t="shared" si="4"/>
        <v>0</v>
      </c>
      <c r="X2233" s="168">
        <f t="shared" si="5"/>
        <v>0</v>
      </c>
      <c r="Y2233" s="168">
        <f t="shared" si="6"/>
        <v>0</v>
      </c>
      <c r="Z2233" s="168">
        <f t="shared" si="7"/>
        <v>0</v>
      </c>
      <c r="AA2233" s="168">
        <f t="shared" si="8"/>
        <v>0</v>
      </c>
      <c r="AB2233" s="168">
        <f t="shared" si="9"/>
        <v>0</v>
      </c>
    </row>
    <row r="2234" ht="15.0" customHeight="1">
      <c r="A2234" s="157" t="s">
        <v>9638</v>
      </c>
      <c r="B2234" s="169" t="s">
        <v>44</v>
      </c>
      <c r="C2234" s="169" t="s">
        <v>5109</v>
      </c>
      <c r="D2234" s="317">
        <v>45111.0</v>
      </c>
      <c r="E2234" s="157" t="s">
        <v>600</v>
      </c>
      <c r="F2234" s="160">
        <v>6480.18</v>
      </c>
      <c r="G2234" s="160">
        <f>'FACUS$'!$F2234*0.16</f>
        <v>1036.8288</v>
      </c>
      <c r="H2234" s="160">
        <f t="shared" si="68"/>
        <v>7517.0088</v>
      </c>
      <c r="I2234" s="172"/>
      <c r="J2234" s="169"/>
      <c r="K2234" s="172"/>
      <c r="L2234" s="172">
        <f>+'FACUS$'!$H2234-'FACUS$'!$I2234-'FACUS$'!$K2234</f>
        <v>7517.0088</v>
      </c>
      <c r="M2234" s="162" t="s">
        <v>361</v>
      </c>
      <c r="N2234" s="337" t="s">
        <v>554</v>
      </c>
      <c r="O2234" s="338">
        <v>45128.0</v>
      </c>
      <c r="P2234" s="164">
        <f t="array" ref="P2234">XLOOKUP('FACUS$'!$B2234,'perfil de pagos'!$A$4:$A$46,'perfil de pagos'!$C$4:$C$46+'FACUS$'!$D2234)</f>
        <v>45121</v>
      </c>
      <c r="Q2234" s="165">
        <f t="shared" si="66"/>
        <v>0</v>
      </c>
      <c r="R2234" s="167"/>
      <c r="S2234" s="167">
        <v>2314.0</v>
      </c>
      <c r="T2234" s="167"/>
      <c r="U2234" s="334" t="s">
        <v>7271</v>
      </c>
      <c r="V2234" s="168">
        <f t="shared" si="3"/>
        <v>7517.0088</v>
      </c>
      <c r="W2234" s="168">
        <f t="shared" si="4"/>
        <v>0</v>
      </c>
      <c r="X2234" s="168">
        <f t="shared" si="5"/>
        <v>0</v>
      </c>
      <c r="Y2234" s="168">
        <f t="shared" si="6"/>
        <v>0</v>
      </c>
      <c r="Z2234" s="168">
        <f t="shared" si="7"/>
        <v>0</v>
      </c>
      <c r="AA2234" s="168">
        <f t="shared" si="8"/>
        <v>0</v>
      </c>
      <c r="AB2234" s="168">
        <f t="shared" si="9"/>
        <v>0</v>
      </c>
    </row>
    <row r="2235" ht="15.0" customHeight="1">
      <c r="A2235" s="157" t="s">
        <v>9639</v>
      </c>
      <c r="B2235" s="169" t="s">
        <v>24</v>
      </c>
      <c r="C2235" s="169" t="s">
        <v>9640</v>
      </c>
      <c r="D2235" s="317">
        <v>45112.0</v>
      </c>
      <c r="E2235" s="157" t="s">
        <v>600</v>
      </c>
      <c r="F2235" s="160">
        <v>5950.0</v>
      </c>
      <c r="G2235" s="160">
        <f>'FACUS$'!$F2235*0.16</f>
        <v>952</v>
      </c>
      <c r="H2235" s="160">
        <f t="shared" si="68"/>
        <v>6902</v>
      </c>
      <c r="I2235" s="172"/>
      <c r="J2235" s="169"/>
      <c r="K2235" s="172"/>
      <c r="L2235" s="172">
        <f>+'FACUS$'!$H2235-'FACUS$'!$I2235-'FACUS$'!$K2235</f>
        <v>6902</v>
      </c>
      <c r="M2235" s="162" t="s">
        <v>91</v>
      </c>
      <c r="N2235" s="337" t="s">
        <v>554</v>
      </c>
      <c r="O2235" s="338">
        <v>45127.0</v>
      </c>
      <c r="P2235" s="164">
        <f t="array" ref="P2235">XLOOKUP('FACUS$'!$B2235,'perfil de pagos'!$A$4:$A$46,'perfil de pagos'!$C$4:$C$46+'FACUS$'!$D2235)</f>
        <v>45122</v>
      </c>
      <c r="Q2235" s="165">
        <f t="shared" si="66"/>
        <v>0</v>
      </c>
      <c r="R2235" s="167"/>
      <c r="S2235" s="167">
        <v>2306.0</v>
      </c>
      <c r="T2235" s="167"/>
      <c r="U2235" s="334" t="s">
        <v>7271</v>
      </c>
      <c r="V2235" s="168">
        <f t="shared" si="3"/>
        <v>6902</v>
      </c>
      <c r="W2235" s="168">
        <f t="shared" si="4"/>
        <v>0</v>
      </c>
      <c r="X2235" s="168">
        <f t="shared" si="5"/>
        <v>0</v>
      </c>
      <c r="Y2235" s="168">
        <f t="shared" si="6"/>
        <v>0</v>
      </c>
      <c r="Z2235" s="168">
        <f t="shared" si="7"/>
        <v>0</v>
      </c>
      <c r="AA2235" s="168">
        <f t="shared" si="8"/>
        <v>0</v>
      </c>
      <c r="AB2235" s="168">
        <f t="shared" si="9"/>
        <v>0</v>
      </c>
    </row>
    <row r="2236" ht="15.0" customHeight="1">
      <c r="A2236" s="157" t="s">
        <v>9641</v>
      </c>
      <c r="B2236" s="169" t="s">
        <v>24</v>
      </c>
      <c r="C2236" s="169" t="s">
        <v>9640</v>
      </c>
      <c r="D2236" s="317">
        <v>45112.0</v>
      </c>
      <c r="E2236" s="157" t="s">
        <v>600</v>
      </c>
      <c r="F2236" s="160">
        <v>5950.0</v>
      </c>
      <c r="G2236" s="160">
        <f>'FACUS$'!$F2236*0.16</f>
        <v>952</v>
      </c>
      <c r="H2236" s="160">
        <f t="shared" si="68"/>
        <v>6902</v>
      </c>
      <c r="I2236" s="172"/>
      <c r="J2236" s="169"/>
      <c r="K2236" s="172"/>
      <c r="L2236" s="172">
        <f>+'FACUS$'!$H2236-'FACUS$'!$I2236-'FACUS$'!$K2236</f>
        <v>6902</v>
      </c>
      <c r="M2236" s="162" t="s">
        <v>91</v>
      </c>
      <c r="N2236" s="337" t="s">
        <v>554</v>
      </c>
      <c r="O2236" s="338">
        <v>45127.0</v>
      </c>
      <c r="P2236" s="164">
        <f t="array" ref="P2236">XLOOKUP('FACUS$'!$B2236,'perfil de pagos'!$A$4:$A$46,'perfil de pagos'!$C$4:$C$46+'FACUS$'!$D2236)</f>
        <v>45122</v>
      </c>
      <c r="Q2236" s="165">
        <f t="shared" si="66"/>
        <v>0</v>
      </c>
      <c r="R2236" s="167"/>
      <c r="S2236" s="167">
        <v>2306.0</v>
      </c>
      <c r="T2236" s="167"/>
      <c r="U2236" s="334" t="s">
        <v>7271</v>
      </c>
      <c r="V2236" s="168">
        <f t="shared" si="3"/>
        <v>6902</v>
      </c>
      <c r="W2236" s="168">
        <f t="shared" si="4"/>
        <v>0</v>
      </c>
      <c r="X2236" s="168">
        <f t="shared" si="5"/>
        <v>0</v>
      </c>
      <c r="Y2236" s="168">
        <f t="shared" si="6"/>
        <v>0</v>
      </c>
      <c r="Z2236" s="168">
        <f t="shared" si="7"/>
        <v>0</v>
      </c>
      <c r="AA2236" s="168">
        <f t="shared" si="8"/>
        <v>0</v>
      </c>
      <c r="AB2236" s="168">
        <f t="shared" si="9"/>
        <v>0</v>
      </c>
    </row>
    <row r="2237" ht="15.0" customHeight="1">
      <c r="A2237" s="157" t="s">
        <v>9642</v>
      </c>
      <c r="B2237" s="169" t="s">
        <v>17</v>
      </c>
      <c r="C2237" s="169" t="s">
        <v>5103</v>
      </c>
      <c r="D2237" s="317">
        <v>45112.0</v>
      </c>
      <c r="E2237" s="157" t="s">
        <v>600</v>
      </c>
      <c r="F2237" s="160">
        <v>534.74</v>
      </c>
      <c r="G2237" s="160">
        <f>'FACUS$'!$F2237*0.16</f>
        <v>85.5584</v>
      </c>
      <c r="H2237" s="160">
        <f t="shared" si="68"/>
        <v>620.2984</v>
      </c>
      <c r="I2237" s="172"/>
      <c r="J2237" s="169"/>
      <c r="K2237" s="172"/>
      <c r="L2237" s="172">
        <f>+'FACUS$'!$H2237-'FACUS$'!$I2237-'FACUS$'!$K2237</f>
        <v>620.2984</v>
      </c>
      <c r="M2237" s="162" t="s">
        <v>17</v>
      </c>
      <c r="N2237" s="337" t="s">
        <v>554</v>
      </c>
      <c r="O2237" s="338">
        <v>45127.0</v>
      </c>
      <c r="P2237" s="164">
        <f t="array" ref="P2237">XLOOKUP('FACUS$'!$B2237,'perfil de pagos'!$A$4:$A$46,'perfil de pagos'!$C$4:$C$46+'FACUS$'!$D2237)</f>
        <v>45122</v>
      </c>
      <c r="Q2237" s="165">
        <f t="shared" si="66"/>
        <v>0</v>
      </c>
      <c r="R2237" s="167"/>
      <c r="S2237" s="167">
        <v>2280.0</v>
      </c>
      <c r="T2237" s="167"/>
      <c r="U2237" s="334" t="s">
        <v>7271</v>
      </c>
      <c r="V2237" s="168">
        <f t="shared" si="3"/>
        <v>620.2984</v>
      </c>
      <c r="W2237" s="168">
        <f t="shared" si="4"/>
        <v>0</v>
      </c>
      <c r="X2237" s="168">
        <f t="shared" si="5"/>
        <v>0</v>
      </c>
      <c r="Y2237" s="168">
        <f t="shared" si="6"/>
        <v>0</v>
      </c>
      <c r="Z2237" s="168">
        <f t="shared" si="7"/>
        <v>0</v>
      </c>
      <c r="AA2237" s="168">
        <f t="shared" si="8"/>
        <v>0</v>
      </c>
      <c r="AB2237" s="168">
        <f t="shared" si="9"/>
        <v>0</v>
      </c>
    </row>
    <row r="2238" ht="15.0" customHeight="1">
      <c r="A2238" s="157" t="s">
        <v>9643</v>
      </c>
      <c r="B2238" s="169" t="s">
        <v>17</v>
      </c>
      <c r="C2238" s="169" t="s">
        <v>5109</v>
      </c>
      <c r="D2238" s="317">
        <v>45112.0</v>
      </c>
      <c r="E2238" s="157" t="s">
        <v>600</v>
      </c>
      <c r="F2238" s="160">
        <v>943.52</v>
      </c>
      <c r="G2238" s="160">
        <f>'FACUS$'!$F2238*0.16</f>
        <v>150.9632</v>
      </c>
      <c r="H2238" s="160">
        <f t="shared" si="68"/>
        <v>1094.4832</v>
      </c>
      <c r="I2238" s="172"/>
      <c r="J2238" s="169"/>
      <c r="K2238" s="172"/>
      <c r="L2238" s="172">
        <f>+'FACUS$'!$H2238-'FACUS$'!$I2238-'FACUS$'!$K2238</f>
        <v>1094.4832</v>
      </c>
      <c r="M2238" s="162" t="s">
        <v>17</v>
      </c>
      <c r="N2238" s="337" t="s">
        <v>554</v>
      </c>
      <c r="O2238" s="338">
        <v>45127.0</v>
      </c>
      <c r="P2238" s="164">
        <f t="array" ref="P2238">XLOOKUP('FACUS$'!$B2238,'perfil de pagos'!$A$4:$A$46,'perfil de pagos'!$C$4:$C$46+'FACUS$'!$D2238)</f>
        <v>45122</v>
      </c>
      <c r="Q2238" s="165">
        <f t="shared" si="66"/>
        <v>0</v>
      </c>
      <c r="R2238" s="167"/>
      <c r="S2238" s="167">
        <v>2280.0</v>
      </c>
      <c r="T2238" s="167"/>
      <c r="U2238" s="334" t="s">
        <v>7271</v>
      </c>
      <c r="V2238" s="168">
        <f t="shared" si="3"/>
        <v>1094.4832</v>
      </c>
      <c r="W2238" s="168">
        <f t="shared" si="4"/>
        <v>0</v>
      </c>
      <c r="X2238" s="168">
        <f t="shared" si="5"/>
        <v>0</v>
      </c>
      <c r="Y2238" s="168">
        <f t="shared" si="6"/>
        <v>0</v>
      </c>
      <c r="Z2238" s="168">
        <f t="shared" si="7"/>
        <v>0</v>
      </c>
      <c r="AA2238" s="168">
        <f t="shared" si="8"/>
        <v>0</v>
      </c>
      <c r="AB2238" s="168">
        <f t="shared" si="9"/>
        <v>0</v>
      </c>
    </row>
    <row r="2239" ht="15.0" customHeight="1">
      <c r="A2239" s="157" t="s">
        <v>9644</v>
      </c>
      <c r="B2239" s="169" t="s">
        <v>35</v>
      </c>
      <c r="C2239" s="169" t="s">
        <v>5109</v>
      </c>
      <c r="D2239" s="317">
        <v>45113.0</v>
      </c>
      <c r="E2239" s="157" t="s">
        <v>600</v>
      </c>
      <c r="F2239" s="160">
        <v>7783.62</v>
      </c>
      <c r="G2239" s="160">
        <f>'FACUS$'!$F2239*0.16</f>
        <v>1245.3792</v>
      </c>
      <c r="H2239" s="160">
        <f t="shared" si="68"/>
        <v>9028.9992</v>
      </c>
      <c r="I2239" s="172">
        <v>1830.19</v>
      </c>
      <c r="J2239" s="169"/>
      <c r="K2239" s="172"/>
      <c r="L2239" s="172">
        <f>+'FACUS$'!$H2239-'FACUS$'!$I2239-'FACUS$'!$K2239</f>
        <v>7198.8092</v>
      </c>
      <c r="M2239" s="162" t="s">
        <v>276</v>
      </c>
      <c r="N2239" s="337" t="s">
        <v>554</v>
      </c>
      <c r="O2239" s="338">
        <v>45247.0</v>
      </c>
      <c r="P2239" s="164">
        <f t="array" ref="P2239">XLOOKUP('FACUS$'!$B2239,'perfil de pagos'!$A$4:$A$46,'perfil de pagos'!$C$4:$C$46+'FACUS$'!$D2239)</f>
        <v>45123</v>
      </c>
      <c r="Q2239" s="165">
        <f t="shared" si="66"/>
        <v>0</v>
      </c>
      <c r="R2239" s="220" t="s">
        <v>9645</v>
      </c>
      <c r="S2239" s="167" t="s">
        <v>9646</v>
      </c>
      <c r="T2239" s="167"/>
      <c r="U2239" s="334" t="s">
        <v>7271</v>
      </c>
      <c r="V2239" s="168">
        <f t="shared" si="3"/>
        <v>7198.8092</v>
      </c>
      <c r="W2239" s="168">
        <f t="shared" si="4"/>
        <v>0</v>
      </c>
      <c r="X2239" s="168">
        <f t="shared" si="5"/>
        <v>0</v>
      </c>
      <c r="Y2239" s="168">
        <f t="shared" si="6"/>
        <v>0</v>
      </c>
      <c r="Z2239" s="168">
        <f t="shared" si="7"/>
        <v>0</v>
      </c>
      <c r="AA2239" s="168">
        <f t="shared" si="8"/>
        <v>0</v>
      </c>
      <c r="AB2239" s="168">
        <f t="shared" si="9"/>
        <v>0</v>
      </c>
    </row>
    <row r="2240" ht="15.0" customHeight="1">
      <c r="A2240" s="157" t="s">
        <v>9647</v>
      </c>
      <c r="B2240" s="169" t="s">
        <v>18</v>
      </c>
      <c r="C2240" s="169" t="s">
        <v>5109</v>
      </c>
      <c r="D2240" s="317">
        <v>45114.0</v>
      </c>
      <c r="E2240" s="157" t="s">
        <v>600</v>
      </c>
      <c r="F2240" s="160">
        <v>6571.85</v>
      </c>
      <c r="G2240" s="160">
        <f>'FACUS$'!$F2240*0.16</f>
        <v>1051.496</v>
      </c>
      <c r="H2240" s="160">
        <f t="shared" si="68"/>
        <v>7623.346</v>
      </c>
      <c r="I2240" s="172"/>
      <c r="J2240" s="169">
        <f>+'NCUS$'!A72</f>
        <v>333</v>
      </c>
      <c r="K2240" s="172">
        <f>+'NCUS$'!H72</f>
        <v>316.796</v>
      </c>
      <c r="L2240" s="172">
        <f>+'FACUS$'!$H2240-'FACUS$'!$I2240-'FACUS$'!$K2240</f>
        <v>7306.55</v>
      </c>
      <c r="M2240" s="162" t="s">
        <v>586</v>
      </c>
      <c r="N2240" s="337" t="s">
        <v>554</v>
      </c>
      <c r="O2240" s="338">
        <v>45181.0</v>
      </c>
      <c r="P2240" s="164">
        <f t="array" ref="P2240">XLOOKUP('FACUS$'!$B2240,'perfil de pagos'!$A$4:$A$46,'perfil de pagos'!$C$4:$C$46+'FACUS$'!$D2240)</f>
        <v>45124</v>
      </c>
      <c r="Q2240" s="165">
        <f t="shared" si="66"/>
        <v>0</v>
      </c>
      <c r="R2240" s="167"/>
      <c r="S2240" s="167">
        <v>2427.0</v>
      </c>
      <c r="T2240" s="167"/>
      <c r="U2240" s="334" t="s">
        <v>7271</v>
      </c>
      <c r="V2240" s="168">
        <f t="shared" si="3"/>
        <v>7306.55</v>
      </c>
      <c r="W2240" s="168">
        <f t="shared" si="4"/>
        <v>0</v>
      </c>
      <c r="X2240" s="168">
        <f t="shared" si="5"/>
        <v>0</v>
      </c>
      <c r="Y2240" s="168">
        <f t="shared" si="6"/>
        <v>0</v>
      </c>
      <c r="Z2240" s="168">
        <f t="shared" si="7"/>
        <v>0</v>
      </c>
      <c r="AA2240" s="168">
        <f t="shared" si="8"/>
        <v>0</v>
      </c>
      <c r="AB2240" s="168">
        <f t="shared" si="9"/>
        <v>0</v>
      </c>
    </row>
    <row r="2241" ht="15.0" customHeight="1">
      <c r="A2241" s="157" t="s">
        <v>9648</v>
      </c>
      <c r="B2241" s="169" t="s">
        <v>20</v>
      </c>
      <c r="C2241" s="169" t="s">
        <v>5109</v>
      </c>
      <c r="D2241" s="317">
        <v>45114.0</v>
      </c>
      <c r="E2241" s="157" t="s">
        <v>600</v>
      </c>
      <c r="F2241" s="160">
        <v>11830.36</v>
      </c>
      <c r="G2241" s="160">
        <f>'FACUS$'!$F2241*0.16</f>
        <v>1892.8576</v>
      </c>
      <c r="H2241" s="160">
        <f t="shared" si="68"/>
        <v>13723.2176</v>
      </c>
      <c r="I2241" s="172"/>
      <c r="J2241" s="169"/>
      <c r="K2241" s="172"/>
      <c r="L2241" s="172">
        <f>+'FACUS$'!$H2241-'FACUS$'!$I2241-'FACUS$'!$K2241</f>
        <v>13723.2176</v>
      </c>
      <c r="M2241" s="162" t="s">
        <v>732</v>
      </c>
      <c r="N2241" s="337" t="s">
        <v>554</v>
      </c>
      <c r="O2241" s="338">
        <v>45181.0</v>
      </c>
      <c r="P2241" s="164">
        <f t="array" ref="P2241">XLOOKUP('FACUS$'!$B2241,'perfil de pagos'!$A$4:$A$46,'perfil de pagos'!$C$4:$C$46+'FACUS$'!$D2241)</f>
        <v>45124</v>
      </c>
      <c r="Q2241" s="165">
        <f t="shared" si="66"/>
        <v>0</v>
      </c>
      <c r="R2241" s="167"/>
      <c r="S2241" s="167">
        <v>2427.0</v>
      </c>
      <c r="T2241" s="167"/>
      <c r="U2241" s="334" t="s">
        <v>7271</v>
      </c>
      <c r="V2241" s="168">
        <f t="shared" si="3"/>
        <v>13723.2176</v>
      </c>
      <c r="W2241" s="168">
        <f t="shared" si="4"/>
        <v>0</v>
      </c>
      <c r="X2241" s="168">
        <f t="shared" si="5"/>
        <v>0</v>
      </c>
      <c r="Y2241" s="168">
        <f t="shared" si="6"/>
        <v>0</v>
      </c>
      <c r="Z2241" s="168">
        <f t="shared" si="7"/>
        <v>0</v>
      </c>
      <c r="AA2241" s="168">
        <f t="shared" si="8"/>
        <v>0</v>
      </c>
      <c r="AB2241" s="168">
        <f t="shared" si="9"/>
        <v>0</v>
      </c>
    </row>
    <row r="2242" ht="15.0" customHeight="1">
      <c r="A2242" s="157" t="s">
        <v>9649</v>
      </c>
      <c r="B2242" s="169" t="s">
        <v>22</v>
      </c>
      <c r="C2242" s="169" t="s">
        <v>5109</v>
      </c>
      <c r="D2242" s="317">
        <v>45114.0</v>
      </c>
      <c r="E2242" s="157" t="s">
        <v>600</v>
      </c>
      <c r="F2242" s="160">
        <v>14380.07</v>
      </c>
      <c r="G2242" s="160">
        <f>'FACUS$'!$F2242*0.16</f>
        <v>2300.8112</v>
      </c>
      <c r="H2242" s="160">
        <f t="shared" si="68"/>
        <v>16680.8812</v>
      </c>
      <c r="I2242" s="172">
        <f>4477.863890407+11726.42</f>
        <v>16204.28389</v>
      </c>
      <c r="J2242" s="169"/>
      <c r="K2242" s="172"/>
      <c r="L2242" s="172">
        <f>+'FACUS$'!$H2242-'FACUS$'!$I2242-'FACUS$'!$K2242</f>
        <v>476.5973096</v>
      </c>
      <c r="M2242" s="162" t="s">
        <v>220</v>
      </c>
      <c r="N2242" s="337" t="s">
        <v>554</v>
      </c>
      <c r="O2242" s="338">
        <v>45166.0</v>
      </c>
      <c r="P2242" s="164">
        <f t="array" ref="P2242">XLOOKUP('FACUS$'!$B2242,'perfil de pagos'!$A$4:$A$46,'perfil de pagos'!$C$4:$C$46+'FACUS$'!$D2242)</f>
        <v>45124</v>
      </c>
      <c r="Q2242" s="165">
        <f t="shared" si="66"/>
        <v>0</v>
      </c>
      <c r="R2242" s="167"/>
      <c r="S2242" s="167" t="s">
        <v>9650</v>
      </c>
      <c r="T2242" s="167"/>
      <c r="U2242" s="334" t="s">
        <v>7271</v>
      </c>
      <c r="V2242" s="168">
        <f t="shared" si="3"/>
        <v>476.5973096</v>
      </c>
      <c r="W2242" s="168">
        <f t="shared" si="4"/>
        <v>0</v>
      </c>
      <c r="X2242" s="168">
        <f t="shared" si="5"/>
        <v>0</v>
      </c>
      <c r="Y2242" s="168">
        <f t="shared" si="6"/>
        <v>0</v>
      </c>
      <c r="Z2242" s="168">
        <f t="shared" si="7"/>
        <v>0</v>
      </c>
      <c r="AA2242" s="168">
        <f t="shared" si="8"/>
        <v>0</v>
      </c>
      <c r="AB2242" s="168">
        <f t="shared" si="9"/>
        <v>0</v>
      </c>
    </row>
    <row r="2243" ht="15.0" customHeight="1">
      <c r="A2243" s="157" t="s">
        <v>9651</v>
      </c>
      <c r="B2243" s="169" t="s">
        <v>25</v>
      </c>
      <c r="C2243" s="169" t="s">
        <v>5109</v>
      </c>
      <c r="D2243" s="317">
        <v>45114.0</v>
      </c>
      <c r="E2243" s="157" t="s">
        <v>600</v>
      </c>
      <c r="F2243" s="160">
        <v>5725.3</v>
      </c>
      <c r="G2243" s="160">
        <f>'FACUS$'!$F2243*0.16</f>
        <v>916.048</v>
      </c>
      <c r="H2243" s="160">
        <f t="shared" si="68"/>
        <v>6641.348</v>
      </c>
      <c r="I2243" s="172"/>
      <c r="J2243" s="169"/>
      <c r="K2243" s="172"/>
      <c r="L2243" s="172">
        <f>+'FACUS$'!$H2243-'FACUS$'!$I2243-'FACUS$'!$K2243</f>
        <v>6641.348</v>
      </c>
      <c r="M2243" s="162" t="s">
        <v>4388</v>
      </c>
      <c r="N2243" s="337" t="s">
        <v>554</v>
      </c>
      <c r="O2243" s="338">
        <v>45226.0</v>
      </c>
      <c r="P2243" s="164">
        <f t="array" ref="P2243">XLOOKUP('FACUS$'!$B2243,'perfil de pagos'!$A$4:$A$46,'perfil de pagos'!$C$4:$C$46+'FACUS$'!$D2243)</f>
        <v>45124</v>
      </c>
      <c r="Q2243" s="165">
        <f t="shared" si="66"/>
        <v>0</v>
      </c>
      <c r="R2243" s="167"/>
      <c r="S2243" s="167">
        <v>2537.0</v>
      </c>
      <c r="T2243" s="167"/>
      <c r="U2243" s="334" t="s">
        <v>7271</v>
      </c>
      <c r="V2243" s="168">
        <f t="shared" si="3"/>
        <v>6641.348</v>
      </c>
      <c r="W2243" s="168">
        <f t="shared" si="4"/>
        <v>0</v>
      </c>
      <c r="X2243" s="168">
        <f t="shared" si="5"/>
        <v>0</v>
      </c>
      <c r="Y2243" s="168">
        <f t="shared" si="6"/>
        <v>0</v>
      </c>
      <c r="Z2243" s="168">
        <f t="shared" si="7"/>
        <v>0</v>
      </c>
      <c r="AA2243" s="168">
        <f t="shared" si="8"/>
        <v>0</v>
      </c>
      <c r="AB2243" s="168">
        <f t="shared" si="9"/>
        <v>0</v>
      </c>
    </row>
    <row r="2244" ht="15.0" customHeight="1">
      <c r="A2244" s="157" t="s">
        <v>9652</v>
      </c>
      <c r="B2244" s="169" t="s">
        <v>37</v>
      </c>
      <c r="C2244" s="169" t="s">
        <v>5109</v>
      </c>
      <c r="D2244" s="317">
        <v>45114.0</v>
      </c>
      <c r="E2244" s="157" t="s">
        <v>600</v>
      </c>
      <c r="F2244" s="160">
        <v>90415.03</v>
      </c>
      <c r="G2244" s="160">
        <f>'FACUS$'!$F2244*0.16</f>
        <v>14466.4048</v>
      </c>
      <c r="H2244" s="160">
        <f t="shared" si="68"/>
        <v>104881.4348</v>
      </c>
      <c r="I2244" s="172"/>
      <c r="J2244" s="169"/>
      <c r="K2244" s="172"/>
      <c r="L2244" s="172">
        <f>+'FACUS$'!$H2244-'FACUS$'!$I2244-'FACUS$'!$K2244</f>
        <v>104881.4348</v>
      </c>
      <c r="M2244" s="162" t="s">
        <v>116</v>
      </c>
      <c r="N2244" s="337" t="s">
        <v>554</v>
      </c>
      <c r="O2244" s="338">
        <v>45124.0</v>
      </c>
      <c r="P2244" s="164">
        <f t="array" ref="P2244">XLOOKUP('FACUS$'!$B2244,'perfil de pagos'!$A$4:$A$46,'perfil de pagos'!$C$4:$C$46+'FACUS$'!$D2244)</f>
        <v>45124</v>
      </c>
      <c r="Q2244" s="165">
        <f t="shared" si="66"/>
        <v>0</v>
      </c>
      <c r="R2244" s="220" t="s">
        <v>9620</v>
      </c>
      <c r="S2244" s="167"/>
      <c r="T2244" s="167"/>
      <c r="U2244" s="334" t="s">
        <v>7271</v>
      </c>
      <c r="V2244" s="168">
        <f t="shared" si="3"/>
        <v>104881.4348</v>
      </c>
      <c r="W2244" s="168">
        <f t="shared" si="4"/>
        <v>0</v>
      </c>
      <c r="X2244" s="168">
        <f t="shared" si="5"/>
        <v>0</v>
      </c>
      <c r="Y2244" s="168">
        <f t="shared" si="6"/>
        <v>0</v>
      </c>
      <c r="Z2244" s="168">
        <f t="shared" si="7"/>
        <v>0</v>
      </c>
      <c r="AA2244" s="168">
        <f t="shared" si="8"/>
        <v>0</v>
      </c>
      <c r="AB2244" s="168">
        <f t="shared" si="9"/>
        <v>0</v>
      </c>
    </row>
    <row r="2245" ht="15.0" customHeight="1">
      <c r="A2245" s="157" t="s">
        <v>9653</v>
      </c>
      <c r="B2245" s="169" t="s">
        <v>38</v>
      </c>
      <c r="C2245" s="169" t="s">
        <v>5109</v>
      </c>
      <c r="D2245" s="317">
        <v>45114.0</v>
      </c>
      <c r="E2245" s="157" t="s">
        <v>600</v>
      </c>
      <c r="F2245" s="160">
        <v>3497.22</v>
      </c>
      <c r="G2245" s="160">
        <f>'FACUS$'!$F2245*0.16</f>
        <v>559.5552</v>
      </c>
      <c r="H2245" s="160">
        <f t="shared" si="68"/>
        <v>4056.7752</v>
      </c>
      <c r="I2245" s="172"/>
      <c r="J2245" s="169"/>
      <c r="K2245" s="172"/>
      <c r="L2245" s="172">
        <f>+'FACUS$'!$H2245-'FACUS$'!$I2245-'FACUS$'!$K2245</f>
        <v>4056.7752</v>
      </c>
      <c r="M2245" s="162" t="s">
        <v>642</v>
      </c>
      <c r="N2245" s="337" t="s">
        <v>554</v>
      </c>
      <c r="O2245" s="338">
        <v>45155.0</v>
      </c>
      <c r="P2245" s="164">
        <f t="array" ref="P2245">XLOOKUP('FACUS$'!$B2245,'perfil de pagos'!$A$4:$A$46,'perfil de pagos'!$C$4:$C$46+'FACUS$'!$D2245)</f>
        <v>45144</v>
      </c>
      <c r="Q2245" s="165">
        <f t="shared" si="66"/>
        <v>0</v>
      </c>
      <c r="R2245" s="167"/>
      <c r="S2245" s="167">
        <v>2359.0</v>
      </c>
      <c r="T2245" s="167"/>
      <c r="U2245" s="334" t="s">
        <v>7271</v>
      </c>
      <c r="V2245" s="168">
        <f t="shared" si="3"/>
        <v>4056.7752</v>
      </c>
      <c r="W2245" s="168">
        <f t="shared" si="4"/>
        <v>0</v>
      </c>
      <c r="X2245" s="168">
        <f t="shared" si="5"/>
        <v>0</v>
      </c>
      <c r="Y2245" s="168">
        <f t="shared" si="6"/>
        <v>0</v>
      </c>
      <c r="Z2245" s="168">
        <f t="shared" si="7"/>
        <v>0</v>
      </c>
      <c r="AA2245" s="168">
        <f t="shared" si="8"/>
        <v>0</v>
      </c>
      <c r="AB2245" s="168">
        <f t="shared" si="9"/>
        <v>0</v>
      </c>
    </row>
    <row r="2246" ht="15.0" customHeight="1">
      <c r="A2246" s="157" t="s">
        <v>9654</v>
      </c>
      <c r="B2246" s="169" t="s">
        <v>38</v>
      </c>
      <c r="C2246" s="169" t="s">
        <v>5109</v>
      </c>
      <c r="D2246" s="317">
        <v>45114.0</v>
      </c>
      <c r="E2246" s="157" t="s">
        <v>600</v>
      </c>
      <c r="F2246" s="160">
        <v>9815.2</v>
      </c>
      <c r="G2246" s="160">
        <f>'FACUS$'!$F2246*0.16</f>
        <v>1570.432</v>
      </c>
      <c r="H2246" s="160">
        <f t="shared" si="68"/>
        <v>11385.632</v>
      </c>
      <c r="I2246" s="172"/>
      <c r="J2246" s="169"/>
      <c r="K2246" s="172"/>
      <c r="L2246" s="172">
        <f>+'FACUS$'!$H2246-'FACUS$'!$I2246-'FACUS$'!$K2246</f>
        <v>11385.632</v>
      </c>
      <c r="M2246" s="162" t="s">
        <v>145</v>
      </c>
      <c r="N2246" s="337" t="s">
        <v>554</v>
      </c>
      <c r="O2246" s="338">
        <v>45155.0</v>
      </c>
      <c r="P2246" s="164">
        <f t="array" ref="P2246">XLOOKUP('FACUS$'!$B2246,'perfil de pagos'!$A$4:$A$46,'perfil de pagos'!$C$4:$C$46+'FACUS$'!$D2246)</f>
        <v>45144</v>
      </c>
      <c r="Q2246" s="165">
        <f t="shared" si="66"/>
        <v>0</v>
      </c>
      <c r="R2246" s="167"/>
      <c r="S2246" s="167">
        <v>2357.0</v>
      </c>
      <c r="T2246" s="167"/>
      <c r="U2246" s="334" t="s">
        <v>7271</v>
      </c>
      <c r="V2246" s="168">
        <f t="shared" si="3"/>
        <v>11385.632</v>
      </c>
      <c r="W2246" s="168">
        <f t="shared" si="4"/>
        <v>0</v>
      </c>
      <c r="X2246" s="168">
        <f t="shared" si="5"/>
        <v>0</v>
      </c>
      <c r="Y2246" s="168">
        <f t="shared" si="6"/>
        <v>0</v>
      </c>
      <c r="Z2246" s="168">
        <f t="shared" si="7"/>
        <v>0</v>
      </c>
      <c r="AA2246" s="168">
        <f t="shared" si="8"/>
        <v>0</v>
      </c>
      <c r="AB2246" s="168">
        <f t="shared" si="9"/>
        <v>0</v>
      </c>
    </row>
    <row r="2247" ht="15.0" customHeight="1">
      <c r="A2247" s="157" t="s">
        <v>9655</v>
      </c>
      <c r="B2247" s="169" t="s">
        <v>44</v>
      </c>
      <c r="C2247" s="169" t="s">
        <v>5148</v>
      </c>
      <c r="D2247" s="317">
        <v>45125.0</v>
      </c>
      <c r="E2247" s="157" t="s">
        <v>600</v>
      </c>
      <c r="F2247" s="160">
        <v>5836.31</v>
      </c>
      <c r="G2247" s="160">
        <f>'FACUS$'!$F2247*0.16</f>
        <v>933.8096</v>
      </c>
      <c r="H2247" s="160">
        <f t="shared" si="68"/>
        <v>6770.1196</v>
      </c>
      <c r="I2247" s="172"/>
      <c r="J2247" s="169"/>
      <c r="K2247" s="172"/>
      <c r="L2247" s="172">
        <f>+'FACUS$'!$H2247-'FACUS$'!$I2247-'FACUS$'!$K2247</f>
        <v>6770.1196</v>
      </c>
      <c r="M2247" s="162" t="s">
        <v>361</v>
      </c>
      <c r="N2247" s="337" t="s">
        <v>554</v>
      </c>
      <c r="O2247" s="338">
        <v>45142.0</v>
      </c>
      <c r="P2247" s="164">
        <f t="array" ref="P2247">XLOOKUP('FACUS$'!$B2247,'perfil de pagos'!$A$4:$A$46,'perfil de pagos'!$C$4:$C$46+'FACUS$'!$D2247)</f>
        <v>45135</v>
      </c>
      <c r="Q2247" s="165">
        <f t="shared" si="66"/>
        <v>0</v>
      </c>
      <c r="R2247" s="167"/>
      <c r="S2247" s="167">
        <v>2341.0</v>
      </c>
      <c r="T2247" s="167"/>
      <c r="U2247" s="334" t="s">
        <v>7271</v>
      </c>
      <c r="V2247" s="168">
        <f t="shared" si="3"/>
        <v>6770.1196</v>
      </c>
      <c r="W2247" s="168">
        <f t="shared" si="4"/>
        <v>0</v>
      </c>
      <c r="X2247" s="168">
        <f t="shared" si="5"/>
        <v>0</v>
      </c>
      <c r="Y2247" s="168">
        <f t="shared" si="6"/>
        <v>0</v>
      </c>
      <c r="Z2247" s="168">
        <f t="shared" si="7"/>
        <v>0</v>
      </c>
      <c r="AA2247" s="168">
        <f t="shared" si="8"/>
        <v>0</v>
      </c>
      <c r="AB2247" s="168">
        <f t="shared" si="9"/>
        <v>0</v>
      </c>
    </row>
    <row r="2248" ht="15.0" customHeight="1">
      <c r="A2248" s="157" t="s">
        <v>9656</v>
      </c>
      <c r="B2248" s="169" t="s">
        <v>43</v>
      </c>
      <c r="C2248" s="169" t="s">
        <v>5148</v>
      </c>
      <c r="D2248" s="317">
        <v>45125.0</v>
      </c>
      <c r="E2248" s="157" t="s">
        <v>600</v>
      </c>
      <c r="F2248" s="160">
        <v>14249.15</v>
      </c>
      <c r="G2248" s="160">
        <f>'FACUS$'!$F2248*0.16</f>
        <v>2279.864</v>
      </c>
      <c r="H2248" s="160">
        <f t="shared" si="68"/>
        <v>16529.014</v>
      </c>
      <c r="I2248" s="172"/>
      <c r="J2248" s="169"/>
      <c r="K2248" s="172"/>
      <c r="L2248" s="172">
        <f>+'FACUS$'!$H2248-'FACUS$'!$I2248-'FACUS$'!$K2248</f>
        <v>16529.014</v>
      </c>
      <c r="M2248" s="162" t="s">
        <v>43</v>
      </c>
      <c r="N2248" s="337" t="s">
        <v>554</v>
      </c>
      <c r="O2248" s="338">
        <v>45187.0</v>
      </c>
      <c r="P2248" s="164">
        <f t="array" ref="P2248">XLOOKUP('FACUS$'!$B2248,'perfil de pagos'!$A$4:$A$46,'perfil de pagos'!$C$4:$C$46+'FACUS$'!$D2248)</f>
        <v>45150</v>
      </c>
      <c r="Q2248" s="165">
        <f t="shared" si="66"/>
        <v>0</v>
      </c>
      <c r="R2248" s="167"/>
      <c r="S2248" s="167">
        <v>2431.0</v>
      </c>
      <c r="T2248" s="167"/>
      <c r="U2248" s="334" t="s">
        <v>7271</v>
      </c>
      <c r="V2248" s="168">
        <f t="shared" si="3"/>
        <v>16529.014</v>
      </c>
      <c r="W2248" s="168">
        <f t="shared" si="4"/>
        <v>0</v>
      </c>
      <c r="X2248" s="168">
        <f t="shared" si="5"/>
        <v>0</v>
      </c>
      <c r="Y2248" s="168">
        <f t="shared" si="6"/>
        <v>0</v>
      </c>
      <c r="Z2248" s="168">
        <f t="shared" si="7"/>
        <v>0</v>
      </c>
      <c r="AA2248" s="168">
        <f t="shared" si="8"/>
        <v>0</v>
      </c>
      <c r="AB2248" s="168">
        <f t="shared" si="9"/>
        <v>0</v>
      </c>
    </row>
    <row r="2249" ht="15.0" customHeight="1">
      <c r="A2249" s="157" t="s">
        <v>9657</v>
      </c>
      <c r="B2249" s="169" t="s">
        <v>42</v>
      </c>
      <c r="C2249" s="169" t="s">
        <v>5148</v>
      </c>
      <c r="D2249" s="317">
        <v>45125.0</v>
      </c>
      <c r="E2249" s="157" t="s">
        <v>600</v>
      </c>
      <c r="F2249" s="160">
        <v>5925.25</v>
      </c>
      <c r="G2249" s="160">
        <f>'FACUS$'!$F2249*0.16</f>
        <v>948.04</v>
      </c>
      <c r="H2249" s="160">
        <f t="shared" si="68"/>
        <v>6873.29</v>
      </c>
      <c r="I2249" s="172"/>
      <c r="J2249" s="169"/>
      <c r="K2249" s="172"/>
      <c r="L2249" s="172">
        <f>+'FACUS$'!$H2249-'FACUS$'!$I2249-'FACUS$'!$K2249</f>
        <v>6873.29</v>
      </c>
      <c r="M2249" s="162" t="s">
        <v>42</v>
      </c>
      <c r="N2249" s="337" t="s">
        <v>554</v>
      </c>
      <c r="O2249" s="338">
        <v>45165.0</v>
      </c>
      <c r="P2249" s="164">
        <f t="array" ref="P2249">XLOOKUP('FACUS$'!$B2249,'perfil de pagos'!$A$4:$A$46,'perfil de pagos'!$C$4:$C$46+'FACUS$'!$D2249)</f>
        <v>45135</v>
      </c>
      <c r="Q2249" s="165">
        <f t="shared" si="66"/>
        <v>0</v>
      </c>
      <c r="R2249" s="167"/>
      <c r="S2249" s="167">
        <v>2339.0</v>
      </c>
      <c r="T2249" s="167"/>
      <c r="U2249" s="334" t="s">
        <v>7271</v>
      </c>
      <c r="V2249" s="168">
        <f t="shared" si="3"/>
        <v>6873.29</v>
      </c>
      <c r="W2249" s="168">
        <f t="shared" si="4"/>
        <v>0</v>
      </c>
      <c r="X2249" s="168">
        <f t="shared" si="5"/>
        <v>0</v>
      </c>
      <c r="Y2249" s="168">
        <f t="shared" si="6"/>
        <v>0</v>
      </c>
      <c r="Z2249" s="168">
        <f t="shared" si="7"/>
        <v>0</v>
      </c>
      <c r="AA2249" s="168">
        <f t="shared" si="8"/>
        <v>0</v>
      </c>
      <c r="AB2249" s="168">
        <f t="shared" si="9"/>
        <v>0</v>
      </c>
    </row>
    <row r="2250" ht="15.0" customHeight="1">
      <c r="A2250" s="157" t="s">
        <v>9658</v>
      </c>
      <c r="B2250" s="169" t="s">
        <v>41</v>
      </c>
      <c r="C2250" s="169" t="s">
        <v>5148</v>
      </c>
      <c r="D2250" s="317">
        <v>45125.0</v>
      </c>
      <c r="E2250" s="157" t="s">
        <v>600</v>
      </c>
      <c r="F2250" s="160">
        <v>21900.77</v>
      </c>
      <c r="G2250" s="160">
        <f>'FACUS$'!$F2250*0.16</f>
        <v>3504.1232</v>
      </c>
      <c r="H2250" s="160">
        <f t="shared" si="68"/>
        <v>25404.8932</v>
      </c>
      <c r="I2250" s="172"/>
      <c r="J2250" s="169"/>
      <c r="K2250" s="172"/>
      <c r="L2250" s="172">
        <f>+'FACUS$'!$H2250-'FACUS$'!$I2250-'FACUS$'!$K2250</f>
        <v>25404.8932</v>
      </c>
      <c r="M2250" s="162" t="s">
        <v>875</v>
      </c>
      <c r="N2250" s="337" t="s">
        <v>554</v>
      </c>
      <c r="O2250" s="338">
        <v>45231.0</v>
      </c>
      <c r="P2250" s="164">
        <f t="array" ref="P2250">XLOOKUP('FACUS$'!$B2250,'perfil de pagos'!$A$4:$A$46,'perfil de pagos'!$C$4:$C$46+'FACUS$'!$D2250)</f>
        <v>45135</v>
      </c>
      <c r="Q2250" s="165">
        <f t="shared" si="66"/>
        <v>0</v>
      </c>
      <c r="R2250" s="167"/>
      <c r="S2250" s="167">
        <v>2552.0</v>
      </c>
      <c r="T2250" s="167"/>
      <c r="U2250" s="334" t="s">
        <v>7271</v>
      </c>
      <c r="V2250" s="168">
        <f t="shared" si="3"/>
        <v>25404.8932</v>
      </c>
      <c r="W2250" s="168">
        <f t="shared" si="4"/>
        <v>0</v>
      </c>
      <c r="X2250" s="168">
        <f t="shared" si="5"/>
        <v>0</v>
      </c>
      <c r="Y2250" s="168">
        <f t="shared" si="6"/>
        <v>0</v>
      </c>
      <c r="Z2250" s="168">
        <f t="shared" si="7"/>
        <v>0</v>
      </c>
      <c r="AA2250" s="168">
        <f t="shared" si="8"/>
        <v>0</v>
      </c>
      <c r="AB2250" s="168">
        <f t="shared" si="9"/>
        <v>0</v>
      </c>
    </row>
    <row r="2251" ht="15.0" customHeight="1">
      <c r="A2251" s="157" t="s">
        <v>9659</v>
      </c>
      <c r="B2251" s="169" t="s">
        <v>35</v>
      </c>
      <c r="C2251" s="169" t="s">
        <v>5148</v>
      </c>
      <c r="D2251" s="317">
        <v>45125.0</v>
      </c>
      <c r="E2251" s="157" t="s">
        <v>600</v>
      </c>
      <c r="F2251" s="160">
        <v>2816.43</v>
      </c>
      <c r="G2251" s="160">
        <f>'FACUS$'!$F2251*0.16</f>
        <v>450.6288</v>
      </c>
      <c r="H2251" s="160">
        <f t="shared" si="68"/>
        <v>3267.0588</v>
      </c>
      <c r="I2251" s="172"/>
      <c r="J2251" s="169"/>
      <c r="K2251" s="172"/>
      <c r="L2251" s="172">
        <f>+'FACUS$'!$H2251-'FACUS$'!$I2251-'FACUS$'!$K2251</f>
        <v>3267.0588</v>
      </c>
      <c r="M2251" s="162" t="s">
        <v>276</v>
      </c>
      <c r="N2251" s="337" t="s">
        <v>554</v>
      </c>
      <c r="O2251" s="338">
        <v>45254.0</v>
      </c>
      <c r="P2251" s="164">
        <f t="array" ref="P2251">XLOOKUP('FACUS$'!$B2251,'perfil de pagos'!$A$4:$A$46,'perfil de pagos'!$C$4:$C$46+'FACUS$'!$D2251)</f>
        <v>45135</v>
      </c>
      <c r="Q2251" s="165">
        <f t="shared" si="66"/>
        <v>0</v>
      </c>
      <c r="R2251" s="167"/>
      <c r="S2251" s="167">
        <v>2615.0</v>
      </c>
      <c r="T2251" s="167"/>
      <c r="U2251" s="334" t="s">
        <v>7271</v>
      </c>
      <c r="V2251" s="168">
        <f t="shared" si="3"/>
        <v>3267.0588</v>
      </c>
      <c r="W2251" s="168">
        <f t="shared" si="4"/>
        <v>0</v>
      </c>
      <c r="X2251" s="168">
        <f t="shared" si="5"/>
        <v>0</v>
      </c>
      <c r="Y2251" s="168">
        <f t="shared" si="6"/>
        <v>0</v>
      </c>
      <c r="Z2251" s="168">
        <f t="shared" si="7"/>
        <v>0</v>
      </c>
      <c r="AA2251" s="168">
        <f t="shared" si="8"/>
        <v>0</v>
      </c>
      <c r="AB2251" s="168">
        <f t="shared" si="9"/>
        <v>0</v>
      </c>
    </row>
    <row r="2252" ht="15.0" customHeight="1">
      <c r="A2252" s="157" t="s">
        <v>9660</v>
      </c>
      <c r="B2252" s="169" t="s">
        <v>15</v>
      </c>
      <c r="C2252" s="169" t="s">
        <v>5148</v>
      </c>
      <c r="D2252" s="317">
        <v>45125.0</v>
      </c>
      <c r="E2252" s="157" t="s">
        <v>600</v>
      </c>
      <c r="F2252" s="160">
        <v>14852.66</v>
      </c>
      <c r="G2252" s="160">
        <f>'FACUS$'!$F2252*0.16</f>
        <v>2376.4256</v>
      </c>
      <c r="H2252" s="160">
        <f t="shared" si="68"/>
        <v>17229.0856</v>
      </c>
      <c r="I2252" s="172"/>
      <c r="J2252" s="169"/>
      <c r="K2252" s="172"/>
      <c r="L2252" s="172">
        <f>+'FACUS$'!$H2252-'FACUS$'!$I2252-'FACUS$'!$K2252</f>
        <v>17229.0856</v>
      </c>
      <c r="M2252" s="162" t="s">
        <v>443</v>
      </c>
      <c r="N2252" s="337" t="s">
        <v>554</v>
      </c>
      <c r="O2252" s="338">
        <v>45139.0</v>
      </c>
      <c r="P2252" s="164">
        <f t="array" ref="P2252">XLOOKUP('FACUS$'!$B2252,'perfil de pagos'!$A$4:$A$46,'perfil de pagos'!$C$4:$C$46+'FACUS$'!$D2252)</f>
        <v>45135</v>
      </c>
      <c r="Q2252" s="165">
        <f t="shared" si="66"/>
        <v>0</v>
      </c>
      <c r="R2252" s="167"/>
      <c r="S2252" s="167">
        <v>2342.0</v>
      </c>
      <c r="T2252" s="167"/>
      <c r="U2252" s="334" t="s">
        <v>7271</v>
      </c>
      <c r="V2252" s="168">
        <f t="shared" si="3"/>
        <v>17229.0856</v>
      </c>
      <c r="W2252" s="168">
        <f t="shared" si="4"/>
        <v>0</v>
      </c>
      <c r="X2252" s="168">
        <f t="shared" si="5"/>
        <v>0</v>
      </c>
      <c r="Y2252" s="168">
        <f t="shared" si="6"/>
        <v>0</v>
      </c>
      <c r="Z2252" s="168">
        <f t="shared" si="7"/>
        <v>0</v>
      </c>
      <c r="AA2252" s="168">
        <f t="shared" si="8"/>
        <v>0</v>
      </c>
      <c r="AB2252" s="168">
        <f t="shared" si="9"/>
        <v>0</v>
      </c>
    </row>
    <row r="2253" ht="15.0" customHeight="1">
      <c r="A2253" s="157" t="s">
        <v>9661</v>
      </c>
      <c r="B2253" s="169" t="s">
        <v>38</v>
      </c>
      <c r="C2253" s="169" t="s">
        <v>5148</v>
      </c>
      <c r="D2253" s="317">
        <v>45125.0</v>
      </c>
      <c r="E2253" s="157" t="s">
        <v>600</v>
      </c>
      <c r="F2253" s="160">
        <v>4283.88</v>
      </c>
      <c r="G2253" s="160">
        <f>'FACUS$'!$F2253*0.16</f>
        <v>685.4208</v>
      </c>
      <c r="H2253" s="160">
        <f t="shared" si="68"/>
        <v>4969.3008</v>
      </c>
      <c r="I2253" s="172"/>
      <c r="J2253" s="169"/>
      <c r="K2253" s="172"/>
      <c r="L2253" s="172">
        <f>+'FACUS$'!$H2253-'FACUS$'!$I2253-'FACUS$'!$K2253</f>
        <v>4969.3008</v>
      </c>
      <c r="M2253" s="162" t="s">
        <v>4654</v>
      </c>
      <c r="N2253" s="337" t="s">
        <v>554</v>
      </c>
      <c r="O2253" s="338">
        <v>45162.0</v>
      </c>
      <c r="P2253" s="164">
        <f t="array" ref="P2253">XLOOKUP('FACUS$'!$B2253,'perfil de pagos'!$A$4:$A$46,'perfil de pagos'!$C$4:$C$46+'FACUS$'!$D2253)</f>
        <v>45155</v>
      </c>
      <c r="Q2253" s="165">
        <f t="shared" si="66"/>
        <v>0</v>
      </c>
      <c r="R2253" s="167"/>
      <c r="S2253" s="167">
        <v>2370.0</v>
      </c>
      <c r="T2253" s="167"/>
      <c r="U2253" s="334" t="s">
        <v>7271</v>
      </c>
      <c r="V2253" s="168">
        <f t="shared" si="3"/>
        <v>4969.3008</v>
      </c>
      <c r="W2253" s="168">
        <f t="shared" si="4"/>
        <v>0</v>
      </c>
      <c r="X2253" s="168">
        <f t="shared" si="5"/>
        <v>0</v>
      </c>
      <c r="Y2253" s="168">
        <f t="shared" si="6"/>
        <v>0</v>
      </c>
      <c r="Z2253" s="168">
        <f t="shared" si="7"/>
        <v>0</v>
      </c>
      <c r="AA2253" s="168">
        <f t="shared" si="8"/>
        <v>0</v>
      </c>
      <c r="AB2253" s="168">
        <f t="shared" si="9"/>
        <v>0</v>
      </c>
    </row>
    <row r="2254" ht="15.0" customHeight="1">
      <c r="A2254" s="157" t="s">
        <v>9662</v>
      </c>
      <c r="B2254" s="169" t="s">
        <v>18</v>
      </c>
      <c r="C2254" s="169" t="s">
        <v>5148</v>
      </c>
      <c r="D2254" s="317">
        <v>45131.0</v>
      </c>
      <c r="E2254" s="157" t="s">
        <v>600</v>
      </c>
      <c r="F2254" s="160">
        <v>5432.52</v>
      </c>
      <c r="G2254" s="160">
        <f>'FACUS$'!$F2254*0.16</f>
        <v>869.2032</v>
      </c>
      <c r="H2254" s="160">
        <f t="shared" si="68"/>
        <v>6301.7232</v>
      </c>
      <c r="I2254" s="172"/>
      <c r="J2254" s="169"/>
      <c r="K2254" s="172"/>
      <c r="L2254" s="172">
        <f>+'FACUS$'!$H2254-'FACUS$'!$I2254-'FACUS$'!$K2254</f>
        <v>6301.7232</v>
      </c>
      <c r="M2254" s="162" t="s">
        <v>586</v>
      </c>
      <c r="N2254" s="337" t="s">
        <v>554</v>
      </c>
      <c r="O2254" s="338">
        <v>45197.0</v>
      </c>
      <c r="P2254" s="164">
        <f t="array" ref="P2254">XLOOKUP('FACUS$'!$B2254,'perfil de pagos'!$A$4:$A$46,'perfil de pagos'!$C$4:$C$46+'FACUS$'!$D2254)</f>
        <v>45141</v>
      </c>
      <c r="Q2254" s="165">
        <f t="shared" si="66"/>
        <v>0</v>
      </c>
      <c r="R2254" s="167"/>
      <c r="S2254" s="167">
        <v>2462.0</v>
      </c>
      <c r="T2254" s="167"/>
      <c r="U2254" s="334" t="s">
        <v>7271</v>
      </c>
      <c r="V2254" s="168">
        <f t="shared" si="3"/>
        <v>6301.7232</v>
      </c>
      <c r="W2254" s="168">
        <f t="shared" si="4"/>
        <v>0</v>
      </c>
      <c r="X2254" s="168">
        <f t="shared" si="5"/>
        <v>0</v>
      </c>
      <c r="Y2254" s="168">
        <f t="shared" si="6"/>
        <v>0</v>
      </c>
      <c r="Z2254" s="168">
        <f t="shared" si="7"/>
        <v>0</v>
      </c>
      <c r="AA2254" s="168">
        <f t="shared" si="8"/>
        <v>0</v>
      </c>
      <c r="AB2254" s="168">
        <f t="shared" si="9"/>
        <v>0</v>
      </c>
    </row>
    <row r="2255" ht="15.0" customHeight="1">
      <c r="A2255" s="157" t="s">
        <v>9663</v>
      </c>
      <c r="B2255" s="169" t="s">
        <v>20</v>
      </c>
      <c r="C2255" s="169" t="s">
        <v>5148</v>
      </c>
      <c r="D2255" s="317">
        <v>45131.0</v>
      </c>
      <c r="E2255" s="157" t="s">
        <v>600</v>
      </c>
      <c r="F2255" s="160">
        <v>11148.99</v>
      </c>
      <c r="G2255" s="160">
        <f>'FACUS$'!$F2255*0.16</f>
        <v>1783.8384</v>
      </c>
      <c r="H2255" s="160">
        <f t="shared" si="68"/>
        <v>12932.8284</v>
      </c>
      <c r="I2255" s="172"/>
      <c r="J2255" s="169"/>
      <c r="K2255" s="172"/>
      <c r="L2255" s="172">
        <f>+'FACUS$'!$H2255-'FACUS$'!$I2255-'FACUS$'!$K2255</f>
        <v>12932.8284</v>
      </c>
      <c r="M2255" s="162" t="s">
        <v>732</v>
      </c>
      <c r="N2255" s="337" t="s">
        <v>554</v>
      </c>
      <c r="O2255" s="338">
        <v>45197.0</v>
      </c>
      <c r="P2255" s="164">
        <f t="array" ref="P2255">XLOOKUP('FACUS$'!$B2255,'perfil de pagos'!$A$4:$A$46,'perfil de pagos'!$C$4:$C$46+'FACUS$'!$D2255)</f>
        <v>45141</v>
      </c>
      <c r="Q2255" s="165">
        <f t="shared" si="66"/>
        <v>0</v>
      </c>
      <c r="R2255" s="167"/>
      <c r="S2255" s="167">
        <v>2462.0</v>
      </c>
      <c r="T2255" s="167"/>
      <c r="U2255" s="334" t="s">
        <v>7271</v>
      </c>
      <c r="V2255" s="168">
        <f t="shared" si="3"/>
        <v>12932.8284</v>
      </c>
      <c r="W2255" s="168">
        <f t="shared" si="4"/>
        <v>0</v>
      </c>
      <c r="X2255" s="168">
        <f t="shared" si="5"/>
        <v>0</v>
      </c>
      <c r="Y2255" s="168">
        <f t="shared" si="6"/>
        <v>0</v>
      </c>
      <c r="Z2255" s="168">
        <f t="shared" si="7"/>
        <v>0</v>
      </c>
      <c r="AA2255" s="168">
        <f t="shared" si="8"/>
        <v>0</v>
      </c>
      <c r="AB2255" s="168">
        <f t="shared" si="9"/>
        <v>0</v>
      </c>
    </row>
    <row r="2256" ht="15.0" customHeight="1">
      <c r="A2256" s="157" t="s">
        <v>9664</v>
      </c>
      <c r="B2256" s="169" t="s">
        <v>25</v>
      </c>
      <c r="C2256" s="169" t="s">
        <v>5148</v>
      </c>
      <c r="D2256" s="317">
        <v>45131.0</v>
      </c>
      <c r="E2256" s="157" t="s">
        <v>600</v>
      </c>
      <c r="F2256" s="160">
        <v>5050.4</v>
      </c>
      <c r="G2256" s="160">
        <f>'FACUS$'!$F2256*0.16</f>
        <v>808.064</v>
      </c>
      <c r="H2256" s="160">
        <f t="shared" si="68"/>
        <v>5858.464</v>
      </c>
      <c r="I2256" s="172"/>
      <c r="J2256" s="169"/>
      <c r="K2256" s="172"/>
      <c r="L2256" s="172">
        <f>+'FACUS$'!$H2256-'FACUS$'!$I2256-'FACUS$'!$K2256</f>
        <v>5858.464</v>
      </c>
      <c r="M2256" s="162" t="s">
        <v>4388</v>
      </c>
      <c r="N2256" s="337" t="s">
        <v>554</v>
      </c>
      <c r="O2256" s="338">
        <v>45233.0</v>
      </c>
      <c r="P2256" s="164">
        <f t="array" ref="P2256">XLOOKUP('FACUS$'!$B2256,'perfil de pagos'!$A$4:$A$46,'perfil de pagos'!$C$4:$C$46+'FACUS$'!$D2256)</f>
        <v>45141</v>
      </c>
      <c r="Q2256" s="165">
        <f t="shared" si="66"/>
        <v>0</v>
      </c>
      <c r="R2256" s="167"/>
      <c r="S2256" s="167">
        <v>2553.0</v>
      </c>
      <c r="T2256" s="167"/>
      <c r="U2256" s="334" t="s">
        <v>7271</v>
      </c>
      <c r="V2256" s="168">
        <f t="shared" si="3"/>
        <v>5858.464</v>
      </c>
      <c r="W2256" s="168">
        <f t="shared" si="4"/>
        <v>0</v>
      </c>
      <c r="X2256" s="168">
        <f t="shared" si="5"/>
        <v>0</v>
      </c>
      <c r="Y2256" s="168">
        <f t="shared" si="6"/>
        <v>0</v>
      </c>
      <c r="Z2256" s="168">
        <f t="shared" si="7"/>
        <v>0</v>
      </c>
      <c r="AA2256" s="168">
        <f t="shared" si="8"/>
        <v>0</v>
      </c>
      <c r="AB2256" s="168">
        <f t="shared" si="9"/>
        <v>0</v>
      </c>
    </row>
    <row r="2257" ht="15.0" customHeight="1">
      <c r="A2257" s="157" t="s">
        <v>9665</v>
      </c>
      <c r="B2257" s="169" t="s">
        <v>22</v>
      </c>
      <c r="C2257" s="169" t="s">
        <v>5148</v>
      </c>
      <c r="D2257" s="317">
        <v>45131.0</v>
      </c>
      <c r="E2257" s="157" t="s">
        <v>600</v>
      </c>
      <c r="F2257" s="160">
        <v>10982.9</v>
      </c>
      <c r="G2257" s="160">
        <f>'FACUS$'!$F2257*0.16</f>
        <v>1757.264</v>
      </c>
      <c r="H2257" s="160">
        <f t="shared" si="68"/>
        <v>12740.164</v>
      </c>
      <c r="I2257" s="172"/>
      <c r="J2257" s="169"/>
      <c r="K2257" s="172"/>
      <c r="L2257" s="172">
        <f>+'FACUS$'!$H2257-'FACUS$'!$I2257-'FACUS$'!$K2257</f>
        <v>12740.164</v>
      </c>
      <c r="M2257" s="162" t="s">
        <v>220</v>
      </c>
      <c r="N2257" s="337" t="s">
        <v>554</v>
      </c>
      <c r="O2257" s="338">
        <v>45181.0</v>
      </c>
      <c r="P2257" s="164">
        <f t="array" ref="P2257">XLOOKUP('FACUS$'!$B2257,'perfil de pagos'!$A$4:$A$46,'perfil de pagos'!$C$4:$C$46+'FACUS$'!$D2257)</f>
        <v>45141</v>
      </c>
      <c r="Q2257" s="165">
        <f t="shared" si="66"/>
        <v>0</v>
      </c>
      <c r="R2257" s="167"/>
      <c r="S2257" s="167">
        <v>2414.0</v>
      </c>
      <c r="T2257" s="167"/>
      <c r="U2257" s="334" t="s">
        <v>7271</v>
      </c>
      <c r="V2257" s="168">
        <f t="shared" si="3"/>
        <v>12740.164</v>
      </c>
      <c r="W2257" s="168">
        <f t="shared" si="4"/>
        <v>0</v>
      </c>
      <c r="X2257" s="168">
        <f t="shared" si="5"/>
        <v>0</v>
      </c>
      <c r="Y2257" s="168">
        <f t="shared" si="6"/>
        <v>0</v>
      </c>
      <c r="Z2257" s="168">
        <f t="shared" si="7"/>
        <v>0</v>
      </c>
      <c r="AA2257" s="168">
        <f t="shared" si="8"/>
        <v>0</v>
      </c>
      <c r="AB2257" s="168">
        <f t="shared" si="9"/>
        <v>0</v>
      </c>
    </row>
    <row r="2258" ht="15.0" customHeight="1">
      <c r="A2258" s="157" t="s">
        <v>9666</v>
      </c>
      <c r="B2258" s="169" t="s">
        <v>37</v>
      </c>
      <c r="C2258" s="169" t="s">
        <v>5148</v>
      </c>
      <c r="D2258" s="317">
        <v>45131.0</v>
      </c>
      <c r="E2258" s="157" t="s">
        <v>600</v>
      </c>
      <c r="F2258" s="160">
        <v>84237.44</v>
      </c>
      <c r="G2258" s="160">
        <f>'FACUS$'!$F2258*0.16</f>
        <v>13477.9904</v>
      </c>
      <c r="H2258" s="160">
        <f t="shared" si="68"/>
        <v>97715.4304</v>
      </c>
      <c r="I2258" s="172"/>
      <c r="J2258" s="169"/>
      <c r="K2258" s="172"/>
      <c r="L2258" s="172">
        <f>+'FACUS$'!$H2258-'FACUS$'!$I2258-'FACUS$'!$K2258</f>
        <v>97715.4304</v>
      </c>
      <c r="M2258" s="162" t="s">
        <v>116</v>
      </c>
      <c r="N2258" s="337" t="s">
        <v>554</v>
      </c>
      <c r="O2258" s="338">
        <v>45138.0</v>
      </c>
      <c r="P2258" s="164">
        <f t="array" ref="P2258">XLOOKUP('FACUS$'!$B2258,'perfil de pagos'!$A$4:$A$46,'perfil de pagos'!$C$4:$C$46+'FACUS$'!$D2258)</f>
        <v>45141</v>
      </c>
      <c r="Q2258" s="165">
        <f t="shared" si="66"/>
        <v>0</v>
      </c>
      <c r="R2258" s="220" t="s">
        <v>9667</v>
      </c>
      <c r="S2258" s="167">
        <v>2330.0</v>
      </c>
      <c r="T2258" s="167"/>
      <c r="U2258" s="334" t="s">
        <v>7271</v>
      </c>
      <c r="V2258" s="168">
        <f t="shared" si="3"/>
        <v>97715.4304</v>
      </c>
      <c r="W2258" s="168">
        <f t="shared" si="4"/>
        <v>0</v>
      </c>
      <c r="X2258" s="168">
        <f t="shared" si="5"/>
        <v>0</v>
      </c>
      <c r="Y2258" s="168">
        <f t="shared" si="6"/>
        <v>0</v>
      </c>
      <c r="Z2258" s="168">
        <f t="shared" si="7"/>
        <v>0</v>
      </c>
      <c r="AA2258" s="168">
        <f t="shared" si="8"/>
        <v>0</v>
      </c>
      <c r="AB2258" s="168">
        <f t="shared" si="9"/>
        <v>0</v>
      </c>
    </row>
    <row r="2259" ht="15.0" customHeight="1">
      <c r="A2259" s="157" t="s">
        <v>9668</v>
      </c>
      <c r="B2259" s="169" t="s">
        <v>38</v>
      </c>
      <c r="C2259" s="169" t="s">
        <v>5148</v>
      </c>
      <c r="D2259" s="317">
        <v>45131.0</v>
      </c>
      <c r="E2259" s="157" t="s">
        <v>600</v>
      </c>
      <c r="F2259" s="160">
        <v>2621.61</v>
      </c>
      <c r="G2259" s="160">
        <f>'FACUS$'!$F2259*0.16</f>
        <v>419.4576</v>
      </c>
      <c r="H2259" s="160">
        <f t="shared" si="68"/>
        <v>3041.0676</v>
      </c>
      <c r="I2259" s="172"/>
      <c r="J2259" s="169"/>
      <c r="K2259" s="172"/>
      <c r="L2259" s="172">
        <f>+'FACUS$'!$H2259-'FACUS$'!$I2259-'FACUS$'!$K2259</f>
        <v>3041.0676</v>
      </c>
      <c r="M2259" s="162" t="s">
        <v>642</v>
      </c>
      <c r="N2259" s="337" t="s">
        <v>554</v>
      </c>
      <c r="O2259" s="338">
        <v>45162.0</v>
      </c>
      <c r="P2259" s="164">
        <f t="array" ref="P2259">XLOOKUP('FACUS$'!$B2259,'perfil de pagos'!$A$4:$A$46,'perfil de pagos'!$C$4:$C$46+'FACUS$'!$D2259)</f>
        <v>45161</v>
      </c>
      <c r="Q2259" s="165">
        <f t="shared" si="66"/>
        <v>0</v>
      </c>
      <c r="R2259" s="167"/>
      <c r="S2259" s="167">
        <v>2370.0</v>
      </c>
      <c r="T2259" s="167"/>
      <c r="U2259" s="334" t="s">
        <v>7271</v>
      </c>
      <c r="V2259" s="168">
        <f t="shared" si="3"/>
        <v>3041.0676</v>
      </c>
      <c r="W2259" s="168">
        <f t="shared" si="4"/>
        <v>0</v>
      </c>
      <c r="X2259" s="168">
        <f t="shared" si="5"/>
        <v>0</v>
      </c>
      <c r="Y2259" s="168">
        <f t="shared" si="6"/>
        <v>0</v>
      </c>
      <c r="Z2259" s="168">
        <f t="shared" si="7"/>
        <v>0</v>
      </c>
      <c r="AA2259" s="168">
        <f t="shared" si="8"/>
        <v>0</v>
      </c>
      <c r="AB2259" s="168">
        <f t="shared" si="9"/>
        <v>0</v>
      </c>
    </row>
    <row r="2260" ht="15.0" customHeight="1">
      <c r="A2260" s="157" t="s">
        <v>9669</v>
      </c>
      <c r="B2260" s="169" t="s">
        <v>38</v>
      </c>
      <c r="C2260" s="169" t="s">
        <v>5148</v>
      </c>
      <c r="D2260" s="317">
        <v>45131.0</v>
      </c>
      <c r="E2260" s="157" t="s">
        <v>600</v>
      </c>
      <c r="F2260" s="160">
        <v>7158.27</v>
      </c>
      <c r="G2260" s="160">
        <f>'FACUS$'!$F2260*0.16</f>
        <v>1145.3232</v>
      </c>
      <c r="H2260" s="160">
        <f t="shared" si="68"/>
        <v>8303.5932</v>
      </c>
      <c r="I2260" s="172"/>
      <c r="J2260" s="169"/>
      <c r="K2260" s="172"/>
      <c r="L2260" s="172">
        <f>+'FACUS$'!$H2260-'FACUS$'!$I2260-'FACUS$'!$K2260</f>
        <v>8303.5932</v>
      </c>
      <c r="M2260" s="162" t="s">
        <v>145</v>
      </c>
      <c r="N2260" s="337" t="s">
        <v>554</v>
      </c>
      <c r="O2260" s="338">
        <v>45162.0</v>
      </c>
      <c r="P2260" s="164">
        <f t="array" ref="P2260">XLOOKUP('FACUS$'!$B2260,'perfil de pagos'!$A$4:$A$46,'perfil de pagos'!$C$4:$C$46+'FACUS$'!$D2260)</f>
        <v>45161</v>
      </c>
      <c r="Q2260" s="165">
        <f t="shared" si="66"/>
        <v>0</v>
      </c>
      <c r="R2260" s="167"/>
      <c r="S2260" s="167">
        <v>2370.0</v>
      </c>
      <c r="T2260" s="167"/>
      <c r="U2260" s="334" t="s">
        <v>7271</v>
      </c>
      <c r="V2260" s="168">
        <f t="shared" si="3"/>
        <v>8303.5932</v>
      </c>
      <c r="W2260" s="168">
        <f t="shared" si="4"/>
        <v>0</v>
      </c>
      <c r="X2260" s="168">
        <f t="shared" si="5"/>
        <v>0</v>
      </c>
      <c r="Y2260" s="168">
        <f t="shared" si="6"/>
        <v>0</v>
      </c>
      <c r="Z2260" s="168">
        <f t="shared" si="7"/>
        <v>0</v>
      </c>
      <c r="AA2260" s="168">
        <f t="shared" si="8"/>
        <v>0</v>
      </c>
      <c r="AB2260" s="168">
        <f t="shared" si="9"/>
        <v>0</v>
      </c>
    </row>
    <row r="2261" ht="15.0" customHeight="1">
      <c r="A2261" s="157" t="s">
        <v>9670</v>
      </c>
      <c r="B2261" s="169" t="s">
        <v>31</v>
      </c>
      <c r="C2261" s="169" t="s">
        <v>9671</v>
      </c>
      <c r="D2261" s="317">
        <v>45132.0</v>
      </c>
      <c r="E2261" s="157" t="s">
        <v>600</v>
      </c>
      <c r="F2261" s="160">
        <v>1542.53</v>
      </c>
      <c r="G2261" s="160">
        <f>'FACUS$'!$F2261*0.16</f>
        <v>246.8048</v>
      </c>
      <c r="H2261" s="160">
        <f t="shared" si="68"/>
        <v>1789.3348</v>
      </c>
      <c r="I2261" s="172"/>
      <c r="J2261" s="169"/>
      <c r="K2261" s="172"/>
      <c r="L2261" s="172">
        <f>+'FACUS$'!$H2261-'FACUS$'!$I2261-'FACUS$'!$K2261</f>
        <v>1789.3348</v>
      </c>
      <c r="M2261" s="162" t="s">
        <v>3183</v>
      </c>
      <c r="N2261" s="337" t="s">
        <v>554</v>
      </c>
      <c r="O2261" s="338">
        <v>45133.0</v>
      </c>
      <c r="P2261" s="164">
        <f t="array" ref="P2261">XLOOKUP('FACUS$'!$B2261,'perfil de pagos'!$A$4:$A$46,'perfil de pagos'!$C$4:$C$46+'FACUS$'!$D2261)</f>
        <v>45135</v>
      </c>
      <c r="Q2261" s="165">
        <f t="shared" si="66"/>
        <v>0</v>
      </c>
      <c r="R2261" s="167"/>
      <c r="S2261" s="167">
        <v>2337.0</v>
      </c>
      <c r="T2261" s="167"/>
      <c r="U2261" s="334" t="s">
        <v>7271</v>
      </c>
      <c r="V2261" s="168">
        <f t="shared" si="3"/>
        <v>1789.3348</v>
      </c>
      <c r="W2261" s="168">
        <f t="shared" si="4"/>
        <v>0</v>
      </c>
      <c r="X2261" s="168">
        <f t="shared" si="5"/>
        <v>0</v>
      </c>
      <c r="Y2261" s="168">
        <f t="shared" si="6"/>
        <v>0</v>
      </c>
      <c r="Z2261" s="168">
        <f t="shared" si="7"/>
        <v>0</v>
      </c>
      <c r="AA2261" s="168">
        <f t="shared" si="8"/>
        <v>0</v>
      </c>
      <c r="AB2261" s="168">
        <f t="shared" si="9"/>
        <v>0</v>
      </c>
    </row>
    <row r="2262" ht="15.0" customHeight="1">
      <c r="A2262" s="157" t="s">
        <v>9672</v>
      </c>
      <c r="B2262" s="169" t="s">
        <v>32</v>
      </c>
      <c r="C2262" s="169" t="s">
        <v>5176</v>
      </c>
      <c r="D2262" s="317">
        <v>45133.0</v>
      </c>
      <c r="E2262" s="157" t="s">
        <v>600</v>
      </c>
      <c r="F2262" s="160">
        <v>1615.54</v>
      </c>
      <c r="G2262" s="160">
        <f>'FACUS$'!$F2262*0.16</f>
        <v>258.4864</v>
      </c>
      <c r="H2262" s="160">
        <f t="shared" si="68"/>
        <v>1874.0264</v>
      </c>
      <c r="I2262" s="172"/>
      <c r="J2262" s="169"/>
      <c r="K2262" s="172"/>
      <c r="L2262" s="172">
        <f>+'FACUS$'!$H2262-'FACUS$'!$I2262-'FACUS$'!$K2262</f>
        <v>1874.0264</v>
      </c>
      <c r="M2262" s="162" t="s">
        <v>395</v>
      </c>
      <c r="N2262" s="337" t="s">
        <v>554</v>
      </c>
      <c r="O2262" s="338">
        <v>45135.0</v>
      </c>
      <c r="P2262" s="164">
        <f t="array" ref="P2262">XLOOKUP('FACUS$'!$B2262,'perfil de pagos'!$A$4:$A$46,'perfil de pagos'!$C$4:$C$46+'FACUS$'!$D2262)</f>
        <v>45143</v>
      </c>
      <c r="Q2262" s="165">
        <f t="shared" si="66"/>
        <v>0</v>
      </c>
      <c r="R2262" s="167"/>
      <c r="S2262" s="167">
        <v>2340.0</v>
      </c>
      <c r="T2262" s="167"/>
      <c r="U2262" s="334" t="s">
        <v>7271</v>
      </c>
      <c r="V2262" s="168">
        <f t="shared" si="3"/>
        <v>1874.0264</v>
      </c>
      <c r="W2262" s="168">
        <f t="shared" si="4"/>
        <v>0</v>
      </c>
      <c r="X2262" s="168">
        <f t="shared" si="5"/>
        <v>0</v>
      </c>
      <c r="Y2262" s="168">
        <f t="shared" si="6"/>
        <v>0</v>
      </c>
      <c r="Z2262" s="168">
        <f t="shared" si="7"/>
        <v>0</v>
      </c>
      <c r="AA2262" s="168">
        <f t="shared" si="8"/>
        <v>0</v>
      </c>
      <c r="AB2262" s="168">
        <f t="shared" si="9"/>
        <v>0</v>
      </c>
    </row>
    <row r="2263" ht="15.0" customHeight="1">
      <c r="A2263" s="157" t="s">
        <v>9673</v>
      </c>
      <c r="B2263" s="169" t="s">
        <v>32</v>
      </c>
      <c r="C2263" s="169" t="s">
        <v>5178</v>
      </c>
      <c r="D2263" s="317">
        <v>45133.0</v>
      </c>
      <c r="E2263" s="157" t="s">
        <v>600</v>
      </c>
      <c r="F2263" s="160">
        <v>1659.11</v>
      </c>
      <c r="G2263" s="160">
        <f>'FACUS$'!$F2263*0.16</f>
        <v>265.4576</v>
      </c>
      <c r="H2263" s="160">
        <f t="shared" si="68"/>
        <v>1924.5676</v>
      </c>
      <c r="I2263" s="172"/>
      <c r="J2263" s="169"/>
      <c r="K2263" s="172"/>
      <c r="L2263" s="172">
        <f>+'FACUS$'!$H2263-'FACUS$'!$I2263-'FACUS$'!$K2263</f>
        <v>1924.5676</v>
      </c>
      <c r="M2263" s="162" t="s">
        <v>395</v>
      </c>
      <c r="N2263" s="337" t="s">
        <v>554</v>
      </c>
      <c r="O2263" s="338">
        <v>45135.0</v>
      </c>
      <c r="P2263" s="164">
        <f t="array" ref="P2263">XLOOKUP('FACUS$'!$B2263,'perfil de pagos'!$A$4:$A$46,'perfil de pagos'!$C$4:$C$46+'FACUS$'!$D2263)</f>
        <v>45143</v>
      </c>
      <c r="Q2263" s="165">
        <f t="shared" si="66"/>
        <v>0</v>
      </c>
      <c r="R2263" s="167"/>
      <c r="S2263" s="167">
        <v>2340.0</v>
      </c>
      <c r="T2263" s="167"/>
      <c r="U2263" s="334" t="s">
        <v>7271</v>
      </c>
      <c r="V2263" s="168">
        <f t="shared" si="3"/>
        <v>1924.5676</v>
      </c>
      <c r="W2263" s="168">
        <f t="shared" si="4"/>
        <v>0</v>
      </c>
      <c r="X2263" s="168">
        <f t="shared" si="5"/>
        <v>0</v>
      </c>
      <c r="Y2263" s="168">
        <f t="shared" si="6"/>
        <v>0</v>
      </c>
      <c r="Z2263" s="168">
        <f t="shared" si="7"/>
        <v>0</v>
      </c>
      <c r="AA2263" s="168">
        <f t="shared" si="8"/>
        <v>0</v>
      </c>
      <c r="AB2263" s="168">
        <f t="shared" si="9"/>
        <v>0</v>
      </c>
    </row>
    <row r="2264" ht="15.0" customHeight="1">
      <c r="A2264" s="157" t="s">
        <v>9674</v>
      </c>
      <c r="B2264" s="169" t="s">
        <v>32</v>
      </c>
      <c r="C2264" s="169" t="s">
        <v>5180</v>
      </c>
      <c r="D2264" s="317">
        <v>45133.0</v>
      </c>
      <c r="E2264" s="157" t="s">
        <v>600</v>
      </c>
      <c r="F2264" s="160">
        <v>1811.11</v>
      </c>
      <c r="G2264" s="160">
        <f>'FACUS$'!$F2264*0.16</f>
        <v>289.7776</v>
      </c>
      <c r="H2264" s="160">
        <f t="shared" si="68"/>
        <v>2100.8876</v>
      </c>
      <c r="I2264" s="172"/>
      <c r="J2264" s="169"/>
      <c r="K2264" s="172"/>
      <c r="L2264" s="172">
        <f>+'FACUS$'!$H2264-'FACUS$'!$I2264-'FACUS$'!$K2264</f>
        <v>2100.8876</v>
      </c>
      <c r="M2264" s="162" t="s">
        <v>395</v>
      </c>
      <c r="N2264" s="337" t="s">
        <v>554</v>
      </c>
      <c r="O2264" s="338">
        <v>45135.0</v>
      </c>
      <c r="P2264" s="164">
        <f t="array" ref="P2264">XLOOKUP('FACUS$'!$B2264,'perfil de pagos'!$A$4:$A$46,'perfil de pagos'!$C$4:$C$46+'FACUS$'!$D2264)</f>
        <v>45143</v>
      </c>
      <c r="Q2264" s="165">
        <f t="shared" si="66"/>
        <v>0</v>
      </c>
      <c r="R2264" s="167"/>
      <c r="S2264" s="167">
        <v>2340.0</v>
      </c>
      <c r="T2264" s="167"/>
      <c r="U2264" s="334" t="s">
        <v>7271</v>
      </c>
      <c r="V2264" s="168">
        <f t="shared" si="3"/>
        <v>2100.8876</v>
      </c>
      <c r="W2264" s="168">
        <f t="shared" si="4"/>
        <v>0</v>
      </c>
      <c r="X2264" s="168">
        <f t="shared" si="5"/>
        <v>0</v>
      </c>
      <c r="Y2264" s="168">
        <f t="shared" si="6"/>
        <v>0</v>
      </c>
      <c r="Z2264" s="168">
        <f t="shared" si="7"/>
        <v>0</v>
      </c>
      <c r="AA2264" s="168">
        <f t="shared" si="8"/>
        <v>0</v>
      </c>
      <c r="AB2264" s="168">
        <f t="shared" si="9"/>
        <v>0</v>
      </c>
    </row>
    <row r="2265" ht="15.75" customHeight="1">
      <c r="A2265" s="157" t="s">
        <v>9675</v>
      </c>
      <c r="B2265" s="169" t="s">
        <v>31</v>
      </c>
      <c r="C2265" s="169" t="s">
        <v>9676</v>
      </c>
      <c r="D2265" s="317">
        <v>45134.0</v>
      </c>
      <c r="E2265" s="157" t="s">
        <v>600</v>
      </c>
      <c r="F2265" s="160">
        <v>1495.01</v>
      </c>
      <c r="G2265" s="160">
        <f>'FACUS$'!$F2265*0.16</f>
        <v>239.2016</v>
      </c>
      <c r="H2265" s="160">
        <f t="shared" si="68"/>
        <v>1734.2116</v>
      </c>
      <c r="I2265" s="172"/>
      <c r="J2265" s="169"/>
      <c r="K2265" s="172"/>
      <c r="L2265" s="172">
        <f>+'FACUS$'!$H2265-'FACUS$'!$I2265-'FACUS$'!$K2265</f>
        <v>1734.2116</v>
      </c>
      <c r="M2265" s="162" t="s">
        <v>3183</v>
      </c>
      <c r="N2265" s="337" t="s">
        <v>554</v>
      </c>
      <c r="O2265" s="338">
        <v>45134.0</v>
      </c>
      <c r="P2265" s="164">
        <f t="array" ref="P2265">XLOOKUP('FACUS$'!$B2265,'perfil de pagos'!$A$4:$A$46,'perfil de pagos'!$C$4:$C$46+'FACUS$'!$D2265)</f>
        <v>45137</v>
      </c>
      <c r="Q2265" s="165">
        <f t="shared" si="66"/>
        <v>0</v>
      </c>
      <c r="R2265" s="220" t="s">
        <v>9677</v>
      </c>
      <c r="S2265" s="167">
        <v>2346.0</v>
      </c>
      <c r="T2265" s="167"/>
      <c r="U2265" s="334" t="s">
        <v>7271</v>
      </c>
      <c r="V2265" s="168">
        <f t="shared" si="3"/>
        <v>1734.2116</v>
      </c>
      <c r="W2265" s="168">
        <f t="shared" si="4"/>
        <v>0</v>
      </c>
      <c r="X2265" s="168">
        <f t="shared" si="5"/>
        <v>0</v>
      </c>
      <c r="Y2265" s="168">
        <f t="shared" si="6"/>
        <v>0</v>
      </c>
      <c r="Z2265" s="168">
        <f t="shared" si="7"/>
        <v>0</v>
      </c>
      <c r="AA2265" s="168">
        <f t="shared" si="8"/>
        <v>0</v>
      </c>
      <c r="AB2265" s="168">
        <f t="shared" si="9"/>
        <v>0</v>
      </c>
    </row>
    <row r="2266" ht="15.0" customHeight="1">
      <c r="A2266" s="157" t="s">
        <v>9678</v>
      </c>
      <c r="B2266" s="169" t="s">
        <v>24</v>
      </c>
      <c r="C2266" s="169" t="s">
        <v>9679</v>
      </c>
      <c r="D2266" s="317">
        <v>45141.0</v>
      </c>
      <c r="E2266" s="157" t="s">
        <v>600</v>
      </c>
      <c r="F2266" s="160">
        <v>5950.0</v>
      </c>
      <c r="G2266" s="160">
        <f>'FACUS$'!$F2266*0.16</f>
        <v>952</v>
      </c>
      <c r="H2266" s="160">
        <f t="shared" si="68"/>
        <v>6902</v>
      </c>
      <c r="I2266" s="172"/>
      <c r="J2266" s="169"/>
      <c r="K2266" s="172"/>
      <c r="L2266" s="172">
        <f>+'FACUS$'!$H2266-'FACUS$'!$I2266-'FACUS$'!$K2266</f>
        <v>6902</v>
      </c>
      <c r="M2266" s="162" t="s">
        <v>91</v>
      </c>
      <c r="N2266" s="337" t="s">
        <v>554</v>
      </c>
      <c r="O2266" s="338">
        <v>45211.0</v>
      </c>
      <c r="P2266" s="164">
        <f t="array" ref="P2266">XLOOKUP('FACUS$'!$B2266,'perfil de pagos'!$A$4:$A$46,'perfil de pagos'!$C$4:$C$46+'FACUS$'!$D2266)</f>
        <v>45151</v>
      </c>
      <c r="Q2266" s="165">
        <f t="shared" si="66"/>
        <v>0</v>
      </c>
      <c r="R2266" s="220" t="s">
        <v>9680</v>
      </c>
      <c r="S2266" s="167">
        <v>2491.0</v>
      </c>
      <c r="T2266" s="167"/>
      <c r="U2266" s="334" t="s">
        <v>7271</v>
      </c>
      <c r="V2266" s="168">
        <f t="shared" si="3"/>
        <v>6902</v>
      </c>
      <c r="W2266" s="168">
        <f t="shared" si="4"/>
        <v>0</v>
      </c>
      <c r="X2266" s="168">
        <f t="shared" si="5"/>
        <v>0</v>
      </c>
      <c r="Y2266" s="168">
        <f t="shared" si="6"/>
        <v>0</v>
      </c>
      <c r="Z2266" s="168">
        <f t="shared" si="7"/>
        <v>0</v>
      </c>
      <c r="AA2266" s="168">
        <f t="shared" si="8"/>
        <v>0</v>
      </c>
      <c r="AB2266" s="168">
        <f t="shared" si="9"/>
        <v>0</v>
      </c>
    </row>
    <row r="2267" ht="15.0" customHeight="1">
      <c r="A2267" s="157" t="s">
        <v>9681</v>
      </c>
      <c r="B2267" s="169" t="s">
        <v>24</v>
      </c>
      <c r="C2267" s="169" t="s">
        <v>9682</v>
      </c>
      <c r="D2267" s="317">
        <v>45141.0</v>
      </c>
      <c r="E2267" s="157" t="s">
        <v>600</v>
      </c>
      <c r="F2267" s="160">
        <v>5950.0</v>
      </c>
      <c r="G2267" s="160">
        <f>'FACUS$'!$F2267*0.16</f>
        <v>952</v>
      </c>
      <c r="H2267" s="160">
        <f t="shared" si="68"/>
        <v>6902</v>
      </c>
      <c r="I2267" s="172"/>
      <c r="J2267" s="169"/>
      <c r="K2267" s="172"/>
      <c r="L2267" s="172">
        <f>+'FACUS$'!$H2267-'FACUS$'!$I2267-'FACUS$'!$K2267</f>
        <v>6902</v>
      </c>
      <c r="M2267" s="162" t="s">
        <v>91</v>
      </c>
      <c r="N2267" s="337" t="s">
        <v>554</v>
      </c>
      <c r="O2267" s="338">
        <v>45211.0</v>
      </c>
      <c r="P2267" s="164">
        <f t="array" ref="P2267">XLOOKUP('FACUS$'!$B2267,'perfil de pagos'!$A$4:$A$46,'perfil de pagos'!$C$4:$C$46+'FACUS$'!$D2267)</f>
        <v>45151</v>
      </c>
      <c r="Q2267" s="165">
        <f t="shared" si="66"/>
        <v>0</v>
      </c>
      <c r="R2267" s="220" t="s">
        <v>9680</v>
      </c>
      <c r="S2267" s="167">
        <v>2491.0</v>
      </c>
      <c r="T2267" s="167"/>
      <c r="U2267" s="334" t="s">
        <v>7271</v>
      </c>
      <c r="V2267" s="168">
        <f t="shared" si="3"/>
        <v>6902</v>
      </c>
      <c r="W2267" s="168">
        <f t="shared" si="4"/>
        <v>0</v>
      </c>
      <c r="X2267" s="168">
        <f t="shared" si="5"/>
        <v>0</v>
      </c>
      <c r="Y2267" s="168">
        <f t="shared" si="6"/>
        <v>0</v>
      </c>
      <c r="Z2267" s="168">
        <f t="shared" si="7"/>
        <v>0</v>
      </c>
      <c r="AA2267" s="168">
        <f t="shared" si="8"/>
        <v>0</v>
      </c>
      <c r="AB2267" s="168">
        <f t="shared" si="9"/>
        <v>0</v>
      </c>
    </row>
    <row r="2268" ht="15.0" customHeight="1">
      <c r="A2268" s="157" t="s">
        <v>9683</v>
      </c>
      <c r="B2268" s="169" t="s">
        <v>40</v>
      </c>
      <c r="C2268" s="169" t="s">
        <v>9684</v>
      </c>
      <c r="D2268" s="317">
        <v>45141.0</v>
      </c>
      <c r="E2268" s="157" t="s">
        <v>600</v>
      </c>
      <c r="F2268" s="160">
        <v>535.0</v>
      </c>
      <c r="G2268" s="160">
        <f>'FACUS$'!$F2268*0.16</f>
        <v>85.6</v>
      </c>
      <c r="H2268" s="160">
        <f t="shared" si="68"/>
        <v>620.6</v>
      </c>
      <c r="I2268" s="172"/>
      <c r="J2268" s="169"/>
      <c r="K2268" s="172"/>
      <c r="L2268" s="172">
        <f>+'FACUS$'!$H2268-'FACUS$'!$I2268-'FACUS$'!$K2268</f>
        <v>620.6</v>
      </c>
      <c r="M2268" s="162" t="s">
        <v>490</v>
      </c>
      <c r="N2268" s="337" t="s">
        <v>127</v>
      </c>
      <c r="O2268" s="338"/>
      <c r="P2268" s="164">
        <f t="array" ref="P2268">XLOOKUP('FACUS$'!$B2268,'perfil de pagos'!$A$4:$A$46,'perfil de pagos'!$C$4:$C$46+'FACUS$'!$D2268)</f>
        <v>45171</v>
      </c>
      <c r="Q2268" s="165" t="str">
        <f t="shared" si="66"/>
        <v>N/A</v>
      </c>
      <c r="R2268" s="167"/>
      <c r="S2268" s="167"/>
      <c r="T2268" s="167"/>
      <c r="U2268" s="334" t="s">
        <v>7271</v>
      </c>
      <c r="V2268" s="168">
        <f t="shared" si="3"/>
        <v>0</v>
      </c>
      <c r="W2268" s="168">
        <f t="shared" si="4"/>
        <v>0</v>
      </c>
      <c r="X2268" s="168">
        <f t="shared" si="5"/>
        <v>0</v>
      </c>
      <c r="Y2268" s="168">
        <f t="shared" si="6"/>
        <v>0</v>
      </c>
      <c r="Z2268" s="168">
        <f t="shared" si="7"/>
        <v>0</v>
      </c>
      <c r="AA2268" s="168">
        <f t="shared" si="8"/>
        <v>0</v>
      </c>
      <c r="AB2268" s="168">
        <f t="shared" si="9"/>
        <v>620.6</v>
      </c>
    </row>
    <row r="2269" ht="15.0" customHeight="1">
      <c r="A2269" s="157" t="s">
        <v>9685</v>
      </c>
      <c r="B2269" s="169" t="s">
        <v>15</v>
      </c>
      <c r="C2269" s="169" t="s">
        <v>5218</v>
      </c>
      <c r="D2269" s="317">
        <v>45142.0</v>
      </c>
      <c r="E2269" s="157" t="s">
        <v>600</v>
      </c>
      <c r="F2269" s="160">
        <v>18996.53</v>
      </c>
      <c r="G2269" s="160">
        <f>'FACUS$'!$F2269*0.16</f>
        <v>3039.4448</v>
      </c>
      <c r="H2269" s="160">
        <f t="shared" si="68"/>
        <v>22035.9748</v>
      </c>
      <c r="I2269" s="172"/>
      <c r="J2269" s="169"/>
      <c r="K2269" s="172"/>
      <c r="L2269" s="172">
        <f>+'FACUS$'!$H2269-'FACUS$'!$I2269-'FACUS$'!$K2269</f>
        <v>22035.9748</v>
      </c>
      <c r="M2269" s="162" t="s">
        <v>443</v>
      </c>
      <c r="N2269" s="337" t="s">
        <v>554</v>
      </c>
      <c r="O2269" s="338">
        <v>45160.0</v>
      </c>
      <c r="P2269" s="164">
        <f t="array" ref="P2269">XLOOKUP('FACUS$'!$B2269,'perfil de pagos'!$A$4:$A$46,'perfil de pagos'!$C$4:$C$46+'FACUS$'!$D2269)</f>
        <v>45152</v>
      </c>
      <c r="Q2269" s="165">
        <f t="shared" si="66"/>
        <v>0</v>
      </c>
      <c r="R2269" s="167"/>
      <c r="S2269" s="167">
        <v>2378.0</v>
      </c>
      <c r="T2269" s="167"/>
      <c r="U2269" s="334" t="s">
        <v>7271</v>
      </c>
      <c r="V2269" s="168">
        <f t="shared" si="3"/>
        <v>22035.9748</v>
      </c>
      <c r="W2269" s="168">
        <f t="shared" si="4"/>
        <v>0</v>
      </c>
      <c r="X2269" s="168">
        <f t="shared" si="5"/>
        <v>0</v>
      </c>
      <c r="Y2269" s="168">
        <f t="shared" si="6"/>
        <v>0</v>
      </c>
      <c r="Z2269" s="168">
        <f t="shared" si="7"/>
        <v>0</v>
      </c>
      <c r="AA2269" s="168">
        <f t="shared" si="8"/>
        <v>0</v>
      </c>
      <c r="AB2269" s="168">
        <f t="shared" si="9"/>
        <v>0</v>
      </c>
    </row>
    <row r="2270" ht="15.0" customHeight="1">
      <c r="A2270" s="157" t="s">
        <v>9686</v>
      </c>
      <c r="B2270" s="169" t="s">
        <v>31</v>
      </c>
      <c r="C2270" s="169" t="s">
        <v>9687</v>
      </c>
      <c r="D2270" s="317">
        <v>45142.0</v>
      </c>
      <c r="E2270" s="157" t="s">
        <v>600</v>
      </c>
      <c r="F2270" s="160">
        <v>13.75</v>
      </c>
      <c r="G2270" s="160">
        <f>'FACUS$'!$F2270*0.16</f>
        <v>2.2</v>
      </c>
      <c r="H2270" s="160">
        <f t="shared" si="68"/>
        <v>15.95</v>
      </c>
      <c r="I2270" s="172"/>
      <c r="J2270" s="169"/>
      <c r="K2270" s="172"/>
      <c r="L2270" s="172">
        <f>+'FACUS$'!$H2270-'FACUS$'!$I2270-'FACUS$'!$K2270</f>
        <v>15.95</v>
      </c>
      <c r="M2270" s="162" t="s">
        <v>3183</v>
      </c>
      <c r="N2270" s="337" t="s">
        <v>554</v>
      </c>
      <c r="O2270" s="338">
        <v>45134.0</v>
      </c>
      <c r="P2270" s="164">
        <f t="array" ref="P2270">XLOOKUP('FACUS$'!$B2270,'perfil de pagos'!$A$4:$A$46,'perfil de pagos'!$C$4:$C$46+'FACUS$'!$D2270)</f>
        <v>45145</v>
      </c>
      <c r="Q2270" s="165">
        <f t="shared" si="66"/>
        <v>0</v>
      </c>
      <c r="R2270" s="220" t="s">
        <v>9688</v>
      </c>
      <c r="S2270" s="167">
        <v>2346.0</v>
      </c>
      <c r="T2270" s="167"/>
      <c r="U2270" s="334" t="s">
        <v>7271</v>
      </c>
      <c r="V2270" s="168">
        <f t="shared" si="3"/>
        <v>15.95</v>
      </c>
      <c r="W2270" s="168">
        <f t="shared" si="4"/>
        <v>0</v>
      </c>
      <c r="X2270" s="168">
        <f t="shared" si="5"/>
        <v>0</v>
      </c>
      <c r="Y2270" s="168">
        <f t="shared" si="6"/>
        <v>0</v>
      </c>
      <c r="Z2270" s="168">
        <f t="shared" si="7"/>
        <v>0</v>
      </c>
      <c r="AA2270" s="168">
        <f t="shared" si="8"/>
        <v>0</v>
      </c>
      <c r="AB2270" s="168">
        <f t="shared" si="9"/>
        <v>0</v>
      </c>
    </row>
    <row r="2271" ht="15.0" customHeight="1">
      <c r="A2271" s="157" t="s">
        <v>9689</v>
      </c>
      <c r="B2271" s="169" t="s">
        <v>35</v>
      </c>
      <c r="C2271" s="169" t="s">
        <v>5218</v>
      </c>
      <c r="D2271" s="317">
        <v>45142.0</v>
      </c>
      <c r="E2271" s="157" t="s">
        <v>600</v>
      </c>
      <c r="F2271" s="160">
        <v>144.56</v>
      </c>
      <c r="G2271" s="160">
        <f>'FACUS$'!$F2271*0.16</f>
        <v>23.1296</v>
      </c>
      <c r="H2271" s="160">
        <f t="shared" si="68"/>
        <v>167.6896</v>
      </c>
      <c r="I2271" s="172"/>
      <c r="J2271" s="169"/>
      <c r="K2271" s="172"/>
      <c r="L2271" s="172">
        <f>+'FACUS$'!$H2271-'FACUS$'!$I2271-'FACUS$'!$K2271</f>
        <v>167.6896</v>
      </c>
      <c r="M2271" s="162" t="s">
        <v>276</v>
      </c>
      <c r="N2271" s="337" t="s">
        <v>554</v>
      </c>
      <c r="O2271" s="338">
        <v>45261.0</v>
      </c>
      <c r="P2271" s="164">
        <f t="array" ref="P2271">XLOOKUP('FACUS$'!$B2271,'perfil de pagos'!$A$4:$A$46,'perfil de pagos'!$C$4:$C$46+'FACUS$'!$D2271)</f>
        <v>45152</v>
      </c>
      <c r="Q2271" s="165">
        <f t="shared" si="66"/>
        <v>0</v>
      </c>
      <c r="R2271" s="167"/>
      <c r="S2271" s="167">
        <v>2633.0</v>
      </c>
      <c r="T2271" s="167"/>
      <c r="U2271" s="334" t="s">
        <v>7271</v>
      </c>
      <c r="V2271" s="168">
        <f t="shared" si="3"/>
        <v>167.6896</v>
      </c>
      <c r="W2271" s="168">
        <f t="shared" si="4"/>
        <v>0</v>
      </c>
      <c r="X2271" s="168">
        <f t="shared" si="5"/>
        <v>0</v>
      </c>
      <c r="Y2271" s="168">
        <f t="shared" si="6"/>
        <v>0</v>
      </c>
      <c r="Z2271" s="168">
        <f t="shared" si="7"/>
        <v>0</v>
      </c>
      <c r="AA2271" s="168">
        <f t="shared" si="8"/>
        <v>0</v>
      </c>
      <c r="AB2271" s="168">
        <f t="shared" si="9"/>
        <v>0</v>
      </c>
    </row>
    <row r="2272" ht="15.0" customHeight="1">
      <c r="A2272" s="157" t="s">
        <v>9690</v>
      </c>
      <c r="B2272" s="169" t="s">
        <v>41</v>
      </c>
      <c r="C2272" s="169" t="s">
        <v>5218</v>
      </c>
      <c r="D2272" s="317">
        <v>45142.0</v>
      </c>
      <c r="E2272" s="157" t="s">
        <v>600</v>
      </c>
      <c r="F2272" s="160">
        <v>18780.07</v>
      </c>
      <c r="G2272" s="160">
        <f>'FACUS$'!$F2272*0.16</f>
        <v>3004.8112</v>
      </c>
      <c r="H2272" s="160">
        <f t="shared" si="68"/>
        <v>21784.8812</v>
      </c>
      <c r="I2272" s="172"/>
      <c r="J2272" s="169"/>
      <c r="K2272" s="172"/>
      <c r="L2272" s="172">
        <f>+'FACUS$'!$H2272-'FACUS$'!$I2272-'FACUS$'!$K2272</f>
        <v>21784.8812</v>
      </c>
      <c r="M2272" s="162" t="s">
        <v>875</v>
      </c>
      <c r="N2272" s="337" t="s">
        <v>554</v>
      </c>
      <c r="O2272" s="338">
        <v>45187.0</v>
      </c>
      <c r="P2272" s="164">
        <f t="array" ref="P2272">XLOOKUP('FACUS$'!$B2272,'perfil de pagos'!$A$4:$A$46,'perfil de pagos'!$C$4:$C$46+'FACUS$'!$D2272)</f>
        <v>45152</v>
      </c>
      <c r="Q2272" s="165">
        <f t="shared" si="66"/>
        <v>0</v>
      </c>
      <c r="R2272" s="167"/>
      <c r="S2272" s="167">
        <v>2428.0</v>
      </c>
      <c r="T2272" s="167"/>
      <c r="U2272" s="334" t="s">
        <v>7271</v>
      </c>
      <c r="V2272" s="168">
        <f t="shared" si="3"/>
        <v>21784.8812</v>
      </c>
      <c r="W2272" s="168">
        <f t="shared" si="4"/>
        <v>0</v>
      </c>
      <c r="X2272" s="168">
        <f t="shared" si="5"/>
        <v>0</v>
      </c>
      <c r="Y2272" s="168">
        <f t="shared" si="6"/>
        <v>0</v>
      </c>
      <c r="Z2272" s="168">
        <f t="shared" si="7"/>
        <v>0</v>
      </c>
      <c r="AA2272" s="168">
        <f t="shared" si="8"/>
        <v>0</v>
      </c>
      <c r="AB2272" s="168">
        <f t="shared" si="9"/>
        <v>0</v>
      </c>
    </row>
    <row r="2273" ht="15.0" customHeight="1">
      <c r="A2273" s="157" t="s">
        <v>9691</v>
      </c>
      <c r="B2273" s="169" t="s">
        <v>42</v>
      </c>
      <c r="C2273" s="169" t="s">
        <v>5218</v>
      </c>
      <c r="D2273" s="317">
        <v>45142.0</v>
      </c>
      <c r="E2273" s="157" t="s">
        <v>600</v>
      </c>
      <c r="F2273" s="160">
        <v>6547.08</v>
      </c>
      <c r="G2273" s="160">
        <f>'FACUS$'!$F2273*0.16</f>
        <v>1047.5328</v>
      </c>
      <c r="H2273" s="160">
        <f t="shared" si="68"/>
        <v>7594.6128</v>
      </c>
      <c r="I2273" s="172"/>
      <c r="J2273" s="169"/>
      <c r="K2273" s="172"/>
      <c r="L2273" s="172">
        <f>+'FACUS$'!$H2273-'FACUS$'!$I2273-'FACUS$'!$K2273</f>
        <v>7594.6128</v>
      </c>
      <c r="M2273" s="162" t="s">
        <v>42</v>
      </c>
      <c r="N2273" s="337" t="s">
        <v>554</v>
      </c>
      <c r="O2273" s="338">
        <v>45162.0</v>
      </c>
      <c r="P2273" s="164">
        <f t="array" ref="P2273">XLOOKUP('FACUS$'!$B2273,'perfil de pagos'!$A$4:$A$46,'perfil de pagos'!$C$4:$C$46+'FACUS$'!$D2273)</f>
        <v>45152</v>
      </c>
      <c r="Q2273" s="165">
        <f t="shared" si="66"/>
        <v>0</v>
      </c>
      <c r="R2273" s="167"/>
      <c r="S2273" s="167">
        <v>2380.0</v>
      </c>
      <c r="T2273" s="167"/>
      <c r="U2273" s="334" t="s">
        <v>7271</v>
      </c>
      <c r="V2273" s="168">
        <f t="shared" si="3"/>
        <v>7594.6128</v>
      </c>
      <c r="W2273" s="168">
        <f t="shared" si="4"/>
        <v>0</v>
      </c>
      <c r="X2273" s="168">
        <f t="shared" si="5"/>
        <v>0</v>
      </c>
      <c r="Y2273" s="168">
        <f t="shared" si="6"/>
        <v>0</v>
      </c>
      <c r="Z2273" s="168">
        <f t="shared" si="7"/>
        <v>0</v>
      </c>
      <c r="AA2273" s="168">
        <f t="shared" si="8"/>
        <v>0</v>
      </c>
      <c r="AB2273" s="168">
        <f t="shared" si="9"/>
        <v>0</v>
      </c>
    </row>
    <row r="2274" ht="15.0" customHeight="1">
      <c r="A2274" s="157" t="s">
        <v>9692</v>
      </c>
      <c r="B2274" s="169" t="s">
        <v>43</v>
      </c>
      <c r="C2274" s="169" t="s">
        <v>5218</v>
      </c>
      <c r="D2274" s="317">
        <v>45142.0</v>
      </c>
      <c r="E2274" s="157" t="s">
        <v>600</v>
      </c>
      <c r="F2274" s="160">
        <v>18830.93</v>
      </c>
      <c r="G2274" s="160">
        <f>'FACUS$'!$F2274*0.16</f>
        <v>3012.9488</v>
      </c>
      <c r="H2274" s="160">
        <f t="shared" si="68"/>
        <v>21843.8788</v>
      </c>
      <c r="I2274" s="172"/>
      <c r="J2274" s="169">
        <f>+'NCUS$'!A73</f>
        <v>335</v>
      </c>
      <c r="K2274" s="172">
        <f>+'NCUS$'!H73</f>
        <v>48.1632</v>
      </c>
      <c r="L2274" s="172">
        <f>+'FACUS$'!$H2274-'FACUS$'!$I2274-'FACUS$'!$K2274</f>
        <v>21795.7156</v>
      </c>
      <c r="M2274" s="162" t="s">
        <v>43</v>
      </c>
      <c r="N2274" s="337" t="s">
        <v>554</v>
      </c>
      <c r="O2274" s="338">
        <v>45194.0</v>
      </c>
      <c r="P2274" s="164">
        <f t="array" ref="P2274">XLOOKUP('FACUS$'!$B2274,'perfil de pagos'!$A$4:$A$46,'perfil de pagos'!$C$4:$C$46+'FACUS$'!$D2274)</f>
        <v>45167</v>
      </c>
      <c r="Q2274" s="165">
        <f t="shared" si="66"/>
        <v>0</v>
      </c>
      <c r="R2274" s="167"/>
      <c r="S2274" s="167">
        <v>2449.0</v>
      </c>
      <c r="T2274" s="167"/>
      <c r="U2274" s="334" t="s">
        <v>7271</v>
      </c>
      <c r="V2274" s="168">
        <f t="shared" si="3"/>
        <v>21795.7156</v>
      </c>
      <c r="W2274" s="168">
        <f t="shared" si="4"/>
        <v>0</v>
      </c>
      <c r="X2274" s="168">
        <f t="shared" si="5"/>
        <v>0</v>
      </c>
      <c r="Y2274" s="168">
        <f t="shared" si="6"/>
        <v>0</v>
      </c>
      <c r="Z2274" s="168">
        <f t="shared" si="7"/>
        <v>0</v>
      </c>
      <c r="AA2274" s="168">
        <f t="shared" si="8"/>
        <v>0</v>
      </c>
      <c r="AB2274" s="168">
        <f t="shared" si="9"/>
        <v>0</v>
      </c>
    </row>
    <row r="2275" ht="15.0" customHeight="1">
      <c r="A2275" s="157" t="s">
        <v>9693</v>
      </c>
      <c r="B2275" s="169" t="s">
        <v>44</v>
      </c>
      <c r="C2275" s="169" t="s">
        <v>5218</v>
      </c>
      <c r="D2275" s="317">
        <v>45142.0</v>
      </c>
      <c r="E2275" s="157" t="s">
        <v>600</v>
      </c>
      <c r="F2275" s="160">
        <v>7240.68</v>
      </c>
      <c r="G2275" s="160">
        <f>'FACUS$'!$F2275*0.16</f>
        <v>1158.5088</v>
      </c>
      <c r="H2275" s="160">
        <f t="shared" si="68"/>
        <v>8399.1888</v>
      </c>
      <c r="I2275" s="172"/>
      <c r="J2275" s="169"/>
      <c r="K2275" s="172"/>
      <c r="L2275" s="172">
        <f>+'FACUS$'!$H2275-'FACUS$'!$I2275-'FACUS$'!$K2275</f>
        <v>8399.1888</v>
      </c>
      <c r="M2275" s="162" t="s">
        <v>361</v>
      </c>
      <c r="N2275" s="337" t="s">
        <v>554</v>
      </c>
      <c r="O2275" s="338">
        <v>45156.0</v>
      </c>
      <c r="P2275" s="164">
        <f t="array" ref="P2275">XLOOKUP('FACUS$'!$B2275,'perfil de pagos'!$A$4:$A$46,'perfil de pagos'!$C$4:$C$46+'FACUS$'!$D2275)</f>
        <v>45152</v>
      </c>
      <c r="Q2275" s="165">
        <f t="shared" si="66"/>
        <v>0</v>
      </c>
      <c r="R2275" s="167"/>
      <c r="S2275" s="167">
        <v>2375.0</v>
      </c>
      <c r="T2275" s="167"/>
      <c r="U2275" s="334" t="s">
        <v>7271</v>
      </c>
      <c r="V2275" s="168">
        <f t="shared" si="3"/>
        <v>8399.1888</v>
      </c>
      <c r="W2275" s="168">
        <f t="shared" si="4"/>
        <v>0</v>
      </c>
      <c r="X2275" s="168">
        <f t="shared" si="5"/>
        <v>0</v>
      </c>
      <c r="Y2275" s="168">
        <f t="shared" si="6"/>
        <v>0</v>
      </c>
      <c r="Z2275" s="168">
        <f t="shared" si="7"/>
        <v>0</v>
      </c>
      <c r="AA2275" s="168">
        <f t="shared" si="8"/>
        <v>0</v>
      </c>
      <c r="AB2275" s="168">
        <f t="shared" si="9"/>
        <v>0</v>
      </c>
    </row>
    <row r="2276" ht="15.0" customHeight="1">
      <c r="A2276" s="157" t="s">
        <v>9694</v>
      </c>
      <c r="B2276" s="169" t="s">
        <v>38</v>
      </c>
      <c r="C2276" s="169" t="s">
        <v>5218</v>
      </c>
      <c r="D2276" s="317">
        <v>45142.0</v>
      </c>
      <c r="E2276" s="157" t="s">
        <v>600</v>
      </c>
      <c r="F2276" s="160">
        <v>5094.63</v>
      </c>
      <c r="G2276" s="160">
        <f>'FACUS$'!$F2276*0.16</f>
        <v>815.1408</v>
      </c>
      <c r="H2276" s="160">
        <f t="shared" si="68"/>
        <v>5909.7708</v>
      </c>
      <c r="I2276" s="172"/>
      <c r="J2276" s="169"/>
      <c r="K2276" s="172"/>
      <c r="L2276" s="172">
        <f>+'FACUS$'!$H2276-'FACUS$'!$I2276-'FACUS$'!$K2276</f>
        <v>5909.7708</v>
      </c>
      <c r="M2276" s="162" t="s">
        <v>4654</v>
      </c>
      <c r="N2276" s="337" t="s">
        <v>554</v>
      </c>
      <c r="O2276" s="338">
        <v>45184.0</v>
      </c>
      <c r="P2276" s="164">
        <f t="array" ref="P2276">XLOOKUP('FACUS$'!$B2276,'perfil de pagos'!$A$4:$A$46,'perfil de pagos'!$C$4:$C$46+'FACUS$'!$D2276)</f>
        <v>45172</v>
      </c>
      <c r="Q2276" s="165">
        <f t="shared" si="66"/>
        <v>0</v>
      </c>
      <c r="R2276" s="167"/>
      <c r="S2276" s="167">
        <v>2419.0</v>
      </c>
      <c r="T2276" s="167"/>
      <c r="U2276" s="334" t="s">
        <v>7271</v>
      </c>
      <c r="V2276" s="168">
        <f t="shared" si="3"/>
        <v>5909.7708</v>
      </c>
      <c r="W2276" s="168">
        <f t="shared" si="4"/>
        <v>0</v>
      </c>
      <c r="X2276" s="168">
        <f t="shared" si="5"/>
        <v>0</v>
      </c>
      <c r="Y2276" s="168">
        <f t="shared" si="6"/>
        <v>0</v>
      </c>
      <c r="Z2276" s="168">
        <f t="shared" si="7"/>
        <v>0</v>
      </c>
      <c r="AA2276" s="168">
        <f t="shared" si="8"/>
        <v>0</v>
      </c>
      <c r="AB2276" s="168">
        <f t="shared" si="9"/>
        <v>0</v>
      </c>
    </row>
    <row r="2277" ht="15.0" customHeight="1">
      <c r="A2277" s="157" t="s">
        <v>9695</v>
      </c>
      <c r="B2277" s="169" t="s">
        <v>31</v>
      </c>
      <c r="C2277" s="169" t="s">
        <v>9696</v>
      </c>
      <c r="D2277" s="317">
        <v>45142.0</v>
      </c>
      <c r="E2277" s="157" t="s">
        <v>600</v>
      </c>
      <c r="F2277" s="160">
        <v>1538.51</v>
      </c>
      <c r="G2277" s="160">
        <f>'FACUS$'!$F2277*0.16</f>
        <v>246.1616</v>
      </c>
      <c r="H2277" s="160">
        <f t="shared" si="68"/>
        <v>1784.6716</v>
      </c>
      <c r="I2277" s="172">
        <v>39.17</v>
      </c>
      <c r="J2277" s="169"/>
      <c r="K2277" s="172"/>
      <c r="L2277" s="172">
        <f>+'FACUS$'!$H2277-'FACUS$'!$I2277-'FACUS$'!$K2277</f>
        <v>1745.5016</v>
      </c>
      <c r="M2277" s="162" t="s">
        <v>3183</v>
      </c>
      <c r="N2277" s="337" t="s">
        <v>554</v>
      </c>
      <c r="O2277" s="338">
        <v>45142.0</v>
      </c>
      <c r="P2277" s="164">
        <f t="array" ref="P2277">XLOOKUP('FACUS$'!$B2277,'perfil de pagos'!$A$4:$A$46,'perfil de pagos'!$C$4:$C$46+'FACUS$'!$D2277)</f>
        <v>45145</v>
      </c>
      <c r="Q2277" s="165">
        <f t="shared" si="66"/>
        <v>0</v>
      </c>
      <c r="R2277" s="220" t="s">
        <v>9697</v>
      </c>
      <c r="S2277" s="167">
        <v>2346.0</v>
      </c>
      <c r="T2277" s="167"/>
      <c r="U2277" s="334" t="s">
        <v>7271</v>
      </c>
      <c r="V2277" s="168">
        <f t="shared" si="3"/>
        <v>1745.5016</v>
      </c>
      <c r="W2277" s="168">
        <f t="shared" si="4"/>
        <v>0</v>
      </c>
      <c r="X2277" s="168">
        <f t="shared" si="5"/>
        <v>0</v>
      </c>
      <c r="Y2277" s="168">
        <f t="shared" si="6"/>
        <v>0</v>
      </c>
      <c r="Z2277" s="168">
        <f t="shared" si="7"/>
        <v>0</v>
      </c>
      <c r="AA2277" s="168">
        <f t="shared" si="8"/>
        <v>0</v>
      </c>
      <c r="AB2277" s="168">
        <f t="shared" si="9"/>
        <v>0</v>
      </c>
    </row>
    <row r="2278" ht="15.0" customHeight="1">
      <c r="A2278" s="157" t="s">
        <v>9698</v>
      </c>
      <c r="B2278" s="169" t="s">
        <v>18</v>
      </c>
      <c r="C2278" s="169" t="s">
        <v>5218</v>
      </c>
      <c r="D2278" s="317">
        <v>45147.0</v>
      </c>
      <c r="E2278" s="157" t="s">
        <v>600</v>
      </c>
      <c r="F2278" s="160">
        <v>6335.0</v>
      </c>
      <c r="G2278" s="160">
        <f>'FACUS$'!$F2278*0.16</f>
        <v>1013.6</v>
      </c>
      <c r="H2278" s="160">
        <f t="shared" si="68"/>
        <v>7348.6</v>
      </c>
      <c r="I2278" s="172"/>
      <c r="J2278" s="169"/>
      <c r="K2278" s="172"/>
      <c r="L2278" s="172">
        <f>+'FACUS$'!$H2278-'FACUS$'!$I2278-'FACUS$'!$K2278</f>
        <v>7348.6</v>
      </c>
      <c r="M2278" s="162" t="s">
        <v>586</v>
      </c>
      <c r="N2278" s="337" t="s">
        <v>554</v>
      </c>
      <c r="O2278" s="338">
        <v>45197.0</v>
      </c>
      <c r="P2278" s="164">
        <f t="array" ref="P2278">XLOOKUP('FACUS$'!$B2278,'perfil de pagos'!$A$4:$A$46,'perfil de pagos'!$C$4:$C$46+'FACUS$'!$D2278)</f>
        <v>45157</v>
      </c>
      <c r="Q2278" s="165">
        <f t="shared" si="66"/>
        <v>0</v>
      </c>
      <c r="R2278" s="167"/>
      <c r="S2278" s="167">
        <v>2462.0</v>
      </c>
      <c r="T2278" s="167"/>
      <c r="U2278" s="334" t="s">
        <v>7271</v>
      </c>
      <c r="V2278" s="168">
        <f t="shared" si="3"/>
        <v>7348.6</v>
      </c>
      <c r="W2278" s="168">
        <f t="shared" si="4"/>
        <v>0</v>
      </c>
      <c r="X2278" s="168">
        <f t="shared" si="5"/>
        <v>0</v>
      </c>
      <c r="Y2278" s="168">
        <f t="shared" si="6"/>
        <v>0</v>
      </c>
      <c r="Z2278" s="168">
        <f t="shared" si="7"/>
        <v>0</v>
      </c>
      <c r="AA2278" s="168">
        <f t="shared" si="8"/>
        <v>0</v>
      </c>
      <c r="AB2278" s="168">
        <f t="shared" si="9"/>
        <v>0</v>
      </c>
    </row>
    <row r="2279" ht="15.0" customHeight="1">
      <c r="A2279" s="157" t="s">
        <v>9699</v>
      </c>
      <c r="B2279" s="169" t="s">
        <v>20</v>
      </c>
      <c r="C2279" s="169" t="s">
        <v>5218</v>
      </c>
      <c r="D2279" s="317">
        <v>45147.0</v>
      </c>
      <c r="E2279" s="157" t="s">
        <v>600</v>
      </c>
      <c r="F2279" s="160">
        <v>14326.64</v>
      </c>
      <c r="G2279" s="160">
        <f>'FACUS$'!$F2279*0.16</f>
        <v>2292.2624</v>
      </c>
      <c r="H2279" s="160">
        <f t="shared" si="68"/>
        <v>16618.9024</v>
      </c>
      <c r="I2279" s="172"/>
      <c r="J2279" s="169"/>
      <c r="K2279" s="172"/>
      <c r="L2279" s="172">
        <f>+'FACUS$'!$H2279-'FACUS$'!$I2279-'FACUS$'!$K2279</f>
        <v>16618.9024</v>
      </c>
      <c r="M2279" s="162" t="s">
        <v>732</v>
      </c>
      <c r="N2279" s="337" t="s">
        <v>554</v>
      </c>
      <c r="O2279" s="338">
        <v>45208.0</v>
      </c>
      <c r="P2279" s="164">
        <f t="array" ref="P2279">XLOOKUP('FACUS$'!$B2279,'perfil de pagos'!$A$4:$A$46,'perfil de pagos'!$C$4:$C$46+'FACUS$'!$D2279)</f>
        <v>45157</v>
      </c>
      <c r="Q2279" s="165">
        <f t="shared" si="66"/>
        <v>0</v>
      </c>
      <c r="R2279" s="167"/>
      <c r="S2279" s="167">
        <v>2480.0</v>
      </c>
      <c r="T2279" s="167"/>
      <c r="U2279" s="334" t="s">
        <v>7271</v>
      </c>
      <c r="V2279" s="168">
        <f t="shared" si="3"/>
        <v>16618.9024</v>
      </c>
      <c r="W2279" s="168">
        <f t="shared" si="4"/>
        <v>0</v>
      </c>
      <c r="X2279" s="168">
        <f t="shared" si="5"/>
        <v>0</v>
      </c>
      <c r="Y2279" s="168">
        <f t="shared" si="6"/>
        <v>0</v>
      </c>
      <c r="Z2279" s="168">
        <f t="shared" si="7"/>
        <v>0</v>
      </c>
      <c r="AA2279" s="168">
        <f t="shared" si="8"/>
        <v>0</v>
      </c>
      <c r="AB2279" s="168">
        <f t="shared" si="9"/>
        <v>0</v>
      </c>
    </row>
    <row r="2280" ht="15.0" customHeight="1">
      <c r="A2280" s="157" t="s">
        <v>9700</v>
      </c>
      <c r="B2280" s="169" t="s">
        <v>22</v>
      </c>
      <c r="C2280" s="169" t="s">
        <v>5218</v>
      </c>
      <c r="D2280" s="317">
        <v>45147.0</v>
      </c>
      <c r="E2280" s="157" t="s">
        <v>600</v>
      </c>
      <c r="F2280" s="160">
        <v>15243.26</v>
      </c>
      <c r="G2280" s="160">
        <f>'FACUS$'!$F2280*0.16</f>
        <v>2438.9216</v>
      </c>
      <c r="H2280" s="160">
        <f t="shared" si="68"/>
        <v>17682.1816</v>
      </c>
      <c r="I2280" s="168">
        <v>16026.383956712101</v>
      </c>
      <c r="J2280" s="169"/>
      <c r="K2280" s="172"/>
      <c r="L2280" s="172">
        <f>+'FACUS$'!$H2280-'FACUS$'!$I2280-'FACUS$'!$K2280</f>
        <v>1655.797643</v>
      </c>
      <c r="M2280" s="162" t="s">
        <v>220</v>
      </c>
      <c r="N2280" s="337" t="s">
        <v>554</v>
      </c>
      <c r="O2280" s="338">
        <v>45201.0</v>
      </c>
      <c r="P2280" s="164">
        <f t="array" ref="P2280">XLOOKUP('FACUS$'!$B2280,'perfil de pagos'!$A$4:$A$46,'perfil de pagos'!$C$4:$C$46+'FACUS$'!$D2280)</f>
        <v>45157</v>
      </c>
      <c r="Q2280" s="165">
        <f t="shared" si="66"/>
        <v>0</v>
      </c>
      <c r="R2280" s="167" t="s">
        <v>9701</v>
      </c>
      <c r="S2280" s="220" t="s">
        <v>9702</v>
      </c>
      <c r="T2280" s="167"/>
      <c r="U2280" s="334" t="s">
        <v>7271</v>
      </c>
      <c r="V2280" s="168">
        <f t="shared" si="3"/>
        <v>1655.797643</v>
      </c>
      <c r="W2280" s="168">
        <f t="shared" si="4"/>
        <v>0</v>
      </c>
      <c r="X2280" s="168">
        <f t="shared" si="5"/>
        <v>0</v>
      </c>
      <c r="Y2280" s="168">
        <f t="shared" si="6"/>
        <v>0</v>
      </c>
      <c r="Z2280" s="168">
        <f t="shared" si="7"/>
        <v>0</v>
      </c>
      <c r="AA2280" s="168">
        <f t="shared" si="8"/>
        <v>0</v>
      </c>
      <c r="AB2280" s="168">
        <f t="shared" si="9"/>
        <v>0</v>
      </c>
    </row>
    <row r="2281" ht="15.0" customHeight="1">
      <c r="A2281" s="157" t="s">
        <v>9703</v>
      </c>
      <c r="B2281" s="169" t="s">
        <v>25</v>
      </c>
      <c r="C2281" s="169" t="s">
        <v>5218</v>
      </c>
      <c r="D2281" s="317">
        <v>45147.0</v>
      </c>
      <c r="E2281" s="157" t="s">
        <v>600</v>
      </c>
      <c r="F2281" s="160">
        <v>5455.4</v>
      </c>
      <c r="G2281" s="160">
        <f>'FACUS$'!$F2281*0.16</f>
        <v>872.864</v>
      </c>
      <c r="H2281" s="160">
        <f t="shared" si="68"/>
        <v>6328.264</v>
      </c>
      <c r="I2281" s="172"/>
      <c r="J2281" s="169"/>
      <c r="K2281" s="172"/>
      <c r="L2281" s="172">
        <f>+'FACUS$'!$H2281-'FACUS$'!$I2281-'FACUS$'!$K2281</f>
        <v>6328.264</v>
      </c>
      <c r="M2281" s="162" t="s">
        <v>4388</v>
      </c>
      <c r="N2281" s="337" t="s">
        <v>554</v>
      </c>
      <c r="O2281" s="338">
        <v>45233.0</v>
      </c>
      <c r="P2281" s="164">
        <f t="array" ref="P2281">XLOOKUP('FACUS$'!$B2281,'perfil de pagos'!$A$4:$A$46,'perfil de pagos'!$C$4:$C$46+'FACUS$'!$D2281)</f>
        <v>45157</v>
      </c>
      <c r="Q2281" s="165">
        <f t="shared" si="66"/>
        <v>0</v>
      </c>
      <c r="R2281" s="167"/>
      <c r="S2281" s="167">
        <v>2553.0</v>
      </c>
      <c r="T2281" s="167"/>
      <c r="U2281" s="334" t="s">
        <v>7271</v>
      </c>
      <c r="V2281" s="168">
        <f t="shared" si="3"/>
        <v>6328.264</v>
      </c>
      <c r="W2281" s="168">
        <f t="shared" si="4"/>
        <v>0</v>
      </c>
      <c r="X2281" s="168">
        <f t="shared" si="5"/>
        <v>0</v>
      </c>
      <c r="Y2281" s="168">
        <f t="shared" si="6"/>
        <v>0</v>
      </c>
      <c r="Z2281" s="168">
        <f t="shared" si="7"/>
        <v>0</v>
      </c>
      <c r="AA2281" s="168">
        <f t="shared" si="8"/>
        <v>0</v>
      </c>
      <c r="AB2281" s="168">
        <f t="shared" si="9"/>
        <v>0</v>
      </c>
    </row>
    <row r="2282" ht="15.0" customHeight="1">
      <c r="A2282" s="157" t="s">
        <v>9704</v>
      </c>
      <c r="B2282" s="169" t="s">
        <v>37</v>
      </c>
      <c r="C2282" s="169" t="s">
        <v>5218</v>
      </c>
      <c r="D2282" s="317">
        <v>45147.0</v>
      </c>
      <c r="E2282" s="157" t="s">
        <v>600</v>
      </c>
      <c r="F2282" s="160">
        <v>104574.45</v>
      </c>
      <c r="G2282" s="160">
        <f>'FACUS$'!$F2282*0.16</f>
        <v>16731.912</v>
      </c>
      <c r="H2282" s="160">
        <f t="shared" si="68"/>
        <v>121306.362</v>
      </c>
      <c r="I2282" s="172"/>
      <c r="J2282" s="169"/>
      <c r="K2282" s="172"/>
      <c r="L2282" s="172">
        <f>+'FACUS$'!$H2282-'FACUS$'!$I2282-'FACUS$'!$K2282</f>
        <v>121306.362</v>
      </c>
      <c r="M2282" s="162" t="s">
        <v>116</v>
      </c>
      <c r="N2282" s="337" t="s">
        <v>554</v>
      </c>
      <c r="O2282" s="338">
        <v>45152.0</v>
      </c>
      <c r="P2282" s="164">
        <f t="array" ref="P2282">XLOOKUP('FACUS$'!$B2282,'perfil de pagos'!$A$4:$A$46,'perfil de pagos'!$C$4:$C$46+'FACUS$'!$D2282)</f>
        <v>45157</v>
      </c>
      <c r="Q2282" s="165">
        <f t="shared" si="66"/>
        <v>0</v>
      </c>
      <c r="R2282" s="167" t="s">
        <v>9705</v>
      </c>
      <c r="S2282" s="167"/>
      <c r="T2282" s="167"/>
      <c r="U2282" s="334" t="s">
        <v>7271</v>
      </c>
      <c r="V2282" s="168">
        <f t="shared" si="3"/>
        <v>121306.362</v>
      </c>
      <c r="W2282" s="168">
        <f t="shared" si="4"/>
        <v>0</v>
      </c>
      <c r="X2282" s="168">
        <f t="shared" si="5"/>
        <v>0</v>
      </c>
      <c r="Y2282" s="168">
        <f t="shared" si="6"/>
        <v>0</v>
      </c>
      <c r="Z2282" s="168">
        <f t="shared" si="7"/>
        <v>0</v>
      </c>
      <c r="AA2282" s="168">
        <f t="shared" si="8"/>
        <v>0</v>
      </c>
      <c r="AB2282" s="168">
        <f t="shared" si="9"/>
        <v>0</v>
      </c>
    </row>
    <row r="2283" ht="15.0" customHeight="1">
      <c r="A2283" s="157" t="s">
        <v>9706</v>
      </c>
      <c r="B2283" s="169" t="s">
        <v>38</v>
      </c>
      <c r="C2283" s="169" t="s">
        <v>5218</v>
      </c>
      <c r="D2283" s="317">
        <v>45147.0</v>
      </c>
      <c r="E2283" s="157" t="s">
        <v>600</v>
      </c>
      <c r="F2283" s="160">
        <v>3559.41</v>
      </c>
      <c r="G2283" s="160">
        <f>'FACUS$'!$F2283*0.16</f>
        <v>569.5056</v>
      </c>
      <c r="H2283" s="160">
        <f t="shared" si="68"/>
        <v>4128.9156</v>
      </c>
      <c r="I2283" s="172"/>
      <c r="J2283" s="169"/>
      <c r="K2283" s="172"/>
      <c r="L2283" s="172">
        <f>+'FACUS$'!$H2283-'FACUS$'!$I2283-'FACUS$'!$K2283</f>
        <v>4128.9156</v>
      </c>
      <c r="M2283" s="162" t="s">
        <v>642</v>
      </c>
      <c r="N2283" s="337" t="s">
        <v>554</v>
      </c>
      <c r="O2283" s="338">
        <v>45184.0</v>
      </c>
      <c r="P2283" s="164">
        <f t="array" ref="P2283">XLOOKUP('FACUS$'!$B2283,'perfil de pagos'!$A$4:$A$46,'perfil de pagos'!$C$4:$C$46+'FACUS$'!$D2283)</f>
        <v>45177</v>
      </c>
      <c r="Q2283" s="165">
        <f t="shared" si="66"/>
        <v>0</v>
      </c>
      <c r="R2283" s="167"/>
      <c r="S2283" s="167">
        <v>2419.0</v>
      </c>
      <c r="T2283" s="167"/>
      <c r="U2283" s="334" t="s">
        <v>7271</v>
      </c>
      <c r="V2283" s="168">
        <f t="shared" si="3"/>
        <v>4128.9156</v>
      </c>
      <c r="W2283" s="168">
        <f t="shared" si="4"/>
        <v>0</v>
      </c>
      <c r="X2283" s="168">
        <f t="shared" si="5"/>
        <v>0</v>
      </c>
      <c r="Y2283" s="168">
        <f t="shared" si="6"/>
        <v>0</v>
      </c>
      <c r="Z2283" s="168">
        <f t="shared" si="7"/>
        <v>0</v>
      </c>
      <c r="AA2283" s="168">
        <f t="shared" si="8"/>
        <v>0</v>
      </c>
      <c r="AB2283" s="168">
        <f t="shared" si="9"/>
        <v>0</v>
      </c>
    </row>
    <row r="2284" ht="15.0" customHeight="1">
      <c r="A2284" s="157" t="s">
        <v>9707</v>
      </c>
      <c r="B2284" s="169" t="s">
        <v>38</v>
      </c>
      <c r="C2284" s="169" t="s">
        <v>5218</v>
      </c>
      <c r="D2284" s="317">
        <v>45147.0</v>
      </c>
      <c r="E2284" s="157" t="s">
        <v>600</v>
      </c>
      <c r="F2284" s="160">
        <v>12101.02</v>
      </c>
      <c r="G2284" s="160">
        <f>'FACUS$'!$F2284*0.16</f>
        <v>1936.1632</v>
      </c>
      <c r="H2284" s="160">
        <f t="shared" si="68"/>
        <v>14037.1832</v>
      </c>
      <c r="I2284" s="172"/>
      <c r="J2284" s="169"/>
      <c r="K2284" s="172"/>
      <c r="L2284" s="172">
        <f>+'FACUS$'!$H2284-'FACUS$'!$I2284-'FACUS$'!$K2284</f>
        <v>14037.1832</v>
      </c>
      <c r="M2284" s="162" t="s">
        <v>145</v>
      </c>
      <c r="N2284" s="337" t="s">
        <v>554</v>
      </c>
      <c r="O2284" s="338">
        <v>45184.0</v>
      </c>
      <c r="P2284" s="164">
        <f t="array" ref="P2284">XLOOKUP('FACUS$'!$B2284,'perfil de pagos'!$A$4:$A$46,'perfil de pagos'!$C$4:$C$46+'FACUS$'!$D2284)</f>
        <v>45177</v>
      </c>
      <c r="Q2284" s="165">
        <f t="shared" si="66"/>
        <v>0</v>
      </c>
      <c r="R2284" s="220"/>
      <c r="S2284" s="167">
        <v>2419.0</v>
      </c>
      <c r="T2284" s="167"/>
      <c r="U2284" s="334" t="s">
        <v>7271</v>
      </c>
      <c r="V2284" s="168">
        <f t="shared" si="3"/>
        <v>14037.1832</v>
      </c>
      <c r="W2284" s="168">
        <f t="shared" si="4"/>
        <v>0</v>
      </c>
      <c r="X2284" s="168">
        <f t="shared" si="5"/>
        <v>0</v>
      </c>
      <c r="Y2284" s="168">
        <f t="shared" si="6"/>
        <v>0</v>
      </c>
      <c r="Z2284" s="168">
        <f t="shared" si="7"/>
        <v>0</v>
      </c>
      <c r="AA2284" s="168">
        <f t="shared" si="8"/>
        <v>0</v>
      </c>
      <c r="AB2284" s="168">
        <f t="shared" si="9"/>
        <v>0</v>
      </c>
    </row>
    <row r="2285" ht="15.0" customHeight="1">
      <c r="A2285" s="157" t="s">
        <v>9708</v>
      </c>
      <c r="B2285" s="169" t="s">
        <v>40</v>
      </c>
      <c r="C2285" s="169" t="s">
        <v>9709</v>
      </c>
      <c r="D2285" s="317">
        <v>45147.0</v>
      </c>
      <c r="E2285" s="157" t="s">
        <v>600</v>
      </c>
      <c r="F2285" s="160">
        <v>535.09</v>
      </c>
      <c r="G2285" s="160">
        <f>'FACUS$'!$F2285*0.16</f>
        <v>85.6144</v>
      </c>
      <c r="H2285" s="160">
        <f t="shared" si="68"/>
        <v>620.7044</v>
      </c>
      <c r="I2285" s="172"/>
      <c r="J2285" s="169"/>
      <c r="K2285" s="172"/>
      <c r="L2285" s="172">
        <f>+'FACUS$'!$H2285-'FACUS$'!$I2285-'FACUS$'!$K2285</f>
        <v>620.7044</v>
      </c>
      <c r="M2285" s="162" t="s">
        <v>490</v>
      </c>
      <c r="N2285" s="337" t="s">
        <v>554</v>
      </c>
      <c r="O2285" s="338">
        <v>45160.0</v>
      </c>
      <c r="P2285" s="164">
        <f t="array" ref="P2285">XLOOKUP('FACUS$'!$B2285,'perfil de pagos'!$A$4:$A$46,'perfil de pagos'!$C$4:$C$46+'FACUS$'!$D2285)</f>
        <v>45177</v>
      </c>
      <c r="Q2285" s="165">
        <f t="shared" si="66"/>
        <v>0</v>
      </c>
      <c r="R2285" s="167" t="s">
        <v>9710</v>
      </c>
      <c r="S2285" s="167">
        <v>2379.0</v>
      </c>
      <c r="T2285" s="167"/>
      <c r="U2285" s="334" t="s">
        <v>7271</v>
      </c>
      <c r="V2285" s="168">
        <f t="shared" si="3"/>
        <v>620.7044</v>
      </c>
      <c r="W2285" s="168">
        <f t="shared" si="4"/>
        <v>0</v>
      </c>
      <c r="X2285" s="168">
        <f t="shared" si="5"/>
        <v>0</v>
      </c>
      <c r="Y2285" s="168">
        <f t="shared" si="6"/>
        <v>0</v>
      </c>
      <c r="Z2285" s="168">
        <f t="shared" si="7"/>
        <v>0</v>
      </c>
      <c r="AA2285" s="168">
        <f t="shared" si="8"/>
        <v>0</v>
      </c>
      <c r="AB2285" s="168">
        <f t="shared" si="9"/>
        <v>0</v>
      </c>
    </row>
    <row r="2286" ht="15.0" customHeight="1">
      <c r="A2286" s="157" t="s">
        <v>9711</v>
      </c>
      <c r="B2286" s="169" t="s">
        <v>35</v>
      </c>
      <c r="C2286" s="169" t="s">
        <v>5245</v>
      </c>
      <c r="D2286" s="317">
        <v>45153.0</v>
      </c>
      <c r="E2286" s="157" t="s">
        <v>600</v>
      </c>
      <c r="F2286" s="160">
        <v>1231.57</v>
      </c>
      <c r="G2286" s="160">
        <f>'FACUS$'!$F2286*0.16</f>
        <v>197.0512</v>
      </c>
      <c r="H2286" s="160">
        <f t="shared" si="68"/>
        <v>1428.6212</v>
      </c>
      <c r="I2286" s="172"/>
      <c r="J2286" s="169"/>
      <c r="K2286" s="172"/>
      <c r="L2286" s="172">
        <f>+'FACUS$'!$H2286-'FACUS$'!$I2286-'FACUS$'!$K2286</f>
        <v>1428.6212</v>
      </c>
      <c r="M2286" s="162" t="s">
        <v>276</v>
      </c>
      <c r="N2286" s="337" t="s">
        <v>554</v>
      </c>
      <c r="O2286" s="338">
        <v>45398.0</v>
      </c>
      <c r="P2286" s="164">
        <f t="array" ref="P2286">XLOOKUP('FACUS$'!$B2286,'perfil de pagos'!$A$4:$A$46,'perfil de pagos'!$C$4:$C$46+'FACUS$'!$D2286)</f>
        <v>45163</v>
      </c>
      <c r="Q2286" s="165">
        <f t="shared" si="66"/>
        <v>0</v>
      </c>
      <c r="R2286" s="167"/>
      <c r="S2286" s="167">
        <v>2937.0</v>
      </c>
      <c r="T2286" s="167"/>
      <c r="U2286" s="334" t="s">
        <v>7271</v>
      </c>
      <c r="V2286" s="168">
        <f t="shared" si="3"/>
        <v>1428.6212</v>
      </c>
      <c r="W2286" s="168">
        <f t="shared" si="4"/>
        <v>0</v>
      </c>
      <c r="X2286" s="168">
        <f t="shared" si="5"/>
        <v>0</v>
      </c>
      <c r="Y2286" s="168">
        <f t="shared" si="6"/>
        <v>0</v>
      </c>
      <c r="Z2286" s="168">
        <f t="shared" si="7"/>
        <v>0</v>
      </c>
      <c r="AA2286" s="168">
        <f t="shared" si="8"/>
        <v>0</v>
      </c>
      <c r="AB2286" s="168">
        <f t="shared" si="9"/>
        <v>0</v>
      </c>
    </row>
    <row r="2287" ht="15.0" customHeight="1">
      <c r="A2287" s="157" t="s">
        <v>9712</v>
      </c>
      <c r="B2287" s="169" t="s">
        <v>17</v>
      </c>
      <c r="C2287" s="169" t="s">
        <v>9713</v>
      </c>
      <c r="D2287" s="317">
        <v>45153.0</v>
      </c>
      <c r="E2287" s="157" t="s">
        <v>600</v>
      </c>
      <c r="F2287" s="160">
        <v>37.92</v>
      </c>
      <c r="G2287" s="160">
        <f>'FACUS$'!$F2287*0.16</f>
        <v>6.0672</v>
      </c>
      <c r="H2287" s="160">
        <f t="shared" si="68"/>
        <v>43.9872</v>
      </c>
      <c r="I2287" s="172"/>
      <c r="J2287" s="169"/>
      <c r="K2287" s="172"/>
      <c r="L2287" s="172">
        <f>+'FACUS$'!$H2287-'FACUS$'!$I2287-'FACUS$'!$K2287</f>
        <v>43.9872</v>
      </c>
      <c r="M2287" s="162" t="s">
        <v>17</v>
      </c>
      <c r="N2287" s="337" t="s">
        <v>554</v>
      </c>
      <c r="O2287" s="338">
        <v>45233.0</v>
      </c>
      <c r="P2287" s="164">
        <f t="array" ref="P2287">XLOOKUP('FACUS$'!$B2287,'perfil de pagos'!$A$4:$A$46,'perfil de pagos'!$C$4:$C$46+'FACUS$'!$D2287)</f>
        <v>45163</v>
      </c>
      <c r="Q2287" s="165">
        <f t="shared" si="66"/>
        <v>0</v>
      </c>
      <c r="R2287" s="167"/>
      <c r="S2287" s="167">
        <v>2558.0</v>
      </c>
      <c r="T2287" s="167"/>
      <c r="U2287" s="334" t="s">
        <v>7271</v>
      </c>
      <c r="V2287" s="168">
        <f t="shared" si="3"/>
        <v>43.9872</v>
      </c>
      <c r="W2287" s="168">
        <f t="shared" si="4"/>
        <v>0</v>
      </c>
      <c r="X2287" s="168">
        <f t="shared" si="5"/>
        <v>0</v>
      </c>
      <c r="Y2287" s="168">
        <f t="shared" si="6"/>
        <v>0</v>
      </c>
      <c r="Z2287" s="168">
        <f t="shared" si="7"/>
        <v>0</v>
      </c>
      <c r="AA2287" s="168">
        <f t="shared" si="8"/>
        <v>0</v>
      </c>
      <c r="AB2287" s="168">
        <f t="shared" si="9"/>
        <v>0</v>
      </c>
    </row>
    <row r="2288" ht="15.0" customHeight="1">
      <c r="A2288" s="157" t="s">
        <v>9714</v>
      </c>
      <c r="B2288" s="169" t="s">
        <v>39</v>
      </c>
      <c r="C2288" s="169" t="s">
        <v>9713</v>
      </c>
      <c r="D2288" s="317">
        <v>45153.0</v>
      </c>
      <c r="E2288" s="157" t="s">
        <v>600</v>
      </c>
      <c r="F2288" s="160">
        <v>878.5</v>
      </c>
      <c r="G2288" s="160">
        <f>'FACUS$'!$F2288*0.16</f>
        <v>140.56</v>
      </c>
      <c r="H2288" s="160">
        <f t="shared" si="68"/>
        <v>1019.06</v>
      </c>
      <c r="I2288" s="172"/>
      <c r="J2288" s="169"/>
      <c r="K2288" s="172"/>
      <c r="L2288" s="172">
        <f>+'FACUS$'!$H2288-'FACUS$'!$I2288-'FACUS$'!$K2288</f>
        <v>1019.06</v>
      </c>
      <c r="M2288" s="162" t="s">
        <v>570</v>
      </c>
      <c r="N2288" s="337" t="s">
        <v>554</v>
      </c>
      <c r="O2288" s="338">
        <v>45170.0</v>
      </c>
      <c r="P2288" s="164">
        <f t="array" ref="P2288">XLOOKUP('FACUS$'!$B2288,'perfil de pagos'!$A$4:$A$46,'perfil de pagos'!$C$4:$C$46+'FACUS$'!$D2288)</f>
        <v>45163</v>
      </c>
      <c r="Q2288" s="165">
        <f t="shared" si="66"/>
        <v>0</v>
      </c>
      <c r="R2288" s="167"/>
      <c r="S2288" s="167">
        <v>2399.0</v>
      </c>
      <c r="T2288" s="167"/>
      <c r="U2288" s="334" t="s">
        <v>7271</v>
      </c>
      <c r="V2288" s="168">
        <f t="shared" si="3"/>
        <v>1019.06</v>
      </c>
      <c r="W2288" s="168">
        <f t="shared" si="4"/>
        <v>0</v>
      </c>
      <c r="X2288" s="168">
        <f t="shared" si="5"/>
        <v>0</v>
      </c>
      <c r="Y2288" s="168">
        <f t="shared" si="6"/>
        <v>0</v>
      </c>
      <c r="Z2288" s="168">
        <f t="shared" si="7"/>
        <v>0</v>
      </c>
      <c r="AA2288" s="168">
        <f t="shared" si="8"/>
        <v>0</v>
      </c>
      <c r="AB2288" s="168">
        <f t="shared" si="9"/>
        <v>0</v>
      </c>
    </row>
    <row r="2289" ht="14.25" customHeight="1">
      <c r="A2289" s="157" t="s">
        <v>9715</v>
      </c>
      <c r="B2289" s="169" t="s">
        <v>39</v>
      </c>
      <c r="C2289" s="169" t="s">
        <v>9716</v>
      </c>
      <c r="D2289" s="317">
        <v>45153.0</v>
      </c>
      <c r="E2289" s="157" t="s">
        <v>600</v>
      </c>
      <c r="F2289" s="160">
        <v>769.39</v>
      </c>
      <c r="G2289" s="160">
        <f>'FACUS$'!$F2289*0.16</f>
        <v>123.1024</v>
      </c>
      <c r="H2289" s="160">
        <f t="shared" si="68"/>
        <v>892.4924</v>
      </c>
      <c r="I2289" s="172"/>
      <c r="J2289" s="169"/>
      <c r="K2289" s="172"/>
      <c r="L2289" s="172">
        <f>+'FACUS$'!$H2289-'FACUS$'!$I2289-'FACUS$'!$K2289</f>
        <v>892.4924</v>
      </c>
      <c r="M2289" s="162" t="s">
        <v>570</v>
      </c>
      <c r="N2289" s="337" t="s">
        <v>554</v>
      </c>
      <c r="O2289" s="338">
        <v>45170.0</v>
      </c>
      <c r="P2289" s="164">
        <f t="array" ref="P2289">XLOOKUP('FACUS$'!$B2289,'perfil de pagos'!$A$4:$A$46,'perfil de pagos'!$C$4:$C$46+'FACUS$'!$D2289)</f>
        <v>45163</v>
      </c>
      <c r="Q2289" s="165">
        <f t="shared" si="66"/>
        <v>0</v>
      </c>
      <c r="R2289" s="167"/>
      <c r="S2289" s="167">
        <v>2399.0</v>
      </c>
      <c r="T2289" s="167"/>
      <c r="U2289" s="334" t="s">
        <v>7271</v>
      </c>
      <c r="V2289" s="168">
        <f t="shared" si="3"/>
        <v>892.4924</v>
      </c>
      <c r="W2289" s="168">
        <f t="shared" si="4"/>
        <v>0</v>
      </c>
      <c r="X2289" s="168">
        <f t="shared" si="5"/>
        <v>0</v>
      </c>
      <c r="Y2289" s="168">
        <f t="shared" si="6"/>
        <v>0</v>
      </c>
      <c r="Z2289" s="168">
        <f t="shared" si="7"/>
        <v>0</v>
      </c>
      <c r="AA2289" s="168">
        <f t="shared" si="8"/>
        <v>0</v>
      </c>
      <c r="AB2289" s="168">
        <f t="shared" si="9"/>
        <v>0</v>
      </c>
    </row>
    <row r="2290" ht="15.0" customHeight="1">
      <c r="A2290" s="157" t="s">
        <v>9717</v>
      </c>
      <c r="B2290" s="169" t="s">
        <v>31</v>
      </c>
      <c r="C2290" s="169" t="s">
        <v>9718</v>
      </c>
      <c r="D2290" s="317">
        <v>45156.0</v>
      </c>
      <c r="E2290" s="157" t="s">
        <v>600</v>
      </c>
      <c r="F2290" s="160">
        <v>1326.39</v>
      </c>
      <c r="G2290" s="160">
        <f>'FACUS$'!$F2290*0.16</f>
        <v>212.2224</v>
      </c>
      <c r="H2290" s="160">
        <f t="shared" si="68"/>
        <v>1538.6124</v>
      </c>
      <c r="I2290" s="172"/>
      <c r="J2290" s="169"/>
      <c r="K2290" s="172"/>
      <c r="L2290" s="172">
        <f>+'FACUS$'!$H2290-'FACUS$'!$I2290-'FACUS$'!$K2290</f>
        <v>1538.6124</v>
      </c>
      <c r="M2290" s="162" t="s">
        <v>3183</v>
      </c>
      <c r="N2290" s="337" t="s">
        <v>554</v>
      </c>
      <c r="O2290" s="338"/>
      <c r="P2290" s="164">
        <f t="array" ref="P2290">XLOOKUP('FACUS$'!$B2290,'perfil de pagos'!$A$4:$A$46,'perfil de pagos'!$C$4:$C$46+'FACUS$'!$D2290)</f>
        <v>45159</v>
      </c>
      <c r="Q2290" s="165">
        <f t="shared" si="66"/>
        <v>0</v>
      </c>
      <c r="R2290" s="167"/>
      <c r="S2290" s="167"/>
      <c r="T2290" s="167"/>
      <c r="U2290" s="334" t="s">
        <v>7271</v>
      </c>
      <c r="V2290" s="168">
        <f t="shared" si="3"/>
        <v>1538.6124</v>
      </c>
      <c r="W2290" s="168">
        <f t="shared" si="4"/>
        <v>0</v>
      </c>
      <c r="X2290" s="168">
        <f t="shared" si="5"/>
        <v>0</v>
      </c>
      <c r="Y2290" s="168">
        <f t="shared" si="6"/>
        <v>0</v>
      </c>
      <c r="Z2290" s="168">
        <f t="shared" si="7"/>
        <v>0</v>
      </c>
      <c r="AA2290" s="168">
        <f t="shared" si="8"/>
        <v>0</v>
      </c>
      <c r="AB2290" s="168">
        <f t="shared" si="9"/>
        <v>0</v>
      </c>
    </row>
    <row r="2291" ht="15.0" customHeight="1">
      <c r="A2291" s="157" t="s">
        <v>9719</v>
      </c>
      <c r="B2291" s="169" t="s">
        <v>15</v>
      </c>
      <c r="C2291" s="169" t="s">
        <v>5330</v>
      </c>
      <c r="D2291" s="317">
        <v>45156.0</v>
      </c>
      <c r="E2291" s="157" t="s">
        <v>600</v>
      </c>
      <c r="F2291" s="160">
        <v>14936.69</v>
      </c>
      <c r="G2291" s="160">
        <f>'FACUS$'!$F2291*0.16</f>
        <v>2389.8704</v>
      </c>
      <c r="H2291" s="160">
        <f t="shared" si="68"/>
        <v>17326.5604</v>
      </c>
      <c r="I2291" s="172"/>
      <c r="J2291" s="169"/>
      <c r="K2291" s="172"/>
      <c r="L2291" s="172">
        <f>+'FACUS$'!$H2291-'FACUS$'!$I2291-'FACUS$'!$K2291</f>
        <v>17326.5604</v>
      </c>
      <c r="M2291" s="162" t="s">
        <v>443</v>
      </c>
      <c r="N2291" s="337" t="s">
        <v>554</v>
      </c>
      <c r="O2291" s="338">
        <v>45174.0</v>
      </c>
      <c r="P2291" s="164">
        <f t="array" ref="P2291">XLOOKUP('FACUS$'!$B2291,'perfil de pagos'!$A$4:$A$46,'perfil de pagos'!$C$4:$C$46+'FACUS$'!$D2291)</f>
        <v>45166</v>
      </c>
      <c r="Q2291" s="165">
        <f t="shared" si="66"/>
        <v>0</v>
      </c>
      <c r="R2291" s="167"/>
      <c r="S2291" s="167">
        <v>2410.0</v>
      </c>
      <c r="T2291" s="167"/>
      <c r="U2291" s="334" t="s">
        <v>7271</v>
      </c>
      <c r="V2291" s="168">
        <f t="shared" si="3"/>
        <v>17326.5604</v>
      </c>
      <c r="W2291" s="168">
        <f t="shared" si="4"/>
        <v>0</v>
      </c>
      <c r="X2291" s="168">
        <f t="shared" si="5"/>
        <v>0</v>
      </c>
      <c r="Y2291" s="168">
        <f t="shared" si="6"/>
        <v>0</v>
      </c>
      <c r="Z2291" s="168">
        <f t="shared" si="7"/>
        <v>0</v>
      </c>
      <c r="AA2291" s="168">
        <f t="shared" si="8"/>
        <v>0</v>
      </c>
      <c r="AB2291" s="168">
        <f t="shared" si="9"/>
        <v>0</v>
      </c>
    </row>
    <row r="2292" ht="15.0" customHeight="1">
      <c r="A2292" s="157" t="s">
        <v>9720</v>
      </c>
      <c r="B2292" s="169" t="s">
        <v>38</v>
      </c>
      <c r="C2292" s="169" t="s">
        <v>5330</v>
      </c>
      <c r="D2292" s="317">
        <v>45156.0</v>
      </c>
      <c r="E2292" s="157" t="s">
        <v>600</v>
      </c>
      <c r="F2292" s="160">
        <v>4304.37</v>
      </c>
      <c r="G2292" s="160">
        <f>'FACUS$'!$F2292*0.16</f>
        <v>688.6992</v>
      </c>
      <c r="H2292" s="160">
        <f t="shared" si="68"/>
        <v>4993.0692</v>
      </c>
      <c r="I2292" s="172"/>
      <c r="J2292" s="169"/>
      <c r="K2292" s="172"/>
      <c r="L2292" s="172">
        <f>+'FACUS$'!$H2292-'FACUS$'!$I2292-'FACUS$'!$K2292</f>
        <v>4993.0692</v>
      </c>
      <c r="M2292" s="162" t="s">
        <v>4654</v>
      </c>
      <c r="N2292" s="337" t="s">
        <v>554</v>
      </c>
      <c r="O2292" s="338">
        <v>45217.0</v>
      </c>
      <c r="P2292" s="164">
        <f t="array" ref="P2292">XLOOKUP('FACUS$'!$B2292,'perfil de pagos'!$A$4:$A$46,'perfil de pagos'!$C$4:$C$46+'FACUS$'!$D2292)</f>
        <v>45186</v>
      </c>
      <c r="Q2292" s="165">
        <f t="shared" si="66"/>
        <v>0</v>
      </c>
      <c r="R2292" s="167"/>
      <c r="S2292" s="167">
        <v>2507.0</v>
      </c>
      <c r="T2292" s="167"/>
      <c r="U2292" s="334" t="s">
        <v>7271</v>
      </c>
      <c r="V2292" s="168">
        <f t="shared" si="3"/>
        <v>4993.0692</v>
      </c>
      <c r="W2292" s="168">
        <f t="shared" si="4"/>
        <v>0</v>
      </c>
      <c r="X2292" s="168">
        <f t="shared" si="5"/>
        <v>0</v>
      </c>
      <c r="Y2292" s="168">
        <f t="shared" si="6"/>
        <v>0</v>
      </c>
      <c r="Z2292" s="168">
        <f t="shared" si="7"/>
        <v>0</v>
      </c>
      <c r="AA2292" s="168">
        <f t="shared" si="8"/>
        <v>0</v>
      </c>
      <c r="AB2292" s="168">
        <f t="shared" si="9"/>
        <v>0</v>
      </c>
    </row>
    <row r="2293" ht="15.0" customHeight="1">
      <c r="A2293" s="157" t="s">
        <v>9721</v>
      </c>
      <c r="B2293" s="169" t="s">
        <v>39</v>
      </c>
      <c r="C2293" s="169" t="s">
        <v>9722</v>
      </c>
      <c r="D2293" s="317">
        <v>45156.0</v>
      </c>
      <c r="E2293" s="157" t="s">
        <v>600</v>
      </c>
      <c r="F2293" s="160">
        <v>967.32</v>
      </c>
      <c r="G2293" s="160">
        <f>'FACUS$'!$F2293*0.16</f>
        <v>154.7712</v>
      </c>
      <c r="H2293" s="160">
        <f t="shared" si="68"/>
        <v>1122.0912</v>
      </c>
      <c r="I2293" s="172"/>
      <c r="J2293" s="169"/>
      <c r="K2293" s="172"/>
      <c r="L2293" s="172">
        <f>+'FACUS$'!$H2293-'FACUS$'!$I2293-'FACUS$'!$K2293</f>
        <v>1122.0912</v>
      </c>
      <c r="M2293" s="162" t="s">
        <v>570</v>
      </c>
      <c r="N2293" s="337" t="s">
        <v>127</v>
      </c>
      <c r="O2293" s="338"/>
      <c r="P2293" s="164">
        <f t="array" ref="P2293">XLOOKUP('FACUS$'!$B2293,'perfil de pagos'!$A$4:$A$46,'perfil de pagos'!$C$4:$C$46+'FACUS$'!$D2293)</f>
        <v>45166</v>
      </c>
      <c r="Q2293" s="165" t="str">
        <f t="shared" si="66"/>
        <v>N/A</v>
      </c>
      <c r="R2293" s="167"/>
      <c r="S2293" s="167"/>
      <c r="T2293" s="167"/>
      <c r="U2293" s="334" t="s">
        <v>7271</v>
      </c>
      <c r="V2293" s="168">
        <f t="shared" si="3"/>
        <v>0</v>
      </c>
      <c r="W2293" s="168">
        <f t="shared" si="4"/>
        <v>0</v>
      </c>
      <c r="X2293" s="168">
        <f t="shared" si="5"/>
        <v>0</v>
      </c>
      <c r="Y2293" s="168">
        <f t="shared" si="6"/>
        <v>0</v>
      </c>
      <c r="Z2293" s="168">
        <f t="shared" si="7"/>
        <v>0</v>
      </c>
      <c r="AA2293" s="168">
        <f t="shared" si="8"/>
        <v>0</v>
      </c>
      <c r="AB2293" s="168">
        <f t="shared" si="9"/>
        <v>1122.0912</v>
      </c>
    </row>
    <row r="2294" ht="15.0" customHeight="1">
      <c r="A2294" s="157" t="s">
        <v>9723</v>
      </c>
      <c r="B2294" s="169" t="s">
        <v>39</v>
      </c>
      <c r="C2294" s="169" t="s">
        <v>5330</v>
      </c>
      <c r="D2294" s="317">
        <v>45156.0</v>
      </c>
      <c r="E2294" s="157" t="s">
        <v>600</v>
      </c>
      <c r="F2294" s="160">
        <v>827.38</v>
      </c>
      <c r="G2294" s="160">
        <f>'FACUS$'!$F2294*0.16</f>
        <v>132.3808</v>
      </c>
      <c r="H2294" s="160">
        <f t="shared" si="68"/>
        <v>959.7608</v>
      </c>
      <c r="I2294" s="172"/>
      <c r="J2294" s="169"/>
      <c r="K2294" s="172"/>
      <c r="L2294" s="172">
        <f>+'FACUS$'!$H2294-'FACUS$'!$I2294-'FACUS$'!$K2294</f>
        <v>959.7608</v>
      </c>
      <c r="M2294" s="162" t="s">
        <v>570</v>
      </c>
      <c r="N2294" s="337" t="s">
        <v>127</v>
      </c>
      <c r="O2294" s="338"/>
      <c r="P2294" s="164">
        <f t="array" ref="P2294">XLOOKUP('FACUS$'!$B2294,'perfil de pagos'!$A$4:$A$46,'perfil de pagos'!$C$4:$C$46+'FACUS$'!$D2294)</f>
        <v>45166</v>
      </c>
      <c r="Q2294" s="165" t="str">
        <f t="shared" si="66"/>
        <v>N/A</v>
      </c>
      <c r="R2294" s="167"/>
      <c r="S2294" s="167"/>
      <c r="T2294" s="167"/>
      <c r="U2294" s="334" t="s">
        <v>7271</v>
      </c>
      <c r="V2294" s="168">
        <f t="shared" si="3"/>
        <v>0</v>
      </c>
      <c r="W2294" s="168">
        <f t="shared" si="4"/>
        <v>0</v>
      </c>
      <c r="X2294" s="168">
        <f t="shared" si="5"/>
        <v>0</v>
      </c>
      <c r="Y2294" s="168">
        <f t="shared" si="6"/>
        <v>0</v>
      </c>
      <c r="Z2294" s="168">
        <f t="shared" si="7"/>
        <v>0</v>
      </c>
      <c r="AA2294" s="168">
        <f t="shared" si="8"/>
        <v>0</v>
      </c>
      <c r="AB2294" s="168">
        <f t="shared" si="9"/>
        <v>959.7608</v>
      </c>
    </row>
    <row r="2295" ht="15.0" customHeight="1">
      <c r="A2295" s="157" t="s">
        <v>9724</v>
      </c>
      <c r="B2295" s="169" t="s">
        <v>41</v>
      </c>
      <c r="C2295" s="169" t="s">
        <v>5330</v>
      </c>
      <c r="D2295" s="317">
        <v>45159.0</v>
      </c>
      <c r="E2295" s="157" t="s">
        <v>600</v>
      </c>
      <c r="F2295" s="160">
        <v>14251.21</v>
      </c>
      <c r="G2295" s="160">
        <f>'FACUS$'!$F2295*0.16</f>
        <v>2280.1936</v>
      </c>
      <c r="H2295" s="160">
        <f t="shared" si="68"/>
        <v>16531.4036</v>
      </c>
      <c r="I2295" s="172"/>
      <c r="J2295" s="169"/>
      <c r="K2295" s="172"/>
      <c r="L2295" s="172">
        <f>+'FACUS$'!$H2295-'FACUS$'!$I2295-'FACUS$'!$K2295</f>
        <v>16531.4036</v>
      </c>
      <c r="M2295" s="162" t="s">
        <v>875</v>
      </c>
      <c r="N2295" s="337" t="s">
        <v>554</v>
      </c>
      <c r="O2295" s="338">
        <v>45187.0</v>
      </c>
      <c r="P2295" s="164">
        <f t="array" ref="P2295">XLOOKUP('FACUS$'!$B2295,'perfil de pagos'!$A$4:$A$46,'perfil de pagos'!$C$4:$C$46+'FACUS$'!$D2295)</f>
        <v>45169</v>
      </c>
      <c r="Q2295" s="165">
        <f t="shared" si="66"/>
        <v>0</v>
      </c>
      <c r="R2295" s="167"/>
      <c r="S2295" s="167">
        <v>2428.0</v>
      </c>
      <c r="T2295" s="167"/>
      <c r="U2295" s="334" t="s">
        <v>7271</v>
      </c>
      <c r="V2295" s="168">
        <f t="shared" si="3"/>
        <v>16531.4036</v>
      </c>
      <c r="W2295" s="168">
        <f t="shared" si="4"/>
        <v>0</v>
      </c>
      <c r="X2295" s="168">
        <f t="shared" si="5"/>
        <v>0</v>
      </c>
      <c r="Y2295" s="168">
        <f t="shared" si="6"/>
        <v>0</v>
      </c>
      <c r="Z2295" s="168">
        <f t="shared" si="7"/>
        <v>0</v>
      </c>
      <c r="AA2295" s="168">
        <f t="shared" si="8"/>
        <v>0</v>
      </c>
      <c r="AB2295" s="168">
        <f t="shared" si="9"/>
        <v>0</v>
      </c>
    </row>
    <row r="2296" ht="15.0" customHeight="1">
      <c r="A2296" s="157" t="s">
        <v>9725</v>
      </c>
      <c r="B2296" s="169" t="s">
        <v>43</v>
      </c>
      <c r="C2296" s="169" t="s">
        <v>5330</v>
      </c>
      <c r="D2296" s="317">
        <v>45159.0</v>
      </c>
      <c r="E2296" s="157" t="s">
        <v>600</v>
      </c>
      <c r="F2296" s="160">
        <v>15330.91</v>
      </c>
      <c r="G2296" s="160">
        <f>'FACUS$'!$F2296*0.16</f>
        <v>2452.9456</v>
      </c>
      <c r="H2296" s="160">
        <f t="shared" si="68"/>
        <v>17783.8556</v>
      </c>
      <c r="I2296" s="172"/>
      <c r="J2296" s="169"/>
      <c r="K2296" s="172"/>
      <c r="L2296" s="172">
        <f>+'FACUS$'!$H2296-'FACUS$'!$I2296-'FACUS$'!$K2296</f>
        <v>17783.8556</v>
      </c>
      <c r="M2296" s="162" t="s">
        <v>43</v>
      </c>
      <c r="N2296" s="337" t="s">
        <v>554</v>
      </c>
      <c r="O2296" s="338">
        <v>45194.0</v>
      </c>
      <c r="P2296" s="164">
        <f t="array" ref="P2296">XLOOKUP('FACUS$'!$B2296,'perfil de pagos'!$A$4:$A$46,'perfil de pagos'!$C$4:$C$46+'FACUS$'!$D2296)</f>
        <v>45184</v>
      </c>
      <c r="Q2296" s="165">
        <f t="shared" si="66"/>
        <v>0</v>
      </c>
      <c r="R2296" s="167"/>
      <c r="S2296" s="167">
        <v>2448.0</v>
      </c>
      <c r="T2296" s="167"/>
      <c r="U2296" s="334" t="s">
        <v>7271</v>
      </c>
      <c r="V2296" s="168">
        <f t="shared" si="3"/>
        <v>17783.8556</v>
      </c>
      <c r="W2296" s="168">
        <f t="shared" si="4"/>
        <v>0</v>
      </c>
      <c r="X2296" s="168">
        <f t="shared" si="5"/>
        <v>0</v>
      </c>
      <c r="Y2296" s="168">
        <f t="shared" si="6"/>
        <v>0</v>
      </c>
      <c r="Z2296" s="168">
        <f t="shared" si="7"/>
        <v>0</v>
      </c>
      <c r="AA2296" s="168">
        <f t="shared" si="8"/>
        <v>0</v>
      </c>
      <c r="AB2296" s="168">
        <f t="shared" si="9"/>
        <v>0</v>
      </c>
    </row>
    <row r="2297" ht="15.0" customHeight="1">
      <c r="A2297" s="157" t="s">
        <v>9726</v>
      </c>
      <c r="B2297" s="169" t="s">
        <v>42</v>
      </c>
      <c r="C2297" s="169" t="s">
        <v>5330</v>
      </c>
      <c r="D2297" s="317">
        <v>45159.0</v>
      </c>
      <c r="E2297" s="157" t="s">
        <v>600</v>
      </c>
      <c r="F2297" s="160">
        <v>8064.52</v>
      </c>
      <c r="G2297" s="160">
        <f>'FACUS$'!$F2297*0.16</f>
        <v>1290.3232</v>
      </c>
      <c r="H2297" s="160">
        <f t="shared" si="68"/>
        <v>9354.8432</v>
      </c>
      <c r="I2297" s="172"/>
      <c r="J2297" s="169"/>
      <c r="K2297" s="172"/>
      <c r="L2297" s="172">
        <f>+'FACUS$'!$H2297-'FACUS$'!$I2297-'FACUS$'!$K2297</f>
        <v>9354.8432</v>
      </c>
      <c r="M2297" s="162" t="s">
        <v>42</v>
      </c>
      <c r="N2297" s="337" t="s">
        <v>554</v>
      </c>
      <c r="O2297" s="338">
        <v>45175.0</v>
      </c>
      <c r="P2297" s="164">
        <f t="array" ref="P2297">XLOOKUP('FACUS$'!$B2297,'perfil de pagos'!$A$4:$A$46,'perfil de pagos'!$C$4:$C$46+'FACUS$'!$D2297)</f>
        <v>45169</v>
      </c>
      <c r="Q2297" s="165">
        <f t="shared" si="66"/>
        <v>0</v>
      </c>
      <c r="R2297" s="167"/>
      <c r="S2297" s="167">
        <v>2411.0</v>
      </c>
      <c r="T2297" s="167"/>
      <c r="U2297" s="334" t="s">
        <v>7271</v>
      </c>
      <c r="V2297" s="168">
        <f t="shared" si="3"/>
        <v>9354.8432</v>
      </c>
      <c r="W2297" s="168">
        <f t="shared" si="4"/>
        <v>0</v>
      </c>
      <c r="X2297" s="168">
        <f t="shared" si="5"/>
        <v>0</v>
      </c>
      <c r="Y2297" s="168">
        <f t="shared" si="6"/>
        <v>0</v>
      </c>
      <c r="Z2297" s="168">
        <f t="shared" si="7"/>
        <v>0</v>
      </c>
      <c r="AA2297" s="168">
        <f t="shared" si="8"/>
        <v>0</v>
      </c>
      <c r="AB2297" s="168">
        <f t="shared" si="9"/>
        <v>0</v>
      </c>
    </row>
    <row r="2298" ht="15.0" customHeight="1">
      <c r="A2298" s="157" t="s">
        <v>9727</v>
      </c>
      <c r="B2298" s="169" t="s">
        <v>44</v>
      </c>
      <c r="C2298" s="169" t="s">
        <v>5330</v>
      </c>
      <c r="D2298" s="317">
        <v>45159.0</v>
      </c>
      <c r="E2298" s="157" t="s">
        <v>600</v>
      </c>
      <c r="F2298" s="160">
        <v>6072.74</v>
      </c>
      <c r="G2298" s="160">
        <f>'FACUS$'!$F2298*0.16</f>
        <v>971.6384</v>
      </c>
      <c r="H2298" s="160">
        <f t="shared" si="68"/>
        <v>7044.3784</v>
      </c>
      <c r="I2298" s="172"/>
      <c r="J2298" s="169"/>
      <c r="K2298" s="172"/>
      <c r="L2298" s="172">
        <f>+'FACUS$'!$H2298-'FACUS$'!$I2298-'FACUS$'!$K2298</f>
        <v>7044.3784</v>
      </c>
      <c r="M2298" s="162" t="s">
        <v>361</v>
      </c>
      <c r="N2298" s="337" t="s">
        <v>554</v>
      </c>
      <c r="O2298" s="338">
        <v>45170.0</v>
      </c>
      <c r="P2298" s="164">
        <f t="array" ref="P2298">XLOOKUP('FACUS$'!$B2298,'perfil de pagos'!$A$4:$A$46,'perfil de pagos'!$C$4:$C$46+'FACUS$'!$D2298)</f>
        <v>45169</v>
      </c>
      <c r="Q2298" s="165">
        <f t="shared" si="66"/>
        <v>0</v>
      </c>
      <c r="R2298" s="167"/>
      <c r="S2298" s="167">
        <v>2398.0</v>
      </c>
      <c r="T2298" s="167"/>
      <c r="U2298" s="334" t="s">
        <v>7271</v>
      </c>
      <c r="V2298" s="168">
        <f t="shared" si="3"/>
        <v>7044.3784</v>
      </c>
      <c r="W2298" s="168">
        <f t="shared" si="4"/>
        <v>0</v>
      </c>
      <c r="X2298" s="168">
        <f t="shared" si="5"/>
        <v>0</v>
      </c>
      <c r="Y2298" s="168">
        <f t="shared" si="6"/>
        <v>0</v>
      </c>
      <c r="Z2298" s="168">
        <f t="shared" si="7"/>
        <v>0</v>
      </c>
      <c r="AA2298" s="168">
        <f t="shared" si="8"/>
        <v>0</v>
      </c>
      <c r="AB2298" s="168">
        <f t="shared" si="9"/>
        <v>0</v>
      </c>
    </row>
    <row r="2299" ht="15.0" customHeight="1">
      <c r="A2299" s="157" t="s">
        <v>9728</v>
      </c>
      <c r="B2299" s="169" t="s">
        <v>18</v>
      </c>
      <c r="C2299" s="169" t="s">
        <v>5330</v>
      </c>
      <c r="D2299" s="317">
        <v>45160.0</v>
      </c>
      <c r="E2299" s="157" t="s">
        <v>600</v>
      </c>
      <c r="F2299" s="160">
        <v>3934.74</v>
      </c>
      <c r="G2299" s="160">
        <f>'FACUS$'!$F2299*0.16</f>
        <v>629.5584</v>
      </c>
      <c r="H2299" s="160">
        <f t="shared" si="68"/>
        <v>4564.2984</v>
      </c>
      <c r="I2299" s="172"/>
      <c r="J2299" s="169"/>
      <c r="K2299" s="172"/>
      <c r="L2299" s="172">
        <f>+'FACUS$'!$H2299-'FACUS$'!$I2299-'FACUS$'!$K2299</f>
        <v>4564.2984</v>
      </c>
      <c r="M2299" s="162" t="s">
        <v>586</v>
      </c>
      <c r="N2299" s="337" t="s">
        <v>554</v>
      </c>
      <c r="O2299" s="338">
        <v>45208.0</v>
      </c>
      <c r="P2299" s="164">
        <f t="array" ref="P2299">XLOOKUP('FACUS$'!$B2299,'perfil de pagos'!$A$4:$A$46,'perfil de pagos'!$C$4:$C$46+'FACUS$'!$D2299)</f>
        <v>45170</v>
      </c>
      <c r="Q2299" s="165">
        <f t="shared" si="66"/>
        <v>0</v>
      </c>
      <c r="R2299" s="167"/>
      <c r="S2299" s="167">
        <v>2480.0</v>
      </c>
      <c r="T2299" s="167"/>
      <c r="U2299" s="334" t="s">
        <v>7271</v>
      </c>
      <c r="V2299" s="168">
        <f t="shared" si="3"/>
        <v>4564.2984</v>
      </c>
      <c r="W2299" s="168">
        <f t="shared" si="4"/>
        <v>0</v>
      </c>
      <c r="X2299" s="168">
        <f t="shared" si="5"/>
        <v>0</v>
      </c>
      <c r="Y2299" s="168">
        <f t="shared" si="6"/>
        <v>0</v>
      </c>
      <c r="Z2299" s="168">
        <f t="shared" si="7"/>
        <v>0</v>
      </c>
      <c r="AA2299" s="168">
        <f t="shared" si="8"/>
        <v>0</v>
      </c>
      <c r="AB2299" s="168">
        <f t="shared" si="9"/>
        <v>0</v>
      </c>
    </row>
    <row r="2300" ht="15.0" customHeight="1">
      <c r="A2300" s="157" t="s">
        <v>9729</v>
      </c>
      <c r="B2300" s="169" t="s">
        <v>20</v>
      </c>
      <c r="C2300" s="169" t="s">
        <v>5330</v>
      </c>
      <c r="D2300" s="317">
        <v>45160.0</v>
      </c>
      <c r="E2300" s="157" t="s">
        <v>600</v>
      </c>
      <c r="F2300" s="160">
        <v>7163.11</v>
      </c>
      <c r="G2300" s="160">
        <f>'FACUS$'!$F2300*0.16</f>
        <v>1146.0976</v>
      </c>
      <c r="H2300" s="160">
        <f t="shared" si="68"/>
        <v>8309.2076</v>
      </c>
      <c r="I2300" s="172">
        <v>5000.0</v>
      </c>
      <c r="J2300" s="169"/>
      <c r="K2300" s="172"/>
      <c r="L2300" s="172">
        <f>+'FACUS$'!$H2300-'FACUS$'!$I2300-'FACUS$'!$K2300</f>
        <v>3309.2076</v>
      </c>
      <c r="M2300" s="162" t="s">
        <v>732</v>
      </c>
      <c r="N2300" s="337" t="s">
        <v>554</v>
      </c>
      <c r="O2300" s="338">
        <v>45208.0</v>
      </c>
      <c r="P2300" s="164">
        <f t="array" ref="P2300">XLOOKUP('FACUS$'!$B2300,'perfil de pagos'!$A$4:$A$46,'perfil de pagos'!$C$4:$C$46+'FACUS$'!$D2300)</f>
        <v>45170</v>
      </c>
      <c r="Q2300" s="165">
        <f t="shared" si="66"/>
        <v>0</v>
      </c>
      <c r="R2300" s="220" t="s">
        <v>9730</v>
      </c>
      <c r="S2300" s="167" t="s">
        <v>9731</v>
      </c>
      <c r="T2300" s="167"/>
      <c r="U2300" s="334" t="s">
        <v>7271</v>
      </c>
      <c r="V2300" s="168">
        <f t="shared" si="3"/>
        <v>3309.2076</v>
      </c>
      <c r="W2300" s="168">
        <f t="shared" si="4"/>
        <v>0</v>
      </c>
      <c r="X2300" s="168">
        <f t="shared" si="5"/>
        <v>0</v>
      </c>
      <c r="Y2300" s="168">
        <f t="shared" si="6"/>
        <v>0</v>
      </c>
      <c r="Z2300" s="168">
        <f t="shared" si="7"/>
        <v>0</v>
      </c>
      <c r="AA2300" s="168">
        <f t="shared" si="8"/>
        <v>0</v>
      </c>
      <c r="AB2300" s="168">
        <f t="shared" si="9"/>
        <v>0</v>
      </c>
    </row>
    <row r="2301" ht="15.0" customHeight="1">
      <c r="A2301" s="157" t="s">
        <v>9732</v>
      </c>
      <c r="B2301" s="169" t="s">
        <v>22</v>
      </c>
      <c r="C2301" s="169" t="s">
        <v>5330</v>
      </c>
      <c r="D2301" s="317">
        <v>45160.0</v>
      </c>
      <c r="E2301" s="157" t="s">
        <v>600</v>
      </c>
      <c r="F2301" s="160">
        <v>10038.39</v>
      </c>
      <c r="G2301" s="160">
        <f>'FACUS$'!$F2301*0.16</f>
        <v>1606.1424</v>
      </c>
      <c r="H2301" s="160">
        <f t="shared" si="68"/>
        <v>11644.5324</v>
      </c>
      <c r="I2301" s="172"/>
      <c r="J2301" s="169"/>
      <c r="K2301" s="172"/>
      <c r="L2301" s="172">
        <f>+'FACUS$'!$H2301-'FACUS$'!$I2301-'FACUS$'!$K2301</f>
        <v>11644.5324</v>
      </c>
      <c r="M2301" s="162" t="s">
        <v>220</v>
      </c>
      <c r="N2301" s="337" t="s">
        <v>554</v>
      </c>
      <c r="O2301" s="338">
        <v>45201.0</v>
      </c>
      <c r="P2301" s="164">
        <f t="array" ref="P2301">XLOOKUP('FACUS$'!$B2301,'perfil de pagos'!$A$4:$A$46,'perfil de pagos'!$C$4:$C$46+'FACUS$'!$D2301)</f>
        <v>45170</v>
      </c>
      <c r="Q2301" s="165">
        <f t="shared" si="66"/>
        <v>0</v>
      </c>
      <c r="R2301" s="167"/>
      <c r="S2301" s="167">
        <v>2456.0</v>
      </c>
      <c r="T2301" s="167"/>
      <c r="U2301" s="334" t="s">
        <v>7271</v>
      </c>
      <c r="V2301" s="168">
        <f t="shared" si="3"/>
        <v>11644.5324</v>
      </c>
      <c r="W2301" s="168">
        <f t="shared" si="4"/>
        <v>0</v>
      </c>
      <c r="X2301" s="168">
        <f t="shared" si="5"/>
        <v>0</v>
      </c>
      <c r="Y2301" s="168">
        <f t="shared" si="6"/>
        <v>0</v>
      </c>
      <c r="Z2301" s="168">
        <f t="shared" si="7"/>
        <v>0</v>
      </c>
      <c r="AA2301" s="168">
        <f t="shared" si="8"/>
        <v>0</v>
      </c>
      <c r="AB2301" s="168">
        <f t="shared" si="9"/>
        <v>0</v>
      </c>
    </row>
    <row r="2302" ht="15.0" customHeight="1">
      <c r="A2302" s="157" t="s">
        <v>9733</v>
      </c>
      <c r="B2302" s="169" t="s">
        <v>25</v>
      </c>
      <c r="C2302" s="169" t="s">
        <v>5330</v>
      </c>
      <c r="D2302" s="317">
        <v>45160.0</v>
      </c>
      <c r="E2302" s="157" t="s">
        <v>600</v>
      </c>
      <c r="F2302" s="160">
        <v>3931.87</v>
      </c>
      <c r="G2302" s="160">
        <f>'FACUS$'!$F2302*0.16</f>
        <v>629.0992</v>
      </c>
      <c r="H2302" s="160">
        <f t="shared" si="68"/>
        <v>4560.9692</v>
      </c>
      <c r="I2302" s="172"/>
      <c r="J2302" s="169"/>
      <c r="K2302" s="172"/>
      <c r="L2302" s="172">
        <f>+'FACUS$'!$H2302-'FACUS$'!$I2302-'FACUS$'!$K2302</f>
        <v>4560.9692</v>
      </c>
      <c r="M2302" s="162" t="s">
        <v>4388</v>
      </c>
      <c r="N2302" s="337" t="s">
        <v>554</v>
      </c>
      <c r="O2302" s="338">
        <v>45233.0</v>
      </c>
      <c r="P2302" s="164">
        <f t="array" ref="P2302">XLOOKUP('FACUS$'!$B2302,'perfil de pagos'!$A$4:$A$46,'perfil de pagos'!$C$4:$C$46+'FACUS$'!$D2302)</f>
        <v>45170</v>
      </c>
      <c r="Q2302" s="165">
        <f t="shared" si="66"/>
        <v>0</v>
      </c>
      <c r="R2302" s="167"/>
      <c r="S2302" s="167">
        <v>2553.0</v>
      </c>
      <c r="T2302" s="167"/>
      <c r="U2302" s="334" t="s">
        <v>7271</v>
      </c>
      <c r="V2302" s="168">
        <f t="shared" si="3"/>
        <v>4560.9692</v>
      </c>
      <c r="W2302" s="168">
        <f t="shared" si="4"/>
        <v>0</v>
      </c>
      <c r="X2302" s="168">
        <f t="shared" si="5"/>
        <v>0</v>
      </c>
      <c r="Y2302" s="168">
        <f t="shared" si="6"/>
        <v>0</v>
      </c>
      <c r="Z2302" s="168">
        <f t="shared" si="7"/>
        <v>0</v>
      </c>
      <c r="AA2302" s="168">
        <f t="shared" si="8"/>
        <v>0</v>
      </c>
      <c r="AB2302" s="168">
        <f t="shared" si="9"/>
        <v>0</v>
      </c>
    </row>
    <row r="2303" ht="15.0" customHeight="1">
      <c r="A2303" s="157" t="s">
        <v>9734</v>
      </c>
      <c r="B2303" s="169" t="s">
        <v>37</v>
      </c>
      <c r="C2303" s="169" t="s">
        <v>5330</v>
      </c>
      <c r="D2303" s="317">
        <v>45160.0</v>
      </c>
      <c r="E2303" s="157" t="s">
        <v>600</v>
      </c>
      <c r="F2303" s="160">
        <v>81073.25</v>
      </c>
      <c r="G2303" s="160">
        <f>'FACUS$'!$F2303*0.16</f>
        <v>12971.72</v>
      </c>
      <c r="H2303" s="160">
        <f t="shared" si="68"/>
        <v>94044.97</v>
      </c>
      <c r="I2303" s="172"/>
      <c r="J2303" s="169"/>
      <c r="K2303" s="172"/>
      <c r="L2303" s="172">
        <f>+'FACUS$'!$H2303-'FACUS$'!$I2303-'FACUS$'!$K2303</f>
        <v>94044.97</v>
      </c>
      <c r="M2303" s="162" t="s">
        <v>116</v>
      </c>
      <c r="N2303" s="337" t="s">
        <v>554</v>
      </c>
      <c r="O2303" s="338">
        <v>45166.0</v>
      </c>
      <c r="P2303" s="164">
        <f t="array" ref="P2303">XLOOKUP('FACUS$'!$B2303,'perfil de pagos'!$A$4:$A$46,'perfil de pagos'!$C$4:$C$46+'FACUS$'!$D2303)</f>
        <v>45170</v>
      </c>
      <c r="Q2303" s="165">
        <f t="shared" si="66"/>
        <v>0</v>
      </c>
      <c r="R2303" s="401" t="s">
        <v>9735</v>
      </c>
      <c r="S2303" s="167">
        <v>2383.0</v>
      </c>
      <c r="T2303" s="167"/>
      <c r="U2303" s="334" t="s">
        <v>7271</v>
      </c>
      <c r="V2303" s="168">
        <f t="shared" si="3"/>
        <v>94044.97</v>
      </c>
      <c r="W2303" s="168">
        <f t="shared" si="4"/>
        <v>0</v>
      </c>
      <c r="X2303" s="168">
        <f t="shared" si="5"/>
        <v>0</v>
      </c>
      <c r="Y2303" s="168">
        <f t="shared" si="6"/>
        <v>0</v>
      </c>
      <c r="Z2303" s="168">
        <f t="shared" si="7"/>
        <v>0</v>
      </c>
      <c r="AA2303" s="168">
        <f t="shared" si="8"/>
        <v>0</v>
      </c>
      <c r="AB2303" s="168">
        <f t="shared" si="9"/>
        <v>0</v>
      </c>
    </row>
    <row r="2304" ht="15.0" customHeight="1">
      <c r="A2304" s="157" t="s">
        <v>9736</v>
      </c>
      <c r="B2304" s="169" t="s">
        <v>38</v>
      </c>
      <c r="C2304" s="169" t="s">
        <v>5330</v>
      </c>
      <c r="D2304" s="317">
        <v>45160.0</v>
      </c>
      <c r="E2304" s="157" t="s">
        <v>600</v>
      </c>
      <c r="F2304" s="160">
        <v>3120.68</v>
      </c>
      <c r="G2304" s="160">
        <f>'FACUS$'!$F2304*0.16</f>
        <v>499.3088</v>
      </c>
      <c r="H2304" s="160">
        <f t="shared" si="68"/>
        <v>3619.9888</v>
      </c>
      <c r="I2304" s="172"/>
      <c r="J2304" s="169"/>
      <c r="K2304" s="172"/>
      <c r="L2304" s="172">
        <f>+'FACUS$'!$H2304-'FACUS$'!$I2304-'FACUS$'!$K2304</f>
        <v>3619.9888</v>
      </c>
      <c r="M2304" s="162" t="s">
        <v>642</v>
      </c>
      <c r="N2304" s="337" t="s">
        <v>554</v>
      </c>
      <c r="O2304" s="338">
        <v>45203.0</v>
      </c>
      <c r="P2304" s="164">
        <f t="array" ref="P2304">XLOOKUP('FACUS$'!$B2304,'perfil de pagos'!$A$4:$A$46,'perfil de pagos'!$C$4:$C$46+'FACUS$'!$D2304)</f>
        <v>45190</v>
      </c>
      <c r="Q2304" s="165">
        <f t="shared" si="66"/>
        <v>0</v>
      </c>
      <c r="R2304" s="167" t="s">
        <v>9737</v>
      </c>
      <c r="S2304" s="167">
        <v>2483.0</v>
      </c>
      <c r="T2304" s="167"/>
      <c r="U2304" s="334" t="s">
        <v>7271</v>
      </c>
      <c r="V2304" s="168">
        <f t="shared" si="3"/>
        <v>3619.9888</v>
      </c>
      <c r="W2304" s="168">
        <f t="shared" si="4"/>
        <v>0</v>
      </c>
      <c r="X2304" s="168">
        <f t="shared" si="5"/>
        <v>0</v>
      </c>
      <c r="Y2304" s="168">
        <f t="shared" si="6"/>
        <v>0</v>
      </c>
      <c r="Z2304" s="168">
        <f t="shared" si="7"/>
        <v>0</v>
      </c>
      <c r="AA2304" s="168">
        <f t="shared" si="8"/>
        <v>0</v>
      </c>
      <c r="AB2304" s="168">
        <f t="shared" si="9"/>
        <v>0</v>
      </c>
    </row>
    <row r="2305" ht="15.0" customHeight="1">
      <c r="A2305" s="157" t="s">
        <v>9738</v>
      </c>
      <c r="B2305" s="169" t="s">
        <v>38</v>
      </c>
      <c r="C2305" s="169" t="s">
        <v>5330</v>
      </c>
      <c r="D2305" s="317">
        <v>45160.0</v>
      </c>
      <c r="E2305" s="157" t="s">
        <v>600</v>
      </c>
      <c r="F2305" s="160">
        <v>9102.88</v>
      </c>
      <c r="G2305" s="160">
        <f>'FACUS$'!$F2305*0.16</f>
        <v>1456.4608</v>
      </c>
      <c r="H2305" s="160">
        <f t="shared" si="68"/>
        <v>10559.3408</v>
      </c>
      <c r="I2305" s="172"/>
      <c r="J2305" s="169"/>
      <c r="K2305" s="172"/>
      <c r="L2305" s="172">
        <f>+'FACUS$'!$H2305-'FACUS$'!$I2305-'FACUS$'!$K2305</f>
        <v>10559.3408</v>
      </c>
      <c r="M2305" s="162" t="s">
        <v>145</v>
      </c>
      <c r="N2305" s="337" t="s">
        <v>554</v>
      </c>
      <c r="O2305" s="338">
        <v>45203.0</v>
      </c>
      <c r="P2305" s="164">
        <f t="array" ref="P2305">XLOOKUP('FACUS$'!$B2305,'perfil de pagos'!$A$4:$A$46,'perfil de pagos'!$C$4:$C$46+'FACUS$'!$D2305)</f>
        <v>45190</v>
      </c>
      <c r="Q2305" s="165">
        <f t="shared" si="66"/>
        <v>0</v>
      </c>
      <c r="R2305" s="167" t="s">
        <v>9737</v>
      </c>
      <c r="S2305" s="167">
        <v>2483.0</v>
      </c>
      <c r="T2305" s="167"/>
      <c r="U2305" s="334" t="s">
        <v>7271</v>
      </c>
      <c r="V2305" s="168">
        <f t="shared" si="3"/>
        <v>10559.3408</v>
      </c>
      <c r="W2305" s="168">
        <f t="shared" si="4"/>
        <v>0</v>
      </c>
      <c r="X2305" s="168">
        <f t="shared" si="5"/>
        <v>0</v>
      </c>
      <c r="Y2305" s="168">
        <f t="shared" si="6"/>
        <v>0</v>
      </c>
      <c r="Z2305" s="168">
        <f t="shared" si="7"/>
        <v>0</v>
      </c>
      <c r="AA2305" s="168">
        <f t="shared" si="8"/>
        <v>0</v>
      </c>
      <c r="AB2305" s="168">
        <f t="shared" si="9"/>
        <v>0</v>
      </c>
    </row>
    <row r="2306" ht="15.0" customHeight="1">
      <c r="A2306" s="157" t="s">
        <v>9739</v>
      </c>
      <c r="B2306" s="169" t="s">
        <v>31</v>
      </c>
      <c r="C2306" s="169" t="s">
        <v>9740</v>
      </c>
      <c r="D2306" s="317">
        <v>45163.0</v>
      </c>
      <c r="E2306" s="157" t="s">
        <v>600</v>
      </c>
      <c r="F2306" s="160">
        <v>1538.51</v>
      </c>
      <c r="G2306" s="160">
        <f>'FACUS$'!$F2306*0.16</f>
        <v>246.1616</v>
      </c>
      <c r="H2306" s="160">
        <f t="shared" si="68"/>
        <v>1784.6716</v>
      </c>
      <c r="I2306" s="172"/>
      <c r="J2306" s="169"/>
      <c r="K2306" s="172"/>
      <c r="L2306" s="172">
        <f>+'FACUS$'!$H2306-'FACUS$'!$I2306-'FACUS$'!$K2306</f>
        <v>1784.6716</v>
      </c>
      <c r="M2306" s="162" t="s">
        <v>3183</v>
      </c>
      <c r="N2306" s="337" t="s">
        <v>554</v>
      </c>
      <c r="O2306" s="338">
        <v>45163.0</v>
      </c>
      <c r="P2306" s="164">
        <f t="array" ref="P2306">XLOOKUP('FACUS$'!$B2306,'perfil de pagos'!$A$4:$A$46,'perfil de pagos'!$C$4:$C$46+'FACUS$'!$D2306)</f>
        <v>45166</v>
      </c>
      <c r="Q2306" s="165">
        <f t="shared" si="66"/>
        <v>0</v>
      </c>
      <c r="R2306" s="167"/>
      <c r="S2306" s="167"/>
      <c r="T2306" s="167"/>
      <c r="U2306" s="334" t="s">
        <v>7271</v>
      </c>
      <c r="V2306" s="168">
        <f t="shared" si="3"/>
        <v>1784.6716</v>
      </c>
      <c r="W2306" s="168">
        <f t="shared" si="4"/>
        <v>0</v>
      </c>
      <c r="X2306" s="168">
        <f t="shared" si="5"/>
        <v>0</v>
      </c>
      <c r="Y2306" s="168">
        <f t="shared" si="6"/>
        <v>0</v>
      </c>
      <c r="Z2306" s="168">
        <f t="shared" si="7"/>
        <v>0</v>
      </c>
      <c r="AA2306" s="168">
        <f t="shared" si="8"/>
        <v>0</v>
      </c>
      <c r="AB2306" s="168">
        <f t="shared" si="9"/>
        <v>0</v>
      </c>
    </row>
    <row r="2307" ht="15.0" customHeight="1">
      <c r="A2307" s="157" t="s">
        <v>9741</v>
      </c>
      <c r="B2307" s="169" t="s">
        <v>34</v>
      </c>
      <c r="C2307" s="169" t="s">
        <v>5328</v>
      </c>
      <c r="D2307" s="317">
        <v>45168.0</v>
      </c>
      <c r="E2307" s="157" t="s">
        <v>600</v>
      </c>
      <c r="F2307" s="160">
        <v>965.41</v>
      </c>
      <c r="G2307" s="160">
        <f>'FACUS$'!$F2307*0.16</f>
        <v>154.4656</v>
      </c>
      <c r="H2307" s="160">
        <f t="shared" si="68"/>
        <v>1119.8756</v>
      </c>
      <c r="I2307" s="172">
        <f>155.23+154.47</f>
        <v>309.7</v>
      </c>
      <c r="J2307" s="169"/>
      <c r="K2307" s="172"/>
      <c r="L2307" s="172">
        <f>+'FACUS$'!$H2307-'FACUS$'!$I2307-'FACUS$'!$K2307</f>
        <v>810.1756</v>
      </c>
      <c r="M2307" s="162" t="s">
        <v>538</v>
      </c>
      <c r="N2307" s="337" t="s">
        <v>554</v>
      </c>
      <c r="O2307" s="338">
        <v>45338.0</v>
      </c>
      <c r="P2307" s="164">
        <f t="array" ref="P2307">XLOOKUP('FACUS$'!$B2307,'perfil de pagos'!$A$4:$A$46,'perfil de pagos'!$C$4:$C$46+'FACUS$'!$D2307)</f>
        <v>45178</v>
      </c>
      <c r="Q2307" s="165">
        <f t="shared" si="66"/>
        <v>0</v>
      </c>
      <c r="R2307" s="247" t="s">
        <v>9742</v>
      </c>
      <c r="S2307" s="167">
        <v>2808.0</v>
      </c>
      <c r="T2307" s="167"/>
      <c r="U2307" s="334" t="s">
        <v>7271</v>
      </c>
      <c r="V2307" s="168">
        <f t="shared" si="3"/>
        <v>810.1756</v>
      </c>
      <c r="W2307" s="168">
        <f t="shared" si="4"/>
        <v>0</v>
      </c>
      <c r="X2307" s="168">
        <f t="shared" si="5"/>
        <v>0</v>
      </c>
      <c r="Y2307" s="168">
        <f t="shared" si="6"/>
        <v>0</v>
      </c>
      <c r="Z2307" s="168">
        <f t="shared" si="7"/>
        <v>0</v>
      </c>
      <c r="AA2307" s="168">
        <f t="shared" si="8"/>
        <v>0</v>
      </c>
      <c r="AB2307" s="168">
        <f t="shared" si="9"/>
        <v>0</v>
      </c>
    </row>
    <row r="2308" ht="15.75" customHeight="1">
      <c r="A2308" s="157" t="s">
        <v>9743</v>
      </c>
      <c r="B2308" s="169" t="s">
        <v>34</v>
      </c>
      <c r="C2308" s="169" t="s">
        <v>5330</v>
      </c>
      <c r="D2308" s="317">
        <v>45168.0</v>
      </c>
      <c r="E2308" s="157" t="s">
        <v>600</v>
      </c>
      <c r="F2308" s="160">
        <v>827.38</v>
      </c>
      <c r="G2308" s="160">
        <f>'FACUS$'!$F2308*0.16</f>
        <v>132.3808</v>
      </c>
      <c r="H2308" s="160">
        <f t="shared" si="68"/>
        <v>959.7608</v>
      </c>
      <c r="I2308" s="172"/>
      <c r="J2308" s="169"/>
      <c r="K2308" s="172"/>
      <c r="L2308" s="172">
        <f>+'FACUS$'!$H2308-'FACUS$'!$I2308-'FACUS$'!$K2308</f>
        <v>959.7608</v>
      </c>
      <c r="M2308" s="162" t="s">
        <v>538</v>
      </c>
      <c r="N2308" s="337" t="s">
        <v>554</v>
      </c>
      <c r="O2308" s="338"/>
      <c r="P2308" s="164">
        <f t="array" ref="P2308">XLOOKUP('FACUS$'!$B2308,'perfil de pagos'!$A$4:$A$46,'perfil de pagos'!$C$4:$C$46+'FACUS$'!$D2308)</f>
        <v>45178</v>
      </c>
      <c r="Q2308" s="165">
        <f t="shared" si="66"/>
        <v>0</v>
      </c>
      <c r="R2308" s="167"/>
      <c r="S2308" s="167"/>
      <c r="T2308" s="167"/>
      <c r="U2308" s="334" t="s">
        <v>7271</v>
      </c>
      <c r="V2308" s="168">
        <f t="shared" si="3"/>
        <v>959.7608</v>
      </c>
      <c r="W2308" s="168">
        <f t="shared" si="4"/>
        <v>0</v>
      </c>
      <c r="X2308" s="168">
        <f t="shared" si="5"/>
        <v>0</v>
      </c>
      <c r="Y2308" s="168">
        <f t="shared" si="6"/>
        <v>0</v>
      </c>
      <c r="Z2308" s="168">
        <f t="shared" si="7"/>
        <v>0</v>
      </c>
      <c r="AA2308" s="168">
        <f t="shared" si="8"/>
        <v>0</v>
      </c>
      <c r="AB2308" s="168">
        <f t="shared" si="9"/>
        <v>0</v>
      </c>
    </row>
    <row r="2309" ht="15.75" customHeight="1">
      <c r="A2309" s="157" t="s">
        <v>9744</v>
      </c>
      <c r="B2309" s="169" t="s">
        <v>31</v>
      </c>
      <c r="C2309" s="169" t="s">
        <v>9745</v>
      </c>
      <c r="D2309" s="317">
        <v>45169.0</v>
      </c>
      <c r="E2309" s="157" t="s">
        <v>600</v>
      </c>
      <c r="F2309" s="160"/>
      <c r="G2309" s="160">
        <f>'FACUS$'!$F2309*0.16</f>
        <v>0</v>
      </c>
      <c r="H2309" s="160">
        <f t="shared" si="68"/>
        <v>0</v>
      </c>
      <c r="I2309" s="172"/>
      <c r="J2309" s="169"/>
      <c r="K2309" s="172"/>
      <c r="L2309" s="172">
        <f>+'FACUS$'!$H2309-'FACUS$'!$I2309-'FACUS$'!$K2309</f>
        <v>0</v>
      </c>
      <c r="M2309" s="162"/>
      <c r="N2309" s="337" t="s">
        <v>127</v>
      </c>
      <c r="O2309" s="338"/>
      <c r="P2309" s="164">
        <f t="array" ref="P2309">XLOOKUP('FACUS$'!$B2309,'perfil de pagos'!$A$4:$A$46,'perfil de pagos'!$C$4:$C$46+'FACUS$'!$D2309)</f>
        <v>45172</v>
      </c>
      <c r="Q2309" s="165" t="str">
        <f t="shared" si="66"/>
        <v>N/A</v>
      </c>
      <c r="R2309" s="167" t="s">
        <v>448</v>
      </c>
      <c r="S2309" s="167"/>
      <c r="T2309" s="167"/>
      <c r="U2309" s="334" t="s">
        <v>7271</v>
      </c>
      <c r="V2309" s="168">
        <f t="shared" si="3"/>
        <v>0</v>
      </c>
      <c r="W2309" s="168">
        <f t="shared" si="4"/>
        <v>0</v>
      </c>
      <c r="X2309" s="168">
        <f t="shared" si="5"/>
        <v>0</v>
      </c>
      <c r="Y2309" s="168">
        <f t="shared" si="6"/>
        <v>0</v>
      </c>
      <c r="Z2309" s="168">
        <f t="shared" si="7"/>
        <v>0</v>
      </c>
      <c r="AA2309" s="168">
        <f t="shared" si="8"/>
        <v>0</v>
      </c>
      <c r="AB2309" s="168">
        <f t="shared" si="9"/>
        <v>0</v>
      </c>
    </row>
    <row r="2310" ht="15.75" customHeight="1">
      <c r="A2310" s="157" t="s">
        <v>9746</v>
      </c>
      <c r="B2310" s="169" t="s">
        <v>31</v>
      </c>
      <c r="C2310" s="169" t="s">
        <v>9745</v>
      </c>
      <c r="D2310" s="317">
        <v>45169.0</v>
      </c>
      <c r="E2310" s="157" t="s">
        <v>600</v>
      </c>
      <c r="F2310" s="160">
        <v>1542.52</v>
      </c>
      <c r="G2310" s="160">
        <f>'FACUS$'!$F2310*0.16</f>
        <v>246.8032</v>
      </c>
      <c r="H2310" s="160">
        <f t="shared" si="68"/>
        <v>1789.3232</v>
      </c>
      <c r="I2310" s="172"/>
      <c r="J2310" s="169"/>
      <c r="K2310" s="172"/>
      <c r="L2310" s="172">
        <f>+'FACUS$'!$H2310-'FACUS$'!$I2310-'FACUS$'!$K2310</f>
        <v>1789.3232</v>
      </c>
      <c r="M2310" s="162" t="s">
        <v>3183</v>
      </c>
      <c r="N2310" s="337" t="s">
        <v>554</v>
      </c>
      <c r="O2310" s="338">
        <v>45167.0</v>
      </c>
      <c r="P2310" s="164">
        <f t="array" ref="P2310">XLOOKUP('FACUS$'!$B2310,'perfil de pagos'!$A$4:$A$46,'perfil de pagos'!$C$4:$C$46+'FACUS$'!$D2310)</f>
        <v>45172</v>
      </c>
      <c r="Q2310" s="165">
        <f t="shared" si="66"/>
        <v>0</v>
      </c>
      <c r="R2310" s="167"/>
      <c r="S2310" s="167"/>
      <c r="T2310" s="167"/>
      <c r="U2310" s="334" t="s">
        <v>7271</v>
      </c>
      <c r="V2310" s="168">
        <f t="shared" si="3"/>
        <v>1789.3232</v>
      </c>
      <c r="W2310" s="168">
        <f t="shared" si="4"/>
        <v>0</v>
      </c>
      <c r="X2310" s="168">
        <f t="shared" si="5"/>
        <v>0</v>
      </c>
      <c r="Y2310" s="168">
        <f t="shared" si="6"/>
        <v>0</v>
      </c>
      <c r="Z2310" s="168">
        <f t="shared" si="7"/>
        <v>0</v>
      </c>
      <c r="AA2310" s="168">
        <f t="shared" si="8"/>
        <v>0</v>
      </c>
      <c r="AB2310" s="168">
        <f t="shared" si="9"/>
        <v>0</v>
      </c>
    </row>
    <row r="2311" ht="15.0" customHeight="1">
      <c r="A2311" s="157" t="s">
        <v>9747</v>
      </c>
      <c r="B2311" s="169" t="s">
        <v>35</v>
      </c>
      <c r="C2311" s="169" t="s">
        <v>5245</v>
      </c>
      <c r="D2311" s="317">
        <v>45174.0</v>
      </c>
      <c r="E2311" s="157" t="s">
        <v>600</v>
      </c>
      <c r="F2311" s="160">
        <v>1565.99</v>
      </c>
      <c r="G2311" s="160">
        <f>'FACUS$'!$F2311*0.16</f>
        <v>250.5584</v>
      </c>
      <c r="H2311" s="160">
        <f t="shared" si="68"/>
        <v>1816.5484</v>
      </c>
      <c r="I2311" s="172"/>
      <c r="J2311" s="169"/>
      <c r="K2311" s="172"/>
      <c r="L2311" s="172">
        <f>+'FACUS$'!$H2311-'FACUS$'!$I2311-'FACUS$'!$K2311</f>
        <v>1816.5484</v>
      </c>
      <c r="M2311" s="162" t="s">
        <v>276</v>
      </c>
      <c r="N2311" s="337" t="s">
        <v>554</v>
      </c>
      <c r="O2311" s="338">
        <v>45398.0</v>
      </c>
      <c r="P2311" s="164">
        <f t="array" ref="P2311">XLOOKUP('FACUS$'!$B2311,'perfil de pagos'!$A$4:$A$46,'perfil de pagos'!$C$4:$C$46+'FACUS$'!$D2311)</f>
        <v>45184</v>
      </c>
      <c r="Q2311" s="165">
        <f t="shared" si="66"/>
        <v>0</v>
      </c>
      <c r="R2311" s="167"/>
      <c r="S2311" s="167">
        <v>2937.0</v>
      </c>
      <c r="T2311" s="167"/>
      <c r="U2311" s="334" t="s">
        <v>7271</v>
      </c>
      <c r="V2311" s="168">
        <f t="shared" si="3"/>
        <v>1816.5484</v>
      </c>
      <c r="W2311" s="168">
        <f t="shared" si="4"/>
        <v>0</v>
      </c>
      <c r="X2311" s="168">
        <f t="shared" si="5"/>
        <v>0</v>
      </c>
      <c r="Y2311" s="168">
        <f t="shared" si="6"/>
        <v>0</v>
      </c>
      <c r="Z2311" s="168">
        <f t="shared" si="7"/>
        <v>0</v>
      </c>
      <c r="AA2311" s="168">
        <f t="shared" si="8"/>
        <v>0</v>
      </c>
      <c r="AB2311" s="168">
        <f t="shared" si="9"/>
        <v>0</v>
      </c>
    </row>
    <row r="2312" ht="15.0" customHeight="1">
      <c r="A2312" s="157" t="s">
        <v>9748</v>
      </c>
      <c r="B2312" s="169" t="s">
        <v>15</v>
      </c>
      <c r="C2312" s="169" t="s">
        <v>5372</v>
      </c>
      <c r="D2312" s="317">
        <v>45174.0</v>
      </c>
      <c r="E2312" s="157" t="s">
        <v>600</v>
      </c>
      <c r="F2312" s="160">
        <v>27876.63</v>
      </c>
      <c r="G2312" s="160">
        <f>'FACUS$'!$F2312*0.16</f>
        <v>4460.2608</v>
      </c>
      <c r="H2312" s="160">
        <f t="shared" si="68"/>
        <v>32336.8908</v>
      </c>
      <c r="I2312" s="172"/>
      <c r="J2312" s="169"/>
      <c r="K2312" s="172"/>
      <c r="L2312" s="172">
        <f>+'FACUS$'!$H2312-'FACUS$'!$I2312-'FACUS$'!$K2312</f>
        <v>32336.8908</v>
      </c>
      <c r="M2312" s="162" t="s">
        <v>443</v>
      </c>
      <c r="N2312" s="337" t="s">
        <v>554</v>
      </c>
      <c r="O2312" s="338">
        <v>45197.0</v>
      </c>
      <c r="P2312" s="164">
        <f t="array" ref="P2312">XLOOKUP('FACUS$'!$B2312,'perfil de pagos'!$A$4:$A$46,'perfil de pagos'!$C$4:$C$46+'FACUS$'!$D2312)</f>
        <v>45184</v>
      </c>
      <c r="Q2312" s="165">
        <f t="shared" si="66"/>
        <v>0</v>
      </c>
      <c r="R2312" s="167"/>
      <c r="S2312" s="167">
        <v>2461.0</v>
      </c>
      <c r="T2312" s="167"/>
      <c r="U2312" s="334" t="s">
        <v>7271</v>
      </c>
      <c r="V2312" s="168">
        <f t="shared" si="3"/>
        <v>32336.8908</v>
      </c>
      <c r="W2312" s="168">
        <f t="shared" si="4"/>
        <v>0</v>
      </c>
      <c r="X2312" s="168">
        <f t="shared" si="5"/>
        <v>0</v>
      </c>
      <c r="Y2312" s="168">
        <f t="shared" si="6"/>
        <v>0</v>
      </c>
      <c r="Z2312" s="168">
        <f t="shared" si="7"/>
        <v>0</v>
      </c>
      <c r="AA2312" s="168">
        <f t="shared" si="8"/>
        <v>0</v>
      </c>
      <c r="AB2312" s="168">
        <f t="shared" si="9"/>
        <v>0</v>
      </c>
    </row>
    <row r="2313" ht="15.0" customHeight="1">
      <c r="A2313" s="157" t="s">
        <v>9749</v>
      </c>
      <c r="B2313" s="169" t="s">
        <v>34</v>
      </c>
      <c r="C2313" s="169" t="s">
        <v>5368</v>
      </c>
      <c r="D2313" s="317">
        <v>45174.0</v>
      </c>
      <c r="E2313" s="157" t="s">
        <v>600</v>
      </c>
      <c r="F2313" s="160">
        <v>7045.99</v>
      </c>
      <c r="G2313" s="160">
        <f>'FACUS$'!$F2313*0.16</f>
        <v>1127.3584</v>
      </c>
      <c r="H2313" s="160">
        <f t="shared" si="68"/>
        <v>8173.3484</v>
      </c>
      <c r="I2313" s="172"/>
      <c r="J2313" s="169"/>
      <c r="K2313" s="172"/>
      <c r="L2313" s="172">
        <f>+'FACUS$'!$H2313-'FACUS$'!$I2313-'FACUS$'!$K2313</f>
        <v>8173.3484</v>
      </c>
      <c r="M2313" s="162" t="s">
        <v>538</v>
      </c>
      <c r="N2313" s="337" t="s">
        <v>554</v>
      </c>
      <c r="O2313" s="338">
        <v>45208.0</v>
      </c>
      <c r="P2313" s="164">
        <f t="array" ref="P2313">XLOOKUP('FACUS$'!$B2313,'perfil de pagos'!$A$4:$A$46,'perfil de pagos'!$C$4:$C$46+'FACUS$'!$D2313)</f>
        <v>45184</v>
      </c>
      <c r="Q2313" s="165">
        <f t="shared" si="66"/>
        <v>0</v>
      </c>
      <c r="R2313" s="167"/>
      <c r="S2313" s="167">
        <v>2477.0</v>
      </c>
      <c r="T2313" s="167"/>
      <c r="U2313" s="334" t="s">
        <v>7271</v>
      </c>
      <c r="V2313" s="168">
        <f t="shared" si="3"/>
        <v>8173.3484</v>
      </c>
      <c r="W2313" s="168">
        <f t="shared" si="4"/>
        <v>0</v>
      </c>
      <c r="X2313" s="168">
        <f t="shared" si="5"/>
        <v>0</v>
      </c>
      <c r="Y2313" s="168">
        <f t="shared" si="6"/>
        <v>0</v>
      </c>
      <c r="Z2313" s="168">
        <f t="shared" si="7"/>
        <v>0</v>
      </c>
      <c r="AA2313" s="168">
        <f t="shared" si="8"/>
        <v>0</v>
      </c>
      <c r="AB2313" s="168">
        <f t="shared" si="9"/>
        <v>0</v>
      </c>
    </row>
    <row r="2314" ht="15.0" customHeight="1">
      <c r="A2314" s="157" t="s">
        <v>9750</v>
      </c>
      <c r="B2314" s="169" t="s">
        <v>34</v>
      </c>
      <c r="C2314" s="169" t="s">
        <v>5372</v>
      </c>
      <c r="D2314" s="317">
        <v>45174.0</v>
      </c>
      <c r="E2314" s="157" t="s">
        <v>600</v>
      </c>
      <c r="F2314" s="160">
        <v>5591.95</v>
      </c>
      <c r="G2314" s="160">
        <f>'FACUS$'!$F2314*0.16</f>
        <v>894.712</v>
      </c>
      <c r="H2314" s="160">
        <f t="shared" si="68"/>
        <v>6486.662</v>
      </c>
      <c r="I2314" s="172"/>
      <c r="J2314" s="169"/>
      <c r="K2314" s="172"/>
      <c r="L2314" s="172">
        <f>+'FACUS$'!$H2314-'FACUS$'!$I2314-'FACUS$'!$K2314</f>
        <v>6486.662</v>
      </c>
      <c r="M2314" s="162" t="s">
        <v>538</v>
      </c>
      <c r="N2314" s="337" t="s">
        <v>554</v>
      </c>
      <c r="O2314" s="338">
        <v>45208.0</v>
      </c>
      <c r="P2314" s="164">
        <f t="array" ref="P2314">XLOOKUP('FACUS$'!$B2314,'perfil de pagos'!$A$4:$A$46,'perfil de pagos'!$C$4:$C$46+'FACUS$'!$D2314)</f>
        <v>45184</v>
      </c>
      <c r="Q2314" s="165">
        <f t="shared" si="66"/>
        <v>0</v>
      </c>
      <c r="R2314" s="167"/>
      <c r="S2314" s="167">
        <v>2478.0</v>
      </c>
      <c r="T2314" s="167"/>
      <c r="U2314" s="334" t="s">
        <v>7271</v>
      </c>
      <c r="V2314" s="168">
        <f t="shared" si="3"/>
        <v>6486.662</v>
      </c>
      <c r="W2314" s="168">
        <f t="shared" si="4"/>
        <v>0</v>
      </c>
      <c r="X2314" s="168">
        <f t="shared" si="5"/>
        <v>0</v>
      </c>
      <c r="Y2314" s="168">
        <f t="shared" si="6"/>
        <v>0</v>
      </c>
      <c r="Z2314" s="168">
        <f t="shared" si="7"/>
        <v>0</v>
      </c>
      <c r="AA2314" s="168">
        <f t="shared" si="8"/>
        <v>0</v>
      </c>
      <c r="AB2314" s="168">
        <f t="shared" si="9"/>
        <v>0</v>
      </c>
    </row>
    <row r="2315" ht="15.0" customHeight="1">
      <c r="A2315" s="157" t="s">
        <v>9751</v>
      </c>
      <c r="B2315" s="169" t="s">
        <v>35</v>
      </c>
      <c r="C2315" s="169" t="s">
        <v>5372</v>
      </c>
      <c r="D2315" s="317">
        <v>45174.0</v>
      </c>
      <c r="E2315" s="157" t="s">
        <v>600</v>
      </c>
      <c r="F2315" s="160">
        <v>740.0</v>
      </c>
      <c r="G2315" s="160">
        <f>'FACUS$'!$F2315*0.16</f>
        <v>118.4</v>
      </c>
      <c r="H2315" s="160">
        <f t="shared" si="68"/>
        <v>858.4</v>
      </c>
      <c r="I2315" s="172"/>
      <c r="J2315" s="169"/>
      <c r="K2315" s="172"/>
      <c r="L2315" s="172">
        <f>+'FACUS$'!$H2315-'FACUS$'!$I2315-'FACUS$'!$K2315</f>
        <v>858.4</v>
      </c>
      <c r="M2315" s="162" t="s">
        <v>276</v>
      </c>
      <c r="N2315" s="337" t="s">
        <v>554</v>
      </c>
      <c r="O2315" s="338">
        <v>45184.0</v>
      </c>
      <c r="P2315" s="164">
        <f t="array" ref="P2315">XLOOKUP('FACUS$'!$B2315,'perfil de pagos'!$A$4:$A$46,'perfil de pagos'!$C$4:$C$46+'FACUS$'!$D2315)</f>
        <v>45184</v>
      </c>
      <c r="Q2315" s="165">
        <f t="shared" si="66"/>
        <v>0</v>
      </c>
      <c r="R2315" s="167"/>
      <c r="S2315" s="167">
        <v>2429.0</v>
      </c>
      <c r="T2315" s="167"/>
      <c r="U2315" s="334" t="s">
        <v>7271</v>
      </c>
      <c r="V2315" s="168">
        <f t="shared" si="3"/>
        <v>858.4</v>
      </c>
      <c r="W2315" s="168">
        <f t="shared" si="4"/>
        <v>0</v>
      </c>
      <c r="X2315" s="168">
        <f t="shared" si="5"/>
        <v>0</v>
      </c>
      <c r="Y2315" s="168">
        <f t="shared" si="6"/>
        <v>0</v>
      </c>
      <c r="Z2315" s="168">
        <f t="shared" si="7"/>
        <v>0</v>
      </c>
      <c r="AA2315" s="168">
        <f t="shared" si="8"/>
        <v>0</v>
      </c>
      <c r="AB2315" s="168">
        <f t="shared" si="9"/>
        <v>0</v>
      </c>
    </row>
    <row r="2316" ht="15.0" customHeight="1">
      <c r="A2316" s="157" t="s">
        <v>9752</v>
      </c>
      <c r="B2316" s="169" t="s">
        <v>38</v>
      </c>
      <c r="C2316" s="169" t="s">
        <v>5372</v>
      </c>
      <c r="D2316" s="317">
        <v>45174.0</v>
      </c>
      <c r="E2316" s="157" t="s">
        <v>600</v>
      </c>
      <c r="F2316" s="160">
        <v>5979.29</v>
      </c>
      <c r="G2316" s="160">
        <f>'FACUS$'!$F2316*0.16</f>
        <v>956.6864</v>
      </c>
      <c r="H2316" s="160">
        <f t="shared" si="68"/>
        <v>6935.9764</v>
      </c>
      <c r="I2316" s="172"/>
      <c r="J2316" s="169"/>
      <c r="K2316" s="172"/>
      <c r="L2316" s="172">
        <f>+'FACUS$'!$H2316-'FACUS$'!$I2316-'FACUS$'!$K2316</f>
        <v>6935.9764</v>
      </c>
      <c r="M2316" s="162" t="s">
        <v>4654</v>
      </c>
      <c r="N2316" s="337" t="s">
        <v>554</v>
      </c>
      <c r="O2316" s="338">
        <v>45217.0</v>
      </c>
      <c r="P2316" s="164">
        <f t="array" ref="P2316">XLOOKUP('FACUS$'!$B2316,'perfil de pagos'!$A$4:$A$46,'perfil de pagos'!$C$4:$C$46+'FACUS$'!$D2316)</f>
        <v>45204</v>
      </c>
      <c r="Q2316" s="165">
        <f t="shared" si="66"/>
        <v>0</v>
      </c>
      <c r="R2316" s="167"/>
      <c r="S2316" s="167">
        <v>2507.0</v>
      </c>
      <c r="T2316" s="167"/>
      <c r="U2316" s="334" t="s">
        <v>7271</v>
      </c>
      <c r="V2316" s="168">
        <f t="shared" si="3"/>
        <v>6935.9764</v>
      </c>
      <c r="W2316" s="168">
        <f t="shared" si="4"/>
        <v>0</v>
      </c>
      <c r="X2316" s="168">
        <f t="shared" si="5"/>
        <v>0</v>
      </c>
      <c r="Y2316" s="168">
        <f t="shared" si="6"/>
        <v>0</v>
      </c>
      <c r="Z2316" s="168">
        <f t="shared" si="7"/>
        <v>0</v>
      </c>
      <c r="AA2316" s="168">
        <f t="shared" si="8"/>
        <v>0</v>
      </c>
      <c r="AB2316" s="168">
        <f t="shared" si="9"/>
        <v>0</v>
      </c>
    </row>
    <row r="2317" ht="15.0" customHeight="1">
      <c r="A2317" s="157" t="s">
        <v>9753</v>
      </c>
      <c r="B2317" s="169" t="s">
        <v>41</v>
      </c>
      <c r="C2317" s="169" t="s">
        <v>5372</v>
      </c>
      <c r="D2317" s="317">
        <v>45174.0</v>
      </c>
      <c r="E2317" s="157" t="s">
        <v>600</v>
      </c>
      <c r="F2317" s="160">
        <v>15767.62</v>
      </c>
      <c r="G2317" s="160">
        <f>'FACUS$'!$F2317*0.16</f>
        <v>2522.8192</v>
      </c>
      <c r="H2317" s="160">
        <f t="shared" si="68"/>
        <v>18290.4392</v>
      </c>
      <c r="I2317" s="172"/>
      <c r="J2317" s="169"/>
      <c r="K2317" s="172"/>
      <c r="L2317" s="172">
        <f>+'FACUS$'!$H2317-'FACUS$'!$I2317-'FACUS$'!$K2317</f>
        <v>18290.4392</v>
      </c>
      <c r="M2317" s="162" t="s">
        <v>875</v>
      </c>
      <c r="N2317" s="337" t="s">
        <v>554</v>
      </c>
      <c r="O2317" s="338">
        <v>45231.0</v>
      </c>
      <c r="P2317" s="164">
        <f t="array" ref="P2317">XLOOKUP('FACUS$'!$B2317,'perfil de pagos'!$A$4:$A$46,'perfil de pagos'!$C$4:$C$46+'FACUS$'!$D2317)</f>
        <v>45184</v>
      </c>
      <c r="Q2317" s="165">
        <f t="shared" si="66"/>
        <v>0</v>
      </c>
      <c r="R2317" s="167"/>
      <c r="S2317" s="167">
        <v>2552.0</v>
      </c>
      <c r="T2317" s="167"/>
      <c r="U2317" s="334" t="s">
        <v>7271</v>
      </c>
      <c r="V2317" s="168">
        <f t="shared" si="3"/>
        <v>18290.4392</v>
      </c>
      <c r="W2317" s="168">
        <f t="shared" si="4"/>
        <v>0</v>
      </c>
      <c r="X2317" s="168">
        <f t="shared" si="5"/>
        <v>0</v>
      </c>
      <c r="Y2317" s="168">
        <f t="shared" si="6"/>
        <v>0</v>
      </c>
      <c r="Z2317" s="168">
        <f t="shared" si="7"/>
        <v>0</v>
      </c>
      <c r="AA2317" s="168">
        <f t="shared" si="8"/>
        <v>0</v>
      </c>
      <c r="AB2317" s="168">
        <f t="shared" si="9"/>
        <v>0</v>
      </c>
    </row>
    <row r="2318" ht="15.0" customHeight="1">
      <c r="A2318" s="157" t="s">
        <v>9754</v>
      </c>
      <c r="B2318" s="169" t="s">
        <v>42</v>
      </c>
      <c r="C2318" s="169" t="s">
        <v>5372</v>
      </c>
      <c r="D2318" s="317">
        <v>45174.0</v>
      </c>
      <c r="E2318" s="157" t="s">
        <v>600</v>
      </c>
      <c r="F2318" s="160">
        <v>7155.21</v>
      </c>
      <c r="G2318" s="160">
        <f>'FACUS$'!$F2318*0.16</f>
        <v>1144.8336</v>
      </c>
      <c r="H2318" s="160">
        <f t="shared" si="68"/>
        <v>8300.0436</v>
      </c>
      <c r="I2318" s="172"/>
      <c r="J2318" s="169"/>
      <c r="K2318" s="172"/>
      <c r="L2318" s="172">
        <f>+'FACUS$'!$H2318-'FACUS$'!$I2318-'FACUS$'!$K2318</f>
        <v>8300.0436</v>
      </c>
      <c r="M2318" s="162" t="s">
        <v>42</v>
      </c>
      <c r="N2318" s="337" t="s">
        <v>554</v>
      </c>
      <c r="O2318" s="338">
        <v>45190.0</v>
      </c>
      <c r="P2318" s="164">
        <f t="array" ref="P2318">XLOOKUP('FACUS$'!$B2318,'perfil de pagos'!$A$4:$A$46,'perfil de pagos'!$C$4:$C$46+'FACUS$'!$D2318)</f>
        <v>45184</v>
      </c>
      <c r="Q2318" s="165">
        <f t="shared" si="66"/>
        <v>0</v>
      </c>
      <c r="R2318" s="167"/>
      <c r="S2318" s="167">
        <v>2446.0</v>
      </c>
      <c r="T2318" s="167"/>
      <c r="U2318" s="334" t="s">
        <v>7271</v>
      </c>
      <c r="V2318" s="168">
        <f t="shared" si="3"/>
        <v>8300.0436</v>
      </c>
      <c r="W2318" s="168">
        <f t="shared" si="4"/>
        <v>0</v>
      </c>
      <c r="X2318" s="168">
        <f t="shared" si="5"/>
        <v>0</v>
      </c>
      <c r="Y2318" s="168">
        <f t="shared" si="6"/>
        <v>0</v>
      </c>
      <c r="Z2318" s="168">
        <f t="shared" si="7"/>
        <v>0</v>
      </c>
      <c r="AA2318" s="168">
        <f t="shared" si="8"/>
        <v>0</v>
      </c>
      <c r="AB2318" s="168">
        <f t="shared" si="9"/>
        <v>0</v>
      </c>
    </row>
    <row r="2319" ht="15.0" customHeight="1">
      <c r="A2319" s="157" t="s">
        <v>9755</v>
      </c>
      <c r="B2319" s="169" t="s">
        <v>43</v>
      </c>
      <c r="C2319" s="169" t="s">
        <v>5372</v>
      </c>
      <c r="D2319" s="317">
        <v>45174.0</v>
      </c>
      <c r="E2319" s="157" t="s">
        <v>600</v>
      </c>
      <c r="F2319" s="160">
        <v>28800.29</v>
      </c>
      <c r="G2319" s="160">
        <f>'FACUS$'!$F2319*0.16</f>
        <v>4608.0464</v>
      </c>
      <c r="H2319" s="160">
        <f t="shared" si="68"/>
        <v>33408.3364</v>
      </c>
      <c r="I2319" s="172"/>
      <c r="J2319" s="169"/>
      <c r="K2319" s="172"/>
      <c r="L2319" s="172">
        <f>+'FACUS$'!$H2319-'FACUS$'!$I2319-'FACUS$'!$K2319</f>
        <v>33408.3364</v>
      </c>
      <c r="M2319" s="162" t="s">
        <v>43</v>
      </c>
      <c r="N2319" s="337" t="s">
        <v>554</v>
      </c>
      <c r="O2319" s="338">
        <v>45236.0</v>
      </c>
      <c r="P2319" s="164">
        <f t="array" ref="P2319">XLOOKUP('FACUS$'!$B2319,'perfil de pagos'!$A$4:$A$46,'perfil de pagos'!$C$4:$C$46+'FACUS$'!$D2319)</f>
        <v>45199</v>
      </c>
      <c r="Q2319" s="165">
        <f t="shared" si="66"/>
        <v>0</v>
      </c>
      <c r="R2319" s="167"/>
      <c r="S2319" s="167">
        <v>2559.0</v>
      </c>
      <c r="T2319" s="167"/>
      <c r="U2319" s="334" t="s">
        <v>7271</v>
      </c>
      <c r="V2319" s="168">
        <f t="shared" si="3"/>
        <v>33408.3364</v>
      </c>
      <c r="W2319" s="168">
        <f t="shared" si="4"/>
        <v>0</v>
      </c>
      <c r="X2319" s="168">
        <f t="shared" si="5"/>
        <v>0</v>
      </c>
      <c r="Y2319" s="168">
        <f t="shared" si="6"/>
        <v>0</v>
      </c>
      <c r="Z2319" s="168">
        <f t="shared" si="7"/>
        <v>0</v>
      </c>
      <c r="AA2319" s="168">
        <f t="shared" si="8"/>
        <v>0</v>
      </c>
      <c r="AB2319" s="168">
        <f t="shared" si="9"/>
        <v>0</v>
      </c>
    </row>
    <row r="2320" ht="15.0" customHeight="1">
      <c r="A2320" s="157" t="s">
        <v>9756</v>
      </c>
      <c r="B2320" s="169" t="s">
        <v>44</v>
      </c>
      <c r="C2320" s="169" t="s">
        <v>5372</v>
      </c>
      <c r="D2320" s="317">
        <v>45174.0</v>
      </c>
      <c r="E2320" s="157" t="s">
        <v>600</v>
      </c>
      <c r="F2320" s="160">
        <v>7265.91</v>
      </c>
      <c r="G2320" s="160">
        <f>'FACUS$'!$F2320*0.16</f>
        <v>1162.5456</v>
      </c>
      <c r="H2320" s="160">
        <f t="shared" si="68"/>
        <v>8428.4556</v>
      </c>
      <c r="I2320" s="172"/>
      <c r="J2320" s="169"/>
      <c r="K2320" s="172"/>
      <c r="L2320" s="172">
        <f>+'FACUS$'!$H2320-'FACUS$'!$I2320-'FACUS$'!$K2320</f>
        <v>8428.4556</v>
      </c>
      <c r="M2320" s="162" t="s">
        <v>361</v>
      </c>
      <c r="N2320" s="337" t="s">
        <v>554</v>
      </c>
      <c r="O2320" s="338">
        <v>45198.0</v>
      </c>
      <c r="P2320" s="164">
        <f t="array" ref="P2320">XLOOKUP('FACUS$'!$B2320,'perfil de pagos'!$A$4:$A$46,'perfil de pagos'!$C$4:$C$46+'FACUS$'!$D2320)</f>
        <v>45184</v>
      </c>
      <c r="Q2320" s="165">
        <f t="shared" si="66"/>
        <v>0</v>
      </c>
      <c r="R2320" s="167"/>
      <c r="S2320" s="167">
        <v>2463.0</v>
      </c>
      <c r="T2320" s="167"/>
      <c r="U2320" s="334" t="s">
        <v>7271</v>
      </c>
      <c r="V2320" s="168">
        <f t="shared" si="3"/>
        <v>8428.4556</v>
      </c>
      <c r="W2320" s="168">
        <f t="shared" si="4"/>
        <v>0</v>
      </c>
      <c r="X2320" s="168">
        <f t="shared" si="5"/>
        <v>0</v>
      </c>
      <c r="Y2320" s="168">
        <f t="shared" si="6"/>
        <v>0</v>
      </c>
      <c r="Z2320" s="168">
        <f t="shared" si="7"/>
        <v>0</v>
      </c>
      <c r="AA2320" s="168">
        <f t="shared" si="8"/>
        <v>0</v>
      </c>
      <c r="AB2320" s="168">
        <f t="shared" si="9"/>
        <v>0</v>
      </c>
    </row>
    <row r="2321" ht="15.0" customHeight="1">
      <c r="A2321" s="157" t="s">
        <v>9757</v>
      </c>
      <c r="B2321" s="169" t="s">
        <v>31</v>
      </c>
      <c r="C2321" s="169" t="s">
        <v>9758</v>
      </c>
      <c r="D2321" s="317">
        <v>45177.0</v>
      </c>
      <c r="E2321" s="157" t="s">
        <v>600</v>
      </c>
      <c r="F2321" s="160">
        <v>1542.53</v>
      </c>
      <c r="G2321" s="160">
        <f>'FACUS$'!$F2321*0.16</f>
        <v>246.8048</v>
      </c>
      <c r="H2321" s="160">
        <f t="shared" si="68"/>
        <v>1789.3348</v>
      </c>
      <c r="I2321" s="172"/>
      <c r="J2321" s="169"/>
      <c r="K2321" s="172"/>
      <c r="L2321" s="172">
        <f>+'FACUS$'!$H2321-'FACUS$'!$I2321-'FACUS$'!$K2321</f>
        <v>1789.3348</v>
      </c>
      <c r="M2321" s="162" t="s">
        <v>3183</v>
      </c>
      <c r="N2321" s="337" t="s">
        <v>554</v>
      </c>
      <c r="O2321" s="338">
        <v>45170.0</v>
      </c>
      <c r="P2321" s="164">
        <f t="array" ref="P2321">XLOOKUP('FACUS$'!$B2321,'perfil de pagos'!$A$4:$A$46,'perfil de pagos'!$C$4:$C$46+'FACUS$'!$D2321)</f>
        <v>45180</v>
      </c>
      <c r="Q2321" s="165">
        <f t="shared" si="66"/>
        <v>0</v>
      </c>
      <c r="R2321" s="167"/>
      <c r="S2321" s="167"/>
      <c r="T2321" s="167"/>
      <c r="U2321" s="334" t="s">
        <v>7271</v>
      </c>
      <c r="V2321" s="168">
        <f t="shared" si="3"/>
        <v>1789.3348</v>
      </c>
      <c r="W2321" s="168">
        <f t="shared" si="4"/>
        <v>0</v>
      </c>
      <c r="X2321" s="168">
        <f t="shared" si="5"/>
        <v>0</v>
      </c>
      <c r="Y2321" s="168">
        <f t="shared" si="6"/>
        <v>0</v>
      </c>
      <c r="Z2321" s="168">
        <f t="shared" si="7"/>
        <v>0</v>
      </c>
      <c r="AA2321" s="168">
        <f t="shared" si="8"/>
        <v>0</v>
      </c>
      <c r="AB2321" s="168">
        <f t="shared" si="9"/>
        <v>0</v>
      </c>
    </row>
    <row r="2322" ht="15.0" customHeight="1">
      <c r="A2322" s="157" t="s">
        <v>9759</v>
      </c>
      <c r="B2322" s="169" t="s">
        <v>22</v>
      </c>
      <c r="C2322" s="169" t="s">
        <v>5372</v>
      </c>
      <c r="D2322" s="317">
        <v>45177.0</v>
      </c>
      <c r="E2322" s="157" t="s">
        <v>600</v>
      </c>
      <c r="F2322" s="160">
        <v>10784.27</v>
      </c>
      <c r="G2322" s="160">
        <f>'FACUS$'!$F2322*0.16</f>
        <v>1725.4832</v>
      </c>
      <c r="H2322" s="160">
        <f t="shared" si="68"/>
        <v>12509.7532</v>
      </c>
      <c r="I2322" s="402">
        <v>3726.259814540079</v>
      </c>
      <c r="J2322" s="169"/>
      <c r="K2322" s="172"/>
      <c r="L2322" s="172">
        <f>+'FACUS$'!$H2322-'FACUS$'!$I2322-'FACUS$'!$K2322</f>
        <v>8783.493385</v>
      </c>
      <c r="M2322" s="162" t="s">
        <v>220</v>
      </c>
      <c r="N2322" s="337" t="s">
        <v>554</v>
      </c>
      <c r="O2322" s="338">
        <v>45210.0</v>
      </c>
      <c r="P2322" s="164">
        <f t="array" ref="P2322">XLOOKUP('FACUS$'!$B2322,'perfil de pagos'!$A$4:$A$46,'perfil de pagos'!$C$4:$C$46+'FACUS$'!$D2322)</f>
        <v>45187</v>
      </c>
      <c r="Q2322" s="165">
        <f t="shared" si="66"/>
        <v>0</v>
      </c>
      <c r="R2322" s="402" t="s">
        <v>9760</v>
      </c>
      <c r="S2322" s="167" t="s">
        <v>9761</v>
      </c>
      <c r="T2322" s="167"/>
      <c r="U2322" s="334" t="s">
        <v>7271</v>
      </c>
      <c r="V2322" s="168">
        <f t="shared" si="3"/>
        <v>8783.493385</v>
      </c>
      <c r="W2322" s="168">
        <f t="shared" si="4"/>
        <v>0</v>
      </c>
      <c r="X2322" s="168">
        <f t="shared" si="5"/>
        <v>0</v>
      </c>
      <c r="Y2322" s="168">
        <f t="shared" si="6"/>
        <v>0</v>
      </c>
      <c r="Z2322" s="168">
        <f t="shared" si="7"/>
        <v>0</v>
      </c>
      <c r="AA2322" s="168">
        <f t="shared" si="8"/>
        <v>0</v>
      </c>
      <c r="AB2322" s="168">
        <f t="shared" si="9"/>
        <v>0</v>
      </c>
    </row>
    <row r="2323" ht="15.0" customHeight="1">
      <c r="A2323" s="157" t="s">
        <v>9762</v>
      </c>
      <c r="B2323" s="169" t="s">
        <v>37</v>
      </c>
      <c r="C2323" s="169" t="s">
        <v>5372</v>
      </c>
      <c r="D2323" s="317">
        <v>45177.0</v>
      </c>
      <c r="E2323" s="157" t="s">
        <v>600</v>
      </c>
      <c r="F2323" s="160">
        <v>101306.51</v>
      </c>
      <c r="G2323" s="160">
        <f>'FACUS$'!$F2323*0.16</f>
        <v>16209.0416</v>
      </c>
      <c r="H2323" s="160">
        <f t="shared" si="68"/>
        <v>117515.5516</v>
      </c>
      <c r="I2323" s="172"/>
      <c r="J2323" s="169"/>
      <c r="K2323" s="172"/>
      <c r="L2323" s="172">
        <f>+'FACUS$'!$H2323-'FACUS$'!$I2323-'FACUS$'!$K2323</f>
        <v>117515.5516</v>
      </c>
      <c r="M2323" s="162" t="s">
        <v>116</v>
      </c>
      <c r="N2323" s="337" t="s">
        <v>554</v>
      </c>
      <c r="O2323" s="338">
        <v>45187.0</v>
      </c>
      <c r="P2323" s="164">
        <f t="array" ref="P2323">XLOOKUP('FACUS$'!$B2323,'perfil de pagos'!$A$4:$A$46,'perfil de pagos'!$C$4:$C$46+'FACUS$'!$D2323)</f>
        <v>45187</v>
      </c>
      <c r="Q2323" s="165">
        <f t="shared" si="66"/>
        <v>0</v>
      </c>
      <c r="R2323" s="220" t="s">
        <v>9763</v>
      </c>
      <c r="S2323" s="167">
        <v>2425.0</v>
      </c>
      <c r="T2323" s="167"/>
      <c r="U2323" s="334" t="s">
        <v>7271</v>
      </c>
      <c r="V2323" s="168">
        <f t="shared" si="3"/>
        <v>117515.5516</v>
      </c>
      <c r="W2323" s="168">
        <f t="shared" si="4"/>
        <v>0</v>
      </c>
      <c r="X2323" s="168">
        <f t="shared" si="5"/>
        <v>0</v>
      </c>
      <c r="Y2323" s="168">
        <f t="shared" si="6"/>
        <v>0</v>
      </c>
      <c r="Z2323" s="168">
        <f t="shared" si="7"/>
        <v>0</v>
      </c>
      <c r="AA2323" s="168">
        <f t="shared" si="8"/>
        <v>0</v>
      </c>
      <c r="AB2323" s="168">
        <f t="shared" si="9"/>
        <v>0</v>
      </c>
    </row>
    <row r="2324" ht="15.0" customHeight="1">
      <c r="A2324" s="157" t="s">
        <v>9764</v>
      </c>
      <c r="B2324" s="169" t="s">
        <v>38</v>
      </c>
      <c r="C2324" s="169" t="s">
        <v>5372</v>
      </c>
      <c r="D2324" s="317">
        <v>45177.0</v>
      </c>
      <c r="E2324" s="157" t="s">
        <v>600</v>
      </c>
      <c r="F2324" s="160">
        <v>4019.9</v>
      </c>
      <c r="G2324" s="160">
        <f>'FACUS$'!$F2324*0.16</f>
        <v>643.184</v>
      </c>
      <c r="H2324" s="160">
        <f t="shared" si="68"/>
        <v>4663.084</v>
      </c>
      <c r="I2324" s="172"/>
      <c r="J2324" s="169"/>
      <c r="K2324" s="172"/>
      <c r="L2324" s="172">
        <f>+'FACUS$'!$H2324-'FACUS$'!$I2324-'FACUS$'!$K2324</f>
        <v>4663.084</v>
      </c>
      <c r="M2324" s="162" t="s">
        <v>434</v>
      </c>
      <c r="N2324" s="337" t="s">
        <v>554</v>
      </c>
      <c r="O2324" s="338">
        <v>45230.0</v>
      </c>
      <c r="P2324" s="164">
        <f t="array" ref="P2324">XLOOKUP('FACUS$'!$B2324,'perfil de pagos'!$A$4:$A$46,'perfil de pagos'!$C$4:$C$46+'FACUS$'!$D2324)</f>
        <v>45207</v>
      </c>
      <c r="Q2324" s="165">
        <f t="shared" si="66"/>
        <v>0</v>
      </c>
      <c r="R2324" s="220" t="s">
        <v>9765</v>
      </c>
      <c r="S2324" s="167">
        <v>2560.0</v>
      </c>
      <c r="T2324" s="167"/>
      <c r="U2324" s="334" t="s">
        <v>7271</v>
      </c>
      <c r="V2324" s="168">
        <f t="shared" si="3"/>
        <v>4663.084</v>
      </c>
      <c r="W2324" s="168">
        <f t="shared" si="4"/>
        <v>0</v>
      </c>
      <c r="X2324" s="168">
        <f t="shared" si="5"/>
        <v>0</v>
      </c>
      <c r="Y2324" s="168">
        <f t="shared" si="6"/>
        <v>0</v>
      </c>
      <c r="Z2324" s="168">
        <f t="shared" si="7"/>
        <v>0</v>
      </c>
      <c r="AA2324" s="168">
        <f t="shared" si="8"/>
        <v>0</v>
      </c>
      <c r="AB2324" s="168">
        <f t="shared" si="9"/>
        <v>0</v>
      </c>
    </row>
    <row r="2325" ht="15.0" customHeight="1">
      <c r="A2325" s="157" t="s">
        <v>9766</v>
      </c>
      <c r="B2325" s="169" t="s">
        <v>38</v>
      </c>
      <c r="C2325" s="169" t="s">
        <v>5372</v>
      </c>
      <c r="D2325" s="317">
        <v>45177.0</v>
      </c>
      <c r="E2325" s="157" t="s">
        <v>600</v>
      </c>
      <c r="F2325" s="160">
        <v>8860.1</v>
      </c>
      <c r="G2325" s="160">
        <f>'FACUS$'!$F2325*0.16</f>
        <v>1417.616</v>
      </c>
      <c r="H2325" s="160">
        <f t="shared" si="68"/>
        <v>10277.716</v>
      </c>
      <c r="I2325" s="172"/>
      <c r="J2325" s="169"/>
      <c r="K2325" s="172"/>
      <c r="L2325" s="172">
        <f>+'FACUS$'!$H2325-'FACUS$'!$I2325-'FACUS$'!$K2325</f>
        <v>10277.716</v>
      </c>
      <c r="M2325" s="162" t="s">
        <v>145</v>
      </c>
      <c r="N2325" s="337" t="s">
        <v>554</v>
      </c>
      <c r="O2325" s="338">
        <v>45230.0</v>
      </c>
      <c r="P2325" s="164">
        <f t="array" ref="P2325">XLOOKUP('FACUS$'!$B2325,'perfil de pagos'!$A$4:$A$46,'perfil de pagos'!$C$4:$C$46+'FACUS$'!$D2325)</f>
        <v>45207</v>
      </c>
      <c r="Q2325" s="165">
        <f t="shared" si="66"/>
        <v>0</v>
      </c>
      <c r="R2325" s="220" t="s">
        <v>9765</v>
      </c>
      <c r="S2325" s="167">
        <v>2560.0</v>
      </c>
      <c r="T2325" s="167"/>
      <c r="U2325" s="334" t="s">
        <v>7271</v>
      </c>
      <c r="V2325" s="168">
        <f t="shared" si="3"/>
        <v>10277.716</v>
      </c>
      <c r="W2325" s="168">
        <f t="shared" si="4"/>
        <v>0</v>
      </c>
      <c r="X2325" s="168">
        <f t="shared" si="5"/>
        <v>0</v>
      </c>
      <c r="Y2325" s="168">
        <f t="shared" si="6"/>
        <v>0</v>
      </c>
      <c r="Z2325" s="168">
        <f t="shared" si="7"/>
        <v>0</v>
      </c>
      <c r="AA2325" s="168">
        <f t="shared" si="8"/>
        <v>0</v>
      </c>
      <c r="AB2325" s="168">
        <f t="shared" si="9"/>
        <v>0</v>
      </c>
    </row>
    <row r="2326" ht="15.0" customHeight="1">
      <c r="A2326" s="157" t="s">
        <v>9767</v>
      </c>
      <c r="B2326" s="169" t="s">
        <v>31</v>
      </c>
      <c r="C2326" s="169" t="s">
        <v>9768</v>
      </c>
      <c r="D2326" s="317">
        <v>45181.0</v>
      </c>
      <c r="E2326" s="157" t="s">
        <v>600</v>
      </c>
      <c r="F2326" s="160">
        <v>1542.53</v>
      </c>
      <c r="G2326" s="160">
        <f>'FACUS$'!$F2326*0.16</f>
        <v>246.8048</v>
      </c>
      <c r="H2326" s="160">
        <f t="shared" si="68"/>
        <v>1789.3348</v>
      </c>
      <c r="I2326" s="172"/>
      <c r="J2326" s="169"/>
      <c r="K2326" s="172"/>
      <c r="L2326" s="172">
        <f>+'FACUS$'!$H2326-'FACUS$'!$I2326-'FACUS$'!$K2326</f>
        <v>1789.3348</v>
      </c>
      <c r="M2326" s="162" t="s">
        <v>3183</v>
      </c>
      <c r="N2326" s="337" t="s">
        <v>554</v>
      </c>
      <c r="O2326" s="338">
        <v>45180.0</v>
      </c>
      <c r="P2326" s="164">
        <f t="array" ref="P2326">XLOOKUP('FACUS$'!$B2326,'perfil de pagos'!$A$4:$A$46,'perfil de pagos'!$C$4:$C$46+'FACUS$'!$D2326)</f>
        <v>45184</v>
      </c>
      <c r="Q2326" s="165">
        <f t="shared" si="66"/>
        <v>0</v>
      </c>
      <c r="R2326" s="167"/>
      <c r="S2326" s="167"/>
      <c r="T2326" s="167"/>
      <c r="U2326" s="334" t="s">
        <v>7271</v>
      </c>
      <c r="V2326" s="168">
        <f t="shared" si="3"/>
        <v>1789.3348</v>
      </c>
      <c r="W2326" s="168">
        <f t="shared" si="4"/>
        <v>0</v>
      </c>
      <c r="X2326" s="168">
        <f t="shared" si="5"/>
        <v>0</v>
      </c>
      <c r="Y2326" s="168">
        <f t="shared" si="6"/>
        <v>0</v>
      </c>
      <c r="Z2326" s="168">
        <f t="shared" si="7"/>
        <v>0</v>
      </c>
      <c r="AA2326" s="168">
        <f t="shared" si="8"/>
        <v>0</v>
      </c>
      <c r="AB2326" s="168">
        <f t="shared" si="9"/>
        <v>0</v>
      </c>
    </row>
    <row r="2327" ht="15.0" customHeight="1">
      <c r="A2327" s="157" t="s">
        <v>9769</v>
      </c>
      <c r="B2327" s="169" t="s">
        <v>45</v>
      </c>
      <c r="C2327" s="169" t="s">
        <v>9768</v>
      </c>
      <c r="D2327" s="317">
        <v>45181.0</v>
      </c>
      <c r="E2327" s="157" t="s">
        <v>600</v>
      </c>
      <c r="F2327" s="160">
        <v>3085.05</v>
      </c>
      <c r="G2327" s="160">
        <f>'FACUS$'!$F2327*0.16</f>
        <v>493.608</v>
      </c>
      <c r="H2327" s="160">
        <f t="shared" si="68"/>
        <v>3578.658</v>
      </c>
      <c r="I2327" s="172"/>
      <c r="J2327" s="169"/>
      <c r="K2327" s="172"/>
      <c r="L2327" s="172">
        <f>+'FACUS$'!$H2327-'FACUS$'!$I2327-'FACUS$'!$K2327</f>
        <v>3578.658</v>
      </c>
      <c r="M2327" s="162" t="s">
        <v>3183</v>
      </c>
      <c r="N2327" s="337" t="s">
        <v>554</v>
      </c>
      <c r="O2327" s="338">
        <v>45188.0</v>
      </c>
      <c r="P2327" s="164">
        <f t="array" ref="P2327">XLOOKUP('FACUS$'!$B2327,'perfil de pagos'!$A$4:$A$46,'perfil de pagos'!$C$4:$C$46+'FACUS$'!$D2327)</f>
        <v>45184</v>
      </c>
      <c r="Q2327" s="165">
        <f t="shared" si="66"/>
        <v>0</v>
      </c>
      <c r="R2327" s="167"/>
      <c r="S2327" s="167"/>
      <c r="T2327" s="167"/>
      <c r="U2327" s="334" t="s">
        <v>7271</v>
      </c>
      <c r="V2327" s="168">
        <f t="shared" si="3"/>
        <v>3578.658</v>
      </c>
      <c r="W2327" s="168">
        <f t="shared" si="4"/>
        <v>0</v>
      </c>
      <c r="X2327" s="168">
        <f t="shared" si="5"/>
        <v>0</v>
      </c>
      <c r="Y2327" s="168">
        <f t="shared" si="6"/>
        <v>0</v>
      </c>
      <c r="Z2327" s="168">
        <f t="shared" si="7"/>
        <v>0</v>
      </c>
      <c r="AA2327" s="168">
        <f t="shared" si="8"/>
        <v>0</v>
      </c>
      <c r="AB2327" s="168">
        <f t="shared" si="9"/>
        <v>0</v>
      </c>
    </row>
    <row r="2328" ht="15.0" customHeight="1">
      <c r="A2328" s="157" t="s">
        <v>9770</v>
      </c>
      <c r="B2328" s="169" t="s">
        <v>15</v>
      </c>
      <c r="C2328" s="169" t="s">
        <v>5413</v>
      </c>
      <c r="D2328" s="317">
        <v>45187.0</v>
      </c>
      <c r="E2328" s="157" t="s">
        <v>600</v>
      </c>
      <c r="F2328" s="160">
        <v>31915.4</v>
      </c>
      <c r="G2328" s="160">
        <f>'FACUS$'!$F2328*0.16</f>
        <v>5106.464</v>
      </c>
      <c r="H2328" s="160">
        <f t="shared" si="68"/>
        <v>37021.864</v>
      </c>
      <c r="I2328" s="172"/>
      <c r="J2328" s="169"/>
      <c r="K2328" s="172"/>
      <c r="L2328" s="172">
        <f>+'FACUS$'!$H2328-'FACUS$'!$I2328-'FACUS$'!$K2328</f>
        <v>37021.864</v>
      </c>
      <c r="M2328" s="162" t="s">
        <v>443</v>
      </c>
      <c r="N2328" s="337" t="s">
        <v>554</v>
      </c>
      <c r="O2328" s="338">
        <v>45211.0</v>
      </c>
      <c r="P2328" s="164">
        <f t="array" ref="P2328">XLOOKUP('FACUS$'!$B2328,'perfil de pagos'!$A$4:$A$46,'perfil de pagos'!$C$4:$C$46+'FACUS$'!$D2328)</f>
        <v>45197</v>
      </c>
      <c r="Q2328" s="165">
        <f t="shared" si="66"/>
        <v>0</v>
      </c>
      <c r="R2328" s="167"/>
      <c r="S2328" s="167">
        <v>2501.0</v>
      </c>
      <c r="T2328" s="167"/>
      <c r="U2328" s="334" t="s">
        <v>7271</v>
      </c>
      <c r="V2328" s="168">
        <f t="shared" si="3"/>
        <v>37021.864</v>
      </c>
      <c r="W2328" s="168">
        <f t="shared" si="4"/>
        <v>0</v>
      </c>
      <c r="X2328" s="168">
        <f t="shared" si="5"/>
        <v>0</v>
      </c>
      <c r="Y2328" s="168">
        <f t="shared" si="6"/>
        <v>0</v>
      </c>
      <c r="Z2328" s="168">
        <f t="shared" si="7"/>
        <v>0</v>
      </c>
      <c r="AA2328" s="168">
        <f t="shared" si="8"/>
        <v>0</v>
      </c>
      <c r="AB2328" s="168">
        <f t="shared" si="9"/>
        <v>0</v>
      </c>
    </row>
    <row r="2329" ht="15.0" customHeight="1">
      <c r="A2329" s="157" t="s">
        <v>9771</v>
      </c>
      <c r="B2329" s="169" t="s">
        <v>41</v>
      </c>
      <c r="C2329" s="169" t="s">
        <v>5413</v>
      </c>
      <c r="D2329" s="317">
        <v>45187.0</v>
      </c>
      <c r="E2329" s="157" t="s">
        <v>600</v>
      </c>
      <c r="F2329" s="160">
        <v>15775.98</v>
      </c>
      <c r="G2329" s="160">
        <f>'FACUS$'!$F2329*0.16</f>
        <v>2524.1568</v>
      </c>
      <c r="H2329" s="160">
        <f t="shared" si="68"/>
        <v>18300.1368</v>
      </c>
      <c r="I2329" s="172"/>
      <c r="J2329" s="169"/>
      <c r="K2329" s="172"/>
      <c r="L2329" s="172">
        <f>+'FACUS$'!$H2329-'FACUS$'!$I2329-'FACUS$'!$K2329</f>
        <v>18300.1368</v>
      </c>
      <c r="M2329" s="162" t="s">
        <v>875</v>
      </c>
      <c r="N2329" s="337" t="s">
        <v>554</v>
      </c>
      <c r="O2329" s="338">
        <v>45202.0</v>
      </c>
      <c r="P2329" s="164">
        <f t="array" ref="P2329">XLOOKUP('FACUS$'!$B2329,'perfil de pagos'!$A$4:$A$46,'perfil de pagos'!$C$4:$C$46+'FACUS$'!$D2329)</f>
        <v>45197</v>
      </c>
      <c r="Q2329" s="165">
        <f t="shared" si="66"/>
        <v>0</v>
      </c>
      <c r="R2329" s="167"/>
      <c r="S2329" s="167">
        <v>2465.0</v>
      </c>
      <c r="T2329" s="167"/>
      <c r="U2329" s="334" t="s">
        <v>7271</v>
      </c>
      <c r="V2329" s="168">
        <f t="shared" si="3"/>
        <v>18300.1368</v>
      </c>
      <c r="W2329" s="168">
        <f t="shared" si="4"/>
        <v>0</v>
      </c>
      <c r="X2329" s="168">
        <f t="shared" si="5"/>
        <v>0</v>
      </c>
      <c r="Y2329" s="168">
        <f t="shared" si="6"/>
        <v>0</v>
      </c>
      <c r="Z2329" s="168">
        <f t="shared" si="7"/>
        <v>0</v>
      </c>
      <c r="AA2329" s="168">
        <f t="shared" si="8"/>
        <v>0</v>
      </c>
      <c r="AB2329" s="168">
        <f t="shared" si="9"/>
        <v>0</v>
      </c>
    </row>
    <row r="2330" ht="15.0" customHeight="1">
      <c r="A2330" s="157" t="s">
        <v>9772</v>
      </c>
      <c r="B2330" s="169" t="s">
        <v>42</v>
      </c>
      <c r="C2330" s="169" t="s">
        <v>5413</v>
      </c>
      <c r="D2330" s="317">
        <v>45187.0</v>
      </c>
      <c r="E2330" s="157" t="s">
        <v>600</v>
      </c>
      <c r="F2330" s="160">
        <v>6085.23</v>
      </c>
      <c r="G2330" s="160">
        <f>'FACUS$'!$F2330*0.16</f>
        <v>973.6368</v>
      </c>
      <c r="H2330" s="160">
        <f t="shared" si="68"/>
        <v>7058.8668</v>
      </c>
      <c r="I2330" s="172"/>
      <c r="J2330" s="169"/>
      <c r="K2330" s="172"/>
      <c r="L2330" s="172">
        <f>+'FACUS$'!$H2330-'FACUS$'!$I2330-'FACUS$'!$K2330</f>
        <v>7058.8668</v>
      </c>
      <c r="M2330" s="162" t="s">
        <v>42</v>
      </c>
      <c r="N2330" s="337" t="s">
        <v>554</v>
      </c>
      <c r="O2330" s="338">
        <v>45202.0</v>
      </c>
      <c r="P2330" s="164">
        <f t="array" ref="P2330">XLOOKUP('FACUS$'!$B2330,'perfil de pagos'!$A$4:$A$46,'perfil de pagos'!$C$4:$C$46+'FACUS$'!$D2330)</f>
        <v>45197</v>
      </c>
      <c r="Q2330" s="165">
        <f t="shared" si="66"/>
        <v>0</v>
      </c>
      <c r="R2330" s="167"/>
      <c r="S2330" s="167">
        <v>2466.0</v>
      </c>
      <c r="T2330" s="167"/>
      <c r="U2330" s="334" t="s">
        <v>7271</v>
      </c>
      <c r="V2330" s="168">
        <f t="shared" si="3"/>
        <v>7058.8668</v>
      </c>
      <c r="W2330" s="168">
        <f t="shared" si="4"/>
        <v>0</v>
      </c>
      <c r="X2330" s="168">
        <f t="shared" si="5"/>
        <v>0</v>
      </c>
      <c r="Y2330" s="168">
        <f t="shared" si="6"/>
        <v>0</v>
      </c>
      <c r="Z2330" s="168">
        <f t="shared" si="7"/>
        <v>0</v>
      </c>
      <c r="AA2330" s="168">
        <f t="shared" si="8"/>
        <v>0</v>
      </c>
      <c r="AB2330" s="168">
        <f t="shared" si="9"/>
        <v>0</v>
      </c>
    </row>
    <row r="2331" ht="15.0" customHeight="1">
      <c r="A2331" s="157" t="s">
        <v>9773</v>
      </c>
      <c r="B2331" s="169" t="s">
        <v>44</v>
      </c>
      <c r="C2331" s="169" t="s">
        <v>5413</v>
      </c>
      <c r="D2331" s="317">
        <v>45187.0</v>
      </c>
      <c r="E2331" s="157" t="s">
        <v>600</v>
      </c>
      <c r="F2331" s="160">
        <v>5017.15</v>
      </c>
      <c r="G2331" s="160">
        <f>'FACUS$'!$F2331*0.16</f>
        <v>802.744</v>
      </c>
      <c r="H2331" s="160">
        <f t="shared" si="68"/>
        <v>5819.894</v>
      </c>
      <c r="I2331" s="172"/>
      <c r="J2331" s="169"/>
      <c r="K2331" s="172"/>
      <c r="L2331" s="172">
        <f>+'FACUS$'!$H2331-'FACUS$'!$I2331-'FACUS$'!$K2331</f>
        <v>5819.894</v>
      </c>
      <c r="M2331" s="162" t="s">
        <v>361</v>
      </c>
      <c r="N2331" s="337" t="s">
        <v>554</v>
      </c>
      <c r="O2331" s="338">
        <v>45205.0</v>
      </c>
      <c r="P2331" s="164">
        <f t="array" ref="P2331">XLOOKUP('FACUS$'!$B2331,'perfil de pagos'!$A$4:$A$46,'perfil de pagos'!$C$4:$C$46+'FACUS$'!$D2331)</f>
        <v>45197</v>
      </c>
      <c r="Q2331" s="165">
        <f t="shared" si="66"/>
        <v>0</v>
      </c>
      <c r="R2331" s="167"/>
      <c r="S2331" s="167">
        <v>2474.0</v>
      </c>
      <c r="T2331" s="167"/>
      <c r="U2331" s="334" t="s">
        <v>7271</v>
      </c>
      <c r="V2331" s="168">
        <f t="shared" si="3"/>
        <v>5819.894</v>
      </c>
      <c r="W2331" s="168">
        <f t="shared" si="4"/>
        <v>0</v>
      </c>
      <c r="X2331" s="168">
        <f t="shared" si="5"/>
        <v>0</v>
      </c>
      <c r="Y2331" s="168">
        <f t="shared" si="6"/>
        <v>0</v>
      </c>
      <c r="Z2331" s="168">
        <f t="shared" si="7"/>
        <v>0</v>
      </c>
      <c r="AA2331" s="168">
        <f t="shared" si="8"/>
        <v>0</v>
      </c>
      <c r="AB2331" s="168">
        <f t="shared" si="9"/>
        <v>0</v>
      </c>
    </row>
    <row r="2332" ht="15.0" customHeight="1">
      <c r="A2332" s="157" t="s">
        <v>9774</v>
      </c>
      <c r="B2332" s="169" t="s">
        <v>38</v>
      </c>
      <c r="C2332" s="169" t="s">
        <v>5413</v>
      </c>
      <c r="D2332" s="317">
        <v>45188.0</v>
      </c>
      <c r="E2332" s="157" t="s">
        <v>600</v>
      </c>
      <c r="F2332" s="160">
        <v>4902.43</v>
      </c>
      <c r="G2332" s="160">
        <f>'FACUS$'!$F2332*0.16</f>
        <v>784.3888</v>
      </c>
      <c r="H2332" s="160">
        <f t="shared" si="68"/>
        <v>5686.8188</v>
      </c>
      <c r="I2332" s="172"/>
      <c r="J2332" s="169"/>
      <c r="K2332" s="172"/>
      <c r="L2332" s="172">
        <f>+'FACUS$'!$H2332-'FACUS$'!$I2332-'FACUS$'!$K2332</f>
        <v>5686.8188</v>
      </c>
      <c r="M2332" s="162" t="s">
        <v>4654</v>
      </c>
      <c r="N2332" s="337" t="s">
        <v>554</v>
      </c>
      <c r="O2332" s="338">
        <v>45230.0</v>
      </c>
      <c r="P2332" s="164">
        <f t="array" ref="P2332">XLOOKUP('FACUS$'!$B2332,'perfil de pagos'!$A$4:$A$46,'perfil de pagos'!$C$4:$C$46+'FACUS$'!$D2332)</f>
        <v>45218</v>
      </c>
      <c r="Q2332" s="165">
        <f t="shared" si="66"/>
        <v>0</v>
      </c>
      <c r="R2332" s="220" t="s">
        <v>9765</v>
      </c>
      <c r="S2332" s="167">
        <v>2560.0</v>
      </c>
      <c r="T2332" s="167"/>
      <c r="U2332" s="334" t="s">
        <v>7271</v>
      </c>
      <c r="V2332" s="168">
        <f t="shared" si="3"/>
        <v>5686.8188</v>
      </c>
      <c r="W2332" s="168">
        <f t="shared" si="4"/>
        <v>0</v>
      </c>
      <c r="X2332" s="168">
        <f t="shared" si="5"/>
        <v>0</v>
      </c>
      <c r="Y2332" s="168">
        <f t="shared" si="6"/>
        <v>0</v>
      </c>
      <c r="Z2332" s="168">
        <f t="shared" si="7"/>
        <v>0</v>
      </c>
      <c r="AA2332" s="168">
        <f t="shared" si="8"/>
        <v>0</v>
      </c>
      <c r="AB2332" s="168">
        <f t="shared" si="9"/>
        <v>0</v>
      </c>
    </row>
    <row r="2333" ht="15.0" customHeight="1">
      <c r="A2333" s="157" t="s">
        <v>9775</v>
      </c>
      <c r="B2333" s="169" t="s">
        <v>31</v>
      </c>
      <c r="C2333" s="169" t="s">
        <v>9776</v>
      </c>
      <c r="D2333" s="317">
        <v>45189.0</v>
      </c>
      <c r="E2333" s="157" t="s">
        <v>600</v>
      </c>
      <c r="F2333" s="160">
        <v>3085.0</v>
      </c>
      <c r="G2333" s="160">
        <f>'FACUS$'!$F2333*0.16</f>
        <v>493.6</v>
      </c>
      <c r="H2333" s="160">
        <f t="shared" si="68"/>
        <v>3578.6</v>
      </c>
      <c r="I2333" s="172"/>
      <c r="J2333" s="169"/>
      <c r="K2333" s="172"/>
      <c r="L2333" s="172">
        <f>+'FACUS$'!$H2333-'FACUS$'!$I2333-'FACUS$'!$K2333</f>
        <v>3578.6</v>
      </c>
      <c r="M2333" s="162" t="s">
        <v>3183</v>
      </c>
      <c r="N2333" s="337" t="s">
        <v>554</v>
      </c>
      <c r="O2333" s="338">
        <v>45188.0</v>
      </c>
      <c r="P2333" s="164">
        <f t="array" ref="P2333">XLOOKUP('FACUS$'!$B2333,'perfil de pagos'!$A$4:$A$46,'perfil de pagos'!$C$4:$C$46+'FACUS$'!$D2333)</f>
        <v>45192</v>
      </c>
      <c r="Q2333" s="165">
        <f t="shared" si="66"/>
        <v>0</v>
      </c>
      <c r="R2333" s="167"/>
      <c r="S2333" s="167"/>
      <c r="T2333" s="167"/>
      <c r="U2333" s="334" t="s">
        <v>7271</v>
      </c>
      <c r="V2333" s="168">
        <f t="shared" si="3"/>
        <v>3578.6</v>
      </c>
      <c r="W2333" s="168">
        <f t="shared" si="4"/>
        <v>0</v>
      </c>
      <c r="X2333" s="168">
        <f t="shared" si="5"/>
        <v>0</v>
      </c>
      <c r="Y2333" s="168">
        <f t="shared" si="6"/>
        <v>0</v>
      </c>
      <c r="Z2333" s="168">
        <f t="shared" si="7"/>
        <v>0</v>
      </c>
      <c r="AA2333" s="168">
        <f t="shared" si="8"/>
        <v>0</v>
      </c>
      <c r="AB2333" s="168">
        <f t="shared" si="9"/>
        <v>0</v>
      </c>
    </row>
    <row r="2334" ht="15.0" customHeight="1">
      <c r="A2334" s="157" t="s">
        <v>9777</v>
      </c>
      <c r="B2334" s="169" t="s">
        <v>32</v>
      </c>
      <c r="C2334" s="169" t="s">
        <v>5413</v>
      </c>
      <c r="D2334" s="317">
        <v>45190.0</v>
      </c>
      <c r="E2334" s="157" t="s">
        <v>600</v>
      </c>
      <c r="F2334" s="160">
        <v>1811.56</v>
      </c>
      <c r="G2334" s="160">
        <f>'FACUS$'!$F2334*0.16</f>
        <v>289.8496</v>
      </c>
      <c r="H2334" s="160">
        <f t="shared" si="68"/>
        <v>2101.4096</v>
      </c>
      <c r="I2334" s="172"/>
      <c r="J2334" s="169"/>
      <c r="K2334" s="172"/>
      <c r="L2334" s="172">
        <f>+'FACUS$'!$H2334-'FACUS$'!$I2334-'FACUS$'!$K2334</f>
        <v>2101.4096</v>
      </c>
      <c r="M2334" s="162" t="s">
        <v>395</v>
      </c>
      <c r="N2334" s="337" t="s">
        <v>554</v>
      </c>
      <c r="O2334" s="338">
        <v>45198.0</v>
      </c>
      <c r="P2334" s="164">
        <f t="array" ref="P2334">XLOOKUP('FACUS$'!$B2334,'perfil de pagos'!$A$4:$A$46,'perfil de pagos'!$C$4:$C$46+'FACUS$'!$D2334)</f>
        <v>45200</v>
      </c>
      <c r="Q2334" s="165">
        <f t="shared" si="66"/>
        <v>0</v>
      </c>
      <c r="R2334" s="167"/>
      <c r="S2334" s="167">
        <v>2464.0</v>
      </c>
      <c r="T2334" s="167"/>
      <c r="U2334" s="334" t="s">
        <v>7271</v>
      </c>
      <c r="V2334" s="168">
        <f t="shared" si="3"/>
        <v>2101.4096</v>
      </c>
      <c r="W2334" s="168">
        <f t="shared" si="4"/>
        <v>0</v>
      </c>
      <c r="X2334" s="168">
        <f t="shared" si="5"/>
        <v>0</v>
      </c>
      <c r="Y2334" s="168">
        <f t="shared" si="6"/>
        <v>0</v>
      </c>
      <c r="Z2334" s="168">
        <f t="shared" si="7"/>
        <v>0</v>
      </c>
      <c r="AA2334" s="168">
        <f t="shared" si="8"/>
        <v>0</v>
      </c>
      <c r="AB2334" s="168">
        <f t="shared" si="9"/>
        <v>0</v>
      </c>
    </row>
    <row r="2335" ht="15.0" customHeight="1">
      <c r="A2335" s="157" t="s">
        <v>9778</v>
      </c>
      <c r="B2335" s="169" t="s">
        <v>22</v>
      </c>
      <c r="C2335" s="169" t="s">
        <v>5413</v>
      </c>
      <c r="D2335" s="317">
        <v>45191.0</v>
      </c>
      <c r="E2335" s="157" t="s">
        <v>600</v>
      </c>
      <c r="F2335" s="160">
        <v>11719.67</v>
      </c>
      <c r="G2335" s="160">
        <f>'FACUS$'!$F2335*0.16</f>
        <v>1875.1472</v>
      </c>
      <c r="H2335" s="160">
        <f t="shared" si="68"/>
        <v>13594.8172</v>
      </c>
      <c r="I2335" s="172">
        <f>2116.75841035656+11088.81</f>
        <v>13205.56841</v>
      </c>
      <c r="J2335" s="169"/>
      <c r="K2335" s="172"/>
      <c r="L2335" s="172">
        <f>+'FACUS$'!$H2335-'FACUS$'!$I2335-'FACUS$'!$K2335</f>
        <v>389.2487896</v>
      </c>
      <c r="M2335" s="162" t="s">
        <v>220</v>
      </c>
      <c r="N2335" s="337" t="s">
        <v>554</v>
      </c>
      <c r="O2335" s="338">
        <v>45231.0</v>
      </c>
      <c r="P2335" s="164">
        <f t="array" ref="P2335">XLOOKUP('FACUS$'!$B2335,'perfil de pagos'!$A$4:$A$46,'perfil de pagos'!$C$4:$C$46+'FACUS$'!$D2335)</f>
        <v>45201</v>
      </c>
      <c r="Q2335" s="165">
        <f t="shared" si="66"/>
        <v>0</v>
      </c>
      <c r="R2335" s="220" t="s">
        <v>9779</v>
      </c>
      <c r="S2335" s="167" t="s">
        <v>9780</v>
      </c>
      <c r="T2335" s="167"/>
      <c r="U2335" s="334" t="s">
        <v>7271</v>
      </c>
      <c r="V2335" s="168">
        <f t="shared" si="3"/>
        <v>389.2487896</v>
      </c>
      <c r="W2335" s="168">
        <f t="shared" si="4"/>
        <v>0</v>
      </c>
      <c r="X2335" s="168">
        <f t="shared" si="5"/>
        <v>0</v>
      </c>
      <c r="Y2335" s="168">
        <f t="shared" si="6"/>
        <v>0</v>
      </c>
      <c r="Z2335" s="168">
        <f t="shared" si="7"/>
        <v>0</v>
      </c>
      <c r="AA2335" s="168">
        <f t="shared" si="8"/>
        <v>0</v>
      </c>
      <c r="AB2335" s="168">
        <f t="shared" si="9"/>
        <v>0</v>
      </c>
    </row>
    <row r="2336" ht="15.0" customHeight="1">
      <c r="A2336" s="157" t="s">
        <v>9781</v>
      </c>
      <c r="B2336" s="169" t="s">
        <v>37</v>
      </c>
      <c r="C2336" s="169" t="s">
        <v>5413</v>
      </c>
      <c r="D2336" s="317">
        <v>45191.0</v>
      </c>
      <c r="E2336" s="157" t="s">
        <v>600</v>
      </c>
      <c r="F2336" s="160">
        <v>84613.44</v>
      </c>
      <c r="G2336" s="160">
        <f>'FACUS$'!$F2336*0.16</f>
        <v>13538.1504</v>
      </c>
      <c r="H2336" s="160">
        <f t="shared" si="68"/>
        <v>98151.5904</v>
      </c>
      <c r="I2336" s="172"/>
      <c r="J2336" s="169"/>
      <c r="K2336" s="172"/>
      <c r="L2336" s="172">
        <f>+'FACUS$'!$H2336-'FACUS$'!$I2336-'FACUS$'!$K2336</f>
        <v>98151.5904</v>
      </c>
      <c r="M2336" s="162" t="s">
        <v>116</v>
      </c>
      <c r="N2336" s="337" t="s">
        <v>554</v>
      </c>
      <c r="O2336" s="338">
        <v>45202.0</v>
      </c>
      <c r="P2336" s="164">
        <f t="array" ref="P2336">XLOOKUP('FACUS$'!$B2336,'perfil de pagos'!$A$4:$A$46,'perfil de pagos'!$C$4:$C$46+'FACUS$'!$D2336)</f>
        <v>45201</v>
      </c>
      <c r="Q2336" s="165">
        <f t="shared" si="66"/>
        <v>0</v>
      </c>
      <c r="R2336" s="398" t="s">
        <v>9782</v>
      </c>
      <c r="S2336" s="167">
        <v>2460.0</v>
      </c>
      <c r="T2336" s="167"/>
      <c r="U2336" s="334" t="s">
        <v>7271</v>
      </c>
      <c r="V2336" s="168">
        <f t="shared" si="3"/>
        <v>98151.5904</v>
      </c>
      <c r="W2336" s="168">
        <f t="shared" si="4"/>
        <v>0</v>
      </c>
      <c r="X2336" s="168">
        <f t="shared" si="5"/>
        <v>0</v>
      </c>
      <c r="Y2336" s="168">
        <f t="shared" si="6"/>
        <v>0</v>
      </c>
      <c r="Z2336" s="168">
        <f t="shared" si="7"/>
        <v>0</v>
      </c>
      <c r="AA2336" s="168">
        <f t="shared" si="8"/>
        <v>0</v>
      </c>
      <c r="AB2336" s="168">
        <f t="shared" si="9"/>
        <v>0</v>
      </c>
    </row>
    <row r="2337" ht="15.0" customHeight="1">
      <c r="A2337" s="157" t="s">
        <v>9783</v>
      </c>
      <c r="B2337" s="169" t="s">
        <v>34</v>
      </c>
      <c r="C2337" s="169" t="s">
        <v>5409</v>
      </c>
      <c r="D2337" s="317">
        <v>45191.0</v>
      </c>
      <c r="E2337" s="157" t="s">
        <v>600</v>
      </c>
      <c r="F2337" s="160">
        <v>4606.0</v>
      </c>
      <c r="G2337" s="160">
        <f>'FACUS$'!$F2337*0.16</f>
        <v>736.96</v>
      </c>
      <c r="H2337" s="160">
        <f t="shared" si="68"/>
        <v>5342.96</v>
      </c>
      <c r="I2337" s="172"/>
      <c r="J2337" s="169"/>
      <c r="K2337" s="172"/>
      <c r="L2337" s="172">
        <f>+'FACUS$'!$H2337-'FACUS$'!$I2337-'FACUS$'!$K2337</f>
        <v>5342.96</v>
      </c>
      <c r="M2337" s="162" t="s">
        <v>538</v>
      </c>
      <c r="N2337" s="337" t="s">
        <v>554</v>
      </c>
      <c r="O2337" s="338">
        <v>45208.0</v>
      </c>
      <c r="P2337" s="164">
        <f t="array" ref="P2337">XLOOKUP('FACUS$'!$B2337,'perfil de pagos'!$A$4:$A$46,'perfil de pagos'!$C$4:$C$46+'FACUS$'!$D2337)</f>
        <v>45201</v>
      </c>
      <c r="Q2337" s="165">
        <f t="shared" si="66"/>
        <v>0</v>
      </c>
      <c r="R2337" s="167"/>
      <c r="S2337" s="167">
        <v>2476.0</v>
      </c>
      <c r="T2337" s="167"/>
      <c r="U2337" s="334" t="s">
        <v>7271</v>
      </c>
      <c r="V2337" s="168">
        <f t="shared" si="3"/>
        <v>5342.96</v>
      </c>
      <c r="W2337" s="168">
        <f t="shared" si="4"/>
        <v>0</v>
      </c>
      <c r="X2337" s="168">
        <f t="shared" si="5"/>
        <v>0</v>
      </c>
      <c r="Y2337" s="168">
        <f t="shared" si="6"/>
        <v>0</v>
      </c>
      <c r="Z2337" s="168">
        <f t="shared" si="7"/>
        <v>0</v>
      </c>
      <c r="AA2337" s="168">
        <f t="shared" si="8"/>
        <v>0</v>
      </c>
      <c r="AB2337" s="168">
        <f t="shared" si="9"/>
        <v>0</v>
      </c>
    </row>
    <row r="2338" ht="15.0" customHeight="1">
      <c r="A2338" s="157" t="s">
        <v>9784</v>
      </c>
      <c r="B2338" s="169" t="s">
        <v>34</v>
      </c>
      <c r="C2338" s="169" t="s">
        <v>5413</v>
      </c>
      <c r="D2338" s="317">
        <v>45191.0</v>
      </c>
      <c r="E2338" s="157" t="s">
        <v>600</v>
      </c>
      <c r="F2338" s="160">
        <v>4715.18</v>
      </c>
      <c r="G2338" s="160">
        <f>'FACUS$'!$F2338*0.16</f>
        <v>754.4288</v>
      </c>
      <c r="H2338" s="160">
        <f t="shared" si="68"/>
        <v>5469.6088</v>
      </c>
      <c r="I2338" s="172"/>
      <c r="J2338" s="169"/>
      <c r="K2338" s="172"/>
      <c r="L2338" s="172">
        <f>+'FACUS$'!$H2338-'FACUS$'!$I2338-'FACUS$'!$K2338</f>
        <v>5469.6088</v>
      </c>
      <c r="M2338" s="162" t="s">
        <v>538</v>
      </c>
      <c r="N2338" s="337" t="s">
        <v>554</v>
      </c>
      <c r="O2338" s="338">
        <v>45208.0</v>
      </c>
      <c r="P2338" s="164">
        <f t="array" ref="P2338">XLOOKUP('FACUS$'!$B2338,'perfil de pagos'!$A$4:$A$46,'perfil de pagos'!$C$4:$C$46+'FACUS$'!$D2338)</f>
        <v>45201</v>
      </c>
      <c r="Q2338" s="165">
        <f t="shared" si="66"/>
        <v>0</v>
      </c>
      <c r="R2338" s="167"/>
      <c r="S2338" s="167">
        <v>2475.0</v>
      </c>
      <c r="T2338" s="167"/>
      <c r="U2338" s="334" t="s">
        <v>7271</v>
      </c>
      <c r="V2338" s="168">
        <f t="shared" si="3"/>
        <v>5469.6088</v>
      </c>
      <c r="W2338" s="168">
        <f t="shared" si="4"/>
        <v>0</v>
      </c>
      <c r="X2338" s="168">
        <f t="shared" si="5"/>
        <v>0</v>
      </c>
      <c r="Y2338" s="168">
        <f t="shared" si="6"/>
        <v>0</v>
      </c>
      <c r="Z2338" s="168">
        <f t="shared" si="7"/>
        <v>0</v>
      </c>
      <c r="AA2338" s="168">
        <f t="shared" si="8"/>
        <v>0</v>
      </c>
      <c r="AB2338" s="168">
        <f t="shared" si="9"/>
        <v>0</v>
      </c>
    </row>
    <row r="2339" ht="15.0" customHeight="1">
      <c r="A2339" s="157" t="s">
        <v>9785</v>
      </c>
      <c r="B2339" s="169" t="s">
        <v>35</v>
      </c>
      <c r="C2339" s="169" t="s">
        <v>5413</v>
      </c>
      <c r="D2339" s="317">
        <v>45191.0</v>
      </c>
      <c r="E2339" s="157" t="s">
        <v>600</v>
      </c>
      <c r="F2339" s="160">
        <v>3504.67</v>
      </c>
      <c r="G2339" s="160">
        <f>'FACUS$'!$F2339*0.16</f>
        <v>560.7472</v>
      </c>
      <c r="H2339" s="160">
        <f t="shared" si="68"/>
        <v>4065.4172</v>
      </c>
      <c r="I2339" s="172"/>
      <c r="J2339" s="169"/>
      <c r="K2339" s="172"/>
      <c r="L2339" s="172">
        <f>+'FACUS$'!$H2339-'FACUS$'!$I2339-'FACUS$'!$K2339</f>
        <v>4065.4172</v>
      </c>
      <c r="M2339" s="162" t="s">
        <v>276</v>
      </c>
      <c r="N2339" s="337" t="s">
        <v>554</v>
      </c>
      <c r="O2339" s="338">
        <v>45211.0</v>
      </c>
      <c r="P2339" s="164">
        <f t="array" ref="P2339">XLOOKUP('FACUS$'!$B2339,'perfil de pagos'!$A$4:$A$46,'perfil de pagos'!$C$4:$C$46+'FACUS$'!$D2339)</f>
        <v>45201</v>
      </c>
      <c r="Q2339" s="165">
        <f t="shared" si="66"/>
        <v>0</v>
      </c>
      <c r="R2339" s="167"/>
      <c r="S2339" s="167">
        <v>2502.0</v>
      </c>
      <c r="T2339" s="167"/>
      <c r="U2339" s="334" t="s">
        <v>7271</v>
      </c>
      <c r="V2339" s="168">
        <f t="shared" si="3"/>
        <v>4065.4172</v>
      </c>
      <c r="W2339" s="168">
        <f t="shared" si="4"/>
        <v>0</v>
      </c>
      <c r="X2339" s="168">
        <f t="shared" si="5"/>
        <v>0</v>
      </c>
      <c r="Y2339" s="168">
        <f t="shared" si="6"/>
        <v>0</v>
      </c>
      <c r="Z2339" s="168">
        <f t="shared" si="7"/>
        <v>0</v>
      </c>
      <c r="AA2339" s="168">
        <f t="shared" si="8"/>
        <v>0</v>
      </c>
      <c r="AB2339" s="168">
        <f t="shared" si="9"/>
        <v>0</v>
      </c>
    </row>
    <row r="2340" ht="15.0" customHeight="1">
      <c r="A2340" s="157" t="s">
        <v>9786</v>
      </c>
      <c r="B2340" s="169" t="s">
        <v>38</v>
      </c>
      <c r="C2340" s="169" t="s">
        <v>5413</v>
      </c>
      <c r="D2340" s="317">
        <v>45191.0</v>
      </c>
      <c r="E2340" s="157" t="s">
        <v>600</v>
      </c>
      <c r="F2340" s="160">
        <v>3930.26</v>
      </c>
      <c r="G2340" s="160">
        <f>'FACUS$'!$F2340*0.16</f>
        <v>628.8416</v>
      </c>
      <c r="H2340" s="160">
        <f t="shared" si="68"/>
        <v>4559.1016</v>
      </c>
      <c r="I2340" s="172"/>
      <c r="J2340" s="169"/>
      <c r="K2340" s="172"/>
      <c r="L2340" s="172">
        <f>+'FACUS$'!$H2340-'FACUS$'!$I2340-'FACUS$'!$K2340</f>
        <v>4559.1016</v>
      </c>
      <c r="M2340" s="162" t="s">
        <v>642</v>
      </c>
      <c r="N2340" s="337" t="s">
        <v>554</v>
      </c>
      <c r="O2340" s="338">
        <v>45238.0</v>
      </c>
      <c r="P2340" s="164">
        <f t="array" ref="P2340">XLOOKUP('FACUS$'!$B2340,'perfil de pagos'!$A$4:$A$46,'perfil de pagos'!$C$4:$C$46+'FACUS$'!$D2340)</f>
        <v>45221</v>
      </c>
      <c r="Q2340" s="165">
        <f t="shared" si="66"/>
        <v>0</v>
      </c>
      <c r="R2340" s="167"/>
      <c r="S2340" s="167">
        <v>2567.0</v>
      </c>
      <c r="T2340" s="167"/>
      <c r="U2340" s="334" t="s">
        <v>7271</v>
      </c>
      <c r="V2340" s="168">
        <f t="shared" si="3"/>
        <v>4559.1016</v>
      </c>
      <c r="W2340" s="168">
        <f t="shared" si="4"/>
        <v>0</v>
      </c>
      <c r="X2340" s="168">
        <f t="shared" si="5"/>
        <v>0</v>
      </c>
      <c r="Y2340" s="168">
        <f t="shared" si="6"/>
        <v>0</v>
      </c>
      <c r="Z2340" s="168">
        <f t="shared" si="7"/>
        <v>0</v>
      </c>
      <c r="AA2340" s="168">
        <f t="shared" si="8"/>
        <v>0</v>
      </c>
      <c r="AB2340" s="168">
        <f t="shared" si="9"/>
        <v>0</v>
      </c>
    </row>
    <row r="2341" ht="15.0" customHeight="1">
      <c r="A2341" s="157" t="s">
        <v>9787</v>
      </c>
      <c r="B2341" s="169" t="s">
        <v>38</v>
      </c>
      <c r="C2341" s="169" t="s">
        <v>5413</v>
      </c>
      <c r="D2341" s="317">
        <v>45191.0</v>
      </c>
      <c r="E2341" s="157" t="s">
        <v>600</v>
      </c>
      <c r="F2341" s="160">
        <v>8499.07</v>
      </c>
      <c r="G2341" s="160">
        <f>'FACUS$'!$F2341*0.16</f>
        <v>1359.8512</v>
      </c>
      <c r="H2341" s="160">
        <f t="shared" si="68"/>
        <v>9858.9212</v>
      </c>
      <c r="I2341" s="172"/>
      <c r="J2341" s="169"/>
      <c r="K2341" s="172"/>
      <c r="L2341" s="172">
        <f>+'FACUS$'!$H2341-'FACUS$'!$I2341-'FACUS$'!$K2341</f>
        <v>9858.9212</v>
      </c>
      <c r="M2341" s="162" t="s">
        <v>145</v>
      </c>
      <c r="N2341" s="337" t="s">
        <v>554</v>
      </c>
      <c r="O2341" s="338">
        <v>45238.0</v>
      </c>
      <c r="P2341" s="164">
        <f t="array" ref="P2341">XLOOKUP('FACUS$'!$B2341,'perfil de pagos'!$A$4:$A$46,'perfil de pagos'!$C$4:$C$46+'FACUS$'!$D2341)</f>
        <v>45221</v>
      </c>
      <c r="Q2341" s="165">
        <f t="shared" si="66"/>
        <v>0</v>
      </c>
      <c r="R2341" s="167"/>
      <c r="S2341" s="167">
        <v>2567.0</v>
      </c>
      <c r="T2341" s="167"/>
      <c r="U2341" s="334" t="s">
        <v>7271</v>
      </c>
      <c r="V2341" s="168">
        <f t="shared" si="3"/>
        <v>9858.9212</v>
      </c>
      <c r="W2341" s="168">
        <f t="shared" si="4"/>
        <v>0</v>
      </c>
      <c r="X2341" s="168">
        <f t="shared" si="5"/>
        <v>0</v>
      </c>
      <c r="Y2341" s="168">
        <f t="shared" si="6"/>
        <v>0</v>
      </c>
      <c r="Z2341" s="168">
        <f t="shared" si="7"/>
        <v>0</v>
      </c>
      <c r="AA2341" s="168">
        <f t="shared" si="8"/>
        <v>0</v>
      </c>
      <c r="AB2341" s="168">
        <f t="shared" si="9"/>
        <v>0</v>
      </c>
    </row>
    <row r="2342" ht="15.0" customHeight="1">
      <c r="A2342" s="157" t="s">
        <v>9788</v>
      </c>
      <c r="B2342" s="169" t="s">
        <v>31</v>
      </c>
      <c r="C2342" s="169" t="s">
        <v>9789</v>
      </c>
      <c r="D2342" s="317">
        <v>45196.0</v>
      </c>
      <c r="E2342" s="157" t="s">
        <v>600</v>
      </c>
      <c r="F2342" s="160">
        <v>6170.1</v>
      </c>
      <c r="G2342" s="160">
        <f>'FACUS$'!$F2342*0.16</f>
        <v>987.216</v>
      </c>
      <c r="H2342" s="160">
        <f t="shared" si="68"/>
        <v>7157.316</v>
      </c>
      <c r="I2342" s="172"/>
      <c r="J2342" s="169"/>
      <c r="K2342" s="172"/>
      <c r="L2342" s="172">
        <f>+'FACUS$'!$H2342-'FACUS$'!$I2342-'FACUS$'!$K2342</f>
        <v>7157.316</v>
      </c>
      <c r="M2342" s="162" t="s">
        <v>3183</v>
      </c>
      <c r="N2342" s="337" t="s">
        <v>554</v>
      </c>
      <c r="O2342" s="338">
        <v>45191.0</v>
      </c>
      <c r="P2342" s="164">
        <f t="array" ref="P2342">XLOOKUP('FACUS$'!$B2342,'perfil de pagos'!$A$4:$A$46,'perfil de pagos'!$C$4:$C$46+'FACUS$'!$D2342)</f>
        <v>45199</v>
      </c>
      <c r="Q2342" s="165">
        <f t="shared" si="66"/>
        <v>0</v>
      </c>
      <c r="R2342" s="167"/>
      <c r="S2342" s="167"/>
      <c r="T2342" s="167"/>
      <c r="U2342" s="334" t="s">
        <v>7271</v>
      </c>
      <c r="V2342" s="168">
        <f t="shared" si="3"/>
        <v>7157.316</v>
      </c>
      <c r="W2342" s="168">
        <f t="shared" si="4"/>
        <v>0</v>
      </c>
      <c r="X2342" s="168">
        <f t="shared" si="5"/>
        <v>0</v>
      </c>
      <c r="Y2342" s="168">
        <f t="shared" si="6"/>
        <v>0</v>
      </c>
      <c r="Z2342" s="168">
        <f t="shared" si="7"/>
        <v>0</v>
      </c>
      <c r="AA2342" s="168">
        <f t="shared" si="8"/>
        <v>0</v>
      </c>
      <c r="AB2342" s="168">
        <f t="shared" si="9"/>
        <v>0</v>
      </c>
    </row>
    <row r="2343" ht="15.0" customHeight="1">
      <c r="A2343" s="157" t="s">
        <v>9790</v>
      </c>
      <c r="B2343" s="169" t="s">
        <v>35</v>
      </c>
      <c r="C2343" s="169" t="s">
        <v>9791</v>
      </c>
      <c r="D2343" s="317">
        <v>45201.0</v>
      </c>
      <c r="E2343" s="157" t="s">
        <v>600</v>
      </c>
      <c r="F2343" s="160">
        <v>15028.0</v>
      </c>
      <c r="G2343" s="160">
        <f>'FACUS$'!$F2343*0.16</f>
        <v>2404.48</v>
      </c>
      <c r="H2343" s="160">
        <f t="shared" si="68"/>
        <v>17432.48</v>
      </c>
      <c r="I2343" s="172">
        <v>8716.24</v>
      </c>
      <c r="J2343" s="169"/>
      <c r="K2343" s="172"/>
      <c r="L2343" s="172">
        <f>+'FACUS$'!$H2343-'FACUS$'!$I2343-'FACUS$'!$K2343</f>
        <v>8716.24</v>
      </c>
      <c r="M2343" s="162" t="s">
        <v>276</v>
      </c>
      <c r="N2343" s="337" t="s">
        <v>554</v>
      </c>
      <c r="O2343" s="338">
        <v>45282.0</v>
      </c>
      <c r="P2343" s="164">
        <f t="array" ref="P2343">XLOOKUP('FACUS$'!$B2343,'perfil de pagos'!$A$4:$A$46,'perfil de pagos'!$C$4:$C$46+'FACUS$'!$D2343)</f>
        <v>45211</v>
      </c>
      <c r="Q2343" s="165">
        <f t="shared" si="66"/>
        <v>0</v>
      </c>
      <c r="R2343" s="220" t="s">
        <v>9792</v>
      </c>
      <c r="S2343" s="167" t="s">
        <v>9793</v>
      </c>
      <c r="T2343" s="167"/>
      <c r="U2343" s="334" t="s">
        <v>7271</v>
      </c>
      <c r="V2343" s="168">
        <f t="shared" si="3"/>
        <v>8716.24</v>
      </c>
      <c r="W2343" s="168">
        <f t="shared" si="4"/>
        <v>0</v>
      </c>
      <c r="X2343" s="168">
        <f t="shared" si="5"/>
        <v>0</v>
      </c>
      <c r="Y2343" s="168">
        <f t="shared" si="6"/>
        <v>0</v>
      </c>
      <c r="Z2343" s="168">
        <f t="shared" si="7"/>
        <v>0</v>
      </c>
      <c r="AA2343" s="168">
        <f t="shared" si="8"/>
        <v>0</v>
      </c>
      <c r="AB2343" s="168">
        <f t="shared" si="9"/>
        <v>0</v>
      </c>
    </row>
    <row r="2344" ht="15.0" customHeight="1">
      <c r="A2344" s="157" t="s">
        <v>9794</v>
      </c>
      <c r="B2344" s="169" t="s">
        <v>15</v>
      </c>
      <c r="C2344" s="169" t="s">
        <v>9795</v>
      </c>
      <c r="D2344" s="317">
        <v>45204.0</v>
      </c>
      <c r="E2344" s="157" t="s">
        <v>600</v>
      </c>
      <c r="F2344" s="160">
        <v>33951.11</v>
      </c>
      <c r="G2344" s="160">
        <f>'FACUS$'!$F2344*0.16</f>
        <v>5432.1776</v>
      </c>
      <c r="H2344" s="160">
        <f t="shared" si="68"/>
        <v>39383.2876</v>
      </c>
      <c r="I2344" s="172"/>
      <c r="J2344" s="169"/>
      <c r="K2344" s="172"/>
      <c r="L2344" s="172">
        <f>+'FACUS$'!$H2344-'FACUS$'!$I2344-'FACUS$'!$K2344</f>
        <v>39383.2876</v>
      </c>
      <c r="M2344" s="162" t="s">
        <v>443</v>
      </c>
      <c r="N2344" s="337" t="s">
        <v>554</v>
      </c>
      <c r="O2344" s="338">
        <v>45225.0</v>
      </c>
      <c r="P2344" s="164">
        <f t="array" ref="P2344">XLOOKUP('FACUS$'!$B2344,'perfil de pagos'!$A$4:$A$46,'perfil de pagos'!$C$4:$C$46+'FACUS$'!$D2344)</f>
        <v>45214</v>
      </c>
      <c r="Q2344" s="165">
        <f t="shared" si="66"/>
        <v>0</v>
      </c>
      <c r="R2344" s="167"/>
      <c r="S2344" s="167">
        <v>2528.0</v>
      </c>
      <c r="T2344" s="167"/>
      <c r="U2344" s="334" t="s">
        <v>7271</v>
      </c>
      <c r="V2344" s="168">
        <f t="shared" si="3"/>
        <v>39383.2876</v>
      </c>
      <c r="W2344" s="168">
        <f t="shared" si="4"/>
        <v>0</v>
      </c>
      <c r="X2344" s="168">
        <f t="shared" si="5"/>
        <v>0</v>
      </c>
      <c r="Y2344" s="168">
        <f t="shared" si="6"/>
        <v>0</v>
      </c>
      <c r="Z2344" s="168">
        <f t="shared" si="7"/>
        <v>0</v>
      </c>
      <c r="AA2344" s="168">
        <f t="shared" si="8"/>
        <v>0</v>
      </c>
      <c r="AB2344" s="168">
        <f t="shared" si="9"/>
        <v>0</v>
      </c>
    </row>
    <row r="2345" ht="15.0" customHeight="1">
      <c r="A2345" s="157" t="s">
        <v>9796</v>
      </c>
      <c r="B2345" s="169" t="s">
        <v>17</v>
      </c>
      <c r="C2345" s="169" t="s">
        <v>5463</v>
      </c>
      <c r="D2345" s="317">
        <v>45204.0</v>
      </c>
      <c r="E2345" s="157" t="s">
        <v>600</v>
      </c>
      <c r="F2345" s="160">
        <v>5260.36</v>
      </c>
      <c r="G2345" s="160">
        <f>'FACUS$'!$F2345*0.16</f>
        <v>841.6576</v>
      </c>
      <c r="H2345" s="160">
        <f t="shared" si="68"/>
        <v>6102.0176</v>
      </c>
      <c r="I2345" s="172"/>
      <c r="J2345" s="169">
        <f>+'NCUS$'!A74</f>
        <v>341</v>
      </c>
      <c r="K2345" s="172">
        <f>+'NCUS$'!H74</f>
        <v>333.8944</v>
      </c>
      <c r="L2345" s="172">
        <f>+'FACUS$'!$H2345-'FACUS$'!$I2345-'FACUS$'!$K2345</f>
        <v>5768.1232</v>
      </c>
      <c r="M2345" s="162" t="s">
        <v>17</v>
      </c>
      <c r="N2345" s="337" t="s">
        <v>554</v>
      </c>
      <c r="O2345" s="338">
        <v>45233.0</v>
      </c>
      <c r="P2345" s="164">
        <f t="array" ref="P2345">XLOOKUP('FACUS$'!$B2345,'perfil de pagos'!$A$4:$A$46,'perfil de pagos'!$C$4:$C$46+'FACUS$'!$D2345)</f>
        <v>45214</v>
      </c>
      <c r="Q2345" s="165">
        <f t="shared" si="66"/>
        <v>0</v>
      </c>
      <c r="R2345" s="167"/>
      <c r="S2345" s="167">
        <v>2558.0</v>
      </c>
      <c r="T2345" s="167"/>
      <c r="U2345" s="334" t="s">
        <v>7271</v>
      </c>
      <c r="V2345" s="168">
        <f t="shared" si="3"/>
        <v>5768.1232</v>
      </c>
      <c r="W2345" s="168">
        <f t="shared" si="4"/>
        <v>0</v>
      </c>
      <c r="X2345" s="168">
        <f t="shared" si="5"/>
        <v>0</v>
      </c>
      <c r="Y2345" s="168">
        <f t="shared" si="6"/>
        <v>0</v>
      </c>
      <c r="Z2345" s="168">
        <f t="shared" si="7"/>
        <v>0</v>
      </c>
      <c r="AA2345" s="168">
        <f t="shared" si="8"/>
        <v>0</v>
      </c>
      <c r="AB2345" s="168">
        <f t="shared" si="9"/>
        <v>0</v>
      </c>
    </row>
    <row r="2346" ht="15.0" customHeight="1">
      <c r="A2346" s="157" t="s">
        <v>9797</v>
      </c>
      <c r="B2346" s="169" t="s">
        <v>17</v>
      </c>
      <c r="C2346" s="169" t="s">
        <v>9795</v>
      </c>
      <c r="D2346" s="317">
        <v>45204.0</v>
      </c>
      <c r="E2346" s="157" t="s">
        <v>600</v>
      </c>
      <c r="F2346" s="160">
        <v>6911.39</v>
      </c>
      <c r="G2346" s="160">
        <f>'FACUS$'!$F2346*0.16</f>
        <v>1105.8224</v>
      </c>
      <c r="H2346" s="160">
        <f t="shared" si="68"/>
        <v>8017.2124</v>
      </c>
      <c r="I2346" s="172"/>
      <c r="J2346" s="169"/>
      <c r="K2346" s="172"/>
      <c r="L2346" s="172">
        <f>+'FACUS$'!$H2346-'FACUS$'!$I2346-'FACUS$'!$K2346</f>
        <v>8017.2124</v>
      </c>
      <c r="M2346" s="162" t="s">
        <v>17</v>
      </c>
      <c r="N2346" s="337" t="s">
        <v>554</v>
      </c>
      <c r="O2346" s="338">
        <v>45233.0</v>
      </c>
      <c r="P2346" s="164">
        <f t="array" ref="P2346">XLOOKUP('FACUS$'!$B2346,'perfil de pagos'!$A$4:$A$46,'perfil de pagos'!$C$4:$C$46+'FACUS$'!$D2346)</f>
        <v>45214</v>
      </c>
      <c r="Q2346" s="165">
        <f t="shared" si="66"/>
        <v>0</v>
      </c>
      <c r="R2346" s="167"/>
      <c r="S2346" s="167">
        <v>2558.0</v>
      </c>
      <c r="T2346" s="167"/>
      <c r="U2346" s="334" t="s">
        <v>7271</v>
      </c>
      <c r="V2346" s="168">
        <f t="shared" si="3"/>
        <v>8017.2124</v>
      </c>
      <c r="W2346" s="168">
        <f t="shared" si="4"/>
        <v>0</v>
      </c>
      <c r="X2346" s="168">
        <f t="shared" si="5"/>
        <v>0</v>
      </c>
      <c r="Y2346" s="168">
        <f t="shared" si="6"/>
        <v>0</v>
      </c>
      <c r="Z2346" s="168">
        <f t="shared" si="7"/>
        <v>0</v>
      </c>
      <c r="AA2346" s="168">
        <f t="shared" si="8"/>
        <v>0</v>
      </c>
      <c r="AB2346" s="168">
        <f t="shared" si="9"/>
        <v>0</v>
      </c>
    </row>
    <row r="2347" ht="15.0" customHeight="1">
      <c r="A2347" s="157" t="s">
        <v>9798</v>
      </c>
      <c r="B2347" s="169" t="s">
        <v>34</v>
      </c>
      <c r="C2347" s="169" t="s">
        <v>5463</v>
      </c>
      <c r="D2347" s="317">
        <v>45204.0</v>
      </c>
      <c r="E2347" s="157" t="s">
        <v>600</v>
      </c>
      <c r="F2347" s="160">
        <v>9140.12</v>
      </c>
      <c r="G2347" s="160">
        <f>'FACUS$'!$F2347*0.16</f>
        <v>1462.4192</v>
      </c>
      <c r="H2347" s="160">
        <f t="shared" si="68"/>
        <v>10602.5392</v>
      </c>
      <c r="I2347" s="172"/>
      <c r="J2347" s="169"/>
      <c r="K2347" s="172"/>
      <c r="L2347" s="172">
        <f>+'FACUS$'!$H2347-'FACUS$'!$I2347-'FACUS$'!$K2347</f>
        <v>10602.5392</v>
      </c>
      <c r="M2347" s="162" t="s">
        <v>538</v>
      </c>
      <c r="N2347" s="337" t="s">
        <v>554</v>
      </c>
      <c r="O2347" s="338">
        <v>45233.0</v>
      </c>
      <c r="P2347" s="164">
        <f t="array" ref="P2347">XLOOKUP('FACUS$'!$B2347,'perfil de pagos'!$A$4:$A$46,'perfil de pagos'!$C$4:$C$46+'FACUS$'!$D2347)</f>
        <v>45214</v>
      </c>
      <c r="Q2347" s="165">
        <f t="shared" si="66"/>
        <v>0</v>
      </c>
      <c r="R2347" s="167"/>
      <c r="S2347" s="167">
        <v>2557.0</v>
      </c>
      <c r="T2347" s="167"/>
      <c r="U2347" s="334" t="s">
        <v>7271</v>
      </c>
      <c r="V2347" s="168">
        <f t="shared" si="3"/>
        <v>10602.5392</v>
      </c>
      <c r="W2347" s="168">
        <f t="shared" si="4"/>
        <v>0</v>
      </c>
      <c r="X2347" s="168">
        <f t="shared" si="5"/>
        <v>0</v>
      </c>
      <c r="Y2347" s="168">
        <f t="shared" si="6"/>
        <v>0</v>
      </c>
      <c r="Z2347" s="168">
        <f t="shared" si="7"/>
        <v>0</v>
      </c>
      <c r="AA2347" s="168">
        <f t="shared" si="8"/>
        <v>0</v>
      </c>
      <c r="AB2347" s="168">
        <f t="shared" si="9"/>
        <v>0</v>
      </c>
    </row>
    <row r="2348" ht="15.0" customHeight="1">
      <c r="A2348" s="157" t="s">
        <v>9799</v>
      </c>
      <c r="B2348" s="169" t="s">
        <v>34</v>
      </c>
      <c r="C2348" s="169" t="s">
        <v>9795</v>
      </c>
      <c r="D2348" s="317">
        <v>45204.0</v>
      </c>
      <c r="E2348" s="157" t="s">
        <v>600</v>
      </c>
      <c r="F2348" s="160">
        <v>9641.62</v>
      </c>
      <c r="G2348" s="160">
        <f>'FACUS$'!$F2348*0.16</f>
        <v>1542.6592</v>
      </c>
      <c r="H2348" s="160">
        <f t="shared" si="68"/>
        <v>11184.2792</v>
      </c>
      <c r="I2348" s="172"/>
      <c r="J2348" s="169"/>
      <c r="K2348" s="172"/>
      <c r="L2348" s="172">
        <f>+'FACUS$'!$H2348-'FACUS$'!$I2348-'FACUS$'!$K2348</f>
        <v>11184.2792</v>
      </c>
      <c r="M2348" s="162" t="s">
        <v>538</v>
      </c>
      <c r="N2348" s="337" t="s">
        <v>554</v>
      </c>
      <c r="O2348" s="338">
        <v>45233.0</v>
      </c>
      <c r="P2348" s="164">
        <f t="array" ref="P2348">XLOOKUP('FACUS$'!$B2348,'perfil de pagos'!$A$4:$A$46,'perfil de pagos'!$C$4:$C$46+'FACUS$'!$D2348)</f>
        <v>45214</v>
      </c>
      <c r="Q2348" s="165">
        <f t="shared" si="66"/>
        <v>0</v>
      </c>
      <c r="R2348" s="167"/>
      <c r="S2348" s="167">
        <v>2557.0</v>
      </c>
      <c r="T2348" s="167"/>
      <c r="U2348" s="334" t="s">
        <v>7271</v>
      </c>
      <c r="V2348" s="168">
        <f t="shared" si="3"/>
        <v>11184.2792</v>
      </c>
      <c r="W2348" s="168">
        <f t="shared" si="4"/>
        <v>0</v>
      </c>
      <c r="X2348" s="168">
        <f t="shared" si="5"/>
        <v>0</v>
      </c>
      <c r="Y2348" s="168">
        <f t="shared" si="6"/>
        <v>0</v>
      </c>
      <c r="Z2348" s="168">
        <f t="shared" si="7"/>
        <v>0</v>
      </c>
      <c r="AA2348" s="168">
        <f t="shared" si="8"/>
        <v>0</v>
      </c>
      <c r="AB2348" s="168">
        <f t="shared" si="9"/>
        <v>0</v>
      </c>
    </row>
    <row r="2349" ht="15.0" customHeight="1">
      <c r="A2349" s="157" t="s">
        <v>9800</v>
      </c>
      <c r="B2349" s="169" t="s">
        <v>35</v>
      </c>
      <c r="C2349" s="169" t="s">
        <v>9795</v>
      </c>
      <c r="D2349" s="317">
        <v>45204.0</v>
      </c>
      <c r="E2349" s="157" t="s">
        <v>600</v>
      </c>
      <c r="F2349" s="160">
        <v>3530.76</v>
      </c>
      <c r="G2349" s="160">
        <f>'FACUS$'!$F2349*0.16</f>
        <v>564.9216</v>
      </c>
      <c r="H2349" s="160">
        <f t="shared" si="68"/>
        <v>4095.6816</v>
      </c>
      <c r="I2349" s="172"/>
      <c r="J2349" s="169"/>
      <c r="K2349" s="172"/>
      <c r="L2349" s="172">
        <f>+'FACUS$'!$H2349-'FACUS$'!$I2349-'FACUS$'!$K2349</f>
        <v>4095.6816</v>
      </c>
      <c r="M2349" s="162" t="s">
        <v>276</v>
      </c>
      <c r="N2349" s="337" t="s">
        <v>554</v>
      </c>
      <c r="O2349" s="338">
        <v>45219.0</v>
      </c>
      <c r="P2349" s="164">
        <f t="array" ref="P2349">XLOOKUP('FACUS$'!$B2349,'perfil de pagos'!$A$4:$A$46,'perfil de pagos'!$C$4:$C$46+'FACUS$'!$D2349)</f>
        <v>45214</v>
      </c>
      <c r="Q2349" s="165">
        <f t="shared" si="66"/>
        <v>0</v>
      </c>
      <c r="R2349" s="167"/>
      <c r="S2349" s="167">
        <v>2519.0</v>
      </c>
      <c r="T2349" s="167"/>
      <c r="U2349" s="334" t="s">
        <v>7271</v>
      </c>
      <c r="V2349" s="168">
        <f t="shared" si="3"/>
        <v>4095.6816</v>
      </c>
      <c r="W2349" s="168">
        <f t="shared" si="4"/>
        <v>0</v>
      </c>
      <c r="X2349" s="168">
        <f t="shared" si="5"/>
        <v>0</v>
      </c>
      <c r="Y2349" s="168">
        <f t="shared" si="6"/>
        <v>0</v>
      </c>
      <c r="Z2349" s="168">
        <f t="shared" si="7"/>
        <v>0</v>
      </c>
      <c r="AA2349" s="168">
        <f t="shared" si="8"/>
        <v>0</v>
      </c>
      <c r="AB2349" s="168">
        <f t="shared" si="9"/>
        <v>0</v>
      </c>
    </row>
    <row r="2350" ht="15.0" customHeight="1">
      <c r="A2350" s="157" t="s">
        <v>9801</v>
      </c>
      <c r="B2350" s="169" t="s">
        <v>41</v>
      </c>
      <c r="C2350" s="169" t="s">
        <v>9795</v>
      </c>
      <c r="D2350" s="317">
        <v>45204.0</v>
      </c>
      <c r="E2350" s="157" t="s">
        <v>600</v>
      </c>
      <c r="F2350" s="160">
        <v>23423.94</v>
      </c>
      <c r="G2350" s="160">
        <f>'FACUS$'!$F2350*0.16</f>
        <v>3747.8304</v>
      </c>
      <c r="H2350" s="160">
        <f t="shared" si="68"/>
        <v>27171.7704</v>
      </c>
      <c r="I2350" s="172"/>
      <c r="J2350" s="169"/>
      <c r="K2350" s="172"/>
      <c r="L2350" s="172">
        <f>+'FACUS$'!$H2350-'FACUS$'!$I2350-'FACUS$'!$K2350</f>
        <v>27171.7704</v>
      </c>
      <c r="M2350" s="162" t="s">
        <v>875</v>
      </c>
      <c r="N2350" s="337" t="s">
        <v>554</v>
      </c>
      <c r="O2350" s="338">
        <v>45231.0</v>
      </c>
      <c r="P2350" s="164">
        <f t="array" ref="P2350">XLOOKUP('FACUS$'!$B2350,'perfil de pagos'!$A$4:$A$46,'perfil de pagos'!$C$4:$C$46+'FACUS$'!$D2350)</f>
        <v>45214</v>
      </c>
      <c r="Q2350" s="165">
        <f t="shared" si="66"/>
        <v>0</v>
      </c>
      <c r="R2350" s="167"/>
      <c r="S2350" s="167">
        <v>2552.0</v>
      </c>
      <c r="T2350" s="167"/>
      <c r="U2350" s="334" t="s">
        <v>7271</v>
      </c>
      <c r="V2350" s="168">
        <f t="shared" si="3"/>
        <v>27171.7704</v>
      </c>
      <c r="W2350" s="168">
        <f t="shared" si="4"/>
        <v>0</v>
      </c>
      <c r="X2350" s="168">
        <f t="shared" si="5"/>
        <v>0</v>
      </c>
      <c r="Y2350" s="168">
        <f t="shared" si="6"/>
        <v>0</v>
      </c>
      <c r="Z2350" s="168">
        <f t="shared" si="7"/>
        <v>0</v>
      </c>
      <c r="AA2350" s="168">
        <f t="shared" si="8"/>
        <v>0</v>
      </c>
      <c r="AB2350" s="168">
        <f t="shared" si="9"/>
        <v>0</v>
      </c>
    </row>
    <row r="2351" ht="15.0" customHeight="1">
      <c r="A2351" s="157" t="s">
        <v>9802</v>
      </c>
      <c r="B2351" s="169" t="s">
        <v>42</v>
      </c>
      <c r="C2351" s="169" t="s">
        <v>9795</v>
      </c>
      <c r="D2351" s="317">
        <v>45204.0</v>
      </c>
      <c r="E2351" s="157" t="s">
        <v>600</v>
      </c>
      <c r="F2351" s="160">
        <v>23423.94</v>
      </c>
      <c r="G2351" s="160">
        <f>'FACUS$'!$F2351*0.16</f>
        <v>3747.8304</v>
      </c>
      <c r="H2351" s="160">
        <f t="shared" si="68"/>
        <v>27171.7704</v>
      </c>
      <c r="I2351" s="172"/>
      <c r="J2351" s="169"/>
      <c r="K2351" s="172"/>
      <c r="L2351" s="172">
        <f>+'FACUS$'!$H2351-'FACUS$'!$I2351-'FACUS$'!$K2351</f>
        <v>27171.7704</v>
      </c>
      <c r="M2351" s="162" t="s">
        <v>42</v>
      </c>
      <c r="N2351" s="337" t="s">
        <v>127</v>
      </c>
      <c r="O2351" s="338"/>
      <c r="P2351" s="164">
        <f t="array" ref="P2351">XLOOKUP('FACUS$'!$B2351,'perfil de pagos'!$A$4:$A$46,'perfil de pagos'!$C$4:$C$46+'FACUS$'!$D2351)</f>
        <v>45214</v>
      </c>
      <c r="Q2351" s="165" t="str">
        <f t="shared" si="66"/>
        <v>N/A</v>
      </c>
      <c r="R2351" s="167" t="s">
        <v>5470</v>
      </c>
      <c r="S2351" s="167"/>
      <c r="T2351" s="167"/>
      <c r="U2351" s="334" t="s">
        <v>7271</v>
      </c>
      <c r="V2351" s="168">
        <f t="shared" si="3"/>
        <v>0</v>
      </c>
      <c r="W2351" s="168">
        <f t="shared" si="4"/>
        <v>0</v>
      </c>
      <c r="X2351" s="168">
        <f t="shared" si="5"/>
        <v>0</v>
      </c>
      <c r="Y2351" s="168">
        <f t="shared" si="6"/>
        <v>0</v>
      </c>
      <c r="Z2351" s="168">
        <f t="shared" si="7"/>
        <v>0</v>
      </c>
      <c r="AA2351" s="168">
        <f t="shared" si="8"/>
        <v>0</v>
      </c>
      <c r="AB2351" s="168">
        <f t="shared" si="9"/>
        <v>27171.7704</v>
      </c>
    </row>
    <row r="2352" ht="15.0" customHeight="1">
      <c r="A2352" s="157" t="s">
        <v>9803</v>
      </c>
      <c r="B2352" s="169" t="s">
        <v>44</v>
      </c>
      <c r="C2352" s="169" t="s">
        <v>9795</v>
      </c>
      <c r="D2352" s="317">
        <v>45204.0</v>
      </c>
      <c r="E2352" s="157" t="s">
        <v>600</v>
      </c>
      <c r="F2352" s="160">
        <v>19595.85</v>
      </c>
      <c r="G2352" s="160">
        <f>'FACUS$'!$F2352*0.16</f>
        <v>3135.336</v>
      </c>
      <c r="H2352" s="160">
        <f t="shared" si="68"/>
        <v>22731.186</v>
      </c>
      <c r="I2352" s="172"/>
      <c r="J2352" s="169"/>
      <c r="K2352" s="172"/>
      <c r="L2352" s="172">
        <f>+'FACUS$'!$H2352-'FACUS$'!$I2352-'FACUS$'!$K2352</f>
        <v>22731.186</v>
      </c>
      <c r="M2352" s="162" t="s">
        <v>361</v>
      </c>
      <c r="N2352" s="337" t="s">
        <v>554</v>
      </c>
      <c r="O2352" s="338">
        <v>45219.0</v>
      </c>
      <c r="P2352" s="164">
        <f t="array" ref="P2352">XLOOKUP('FACUS$'!$B2352,'perfil de pagos'!$A$4:$A$46,'perfil de pagos'!$C$4:$C$46+'FACUS$'!$D2352)</f>
        <v>45214</v>
      </c>
      <c r="Q2352" s="165">
        <f t="shared" si="66"/>
        <v>0</v>
      </c>
      <c r="R2352" s="167"/>
      <c r="S2352" s="167">
        <v>2522.0</v>
      </c>
      <c r="T2352" s="167"/>
      <c r="U2352" s="334" t="s">
        <v>7271</v>
      </c>
      <c r="V2352" s="168">
        <f t="shared" si="3"/>
        <v>22731.186</v>
      </c>
      <c r="W2352" s="168">
        <f t="shared" si="4"/>
        <v>0</v>
      </c>
      <c r="X2352" s="168">
        <f t="shared" si="5"/>
        <v>0</v>
      </c>
      <c r="Y2352" s="168">
        <f t="shared" si="6"/>
        <v>0</v>
      </c>
      <c r="Z2352" s="168">
        <f t="shared" si="7"/>
        <v>0</v>
      </c>
      <c r="AA2352" s="168">
        <f t="shared" si="8"/>
        <v>0</v>
      </c>
      <c r="AB2352" s="168">
        <f t="shared" si="9"/>
        <v>0</v>
      </c>
    </row>
    <row r="2353" ht="15.0" customHeight="1">
      <c r="A2353" s="157" t="s">
        <v>9804</v>
      </c>
      <c r="B2353" s="169" t="s">
        <v>38</v>
      </c>
      <c r="C2353" s="169" t="s">
        <v>9795</v>
      </c>
      <c r="D2353" s="317">
        <v>45204.0</v>
      </c>
      <c r="E2353" s="157" t="s">
        <v>600</v>
      </c>
      <c r="F2353" s="160">
        <v>5025.57</v>
      </c>
      <c r="G2353" s="160">
        <f>'FACUS$'!$F2353*0.16</f>
        <v>804.0912</v>
      </c>
      <c r="H2353" s="160">
        <f t="shared" si="68"/>
        <v>5829.6612</v>
      </c>
      <c r="I2353" s="172"/>
      <c r="J2353" s="169"/>
      <c r="K2353" s="172"/>
      <c r="L2353" s="172">
        <f>+'FACUS$'!$H2353-'FACUS$'!$I2353-'FACUS$'!$K2353</f>
        <v>5829.6612</v>
      </c>
      <c r="M2353" s="162" t="s">
        <v>4654</v>
      </c>
      <c r="N2353" s="337" t="s">
        <v>554</v>
      </c>
      <c r="O2353" s="338">
        <v>45230.0</v>
      </c>
      <c r="P2353" s="164">
        <f t="array" ref="P2353">XLOOKUP('FACUS$'!$B2353,'perfil de pagos'!$A$4:$A$46,'perfil de pagos'!$C$4:$C$46+'FACUS$'!$D2353)</f>
        <v>45234</v>
      </c>
      <c r="Q2353" s="165">
        <f t="shared" si="66"/>
        <v>0</v>
      </c>
      <c r="R2353" s="220" t="s">
        <v>9765</v>
      </c>
      <c r="S2353" s="167">
        <v>2560.0</v>
      </c>
      <c r="T2353" s="167"/>
      <c r="U2353" s="334" t="s">
        <v>7271</v>
      </c>
      <c r="V2353" s="168">
        <f t="shared" si="3"/>
        <v>5829.6612</v>
      </c>
      <c r="W2353" s="168">
        <f t="shared" si="4"/>
        <v>0</v>
      </c>
      <c r="X2353" s="168">
        <f t="shared" si="5"/>
        <v>0</v>
      </c>
      <c r="Y2353" s="168">
        <f t="shared" si="6"/>
        <v>0</v>
      </c>
      <c r="Z2353" s="168">
        <f t="shared" si="7"/>
        <v>0</v>
      </c>
      <c r="AA2353" s="168">
        <f t="shared" si="8"/>
        <v>0</v>
      </c>
      <c r="AB2353" s="168">
        <f t="shared" si="9"/>
        <v>0</v>
      </c>
    </row>
    <row r="2354" ht="15.0" customHeight="1">
      <c r="A2354" s="157" t="s">
        <v>9805</v>
      </c>
      <c r="B2354" s="169" t="s">
        <v>31</v>
      </c>
      <c r="C2354" s="169" t="s">
        <v>9806</v>
      </c>
      <c r="D2354" s="317">
        <v>45204.0</v>
      </c>
      <c r="E2354" s="157" t="s">
        <v>600</v>
      </c>
      <c r="F2354" s="160">
        <v>4627.58</v>
      </c>
      <c r="G2354" s="160">
        <f>'FACUS$'!$F2354*0.16</f>
        <v>740.4128</v>
      </c>
      <c r="H2354" s="160">
        <f t="shared" si="68"/>
        <v>5367.9928</v>
      </c>
      <c r="I2354" s="172"/>
      <c r="J2354" s="169"/>
      <c r="K2354" s="172"/>
      <c r="L2354" s="172">
        <f>+'FACUS$'!$H2354-'FACUS$'!$I2354-'FACUS$'!$K2354</f>
        <v>5367.9928</v>
      </c>
      <c r="M2354" s="162" t="s">
        <v>3183</v>
      </c>
      <c r="N2354" s="337" t="s">
        <v>554</v>
      </c>
      <c r="O2354" s="338">
        <v>45198.0</v>
      </c>
      <c r="P2354" s="164">
        <f t="array" ref="P2354">XLOOKUP('FACUS$'!$B2354,'perfil de pagos'!$A$4:$A$46,'perfil de pagos'!$C$4:$C$46+'FACUS$'!$D2354)</f>
        <v>45207</v>
      </c>
      <c r="Q2354" s="165">
        <f t="shared" si="66"/>
        <v>0</v>
      </c>
      <c r="R2354" s="167"/>
      <c r="S2354" s="167">
        <v>2544.0</v>
      </c>
      <c r="T2354" s="167"/>
      <c r="U2354" s="334" t="s">
        <v>7271</v>
      </c>
      <c r="V2354" s="168">
        <f t="shared" si="3"/>
        <v>5367.9928</v>
      </c>
      <c r="W2354" s="168">
        <f t="shared" si="4"/>
        <v>0</v>
      </c>
      <c r="X2354" s="168">
        <f t="shared" si="5"/>
        <v>0</v>
      </c>
      <c r="Y2354" s="168">
        <f t="shared" si="6"/>
        <v>0</v>
      </c>
      <c r="Z2354" s="168">
        <f t="shared" si="7"/>
        <v>0</v>
      </c>
      <c r="AA2354" s="168">
        <f t="shared" si="8"/>
        <v>0</v>
      </c>
      <c r="AB2354" s="168">
        <f t="shared" si="9"/>
        <v>0</v>
      </c>
    </row>
    <row r="2355" ht="15.0" customHeight="1">
      <c r="A2355" s="157" t="s">
        <v>9807</v>
      </c>
      <c r="B2355" s="169" t="s">
        <v>42</v>
      </c>
      <c r="C2355" s="169" t="s">
        <v>9795</v>
      </c>
      <c r="D2355" s="317">
        <v>45204.0</v>
      </c>
      <c r="E2355" s="157" t="s">
        <v>600</v>
      </c>
      <c r="F2355" s="160">
        <v>8340.09</v>
      </c>
      <c r="G2355" s="160">
        <f>'FACUS$'!$F2355*0.16</f>
        <v>1334.4144</v>
      </c>
      <c r="H2355" s="160">
        <f t="shared" si="68"/>
        <v>9674.5044</v>
      </c>
      <c r="I2355" s="172"/>
      <c r="J2355" s="169"/>
      <c r="K2355" s="172"/>
      <c r="L2355" s="172">
        <f>+'FACUS$'!$H2355-'FACUS$'!$I2355-'FACUS$'!$K2355</f>
        <v>9674.5044</v>
      </c>
      <c r="M2355" s="162" t="s">
        <v>42</v>
      </c>
      <c r="N2355" s="337" t="s">
        <v>554</v>
      </c>
      <c r="O2355" s="338">
        <v>45212.0</v>
      </c>
      <c r="P2355" s="164">
        <f t="array" ref="P2355">XLOOKUP('FACUS$'!$B2355,'perfil de pagos'!$A$4:$A$46,'perfil de pagos'!$C$4:$C$46+'FACUS$'!$D2355)</f>
        <v>45214</v>
      </c>
      <c r="Q2355" s="165">
        <f t="shared" si="66"/>
        <v>0</v>
      </c>
      <c r="R2355" s="167"/>
      <c r="S2355" s="167">
        <v>2503.0</v>
      </c>
      <c r="T2355" s="167"/>
      <c r="U2355" s="334" t="s">
        <v>7271</v>
      </c>
      <c r="V2355" s="168">
        <f t="shared" si="3"/>
        <v>9674.5044</v>
      </c>
      <c r="W2355" s="168">
        <f t="shared" si="4"/>
        <v>0</v>
      </c>
      <c r="X2355" s="168">
        <f t="shared" si="5"/>
        <v>0</v>
      </c>
      <c r="Y2355" s="168">
        <f t="shared" si="6"/>
        <v>0</v>
      </c>
      <c r="Z2355" s="168">
        <f t="shared" si="7"/>
        <v>0</v>
      </c>
      <c r="AA2355" s="168">
        <f t="shared" si="8"/>
        <v>0</v>
      </c>
      <c r="AB2355" s="168">
        <f t="shared" si="9"/>
        <v>0</v>
      </c>
    </row>
    <row r="2356" ht="15.0" customHeight="1">
      <c r="A2356" s="157" t="s">
        <v>9808</v>
      </c>
      <c r="B2356" s="169" t="s">
        <v>18</v>
      </c>
      <c r="C2356" s="169" t="s">
        <v>9795</v>
      </c>
      <c r="D2356" s="317">
        <v>45205.0</v>
      </c>
      <c r="E2356" s="157" t="s">
        <v>600</v>
      </c>
      <c r="F2356" s="160">
        <v>4480.52</v>
      </c>
      <c r="G2356" s="160">
        <f>'FACUS$'!$F2356*0.16</f>
        <v>716.8832</v>
      </c>
      <c r="H2356" s="160">
        <f t="shared" si="68"/>
        <v>5197.4032</v>
      </c>
      <c r="I2356" s="172"/>
      <c r="J2356" s="169"/>
      <c r="K2356" s="172"/>
      <c r="L2356" s="172">
        <f>+'FACUS$'!$H2356-'FACUS$'!$I2356-'FACUS$'!$K2356</f>
        <v>5197.4032</v>
      </c>
      <c r="M2356" s="162" t="s">
        <v>586</v>
      </c>
      <c r="N2356" s="337" t="s">
        <v>554</v>
      </c>
      <c r="O2356" s="338">
        <v>45233.0</v>
      </c>
      <c r="P2356" s="164">
        <f t="array" ref="P2356">XLOOKUP('FACUS$'!$B2356,'perfil de pagos'!$A$4:$A$46,'perfil de pagos'!$C$4:$C$46+'FACUS$'!$D2356)</f>
        <v>45215</v>
      </c>
      <c r="Q2356" s="165">
        <f t="shared" si="66"/>
        <v>0</v>
      </c>
      <c r="R2356" s="167"/>
      <c r="S2356" s="167">
        <v>2555.0</v>
      </c>
      <c r="T2356" s="167"/>
      <c r="U2356" s="334" t="s">
        <v>7271</v>
      </c>
      <c r="V2356" s="168">
        <f t="shared" si="3"/>
        <v>5197.4032</v>
      </c>
      <c r="W2356" s="168">
        <f t="shared" si="4"/>
        <v>0</v>
      </c>
      <c r="X2356" s="168">
        <f t="shared" si="5"/>
        <v>0</v>
      </c>
      <c r="Y2356" s="168">
        <f t="shared" si="6"/>
        <v>0</v>
      </c>
      <c r="Z2356" s="168">
        <f t="shared" si="7"/>
        <v>0</v>
      </c>
      <c r="AA2356" s="168">
        <f t="shared" si="8"/>
        <v>0</v>
      </c>
      <c r="AB2356" s="168">
        <f t="shared" si="9"/>
        <v>0</v>
      </c>
    </row>
    <row r="2357" ht="15.0" customHeight="1">
      <c r="A2357" s="157" t="s">
        <v>9809</v>
      </c>
      <c r="B2357" s="169" t="s">
        <v>20</v>
      </c>
      <c r="C2357" s="169" t="s">
        <v>9795</v>
      </c>
      <c r="D2357" s="317">
        <v>45205.0</v>
      </c>
      <c r="E2357" s="157" t="s">
        <v>600</v>
      </c>
      <c r="F2357" s="160">
        <v>6718.0</v>
      </c>
      <c r="G2357" s="160">
        <f>'FACUS$'!$F2357*0.16</f>
        <v>1074.88</v>
      </c>
      <c r="H2357" s="160">
        <f t="shared" si="68"/>
        <v>7792.88</v>
      </c>
      <c r="I2357" s="172"/>
      <c r="J2357" s="169"/>
      <c r="K2357" s="172"/>
      <c r="L2357" s="172">
        <f>+'FACUS$'!$H2357-'FACUS$'!$I2357-'FACUS$'!$K2357</f>
        <v>7792.88</v>
      </c>
      <c r="M2357" s="162" t="s">
        <v>732</v>
      </c>
      <c r="N2357" s="337" t="s">
        <v>554</v>
      </c>
      <c r="O2357" s="338">
        <v>45233.0</v>
      </c>
      <c r="P2357" s="164">
        <f t="array" ref="P2357">XLOOKUP('FACUS$'!$B2357,'perfil de pagos'!$A$4:$A$46,'perfil de pagos'!$C$4:$C$46+'FACUS$'!$D2357)</f>
        <v>45215</v>
      </c>
      <c r="Q2357" s="165">
        <f t="shared" si="66"/>
        <v>0</v>
      </c>
      <c r="R2357" s="167"/>
      <c r="S2357" s="167">
        <v>2555.0</v>
      </c>
      <c r="T2357" s="167"/>
      <c r="U2357" s="334" t="s">
        <v>7271</v>
      </c>
      <c r="V2357" s="168">
        <f t="shared" si="3"/>
        <v>7792.88</v>
      </c>
      <c r="W2357" s="168">
        <f t="shared" si="4"/>
        <v>0</v>
      </c>
      <c r="X2357" s="168">
        <f t="shared" si="5"/>
        <v>0</v>
      </c>
      <c r="Y2357" s="168">
        <f t="shared" si="6"/>
        <v>0</v>
      </c>
      <c r="Z2357" s="168">
        <f t="shared" si="7"/>
        <v>0</v>
      </c>
      <c r="AA2357" s="168">
        <f t="shared" si="8"/>
        <v>0</v>
      </c>
      <c r="AB2357" s="168">
        <f t="shared" si="9"/>
        <v>0</v>
      </c>
    </row>
    <row r="2358" ht="15.0" customHeight="1">
      <c r="A2358" s="157" t="s">
        <v>9810</v>
      </c>
      <c r="B2358" s="169" t="s">
        <v>22</v>
      </c>
      <c r="C2358" s="169" t="s">
        <v>9795</v>
      </c>
      <c r="D2358" s="317">
        <v>45205.0</v>
      </c>
      <c r="E2358" s="157" t="s">
        <v>600</v>
      </c>
      <c r="F2358" s="160">
        <v>13093.0</v>
      </c>
      <c r="G2358" s="160">
        <f>'FACUS$'!$F2358*0.16</f>
        <v>2094.88</v>
      </c>
      <c r="H2358" s="160">
        <f t="shared" si="68"/>
        <v>15187.88</v>
      </c>
      <c r="I2358" s="172">
        <v>10682.5</v>
      </c>
      <c r="J2358" s="169"/>
      <c r="K2358" s="172"/>
      <c r="L2358" s="172">
        <f>+'FACUS$'!$H2358-'FACUS$'!$I2358-'FACUS$'!$K2358</f>
        <v>4505.38</v>
      </c>
      <c r="M2358" s="162" t="s">
        <v>220</v>
      </c>
      <c r="N2358" s="337" t="s">
        <v>554</v>
      </c>
      <c r="O2358" s="338">
        <v>45268.0</v>
      </c>
      <c r="P2358" s="164">
        <f t="array" ref="P2358">XLOOKUP('FACUS$'!$B2358,'perfil de pagos'!$A$4:$A$46,'perfil de pagos'!$C$4:$C$46+'FACUS$'!$D2358)</f>
        <v>45215</v>
      </c>
      <c r="Q2358" s="165">
        <f t="shared" si="66"/>
        <v>0</v>
      </c>
      <c r="R2358" s="220" t="s">
        <v>9811</v>
      </c>
      <c r="S2358" s="167" t="s">
        <v>9812</v>
      </c>
      <c r="T2358" s="167"/>
      <c r="U2358" s="334" t="s">
        <v>7271</v>
      </c>
      <c r="V2358" s="168">
        <f t="shared" si="3"/>
        <v>4505.38</v>
      </c>
      <c r="W2358" s="168">
        <f t="shared" si="4"/>
        <v>0</v>
      </c>
      <c r="X2358" s="168">
        <f t="shared" si="5"/>
        <v>0</v>
      </c>
      <c r="Y2358" s="168">
        <f t="shared" si="6"/>
        <v>0</v>
      </c>
      <c r="Z2358" s="168">
        <f t="shared" si="7"/>
        <v>0</v>
      </c>
      <c r="AA2358" s="168">
        <f t="shared" si="8"/>
        <v>0</v>
      </c>
      <c r="AB2358" s="168">
        <f t="shared" si="9"/>
        <v>0</v>
      </c>
    </row>
    <row r="2359" ht="15.0" customHeight="1">
      <c r="A2359" s="157" t="s">
        <v>9813</v>
      </c>
      <c r="B2359" s="169" t="s">
        <v>25</v>
      </c>
      <c r="C2359" s="169" t="s">
        <v>9795</v>
      </c>
      <c r="D2359" s="317">
        <v>45205.0</v>
      </c>
      <c r="E2359" s="157" t="s">
        <v>600</v>
      </c>
      <c r="F2359" s="160">
        <v>3537.59</v>
      </c>
      <c r="G2359" s="160">
        <f>'FACUS$'!$F2359*0.16</f>
        <v>566.0144</v>
      </c>
      <c r="H2359" s="160">
        <f t="shared" si="68"/>
        <v>4103.6044</v>
      </c>
      <c r="I2359" s="172"/>
      <c r="J2359" s="169"/>
      <c r="K2359" s="172"/>
      <c r="L2359" s="172">
        <f>+'FACUS$'!$H2359-'FACUS$'!$I2359-'FACUS$'!$K2359</f>
        <v>4103.6044</v>
      </c>
      <c r="M2359" s="162" t="s">
        <v>4388</v>
      </c>
      <c r="N2359" s="337" t="s">
        <v>554</v>
      </c>
      <c r="O2359" s="338">
        <v>45286.0</v>
      </c>
      <c r="P2359" s="164">
        <f t="array" ref="P2359">XLOOKUP('FACUS$'!$B2359,'perfil de pagos'!$A$4:$A$46,'perfil de pagos'!$C$4:$C$46+'FACUS$'!$D2359)</f>
        <v>45215</v>
      </c>
      <c r="Q2359" s="165">
        <f t="shared" si="66"/>
        <v>0</v>
      </c>
      <c r="R2359" s="167"/>
      <c r="S2359" s="167">
        <v>2700.0</v>
      </c>
      <c r="T2359" s="167"/>
      <c r="U2359" s="334" t="s">
        <v>7271</v>
      </c>
      <c r="V2359" s="168">
        <f t="shared" si="3"/>
        <v>4103.6044</v>
      </c>
      <c r="W2359" s="168">
        <f t="shared" si="4"/>
        <v>0</v>
      </c>
      <c r="X2359" s="168">
        <f t="shared" si="5"/>
        <v>0</v>
      </c>
      <c r="Y2359" s="168">
        <f t="shared" si="6"/>
        <v>0</v>
      </c>
      <c r="Z2359" s="168">
        <f t="shared" si="7"/>
        <v>0</v>
      </c>
      <c r="AA2359" s="168">
        <f t="shared" si="8"/>
        <v>0</v>
      </c>
      <c r="AB2359" s="168">
        <f t="shared" si="9"/>
        <v>0</v>
      </c>
    </row>
    <row r="2360" ht="15.0" customHeight="1">
      <c r="A2360" s="157" t="s">
        <v>9814</v>
      </c>
      <c r="B2360" s="169" t="s">
        <v>37</v>
      </c>
      <c r="C2360" s="169" t="s">
        <v>9795</v>
      </c>
      <c r="D2360" s="317">
        <v>45205.0</v>
      </c>
      <c r="E2360" s="157" t="s">
        <v>600</v>
      </c>
      <c r="F2360" s="160">
        <v>97714.88</v>
      </c>
      <c r="G2360" s="160">
        <f>'FACUS$'!$F2360*0.16</f>
        <v>15634.3808</v>
      </c>
      <c r="H2360" s="160">
        <f t="shared" si="68"/>
        <v>113349.2608</v>
      </c>
      <c r="I2360" s="172"/>
      <c r="J2360" s="169"/>
      <c r="K2360" s="172"/>
      <c r="L2360" s="172">
        <f>+'FACUS$'!$H2360-'FACUS$'!$I2360-'FACUS$'!$K2360</f>
        <v>113349.2608</v>
      </c>
      <c r="M2360" s="162" t="s">
        <v>116</v>
      </c>
      <c r="N2360" s="337" t="s">
        <v>554</v>
      </c>
      <c r="O2360" s="338">
        <v>45215.0</v>
      </c>
      <c r="P2360" s="164">
        <f t="array" ref="P2360">XLOOKUP('FACUS$'!$B2360,'perfil de pagos'!$A$4:$A$46,'perfil de pagos'!$C$4:$C$46+'FACUS$'!$D2360)</f>
        <v>45215</v>
      </c>
      <c r="Q2360" s="165">
        <f t="shared" si="66"/>
        <v>0</v>
      </c>
      <c r="R2360" s="167"/>
      <c r="S2360" s="167"/>
      <c r="T2360" s="167"/>
      <c r="U2360" s="334" t="s">
        <v>7271</v>
      </c>
      <c r="V2360" s="168">
        <f t="shared" si="3"/>
        <v>113349.2608</v>
      </c>
      <c r="W2360" s="168">
        <f t="shared" si="4"/>
        <v>0</v>
      </c>
      <c r="X2360" s="168">
        <f t="shared" si="5"/>
        <v>0</v>
      </c>
      <c r="Y2360" s="168">
        <f t="shared" si="6"/>
        <v>0</v>
      </c>
      <c r="Z2360" s="168">
        <f t="shared" si="7"/>
        <v>0</v>
      </c>
      <c r="AA2360" s="168">
        <f t="shared" si="8"/>
        <v>0</v>
      </c>
      <c r="AB2360" s="168">
        <f t="shared" si="9"/>
        <v>0</v>
      </c>
    </row>
    <row r="2361" ht="15.0" customHeight="1">
      <c r="A2361" s="157" t="s">
        <v>9815</v>
      </c>
      <c r="B2361" s="169" t="s">
        <v>38</v>
      </c>
      <c r="C2361" s="169" t="s">
        <v>9795</v>
      </c>
      <c r="D2361" s="317">
        <v>45209.0</v>
      </c>
      <c r="E2361" s="157" t="s">
        <v>600</v>
      </c>
      <c r="F2361" s="160">
        <v>10389.41</v>
      </c>
      <c r="G2361" s="160">
        <f>'FACUS$'!$F2361*0.16</f>
        <v>1662.3056</v>
      </c>
      <c r="H2361" s="160">
        <f t="shared" si="68"/>
        <v>12051.7156</v>
      </c>
      <c r="I2361" s="172"/>
      <c r="J2361" s="169"/>
      <c r="K2361" s="172"/>
      <c r="L2361" s="172">
        <f>+'FACUS$'!$H2361-'FACUS$'!$I2361-'FACUS$'!$K2361</f>
        <v>12051.7156</v>
      </c>
      <c r="M2361" s="162" t="s">
        <v>145</v>
      </c>
      <c r="N2361" s="337" t="s">
        <v>554</v>
      </c>
      <c r="O2361" s="338">
        <v>45252.0</v>
      </c>
      <c r="P2361" s="164">
        <f t="array" ref="P2361">XLOOKUP('FACUS$'!$B2361,'perfil de pagos'!$A$4:$A$46,'perfil de pagos'!$C$4:$C$46+'FACUS$'!$D2361)</f>
        <v>45239</v>
      </c>
      <c r="Q2361" s="165">
        <f t="shared" si="66"/>
        <v>0</v>
      </c>
      <c r="R2361" s="167"/>
      <c r="S2361" s="167">
        <v>2601.0</v>
      </c>
      <c r="T2361" s="167"/>
      <c r="U2361" s="334" t="s">
        <v>7271</v>
      </c>
      <c r="V2361" s="168">
        <f t="shared" si="3"/>
        <v>12051.7156</v>
      </c>
      <c r="W2361" s="168">
        <f t="shared" si="4"/>
        <v>0</v>
      </c>
      <c r="X2361" s="168">
        <f t="shared" si="5"/>
        <v>0</v>
      </c>
      <c r="Y2361" s="168">
        <f t="shared" si="6"/>
        <v>0</v>
      </c>
      <c r="Z2361" s="168">
        <f t="shared" si="7"/>
        <v>0</v>
      </c>
      <c r="AA2361" s="168">
        <f t="shared" si="8"/>
        <v>0</v>
      </c>
      <c r="AB2361" s="168">
        <f t="shared" si="9"/>
        <v>0</v>
      </c>
    </row>
    <row r="2362" ht="15.0" customHeight="1">
      <c r="A2362" s="157" t="s">
        <v>9816</v>
      </c>
      <c r="B2362" s="169" t="s">
        <v>38</v>
      </c>
      <c r="C2362" s="169" t="s">
        <v>9795</v>
      </c>
      <c r="D2362" s="317">
        <v>45209.0</v>
      </c>
      <c r="E2362" s="157" t="s">
        <v>600</v>
      </c>
      <c r="F2362" s="160">
        <v>3369.19</v>
      </c>
      <c r="G2362" s="160">
        <f>'FACUS$'!$F2362*0.16</f>
        <v>539.0704</v>
      </c>
      <c r="H2362" s="160">
        <f t="shared" si="68"/>
        <v>3908.2604</v>
      </c>
      <c r="I2362" s="172"/>
      <c r="J2362" s="169"/>
      <c r="K2362" s="172"/>
      <c r="L2362" s="172">
        <f>+'FACUS$'!$H2362-'FACUS$'!$I2362-'FACUS$'!$K2362</f>
        <v>3908.2604</v>
      </c>
      <c r="M2362" s="162" t="s">
        <v>642</v>
      </c>
      <c r="N2362" s="337" t="s">
        <v>554</v>
      </c>
      <c r="O2362" s="338">
        <v>45252.0</v>
      </c>
      <c r="P2362" s="164">
        <f t="array" ref="P2362">XLOOKUP('FACUS$'!$B2362,'perfil de pagos'!$A$4:$A$46,'perfil de pagos'!$C$4:$C$46+'FACUS$'!$D2362)</f>
        <v>45239</v>
      </c>
      <c r="Q2362" s="165">
        <f t="shared" si="66"/>
        <v>0</v>
      </c>
      <c r="R2362" s="167"/>
      <c r="S2362" s="167">
        <v>2603.0</v>
      </c>
      <c r="T2362" s="167"/>
      <c r="U2362" s="334" t="s">
        <v>7271</v>
      </c>
      <c r="V2362" s="168">
        <f t="shared" si="3"/>
        <v>3908.2604</v>
      </c>
      <c r="W2362" s="168">
        <f t="shared" si="4"/>
        <v>0</v>
      </c>
      <c r="X2362" s="168">
        <f t="shared" si="5"/>
        <v>0</v>
      </c>
      <c r="Y2362" s="168">
        <f t="shared" si="6"/>
        <v>0</v>
      </c>
      <c r="Z2362" s="168">
        <f t="shared" si="7"/>
        <v>0</v>
      </c>
      <c r="AA2362" s="168">
        <f t="shared" si="8"/>
        <v>0</v>
      </c>
      <c r="AB2362" s="168">
        <f t="shared" si="9"/>
        <v>0</v>
      </c>
    </row>
    <row r="2363" ht="15.0" customHeight="1">
      <c r="A2363" s="157" t="s">
        <v>9817</v>
      </c>
      <c r="B2363" s="169" t="s">
        <v>31</v>
      </c>
      <c r="C2363" s="169" t="s">
        <v>9818</v>
      </c>
      <c r="D2363" s="317">
        <v>45209.0</v>
      </c>
      <c r="E2363" s="157" t="s">
        <v>600</v>
      </c>
      <c r="F2363" s="160">
        <v>4627.58</v>
      </c>
      <c r="G2363" s="160">
        <f>'FACUS$'!$F2363*0.16</f>
        <v>740.4128</v>
      </c>
      <c r="H2363" s="160">
        <f t="shared" si="68"/>
        <v>5367.9928</v>
      </c>
      <c r="I2363" s="172"/>
      <c r="J2363" s="169"/>
      <c r="K2363" s="172"/>
      <c r="L2363" s="172">
        <f>+'FACUS$'!$H2363-'FACUS$'!$I2363-'FACUS$'!$K2363</f>
        <v>5367.9928</v>
      </c>
      <c r="M2363" s="162" t="s">
        <v>3183</v>
      </c>
      <c r="N2363" s="337" t="s">
        <v>554</v>
      </c>
      <c r="O2363" s="338">
        <v>45206.0</v>
      </c>
      <c r="P2363" s="164">
        <f t="array" ref="P2363">XLOOKUP('FACUS$'!$B2363,'perfil de pagos'!$A$4:$A$46,'perfil de pagos'!$C$4:$C$46+'FACUS$'!$D2363)</f>
        <v>45212</v>
      </c>
      <c r="Q2363" s="165">
        <f t="shared" si="66"/>
        <v>0</v>
      </c>
      <c r="R2363" s="167"/>
      <c r="S2363" s="167"/>
      <c r="T2363" s="167"/>
      <c r="U2363" s="334" t="s">
        <v>7271</v>
      </c>
      <c r="V2363" s="168">
        <f t="shared" si="3"/>
        <v>5367.9928</v>
      </c>
      <c r="W2363" s="168">
        <f t="shared" si="4"/>
        <v>0</v>
      </c>
      <c r="X2363" s="168">
        <f t="shared" si="5"/>
        <v>0</v>
      </c>
      <c r="Y2363" s="168">
        <f t="shared" si="6"/>
        <v>0</v>
      </c>
      <c r="Z2363" s="168">
        <f t="shared" si="7"/>
        <v>0</v>
      </c>
      <c r="AA2363" s="168">
        <f t="shared" si="8"/>
        <v>0</v>
      </c>
      <c r="AB2363" s="168">
        <f t="shared" si="9"/>
        <v>0</v>
      </c>
    </row>
    <row r="2364" ht="15.0" customHeight="1">
      <c r="A2364" s="157" t="s">
        <v>9819</v>
      </c>
      <c r="B2364" s="169" t="s">
        <v>15</v>
      </c>
      <c r="C2364" s="169" t="s">
        <v>5516</v>
      </c>
      <c r="D2364" s="317">
        <v>45216.0</v>
      </c>
      <c r="E2364" s="157" t="s">
        <v>600</v>
      </c>
      <c r="F2364" s="160">
        <v>34311.14</v>
      </c>
      <c r="G2364" s="160">
        <f>'FACUS$'!$F2364*0.16</f>
        <v>5489.7824</v>
      </c>
      <c r="H2364" s="160">
        <f t="shared" si="68"/>
        <v>39800.9224</v>
      </c>
      <c r="I2364" s="172"/>
      <c r="J2364" s="169"/>
      <c r="K2364" s="172"/>
      <c r="L2364" s="172">
        <f>+'FACUS$'!$H2364-'FACUS$'!$I2364-'FACUS$'!$K2364</f>
        <v>39800.9224</v>
      </c>
      <c r="M2364" s="162" t="s">
        <v>443</v>
      </c>
      <c r="N2364" s="337" t="s">
        <v>554</v>
      </c>
      <c r="O2364" s="338">
        <v>45239.0</v>
      </c>
      <c r="P2364" s="164">
        <f t="array" ref="P2364">XLOOKUP('FACUS$'!$B2364,'perfil de pagos'!$A$4:$A$46,'perfil de pagos'!$C$4:$C$46+'FACUS$'!$D2364)</f>
        <v>45226</v>
      </c>
      <c r="Q2364" s="165">
        <f t="shared" si="66"/>
        <v>0</v>
      </c>
      <c r="R2364" s="167"/>
      <c r="S2364" s="167">
        <v>2577.0</v>
      </c>
      <c r="T2364" s="167"/>
      <c r="U2364" s="334" t="s">
        <v>7271</v>
      </c>
      <c r="V2364" s="168">
        <f t="shared" si="3"/>
        <v>39800.9224</v>
      </c>
      <c r="W2364" s="168">
        <f t="shared" si="4"/>
        <v>0</v>
      </c>
      <c r="X2364" s="168">
        <f t="shared" si="5"/>
        <v>0</v>
      </c>
      <c r="Y2364" s="168">
        <f t="shared" si="6"/>
        <v>0</v>
      </c>
      <c r="Z2364" s="168">
        <f t="shared" si="7"/>
        <v>0</v>
      </c>
      <c r="AA2364" s="168">
        <f t="shared" si="8"/>
        <v>0</v>
      </c>
      <c r="AB2364" s="168">
        <f t="shared" si="9"/>
        <v>0</v>
      </c>
    </row>
    <row r="2365" ht="15.0" customHeight="1">
      <c r="A2365" s="157" t="s">
        <v>9820</v>
      </c>
      <c r="B2365" s="169" t="s">
        <v>32</v>
      </c>
      <c r="C2365" s="169" t="s">
        <v>5516</v>
      </c>
      <c r="D2365" s="317">
        <v>45216.0</v>
      </c>
      <c r="E2365" s="157" t="s">
        <v>600</v>
      </c>
      <c r="F2365" s="160">
        <v>3030.47</v>
      </c>
      <c r="G2365" s="160">
        <f>'FACUS$'!$F2365*0.16</f>
        <v>484.8752</v>
      </c>
      <c r="H2365" s="160">
        <f t="shared" si="68"/>
        <v>3515.3452</v>
      </c>
      <c r="I2365" s="172"/>
      <c r="J2365" s="169"/>
      <c r="K2365" s="172"/>
      <c r="L2365" s="172">
        <f>+'FACUS$'!$H2365-'FACUS$'!$I2365-'FACUS$'!$K2365</f>
        <v>3515.3452</v>
      </c>
      <c r="M2365" s="162" t="s">
        <v>395</v>
      </c>
      <c r="N2365" s="337" t="s">
        <v>554</v>
      </c>
      <c r="O2365" s="338">
        <v>45219.0</v>
      </c>
      <c r="P2365" s="164">
        <f t="array" ref="P2365">XLOOKUP('FACUS$'!$B2365,'perfil de pagos'!$A$4:$A$46,'perfil de pagos'!$C$4:$C$46+'FACUS$'!$D2365)</f>
        <v>45226</v>
      </c>
      <c r="Q2365" s="165">
        <f t="shared" si="66"/>
        <v>0</v>
      </c>
      <c r="R2365" s="167"/>
      <c r="S2365" s="167">
        <v>2520.0</v>
      </c>
      <c r="T2365" s="167"/>
      <c r="U2365" s="334" t="s">
        <v>7271</v>
      </c>
      <c r="V2365" s="168">
        <f t="shared" si="3"/>
        <v>3515.3452</v>
      </c>
      <c r="W2365" s="168">
        <f t="shared" si="4"/>
        <v>0</v>
      </c>
      <c r="X2365" s="168">
        <f t="shared" si="5"/>
        <v>0</v>
      </c>
      <c r="Y2365" s="168">
        <f t="shared" si="6"/>
        <v>0</v>
      </c>
      <c r="Z2365" s="168">
        <f t="shared" si="7"/>
        <v>0</v>
      </c>
      <c r="AA2365" s="168">
        <f t="shared" si="8"/>
        <v>0</v>
      </c>
      <c r="AB2365" s="168">
        <f t="shared" si="9"/>
        <v>0</v>
      </c>
    </row>
    <row r="2366" ht="15.0" customHeight="1">
      <c r="A2366" s="157" t="s">
        <v>9821</v>
      </c>
      <c r="B2366" s="169" t="s">
        <v>41</v>
      </c>
      <c r="C2366" s="169" t="s">
        <v>5516</v>
      </c>
      <c r="D2366" s="317">
        <v>45216.0</v>
      </c>
      <c r="E2366" s="157" t="s">
        <v>600</v>
      </c>
      <c r="F2366" s="160">
        <v>41398.11</v>
      </c>
      <c r="G2366" s="160">
        <f>'FACUS$'!$F2366*0.16</f>
        <v>6623.6976</v>
      </c>
      <c r="H2366" s="160">
        <f t="shared" si="68"/>
        <v>48021.8076</v>
      </c>
      <c r="I2366" s="172"/>
      <c r="J2366" s="169"/>
      <c r="K2366" s="172"/>
      <c r="L2366" s="172">
        <f>+'FACUS$'!$H2366-'FACUS$'!$I2366-'FACUS$'!$K2366</f>
        <v>48021.8076</v>
      </c>
      <c r="M2366" s="162" t="s">
        <v>875</v>
      </c>
      <c r="N2366" s="337" t="s">
        <v>554</v>
      </c>
      <c r="O2366" s="338">
        <v>45268.0</v>
      </c>
      <c r="P2366" s="164">
        <f t="array" ref="P2366">XLOOKUP('FACUS$'!$B2366,'perfil de pagos'!$A$4:$A$46,'perfil de pagos'!$C$4:$C$46+'FACUS$'!$D2366)</f>
        <v>45226</v>
      </c>
      <c r="Q2366" s="165">
        <f t="shared" si="66"/>
        <v>0</v>
      </c>
      <c r="R2366" s="167"/>
      <c r="S2366" s="167">
        <v>2653.0</v>
      </c>
      <c r="T2366" s="167"/>
      <c r="U2366" s="334" t="s">
        <v>7271</v>
      </c>
      <c r="V2366" s="168">
        <f t="shared" si="3"/>
        <v>48021.8076</v>
      </c>
      <c r="W2366" s="168">
        <f t="shared" si="4"/>
        <v>0</v>
      </c>
      <c r="X2366" s="168">
        <f t="shared" si="5"/>
        <v>0</v>
      </c>
      <c r="Y2366" s="168">
        <f t="shared" si="6"/>
        <v>0</v>
      </c>
      <c r="Z2366" s="168">
        <f t="shared" si="7"/>
        <v>0</v>
      </c>
      <c r="AA2366" s="168">
        <f t="shared" si="8"/>
        <v>0</v>
      </c>
      <c r="AB2366" s="168">
        <f t="shared" si="9"/>
        <v>0</v>
      </c>
    </row>
    <row r="2367" ht="15.0" customHeight="1">
      <c r="A2367" s="157" t="s">
        <v>9822</v>
      </c>
      <c r="B2367" s="169" t="s">
        <v>35</v>
      </c>
      <c r="C2367" s="169" t="s">
        <v>5516</v>
      </c>
      <c r="D2367" s="317">
        <v>45216.0</v>
      </c>
      <c r="E2367" s="157" t="s">
        <v>600</v>
      </c>
      <c r="F2367" s="160">
        <v>3822.85</v>
      </c>
      <c r="G2367" s="160">
        <f>'FACUS$'!$F2367*0.16</f>
        <v>611.656</v>
      </c>
      <c r="H2367" s="160">
        <f t="shared" si="68"/>
        <v>4434.506</v>
      </c>
      <c r="I2367" s="172"/>
      <c r="J2367" s="169"/>
      <c r="K2367" s="172"/>
      <c r="L2367" s="172">
        <f>+'FACUS$'!$H2367-'FACUS$'!$I2367-'FACUS$'!$K2367</f>
        <v>4434.506</v>
      </c>
      <c r="M2367" s="162" t="s">
        <v>276</v>
      </c>
      <c r="N2367" s="337" t="s">
        <v>554</v>
      </c>
      <c r="O2367" s="338">
        <v>45229.0</v>
      </c>
      <c r="P2367" s="164">
        <f t="array" ref="P2367">XLOOKUP('FACUS$'!$B2367,'perfil de pagos'!$A$4:$A$46,'perfil de pagos'!$C$4:$C$46+'FACUS$'!$D2367)</f>
        <v>45226</v>
      </c>
      <c r="Q2367" s="165">
        <f t="shared" si="66"/>
        <v>0</v>
      </c>
      <c r="R2367" s="167"/>
      <c r="S2367" s="167">
        <v>2539.0</v>
      </c>
      <c r="T2367" s="167"/>
      <c r="U2367" s="334" t="s">
        <v>7271</v>
      </c>
      <c r="V2367" s="168">
        <f t="shared" si="3"/>
        <v>4434.506</v>
      </c>
      <c r="W2367" s="168">
        <f t="shared" si="4"/>
        <v>0</v>
      </c>
      <c r="X2367" s="168">
        <f t="shared" si="5"/>
        <v>0</v>
      </c>
      <c r="Y2367" s="168">
        <f t="shared" si="6"/>
        <v>0</v>
      </c>
      <c r="Z2367" s="168">
        <f t="shared" si="7"/>
        <v>0</v>
      </c>
      <c r="AA2367" s="168">
        <f t="shared" si="8"/>
        <v>0</v>
      </c>
      <c r="AB2367" s="168">
        <f t="shared" si="9"/>
        <v>0</v>
      </c>
    </row>
    <row r="2368" ht="15.0" customHeight="1">
      <c r="A2368" s="157" t="s">
        <v>9823</v>
      </c>
      <c r="B2368" s="169" t="s">
        <v>17</v>
      </c>
      <c r="C2368" s="169" t="s">
        <v>5510</v>
      </c>
      <c r="D2368" s="317">
        <v>45216.0</v>
      </c>
      <c r="E2368" s="157" t="s">
        <v>600</v>
      </c>
      <c r="F2368" s="160">
        <v>9115.61</v>
      </c>
      <c r="G2368" s="160">
        <f>'FACUS$'!$F2368*0.16</f>
        <v>1458.4976</v>
      </c>
      <c r="H2368" s="160">
        <f t="shared" si="68"/>
        <v>10574.1076</v>
      </c>
      <c r="I2368" s="172"/>
      <c r="J2368" s="169"/>
      <c r="K2368" s="172"/>
      <c r="L2368" s="172">
        <f>+'FACUS$'!$H2368-'FACUS$'!$I2368-'FACUS$'!$K2368</f>
        <v>10574.1076</v>
      </c>
      <c r="M2368" s="162" t="s">
        <v>17</v>
      </c>
      <c r="N2368" s="337" t="s">
        <v>554</v>
      </c>
      <c r="O2368" s="338">
        <v>45233.0</v>
      </c>
      <c r="P2368" s="164">
        <f t="array" ref="P2368">XLOOKUP('FACUS$'!$B2368,'perfil de pagos'!$A$4:$A$46,'perfil de pagos'!$C$4:$C$46+'FACUS$'!$D2368)</f>
        <v>45226</v>
      </c>
      <c r="Q2368" s="165">
        <f t="shared" si="66"/>
        <v>0</v>
      </c>
      <c r="R2368" s="167"/>
      <c r="S2368" s="167">
        <v>2558.0</v>
      </c>
      <c r="T2368" s="167"/>
      <c r="U2368" s="334" t="s">
        <v>7271</v>
      </c>
      <c r="V2368" s="168">
        <f t="shared" si="3"/>
        <v>10574.1076</v>
      </c>
      <c r="W2368" s="168">
        <f t="shared" si="4"/>
        <v>0</v>
      </c>
      <c r="X2368" s="168">
        <f t="shared" si="5"/>
        <v>0</v>
      </c>
      <c r="Y2368" s="168">
        <f t="shared" si="6"/>
        <v>0</v>
      </c>
      <c r="Z2368" s="168">
        <f t="shared" si="7"/>
        <v>0</v>
      </c>
      <c r="AA2368" s="168">
        <f t="shared" si="8"/>
        <v>0</v>
      </c>
      <c r="AB2368" s="168">
        <f t="shared" si="9"/>
        <v>0</v>
      </c>
    </row>
    <row r="2369" ht="15.0" customHeight="1">
      <c r="A2369" s="157" t="s">
        <v>9824</v>
      </c>
      <c r="B2369" s="169" t="s">
        <v>17</v>
      </c>
      <c r="C2369" s="169" t="s">
        <v>5516</v>
      </c>
      <c r="D2369" s="317">
        <v>45216.0</v>
      </c>
      <c r="E2369" s="157" t="s">
        <v>600</v>
      </c>
      <c r="F2369" s="160">
        <v>12787.48</v>
      </c>
      <c r="G2369" s="160">
        <f>'FACUS$'!$F2369*0.16</f>
        <v>2045.9968</v>
      </c>
      <c r="H2369" s="160">
        <f t="shared" si="68"/>
        <v>14833.4768</v>
      </c>
      <c r="I2369" s="172"/>
      <c r="J2369" s="169"/>
      <c r="K2369" s="172"/>
      <c r="L2369" s="172">
        <f>+'FACUS$'!$H2369-'FACUS$'!$I2369-'FACUS$'!$K2369</f>
        <v>14833.4768</v>
      </c>
      <c r="M2369" s="162" t="s">
        <v>17</v>
      </c>
      <c r="N2369" s="337" t="s">
        <v>554</v>
      </c>
      <c r="O2369" s="338">
        <v>45233.0</v>
      </c>
      <c r="P2369" s="164">
        <f t="array" ref="P2369">XLOOKUP('FACUS$'!$B2369,'perfil de pagos'!$A$4:$A$46,'perfil de pagos'!$C$4:$C$46+'FACUS$'!$D2369)</f>
        <v>45226</v>
      </c>
      <c r="Q2369" s="165">
        <f t="shared" si="66"/>
        <v>0</v>
      </c>
      <c r="R2369" s="167"/>
      <c r="S2369" s="167">
        <v>2558.0</v>
      </c>
      <c r="T2369" s="167"/>
      <c r="U2369" s="334" t="s">
        <v>7271</v>
      </c>
      <c r="V2369" s="168">
        <f t="shared" si="3"/>
        <v>14833.4768</v>
      </c>
      <c r="W2369" s="168">
        <f t="shared" si="4"/>
        <v>0</v>
      </c>
      <c r="X2369" s="168">
        <f t="shared" si="5"/>
        <v>0</v>
      </c>
      <c r="Y2369" s="168">
        <f t="shared" si="6"/>
        <v>0</v>
      </c>
      <c r="Z2369" s="168">
        <f t="shared" si="7"/>
        <v>0</v>
      </c>
      <c r="AA2369" s="168">
        <f t="shared" si="8"/>
        <v>0</v>
      </c>
      <c r="AB2369" s="168">
        <f t="shared" si="9"/>
        <v>0</v>
      </c>
    </row>
    <row r="2370" ht="15.0" customHeight="1">
      <c r="A2370" s="157" t="s">
        <v>9825</v>
      </c>
      <c r="B2370" s="169" t="s">
        <v>38</v>
      </c>
      <c r="C2370" s="169" t="s">
        <v>5516</v>
      </c>
      <c r="D2370" s="317">
        <v>45216.0</v>
      </c>
      <c r="E2370" s="157" t="s">
        <v>600</v>
      </c>
      <c r="F2370" s="160">
        <v>5219.53</v>
      </c>
      <c r="G2370" s="160">
        <f>'FACUS$'!$F2370*0.16</f>
        <v>835.1248</v>
      </c>
      <c r="H2370" s="160">
        <f t="shared" si="68"/>
        <v>6054.6548</v>
      </c>
      <c r="I2370" s="172"/>
      <c r="J2370" s="169"/>
      <c r="K2370" s="172"/>
      <c r="L2370" s="172">
        <f>+'FACUS$'!$H2370-'FACUS$'!$I2370-'FACUS$'!$K2370</f>
        <v>6054.6548</v>
      </c>
      <c r="M2370" s="162" t="s">
        <v>4654</v>
      </c>
      <c r="N2370" s="337" t="s">
        <v>554</v>
      </c>
      <c r="O2370" s="338">
        <v>45266.0</v>
      </c>
      <c r="P2370" s="164">
        <f t="array" ref="P2370">XLOOKUP('FACUS$'!$B2370,'perfil de pagos'!$A$4:$A$46,'perfil de pagos'!$C$4:$C$46+'FACUS$'!$D2370)</f>
        <v>45246</v>
      </c>
      <c r="Q2370" s="165">
        <f t="shared" si="66"/>
        <v>0</v>
      </c>
      <c r="R2370" s="167"/>
      <c r="S2370" s="167">
        <v>2637.0</v>
      </c>
      <c r="T2370" s="167"/>
      <c r="U2370" s="334" t="s">
        <v>7271</v>
      </c>
      <c r="V2370" s="168">
        <f t="shared" si="3"/>
        <v>6054.6548</v>
      </c>
      <c r="W2370" s="168">
        <f t="shared" si="4"/>
        <v>0</v>
      </c>
      <c r="X2370" s="168">
        <f t="shared" si="5"/>
        <v>0</v>
      </c>
      <c r="Y2370" s="168">
        <f t="shared" si="6"/>
        <v>0</v>
      </c>
      <c r="Z2370" s="168">
        <f t="shared" si="7"/>
        <v>0</v>
      </c>
      <c r="AA2370" s="168">
        <f t="shared" si="8"/>
        <v>0</v>
      </c>
      <c r="AB2370" s="168">
        <f t="shared" si="9"/>
        <v>0</v>
      </c>
    </row>
    <row r="2371" ht="15.0" customHeight="1">
      <c r="A2371" s="157" t="s">
        <v>9826</v>
      </c>
      <c r="B2371" s="169" t="s">
        <v>44</v>
      </c>
      <c r="C2371" s="169" t="s">
        <v>5516</v>
      </c>
      <c r="D2371" s="317">
        <v>45217.0</v>
      </c>
      <c r="E2371" s="157" t="s">
        <v>600</v>
      </c>
      <c r="F2371" s="160">
        <v>18797.18</v>
      </c>
      <c r="G2371" s="160">
        <f>'FACUS$'!$F2371*0.16</f>
        <v>3007.5488</v>
      </c>
      <c r="H2371" s="160">
        <f t="shared" si="68"/>
        <v>21804.7288</v>
      </c>
      <c r="I2371" s="172"/>
      <c r="J2371" s="169"/>
      <c r="K2371" s="172"/>
      <c r="L2371" s="172">
        <f>+'FACUS$'!$H2371-'FACUS$'!$I2371-'FACUS$'!$K2371</f>
        <v>21804.7288</v>
      </c>
      <c r="M2371" s="162" t="s">
        <v>361</v>
      </c>
      <c r="N2371" s="337" t="s">
        <v>554</v>
      </c>
      <c r="O2371" s="338">
        <v>45226.0</v>
      </c>
      <c r="P2371" s="164">
        <f t="array" ref="P2371">XLOOKUP('FACUS$'!$B2371,'perfil de pagos'!$A$4:$A$46,'perfil de pagos'!$C$4:$C$46+'FACUS$'!$D2371)</f>
        <v>45227</v>
      </c>
      <c r="Q2371" s="165">
        <f t="shared" si="66"/>
        <v>0</v>
      </c>
      <c r="R2371" s="167"/>
      <c r="S2371" s="167">
        <v>2538.0</v>
      </c>
      <c r="T2371" s="167"/>
      <c r="U2371" s="334" t="s">
        <v>7271</v>
      </c>
      <c r="V2371" s="168">
        <f t="shared" si="3"/>
        <v>21804.7288</v>
      </c>
      <c r="W2371" s="168">
        <f t="shared" si="4"/>
        <v>0</v>
      </c>
      <c r="X2371" s="168">
        <f t="shared" si="5"/>
        <v>0</v>
      </c>
      <c r="Y2371" s="168">
        <f t="shared" si="6"/>
        <v>0</v>
      </c>
      <c r="Z2371" s="168">
        <f t="shared" si="7"/>
        <v>0</v>
      </c>
      <c r="AA2371" s="168">
        <f t="shared" si="8"/>
        <v>0</v>
      </c>
      <c r="AB2371" s="168">
        <f t="shared" si="9"/>
        <v>0</v>
      </c>
    </row>
    <row r="2372" ht="15.0" customHeight="1">
      <c r="A2372" s="157" t="s">
        <v>9827</v>
      </c>
      <c r="B2372" s="169" t="s">
        <v>31</v>
      </c>
      <c r="C2372" s="169" t="s">
        <v>9828</v>
      </c>
      <c r="D2372" s="317">
        <v>45217.0</v>
      </c>
      <c r="E2372" s="157" t="s">
        <v>600</v>
      </c>
      <c r="F2372" s="160">
        <v>4627.58</v>
      </c>
      <c r="G2372" s="160">
        <f>'FACUS$'!$F2372*0.16</f>
        <v>740.4128</v>
      </c>
      <c r="H2372" s="160">
        <f t="shared" si="68"/>
        <v>5367.9928</v>
      </c>
      <c r="I2372" s="172"/>
      <c r="J2372" s="169"/>
      <c r="K2372" s="172"/>
      <c r="L2372" s="172">
        <f>+'FACUS$'!$H2372-'FACUS$'!$I2372-'FACUS$'!$K2372</f>
        <v>5367.9928</v>
      </c>
      <c r="M2372" s="162" t="s">
        <v>3183</v>
      </c>
      <c r="N2372" s="337" t="s">
        <v>554</v>
      </c>
      <c r="O2372" s="338">
        <v>45212.0</v>
      </c>
      <c r="P2372" s="164">
        <f t="array" ref="P2372">XLOOKUP('FACUS$'!$B2372,'perfil de pagos'!$A$4:$A$46,'perfil de pagos'!$C$4:$C$46+'FACUS$'!$D2372)</f>
        <v>45220</v>
      </c>
      <c r="Q2372" s="165">
        <f t="shared" si="66"/>
        <v>0</v>
      </c>
      <c r="R2372" s="167"/>
      <c r="S2372" s="167">
        <v>2543.0</v>
      </c>
      <c r="T2372" s="167"/>
      <c r="U2372" s="334" t="s">
        <v>7271</v>
      </c>
      <c r="V2372" s="168">
        <f t="shared" si="3"/>
        <v>5367.9928</v>
      </c>
      <c r="W2372" s="168">
        <f t="shared" si="4"/>
        <v>0</v>
      </c>
      <c r="X2372" s="168">
        <f t="shared" si="5"/>
        <v>0</v>
      </c>
      <c r="Y2372" s="168">
        <f t="shared" si="6"/>
        <v>0</v>
      </c>
      <c r="Z2372" s="168">
        <f t="shared" si="7"/>
        <v>0</v>
      </c>
      <c r="AA2372" s="168">
        <f t="shared" si="8"/>
        <v>0</v>
      </c>
      <c r="AB2372" s="168">
        <f t="shared" si="9"/>
        <v>0</v>
      </c>
    </row>
    <row r="2373" ht="15.0" customHeight="1">
      <c r="A2373" s="157" t="s">
        <v>9829</v>
      </c>
      <c r="B2373" s="169" t="s">
        <v>31</v>
      </c>
      <c r="C2373" s="169" t="s">
        <v>9830</v>
      </c>
      <c r="D2373" s="317">
        <v>45217.0</v>
      </c>
      <c r="E2373" s="157" t="s">
        <v>600</v>
      </c>
      <c r="F2373" s="160">
        <v>4627.58</v>
      </c>
      <c r="G2373" s="160">
        <f>'FACUS$'!$F2373*0.16</f>
        <v>740.4128</v>
      </c>
      <c r="H2373" s="160">
        <f t="shared" si="68"/>
        <v>5367.9928</v>
      </c>
      <c r="I2373" s="172"/>
      <c r="J2373" s="169"/>
      <c r="K2373" s="172"/>
      <c r="L2373" s="172">
        <f>+'FACUS$'!$H2373-'FACUS$'!$I2373-'FACUS$'!$K2373</f>
        <v>5367.9928</v>
      </c>
      <c r="M2373" s="162" t="s">
        <v>3183</v>
      </c>
      <c r="N2373" s="337" t="s">
        <v>554</v>
      </c>
      <c r="O2373" s="338">
        <v>45216.0</v>
      </c>
      <c r="P2373" s="164">
        <f t="array" ref="P2373">XLOOKUP('FACUS$'!$B2373,'perfil de pagos'!$A$4:$A$46,'perfil de pagos'!$C$4:$C$46+'FACUS$'!$D2373)</f>
        <v>45220</v>
      </c>
      <c r="Q2373" s="165">
        <f t="shared" si="66"/>
        <v>0</v>
      </c>
      <c r="R2373" s="167"/>
      <c r="S2373" s="167">
        <v>2541.0</v>
      </c>
      <c r="T2373" s="167"/>
      <c r="U2373" s="334" t="s">
        <v>7271</v>
      </c>
      <c r="V2373" s="168">
        <f t="shared" si="3"/>
        <v>5367.9928</v>
      </c>
      <c r="W2373" s="168">
        <f t="shared" si="4"/>
        <v>0</v>
      </c>
      <c r="X2373" s="168">
        <f t="shared" si="5"/>
        <v>0</v>
      </c>
      <c r="Y2373" s="168">
        <f t="shared" si="6"/>
        <v>0</v>
      </c>
      <c r="Z2373" s="168">
        <f t="shared" si="7"/>
        <v>0</v>
      </c>
      <c r="AA2373" s="168">
        <f t="shared" si="8"/>
        <v>0</v>
      </c>
      <c r="AB2373" s="168">
        <f t="shared" si="9"/>
        <v>0</v>
      </c>
    </row>
    <row r="2374" ht="15.0" customHeight="1">
      <c r="A2374" s="157" t="s">
        <v>9831</v>
      </c>
      <c r="B2374" s="169" t="s">
        <v>34</v>
      </c>
      <c r="C2374" s="169" t="s">
        <v>5510</v>
      </c>
      <c r="D2374" s="317">
        <v>45222.0</v>
      </c>
      <c r="E2374" s="157" t="s">
        <v>600</v>
      </c>
      <c r="F2374" s="160">
        <v>11206.99</v>
      </c>
      <c r="G2374" s="160">
        <f>'FACUS$'!$F2374*0.16</f>
        <v>1793.1184</v>
      </c>
      <c r="H2374" s="160">
        <f t="shared" si="68"/>
        <v>13000.1084</v>
      </c>
      <c r="I2374" s="172"/>
      <c r="J2374" s="169"/>
      <c r="K2374" s="172"/>
      <c r="L2374" s="172">
        <f>+'FACUS$'!$H2374-'FACUS$'!$I2374-'FACUS$'!$K2374</f>
        <v>13000.1084</v>
      </c>
      <c r="M2374" s="162" t="s">
        <v>538</v>
      </c>
      <c r="N2374" s="337" t="s">
        <v>554</v>
      </c>
      <c r="O2374" s="338">
        <v>45247.0</v>
      </c>
      <c r="P2374" s="164">
        <f t="array" ref="P2374">XLOOKUP('FACUS$'!$B2374,'perfil de pagos'!$A$4:$A$46,'perfil de pagos'!$C$4:$C$46+'FACUS$'!$D2374)</f>
        <v>45232</v>
      </c>
      <c r="Q2374" s="165">
        <f t="shared" si="66"/>
        <v>0</v>
      </c>
      <c r="R2374" s="167"/>
      <c r="S2374" s="167">
        <v>2597.0</v>
      </c>
      <c r="T2374" s="167"/>
      <c r="U2374" s="334" t="s">
        <v>7271</v>
      </c>
      <c r="V2374" s="168">
        <f t="shared" si="3"/>
        <v>13000.1084</v>
      </c>
      <c r="W2374" s="168">
        <f t="shared" si="4"/>
        <v>0</v>
      </c>
      <c r="X2374" s="168">
        <f t="shared" si="5"/>
        <v>0</v>
      </c>
      <c r="Y2374" s="168">
        <f t="shared" si="6"/>
        <v>0</v>
      </c>
      <c r="Z2374" s="168">
        <f t="shared" si="7"/>
        <v>0</v>
      </c>
      <c r="AA2374" s="168">
        <f t="shared" si="8"/>
        <v>0</v>
      </c>
      <c r="AB2374" s="168">
        <f t="shared" si="9"/>
        <v>0</v>
      </c>
    </row>
    <row r="2375" ht="15.0" customHeight="1">
      <c r="A2375" s="157" t="s">
        <v>9832</v>
      </c>
      <c r="B2375" s="169" t="s">
        <v>34</v>
      </c>
      <c r="C2375" s="169" t="s">
        <v>5516</v>
      </c>
      <c r="D2375" s="317">
        <v>45222.0</v>
      </c>
      <c r="E2375" s="157" t="s">
        <v>600</v>
      </c>
      <c r="F2375" s="160">
        <v>9928.13</v>
      </c>
      <c r="G2375" s="160">
        <f>'FACUS$'!$F2375*0.16</f>
        <v>1588.5008</v>
      </c>
      <c r="H2375" s="160">
        <f t="shared" si="68"/>
        <v>11516.6308</v>
      </c>
      <c r="I2375" s="172"/>
      <c r="J2375" s="169"/>
      <c r="K2375" s="172"/>
      <c r="L2375" s="172">
        <f>+'FACUS$'!$H2375-'FACUS$'!$I2375-'FACUS$'!$K2375</f>
        <v>11516.6308</v>
      </c>
      <c r="M2375" s="162" t="s">
        <v>538</v>
      </c>
      <c r="N2375" s="337" t="s">
        <v>554</v>
      </c>
      <c r="O2375" s="338">
        <v>45247.0</v>
      </c>
      <c r="P2375" s="164">
        <f t="array" ref="P2375">XLOOKUP('FACUS$'!$B2375,'perfil de pagos'!$A$4:$A$46,'perfil de pagos'!$C$4:$C$46+'FACUS$'!$D2375)</f>
        <v>45232</v>
      </c>
      <c r="Q2375" s="165">
        <f t="shared" si="66"/>
        <v>0</v>
      </c>
      <c r="R2375" s="167"/>
      <c r="S2375" s="167">
        <v>2597.0</v>
      </c>
      <c r="T2375" s="167"/>
      <c r="U2375" s="334" t="s">
        <v>7271</v>
      </c>
      <c r="V2375" s="168">
        <f t="shared" si="3"/>
        <v>11516.6308</v>
      </c>
      <c r="W2375" s="168">
        <f t="shared" si="4"/>
        <v>0</v>
      </c>
      <c r="X2375" s="168">
        <f t="shared" si="5"/>
        <v>0</v>
      </c>
      <c r="Y2375" s="168">
        <f t="shared" si="6"/>
        <v>0</v>
      </c>
      <c r="Z2375" s="168">
        <f t="shared" si="7"/>
        <v>0</v>
      </c>
      <c r="AA2375" s="168">
        <f t="shared" si="8"/>
        <v>0</v>
      </c>
      <c r="AB2375" s="168">
        <f t="shared" si="9"/>
        <v>0</v>
      </c>
    </row>
    <row r="2376" ht="15.0" customHeight="1">
      <c r="A2376" s="157" t="s">
        <v>9833</v>
      </c>
      <c r="B2376" s="169" t="s">
        <v>18</v>
      </c>
      <c r="C2376" s="169" t="s">
        <v>5516</v>
      </c>
      <c r="D2376" s="317">
        <v>45223.0</v>
      </c>
      <c r="E2376" s="157" t="s">
        <v>600</v>
      </c>
      <c r="F2376" s="160">
        <v>6448.79</v>
      </c>
      <c r="G2376" s="160">
        <f>'FACUS$'!$F2376*0.16</f>
        <v>1031.8064</v>
      </c>
      <c r="H2376" s="160">
        <f t="shared" si="68"/>
        <v>7480.5964</v>
      </c>
      <c r="I2376" s="172"/>
      <c r="J2376" s="169"/>
      <c r="K2376" s="172"/>
      <c r="L2376" s="172">
        <f>+'FACUS$'!$H2376-'FACUS$'!$I2376-'FACUS$'!$K2376</f>
        <v>7480.5964</v>
      </c>
      <c r="M2376" s="162" t="s">
        <v>586</v>
      </c>
      <c r="N2376" s="337" t="s">
        <v>554</v>
      </c>
      <c r="O2376" s="338">
        <v>45233.0</v>
      </c>
      <c r="P2376" s="164">
        <f t="array" ref="P2376">XLOOKUP('FACUS$'!$B2376,'perfil de pagos'!$A$4:$A$46,'perfil de pagos'!$C$4:$C$46+'FACUS$'!$D2376)</f>
        <v>45233</v>
      </c>
      <c r="Q2376" s="165">
        <f t="shared" si="66"/>
        <v>0</v>
      </c>
      <c r="R2376" s="167"/>
      <c r="S2376" s="167">
        <v>2555.0</v>
      </c>
      <c r="T2376" s="167"/>
      <c r="U2376" s="334" t="s">
        <v>7271</v>
      </c>
      <c r="V2376" s="168">
        <f t="shared" si="3"/>
        <v>7480.5964</v>
      </c>
      <c r="W2376" s="168">
        <f t="shared" si="4"/>
        <v>0</v>
      </c>
      <c r="X2376" s="168">
        <f t="shared" si="5"/>
        <v>0</v>
      </c>
      <c r="Y2376" s="168">
        <f t="shared" si="6"/>
        <v>0</v>
      </c>
      <c r="Z2376" s="168">
        <f t="shared" si="7"/>
        <v>0</v>
      </c>
      <c r="AA2376" s="168">
        <f t="shared" si="8"/>
        <v>0</v>
      </c>
      <c r="AB2376" s="168">
        <f t="shared" si="9"/>
        <v>0</v>
      </c>
    </row>
    <row r="2377" ht="15.0" customHeight="1">
      <c r="A2377" s="157" t="s">
        <v>9834</v>
      </c>
      <c r="B2377" s="169" t="s">
        <v>20</v>
      </c>
      <c r="C2377" s="169" t="s">
        <v>5516</v>
      </c>
      <c r="D2377" s="317">
        <v>45223.0</v>
      </c>
      <c r="E2377" s="157" t="s">
        <v>600</v>
      </c>
      <c r="F2377" s="160">
        <v>11389.02</v>
      </c>
      <c r="G2377" s="160">
        <f>'FACUS$'!$F2377*0.16</f>
        <v>1822.2432</v>
      </c>
      <c r="H2377" s="160">
        <f t="shared" si="68"/>
        <v>13211.2632</v>
      </c>
      <c r="I2377" s="172"/>
      <c r="J2377" s="169"/>
      <c r="K2377" s="172"/>
      <c r="L2377" s="172">
        <f>+'FACUS$'!$H2377-'FACUS$'!$I2377-'FACUS$'!$K2377</f>
        <v>13211.2632</v>
      </c>
      <c r="M2377" s="162" t="s">
        <v>732</v>
      </c>
      <c r="N2377" s="337" t="s">
        <v>554</v>
      </c>
      <c r="O2377" s="338">
        <v>45233.0</v>
      </c>
      <c r="P2377" s="164">
        <f t="array" ref="P2377">XLOOKUP('FACUS$'!$B2377,'perfil de pagos'!$A$4:$A$46,'perfil de pagos'!$C$4:$C$46+'FACUS$'!$D2377)</f>
        <v>45233</v>
      </c>
      <c r="Q2377" s="165">
        <f t="shared" si="66"/>
        <v>0</v>
      </c>
      <c r="R2377" s="167"/>
      <c r="S2377" s="167">
        <v>2555.0</v>
      </c>
      <c r="T2377" s="167"/>
      <c r="U2377" s="334" t="s">
        <v>7271</v>
      </c>
      <c r="V2377" s="168">
        <f t="shared" si="3"/>
        <v>13211.2632</v>
      </c>
      <c r="W2377" s="168">
        <f t="shared" si="4"/>
        <v>0</v>
      </c>
      <c r="X2377" s="168">
        <f t="shared" si="5"/>
        <v>0</v>
      </c>
      <c r="Y2377" s="168">
        <f t="shared" si="6"/>
        <v>0</v>
      </c>
      <c r="Z2377" s="168">
        <f t="shared" si="7"/>
        <v>0</v>
      </c>
      <c r="AA2377" s="168">
        <f t="shared" si="8"/>
        <v>0</v>
      </c>
      <c r="AB2377" s="168">
        <f t="shared" si="9"/>
        <v>0</v>
      </c>
    </row>
    <row r="2378" ht="15.0" customHeight="1">
      <c r="A2378" s="157" t="s">
        <v>9835</v>
      </c>
      <c r="B2378" s="169" t="s">
        <v>22</v>
      </c>
      <c r="C2378" s="169" t="s">
        <v>5516</v>
      </c>
      <c r="D2378" s="317">
        <v>45223.0</v>
      </c>
      <c r="E2378" s="157" t="s">
        <v>600</v>
      </c>
      <c r="F2378" s="160">
        <v>13557.14</v>
      </c>
      <c r="G2378" s="160">
        <f>'FACUS$'!$F2378*0.16</f>
        <v>2169.1424</v>
      </c>
      <c r="H2378" s="160">
        <f t="shared" si="68"/>
        <v>15726.2824</v>
      </c>
      <c r="I2378" s="172">
        <v>7076.4018571387205</v>
      </c>
      <c r="J2378" s="169"/>
      <c r="K2378" s="172"/>
      <c r="L2378" s="172">
        <f>+'FACUS$'!$H2378-'FACUS$'!$I2378-'FACUS$'!$K2378</f>
        <v>8649.880543</v>
      </c>
      <c r="M2378" s="162" t="s">
        <v>220</v>
      </c>
      <c r="N2378" s="337" t="s">
        <v>554</v>
      </c>
      <c r="O2378" s="338">
        <v>45257.0</v>
      </c>
      <c r="P2378" s="164">
        <f t="array" ref="P2378">XLOOKUP('FACUS$'!$B2378,'perfil de pagos'!$A$4:$A$46,'perfil de pagos'!$C$4:$C$46+'FACUS$'!$D2378)</f>
        <v>45233</v>
      </c>
      <c r="Q2378" s="165">
        <f t="shared" si="66"/>
        <v>0</v>
      </c>
      <c r="R2378" s="220" t="s">
        <v>9836</v>
      </c>
      <c r="S2378" s="167" t="s">
        <v>9837</v>
      </c>
      <c r="T2378" s="167"/>
      <c r="U2378" s="334" t="s">
        <v>7271</v>
      </c>
      <c r="V2378" s="168">
        <f t="shared" si="3"/>
        <v>8649.880543</v>
      </c>
      <c r="W2378" s="168">
        <f t="shared" si="4"/>
        <v>0</v>
      </c>
      <c r="X2378" s="168">
        <f t="shared" si="5"/>
        <v>0</v>
      </c>
      <c r="Y2378" s="168">
        <f t="shared" si="6"/>
        <v>0</v>
      </c>
      <c r="Z2378" s="168">
        <f t="shared" si="7"/>
        <v>0</v>
      </c>
      <c r="AA2378" s="168">
        <f t="shared" si="8"/>
        <v>0</v>
      </c>
      <c r="AB2378" s="168">
        <f t="shared" si="9"/>
        <v>0</v>
      </c>
    </row>
    <row r="2379" ht="15.0" customHeight="1">
      <c r="A2379" s="157" t="s">
        <v>9838</v>
      </c>
      <c r="B2379" s="169" t="s">
        <v>25</v>
      </c>
      <c r="C2379" s="169" t="s">
        <v>5516</v>
      </c>
      <c r="D2379" s="317">
        <v>45223.0</v>
      </c>
      <c r="E2379" s="157" t="s">
        <v>600</v>
      </c>
      <c r="F2379" s="160">
        <v>5414.42</v>
      </c>
      <c r="G2379" s="160">
        <f>'FACUS$'!$F2379*0.16</f>
        <v>866.3072</v>
      </c>
      <c r="H2379" s="160">
        <f t="shared" si="68"/>
        <v>6280.7272</v>
      </c>
      <c r="I2379" s="172"/>
      <c r="J2379" s="169"/>
      <c r="K2379" s="172"/>
      <c r="L2379" s="172">
        <f>+'FACUS$'!$H2379-'FACUS$'!$I2379-'FACUS$'!$K2379</f>
        <v>6280.7272</v>
      </c>
      <c r="M2379" s="162" t="s">
        <v>4388</v>
      </c>
      <c r="N2379" s="337" t="s">
        <v>554</v>
      </c>
      <c r="O2379" s="338">
        <v>45286.0</v>
      </c>
      <c r="P2379" s="164">
        <f t="array" ref="P2379">XLOOKUP('FACUS$'!$B2379,'perfil de pagos'!$A$4:$A$46,'perfil de pagos'!$C$4:$C$46+'FACUS$'!$D2379)</f>
        <v>45233</v>
      </c>
      <c r="Q2379" s="165">
        <f t="shared" si="66"/>
        <v>0</v>
      </c>
      <c r="R2379" s="167"/>
      <c r="S2379" s="167">
        <v>2700.0</v>
      </c>
      <c r="T2379" s="167"/>
      <c r="U2379" s="334" t="s">
        <v>7271</v>
      </c>
      <c r="V2379" s="168">
        <f t="shared" si="3"/>
        <v>6280.7272</v>
      </c>
      <c r="W2379" s="168">
        <f t="shared" si="4"/>
        <v>0</v>
      </c>
      <c r="X2379" s="168">
        <f t="shared" si="5"/>
        <v>0</v>
      </c>
      <c r="Y2379" s="168">
        <f t="shared" si="6"/>
        <v>0</v>
      </c>
      <c r="Z2379" s="168">
        <f t="shared" si="7"/>
        <v>0</v>
      </c>
      <c r="AA2379" s="168">
        <f t="shared" si="8"/>
        <v>0</v>
      </c>
      <c r="AB2379" s="168">
        <f t="shared" si="9"/>
        <v>0</v>
      </c>
    </row>
    <row r="2380" ht="15.0" customHeight="1">
      <c r="A2380" s="157" t="s">
        <v>9839</v>
      </c>
      <c r="B2380" s="169" t="s">
        <v>38</v>
      </c>
      <c r="C2380" s="169" t="s">
        <v>5516</v>
      </c>
      <c r="D2380" s="317">
        <v>45223.0</v>
      </c>
      <c r="E2380" s="157" t="s">
        <v>600</v>
      </c>
      <c r="F2380" s="160">
        <v>3226.41</v>
      </c>
      <c r="G2380" s="160">
        <f>'FACUS$'!$F2380*0.16</f>
        <v>516.2256</v>
      </c>
      <c r="H2380" s="160">
        <f t="shared" si="68"/>
        <v>3742.6356</v>
      </c>
      <c r="I2380" s="172"/>
      <c r="J2380" s="169"/>
      <c r="K2380" s="172"/>
      <c r="L2380" s="172">
        <f>+'FACUS$'!$H2380-'FACUS$'!$I2380-'FACUS$'!$K2380</f>
        <v>3742.6356</v>
      </c>
      <c r="M2380" s="162" t="s">
        <v>642</v>
      </c>
      <c r="N2380" s="337" t="s">
        <v>554</v>
      </c>
      <c r="O2380" s="338">
        <v>45266.0</v>
      </c>
      <c r="P2380" s="164">
        <f t="array" ref="P2380">XLOOKUP('FACUS$'!$B2380,'perfil de pagos'!$A$4:$A$46,'perfil de pagos'!$C$4:$C$46+'FACUS$'!$D2380)</f>
        <v>45253</v>
      </c>
      <c r="Q2380" s="165">
        <f t="shared" si="66"/>
        <v>0</v>
      </c>
      <c r="R2380" s="167"/>
      <c r="S2380" s="167">
        <v>2637.0</v>
      </c>
      <c r="T2380" s="167"/>
      <c r="U2380" s="334" t="s">
        <v>7271</v>
      </c>
      <c r="V2380" s="168">
        <f t="shared" si="3"/>
        <v>3742.6356</v>
      </c>
      <c r="W2380" s="168">
        <f t="shared" si="4"/>
        <v>0</v>
      </c>
      <c r="X2380" s="168">
        <f t="shared" si="5"/>
        <v>0</v>
      </c>
      <c r="Y2380" s="168">
        <f t="shared" si="6"/>
        <v>0</v>
      </c>
      <c r="Z2380" s="168">
        <f t="shared" si="7"/>
        <v>0</v>
      </c>
      <c r="AA2380" s="168">
        <f t="shared" si="8"/>
        <v>0</v>
      </c>
      <c r="AB2380" s="168">
        <f t="shared" si="9"/>
        <v>0</v>
      </c>
    </row>
    <row r="2381" ht="15.0" customHeight="1">
      <c r="A2381" s="157" t="s">
        <v>9840</v>
      </c>
      <c r="B2381" s="169" t="s">
        <v>38</v>
      </c>
      <c r="C2381" s="169" t="s">
        <v>5516</v>
      </c>
      <c r="D2381" s="317">
        <v>45223.0</v>
      </c>
      <c r="E2381" s="157" t="s">
        <v>600</v>
      </c>
      <c r="F2381" s="160">
        <v>8737.32</v>
      </c>
      <c r="G2381" s="160">
        <f>'FACUS$'!$F2381*0.16</f>
        <v>1397.9712</v>
      </c>
      <c r="H2381" s="160">
        <f t="shared" si="68"/>
        <v>10135.2912</v>
      </c>
      <c r="I2381" s="172"/>
      <c r="J2381" s="169"/>
      <c r="K2381" s="172"/>
      <c r="L2381" s="172">
        <f>+'FACUS$'!$H2381-'FACUS$'!$I2381-'FACUS$'!$K2381</f>
        <v>10135.2912</v>
      </c>
      <c r="M2381" s="162" t="s">
        <v>145</v>
      </c>
      <c r="N2381" s="337" t="s">
        <v>554</v>
      </c>
      <c r="O2381" s="338">
        <v>45288.0</v>
      </c>
      <c r="P2381" s="164">
        <f t="array" ref="P2381">XLOOKUP('FACUS$'!$B2381,'perfil de pagos'!$A$4:$A$46,'perfil de pagos'!$C$4:$C$46+'FACUS$'!$D2381)</f>
        <v>45253</v>
      </c>
      <c r="Q2381" s="165">
        <f t="shared" si="66"/>
        <v>0</v>
      </c>
      <c r="R2381" s="167"/>
      <c r="S2381" s="167">
        <v>2698.0</v>
      </c>
      <c r="T2381" s="167"/>
      <c r="U2381" s="334" t="s">
        <v>7271</v>
      </c>
      <c r="V2381" s="168">
        <f t="shared" si="3"/>
        <v>10135.2912</v>
      </c>
      <c r="W2381" s="168">
        <f t="shared" si="4"/>
        <v>0</v>
      </c>
      <c r="X2381" s="168">
        <f t="shared" si="5"/>
        <v>0</v>
      </c>
      <c r="Y2381" s="168">
        <f t="shared" si="6"/>
        <v>0</v>
      </c>
      <c r="Z2381" s="168">
        <f t="shared" si="7"/>
        <v>0</v>
      </c>
      <c r="AA2381" s="168">
        <f t="shared" si="8"/>
        <v>0</v>
      </c>
      <c r="AB2381" s="168">
        <f t="shared" si="9"/>
        <v>0</v>
      </c>
    </row>
    <row r="2382" ht="15.0" customHeight="1">
      <c r="A2382" s="157" t="s">
        <v>9841</v>
      </c>
      <c r="B2382" s="169" t="s">
        <v>37</v>
      </c>
      <c r="C2382" s="169" t="s">
        <v>5516</v>
      </c>
      <c r="D2382" s="317">
        <v>45223.0</v>
      </c>
      <c r="E2382" s="157" t="s">
        <v>600</v>
      </c>
      <c r="F2382" s="160">
        <v>87617.28</v>
      </c>
      <c r="G2382" s="160">
        <f>'FACUS$'!$F2382*0.16</f>
        <v>14018.7648</v>
      </c>
      <c r="H2382" s="160">
        <f t="shared" si="68"/>
        <v>101636.0448</v>
      </c>
      <c r="I2382" s="172"/>
      <c r="J2382" s="169"/>
      <c r="K2382" s="172"/>
      <c r="L2382" s="172">
        <f>+'FACUS$'!$H2382-'FACUS$'!$I2382-'FACUS$'!$K2382</f>
        <v>101636.0448</v>
      </c>
      <c r="M2382" s="162" t="s">
        <v>116</v>
      </c>
      <c r="N2382" s="337" t="s">
        <v>554</v>
      </c>
      <c r="O2382" s="338">
        <v>45236.0</v>
      </c>
      <c r="P2382" s="164">
        <f t="array" ref="P2382">XLOOKUP('FACUS$'!$B2382,'perfil de pagos'!$A$4:$A$46,'perfil de pagos'!$C$4:$C$46+'FACUS$'!$D2382)</f>
        <v>45233</v>
      </c>
      <c r="Q2382" s="165">
        <f t="shared" si="66"/>
        <v>0</v>
      </c>
      <c r="R2382" s="220" t="s">
        <v>9842</v>
      </c>
      <c r="S2382" s="167">
        <v>2550.0</v>
      </c>
      <c r="T2382" s="167"/>
      <c r="U2382" s="334" t="s">
        <v>7271</v>
      </c>
      <c r="V2382" s="168">
        <f t="shared" si="3"/>
        <v>101636.0448</v>
      </c>
      <c r="W2382" s="168">
        <f t="shared" si="4"/>
        <v>0</v>
      </c>
      <c r="X2382" s="168">
        <f t="shared" si="5"/>
        <v>0</v>
      </c>
      <c r="Y2382" s="168">
        <f t="shared" si="6"/>
        <v>0</v>
      </c>
      <c r="Z2382" s="168">
        <f t="shared" si="7"/>
        <v>0</v>
      </c>
      <c r="AA2382" s="168">
        <f t="shared" si="8"/>
        <v>0</v>
      </c>
      <c r="AB2382" s="168">
        <f t="shared" si="9"/>
        <v>0</v>
      </c>
    </row>
    <row r="2383" ht="15.0" customHeight="1">
      <c r="A2383" s="157" t="s">
        <v>9843</v>
      </c>
      <c r="B2383" s="169" t="s">
        <v>31</v>
      </c>
      <c r="C2383" s="169" t="s">
        <v>9844</v>
      </c>
      <c r="D2383" s="317">
        <v>45223.0</v>
      </c>
      <c r="E2383" s="157" t="s">
        <v>600</v>
      </c>
      <c r="F2383" s="160">
        <v>4627.58</v>
      </c>
      <c r="G2383" s="160">
        <f>'FACUS$'!$F2383*0.16</f>
        <v>740.4128</v>
      </c>
      <c r="H2383" s="160">
        <f t="shared" si="68"/>
        <v>5367.9928</v>
      </c>
      <c r="I2383" s="172"/>
      <c r="J2383" s="169"/>
      <c r="K2383" s="172"/>
      <c r="L2383" s="172">
        <f>+'FACUS$'!$H2383-'FACUS$'!$I2383-'FACUS$'!$K2383</f>
        <v>5367.9928</v>
      </c>
      <c r="M2383" s="162" t="s">
        <v>3183</v>
      </c>
      <c r="N2383" s="337" t="s">
        <v>554</v>
      </c>
      <c r="O2383" s="338">
        <v>45219.0</v>
      </c>
      <c r="P2383" s="164">
        <f t="array" ref="P2383">XLOOKUP('FACUS$'!$B2383,'perfil de pagos'!$A$4:$A$46,'perfil de pagos'!$C$4:$C$46+'FACUS$'!$D2383)</f>
        <v>45226</v>
      </c>
      <c r="Q2383" s="165">
        <f t="shared" si="66"/>
        <v>0</v>
      </c>
      <c r="R2383" s="167"/>
      <c r="S2383" s="167"/>
      <c r="T2383" s="167"/>
      <c r="U2383" s="334" t="s">
        <v>7271</v>
      </c>
      <c r="V2383" s="168">
        <f t="shared" si="3"/>
        <v>5367.9928</v>
      </c>
      <c r="W2383" s="168">
        <f t="shared" si="4"/>
        <v>0</v>
      </c>
      <c r="X2383" s="168">
        <f t="shared" si="5"/>
        <v>0</v>
      </c>
      <c r="Y2383" s="168">
        <f t="shared" si="6"/>
        <v>0</v>
      </c>
      <c r="Z2383" s="168">
        <f t="shared" si="7"/>
        <v>0</v>
      </c>
      <c r="AA2383" s="168">
        <f t="shared" si="8"/>
        <v>0</v>
      </c>
      <c r="AB2383" s="168">
        <f t="shared" si="9"/>
        <v>0</v>
      </c>
    </row>
    <row r="2384" ht="15.0" customHeight="1">
      <c r="A2384" s="157" t="s">
        <v>9845</v>
      </c>
      <c r="B2384" s="169" t="s">
        <v>31</v>
      </c>
      <c r="C2384" s="169" t="s">
        <v>9846</v>
      </c>
      <c r="D2384" s="317">
        <v>45225.0</v>
      </c>
      <c r="E2384" s="157" t="s">
        <v>600</v>
      </c>
      <c r="F2384" s="160">
        <v>4627.58</v>
      </c>
      <c r="G2384" s="160">
        <f>'FACUS$'!$F2384*0.16</f>
        <v>740.4128</v>
      </c>
      <c r="H2384" s="160">
        <f t="shared" si="68"/>
        <v>5367.9928</v>
      </c>
      <c r="I2384" s="172"/>
      <c r="J2384" s="169"/>
      <c r="K2384" s="172"/>
      <c r="L2384" s="172">
        <f>+'FACUS$'!$H2384-'FACUS$'!$I2384-'FACUS$'!$K2384</f>
        <v>5367.9928</v>
      </c>
      <c r="M2384" s="162" t="s">
        <v>3183</v>
      </c>
      <c r="N2384" s="337" t="s">
        <v>554</v>
      </c>
      <c r="O2384" s="338">
        <v>45226.0</v>
      </c>
      <c r="P2384" s="164">
        <f t="array" ref="P2384">XLOOKUP('FACUS$'!$B2384,'perfil de pagos'!$A$4:$A$46,'perfil de pagos'!$C$4:$C$46+'FACUS$'!$D2384)</f>
        <v>45228</v>
      </c>
      <c r="Q2384" s="165">
        <f t="shared" si="66"/>
        <v>0</v>
      </c>
      <c r="R2384" s="167"/>
      <c r="S2384" s="167">
        <v>2546.0</v>
      </c>
      <c r="T2384" s="167"/>
      <c r="U2384" s="334" t="s">
        <v>7271</v>
      </c>
      <c r="V2384" s="168">
        <f t="shared" si="3"/>
        <v>5367.9928</v>
      </c>
      <c r="W2384" s="168">
        <f t="shared" si="4"/>
        <v>0</v>
      </c>
      <c r="X2384" s="168">
        <f t="shared" si="5"/>
        <v>0</v>
      </c>
      <c r="Y2384" s="168">
        <f t="shared" si="6"/>
        <v>0</v>
      </c>
      <c r="Z2384" s="168">
        <f t="shared" si="7"/>
        <v>0</v>
      </c>
      <c r="AA2384" s="168">
        <f t="shared" si="8"/>
        <v>0</v>
      </c>
      <c r="AB2384" s="168">
        <f t="shared" si="9"/>
        <v>0</v>
      </c>
    </row>
    <row r="2385" ht="15.0" customHeight="1">
      <c r="A2385" s="157" t="s">
        <v>9847</v>
      </c>
      <c r="B2385" s="169" t="s">
        <v>42</v>
      </c>
      <c r="C2385" s="169" t="s">
        <v>9848</v>
      </c>
      <c r="D2385" s="317">
        <v>45229.0</v>
      </c>
      <c r="E2385" s="157" t="s">
        <v>600</v>
      </c>
      <c r="F2385" s="160">
        <v>9793.84</v>
      </c>
      <c r="G2385" s="160">
        <f>'FACUS$'!$F2385*0.16</f>
        <v>1567.0144</v>
      </c>
      <c r="H2385" s="160">
        <f t="shared" si="68"/>
        <v>11360.8544</v>
      </c>
      <c r="I2385" s="172"/>
      <c r="J2385" s="169"/>
      <c r="K2385" s="172"/>
      <c r="L2385" s="172">
        <f>+'FACUS$'!$H2385-'FACUS$'!$I2385-'FACUS$'!$K2385</f>
        <v>11360.8544</v>
      </c>
      <c r="M2385" s="162" t="s">
        <v>42</v>
      </c>
      <c r="N2385" s="337" t="s">
        <v>554</v>
      </c>
      <c r="O2385" s="338">
        <v>45233.0</v>
      </c>
      <c r="P2385" s="164">
        <f t="array" ref="P2385">XLOOKUP('FACUS$'!$B2385,'perfil de pagos'!$A$4:$A$46,'perfil de pagos'!$C$4:$C$46+'FACUS$'!$D2385)</f>
        <v>45239</v>
      </c>
      <c r="Q2385" s="165">
        <f t="shared" si="66"/>
        <v>0</v>
      </c>
      <c r="R2385" s="167"/>
      <c r="S2385" s="167">
        <v>2556.0</v>
      </c>
      <c r="T2385" s="167"/>
      <c r="U2385" s="334" t="s">
        <v>7271</v>
      </c>
      <c r="V2385" s="168">
        <f t="shared" si="3"/>
        <v>11360.8544</v>
      </c>
      <c r="W2385" s="168">
        <f t="shared" si="4"/>
        <v>0</v>
      </c>
      <c r="X2385" s="168">
        <f t="shared" si="5"/>
        <v>0</v>
      </c>
      <c r="Y2385" s="168">
        <f t="shared" si="6"/>
        <v>0</v>
      </c>
      <c r="Z2385" s="168">
        <f t="shared" si="7"/>
        <v>0</v>
      </c>
      <c r="AA2385" s="168">
        <f t="shared" si="8"/>
        <v>0</v>
      </c>
      <c r="AB2385" s="168">
        <f t="shared" si="9"/>
        <v>0</v>
      </c>
    </row>
    <row r="2386" ht="15.0" customHeight="1">
      <c r="A2386" s="157" t="s">
        <v>9849</v>
      </c>
      <c r="B2386" s="169" t="s">
        <v>31</v>
      </c>
      <c r="C2386" s="169" t="s">
        <v>9850</v>
      </c>
      <c r="D2386" s="317">
        <v>45229.0</v>
      </c>
      <c r="E2386" s="157" t="s">
        <v>600</v>
      </c>
      <c r="F2386" s="160">
        <v>4627.58</v>
      </c>
      <c r="G2386" s="160">
        <f>'FACUS$'!$F2386*0.16</f>
        <v>740.4128</v>
      </c>
      <c r="H2386" s="160">
        <f t="shared" si="68"/>
        <v>5367.9928</v>
      </c>
      <c r="I2386" s="172"/>
      <c r="J2386" s="169"/>
      <c r="K2386" s="172"/>
      <c r="L2386" s="172">
        <f>+'FACUS$'!$H2386-'FACUS$'!$I2386-'FACUS$'!$K2386</f>
        <v>5367.9928</v>
      </c>
      <c r="M2386" s="162" t="s">
        <v>3183</v>
      </c>
      <c r="N2386" s="337" t="s">
        <v>554</v>
      </c>
      <c r="O2386" s="338">
        <v>45226.0</v>
      </c>
      <c r="P2386" s="164">
        <f t="array" ref="P2386">XLOOKUP('FACUS$'!$B2386,'perfil de pagos'!$A$4:$A$46,'perfil de pagos'!$C$4:$C$46+'FACUS$'!$D2386)</f>
        <v>45232</v>
      </c>
      <c r="Q2386" s="165">
        <f t="shared" si="66"/>
        <v>0</v>
      </c>
      <c r="R2386" s="167"/>
      <c r="S2386" s="167">
        <v>2546.0</v>
      </c>
      <c r="T2386" s="167"/>
      <c r="U2386" s="334" t="s">
        <v>7271</v>
      </c>
      <c r="V2386" s="168">
        <f t="shared" si="3"/>
        <v>5367.9928</v>
      </c>
      <c r="W2386" s="168">
        <f t="shared" si="4"/>
        <v>0</v>
      </c>
      <c r="X2386" s="168">
        <f t="shared" si="5"/>
        <v>0</v>
      </c>
      <c r="Y2386" s="168">
        <f t="shared" si="6"/>
        <v>0</v>
      </c>
      <c r="Z2386" s="168">
        <f t="shared" si="7"/>
        <v>0</v>
      </c>
      <c r="AA2386" s="168">
        <f t="shared" si="8"/>
        <v>0</v>
      </c>
      <c r="AB2386" s="168">
        <f t="shared" si="9"/>
        <v>0</v>
      </c>
    </row>
    <row r="2387" ht="15.0" customHeight="1">
      <c r="A2387" s="157" t="s">
        <v>9851</v>
      </c>
      <c r="B2387" s="169" t="s">
        <v>31</v>
      </c>
      <c r="C2387" s="169" t="s">
        <v>9852</v>
      </c>
      <c r="D2387" s="317">
        <v>45229.0</v>
      </c>
      <c r="E2387" s="157" t="s">
        <v>600</v>
      </c>
      <c r="F2387" s="160">
        <v>4627.58</v>
      </c>
      <c r="G2387" s="160">
        <f>'FACUS$'!$F2387*0.16</f>
        <v>740.4128</v>
      </c>
      <c r="H2387" s="160">
        <f t="shared" si="68"/>
        <v>5367.9928</v>
      </c>
      <c r="I2387" s="172"/>
      <c r="J2387" s="169"/>
      <c r="K2387" s="172"/>
      <c r="L2387" s="172">
        <f>+'FACUS$'!$H2387-'FACUS$'!$I2387-'FACUS$'!$K2387</f>
        <v>5367.9928</v>
      </c>
      <c r="M2387" s="162" t="s">
        <v>3183</v>
      </c>
      <c r="N2387" s="337" t="s">
        <v>554</v>
      </c>
      <c r="O2387" s="338">
        <v>45233.0</v>
      </c>
      <c r="P2387" s="164">
        <f t="array" ref="P2387">XLOOKUP('FACUS$'!$B2387,'perfil de pagos'!$A$4:$A$46,'perfil de pagos'!$C$4:$C$46+'FACUS$'!$D2387)</f>
        <v>45232</v>
      </c>
      <c r="Q2387" s="165">
        <f t="shared" si="66"/>
        <v>0</v>
      </c>
      <c r="R2387" s="220" t="s">
        <v>9853</v>
      </c>
      <c r="S2387" s="167">
        <v>2554.0</v>
      </c>
      <c r="T2387" s="167"/>
      <c r="U2387" s="334" t="s">
        <v>7271</v>
      </c>
      <c r="V2387" s="168">
        <f t="shared" si="3"/>
        <v>5367.9928</v>
      </c>
      <c r="W2387" s="168">
        <f t="shared" si="4"/>
        <v>0</v>
      </c>
      <c r="X2387" s="168">
        <f t="shared" si="5"/>
        <v>0</v>
      </c>
      <c r="Y2387" s="168">
        <f t="shared" si="6"/>
        <v>0</v>
      </c>
      <c r="Z2387" s="168">
        <f t="shared" si="7"/>
        <v>0</v>
      </c>
      <c r="AA2387" s="168">
        <f t="shared" si="8"/>
        <v>0</v>
      </c>
      <c r="AB2387" s="168">
        <f t="shared" si="9"/>
        <v>0</v>
      </c>
    </row>
    <row r="2388" ht="15.0" customHeight="1">
      <c r="A2388" s="157" t="s">
        <v>9854</v>
      </c>
      <c r="B2388" s="169" t="s">
        <v>31</v>
      </c>
      <c r="C2388" s="169" t="s">
        <v>9855</v>
      </c>
      <c r="D2388" s="317">
        <v>45231.0</v>
      </c>
      <c r="E2388" s="157" t="s">
        <v>600</v>
      </c>
      <c r="F2388" s="160">
        <v>6400.0</v>
      </c>
      <c r="G2388" s="160">
        <f>'FACUS$'!$F2388*0.16</f>
        <v>1024</v>
      </c>
      <c r="H2388" s="160">
        <f t="shared" si="68"/>
        <v>7424</v>
      </c>
      <c r="I2388" s="172">
        <v>4632.01</v>
      </c>
      <c r="J2388" s="169"/>
      <c r="K2388" s="172"/>
      <c r="L2388" s="172">
        <f>+'FACUS$'!$H2388-'FACUS$'!$I2388-'FACUS$'!$K2388</f>
        <v>2791.99</v>
      </c>
      <c r="M2388" s="162" t="s">
        <v>3183</v>
      </c>
      <c r="N2388" s="337" t="s">
        <v>554</v>
      </c>
      <c r="O2388" s="338">
        <v>45240.0</v>
      </c>
      <c r="P2388" s="164">
        <f t="array" ref="P2388">XLOOKUP('FACUS$'!$B2388,'perfil de pagos'!$A$4:$A$46,'perfil de pagos'!$C$4:$C$46+'FACUS$'!$D2388)</f>
        <v>45234</v>
      </c>
      <c r="Q2388" s="165">
        <f t="shared" si="66"/>
        <v>0</v>
      </c>
      <c r="R2388" s="167" t="s">
        <v>9856</v>
      </c>
      <c r="S2388" s="220" t="s">
        <v>9857</v>
      </c>
      <c r="T2388" s="167"/>
      <c r="U2388" s="334" t="s">
        <v>7271</v>
      </c>
      <c r="V2388" s="168">
        <f t="shared" si="3"/>
        <v>2791.99</v>
      </c>
      <c r="W2388" s="168">
        <f t="shared" si="4"/>
        <v>0</v>
      </c>
      <c r="X2388" s="168">
        <f t="shared" si="5"/>
        <v>0</v>
      </c>
      <c r="Y2388" s="168">
        <f t="shared" si="6"/>
        <v>0</v>
      </c>
      <c r="Z2388" s="168">
        <f t="shared" si="7"/>
        <v>0</v>
      </c>
      <c r="AA2388" s="168">
        <f t="shared" si="8"/>
        <v>0</v>
      </c>
      <c r="AB2388" s="168">
        <f t="shared" si="9"/>
        <v>0</v>
      </c>
    </row>
    <row r="2389" ht="15.0" customHeight="1">
      <c r="A2389" s="157" t="s">
        <v>9858</v>
      </c>
      <c r="B2389" s="169" t="s">
        <v>15</v>
      </c>
      <c r="C2389" s="169" t="s">
        <v>5584</v>
      </c>
      <c r="D2389" s="317">
        <v>45236.0</v>
      </c>
      <c r="E2389" s="157" t="s">
        <v>600</v>
      </c>
      <c r="F2389" s="160">
        <v>60559.8</v>
      </c>
      <c r="G2389" s="160">
        <f>'FACUS$'!$F2389*0.16</f>
        <v>9689.568</v>
      </c>
      <c r="H2389" s="160">
        <f t="shared" si="68"/>
        <v>70249.368</v>
      </c>
      <c r="I2389" s="172"/>
      <c r="J2389" s="169"/>
      <c r="K2389" s="172"/>
      <c r="L2389" s="172">
        <f>+'FACUS$'!$H2389-'FACUS$'!$I2389-'FACUS$'!$K2389</f>
        <v>70249.368</v>
      </c>
      <c r="M2389" s="162" t="s">
        <v>443</v>
      </c>
      <c r="N2389" s="337" t="s">
        <v>554</v>
      </c>
      <c r="O2389" s="338">
        <v>45253.0</v>
      </c>
      <c r="P2389" s="164">
        <f t="array" ref="P2389">XLOOKUP('FACUS$'!$B2389,'perfil de pagos'!$A$4:$A$46,'perfil de pagos'!$C$4:$C$46+'FACUS$'!$D2389)</f>
        <v>45246</v>
      </c>
      <c r="Q2389" s="165">
        <f t="shared" si="66"/>
        <v>0</v>
      </c>
      <c r="R2389" s="167"/>
      <c r="S2389" s="167">
        <v>2612.0</v>
      </c>
      <c r="T2389" s="167"/>
      <c r="U2389" s="334" t="s">
        <v>7271</v>
      </c>
      <c r="V2389" s="168">
        <f t="shared" si="3"/>
        <v>70249.368</v>
      </c>
      <c r="W2389" s="168">
        <f t="shared" si="4"/>
        <v>0</v>
      </c>
      <c r="X2389" s="168">
        <f t="shared" si="5"/>
        <v>0</v>
      </c>
      <c r="Y2389" s="168">
        <f t="shared" si="6"/>
        <v>0</v>
      </c>
      <c r="Z2389" s="168">
        <f t="shared" si="7"/>
        <v>0</v>
      </c>
      <c r="AA2389" s="168">
        <f t="shared" si="8"/>
        <v>0</v>
      </c>
      <c r="AB2389" s="168">
        <f t="shared" si="9"/>
        <v>0</v>
      </c>
    </row>
    <row r="2390" ht="15.0" customHeight="1">
      <c r="A2390" s="157" t="s">
        <v>9859</v>
      </c>
      <c r="B2390" s="169" t="s">
        <v>32</v>
      </c>
      <c r="C2390" s="169" t="s">
        <v>5584</v>
      </c>
      <c r="D2390" s="317">
        <v>45236.0</v>
      </c>
      <c r="E2390" s="157" t="s">
        <v>600</v>
      </c>
      <c r="F2390" s="160">
        <v>14097.5</v>
      </c>
      <c r="G2390" s="160">
        <f>'FACUS$'!$F2390*0.16</f>
        <v>2255.6</v>
      </c>
      <c r="H2390" s="160">
        <f t="shared" si="68"/>
        <v>16353.1</v>
      </c>
      <c r="I2390" s="172"/>
      <c r="J2390" s="169"/>
      <c r="K2390" s="172"/>
      <c r="L2390" s="172">
        <f>+'FACUS$'!$H2390-'FACUS$'!$I2390-'FACUS$'!$K2390</f>
        <v>16353.1</v>
      </c>
      <c r="M2390" s="162" t="s">
        <v>395</v>
      </c>
      <c r="N2390" s="337" t="s">
        <v>554</v>
      </c>
      <c r="O2390" s="338">
        <v>45282.0</v>
      </c>
      <c r="P2390" s="164">
        <f t="array" ref="P2390">XLOOKUP('FACUS$'!$B2390,'perfil de pagos'!$A$4:$A$46,'perfil de pagos'!$C$4:$C$46+'FACUS$'!$D2390)</f>
        <v>45246</v>
      </c>
      <c r="Q2390" s="165">
        <f t="shared" si="66"/>
        <v>0</v>
      </c>
      <c r="R2390" s="167"/>
      <c r="S2390" s="167">
        <v>2691.0</v>
      </c>
      <c r="T2390" s="167"/>
      <c r="U2390" s="334" t="s">
        <v>7271</v>
      </c>
      <c r="V2390" s="168">
        <f t="shared" si="3"/>
        <v>16353.1</v>
      </c>
      <c r="W2390" s="168">
        <f t="shared" si="4"/>
        <v>0</v>
      </c>
      <c r="X2390" s="168">
        <f t="shared" si="5"/>
        <v>0</v>
      </c>
      <c r="Y2390" s="168">
        <f t="shared" si="6"/>
        <v>0</v>
      </c>
      <c r="Z2390" s="168">
        <f t="shared" si="7"/>
        <v>0</v>
      </c>
      <c r="AA2390" s="168">
        <f t="shared" si="8"/>
        <v>0</v>
      </c>
      <c r="AB2390" s="168">
        <f t="shared" si="9"/>
        <v>0</v>
      </c>
    </row>
    <row r="2391" ht="15.0" customHeight="1">
      <c r="A2391" s="157" t="s">
        <v>9860</v>
      </c>
      <c r="B2391" s="169" t="s">
        <v>17</v>
      </c>
      <c r="C2391" s="169" t="s">
        <v>9861</v>
      </c>
      <c r="D2391" s="317">
        <v>45236.0</v>
      </c>
      <c r="E2391" s="157" t="s">
        <v>600</v>
      </c>
      <c r="F2391" s="160">
        <v>16773.64</v>
      </c>
      <c r="G2391" s="160">
        <f>'FACUS$'!$F2391*0.16</f>
        <v>2683.7824</v>
      </c>
      <c r="H2391" s="160">
        <f t="shared" si="68"/>
        <v>19457.4224</v>
      </c>
      <c r="I2391" s="172"/>
      <c r="J2391" s="169"/>
      <c r="K2391" s="172"/>
      <c r="L2391" s="172">
        <f>+'FACUS$'!$H2391-'FACUS$'!$I2391-'FACUS$'!$K2391</f>
        <v>19457.4224</v>
      </c>
      <c r="M2391" s="162" t="s">
        <v>17</v>
      </c>
      <c r="N2391" s="337" t="s">
        <v>554</v>
      </c>
      <c r="O2391" s="338">
        <v>45253.0</v>
      </c>
      <c r="P2391" s="164">
        <f t="array" ref="P2391">XLOOKUP('FACUS$'!$B2391,'perfil de pagos'!$A$4:$A$46,'perfil de pagos'!$C$4:$C$46+'FACUS$'!$D2391)</f>
        <v>45246</v>
      </c>
      <c r="Q2391" s="165">
        <f t="shared" si="66"/>
        <v>0</v>
      </c>
      <c r="R2391" s="167"/>
      <c r="S2391" s="167">
        <v>2613.0</v>
      </c>
      <c r="T2391" s="167"/>
      <c r="U2391" s="334" t="s">
        <v>7271</v>
      </c>
      <c r="V2391" s="168">
        <f t="shared" si="3"/>
        <v>19457.4224</v>
      </c>
      <c r="W2391" s="168">
        <f t="shared" si="4"/>
        <v>0</v>
      </c>
      <c r="X2391" s="168">
        <f t="shared" si="5"/>
        <v>0</v>
      </c>
      <c r="Y2391" s="168">
        <f t="shared" si="6"/>
        <v>0</v>
      </c>
      <c r="Z2391" s="168">
        <f t="shared" si="7"/>
        <v>0</v>
      </c>
      <c r="AA2391" s="168">
        <f t="shared" si="8"/>
        <v>0</v>
      </c>
      <c r="AB2391" s="168">
        <f t="shared" si="9"/>
        <v>0</v>
      </c>
    </row>
    <row r="2392" ht="15.0" customHeight="1">
      <c r="A2392" s="157" t="s">
        <v>9862</v>
      </c>
      <c r="B2392" s="169" t="s">
        <v>17</v>
      </c>
      <c r="C2392" s="169" t="s">
        <v>5584</v>
      </c>
      <c r="D2392" s="317">
        <v>45236.0</v>
      </c>
      <c r="E2392" s="157" t="s">
        <v>600</v>
      </c>
      <c r="F2392" s="160">
        <v>24322.1</v>
      </c>
      <c r="G2392" s="160">
        <f>'FACUS$'!$F2392*0.16</f>
        <v>3891.536</v>
      </c>
      <c r="H2392" s="160">
        <f t="shared" si="68"/>
        <v>28213.636</v>
      </c>
      <c r="I2392" s="172"/>
      <c r="J2392" s="169"/>
      <c r="K2392" s="172"/>
      <c r="L2392" s="172">
        <f>+'FACUS$'!$H2392-'FACUS$'!$I2392-'FACUS$'!$K2392</f>
        <v>28213.636</v>
      </c>
      <c r="M2392" s="162" t="s">
        <v>17</v>
      </c>
      <c r="N2392" s="337" t="s">
        <v>554</v>
      </c>
      <c r="O2392" s="338">
        <v>45253.0</v>
      </c>
      <c r="P2392" s="164">
        <f t="array" ref="P2392">XLOOKUP('FACUS$'!$B2392,'perfil de pagos'!$A$4:$A$46,'perfil de pagos'!$C$4:$C$46+'FACUS$'!$D2392)</f>
        <v>45246</v>
      </c>
      <c r="Q2392" s="165">
        <f t="shared" si="66"/>
        <v>0</v>
      </c>
      <c r="R2392" s="167"/>
      <c r="S2392" s="167">
        <v>2613.0</v>
      </c>
      <c r="T2392" s="167"/>
      <c r="U2392" s="334" t="s">
        <v>7271</v>
      </c>
      <c r="V2392" s="168">
        <f t="shared" si="3"/>
        <v>28213.636</v>
      </c>
      <c r="W2392" s="168">
        <f t="shared" si="4"/>
        <v>0</v>
      </c>
      <c r="X2392" s="168">
        <f t="shared" si="5"/>
        <v>0</v>
      </c>
      <c r="Y2392" s="168">
        <f t="shared" si="6"/>
        <v>0</v>
      </c>
      <c r="Z2392" s="168">
        <f t="shared" si="7"/>
        <v>0</v>
      </c>
      <c r="AA2392" s="168">
        <f t="shared" si="8"/>
        <v>0</v>
      </c>
      <c r="AB2392" s="168">
        <f t="shared" si="9"/>
        <v>0</v>
      </c>
    </row>
    <row r="2393" ht="15.0" customHeight="1">
      <c r="A2393" s="157" t="s">
        <v>9863</v>
      </c>
      <c r="B2393" s="169" t="s">
        <v>34</v>
      </c>
      <c r="C2393" s="169" t="s">
        <v>9861</v>
      </c>
      <c r="D2393" s="317">
        <v>45236.0</v>
      </c>
      <c r="E2393" s="157" t="s">
        <v>600</v>
      </c>
      <c r="F2393" s="160">
        <v>20466.5</v>
      </c>
      <c r="G2393" s="160">
        <f>'FACUS$'!$F2393*0.16</f>
        <v>3274.64</v>
      </c>
      <c r="H2393" s="160">
        <f t="shared" si="68"/>
        <v>23741.14</v>
      </c>
      <c r="I2393" s="172"/>
      <c r="J2393" s="169"/>
      <c r="K2393" s="172"/>
      <c r="L2393" s="172">
        <f>+'FACUS$'!$H2393-'FACUS$'!$I2393-'FACUS$'!$K2393</f>
        <v>23741.14</v>
      </c>
      <c r="M2393" s="162" t="s">
        <v>538</v>
      </c>
      <c r="N2393" s="337" t="s">
        <v>554</v>
      </c>
      <c r="O2393" s="338">
        <v>45268.0</v>
      </c>
      <c r="P2393" s="164">
        <f t="array" ref="P2393">XLOOKUP('FACUS$'!$B2393,'perfil de pagos'!$A$4:$A$46,'perfil de pagos'!$C$4:$C$46+'FACUS$'!$D2393)</f>
        <v>45246</v>
      </c>
      <c r="Q2393" s="165">
        <f t="shared" si="66"/>
        <v>0</v>
      </c>
      <c r="R2393" s="167"/>
      <c r="S2393" s="167">
        <v>2648.0</v>
      </c>
      <c r="T2393" s="167"/>
      <c r="U2393" s="334" t="s">
        <v>7271</v>
      </c>
      <c r="V2393" s="168">
        <f t="shared" si="3"/>
        <v>23741.14</v>
      </c>
      <c r="W2393" s="168">
        <f t="shared" si="4"/>
        <v>0</v>
      </c>
      <c r="X2393" s="168">
        <f t="shared" si="5"/>
        <v>0</v>
      </c>
      <c r="Y2393" s="168">
        <f t="shared" si="6"/>
        <v>0</v>
      </c>
      <c r="Z2393" s="168">
        <f t="shared" si="7"/>
        <v>0</v>
      </c>
      <c r="AA2393" s="168">
        <f t="shared" si="8"/>
        <v>0</v>
      </c>
      <c r="AB2393" s="168">
        <f t="shared" si="9"/>
        <v>0</v>
      </c>
    </row>
    <row r="2394" ht="15.0" customHeight="1">
      <c r="A2394" s="157" t="s">
        <v>9864</v>
      </c>
      <c r="B2394" s="169" t="s">
        <v>34</v>
      </c>
      <c r="C2394" s="169" t="s">
        <v>5584</v>
      </c>
      <c r="D2394" s="317">
        <v>45236.0</v>
      </c>
      <c r="E2394" s="157" t="s">
        <v>600</v>
      </c>
      <c r="F2394" s="160">
        <v>22316.88</v>
      </c>
      <c r="G2394" s="160">
        <f>'FACUS$'!$F2394*0.16</f>
        <v>3570.7008</v>
      </c>
      <c r="H2394" s="160">
        <f t="shared" si="68"/>
        <v>25887.5808</v>
      </c>
      <c r="I2394" s="172"/>
      <c r="J2394" s="169"/>
      <c r="K2394" s="172"/>
      <c r="L2394" s="172">
        <f>+'FACUS$'!$H2394-'FACUS$'!$I2394-'FACUS$'!$K2394</f>
        <v>25887.5808</v>
      </c>
      <c r="M2394" s="162" t="s">
        <v>538</v>
      </c>
      <c r="N2394" s="337" t="s">
        <v>554</v>
      </c>
      <c r="O2394" s="338">
        <v>45268.0</v>
      </c>
      <c r="P2394" s="164">
        <f t="array" ref="P2394">XLOOKUP('FACUS$'!$B2394,'perfil de pagos'!$A$4:$A$46,'perfil de pagos'!$C$4:$C$46+'FACUS$'!$D2394)</f>
        <v>45246</v>
      </c>
      <c r="Q2394" s="165">
        <f t="shared" si="66"/>
        <v>0</v>
      </c>
      <c r="R2394" s="167"/>
      <c r="S2394" s="167">
        <v>2648.0</v>
      </c>
      <c r="T2394" s="167"/>
      <c r="U2394" s="334" t="s">
        <v>7271</v>
      </c>
      <c r="V2394" s="168">
        <f t="shared" si="3"/>
        <v>25887.5808</v>
      </c>
      <c r="W2394" s="168">
        <f t="shared" si="4"/>
        <v>0</v>
      </c>
      <c r="X2394" s="168">
        <f t="shared" si="5"/>
        <v>0</v>
      </c>
      <c r="Y2394" s="168">
        <f t="shared" si="6"/>
        <v>0</v>
      </c>
      <c r="Z2394" s="168">
        <f t="shared" si="7"/>
        <v>0</v>
      </c>
      <c r="AA2394" s="168">
        <f t="shared" si="8"/>
        <v>0</v>
      </c>
      <c r="AB2394" s="168">
        <f t="shared" si="9"/>
        <v>0</v>
      </c>
    </row>
    <row r="2395" ht="15.0" customHeight="1">
      <c r="A2395" s="157" t="s">
        <v>9865</v>
      </c>
      <c r="B2395" s="169" t="s">
        <v>35</v>
      </c>
      <c r="C2395" s="169" t="s">
        <v>5584</v>
      </c>
      <c r="D2395" s="317">
        <v>45236.0</v>
      </c>
      <c r="E2395" s="157" t="s">
        <v>600</v>
      </c>
      <c r="F2395" s="160">
        <v>11225.03</v>
      </c>
      <c r="G2395" s="160">
        <f>'FACUS$'!$F2395*0.16</f>
        <v>1796.0048</v>
      </c>
      <c r="H2395" s="160">
        <f t="shared" si="68"/>
        <v>13021.0348</v>
      </c>
      <c r="I2395" s="172"/>
      <c r="J2395" s="169"/>
      <c r="K2395" s="172"/>
      <c r="L2395" s="172">
        <f>+'FACUS$'!$H2395-'FACUS$'!$I2395-'FACUS$'!$K2395</f>
        <v>13021.0348</v>
      </c>
      <c r="M2395" s="162" t="s">
        <v>276</v>
      </c>
      <c r="N2395" s="337" t="s">
        <v>554</v>
      </c>
      <c r="O2395" s="338">
        <v>45247.0</v>
      </c>
      <c r="P2395" s="164">
        <f t="array" ref="P2395">XLOOKUP('FACUS$'!$B2395,'perfil de pagos'!$A$4:$A$46,'perfil de pagos'!$C$4:$C$46+'FACUS$'!$D2395)</f>
        <v>45246</v>
      </c>
      <c r="Q2395" s="165">
        <f t="shared" si="66"/>
        <v>0</v>
      </c>
      <c r="R2395" s="167"/>
      <c r="S2395" s="167">
        <v>2596.0</v>
      </c>
      <c r="T2395" s="167"/>
      <c r="U2395" s="334" t="s">
        <v>7271</v>
      </c>
      <c r="V2395" s="168">
        <f t="shared" si="3"/>
        <v>13021.0348</v>
      </c>
      <c r="W2395" s="168">
        <f t="shared" si="4"/>
        <v>0</v>
      </c>
      <c r="X2395" s="168">
        <f t="shared" si="5"/>
        <v>0</v>
      </c>
      <c r="Y2395" s="168">
        <f t="shared" si="6"/>
        <v>0</v>
      </c>
      <c r="Z2395" s="168">
        <f t="shared" si="7"/>
        <v>0</v>
      </c>
      <c r="AA2395" s="168">
        <f t="shared" si="8"/>
        <v>0</v>
      </c>
      <c r="AB2395" s="168">
        <f t="shared" si="9"/>
        <v>0</v>
      </c>
    </row>
    <row r="2396" ht="15.0" customHeight="1">
      <c r="A2396" s="157" t="s">
        <v>9866</v>
      </c>
      <c r="B2396" s="169" t="s">
        <v>41</v>
      </c>
      <c r="C2396" s="169" t="s">
        <v>5584</v>
      </c>
      <c r="D2396" s="317">
        <v>45236.0</v>
      </c>
      <c r="E2396" s="157" t="s">
        <v>600</v>
      </c>
      <c r="F2396" s="160">
        <v>63940.26</v>
      </c>
      <c r="G2396" s="160">
        <f>'FACUS$'!$F2396*0.16</f>
        <v>10230.4416</v>
      </c>
      <c r="H2396" s="160">
        <f t="shared" si="68"/>
        <v>74170.7016</v>
      </c>
      <c r="I2396" s="172"/>
      <c r="J2396" s="169"/>
      <c r="K2396" s="172"/>
      <c r="L2396" s="172">
        <f>+'FACUS$'!$H2396-'FACUS$'!$I2396-'FACUS$'!$K2396</f>
        <v>74170.7016</v>
      </c>
      <c r="M2396" s="162" t="s">
        <v>875</v>
      </c>
      <c r="N2396" s="337" t="s">
        <v>554</v>
      </c>
      <c r="O2396" s="338">
        <v>45268.0</v>
      </c>
      <c r="P2396" s="164">
        <f t="array" ref="P2396">XLOOKUP('FACUS$'!$B2396,'perfil de pagos'!$A$4:$A$46,'perfil de pagos'!$C$4:$C$46+'FACUS$'!$D2396)</f>
        <v>45246</v>
      </c>
      <c r="Q2396" s="165">
        <f t="shared" si="66"/>
        <v>0</v>
      </c>
      <c r="R2396" s="167"/>
      <c r="S2396" s="167">
        <v>2653.0</v>
      </c>
      <c r="T2396" s="167"/>
      <c r="U2396" s="334" t="s">
        <v>7271</v>
      </c>
      <c r="V2396" s="168">
        <f t="shared" si="3"/>
        <v>74170.7016</v>
      </c>
      <c r="W2396" s="168">
        <f t="shared" si="4"/>
        <v>0</v>
      </c>
      <c r="X2396" s="168">
        <f t="shared" si="5"/>
        <v>0</v>
      </c>
      <c r="Y2396" s="168">
        <f t="shared" si="6"/>
        <v>0</v>
      </c>
      <c r="Z2396" s="168">
        <f t="shared" si="7"/>
        <v>0</v>
      </c>
      <c r="AA2396" s="168">
        <f t="shared" si="8"/>
        <v>0</v>
      </c>
      <c r="AB2396" s="168">
        <f t="shared" si="9"/>
        <v>0</v>
      </c>
    </row>
    <row r="2397" ht="15.0" customHeight="1">
      <c r="A2397" s="157" t="s">
        <v>9867</v>
      </c>
      <c r="B2397" s="169" t="s">
        <v>42</v>
      </c>
      <c r="C2397" s="169" t="s">
        <v>5584</v>
      </c>
      <c r="D2397" s="317">
        <v>45236.0</v>
      </c>
      <c r="E2397" s="157" t="s">
        <v>600</v>
      </c>
      <c r="F2397" s="160">
        <v>15213.05</v>
      </c>
      <c r="G2397" s="160">
        <f>'FACUS$'!$F2397*0.16</f>
        <v>2434.088</v>
      </c>
      <c r="H2397" s="160">
        <f t="shared" si="68"/>
        <v>17647.138</v>
      </c>
      <c r="I2397" s="172"/>
      <c r="J2397" s="169">
        <v>351.0</v>
      </c>
      <c r="K2397" s="172">
        <f>'NCUS$'!H77</f>
        <v>64.4728</v>
      </c>
      <c r="L2397" s="172">
        <f>+'FACUS$'!$H2397-'FACUS$'!$I2397-'FACUS$'!$K2397</f>
        <v>17582.6652</v>
      </c>
      <c r="M2397" s="162" t="s">
        <v>42</v>
      </c>
      <c r="N2397" s="337" t="s">
        <v>554</v>
      </c>
      <c r="O2397" s="338">
        <v>45247.0</v>
      </c>
      <c r="P2397" s="164">
        <f t="array" ref="P2397">XLOOKUP('FACUS$'!$B2397,'perfil de pagos'!$A$4:$A$46,'perfil de pagos'!$C$4:$C$46+'FACUS$'!$D2397)</f>
        <v>45246</v>
      </c>
      <c r="Q2397" s="165">
        <f t="shared" si="66"/>
        <v>0</v>
      </c>
      <c r="R2397" s="167"/>
      <c r="S2397" s="167">
        <v>2595.0</v>
      </c>
      <c r="T2397" s="167"/>
      <c r="U2397" s="334" t="s">
        <v>7271</v>
      </c>
      <c r="V2397" s="168">
        <f t="shared" si="3"/>
        <v>17582.6652</v>
      </c>
      <c r="W2397" s="168">
        <f t="shared" si="4"/>
        <v>0</v>
      </c>
      <c r="X2397" s="168">
        <f t="shared" si="5"/>
        <v>0</v>
      </c>
      <c r="Y2397" s="168">
        <f t="shared" si="6"/>
        <v>0</v>
      </c>
      <c r="Z2397" s="168">
        <f t="shared" si="7"/>
        <v>0</v>
      </c>
      <c r="AA2397" s="168">
        <f t="shared" si="8"/>
        <v>0</v>
      </c>
      <c r="AB2397" s="168">
        <f t="shared" si="9"/>
        <v>0</v>
      </c>
    </row>
    <row r="2398" ht="15.0" customHeight="1">
      <c r="A2398" s="157" t="s">
        <v>9868</v>
      </c>
      <c r="B2398" s="169" t="s">
        <v>44</v>
      </c>
      <c r="C2398" s="169" t="s">
        <v>5584</v>
      </c>
      <c r="D2398" s="317">
        <v>45236.0</v>
      </c>
      <c r="E2398" s="157" t="s">
        <v>600</v>
      </c>
      <c r="F2398" s="160">
        <v>22969.57</v>
      </c>
      <c r="G2398" s="160">
        <f>'FACUS$'!$F2398*0.16</f>
        <v>3675.1312</v>
      </c>
      <c r="H2398" s="160">
        <f t="shared" si="68"/>
        <v>26644.7012</v>
      </c>
      <c r="I2398" s="172"/>
      <c r="J2398" s="169"/>
      <c r="K2398" s="172"/>
      <c r="L2398" s="172">
        <f>+'FACUS$'!$H2398-'FACUS$'!$I2398-'FACUS$'!$K2398</f>
        <v>26644.7012</v>
      </c>
      <c r="M2398" s="162" t="s">
        <v>361</v>
      </c>
      <c r="N2398" s="337" t="s">
        <v>554</v>
      </c>
      <c r="O2398" s="338">
        <v>45240.0</v>
      </c>
      <c r="P2398" s="164">
        <f t="array" ref="P2398">XLOOKUP('FACUS$'!$B2398,'perfil de pagos'!$A$4:$A$46,'perfil de pagos'!$C$4:$C$46+'FACUS$'!$D2398)</f>
        <v>45246</v>
      </c>
      <c r="Q2398" s="165">
        <f t="shared" si="66"/>
        <v>0</v>
      </c>
      <c r="R2398" s="167"/>
      <c r="S2398" s="167">
        <v>2579.0</v>
      </c>
      <c r="T2398" s="167"/>
      <c r="U2398" s="334" t="s">
        <v>7271</v>
      </c>
      <c r="V2398" s="168">
        <f t="shared" si="3"/>
        <v>26644.7012</v>
      </c>
      <c r="W2398" s="168">
        <f t="shared" si="4"/>
        <v>0</v>
      </c>
      <c r="X2398" s="168">
        <f t="shared" si="5"/>
        <v>0</v>
      </c>
      <c r="Y2398" s="168">
        <f t="shared" si="6"/>
        <v>0</v>
      </c>
      <c r="Z2398" s="168">
        <f t="shared" si="7"/>
        <v>0</v>
      </c>
      <c r="AA2398" s="168">
        <f t="shared" si="8"/>
        <v>0</v>
      </c>
      <c r="AB2398" s="168">
        <f t="shared" si="9"/>
        <v>0</v>
      </c>
    </row>
    <row r="2399" ht="15.0" customHeight="1">
      <c r="A2399" s="157" t="s">
        <v>9869</v>
      </c>
      <c r="B2399" s="169" t="s">
        <v>38</v>
      </c>
      <c r="C2399" s="169" t="s">
        <v>5584</v>
      </c>
      <c r="D2399" s="317">
        <v>45236.0</v>
      </c>
      <c r="E2399" s="157" t="s">
        <v>600</v>
      </c>
      <c r="F2399" s="160">
        <v>92702.61</v>
      </c>
      <c r="G2399" s="160">
        <f>'FACUS$'!$F2399*0.16</f>
        <v>14832.4176</v>
      </c>
      <c r="H2399" s="160">
        <f t="shared" si="68"/>
        <v>107535.0276</v>
      </c>
      <c r="I2399" s="172"/>
      <c r="J2399" s="169"/>
      <c r="K2399" s="172"/>
      <c r="L2399" s="172">
        <f>+'FACUS$'!$H2399-'FACUS$'!$I2399-'FACUS$'!$K2399</f>
        <v>107535.0276</v>
      </c>
      <c r="M2399" s="162" t="s">
        <v>4707</v>
      </c>
      <c r="N2399" s="337" t="s">
        <v>127</v>
      </c>
      <c r="O2399" s="338"/>
      <c r="P2399" s="164">
        <f t="array" ref="P2399">XLOOKUP('FACUS$'!$B2399,'perfil de pagos'!$A$4:$A$46,'perfil de pagos'!$C$4:$C$46+'FACUS$'!$D2399)</f>
        <v>45266</v>
      </c>
      <c r="Q2399" s="165" t="str">
        <f t="shared" si="66"/>
        <v>N/A</v>
      </c>
      <c r="R2399" s="167"/>
      <c r="S2399" s="167"/>
      <c r="T2399" s="167"/>
      <c r="U2399" s="334" t="s">
        <v>7271</v>
      </c>
      <c r="V2399" s="168">
        <f t="shared" si="3"/>
        <v>0</v>
      </c>
      <c r="W2399" s="168">
        <f t="shared" si="4"/>
        <v>0</v>
      </c>
      <c r="X2399" s="168">
        <f t="shared" si="5"/>
        <v>0</v>
      </c>
      <c r="Y2399" s="168">
        <f t="shared" si="6"/>
        <v>0</v>
      </c>
      <c r="Z2399" s="168">
        <f t="shared" si="7"/>
        <v>0</v>
      </c>
      <c r="AA2399" s="168">
        <f t="shared" si="8"/>
        <v>0</v>
      </c>
      <c r="AB2399" s="168">
        <f t="shared" si="9"/>
        <v>107535.0276</v>
      </c>
    </row>
    <row r="2400" ht="15.0" customHeight="1">
      <c r="A2400" s="157" t="s">
        <v>9870</v>
      </c>
      <c r="B2400" s="169" t="s">
        <v>38</v>
      </c>
      <c r="C2400" s="169" t="s">
        <v>5584</v>
      </c>
      <c r="D2400" s="317">
        <v>45236.0</v>
      </c>
      <c r="E2400" s="157" t="s">
        <v>600</v>
      </c>
      <c r="F2400" s="160">
        <v>5281.05</v>
      </c>
      <c r="G2400" s="160">
        <f>'FACUS$'!$F2400*0.16</f>
        <v>844.968</v>
      </c>
      <c r="H2400" s="160">
        <f t="shared" si="68"/>
        <v>6126.018</v>
      </c>
      <c r="I2400" s="172"/>
      <c r="J2400" s="169"/>
      <c r="K2400" s="172"/>
      <c r="L2400" s="172">
        <f>+'FACUS$'!$H2400-'FACUS$'!$I2400-'FACUS$'!$K2400</f>
        <v>6126.018</v>
      </c>
      <c r="M2400" s="162" t="s">
        <v>4654</v>
      </c>
      <c r="N2400" s="337" t="s">
        <v>554</v>
      </c>
      <c r="O2400" s="338">
        <v>45288.0</v>
      </c>
      <c r="P2400" s="164">
        <f t="array" ref="P2400">XLOOKUP('FACUS$'!$B2400,'perfil de pagos'!$A$4:$A$46,'perfil de pagos'!$C$4:$C$46+'FACUS$'!$D2400)</f>
        <v>45266</v>
      </c>
      <c r="Q2400" s="165">
        <f t="shared" si="66"/>
        <v>0</v>
      </c>
      <c r="R2400" s="167"/>
      <c r="S2400" s="167">
        <v>2698.0</v>
      </c>
      <c r="T2400" s="167"/>
      <c r="U2400" s="334" t="s">
        <v>7271</v>
      </c>
      <c r="V2400" s="168">
        <f t="shared" si="3"/>
        <v>6126.018</v>
      </c>
      <c r="W2400" s="168">
        <f t="shared" si="4"/>
        <v>0</v>
      </c>
      <c r="X2400" s="168">
        <f t="shared" si="5"/>
        <v>0</v>
      </c>
      <c r="Y2400" s="168">
        <f t="shared" si="6"/>
        <v>0</v>
      </c>
      <c r="Z2400" s="168">
        <f t="shared" si="7"/>
        <v>0</v>
      </c>
      <c r="AA2400" s="168">
        <f t="shared" si="8"/>
        <v>0</v>
      </c>
      <c r="AB2400" s="168">
        <f t="shared" si="9"/>
        <v>0</v>
      </c>
    </row>
    <row r="2401" ht="15.0" customHeight="1">
      <c r="A2401" s="157" t="s">
        <v>9871</v>
      </c>
      <c r="B2401" s="169" t="s">
        <v>18</v>
      </c>
      <c r="C2401" s="169" t="s">
        <v>5584</v>
      </c>
      <c r="D2401" s="317">
        <v>45239.0</v>
      </c>
      <c r="E2401" s="157" t="s">
        <v>600</v>
      </c>
      <c r="F2401" s="160">
        <v>8330.58</v>
      </c>
      <c r="G2401" s="160">
        <f>'FACUS$'!$F2401*0.16</f>
        <v>1332.8928</v>
      </c>
      <c r="H2401" s="160">
        <f t="shared" si="68"/>
        <v>9663.4728</v>
      </c>
      <c r="I2401" s="172"/>
      <c r="J2401" s="169"/>
      <c r="K2401" s="172"/>
      <c r="L2401" s="172">
        <f>+'FACUS$'!$H2401-'FACUS$'!$I2401-'FACUS$'!$K2401</f>
        <v>9663.4728</v>
      </c>
      <c r="M2401" s="162" t="s">
        <v>586</v>
      </c>
      <c r="N2401" s="337" t="s">
        <v>554</v>
      </c>
      <c r="O2401" s="338">
        <v>45252.0</v>
      </c>
      <c r="P2401" s="164">
        <f t="array" ref="P2401">XLOOKUP('FACUS$'!$B2401,'perfil de pagos'!$A$4:$A$46,'perfil de pagos'!$C$4:$C$46+'FACUS$'!$D2401)</f>
        <v>45249</v>
      </c>
      <c r="Q2401" s="165">
        <f t="shared" si="66"/>
        <v>0</v>
      </c>
      <c r="R2401" s="167"/>
      <c r="S2401" s="167">
        <v>2611.0</v>
      </c>
      <c r="T2401" s="167"/>
      <c r="U2401" s="334" t="s">
        <v>7271</v>
      </c>
      <c r="V2401" s="168">
        <f t="shared" si="3"/>
        <v>9663.4728</v>
      </c>
      <c r="W2401" s="168">
        <f t="shared" si="4"/>
        <v>0</v>
      </c>
      <c r="X2401" s="168">
        <f t="shared" si="5"/>
        <v>0</v>
      </c>
      <c r="Y2401" s="168">
        <f t="shared" si="6"/>
        <v>0</v>
      </c>
      <c r="Z2401" s="168">
        <f t="shared" si="7"/>
        <v>0</v>
      </c>
      <c r="AA2401" s="168">
        <f t="shared" si="8"/>
        <v>0</v>
      </c>
      <c r="AB2401" s="168">
        <f t="shared" si="9"/>
        <v>0</v>
      </c>
    </row>
    <row r="2402" ht="15.0" customHeight="1">
      <c r="A2402" s="157" t="s">
        <v>9872</v>
      </c>
      <c r="B2402" s="169" t="s">
        <v>20</v>
      </c>
      <c r="C2402" s="169" t="s">
        <v>5584</v>
      </c>
      <c r="D2402" s="317">
        <v>45239.0</v>
      </c>
      <c r="E2402" s="157" t="s">
        <v>600</v>
      </c>
      <c r="F2402" s="160">
        <v>12450.56</v>
      </c>
      <c r="G2402" s="160">
        <f>'FACUS$'!$F2402*0.16</f>
        <v>1992.0896</v>
      </c>
      <c r="H2402" s="160">
        <f t="shared" si="68"/>
        <v>14442.6496</v>
      </c>
      <c r="I2402" s="172"/>
      <c r="J2402" s="169"/>
      <c r="K2402" s="172"/>
      <c r="L2402" s="172">
        <f>+'FACUS$'!$H2402-'FACUS$'!$I2402-'FACUS$'!$K2402</f>
        <v>14442.6496</v>
      </c>
      <c r="M2402" s="162" t="s">
        <v>732</v>
      </c>
      <c r="N2402" s="337" t="s">
        <v>554</v>
      </c>
      <c r="O2402" s="338">
        <v>45252.0</v>
      </c>
      <c r="P2402" s="164">
        <f t="array" ref="P2402">XLOOKUP('FACUS$'!$B2402,'perfil de pagos'!$A$4:$A$46,'perfil de pagos'!$C$4:$C$46+'FACUS$'!$D2402)</f>
        <v>45249</v>
      </c>
      <c r="Q2402" s="165">
        <f t="shared" si="66"/>
        <v>0</v>
      </c>
      <c r="R2402" s="167"/>
      <c r="S2402" s="167">
        <v>2611.0</v>
      </c>
      <c r="T2402" s="167"/>
      <c r="U2402" s="334" t="s">
        <v>7271</v>
      </c>
      <c r="V2402" s="168">
        <f t="shared" si="3"/>
        <v>14442.6496</v>
      </c>
      <c r="W2402" s="168">
        <f t="shared" si="4"/>
        <v>0</v>
      </c>
      <c r="X2402" s="168">
        <f t="shared" si="5"/>
        <v>0</v>
      </c>
      <c r="Y2402" s="168">
        <f t="shared" si="6"/>
        <v>0</v>
      </c>
      <c r="Z2402" s="168">
        <f t="shared" si="7"/>
        <v>0</v>
      </c>
      <c r="AA2402" s="168">
        <f t="shared" si="8"/>
        <v>0</v>
      </c>
      <c r="AB2402" s="168">
        <f t="shared" si="9"/>
        <v>0</v>
      </c>
    </row>
    <row r="2403" ht="15.0" customHeight="1">
      <c r="A2403" s="157" t="s">
        <v>9873</v>
      </c>
      <c r="B2403" s="169" t="s">
        <v>22</v>
      </c>
      <c r="C2403" s="169" t="s">
        <v>5584</v>
      </c>
      <c r="D2403" s="317">
        <v>45239.0</v>
      </c>
      <c r="E2403" s="157" t="s">
        <v>600</v>
      </c>
      <c r="F2403" s="160">
        <v>18261.49</v>
      </c>
      <c r="G2403" s="160">
        <f>'FACUS$'!$F2403*0.16</f>
        <v>2921.8384</v>
      </c>
      <c r="H2403" s="160">
        <f t="shared" si="68"/>
        <v>21183.3284</v>
      </c>
      <c r="I2403" s="172"/>
      <c r="J2403" s="169"/>
      <c r="K2403" s="172"/>
      <c r="L2403" s="172">
        <f>+'FACUS$'!$H2403-'FACUS$'!$I2403-'FACUS$'!$K2403</f>
        <v>21183.3284</v>
      </c>
      <c r="M2403" s="162" t="s">
        <v>220</v>
      </c>
      <c r="N2403" s="337" t="s">
        <v>554</v>
      </c>
      <c r="O2403" s="338">
        <v>45287.0</v>
      </c>
      <c r="P2403" s="164">
        <f t="array" ref="P2403">XLOOKUP('FACUS$'!$B2403,'perfil de pagos'!$A$4:$A$46,'perfil de pagos'!$C$4:$C$46+'FACUS$'!$D2403)</f>
        <v>45249</v>
      </c>
      <c r="Q2403" s="165">
        <f t="shared" si="66"/>
        <v>0</v>
      </c>
      <c r="R2403" s="167"/>
      <c r="S2403" s="167">
        <v>2695.0</v>
      </c>
      <c r="T2403" s="167"/>
      <c r="U2403" s="334" t="s">
        <v>7271</v>
      </c>
      <c r="V2403" s="168">
        <f t="shared" si="3"/>
        <v>21183.3284</v>
      </c>
      <c r="W2403" s="168">
        <f t="shared" si="4"/>
        <v>0</v>
      </c>
      <c r="X2403" s="168">
        <f t="shared" si="5"/>
        <v>0</v>
      </c>
      <c r="Y2403" s="168">
        <f t="shared" si="6"/>
        <v>0</v>
      </c>
      <c r="Z2403" s="168">
        <f t="shared" si="7"/>
        <v>0</v>
      </c>
      <c r="AA2403" s="168">
        <f t="shared" si="8"/>
        <v>0</v>
      </c>
      <c r="AB2403" s="168">
        <f t="shared" si="9"/>
        <v>0</v>
      </c>
    </row>
    <row r="2404" ht="15.0" customHeight="1">
      <c r="A2404" s="157" t="s">
        <v>9874</v>
      </c>
      <c r="B2404" s="169" t="s">
        <v>25</v>
      </c>
      <c r="C2404" s="169" t="s">
        <v>5584</v>
      </c>
      <c r="D2404" s="317">
        <v>45239.0</v>
      </c>
      <c r="E2404" s="157" t="s">
        <v>600</v>
      </c>
      <c r="F2404" s="160">
        <v>7172.53</v>
      </c>
      <c r="G2404" s="160">
        <f>'FACUS$'!$F2404*0.16</f>
        <v>1147.6048</v>
      </c>
      <c r="H2404" s="160">
        <f t="shared" si="68"/>
        <v>8320.1348</v>
      </c>
      <c r="I2404" s="172"/>
      <c r="J2404" s="169"/>
      <c r="K2404" s="172"/>
      <c r="L2404" s="172">
        <f>+'FACUS$'!$H2404-'FACUS$'!$I2404-'FACUS$'!$K2404</f>
        <v>8320.1348</v>
      </c>
      <c r="M2404" s="162" t="s">
        <v>4388</v>
      </c>
      <c r="N2404" s="337" t="s">
        <v>554</v>
      </c>
      <c r="O2404" s="338">
        <v>45286.0</v>
      </c>
      <c r="P2404" s="164">
        <f t="array" ref="P2404">XLOOKUP('FACUS$'!$B2404,'perfil de pagos'!$A$4:$A$46,'perfil de pagos'!$C$4:$C$46+'FACUS$'!$D2404)</f>
        <v>45249</v>
      </c>
      <c r="Q2404" s="165">
        <f t="shared" si="66"/>
        <v>0</v>
      </c>
      <c r="R2404" s="167"/>
      <c r="S2404" s="167">
        <v>2700.0</v>
      </c>
      <c r="T2404" s="167"/>
      <c r="U2404" s="334" t="s">
        <v>7271</v>
      </c>
      <c r="V2404" s="168">
        <f t="shared" si="3"/>
        <v>8320.1348</v>
      </c>
      <c r="W2404" s="168">
        <f t="shared" si="4"/>
        <v>0</v>
      </c>
      <c r="X2404" s="168">
        <f t="shared" si="5"/>
        <v>0</v>
      </c>
      <c r="Y2404" s="168">
        <f t="shared" si="6"/>
        <v>0</v>
      </c>
      <c r="Z2404" s="168">
        <f t="shared" si="7"/>
        <v>0</v>
      </c>
      <c r="AA2404" s="168">
        <f t="shared" si="8"/>
        <v>0</v>
      </c>
      <c r="AB2404" s="168">
        <f t="shared" si="9"/>
        <v>0</v>
      </c>
    </row>
    <row r="2405" ht="15.0" customHeight="1">
      <c r="A2405" s="157" t="s">
        <v>9875</v>
      </c>
      <c r="B2405" s="169" t="s">
        <v>37</v>
      </c>
      <c r="C2405" s="169" t="s">
        <v>5584</v>
      </c>
      <c r="D2405" s="317">
        <v>45239.0</v>
      </c>
      <c r="E2405" s="157" t="s">
        <v>600</v>
      </c>
      <c r="F2405" s="160">
        <v>102363.32</v>
      </c>
      <c r="G2405" s="160">
        <f>'FACUS$'!$F2405*0.16</f>
        <v>16378.1312</v>
      </c>
      <c r="H2405" s="160">
        <f t="shared" si="68"/>
        <v>118741.4512</v>
      </c>
      <c r="I2405" s="172"/>
      <c r="J2405" s="169"/>
      <c r="K2405" s="172"/>
      <c r="L2405" s="172">
        <f>+'FACUS$'!$H2405-'FACUS$'!$I2405-'FACUS$'!$K2405</f>
        <v>118741.4512</v>
      </c>
      <c r="M2405" s="162" t="s">
        <v>116</v>
      </c>
      <c r="N2405" s="337" t="s">
        <v>554</v>
      </c>
      <c r="O2405" s="338">
        <v>45251.0</v>
      </c>
      <c r="P2405" s="164">
        <f t="array" ref="P2405">XLOOKUP('FACUS$'!$B2405,'perfil de pagos'!$A$4:$A$46,'perfil de pagos'!$C$4:$C$46+'FACUS$'!$D2405)</f>
        <v>45249</v>
      </c>
      <c r="Q2405" s="165">
        <f t="shared" si="66"/>
        <v>0</v>
      </c>
      <c r="R2405" s="167"/>
      <c r="S2405" s="167">
        <v>2593.0</v>
      </c>
      <c r="T2405" s="167"/>
      <c r="U2405" s="334" t="s">
        <v>7271</v>
      </c>
      <c r="V2405" s="168">
        <f t="shared" si="3"/>
        <v>118741.4512</v>
      </c>
      <c r="W2405" s="168">
        <f t="shared" si="4"/>
        <v>0</v>
      </c>
      <c r="X2405" s="168">
        <f t="shared" si="5"/>
        <v>0</v>
      </c>
      <c r="Y2405" s="168">
        <f t="shared" si="6"/>
        <v>0</v>
      </c>
      <c r="Z2405" s="168">
        <f t="shared" si="7"/>
        <v>0</v>
      </c>
      <c r="AA2405" s="168">
        <f t="shared" si="8"/>
        <v>0</v>
      </c>
      <c r="AB2405" s="168">
        <f t="shared" si="9"/>
        <v>0</v>
      </c>
    </row>
    <row r="2406" ht="15.0" customHeight="1">
      <c r="A2406" s="157" t="s">
        <v>9876</v>
      </c>
      <c r="B2406" s="169" t="s">
        <v>38</v>
      </c>
      <c r="C2406" s="169" t="s">
        <v>5584</v>
      </c>
      <c r="D2406" s="317">
        <v>45239.0</v>
      </c>
      <c r="E2406" s="157" t="s">
        <v>600</v>
      </c>
      <c r="F2406" s="160">
        <v>4073.9</v>
      </c>
      <c r="G2406" s="160">
        <f>'FACUS$'!$F2406*0.16</f>
        <v>651.824</v>
      </c>
      <c r="H2406" s="160">
        <f t="shared" si="68"/>
        <v>4725.724</v>
      </c>
      <c r="I2406" s="172"/>
      <c r="J2406" s="169"/>
      <c r="K2406" s="172"/>
      <c r="L2406" s="172">
        <f>+'FACUS$'!$H2406-'FACUS$'!$I2406-'FACUS$'!$K2406</f>
        <v>4725.724</v>
      </c>
      <c r="M2406" s="162" t="s">
        <v>642</v>
      </c>
      <c r="N2406" s="337" t="s">
        <v>554</v>
      </c>
      <c r="O2406" s="338">
        <v>45288.0</v>
      </c>
      <c r="P2406" s="164">
        <f t="array" ref="P2406">XLOOKUP('FACUS$'!$B2406,'perfil de pagos'!$A$4:$A$46,'perfil de pagos'!$C$4:$C$46+'FACUS$'!$D2406)</f>
        <v>45269</v>
      </c>
      <c r="Q2406" s="165">
        <f t="shared" si="66"/>
        <v>0</v>
      </c>
      <c r="R2406" s="167"/>
      <c r="S2406" s="167">
        <v>2698.0</v>
      </c>
      <c r="T2406" s="167"/>
      <c r="U2406" s="334" t="s">
        <v>7271</v>
      </c>
      <c r="V2406" s="168">
        <f t="shared" si="3"/>
        <v>4725.724</v>
      </c>
      <c r="W2406" s="168">
        <f t="shared" si="4"/>
        <v>0</v>
      </c>
      <c r="X2406" s="168">
        <f t="shared" si="5"/>
        <v>0</v>
      </c>
      <c r="Y2406" s="168">
        <f t="shared" si="6"/>
        <v>0</v>
      </c>
      <c r="Z2406" s="168">
        <f t="shared" si="7"/>
        <v>0</v>
      </c>
      <c r="AA2406" s="168">
        <f t="shared" si="8"/>
        <v>0</v>
      </c>
      <c r="AB2406" s="168">
        <f t="shared" si="9"/>
        <v>0</v>
      </c>
    </row>
    <row r="2407" ht="15.0" customHeight="1">
      <c r="A2407" s="157" t="s">
        <v>9877</v>
      </c>
      <c r="B2407" s="169" t="s">
        <v>38</v>
      </c>
      <c r="C2407" s="169" t="s">
        <v>5584</v>
      </c>
      <c r="D2407" s="317">
        <v>45239.0</v>
      </c>
      <c r="E2407" s="157" t="s">
        <v>600</v>
      </c>
      <c r="F2407" s="160">
        <v>10877.94</v>
      </c>
      <c r="G2407" s="160">
        <f>'FACUS$'!$F2407*0.16</f>
        <v>1740.4704</v>
      </c>
      <c r="H2407" s="160">
        <f t="shared" si="68"/>
        <v>12618.4104</v>
      </c>
      <c r="I2407" s="172"/>
      <c r="J2407" s="169"/>
      <c r="K2407" s="172"/>
      <c r="L2407" s="172">
        <f>+'FACUS$'!$H2407-'FACUS$'!$I2407-'FACUS$'!$K2407</f>
        <v>12618.4104</v>
      </c>
      <c r="M2407" s="162" t="s">
        <v>145</v>
      </c>
      <c r="N2407" s="337" t="s">
        <v>554</v>
      </c>
      <c r="O2407" s="338">
        <v>45288.0</v>
      </c>
      <c r="P2407" s="164">
        <f t="array" ref="P2407">XLOOKUP('FACUS$'!$B2407,'perfil de pagos'!$A$4:$A$46,'perfil de pagos'!$C$4:$C$46+'FACUS$'!$D2407)</f>
        <v>45269</v>
      </c>
      <c r="Q2407" s="165">
        <f t="shared" si="66"/>
        <v>0</v>
      </c>
      <c r="R2407" s="167"/>
      <c r="S2407" s="167">
        <v>2698.0</v>
      </c>
      <c r="T2407" s="167"/>
      <c r="U2407" s="334" t="s">
        <v>7271</v>
      </c>
      <c r="V2407" s="168">
        <f t="shared" si="3"/>
        <v>12618.4104</v>
      </c>
      <c r="W2407" s="168">
        <f t="shared" si="4"/>
        <v>0</v>
      </c>
      <c r="X2407" s="168">
        <f t="shared" si="5"/>
        <v>0</v>
      </c>
      <c r="Y2407" s="168">
        <f t="shared" si="6"/>
        <v>0</v>
      </c>
      <c r="Z2407" s="168">
        <f t="shared" si="7"/>
        <v>0</v>
      </c>
      <c r="AA2407" s="168">
        <f t="shared" si="8"/>
        <v>0</v>
      </c>
      <c r="AB2407" s="168">
        <f t="shared" si="9"/>
        <v>0</v>
      </c>
    </row>
    <row r="2408" ht="15.0" customHeight="1">
      <c r="A2408" s="157" t="s">
        <v>9878</v>
      </c>
      <c r="B2408" s="169" t="s">
        <v>31</v>
      </c>
      <c r="C2408" s="169" t="s">
        <v>9879</v>
      </c>
      <c r="D2408" s="317">
        <v>45239.0</v>
      </c>
      <c r="E2408" s="157" t="s">
        <v>600</v>
      </c>
      <c r="F2408" s="160">
        <v>16500.0</v>
      </c>
      <c r="G2408" s="160">
        <f>'FACUS$'!$F2408*0.16</f>
        <v>2640</v>
      </c>
      <c r="H2408" s="160">
        <f t="shared" si="68"/>
        <v>19140</v>
      </c>
      <c r="I2408" s="172">
        <f>2208.01+6200</f>
        <v>8408.01</v>
      </c>
      <c r="J2408" s="169"/>
      <c r="K2408" s="172"/>
      <c r="L2408" s="172">
        <f>+'FACUS$'!$H2408-'FACUS$'!$I2408-'FACUS$'!$K2408</f>
        <v>10731.99</v>
      </c>
      <c r="M2408" s="162" t="s">
        <v>3183</v>
      </c>
      <c r="N2408" s="337" t="s">
        <v>554</v>
      </c>
      <c r="O2408" s="338">
        <v>45261.0</v>
      </c>
      <c r="P2408" s="164">
        <f t="array" ref="P2408">XLOOKUP('FACUS$'!$B2408,'perfil de pagos'!$A$4:$A$46,'perfil de pagos'!$C$4:$C$46+'FACUS$'!$D2408)</f>
        <v>45242</v>
      </c>
      <c r="Q2408" s="165">
        <f t="shared" si="66"/>
        <v>0</v>
      </c>
      <c r="R2408" s="220" t="s">
        <v>9880</v>
      </c>
      <c r="S2408" s="167">
        <v>2634.0</v>
      </c>
      <c r="T2408" s="167"/>
      <c r="U2408" s="334" t="s">
        <v>7271</v>
      </c>
      <c r="V2408" s="168">
        <f t="shared" si="3"/>
        <v>10731.99</v>
      </c>
      <c r="W2408" s="168">
        <f t="shared" si="4"/>
        <v>0</v>
      </c>
      <c r="X2408" s="168">
        <f t="shared" si="5"/>
        <v>0</v>
      </c>
      <c r="Y2408" s="168">
        <f t="shared" si="6"/>
        <v>0</v>
      </c>
      <c r="Z2408" s="168">
        <f t="shared" si="7"/>
        <v>0</v>
      </c>
      <c r="AA2408" s="168">
        <f t="shared" si="8"/>
        <v>0</v>
      </c>
      <c r="AB2408" s="168">
        <f t="shared" si="9"/>
        <v>0</v>
      </c>
    </row>
    <row r="2409" ht="15.0" customHeight="1">
      <c r="A2409" s="157" t="s">
        <v>9881</v>
      </c>
      <c r="B2409" s="169" t="s">
        <v>17</v>
      </c>
      <c r="C2409" s="169" t="s">
        <v>9882</v>
      </c>
      <c r="D2409" s="317">
        <v>45244.0</v>
      </c>
      <c r="E2409" s="157" t="s">
        <v>600</v>
      </c>
      <c r="F2409" s="160">
        <v>7018.99</v>
      </c>
      <c r="G2409" s="160">
        <f>'FACUS$'!$F2409*0.16</f>
        <v>1123.0384</v>
      </c>
      <c r="H2409" s="160">
        <f t="shared" si="68"/>
        <v>8142.0284</v>
      </c>
      <c r="I2409" s="172"/>
      <c r="J2409" s="169">
        <v>354.0</v>
      </c>
      <c r="K2409" s="172">
        <f>'NCUS$'!H79</f>
        <v>409.48</v>
      </c>
      <c r="L2409" s="172">
        <f>+'FACUS$'!$H2409-'FACUS$'!$I2409-'FACUS$'!$K2409</f>
        <v>7732.5484</v>
      </c>
      <c r="M2409" s="162" t="s">
        <v>17</v>
      </c>
      <c r="N2409" s="337" t="s">
        <v>554</v>
      </c>
      <c r="O2409" s="338">
        <v>45281.0</v>
      </c>
      <c r="P2409" s="164">
        <f t="array" ref="P2409">XLOOKUP('FACUS$'!$B2409,'perfil de pagos'!$A$4:$A$46,'perfil de pagos'!$C$4:$C$46+'FACUS$'!$D2409)</f>
        <v>45254</v>
      </c>
      <c r="Q2409" s="165">
        <f t="shared" si="66"/>
        <v>0</v>
      </c>
      <c r="R2409" s="167"/>
      <c r="S2409" s="167">
        <v>2679.0</v>
      </c>
      <c r="T2409" s="167"/>
      <c r="U2409" s="334" t="s">
        <v>7271</v>
      </c>
      <c r="V2409" s="168">
        <f t="shared" si="3"/>
        <v>7732.5484</v>
      </c>
      <c r="W2409" s="168">
        <f t="shared" si="4"/>
        <v>0</v>
      </c>
      <c r="X2409" s="168">
        <f t="shared" si="5"/>
        <v>0</v>
      </c>
      <c r="Y2409" s="168">
        <f t="shared" si="6"/>
        <v>0</v>
      </c>
      <c r="Z2409" s="168">
        <f t="shared" si="7"/>
        <v>0</v>
      </c>
      <c r="AA2409" s="168">
        <f t="shared" si="8"/>
        <v>0</v>
      </c>
      <c r="AB2409" s="168">
        <f t="shared" si="9"/>
        <v>0</v>
      </c>
    </row>
    <row r="2410" ht="15.0" customHeight="1">
      <c r="A2410" s="157" t="s">
        <v>9883</v>
      </c>
      <c r="B2410" s="169" t="s">
        <v>31</v>
      </c>
      <c r="C2410" s="169" t="s">
        <v>5653</v>
      </c>
      <c r="D2410" s="317">
        <v>45246.0</v>
      </c>
      <c r="E2410" s="157" t="s">
        <v>600</v>
      </c>
      <c r="F2410" s="160">
        <v>4225.86</v>
      </c>
      <c r="G2410" s="160">
        <f>'FACUS$'!$F2410*0.16</f>
        <v>676.1376</v>
      </c>
      <c r="H2410" s="160">
        <f t="shared" si="68"/>
        <v>4901.9976</v>
      </c>
      <c r="I2410" s="172"/>
      <c r="J2410" s="169"/>
      <c r="K2410" s="172"/>
      <c r="L2410" s="172">
        <f>+'FACUS$'!$H2410-'FACUS$'!$I2410-'FACUS$'!$K2410</f>
        <v>4901.9976</v>
      </c>
      <c r="M2410" s="162" t="s">
        <v>3183</v>
      </c>
      <c r="N2410" s="337" t="s">
        <v>554</v>
      </c>
      <c r="O2410" s="338">
        <v>45261.0</v>
      </c>
      <c r="P2410" s="164">
        <f t="array" ref="P2410">XLOOKUP('FACUS$'!$B2410,'perfil de pagos'!$A$4:$A$46,'perfil de pagos'!$C$4:$C$46+'FACUS$'!$D2410)</f>
        <v>45249</v>
      </c>
      <c r="Q2410" s="165">
        <f t="shared" si="66"/>
        <v>0</v>
      </c>
      <c r="R2410" s="167"/>
      <c r="S2410" s="167">
        <v>2634.0</v>
      </c>
      <c r="T2410" s="167"/>
      <c r="U2410" s="334" t="s">
        <v>7271</v>
      </c>
      <c r="V2410" s="168">
        <f t="shared" si="3"/>
        <v>4901.9976</v>
      </c>
      <c r="W2410" s="168">
        <f t="shared" si="4"/>
        <v>0</v>
      </c>
      <c r="X2410" s="168">
        <f t="shared" si="5"/>
        <v>0</v>
      </c>
      <c r="Y2410" s="168">
        <f t="shared" si="6"/>
        <v>0</v>
      </c>
      <c r="Z2410" s="168">
        <f t="shared" si="7"/>
        <v>0</v>
      </c>
      <c r="AA2410" s="168">
        <f t="shared" si="8"/>
        <v>0</v>
      </c>
      <c r="AB2410" s="168">
        <f t="shared" si="9"/>
        <v>0</v>
      </c>
    </row>
    <row r="2411" ht="15.0" customHeight="1">
      <c r="A2411" s="157" t="s">
        <v>9884</v>
      </c>
      <c r="B2411" s="169" t="s">
        <v>15</v>
      </c>
      <c r="C2411" s="169" t="s">
        <v>5653</v>
      </c>
      <c r="D2411" s="317">
        <v>45252.0</v>
      </c>
      <c r="E2411" s="157" t="s">
        <v>600</v>
      </c>
      <c r="F2411" s="160">
        <v>79212.95</v>
      </c>
      <c r="G2411" s="160">
        <f>'FACUS$'!$F2411*0.16</f>
        <v>12674.072</v>
      </c>
      <c r="H2411" s="160">
        <f t="shared" si="68"/>
        <v>91887.022</v>
      </c>
      <c r="I2411" s="172"/>
      <c r="J2411" s="169"/>
      <c r="K2411" s="172"/>
      <c r="L2411" s="172">
        <f>+'FACUS$'!$H2411-'FACUS$'!$I2411-'FACUS$'!$K2411</f>
        <v>91887.022</v>
      </c>
      <c r="M2411" s="162" t="s">
        <v>443</v>
      </c>
      <c r="N2411" s="337" t="s">
        <v>554</v>
      </c>
      <c r="O2411" s="338">
        <v>45267.0</v>
      </c>
      <c r="P2411" s="164">
        <f t="array" ref="P2411">XLOOKUP('FACUS$'!$B2411,'perfil de pagos'!$A$4:$A$46,'perfil de pagos'!$C$4:$C$46+'FACUS$'!$D2411)</f>
        <v>45262</v>
      </c>
      <c r="Q2411" s="165">
        <f t="shared" si="66"/>
        <v>0</v>
      </c>
      <c r="R2411" s="167"/>
      <c r="S2411" s="167">
        <v>2645.0</v>
      </c>
      <c r="T2411" s="167"/>
      <c r="U2411" s="334" t="s">
        <v>7271</v>
      </c>
      <c r="V2411" s="168">
        <f t="shared" si="3"/>
        <v>91887.022</v>
      </c>
      <c r="W2411" s="168">
        <f t="shared" si="4"/>
        <v>0</v>
      </c>
      <c r="X2411" s="168">
        <f t="shared" si="5"/>
        <v>0</v>
      </c>
      <c r="Y2411" s="168">
        <f t="shared" si="6"/>
        <v>0</v>
      </c>
      <c r="Z2411" s="168">
        <f t="shared" si="7"/>
        <v>0</v>
      </c>
      <c r="AA2411" s="168">
        <f t="shared" si="8"/>
        <v>0</v>
      </c>
      <c r="AB2411" s="168">
        <f t="shared" si="9"/>
        <v>0</v>
      </c>
    </row>
    <row r="2412" ht="15.0" customHeight="1">
      <c r="A2412" s="157" t="s">
        <v>9885</v>
      </c>
      <c r="B2412" s="169" t="s">
        <v>32</v>
      </c>
      <c r="C2412" s="169" t="s">
        <v>5653</v>
      </c>
      <c r="D2412" s="317">
        <v>45252.0</v>
      </c>
      <c r="E2412" s="157" t="s">
        <v>600</v>
      </c>
      <c r="F2412" s="160">
        <v>14609.47</v>
      </c>
      <c r="G2412" s="160">
        <f>'FACUS$'!$F2412*0.16</f>
        <v>2337.5152</v>
      </c>
      <c r="H2412" s="160">
        <f t="shared" si="68"/>
        <v>16946.9852</v>
      </c>
      <c r="I2412" s="172"/>
      <c r="J2412" s="169"/>
      <c r="K2412" s="172"/>
      <c r="L2412" s="172">
        <f>+'FACUS$'!$H2412-'FACUS$'!$I2412-'FACUS$'!$K2412</f>
        <v>16946.9852</v>
      </c>
      <c r="M2412" s="162" t="s">
        <v>395</v>
      </c>
      <c r="N2412" s="337" t="s">
        <v>554</v>
      </c>
      <c r="O2412" s="338">
        <v>45289.0</v>
      </c>
      <c r="P2412" s="164">
        <f t="array" ref="P2412">XLOOKUP('FACUS$'!$B2412,'perfil de pagos'!$A$4:$A$46,'perfil de pagos'!$C$4:$C$46+'FACUS$'!$D2412)</f>
        <v>45262</v>
      </c>
      <c r="Q2412" s="165">
        <f t="shared" si="66"/>
        <v>0</v>
      </c>
      <c r="R2412" s="167"/>
      <c r="S2412" s="167">
        <v>2710.0</v>
      </c>
      <c r="T2412" s="167"/>
      <c r="U2412" s="334" t="s">
        <v>7271</v>
      </c>
      <c r="V2412" s="168">
        <f t="shared" si="3"/>
        <v>16946.9852</v>
      </c>
      <c r="W2412" s="168">
        <f t="shared" si="4"/>
        <v>0</v>
      </c>
      <c r="X2412" s="168">
        <f t="shared" si="5"/>
        <v>0</v>
      </c>
      <c r="Y2412" s="168">
        <f t="shared" si="6"/>
        <v>0</v>
      </c>
      <c r="Z2412" s="168">
        <f t="shared" si="7"/>
        <v>0</v>
      </c>
      <c r="AA2412" s="168">
        <f t="shared" si="8"/>
        <v>0</v>
      </c>
      <c r="AB2412" s="168">
        <f t="shared" si="9"/>
        <v>0</v>
      </c>
    </row>
    <row r="2413" ht="15.0" customHeight="1">
      <c r="A2413" s="157" t="s">
        <v>9886</v>
      </c>
      <c r="B2413" s="166" t="s">
        <v>38</v>
      </c>
      <c r="C2413" s="169" t="s">
        <v>5653</v>
      </c>
      <c r="D2413" s="317">
        <v>45252.0</v>
      </c>
      <c r="E2413" s="157" t="s">
        <v>600</v>
      </c>
      <c r="F2413" s="160">
        <v>4038.2</v>
      </c>
      <c r="G2413" s="160">
        <f>'FACUS$'!$F2413*0.16</f>
        <v>646.112</v>
      </c>
      <c r="H2413" s="160">
        <f t="shared" si="68"/>
        <v>4684.312</v>
      </c>
      <c r="I2413" s="172"/>
      <c r="J2413" s="169"/>
      <c r="K2413" s="172"/>
      <c r="L2413" s="172">
        <f>+'FACUS$'!$H2413-'FACUS$'!$I2413-'FACUS$'!$K2413</f>
        <v>4684.312</v>
      </c>
      <c r="M2413" s="162" t="s">
        <v>4654</v>
      </c>
      <c r="N2413" s="337" t="s">
        <v>554</v>
      </c>
      <c r="O2413" s="338">
        <v>45294.0</v>
      </c>
      <c r="P2413" s="164">
        <f t="array" ref="P2413">XLOOKUP('FACUS$'!$B2413,'perfil de pagos'!$A$4:$A$46,'perfil de pagos'!$C$4:$C$46+'FACUS$'!$D2413)</f>
        <v>45282</v>
      </c>
      <c r="Q2413" s="165">
        <f t="shared" si="66"/>
        <v>0</v>
      </c>
      <c r="R2413" s="167"/>
      <c r="S2413" s="167">
        <v>2728.0</v>
      </c>
      <c r="T2413" s="167"/>
      <c r="U2413" s="334" t="s">
        <v>7271</v>
      </c>
      <c r="V2413" s="168">
        <f t="shared" si="3"/>
        <v>4684.312</v>
      </c>
      <c r="W2413" s="168">
        <f t="shared" si="4"/>
        <v>0</v>
      </c>
      <c r="X2413" s="168">
        <f t="shared" si="5"/>
        <v>0</v>
      </c>
      <c r="Y2413" s="168">
        <f t="shared" si="6"/>
        <v>0</v>
      </c>
      <c r="Z2413" s="168">
        <f t="shared" si="7"/>
        <v>0</v>
      </c>
      <c r="AA2413" s="168">
        <f t="shared" si="8"/>
        <v>0</v>
      </c>
      <c r="AB2413" s="168">
        <f t="shared" si="9"/>
        <v>0</v>
      </c>
    </row>
    <row r="2414" ht="15.0" customHeight="1">
      <c r="A2414" s="157" t="s">
        <v>9887</v>
      </c>
      <c r="B2414" s="169" t="s">
        <v>34</v>
      </c>
      <c r="C2414" s="169" t="s">
        <v>9888</v>
      </c>
      <c r="D2414" s="317">
        <v>45252.0</v>
      </c>
      <c r="E2414" s="157" t="s">
        <v>600</v>
      </c>
      <c r="F2414" s="160">
        <v>19595.75</v>
      </c>
      <c r="G2414" s="160">
        <f>'FACUS$'!$F2414*0.16</f>
        <v>3135.32</v>
      </c>
      <c r="H2414" s="160">
        <f t="shared" si="68"/>
        <v>22731.07</v>
      </c>
      <c r="I2414" s="172"/>
      <c r="J2414" s="169"/>
      <c r="K2414" s="172"/>
      <c r="L2414" s="172">
        <f>+'FACUS$'!$H2414-'FACUS$'!$I2414-'FACUS$'!$K2414</f>
        <v>22731.07</v>
      </c>
      <c r="M2414" s="162" t="s">
        <v>538</v>
      </c>
      <c r="N2414" s="337" t="s">
        <v>554</v>
      </c>
      <c r="O2414" s="338">
        <v>45314.0</v>
      </c>
      <c r="P2414" s="164">
        <f t="array" ref="P2414">XLOOKUP('FACUS$'!$B2414,'perfil de pagos'!$A$4:$A$46,'perfil de pagos'!$C$4:$C$46+'FACUS$'!$D2414)</f>
        <v>45262</v>
      </c>
      <c r="Q2414" s="165">
        <f t="shared" si="66"/>
        <v>0</v>
      </c>
      <c r="R2414" s="167"/>
      <c r="S2414" s="167">
        <v>2760.0</v>
      </c>
      <c r="T2414" s="167"/>
      <c r="U2414" s="334" t="s">
        <v>7271</v>
      </c>
      <c r="V2414" s="168">
        <f t="shared" si="3"/>
        <v>22731.07</v>
      </c>
      <c r="W2414" s="168">
        <f t="shared" si="4"/>
        <v>0</v>
      </c>
      <c r="X2414" s="168">
        <f t="shared" si="5"/>
        <v>0</v>
      </c>
      <c r="Y2414" s="168">
        <f t="shared" si="6"/>
        <v>0</v>
      </c>
      <c r="Z2414" s="168">
        <f t="shared" si="7"/>
        <v>0</v>
      </c>
      <c r="AA2414" s="168">
        <f t="shared" si="8"/>
        <v>0</v>
      </c>
      <c r="AB2414" s="168">
        <f t="shared" si="9"/>
        <v>0</v>
      </c>
    </row>
    <row r="2415" ht="15.0" customHeight="1">
      <c r="A2415" s="157" t="s">
        <v>9889</v>
      </c>
      <c r="B2415" s="169" t="s">
        <v>34</v>
      </c>
      <c r="C2415" s="169" t="s">
        <v>5653</v>
      </c>
      <c r="D2415" s="317">
        <v>45252.0</v>
      </c>
      <c r="E2415" s="157" t="s">
        <v>600</v>
      </c>
      <c r="F2415" s="160">
        <v>21643.78</v>
      </c>
      <c r="G2415" s="160">
        <f>'FACUS$'!$F2415*0.16</f>
        <v>3463.0048</v>
      </c>
      <c r="H2415" s="160">
        <f t="shared" si="68"/>
        <v>25106.7848</v>
      </c>
      <c r="I2415" s="172"/>
      <c r="J2415" s="169"/>
      <c r="K2415" s="172"/>
      <c r="L2415" s="172">
        <f>+'FACUS$'!$H2415-'FACUS$'!$I2415-'FACUS$'!$K2415</f>
        <v>25106.7848</v>
      </c>
      <c r="M2415" s="162" t="s">
        <v>538</v>
      </c>
      <c r="N2415" s="337" t="s">
        <v>554</v>
      </c>
      <c r="O2415" s="338">
        <v>45303.0</v>
      </c>
      <c r="P2415" s="164">
        <f t="array" ref="P2415">XLOOKUP('FACUS$'!$B2415,'perfil de pagos'!$A$4:$A$46,'perfil de pagos'!$C$4:$C$46+'FACUS$'!$D2415)</f>
        <v>45262</v>
      </c>
      <c r="Q2415" s="165">
        <f t="shared" si="66"/>
        <v>0</v>
      </c>
      <c r="R2415" s="167"/>
      <c r="S2415" s="167">
        <v>2735.0</v>
      </c>
      <c r="T2415" s="167"/>
      <c r="U2415" s="334" t="s">
        <v>7271</v>
      </c>
      <c r="V2415" s="168">
        <f t="shared" si="3"/>
        <v>25106.7848</v>
      </c>
      <c r="W2415" s="168">
        <f t="shared" si="4"/>
        <v>0</v>
      </c>
      <c r="X2415" s="168">
        <f t="shared" si="5"/>
        <v>0</v>
      </c>
      <c r="Y2415" s="168">
        <f t="shared" si="6"/>
        <v>0</v>
      </c>
      <c r="Z2415" s="168">
        <f t="shared" si="7"/>
        <v>0</v>
      </c>
      <c r="AA2415" s="168">
        <f t="shared" si="8"/>
        <v>0</v>
      </c>
      <c r="AB2415" s="168">
        <f t="shared" si="9"/>
        <v>0</v>
      </c>
    </row>
    <row r="2416" ht="15.0" customHeight="1">
      <c r="A2416" s="157" t="s">
        <v>9890</v>
      </c>
      <c r="B2416" s="169" t="s">
        <v>35</v>
      </c>
      <c r="C2416" s="169" t="s">
        <v>5653</v>
      </c>
      <c r="D2416" s="317">
        <v>45252.0</v>
      </c>
      <c r="E2416" s="157" t="s">
        <v>600</v>
      </c>
      <c r="F2416" s="160">
        <v>11818.73</v>
      </c>
      <c r="G2416" s="160">
        <f>'FACUS$'!$F2416*0.16</f>
        <v>1890.9968</v>
      </c>
      <c r="H2416" s="160">
        <f t="shared" si="68"/>
        <v>13709.7268</v>
      </c>
      <c r="I2416" s="172">
        <v>13513.96</v>
      </c>
      <c r="J2416" s="169"/>
      <c r="K2416" s="172"/>
      <c r="L2416" s="172">
        <f>+'FACUS$'!$H2416-'FACUS$'!$I2416-'FACUS$'!$K2416</f>
        <v>195.7668</v>
      </c>
      <c r="M2416" s="162" t="s">
        <v>276</v>
      </c>
      <c r="N2416" s="337" t="s">
        <v>554</v>
      </c>
      <c r="O2416" s="338">
        <v>45271.0</v>
      </c>
      <c r="P2416" s="164">
        <f t="array" ref="P2416">XLOOKUP('FACUS$'!$B2416,'perfil de pagos'!$A$4:$A$46,'perfil de pagos'!$C$4:$C$46+'FACUS$'!$D2416)</f>
        <v>45262</v>
      </c>
      <c r="Q2416" s="165">
        <f t="shared" si="66"/>
        <v>0</v>
      </c>
      <c r="R2416" s="220" t="s">
        <v>9891</v>
      </c>
      <c r="S2416" s="167" t="s">
        <v>9892</v>
      </c>
      <c r="T2416" s="167"/>
      <c r="U2416" s="334" t="s">
        <v>7271</v>
      </c>
      <c r="V2416" s="168">
        <f t="shared" si="3"/>
        <v>195.7668</v>
      </c>
      <c r="W2416" s="168">
        <f t="shared" si="4"/>
        <v>0</v>
      </c>
      <c r="X2416" s="168">
        <f t="shared" si="5"/>
        <v>0</v>
      </c>
      <c r="Y2416" s="168">
        <f t="shared" si="6"/>
        <v>0</v>
      </c>
      <c r="Z2416" s="168">
        <f t="shared" si="7"/>
        <v>0</v>
      </c>
      <c r="AA2416" s="168">
        <f t="shared" si="8"/>
        <v>0</v>
      </c>
      <c r="AB2416" s="168">
        <f t="shared" si="9"/>
        <v>0</v>
      </c>
    </row>
    <row r="2417" ht="15.0" customHeight="1">
      <c r="A2417" s="157" t="s">
        <v>9893</v>
      </c>
      <c r="B2417" s="169" t="s">
        <v>44</v>
      </c>
      <c r="C2417" s="169" t="s">
        <v>5653</v>
      </c>
      <c r="D2417" s="317">
        <v>45252.0</v>
      </c>
      <c r="E2417" s="157" t="s">
        <v>600</v>
      </c>
      <c r="F2417" s="160">
        <v>10693.03</v>
      </c>
      <c r="G2417" s="160">
        <f>'FACUS$'!$F2417*0.16</f>
        <v>1710.8848</v>
      </c>
      <c r="H2417" s="160">
        <f t="shared" si="68"/>
        <v>12403.9148</v>
      </c>
      <c r="I2417" s="172"/>
      <c r="J2417" s="169"/>
      <c r="K2417" s="172"/>
      <c r="L2417" s="172">
        <f>+'FACUS$'!$H2417-'FACUS$'!$I2417-'FACUS$'!$K2417</f>
        <v>12403.9148</v>
      </c>
      <c r="M2417" s="162" t="s">
        <v>361</v>
      </c>
      <c r="N2417" s="337" t="s">
        <v>554</v>
      </c>
      <c r="O2417" s="338">
        <v>45268.0</v>
      </c>
      <c r="P2417" s="164">
        <f t="array" ref="P2417">XLOOKUP('FACUS$'!$B2417,'perfil de pagos'!$A$4:$A$46,'perfil de pagos'!$C$4:$C$46+'FACUS$'!$D2417)</f>
        <v>45262</v>
      </c>
      <c r="Q2417" s="165">
        <f t="shared" si="66"/>
        <v>0</v>
      </c>
      <c r="R2417" s="167"/>
      <c r="S2417" s="167">
        <v>2650.0</v>
      </c>
      <c r="T2417" s="167"/>
      <c r="U2417" s="334" t="s">
        <v>7271</v>
      </c>
      <c r="V2417" s="168">
        <f t="shared" si="3"/>
        <v>12403.9148</v>
      </c>
      <c r="W2417" s="168">
        <f t="shared" si="4"/>
        <v>0</v>
      </c>
      <c r="X2417" s="168">
        <f t="shared" si="5"/>
        <v>0</v>
      </c>
      <c r="Y2417" s="168">
        <f t="shared" si="6"/>
        <v>0</v>
      </c>
      <c r="Z2417" s="168">
        <f t="shared" si="7"/>
        <v>0</v>
      </c>
      <c r="AA2417" s="168">
        <f t="shared" si="8"/>
        <v>0</v>
      </c>
      <c r="AB2417" s="168">
        <f t="shared" si="9"/>
        <v>0</v>
      </c>
    </row>
    <row r="2418" ht="15.0" customHeight="1">
      <c r="A2418" s="157" t="s">
        <v>9894</v>
      </c>
      <c r="B2418" s="169" t="s">
        <v>41</v>
      </c>
      <c r="C2418" s="169" t="s">
        <v>5653</v>
      </c>
      <c r="D2418" s="317">
        <v>45252.0</v>
      </c>
      <c r="E2418" s="157" t="s">
        <v>600</v>
      </c>
      <c r="F2418" s="160">
        <v>66571.47</v>
      </c>
      <c r="G2418" s="160">
        <f>'FACUS$'!$F2418*0.16</f>
        <v>10651.4352</v>
      </c>
      <c r="H2418" s="160">
        <f t="shared" si="68"/>
        <v>77222.9052</v>
      </c>
      <c r="I2418" s="172"/>
      <c r="J2418" s="169"/>
      <c r="K2418" s="172"/>
      <c r="L2418" s="172">
        <f>+'FACUS$'!$H2418-'FACUS$'!$I2418-'FACUS$'!$K2418</f>
        <v>77222.9052</v>
      </c>
      <c r="M2418" s="162" t="s">
        <v>875</v>
      </c>
      <c r="N2418" s="337" t="s">
        <v>554</v>
      </c>
      <c r="O2418" s="338">
        <v>45289.0</v>
      </c>
      <c r="P2418" s="164">
        <f t="array" ref="P2418">XLOOKUP('FACUS$'!$B2418,'perfil de pagos'!$A$4:$A$46,'perfil de pagos'!$C$4:$C$46+'FACUS$'!$D2418)</f>
        <v>45262</v>
      </c>
      <c r="Q2418" s="165">
        <f t="shared" si="66"/>
        <v>0</v>
      </c>
      <c r="R2418" s="167"/>
      <c r="S2418" s="167">
        <v>2712.0</v>
      </c>
      <c r="T2418" s="167"/>
      <c r="U2418" s="334" t="s">
        <v>7271</v>
      </c>
      <c r="V2418" s="168">
        <f t="shared" si="3"/>
        <v>77222.9052</v>
      </c>
      <c r="W2418" s="168">
        <f t="shared" si="4"/>
        <v>0</v>
      </c>
      <c r="X2418" s="168">
        <f t="shared" si="5"/>
        <v>0</v>
      </c>
      <c r="Y2418" s="168">
        <f t="shared" si="6"/>
        <v>0</v>
      </c>
      <c r="Z2418" s="168">
        <f t="shared" si="7"/>
        <v>0</v>
      </c>
      <c r="AA2418" s="168">
        <f t="shared" si="8"/>
        <v>0</v>
      </c>
      <c r="AB2418" s="168">
        <f t="shared" si="9"/>
        <v>0</v>
      </c>
    </row>
    <row r="2419" ht="15.0" customHeight="1">
      <c r="A2419" s="157" t="s">
        <v>9895</v>
      </c>
      <c r="B2419" s="169" t="s">
        <v>17</v>
      </c>
      <c r="C2419" s="169" t="s">
        <v>9896</v>
      </c>
      <c r="D2419" s="317">
        <v>45252.0</v>
      </c>
      <c r="E2419" s="157" t="s">
        <v>600</v>
      </c>
      <c r="F2419" s="160">
        <v>19381.03</v>
      </c>
      <c r="G2419" s="160">
        <f>'FACUS$'!$F2419*0.16</f>
        <v>3100.9648</v>
      </c>
      <c r="H2419" s="160">
        <f t="shared" si="68"/>
        <v>22481.9948</v>
      </c>
      <c r="I2419" s="172"/>
      <c r="J2419" s="169"/>
      <c r="K2419" s="172"/>
      <c r="L2419" s="172">
        <f>+'FACUS$'!$H2419-'FACUS$'!$I2419-'FACUS$'!$K2419</f>
        <v>22481.9948</v>
      </c>
      <c r="M2419" s="162" t="s">
        <v>17</v>
      </c>
      <c r="N2419" s="337" t="s">
        <v>554</v>
      </c>
      <c r="O2419" s="338">
        <v>45281.0</v>
      </c>
      <c r="P2419" s="164">
        <f t="array" ref="P2419">XLOOKUP('FACUS$'!$B2419,'perfil de pagos'!$A$4:$A$46,'perfil de pagos'!$C$4:$C$46+'FACUS$'!$D2419)</f>
        <v>45262</v>
      </c>
      <c r="Q2419" s="165">
        <f t="shared" si="66"/>
        <v>0</v>
      </c>
      <c r="R2419" s="167"/>
      <c r="S2419" s="167">
        <v>2679.0</v>
      </c>
      <c r="T2419" s="167"/>
      <c r="U2419" s="334" t="s">
        <v>7271</v>
      </c>
      <c r="V2419" s="168">
        <f t="shared" si="3"/>
        <v>22481.9948</v>
      </c>
      <c r="W2419" s="168">
        <f t="shared" si="4"/>
        <v>0</v>
      </c>
      <c r="X2419" s="168">
        <f t="shared" si="5"/>
        <v>0</v>
      </c>
      <c r="Y2419" s="168">
        <f t="shared" si="6"/>
        <v>0</v>
      </c>
      <c r="Z2419" s="168">
        <f t="shared" si="7"/>
        <v>0</v>
      </c>
      <c r="AA2419" s="168">
        <f t="shared" si="8"/>
        <v>0</v>
      </c>
      <c r="AB2419" s="168">
        <f t="shared" si="9"/>
        <v>0</v>
      </c>
    </row>
    <row r="2420" ht="15.0" customHeight="1">
      <c r="A2420" s="157" t="s">
        <v>9897</v>
      </c>
      <c r="B2420" s="169" t="s">
        <v>17</v>
      </c>
      <c r="C2420" s="169" t="s">
        <v>5653</v>
      </c>
      <c r="D2420" s="317">
        <v>45252.0</v>
      </c>
      <c r="E2420" s="157" t="s">
        <v>600</v>
      </c>
      <c r="F2420" s="160">
        <v>30137.71</v>
      </c>
      <c r="G2420" s="160">
        <f>'FACUS$'!$F2420*0.16</f>
        <v>4822.0336</v>
      </c>
      <c r="H2420" s="160">
        <f t="shared" si="68"/>
        <v>34959.7436</v>
      </c>
      <c r="I2420" s="172"/>
      <c r="J2420" s="169"/>
      <c r="K2420" s="172"/>
      <c r="L2420" s="172">
        <f>+'FACUS$'!$H2420-'FACUS$'!$I2420-'FACUS$'!$K2420</f>
        <v>34959.7436</v>
      </c>
      <c r="M2420" s="162" t="s">
        <v>17</v>
      </c>
      <c r="N2420" s="337" t="s">
        <v>554</v>
      </c>
      <c r="O2420" s="338">
        <v>45281.0</v>
      </c>
      <c r="P2420" s="164">
        <f t="array" ref="P2420">XLOOKUP('FACUS$'!$B2420,'perfil de pagos'!$A$4:$A$46,'perfil de pagos'!$C$4:$C$46+'FACUS$'!$D2420)</f>
        <v>45262</v>
      </c>
      <c r="Q2420" s="165">
        <f t="shared" si="66"/>
        <v>0</v>
      </c>
      <c r="R2420" s="167"/>
      <c r="S2420" s="167">
        <v>2679.0</v>
      </c>
      <c r="T2420" s="167"/>
      <c r="U2420" s="334" t="s">
        <v>7271</v>
      </c>
      <c r="V2420" s="168">
        <f t="shared" si="3"/>
        <v>34959.7436</v>
      </c>
      <c r="W2420" s="168">
        <f t="shared" si="4"/>
        <v>0</v>
      </c>
      <c r="X2420" s="168">
        <f t="shared" si="5"/>
        <v>0</v>
      </c>
      <c r="Y2420" s="168">
        <f t="shared" si="6"/>
        <v>0</v>
      </c>
      <c r="Z2420" s="168">
        <f t="shared" si="7"/>
        <v>0</v>
      </c>
      <c r="AA2420" s="168">
        <f t="shared" si="8"/>
        <v>0</v>
      </c>
      <c r="AB2420" s="168">
        <f t="shared" si="9"/>
        <v>0</v>
      </c>
    </row>
    <row r="2421" ht="15.0" customHeight="1">
      <c r="A2421" s="157" t="s">
        <v>9898</v>
      </c>
      <c r="B2421" s="169" t="s">
        <v>42</v>
      </c>
      <c r="C2421" s="169" t="s">
        <v>5653</v>
      </c>
      <c r="D2421" s="317">
        <v>45252.0</v>
      </c>
      <c r="E2421" s="157" t="s">
        <v>600</v>
      </c>
      <c r="F2421" s="160">
        <v>14371.13</v>
      </c>
      <c r="G2421" s="160">
        <f>'FACUS$'!$F2421*0.16</f>
        <v>2299.3808</v>
      </c>
      <c r="H2421" s="160">
        <f t="shared" si="68"/>
        <v>16670.5108</v>
      </c>
      <c r="I2421" s="172"/>
      <c r="J2421" s="169"/>
      <c r="K2421" s="172"/>
      <c r="L2421" s="172">
        <f>+'FACUS$'!$H2421-'FACUS$'!$I2421-'FACUS$'!$K2421</f>
        <v>16670.5108</v>
      </c>
      <c r="M2421" s="162" t="s">
        <v>42</v>
      </c>
      <c r="N2421" s="337" t="s">
        <v>554</v>
      </c>
      <c r="O2421" s="338">
        <v>45268.0</v>
      </c>
      <c r="P2421" s="164">
        <f t="array" ref="P2421">XLOOKUP('FACUS$'!$B2421,'perfil de pagos'!$A$4:$A$46,'perfil de pagos'!$C$4:$C$46+'FACUS$'!$D2421)</f>
        <v>45262</v>
      </c>
      <c r="Q2421" s="165">
        <f t="shared" si="66"/>
        <v>0</v>
      </c>
      <c r="R2421" s="167"/>
      <c r="S2421" s="167">
        <v>2651.0</v>
      </c>
      <c r="T2421" s="167"/>
      <c r="U2421" s="334" t="s">
        <v>7271</v>
      </c>
      <c r="V2421" s="168">
        <f t="shared" si="3"/>
        <v>16670.5108</v>
      </c>
      <c r="W2421" s="168">
        <f t="shared" si="4"/>
        <v>0</v>
      </c>
      <c r="X2421" s="168">
        <f t="shared" si="5"/>
        <v>0</v>
      </c>
      <c r="Y2421" s="168">
        <f t="shared" si="6"/>
        <v>0</v>
      </c>
      <c r="Z2421" s="168">
        <f t="shared" si="7"/>
        <v>0</v>
      </c>
      <c r="AA2421" s="168">
        <f t="shared" si="8"/>
        <v>0</v>
      </c>
      <c r="AB2421" s="168">
        <f t="shared" si="9"/>
        <v>0</v>
      </c>
    </row>
    <row r="2422" ht="15.0" customHeight="1">
      <c r="A2422" s="157" t="s">
        <v>9899</v>
      </c>
      <c r="B2422" s="169" t="s">
        <v>22</v>
      </c>
      <c r="C2422" s="169" t="s">
        <v>5653</v>
      </c>
      <c r="D2422" s="317">
        <v>45253.0</v>
      </c>
      <c r="E2422" s="157" t="s">
        <v>600</v>
      </c>
      <c r="F2422" s="160">
        <v>12589.08</v>
      </c>
      <c r="G2422" s="160">
        <f>'FACUS$'!$F2422*0.16</f>
        <v>2014.2528</v>
      </c>
      <c r="H2422" s="160">
        <f t="shared" si="68"/>
        <v>14603.3328</v>
      </c>
      <c r="I2422" s="172">
        <v>13051.86</v>
      </c>
      <c r="J2422" s="169"/>
      <c r="K2422" s="172"/>
      <c r="L2422" s="172">
        <f>+'FACUS$'!$H2422-'FACUS$'!$I2422-'FACUS$'!$K2422</f>
        <v>1551.4728</v>
      </c>
      <c r="M2422" s="162" t="s">
        <v>220</v>
      </c>
      <c r="N2422" s="337" t="s">
        <v>9900</v>
      </c>
      <c r="O2422" s="338">
        <v>45299.0</v>
      </c>
      <c r="P2422" s="164">
        <f t="array" ref="P2422">XLOOKUP('FACUS$'!$B2422,'perfil de pagos'!$A$4:$A$46,'perfil de pagos'!$C$4:$C$46+'FACUS$'!$D2422)</f>
        <v>45263</v>
      </c>
      <c r="Q2422" s="165">
        <f t="shared" si="66"/>
        <v>0</v>
      </c>
      <c r="R2422" s="220" t="s">
        <v>9901</v>
      </c>
      <c r="S2422" s="167">
        <v>2729.0</v>
      </c>
      <c r="T2422" s="167"/>
      <c r="U2422" s="334"/>
      <c r="V2422" s="168">
        <f t="shared" si="3"/>
        <v>1551.4728</v>
      </c>
      <c r="W2422" s="168">
        <f t="shared" si="4"/>
        <v>0</v>
      </c>
      <c r="X2422" s="168">
        <f t="shared" si="5"/>
        <v>0</v>
      </c>
      <c r="Y2422" s="168">
        <f t="shared" si="6"/>
        <v>0</v>
      </c>
      <c r="Z2422" s="168">
        <f t="shared" si="7"/>
        <v>0</v>
      </c>
      <c r="AA2422" s="168">
        <f t="shared" si="8"/>
        <v>0</v>
      </c>
      <c r="AB2422" s="168">
        <f t="shared" si="9"/>
        <v>0</v>
      </c>
    </row>
    <row r="2423" ht="15.0" customHeight="1">
      <c r="A2423" s="157" t="s">
        <v>9902</v>
      </c>
      <c r="B2423" s="169" t="s">
        <v>25</v>
      </c>
      <c r="C2423" s="169" t="s">
        <v>5653</v>
      </c>
      <c r="D2423" s="317">
        <v>45253.0</v>
      </c>
      <c r="E2423" s="157" t="s">
        <v>600</v>
      </c>
      <c r="F2423" s="160">
        <v>5969.25</v>
      </c>
      <c r="G2423" s="160">
        <f>'FACUS$'!$F2423*0.16</f>
        <v>955.08</v>
      </c>
      <c r="H2423" s="160">
        <f t="shared" si="68"/>
        <v>6924.33</v>
      </c>
      <c r="I2423" s="172"/>
      <c r="J2423" s="169"/>
      <c r="K2423" s="172"/>
      <c r="L2423" s="172">
        <f>+'FACUS$'!$H2423-'FACUS$'!$I2423-'FACUS$'!$K2423</f>
        <v>6924.33</v>
      </c>
      <c r="M2423" s="162" t="s">
        <v>4388</v>
      </c>
      <c r="N2423" s="337" t="s">
        <v>554</v>
      </c>
      <c r="O2423" s="338">
        <v>45286.0</v>
      </c>
      <c r="P2423" s="164">
        <f t="array" ref="P2423">XLOOKUP('FACUS$'!$B2423,'perfil de pagos'!$A$4:$A$46,'perfil de pagos'!$C$4:$C$46+'FACUS$'!$D2423)</f>
        <v>45263</v>
      </c>
      <c r="Q2423" s="165">
        <f t="shared" si="66"/>
        <v>0</v>
      </c>
      <c r="R2423" s="167"/>
      <c r="S2423" s="167">
        <v>2700.0</v>
      </c>
      <c r="T2423" s="167"/>
      <c r="U2423" s="334"/>
      <c r="V2423" s="168">
        <f t="shared" si="3"/>
        <v>6924.33</v>
      </c>
      <c r="W2423" s="168">
        <f t="shared" si="4"/>
        <v>0</v>
      </c>
      <c r="X2423" s="168">
        <f t="shared" si="5"/>
        <v>0</v>
      </c>
      <c r="Y2423" s="168">
        <f t="shared" si="6"/>
        <v>0</v>
      </c>
      <c r="Z2423" s="168">
        <f t="shared" si="7"/>
        <v>0</v>
      </c>
      <c r="AA2423" s="168">
        <f t="shared" si="8"/>
        <v>0</v>
      </c>
      <c r="AB2423" s="168">
        <f t="shared" si="9"/>
        <v>0</v>
      </c>
    </row>
    <row r="2424" ht="15.0" customHeight="1">
      <c r="A2424" s="157" t="s">
        <v>9903</v>
      </c>
      <c r="B2424" s="169" t="s">
        <v>38</v>
      </c>
      <c r="C2424" s="169" t="s">
        <v>5653</v>
      </c>
      <c r="D2424" s="317">
        <v>45253.0</v>
      </c>
      <c r="E2424" s="157" t="s">
        <v>600</v>
      </c>
      <c r="F2424" s="160">
        <v>3319.36</v>
      </c>
      <c r="G2424" s="160">
        <f>'FACUS$'!$F2424*0.16</f>
        <v>531.0976</v>
      </c>
      <c r="H2424" s="160">
        <f t="shared" si="68"/>
        <v>3850.4576</v>
      </c>
      <c r="I2424" s="172"/>
      <c r="J2424" s="169"/>
      <c r="K2424" s="172"/>
      <c r="L2424" s="172">
        <f>+'FACUS$'!$H2424-'FACUS$'!$I2424-'FACUS$'!$K2424</f>
        <v>3850.4576</v>
      </c>
      <c r="M2424" s="162" t="s">
        <v>642</v>
      </c>
      <c r="N2424" s="337" t="s">
        <v>554</v>
      </c>
      <c r="O2424" s="338">
        <v>45301.0</v>
      </c>
      <c r="P2424" s="164">
        <f t="array" ref="P2424">XLOOKUP('FACUS$'!$B2424,'perfil de pagos'!$A$4:$A$46,'perfil de pagos'!$C$4:$C$46+'FACUS$'!$D2424)</f>
        <v>45283</v>
      </c>
      <c r="Q2424" s="165">
        <f t="shared" si="66"/>
        <v>0</v>
      </c>
      <c r="R2424" s="167"/>
      <c r="S2424" s="167">
        <v>2725.0</v>
      </c>
      <c r="T2424" s="167"/>
      <c r="U2424" s="334"/>
      <c r="V2424" s="168">
        <f t="shared" si="3"/>
        <v>3850.4576</v>
      </c>
      <c r="W2424" s="168">
        <f t="shared" si="4"/>
        <v>0</v>
      </c>
      <c r="X2424" s="168">
        <f t="shared" si="5"/>
        <v>0</v>
      </c>
      <c r="Y2424" s="168">
        <f t="shared" si="6"/>
        <v>0</v>
      </c>
      <c r="Z2424" s="168">
        <f t="shared" si="7"/>
        <v>0</v>
      </c>
      <c r="AA2424" s="168">
        <f t="shared" si="8"/>
        <v>0</v>
      </c>
      <c r="AB2424" s="168">
        <f t="shared" si="9"/>
        <v>0</v>
      </c>
    </row>
    <row r="2425" ht="15.0" customHeight="1">
      <c r="A2425" s="157" t="s">
        <v>9904</v>
      </c>
      <c r="B2425" s="169" t="s">
        <v>38</v>
      </c>
      <c r="C2425" s="169" t="s">
        <v>5653</v>
      </c>
      <c r="D2425" s="317">
        <v>45253.0</v>
      </c>
      <c r="E2425" s="157" t="s">
        <v>600</v>
      </c>
      <c r="F2425" s="160">
        <v>5386.87</v>
      </c>
      <c r="G2425" s="160">
        <f>'FACUS$'!$F2425*0.16</f>
        <v>861.8992</v>
      </c>
      <c r="H2425" s="160">
        <f t="shared" si="68"/>
        <v>6248.7692</v>
      </c>
      <c r="I2425" s="172"/>
      <c r="J2425" s="169"/>
      <c r="K2425" s="172"/>
      <c r="L2425" s="172">
        <f>+'FACUS$'!$H2425-'FACUS$'!$I2425-'FACUS$'!$K2425</f>
        <v>6248.7692</v>
      </c>
      <c r="M2425" s="162" t="s">
        <v>145</v>
      </c>
      <c r="N2425" s="337" t="s">
        <v>554</v>
      </c>
      <c r="O2425" s="338">
        <v>45301.0</v>
      </c>
      <c r="P2425" s="164">
        <f t="array" ref="P2425">XLOOKUP('FACUS$'!$B2425,'perfil de pagos'!$A$4:$A$46,'perfil de pagos'!$C$4:$C$46+'FACUS$'!$D2425)</f>
        <v>45283</v>
      </c>
      <c r="Q2425" s="165">
        <f t="shared" si="66"/>
        <v>0</v>
      </c>
      <c r="R2425" s="167"/>
      <c r="S2425" s="167">
        <v>2725.0</v>
      </c>
      <c r="T2425" s="167"/>
      <c r="U2425" s="334"/>
      <c r="V2425" s="168">
        <f t="shared" si="3"/>
        <v>6248.7692</v>
      </c>
      <c r="W2425" s="168">
        <f t="shared" si="4"/>
        <v>0</v>
      </c>
      <c r="X2425" s="168">
        <f t="shared" si="5"/>
        <v>0</v>
      </c>
      <c r="Y2425" s="168">
        <f t="shared" si="6"/>
        <v>0</v>
      </c>
      <c r="Z2425" s="168">
        <f t="shared" si="7"/>
        <v>0</v>
      </c>
      <c r="AA2425" s="168">
        <f t="shared" si="8"/>
        <v>0</v>
      </c>
      <c r="AB2425" s="168">
        <f t="shared" si="9"/>
        <v>0</v>
      </c>
    </row>
    <row r="2426" ht="15.0" customHeight="1">
      <c r="A2426" s="157" t="s">
        <v>9905</v>
      </c>
      <c r="B2426" s="169" t="s">
        <v>37</v>
      </c>
      <c r="C2426" s="169" t="s">
        <v>5653</v>
      </c>
      <c r="D2426" s="317">
        <v>45252.0</v>
      </c>
      <c r="E2426" s="157" t="s">
        <v>600</v>
      </c>
      <c r="F2426" s="160">
        <v>89229.28</v>
      </c>
      <c r="G2426" s="160">
        <f>'FACUS$'!$F2426*0.16</f>
        <v>14276.6848</v>
      </c>
      <c r="H2426" s="160">
        <f t="shared" si="68"/>
        <v>103505.9648</v>
      </c>
      <c r="I2426" s="172"/>
      <c r="J2426" s="169"/>
      <c r="K2426" s="172"/>
      <c r="L2426" s="172">
        <f>+'FACUS$'!$H2426-'FACUS$'!$I2426-'FACUS$'!$K2426</f>
        <v>103505.9648</v>
      </c>
      <c r="M2426" s="162" t="s">
        <v>116</v>
      </c>
      <c r="N2426" s="337" t="s">
        <v>554</v>
      </c>
      <c r="O2426" s="338">
        <v>45264.0</v>
      </c>
      <c r="P2426" s="164">
        <f t="array" ref="P2426">XLOOKUP('FACUS$'!$B2426,'perfil de pagos'!$A$4:$A$46,'perfil de pagos'!$C$4:$C$46+'FACUS$'!$D2426)</f>
        <v>45262</v>
      </c>
      <c r="Q2426" s="165">
        <f t="shared" si="66"/>
        <v>0</v>
      </c>
      <c r="R2426" s="167"/>
      <c r="S2426" s="167">
        <v>2631.0</v>
      </c>
      <c r="T2426" s="167"/>
      <c r="U2426" s="334"/>
      <c r="V2426" s="168">
        <f t="shared" si="3"/>
        <v>103505.9648</v>
      </c>
      <c r="W2426" s="168">
        <f t="shared" si="4"/>
        <v>0</v>
      </c>
      <c r="X2426" s="168">
        <f t="shared" si="5"/>
        <v>0</v>
      </c>
      <c r="Y2426" s="168">
        <f t="shared" si="6"/>
        <v>0</v>
      </c>
      <c r="Z2426" s="168">
        <f t="shared" si="7"/>
        <v>0</v>
      </c>
      <c r="AA2426" s="168">
        <f t="shared" si="8"/>
        <v>0</v>
      </c>
      <c r="AB2426" s="168">
        <f t="shared" si="9"/>
        <v>0</v>
      </c>
    </row>
    <row r="2427" ht="15.0" customHeight="1">
      <c r="A2427" s="157" t="s">
        <v>9906</v>
      </c>
      <c r="B2427" s="169" t="s">
        <v>20</v>
      </c>
      <c r="C2427" s="169" t="s">
        <v>5653</v>
      </c>
      <c r="D2427" s="317">
        <v>45253.0</v>
      </c>
      <c r="E2427" s="157" t="s">
        <v>600</v>
      </c>
      <c r="F2427" s="160">
        <v>15038.42</v>
      </c>
      <c r="G2427" s="160">
        <f>'FACUS$'!$F2427*0.16</f>
        <v>2406.1472</v>
      </c>
      <c r="H2427" s="160">
        <f t="shared" si="68"/>
        <v>17444.5672</v>
      </c>
      <c r="I2427" s="172"/>
      <c r="J2427" s="169"/>
      <c r="K2427" s="172"/>
      <c r="L2427" s="172">
        <f>+'FACUS$'!$H2427-'FACUS$'!$I2427-'FACUS$'!$K2427</f>
        <v>17444.5672</v>
      </c>
      <c r="M2427" s="162" t="s">
        <v>732</v>
      </c>
      <c r="N2427" s="337" t="s">
        <v>554</v>
      </c>
      <c r="O2427" s="338">
        <v>45260.0</v>
      </c>
      <c r="P2427" s="164">
        <f t="array" ref="P2427">XLOOKUP('FACUS$'!$B2427,'perfil de pagos'!$A$4:$A$46,'perfil de pagos'!$C$4:$C$46+'FACUS$'!$D2427)</f>
        <v>45263</v>
      </c>
      <c r="Q2427" s="165">
        <f t="shared" si="66"/>
        <v>0</v>
      </c>
      <c r="R2427" s="167"/>
      <c r="S2427" s="167">
        <v>2624.0</v>
      </c>
      <c r="T2427" s="167"/>
      <c r="U2427" s="334" t="s">
        <v>7271</v>
      </c>
      <c r="V2427" s="168">
        <f t="shared" si="3"/>
        <v>17444.5672</v>
      </c>
      <c r="W2427" s="168">
        <f t="shared" si="4"/>
        <v>0</v>
      </c>
      <c r="X2427" s="168">
        <f t="shared" si="5"/>
        <v>0</v>
      </c>
      <c r="Y2427" s="168">
        <f t="shared" si="6"/>
        <v>0</v>
      </c>
      <c r="Z2427" s="168">
        <f t="shared" si="7"/>
        <v>0</v>
      </c>
      <c r="AA2427" s="168">
        <f t="shared" si="8"/>
        <v>0</v>
      </c>
      <c r="AB2427" s="168">
        <f t="shared" si="9"/>
        <v>0</v>
      </c>
    </row>
    <row r="2428" ht="15.0" customHeight="1">
      <c r="A2428" s="157" t="s">
        <v>9907</v>
      </c>
      <c r="B2428" s="169" t="s">
        <v>18</v>
      </c>
      <c r="C2428" s="169" t="s">
        <v>5653</v>
      </c>
      <c r="D2428" s="317">
        <v>45253.0</v>
      </c>
      <c r="E2428" s="157" t="s">
        <v>600</v>
      </c>
      <c r="F2428" s="160">
        <v>6659.49</v>
      </c>
      <c r="G2428" s="160">
        <f>'FACUS$'!$F2428*0.16</f>
        <v>1065.5184</v>
      </c>
      <c r="H2428" s="160">
        <f t="shared" si="68"/>
        <v>7725.0084</v>
      </c>
      <c r="I2428" s="172"/>
      <c r="J2428" s="169"/>
      <c r="K2428" s="172"/>
      <c r="L2428" s="172">
        <f>+'FACUS$'!$H2428-'FACUS$'!$I2428-'FACUS$'!$K2428</f>
        <v>7725.0084</v>
      </c>
      <c r="M2428" s="162" t="s">
        <v>586</v>
      </c>
      <c r="N2428" s="337" t="s">
        <v>554</v>
      </c>
      <c r="O2428" s="338">
        <v>45260.0</v>
      </c>
      <c r="P2428" s="164">
        <f t="array" ref="P2428">XLOOKUP('FACUS$'!$B2428,'perfil de pagos'!$A$4:$A$46,'perfil de pagos'!$C$4:$C$46+'FACUS$'!$D2428)</f>
        <v>45263</v>
      </c>
      <c r="Q2428" s="165">
        <f t="shared" si="66"/>
        <v>0</v>
      </c>
      <c r="R2428" s="167"/>
      <c r="S2428" s="167">
        <v>2624.0</v>
      </c>
      <c r="T2428" s="167"/>
      <c r="U2428" s="334" t="s">
        <v>7271</v>
      </c>
      <c r="V2428" s="168">
        <f t="shared" si="3"/>
        <v>7725.0084</v>
      </c>
      <c r="W2428" s="168">
        <f t="shared" si="4"/>
        <v>0</v>
      </c>
      <c r="X2428" s="168">
        <f t="shared" si="5"/>
        <v>0</v>
      </c>
      <c r="Y2428" s="168">
        <f t="shared" si="6"/>
        <v>0</v>
      </c>
      <c r="Z2428" s="168">
        <f t="shared" si="7"/>
        <v>0</v>
      </c>
      <c r="AA2428" s="168">
        <f t="shared" si="8"/>
        <v>0</v>
      </c>
      <c r="AB2428" s="168">
        <f t="shared" si="9"/>
        <v>0</v>
      </c>
    </row>
    <row r="2429" ht="15.0" customHeight="1">
      <c r="A2429" s="157" t="s">
        <v>9908</v>
      </c>
      <c r="B2429" s="169" t="s">
        <v>31</v>
      </c>
      <c r="C2429" s="169" t="s">
        <v>9909</v>
      </c>
      <c r="D2429" s="317">
        <v>45257.0</v>
      </c>
      <c r="E2429" s="157" t="s">
        <v>600</v>
      </c>
      <c r="F2429" s="160">
        <v>19913.57</v>
      </c>
      <c r="G2429" s="160">
        <f>'FACUS$'!$F2429*0.16</f>
        <v>3186.1712</v>
      </c>
      <c r="H2429" s="160">
        <f t="shared" si="68"/>
        <v>23099.7412</v>
      </c>
      <c r="I2429" s="172">
        <f>6590.49+2088.57</f>
        <v>8679.06</v>
      </c>
      <c r="J2429" s="169">
        <f>+'NCUS$'!A78</f>
        <v>353</v>
      </c>
      <c r="K2429" s="172">
        <f>'NCUS$'!H78</f>
        <v>12882.0668</v>
      </c>
      <c r="L2429" s="172">
        <f>+'FACUS$'!$H2429-'FACUS$'!$I2429-'FACUS$'!$K2429</f>
        <v>1538.6144</v>
      </c>
      <c r="M2429" s="162" t="s">
        <v>3183</v>
      </c>
      <c r="N2429" s="337" t="s">
        <v>554</v>
      </c>
      <c r="O2429" s="338">
        <v>45293.0</v>
      </c>
      <c r="P2429" s="164">
        <f t="array" ref="P2429">XLOOKUP('FACUS$'!$B2429,'perfil de pagos'!$A$4:$A$46,'perfil de pagos'!$C$4:$C$46+'FACUS$'!$D2429)</f>
        <v>45260</v>
      </c>
      <c r="Q2429" s="165">
        <f t="shared" si="66"/>
        <v>0</v>
      </c>
      <c r="R2429" s="167" t="s">
        <v>9910</v>
      </c>
      <c r="S2429" s="220" t="s">
        <v>9911</v>
      </c>
      <c r="T2429" s="167"/>
      <c r="U2429" s="334" t="s">
        <v>7271</v>
      </c>
      <c r="V2429" s="168">
        <f t="shared" si="3"/>
        <v>1538.6144</v>
      </c>
      <c r="W2429" s="168">
        <f t="shared" si="4"/>
        <v>0</v>
      </c>
      <c r="X2429" s="168">
        <f t="shared" si="5"/>
        <v>0</v>
      </c>
      <c r="Y2429" s="168">
        <f t="shared" si="6"/>
        <v>0</v>
      </c>
      <c r="Z2429" s="168">
        <f t="shared" si="7"/>
        <v>0</v>
      </c>
      <c r="AA2429" s="168">
        <f t="shared" si="8"/>
        <v>0</v>
      </c>
      <c r="AB2429" s="168">
        <f t="shared" si="9"/>
        <v>0</v>
      </c>
    </row>
    <row r="2430" ht="15.0" customHeight="1">
      <c r="A2430" s="157" t="s">
        <v>9912</v>
      </c>
      <c r="B2430" s="169" t="s">
        <v>17</v>
      </c>
      <c r="C2430" s="169" t="s">
        <v>5679</v>
      </c>
      <c r="D2430" s="317">
        <v>45257.0</v>
      </c>
      <c r="E2430" s="157" t="s">
        <v>600</v>
      </c>
      <c r="F2430" s="160">
        <v>30962.24</v>
      </c>
      <c r="G2430" s="160">
        <f>'FACUS$'!$F2430*0.16</f>
        <v>4953.9584</v>
      </c>
      <c r="H2430" s="160">
        <f t="shared" si="68"/>
        <v>35916.1984</v>
      </c>
      <c r="I2430" s="172"/>
      <c r="J2430" s="169"/>
      <c r="K2430" s="172"/>
      <c r="L2430" s="172">
        <f>+'FACUS$'!$H2430-'FACUS$'!$I2430-'FACUS$'!$K2430</f>
        <v>35916.1984</v>
      </c>
      <c r="M2430" s="162" t="s">
        <v>17</v>
      </c>
      <c r="N2430" s="337" t="s">
        <v>554</v>
      </c>
      <c r="O2430" s="338">
        <v>45268.0</v>
      </c>
      <c r="P2430" s="164">
        <v>45275.0</v>
      </c>
      <c r="Q2430" s="165">
        <f t="shared" si="66"/>
        <v>0</v>
      </c>
      <c r="R2430" s="167"/>
      <c r="S2430" s="167">
        <v>2646.0</v>
      </c>
      <c r="T2430" s="167"/>
      <c r="U2430" s="334" t="s">
        <v>7271</v>
      </c>
      <c r="V2430" s="168">
        <f t="shared" si="3"/>
        <v>35916.1984</v>
      </c>
      <c r="W2430" s="168">
        <f t="shared" si="4"/>
        <v>0</v>
      </c>
      <c r="X2430" s="168">
        <f t="shared" si="5"/>
        <v>0</v>
      </c>
      <c r="Y2430" s="168">
        <f t="shared" si="6"/>
        <v>0</v>
      </c>
      <c r="Z2430" s="168">
        <f t="shared" si="7"/>
        <v>0</v>
      </c>
      <c r="AA2430" s="168">
        <f t="shared" si="8"/>
        <v>0</v>
      </c>
      <c r="AB2430" s="168">
        <f t="shared" si="9"/>
        <v>0</v>
      </c>
    </row>
    <row r="2431" ht="15.0" customHeight="1">
      <c r="A2431" s="157" t="s">
        <v>9913</v>
      </c>
      <c r="B2431" s="169" t="s">
        <v>17</v>
      </c>
      <c r="C2431" s="169" t="s">
        <v>5682</v>
      </c>
      <c r="D2431" s="317">
        <v>45257.0</v>
      </c>
      <c r="E2431" s="157" t="s">
        <v>600</v>
      </c>
      <c r="F2431" s="160">
        <v>47739.43</v>
      </c>
      <c r="G2431" s="160">
        <f>'FACUS$'!$F2431*0.16</f>
        <v>7638.3088</v>
      </c>
      <c r="H2431" s="160">
        <f t="shared" si="68"/>
        <v>55377.7388</v>
      </c>
      <c r="I2431" s="172"/>
      <c r="J2431" s="169"/>
      <c r="K2431" s="172"/>
      <c r="L2431" s="172">
        <f>+'FACUS$'!$H2431-'FACUS$'!$I2431-'FACUS$'!$K2431</f>
        <v>55377.7388</v>
      </c>
      <c r="M2431" s="162" t="s">
        <v>17</v>
      </c>
      <c r="N2431" s="337" t="s">
        <v>554</v>
      </c>
      <c r="O2431" s="338">
        <v>45268.0</v>
      </c>
      <c r="P2431" s="164">
        <v>45275.0</v>
      </c>
      <c r="Q2431" s="165">
        <f t="shared" si="66"/>
        <v>0</v>
      </c>
      <c r="R2431" s="167"/>
      <c r="S2431" s="167">
        <v>2646.0</v>
      </c>
      <c r="T2431" s="167"/>
      <c r="U2431" s="334" t="s">
        <v>7271</v>
      </c>
      <c r="V2431" s="168">
        <f t="shared" si="3"/>
        <v>55377.7388</v>
      </c>
      <c r="W2431" s="168">
        <f t="shared" si="4"/>
        <v>0</v>
      </c>
      <c r="X2431" s="168">
        <f t="shared" si="5"/>
        <v>0</v>
      </c>
      <c r="Y2431" s="168">
        <f t="shared" si="6"/>
        <v>0</v>
      </c>
      <c r="Z2431" s="168">
        <f t="shared" si="7"/>
        <v>0</v>
      </c>
      <c r="AA2431" s="168">
        <f t="shared" si="8"/>
        <v>0</v>
      </c>
      <c r="AB2431" s="168">
        <f t="shared" si="9"/>
        <v>0</v>
      </c>
    </row>
    <row r="2432" ht="15.0" customHeight="1">
      <c r="A2432" s="157" t="s">
        <v>9914</v>
      </c>
      <c r="B2432" s="169" t="s">
        <v>146</v>
      </c>
      <c r="C2432" s="169"/>
      <c r="D2432" s="317"/>
      <c r="E2432" s="157" t="s">
        <v>600</v>
      </c>
      <c r="F2432" s="160"/>
      <c r="G2432" s="160">
        <f>'FACUS$'!$F2432*0.16</f>
        <v>0</v>
      </c>
      <c r="H2432" s="160">
        <f t="shared" si="68"/>
        <v>0</v>
      </c>
      <c r="I2432" s="172"/>
      <c r="J2432" s="169"/>
      <c r="K2432" s="172"/>
      <c r="L2432" s="172">
        <f>+'FACUS$'!$H2432-'FACUS$'!$I2432-'FACUS$'!$K2432</f>
        <v>0</v>
      </c>
      <c r="M2432" s="162"/>
      <c r="N2432" s="337" t="s">
        <v>127</v>
      </c>
      <c r="O2432" s="338"/>
      <c r="P2432" s="164" t="str">
        <f t="array" ref="P2432">XLOOKUP('FACUS$'!$B2432,'perfil de pagos'!$A$4:$A$46,'perfil de pagos'!$C$4:$C$46+'FACUS$'!$D2432)</f>
        <v>#N/A</v>
      </c>
      <c r="Q2432" s="165" t="str">
        <f t="shared" si="66"/>
        <v>N/A</v>
      </c>
      <c r="R2432" s="167"/>
      <c r="S2432" s="167"/>
      <c r="T2432" s="167"/>
      <c r="U2432" s="334" t="s">
        <v>7271</v>
      </c>
      <c r="V2432" s="168">
        <f t="shared" si="3"/>
        <v>0</v>
      </c>
      <c r="W2432" s="168">
        <f t="shared" si="4"/>
        <v>0</v>
      </c>
      <c r="X2432" s="168">
        <f t="shared" si="5"/>
        <v>0</v>
      </c>
      <c r="Y2432" s="168">
        <f t="shared" si="6"/>
        <v>0</v>
      </c>
      <c r="Z2432" s="168">
        <f t="shared" si="7"/>
        <v>0</v>
      </c>
      <c r="AA2432" s="168">
        <f t="shared" si="8"/>
        <v>0</v>
      </c>
      <c r="AB2432" s="168">
        <f t="shared" si="9"/>
        <v>0</v>
      </c>
    </row>
    <row r="2433" ht="15.0" customHeight="1">
      <c r="A2433" s="157" t="s">
        <v>9915</v>
      </c>
      <c r="B2433" s="169" t="s">
        <v>17</v>
      </c>
      <c r="C2433" s="169" t="s">
        <v>5700</v>
      </c>
      <c r="D2433" s="317">
        <v>45257.0</v>
      </c>
      <c r="E2433" s="157" t="s">
        <v>600</v>
      </c>
      <c r="F2433" s="160">
        <v>39428.84</v>
      </c>
      <c r="G2433" s="160">
        <f>'FACUS$'!$F2433*0.16</f>
        <v>6308.6144</v>
      </c>
      <c r="H2433" s="160">
        <f t="shared" si="68"/>
        <v>45737.4544</v>
      </c>
      <c r="I2433" s="172"/>
      <c r="J2433" s="169"/>
      <c r="K2433" s="172"/>
      <c r="L2433" s="172">
        <f>+'FACUS$'!$H2433-'FACUS$'!$I2433-'FACUS$'!$K2433</f>
        <v>45737.4544</v>
      </c>
      <c r="M2433" s="162" t="s">
        <v>17</v>
      </c>
      <c r="N2433" s="337" t="s">
        <v>554</v>
      </c>
      <c r="O2433" s="338">
        <v>45268.0</v>
      </c>
      <c r="P2433" s="164">
        <v>45288.0</v>
      </c>
      <c r="Q2433" s="165">
        <f t="shared" si="66"/>
        <v>0</v>
      </c>
      <c r="R2433" s="167"/>
      <c r="S2433" s="167">
        <v>2646.0</v>
      </c>
      <c r="T2433" s="167"/>
      <c r="U2433" s="334" t="s">
        <v>7271</v>
      </c>
      <c r="V2433" s="168">
        <f t="shared" si="3"/>
        <v>45737.4544</v>
      </c>
      <c r="W2433" s="168">
        <f t="shared" si="4"/>
        <v>0</v>
      </c>
      <c r="X2433" s="168">
        <f t="shared" si="5"/>
        <v>0</v>
      </c>
      <c r="Y2433" s="168">
        <f t="shared" si="6"/>
        <v>0</v>
      </c>
      <c r="Z2433" s="168">
        <f t="shared" si="7"/>
        <v>0</v>
      </c>
      <c r="AA2433" s="168">
        <f t="shared" si="8"/>
        <v>0</v>
      </c>
      <c r="AB2433" s="168">
        <f t="shared" si="9"/>
        <v>0</v>
      </c>
    </row>
    <row r="2434" ht="15.0" customHeight="1">
      <c r="A2434" s="157" t="s">
        <v>9916</v>
      </c>
      <c r="B2434" s="169" t="s">
        <v>17</v>
      </c>
      <c r="C2434" s="169" t="s">
        <v>5698</v>
      </c>
      <c r="D2434" s="317">
        <v>45257.0</v>
      </c>
      <c r="E2434" s="157" t="s">
        <v>600</v>
      </c>
      <c r="F2434" s="160">
        <v>25312.0</v>
      </c>
      <c r="G2434" s="160">
        <f>'FACUS$'!$F2434*0.16</f>
        <v>4049.92</v>
      </c>
      <c r="H2434" s="160">
        <f t="shared" si="68"/>
        <v>29361.92</v>
      </c>
      <c r="I2434" s="172"/>
      <c r="J2434" s="169"/>
      <c r="K2434" s="172"/>
      <c r="L2434" s="172">
        <f>+'FACUS$'!$H2434-'FACUS$'!$I2434-'FACUS$'!$K2434</f>
        <v>29361.92</v>
      </c>
      <c r="M2434" s="162" t="s">
        <v>17</v>
      </c>
      <c r="N2434" s="337" t="s">
        <v>554</v>
      </c>
      <c r="O2434" s="338">
        <v>45268.0</v>
      </c>
      <c r="P2434" s="164">
        <v>45288.0</v>
      </c>
      <c r="Q2434" s="165">
        <f t="shared" si="66"/>
        <v>0</v>
      </c>
      <c r="R2434" s="167"/>
      <c r="S2434" s="167">
        <v>2646.0</v>
      </c>
      <c r="T2434" s="167"/>
      <c r="U2434" s="334" t="s">
        <v>7271</v>
      </c>
      <c r="V2434" s="168">
        <f t="shared" si="3"/>
        <v>29361.92</v>
      </c>
      <c r="W2434" s="168">
        <f t="shared" si="4"/>
        <v>0</v>
      </c>
      <c r="X2434" s="168">
        <f t="shared" si="5"/>
        <v>0</v>
      </c>
      <c r="Y2434" s="168">
        <f t="shared" si="6"/>
        <v>0</v>
      </c>
      <c r="Z2434" s="168">
        <f t="shared" si="7"/>
        <v>0</v>
      </c>
      <c r="AA2434" s="168">
        <f t="shared" si="8"/>
        <v>0</v>
      </c>
      <c r="AB2434" s="168">
        <f t="shared" si="9"/>
        <v>0</v>
      </c>
    </row>
    <row r="2435" ht="15.0" customHeight="1">
      <c r="A2435" s="157" t="s">
        <v>9917</v>
      </c>
      <c r="B2435" s="169" t="s">
        <v>17</v>
      </c>
      <c r="C2435" s="169" t="s">
        <v>5753</v>
      </c>
      <c r="D2435" s="317">
        <v>45257.0</v>
      </c>
      <c r="E2435" s="157" t="s">
        <v>600</v>
      </c>
      <c r="F2435" s="160">
        <v>34047.0</v>
      </c>
      <c r="G2435" s="160">
        <f>'FACUS$'!$F2435*0.16</f>
        <v>5447.52</v>
      </c>
      <c r="H2435" s="160">
        <f t="shared" si="68"/>
        <v>39494.52</v>
      </c>
      <c r="I2435" s="172"/>
      <c r="J2435" s="169"/>
      <c r="K2435" s="172"/>
      <c r="L2435" s="172">
        <f>+'FACUS$'!$H2435-'FACUS$'!$I2435-'FACUS$'!$K2435</f>
        <v>39494.52</v>
      </c>
      <c r="M2435" s="162" t="s">
        <v>17</v>
      </c>
      <c r="N2435" s="337" t="s">
        <v>554</v>
      </c>
      <c r="O2435" s="338">
        <v>45268.0</v>
      </c>
      <c r="P2435" s="164">
        <v>45304.0</v>
      </c>
      <c r="Q2435" s="165">
        <f t="shared" si="66"/>
        <v>0</v>
      </c>
      <c r="R2435" s="167"/>
      <c r="S2435" s="167">
        <v>2646.0</v>
      </c>
      <c r="T2435" s="167"/>
      <c r="U2435" s="334" t="s">
        <v>7271</v>
      </c>
      <c r="V2435" s="168">
        <f t="shared" si="3"/>
        <v>39494.52</v>
      </c>
      <c r="W2435" s="168">
        <f t="shared" si="4"/>
        <v>0</v>
      </c>
      <c r="X2435" s="168">
        <f t="shared" si="5"/>
        <v>0</v>
      </c>
      <c r="Y2435" s="168">
        <f t="shared" si="6"/>
        <v>0</v>
      </c>
      <c r="Z2435" s="168">
        <f t="shared" si="7"/>
        <v>0</v>
      </c>
      <c r="AA2435" s="168">
        <f t="shared" si="8"/>
        <v>0</v>
      </c>
      <c r="AB2435" s="168">
        <f t="shared" si="9"/>
        <v>0</v>
      </c>
    </row>
    <row r="2436" ht="15.0" customHeight="1">
      <c r="A2436" s="157" t="s">
        <v>9918</v>
      </c>
      <c r="B2436" s="169" t="s">
        <v>17</v>
      </c>
      <c r="C2436" s="169" t="s">
        <v>5755</v>
      </c>
      <c r="D2436" s="317">
        <v>45257.0</v>
      </c>
      <c r="E2436" s="157" t="s">
        <v>600</v>
      </c>
      <c r="F2436" s="160">
        <v>57769.27</v>
      </c>
      <c r="G2436" s="160">
        <f>'FACUS$'!$F2436*0.16</f>
        <v>9243.0832</v>
      </c>
      <c r="H2436" s="160">
        <f t="shared" si="68"/>
        <v>67012.3532</v>
      </c>
      <c r="I2436" s="172"/>
      <c r="J2436" s="169"/>
      <c r="K2436" s="172"/>
      <c r="L2436" s="172">
        <f>+'FACUS$'!$H2436-'FACUS$'!$I2436-'FACUS$'!$K2436</f>
        <v>67012.3532</v>
      </c>
      <c r="M2436" s="162" t="s">
        <v>17</v>
      </c>
      <c r="N2436" s="337" t="s">
        <v>554</v>
      </c>
      <c r="O2436" s="338">
        <v>45268.0</v>
      </c>
      <c r="P2436" s="164">
        <v>45304.0</v>
      </c>
      <c r="Q2436" s="165">
        <f t="shared" si="66"/>
        <v>0</v>
      </c>
      <c r="R2436" s="167"/>
      <c r="S2436" s="167">
        <v>2646.0</v>
      </c>
      <c r="T2436" s="167"/>
      <c r="U2436" s="334" t="s">
        <v>7271</v>
      </c>
      <c r="V2436" s="168">
        <f t="shared" si="3"/>
        <v>67012.3532</v>
      </c>
      <c r="W2436" s="168">
        <f t="shared" si="4"/>
        <v>0</v>
      </c>
      <c r="X2436" s="168">
        <f t="shared" si="5"/>
        <v>0</v>
      </c>
      <c r="Y2436" s="168">
        <f t="shared" si="6"/>
        <v>0</v>
      </c>
      <c r="Z2436" s="168">
        <f t="shared" si="7"/>
        <v>0</v>
      </c>
      <c r="AA2436" s="168">
        <f t="shared" si="8"/>
        <v>0</v>
      </c>
      <c r="AB2436" s="168">
        <f t="shared" si="9"/>
        <v>0</v>
      </c>
    </row>
    <row r="2437" ht="15.0" customHeight="1">
      <c r="A2437" s="157" t="s">
        <v>9919</v>
      </c>
      <c r="B2437" s="169" t="s">
        <v>127</v>
      </c>
      <c r="C2437" s="169"/>
      <c r="D2437" s="317">
        <v>45264.0</v>
      </c>
      <c r="E2437" s="157" t="s">
        <v>600</v>
      </c>
      <c r="F2437" s="160">
        <v>0.0</v>
      </c>
      <c r="G2437" s="160">
        <f>'FACUS$'!$F2437*0.16</f>
        <v>0</v>
      </c>
      <c r="H2437" s="160">
        <f t="shared" si="68"/>
        <v>0</v>
      </c>
      <c r="I2437" s="172"/>
      <c r="J2437" s="169"/>
      <c r="K2437" s="172"/>
      <c r="L2437" s="172">
        <f>+'FACUS$'!$H2437-'FACUS$'!$I2437-'FACUS$'!$K2437</f>
        <v>0</v>
      </c>
      <c r="M2437" s="162"/>
      <c r="N2437" s="337" t="s">
        <v>127</v>
      </c>
      <c r="O2437" s="338"/>
      <c r="P2437" s="164" t="str">
        <f t="array" ref="P2437">XLOOKUP('FACUS$'!$B2437,'perfil de pagos'!$A$4:$A$46,'perfil de pagos'!$C$4:$C$46+'FACUS$'!$D2437)</f>
        <v>#N/A</v>
      </c>
      <c r="Q2437" s="165" t="str">
        <f t="shared" si="66"/>
        <v>N/A</v>
      </c>
      <c r="R2437" s="167"/>
      <c r="S2437" s="167"/>
      <c r="T2437" s="167"/>
      <c r="U2437" s="334"/>
      <c r="V2437" s="168">
        <f t="shared" si="3"/>
        <v>0</v>
      </c>
      <c r="W2437" s="168">
        <f t="shared" si="4"/>
        <v>0</v>
      </c>
      <c r="X2437" s="168">
        <f t="shared" si="5"/>
        <v>0</v>
      </c>
      <c r="Y2437" s="168">
        <f t="shared" si="6"/>
        <v>0</v>
      </c>
      <c r="Z2437" s="168">
        <f t="shared" si="7"/>
        <v>0</v>
      </c>
      <c r="AA2437" s="168">
        <f t="shared" si="8"/>
        <v>0</v>
      </c>
      <c r="AB2437" s="168">
        <f t="shared" si="9"/>
        <v>0</v>
      </c>
    </row>
    <row r="2438" ht="15.0" customHeight="1">
      <c r="A2438" s="157" t="s">
        <v>9920</v>
      </c>
      <c r="B2438" s="169" t="s">
        <v>34</v>
      </c>
      <c r="C2438" s="169" t="s">
        <v>5679</v>
      </c>
      <c r="D2438" s="317">
        <v>45264.0</v>
      </c>
      <c r="E2438" s="157" t="s">
        <v>600</v>
      </c>
      <c r="F2438" s="160">
        <v>29009.36</v>
      </c>
      <c r="G2438" s="160">
        <f>'FACUS$'!$F2438*0.16</f>
        <v>4641.4976</v>
      </c>
      <c r="H2438" s="160">
        <f t="shared" si="68"/>
        <v>33650.8576</v>
      </c>
      <c r="I2438" s="172"/>
      <c r="J2438" s="169"/>
      <c r="K2438" s="172"/>
      <c r="L2438" s="172">
        <f>+'FACUS$'!$H2438-'FACUS$'!$I2438-'FACUS$'!$K2438</f>
        <v>33650.8576</v>
      </c>
      <c r="M2438" s="162" t="s">
        <v>538</v>
      </c>
      <c r="N2438" s="337" t="s">
        <v>554</v>
      </c>
      <c r="O2438" s="338">
        <v>45338.0</v>
      </c>
      <c r="P2438" s="164">
        <f t="array" ref="P2438">XLOOKUP('FACUS$'!$B2438,'perfil de pagos'!$A$4:$A$46,'perfil de pagos'!$C$4:$C$46+'FACUS$'!$D2438)</f>
        <v>45274</v>
      </c>
      <c r="Q2438" s="165">
        <f t="shared" si="66"/>
        <v>0</v>
      </c>
      <c r="R2438" s="167"/>
      <c r="S2438" s="167">
        <v>2808.0</v>
      </c>
      <c r="T2438" s="167"/>
      <c r="U2438" s="334" t="s">
        <v>7271</v>
      </c>
      <c r="V2438" s="168">
        <f t="shared" si="3"/>
        <v>33650.8576</v>
      </c>
      <c r="W2438" s="168">
        <f t="shared" si="4"/>
        <v>0</v>
      </c>
      <c r="X2438" s="168">
        <f t="shared" si="5"/>
        <v>0</v>
      </c>
      <c r="Y2438" s="168">
        <f t="shared" si="6"/>
        <v>0</v>
      </c>
      <c r="Z2438" s="168">
        <f t="shared" si="7"/>
        <v>0</v>
      </c>
      <c r="AA2438" s="168">
        <f t="shared" si="8"/>
        <v>0</v>
      </c>
      <c r="AB2438" s="168">
        <f t="shared" si="9"/>
        <v>0</v>
      </c>
    </row>
    <row r="2439" ht="15.0" customHeight="1">
      <c r="A2439" s="157" t="s">
        <v>9921</v>
      </c>
      <c r="B2439" s="169" t="s">
        <v>34</v>
      </c>
      <c r="C2439" s="169" t="s">
        <v>5682</v>
      </c>
      <c r="D2439" s="317">
        <v>45264.0</v>
      </c>
      <c r="E2439" s="157" t="s">
        <v>600</v>
      </c>
      <c r="F2439" s="160">
        <v>29932.22</v>
      </c>
      <c r="G2439" s="160">
        <f>'FACUS$'!$F2439*0.16</f>
        <v>4789.1552</v>
      </c>
      <c r="H2439" s="160">
        <f t="shared" si="68"/>
        <v>34721.3752</v>
      </c>
      <c r="I2439" s="172"/>
      <c r="J2439" s="169"/>
      <c r="K2439" s="172"/>
      <c r="L2439" s="172">
        <f>+'FACUS$'!$H2439-'FACUS$'!$I2439-'FACUS$'!$K2439</f>
        <v>34721.3752</v>
      </c>
      <c r="M2439" s="162" t="s">
        <v>538</v>
      </c>
      <c r="N2439" s="337" t="s">
        <v>554</v>
      </c>
      <c r="O2439" s="338">
        <v>45345.0</v>
      </c>
      <c r="P2439" s="164">
        <f t="array" ref="P2439">XLOOKUP('FACUS$'!$B2439,'perfil de pagos'!$A$4:$A$46,'perfil de pagos'!$C$4:$C$46+'FACUS$'!$D2439)</f>
        <v>45274</v>
      </c>
      <c r="Q2439" s="165">
        <f t="shared" si="66"/>
        <v>0</v>
      </c>
      <c r="R2439" s="167"/>
      <c r="S2439" s="167">
        <v>2829.0</v>
      </c>
      <c r="T2439" s="167"/>
      <c r="U2439" s="334" t="s">
        <v>7271</v>
      </c>
      <c r="V2439" s="168">
        <f t="shared" si="3"/>
        <v>34721.3752</v>
      </c>
      <c r="W2439" s="168">
        <f t="shared" si="4"/>
        <v>0</v>
      </c>
      <c r="X2439" s="168">
        <f t="shared" si="5"/>
        <v>0</v>
      </c>
      <c r="Y2439" s="168">
        <f t="shared" si="6"/>
        <v>0</v>
      </c>
      <c r="Z2439" s="168">
        <f t="shared" si="7"/>
        <v>0</v>
      </c>
      <c r="AA2439" s="168">
        <f t="shared" si="8"/>
        <v>0</v>
      </c>
      <c r="AB2439" s="168">
        <f t="shared" si="9"/>
        <v>0</v>
      </c>
    </row>
    <row r="2440" ht="15.0" customHeight="1">
      <c r="A2440" s="157" t="s">
        <v>9922</v>
      </c>
      <c r="B2440" s="169" t="s">
        <v>35</v>
      </c>
      <c r="C2440" s="169" t="s">
        <v>5682</v>
      </c>
      <c r="D2440" s="317">
        <v>45264.0</v>
      </c>
      <c r="E2440" s="157" t="s">
        <v>600</v>
      </c>
      <c r="F2440" s="160">
        <v>17567.6</v>
      </c>
      <c r="G2440" s="160">
        <f>'FACUS$'!$F2440*0.16</f>
        <v>2810.816</v>
      </c>
      <c r="H2440" s="160">
        <f t="shared" si="68"/>
        <v>20378.416</v>
      </c>
      <c r="I2440" s="172"/>
      <c r="J2440" s="169"/>
      <c r="K2440" s="172"/>
      <c r="L2440" s="172">
        <f>+'FACUS$'!$H2440-'FACUS$'!$I2440-'FACUS$'!$K2440</f>
        <v>20378.416</v>
      </c>
      <c r="M2440" s="162" t="s">
        <v>276</v>
      </c>
      <c r="N2440" s="337" t="s">
        <v>554</v>
      </c>
      <c r="O2440" s="338">
        <v>45295.0</v>
      </c>
      <c r="P2440" s="164">
        <f t="array" ref="P2440">XLOOKUP('FACUS$'!$B2440,'perfil de pagos'!$A$4:$A$46,'perfil de pagos'!$C$4:$C$46+'FACUS$'!$D2440)</f>
        <v>45274</v>
      </c>
      <c r="Q2440" s="165">
        <f t="shared" si="66"/>
        <v>0</v>
      </c>
      <c r="R2440" s="167"/>
      <c r="S2440" s="167">
        <v>2732.0</v>
      </c>
      <c r="T2440" s="167"/>
      <c r="U2440" s="334" t="s">
        <v>7271</v>
      </c>
      <c r="V2440" s="168">
        <f t="shared" si="3"/>
        <v>20378.416</v>
      </c>
      <c r="W2440" s="168">
        <f t="shared" si="4"/>
        <v>0</v>
      </c>
      <c r="X2440" s="168">
        <f t="shared" si="5"/>
        <v>0</v>
      </c>
      <c r="Y2440" s="168">
        <f t="shared" si="6"/>
        <v>0</v>
      </c>
      <c r="Z2440" s="168">
        <f t="shared" si="7"/>
        <v>0</v>
      </c>
      <c r="AA2440" s="168">
        <f t="shared" si="8"/>
        <v>0</v>
      </c>
      <c r="AB2440" s="168">
        <f t="shared" si="9"/>
        <v>0</v>
      </c>
    </row>
    <row r="2441" ht="15.0" customHeight="1">
      <c r="A2441" s="157" t="s">
        <v>9923</v>
      </c>
      <c r="B2441" s="169" t="s">
        <v>41</v>
      </c>
      <c r="C2441" s="169" t="s">
        <v>5682</v>
      </c>
      <c r="D2441" s="317">
        <v>45264.0</v>
      </c>
      <c r="E2441" s="157" t="s">
        <v>600</v>
      </c>
      <c r="F2441" s="160">
        <v>84954.62</v>
      </c>
      <c r="G2441" s="160">
        <f>'FACUS$'!$F2441*0.16</f>
        <v>13592.7392</v>
      </c>
      <c r="H2441" s="160">
        <f t="shared" si="68"/>
        <v>98547.3592</v>
      </c>
      <c r="I2441" s="172"/>
      <c r="J2441" s="169"/>
      <c r="K2441" s="172"/>
      <c r="L2441" s="172">
        <f>+'FACUS$'!$H2441-'FACUS$'!$I2441-'FACUS$'!$K2441</f>
        <v>98547.3592</v>
      </c>
      <c r="M2441" s="162" t="s">
        <v>875</v>
      </c>
      <c r="N2441" s="337" t="s">
        <v>554</v>
      </c>
      <c r="O2441" s="338">
        <v>45313.0</v>
      </c>
      <c r="P2441" s="164">
        <f t="array" ref="P2441">XLOOKUP('FACUS$'!$B2441,'perfil de pagos'!$A$4:$A$46,'perfil de pagos'!$C$4:$C$46+'FACUS$'!$D2441)</f>
        <v>45274</v>
      </c>
      <c r="Q2441" s="165">
        <f t="shared" si="66"/>
        <v>0</v>
      </c>
      <c r="R2441" s="167"/>
      <c r="S2441" s="167">
        <v>2755.0</v>
      </c>
      <c r="T2441" s="167"/>
      <c r="U2441" s="334" t="s">
        <v>7271</v>
      </c>
      <c r="V2441" s="168">
        <f t="shared" si="3"/>
        <v>98547.3592</v>
      </c>
      <c r="W2441" s="168">
        <f t="shared" si="4"/>
        <v>0</v>
      </c>
      <c r="X2441" s="168">
        <f t="shared" si="5"/>
        <v>0</v>
      </c>
      <c r="Y2441" s="168">
        <f t="shared" si="6"/>
        <v>0</v>
      </c>
      <c r="Z2441" s="168">
        <f t="shared" si="7"/>
        <v>0</v>
      </c>
      <c r="AA2441" s="168">
        <f t="shared" si="8"/>
        <v>0</v>
      </c>
      <c r="AB2441" s="168">
        <f t="shared" si="9"/>
        <v>0</v>
      </c>
    </row>
    <row r="2442" ht="15.0" customHeight="1">
      <c r="A2442" s="157" t="s">
        <v>9924</v>
      </c>
      <c r="B2442" s="169" t="s">
        <v>42</v>
      </c>
      <c r="C2442" s="169" t="s">
        <v>5682</v>
      </c>
      <c r="D2442" s="317">
        <v>45264.0</v>
      </c>
      <c r="E2442" s="157" t="s">
        <v>600</v>
      </c>
      <c r="F2442" s="160">
        <v>17547.06</v>
      </c>
      <c r="G2442" s="160">
        <f>'FACUS$'!$F2442*0.16</f>
        <v>2807.5296</v>
      </c>
      <c r="H2442" s="160">
        <f t="shared" si="68"/>
        <v>20354.5896</v>
      </c>
      <c r="I2442" s="172"/>
      <c r="J2442" s="169"/>
      <c r="K2442" s="172"/>
      <c r="L2442" s="172">
        <f>+'FACUS$'!$H2442-'FACUS$'!$I2442-'FACUS$'!$K2442</f>
        <v>20354.5896</v>
      </c>
      <c r="M2442" s="162" t="s">
        <v>42</v>
      </c>
      <c r="N2442" s="337" t="s">
        <v>554</v>
      </c>
      <c r="O2442" s="338">
        <v>45286.0</v>
      </c>
      <c r="P2442" s="164">
        <f t="array" ref="P2442">XLOOKUP('FACUS$'!$B2442,'perfil de pagos'!$A$4:$A$46,'perfil de pagos'!$C$4:$C$46+'FACUS$'!$D2442)</f>
        <v>45274</v>
      </c>
      <c r="Q2442" s="165">
        <f t="shared" si="66"/>
        <v>0</v>
      </c>
      <c r="R2442" s="167"/>
      <c r="S2442" s="167">
        <v>2693.0</v>
      </c>
      <c r="T2442" s="167"/>
      <c r="U2442" s="334" t="s">
        <v>7271</v>
      </c>
      <c r="V2442" s="168">
        <f t="shared" si="3"/>
        <v>20354.5896</v>
      </c>
      <c r="W2442" s="168">
        <f t="shared" si="4"/>
        <v>0</v>
      </c>
      <c r="X2442" s="168">
        <f t="shared" si="5"/>
        <v>0</v>
      </c>
      <c r="Y2442" s="168">
        <f t="shared" si="6"/>
        <v>0</v>
      </c>
      <c r="Z2442" s="168">
        <f t="shared" si="7"/>
        <v>0</v>
      </c>
      <c r="AA2442" s="168">
        <f t="shared" si="8"/>
        <v>0</v>
      </c>
      <c r="AB2442" s="168">
        <f t="shared" si="9"/>
        <v>0</v>
      </c>
    </row>
    <row r="2443" ht="15.0" customHeight="1">
      <c r="A2443" s="157" t="s">
        <v>9925</v>
      </c>
      <c r="B2443" s="169" t="s">
        <v>44</v>
      </c>
      <c r="C2443" s="169" t="s">
        <v>5682</v>
      </c>
      <c r="D2443" s="317">
        <v>45264.0</v>
      </c>
      <c r="E2443" s="157" t="s">
        <v>600</v>
      </c>
      <c r="F2443" s="160">
        <v>12931.79</v>
      </c>
      <c r="G2443" s="160">
        <f>'FACUS$'!$F2443*0.16</f>
        <v>2069.0864</v>
      </c>
      <c r="H2443" s="160">
        <f t="shared" si="68"/>
        <v>15000.8764</v>
      </c>
      <c r="I2443" s="172"/>
      <c r="J2443" s="169"/>
      <c r="K2443" s="172"/>
      <c r="L2443" s="172">
        <f>+'FACUS$'!$H2443-'FACUS$'!$I2443-'FACUS$'!$K2443</f>
        <v>15000.8764</v>
      </c>
      <c r="M2443" s="162" t="s">
        <v>361</v>
      </c>
      <c r="N2443" s="337" t="s">
        <v>554</v>
      </c>
      <c r="O2443" s="338">
        <v>45275.0</v>
      </c>
      <c r="P2443" s="164">
        <f t="array" ref="P2443">XLOOKUP('FACUS$'!$B2443,'perfil de pagos'!$A$4:$A$46,'perfil de pagos'!$C$4:$C$46+'FACUS$'!$D2443)</f>
        <v>45274</v>
      </c>
      <c r="Q2443" s="165">
        <f t="shared" si="66"/>
        <v>0</v>
      </c>
      <c r="R2443" s="167"/>
      <c r="S2443" s="167">
        <v>2672.0</v>
      </c>
      <c r="T2443" s="167"/>
      <c r="U2443" s="334" t="s">
        <v>7271</v>
      </c>
      <c r="V2443" s="168">
        <f t="shared" si="3"/>
        <v>15000.8764</v>
      </c>
      <c r="W2443" s="168">
        <f t="shared" si="4"/>
        <v>0</v>
      </c>
      <c r="X2443" s="168">
        <f t="shared" si="5"/>
        <v>0</v>
      </c>
      <c r="Y2443" s="168">
        <f t="shared" si="6"/>
        <v>0</v>
      </c>
      <c r="Z2443" s="168">
        <f t="shared" si="7"/>
        <v>0</v>
      </c>
      <c r="AA2443" s="168">
        <f t="shared" si="8"/>
        <v>0</v>
      </c>
      <c r="AB2443" s="168">
        <f t="shared" si="9"/>
        <v>0</v>
      </c>
    </row>
    <row r="2444" ht="15.0" customHeight="1">
      <c r="A2444" s="157" t="s">
        <v>9926</v>
      </c>
      <c r="B2444" s="169" t="s">
        <v>15</v>
      </c>
      <c r="C2444" s="169" t="s">
        <v>5682</v>
      </c>
      <c r="D2444" s="317">
        <v>45264.0</v>
      </c>
      <c r="E2444" s="157" t="s">
        <v>600</v>
      </c>
      <c r="F2444" s="160">
        <v>103526.05</v>
      </c>
      <c r="G2444" s="160">
        <f>'FACUS$'!$F2444*0.16</f>
        <v>16564.168</v>
      </c>
      <c r="H2444" s="160">
        <f t="shared" si="68"/>
        <v>120090.218</v>
      </c>
      <c r="I2444" s="172"/>
      <c r="J2444" s="169"/>
      <c r="K2444" s="172"/>
      <c r="L2444" s="172">
        <f>+'FACUS$'!$H2444-'FACUS$'!$I2444-'FACUS$'!$K2444</f>
        <v>120090.218</v>
      </c>
      <c r="M2444" s="162" t="s">
        <v>443</v>
      </c>
      <c r="N2444" s="337" t="s">
        <v>554</v>
      </c>
      <c r="O2444" s="338">
        <v>45288.0</v>
      </c>
      <c r="P2444" s="164">
        <f t="array" ref="P2444">XLOOKUP('FACUS$'!$B2444,'perfil de pagos'!$A$4:$A$46,'perfil de pagos'!$C$4:$C$46+'FACUS$'!$D2444)</f>
        <v>45274</v>
      </c>
      <c r="Q2444" s="165">
        <f t="shared" si="66"/>
        <v>0</v>
      </c>
      <c r="R2444" s="167"/>
      <c r="S2444" s="167">
        <v>2702.0</v>
      </c>
      <c r="T2444" s="167"/>
      <c r="U2444" s="334" t="s">
        <v>7271</v>
      </c>
      <c r="V2444" s="168">
        <f t="shared" si="3"/>
        <v>120090.218</v>
      </c>
      <c r="W2444" s="168">
        <f t="shared" si="4"/>
        <v>0</v>
      </c>
      <c r="X2444" s="168">
        <f t="shared" si="5"/>
        <v>0</v>
      </c>
      <c r="Y2444" s="168">
        <f t="shared" si="6"/>
        <v>0</v>
      </c>
      <c r="Z2444" s="168">
        <f t="shared" si="7"/>
        <v>0</v>
      </c>
      <c r="AA2444" s="168">
        <f t="shared" si="8"/>
        <v>0</v>
      </c>
      <c r="AB2444" s="168">
        <f t="shared" si="9"/>
        <v>0</v>
      </c>
    </row>
    <row r="2445" ht="15.0" customHeight="1">
      <c r="A2445" s="157" t="s">
        <v>9927</v>
      </c>
      <c r="B2445" s="169" t="s">
        <v>32</v>
      </c>
      <c r="C2445" s="169" t="s">
        <v>5682</v>
      </c>
      <c r="D2445" s="317">
        <v>45264.0</v>
      </c>
      <c r="E2445" s="157" t="s">
        <v>600</v>
      </c>
      <c r="F2445" s="160">
        <v>19883.12</v>
      </c>
      <c r="G2445" s="160">
        <f>'FACUS$'!$F2445*0.16</f>
        <v>3181.2992</v>
      </c>
      <c r="H2445" s="160">
        <f t="shared" si="68"/>
        <v>23064.4192</v>
      </c>
      <c r="I2445" s="172"/>
      <c r="J2445" s="169"/>
      <c r="K2445" s="172"/>
      <c r="L2445" s="172">
        <f>+'FACUS$'!$H2445-'FACUS$'!$I2445-'FACUS$'!$K2445</f>
        <v>23064.4192</v>
      </c>
      <c r="M2445" s="162" t="s">
        <v>395</v>
      </c>
      <c r="N2445" s="337" t="s">
        <v>554</v>
      </c>
      <c r="O2445" s="338">
        <v>45296.0</v>
      </c>
      <c r="P2445" s="164">
        <f t="array" ref="P2445">XLOOKUP('FACUS$'!$B2445,'perfil de pagos'!$A$4:$A$46,'perfil de pagos'!$C$4:$C$46+'FACUS$'!$D2445)</f>
        <v>45274</v>
      </c>
      <c r="Q2445" s="165">
        <f t="shared" si="66"/>
        <v>0</v>
      </c>
      <c r="R2445" s="167"/>
      <c r="S2445" s="167">
        <v>2733.0</v>
      </c>
      <c r="T2445" s="167"/>
      <c r="U2445" s="334" t="s">
        <v>7271</v>
      </c>
      <c r="V2445" s="168">
        <f t="shared" si="3"/>
        <v>23064.4192</v>
      </c>
      <c r="W2445" s="168">
        <f t="shared" si="4"/>
        <v>0</v>
      </c>
      <c r="X2445" s="168">
        <f t="shared" si="5"/>
        <v>0</v>
      </c>
      <c r="Y2445" s="168">
        <f t="shared" si="6"/>
        <v>0</v>
      </c>
      <c r="Z2445" s="168">
        <f t="shared" si="7"/>
        <v>0</v>
      </c>
      <c r="AA2445" s="168">
        <f t="shared" si="8"/>
        <v>0</v>
      </c>
      <c r="AB2445" s="168">
        <f t="shared" si="9"/>
        <v>0</v>
      </c>
    </row>
    <row r="2446" ht="15.0" customHeight="1">
      <c r="A2446" s="157" t="s">
        <v>9928</v>
      </c>
      <c r="B2446" s="169" t="s">
        <v>38</v>
      </c>
      <c r="C2446" s="169" t="s">
        <v>5682</v>
      </c>
      <c r="D2446" s="317">
        <v>45265.0</v>
      </c>
      <c r="E2446" s="157" t="s">
        <v>600</v>
      </c>
      <c r="F2446" s="160">
        <v>3785.32</v>
      </c>
      <c r="G2446" s="160">
        <f>'FACUS$'!$F2446*0.16</f>
        <v>605.6512</v>
      </c>
      <c r="H2446" s="160">
        <f t="shared" si="68"/>
        <v>4390.9712</v>
      </c>
      <c r="I2446" s="172"/>
      <c r="J2446" s="169"/>
      <c r="K2446" s="172"/>
      <c r="L2446" s="172">
        <f>+'FACUS$'!$H2446-'FACUS$'!$I2446-'FACUS$'!$K2446</f>
        <v>4390.9712</v>
      </c>
      <c r="M2446" s="162" t="s">
        <v>4654</v>
      </c>
      <c r="N2446" s="337" t="s">
        <v>554</v>
      </c>
      <c r="O2446" s="338">
        <v>45330.0</v>
      </c>
      <c r="P2446" s="164">
        <f t="array" ref="P2446">XLOOKUP('FACUS$'!$B2446,'perfil de pagos'!$A$4:$A$46,'perfil de pagos'!$C$4:$C$46+'FACUS$'!$D2446)</f>
        <v>45295</v>
      </c>
      <c r="Q2446" s="165">
        <f t="shared" si="66"/>
        <v>0</v>
      </c>
      <c r="R2446" s="167"/>
      <c r="S2446" s="167">
        <v>2789.0</v>
      </c>
      <c r="T2446" s="167"/>
      <c r="U2446" s="334" t="s">
        <v>7271</v>
      </c>
      <c r="V2446" s="168">
        <f t="shared" si="3"/>
        <v>4390.9712</v>
      </c>
      <c r="W2446" s="168">
        <f t="shared" si="4"/>
        <v>0</v>
      </c>
      <c r="X2446" s="168">
        <f t="shared" si="5"/>
        <v>0</v>
      </c>
      <c r="Y2446" s="168">
        <f t="shared" si="6"/>
        <v>0</v>
      </c>
      <c r="Z2446" s="168">
        <f t="shared" si="7"/>
        <v>0</v>
      </c>
      <c r="AA2446" s="168">
        <f t="shared" si="8"/>
        <v>0</v>
      </c>
      <c r="AB2446" s="168">
        <f t="shared" si="9"/>
        <v>0</v>
      </c>
    </row>
    <row r="2447" ht="15.0" customHeight="1">
      <c r="A2447" s="157" t="s">
        <v>9929</v>
      </c>
      <c r="B2447" s="169" t="s">
        <v>31</v>
      </c>
      <c r="C2447" s="169" t="s">
        <v>5682</v>
      </c>
      <c r="D2447" s="317">
        <v>45265.0</v>
      </c>
      <c r="E2447" s="157" t="s">
        <v>600</v>
      </c>
      <c r="F2447" s="160">
        <v>18456.31</v>
      </c>
      <c r="G2447" s="160">
        <f>'FACUS$'!$F2447*0.16</f>
        <v>2953.0096</v>
      </c>
      <c r="H2447" s="160">
        <f t="shared" si="68"/>
        <v>21409.3196</v>
      </c>
      <c r="I2447" s="172"/>
      <c r="J2447" s="169"/>
      <c r="K2447" s="172"/>
      <c r="L2447" s="172">
        <f>+'FACUS$'!$H2447-'FACUS$'!$I2447-'FACUS$'!$K2447</f>
        <v>21409.3196</v>
      </c>
      <c r="M2447" s="162" t="s">
        <v>3183</v>
      </c>
      <c r="N2447" s="337" t="s">
        <v>554</v>
      </c>
      <c r="O2447" s="338">
        <v>45293.0</v>
      </c>
      <c r="P2447" s="164">
        <f t="array" ref="P2447">XLOOKUP('FACUS$'!$B2447,'perfil de pagos'!$A$4:$A$46,'perfil de pagos'!$C$4:$C$46+'FACUS$'!$D2447)</f>
        <v>45268</v>
      </c>
      <c r="Q2447" s="165">
        <f t="shared" si="66"/>
        <v>0</v>
      </c>
      <c r="R2447" s="220"/>
      <c r="S2447" s="167">
        <v>2718.0</v>
      </c>
      <c r="T2447" s="167"/>
      <c r="U2447" s="334" t="s">
        <v>7271</v>
      </c>
      <c r="V2447" s="168">
        <f t="shared" si="3"/>
        <v>21409.3196</v>
      </c>
      <c r="W2447" s="168">
        <f t="shared" si="4"/>
        <v>0</v>
      </c>
      <c r="X2447" s="168">
        <f t="shared" si="5"/>
        <v>0</v>
      </c>
      <c r="Y2447" s="168">
        <f t="shared" si="6"/>
        <v>0</v>
      </c>
      <c r="Z2447" s="168">
        <f t="shared" si="7"/>
        <v>0</v>
      </c>
      <c r="AA2447" s="168">
        <f t="shared" si="8"/>
        <v>0</v>
      </c>
      <c r="AB2447" s="168">
        <f t="shared" si="9"/>
        <v>0</v>
      </c>
    </row>
    <row r="2448" ht="15.0" customHeight="1">
      <c r="A2448" s="157" t="s">
        <v>9930</v>
      </c>
      <c r="B2448" s="169" t="s">
        <v>18</v>
      </c>
      <c r="C2448" s="169" t="s">
        <v>5682</v>
      </c>
      <c r="D2448" s="317">
        <v>45267.0</v>
      </c>
      <c r="E2448" s="157" t="s">
        <v>600</v>
      </c>
      <c r="F2448" s="160">
        <v>6942.07</v>
      </c>
      <c r="G2448" s="160">
        <f>'FACUS$'!$F2448*0.16</f>
        <v>1110.7312</v>
      </c>
      <c r="H2448" s="160">
        <f t="shared" si="68"/>
        <v>8052.8012</v>
      </c>
      <c r="I2448" s="172"/>
      <c r="J2448" s="169"/>
      <c r="K2448" s="172"/>
      <c r="L2448" s="172">
        <f>+'FACUS$'!$H2448-'FACUS$'!$I2448-'FACUS$'!$K2448</f>
        <v>8052.8012</v>
      </c>
      <c r="M2448" s="162" t="s">
        <v>586</v>
      </c>
      <c r="N2448" s="337" t="s">
        <v>554</v>
      </c>
      <c r="O2448" s="338">
        <v>45279.0</v>
      </c>
      <c r="P2448" s="164">
        <f t="array" ref="P2448">XLOOKUP('FACUS$'!$B2448,'perfil de pagos'!$A$4:$A$46,'perfil de pagos'!$C$4:$C$46+'FACUS$'!$D2448)</f>
        <v>45277</v>
      </c>
      <c r="Q2448" s="165">
        <f t="shared" si="66"/>
        <v>0</v>
      </c>
      <c r="R2448" s="167"/>
      <c r="S2448" s="167">
        <v>2677.0</v>
      </c>
      <c r="T2448" s="167"/>
      <c r="U2448" s="334" t="s">
        <v>7271</v>
      </c>
      <c r="V2448" s="168">
        <f t="shared" si="3"/>
        <v>8052.8012</v>
      </c>
      <c r="W2448" s="168">
        <f t="shared" si="4"/>
        <v>0</v>
      </c>
      <c r="X2448" s="168">
        <f t="shared" si="5"/>
        <v>0</v>
      </c>
      <c r="Y2448" s="168">
        <f t="shared" si="6"/>
        <v>0</v>
      </c>
      <c r="Z2448" s="168">
        <f t="shared" si="7"/>
        <v>0</v>
      </c>
      <c r="AA2448" s="168">
        <f t="shared" si="8"/>
        <v>0</v>
      </c>
      <c r="AB2448" s="168">
        <f t="shared" si="9"/>
        <v>0</v>
      </c>
    </row>
    <row r="2449" ht="15.0" customHeight="1">
      <c r="A2449" s="157" t="s">
        <v>9931</v>
      </c>
      <c r="B2449" s="169" t="s">
        <v>20</v>
      </c>
      <c r="C2449" s="169" t="s">
        <v>5682</v>
      </c>
      <c r="D2449" s="317">
        <v>45267.0</v>
      </c>
      <c r="E2449" s="157" t="s">
        <v>600</v>
      </c>
      <c r="F2449" s="160">
        <v>16859.56</v>
      </c>
      <c r="G2449" s="160">
        <f>'FACUS$'!$F2449*0.16</f>
        <v>2697.5296</v>
      </c>
      <c r="H2449" s="160">
        <f t="shared" si="68"/>
        <v>19557.0896</v>
      </c>
      <c r="I2449" s="172"/>
      <c r="J2449" s="169"/>
      <c r="K2449" s="172"/>
      <c r="L2449" s="172">
        <f>+'FACUS$'!$H2449-'FACUS$'!$I2449-'FACUS$'!$K2449</f>
        <v>19557.0896</v>
      </c>
      <c r="M2449" s="162" t="s">
        <v>732</v>
      </c>
      <c r="N2449" s="337" t="s">
        <v>554</v>
      </c>
      <c r="O2449" s="338">
        <v>45279.0</v>
      </c>
      <c r="P2449" s="164">
        <f t="array" ref="P2449">XLOOKUP('FACUS$'!$B2449,'perfil de pagos'!$A$4:$A$46,'perfil de pagos'!$C$4:$C$46+'FACUS$'!$D2449)</f>
        <v>45277</v>
      </c>
      <c r="Q2449" s="165">
        <f t="shared" si="66"/>
        <v>0</v>
      </c>
      <c r="R2449" s="167"/>
      <c r="S2449" s="167">
        <v>2677.0</v>
      </c>
      <c r="T2449" s="167"/>
      <c r="U2449" s="334"/>
      <c r="V2449" s="168">
        <f t="shared" si="3"/>
        <v>19557.0896</v>
      </c>
      <c r="W2449" s="168">
        <f t="shared" si="4"/>
        <v>0</v>
      </c>
      <c r="X2449" s="168">
        <f t="shared" si="5"/>
        <v>0</v>
      </c>
      <c r="Y2449" s="168">
        <f t="shared" si="6"/>
        <v>0</v>
      </c>
      <c r="Z2449" s="168">
        <f t="shared" si="7"/>
        <v>0</v>
      </c>
      <c r="AA2449" s="168">
        <f t="shared" si="8"/>
        <v>0</v>
      </c>
      <c r="AB2449" s="168">
        <f t="shared" si="9"/>
        <v>0</v>
      </c>
    </row>
    <row r="2450" ht="15.0" customHeight="1">
      <c r="A2450" s="157" t="s">
        <v>9932</v>
      </c>
      <c r="B2450" s="169" t="s">
        <v>25</v>
      </c>
      <c r="C2450" s="169" t="s">
        <v>5682</v>
      </c>
      <c r="D2450" s="317">
        <v>45267.0</v>
      </c>
      <c r="E2450" s="157" t="s">
        <v>600</v>
      </c>
      <c r="F2450" s="160">
        <v>6044.62</v>
      </c>
      <c r="G2450" s="160">
        <f>'FACUS$'!$F2450*0.16</f>
        <v>967.1392</v>
      </c>
      <c r="H2450" s="160">
        <f t="shared" si="68"/>
        <v>7011.7592</v>
      </c>
      <c r="I2450" s="172"/>
      <c r="J2450" s="169"/>
      <c r="K2450" s="172"/>
      <c r="L2450" s="172">
        <f>+'FACUS$'!$H2450-'FACUS$'!$I2450-'FACUS$'!$K2450</f>
        <v>7011.7592</v>
      </c>
      <c r="M2450" s="162" t="s">
        <v>4388</v>
      </c>
      <c r="N2450" s="337" t="s">
        <v>554</v>
      </c>
      <c r="O2450" s="338">
        <v>45371.0</v>
      </c>
      <c r="P2450" s="164">
        <f t="array" ref="P2450">XLOOKUP('FACUS$'!$B2450,'perfil de pagos'!$A$4:$A$46,'perfil de pagos'!$C$4:$C$46+'FACUS$'!$D2450)</f>
        <v>45277</v>
      </c>
      <c r="Q2450" s="165">
        <f t="shared" si="66"/>
        <v>0</v>
      </c>
      <c r="R2450" s="167"/>
      <c r="S2450" s="167">
        <v>2874.0</v>
      </c>
      <c r="T2450" s="167"/>
      <c r="U2450" s="334"/>
      <c r="V2450" s="168">
        <f t="shared" si="3"/>
        <v>7011.7592</v>
      </c>
      <c r="W2450" s="168">
        <f t="shared" si="4"/>
        <v>0</v>
      </c>
      <c r="X2450" s="168">
        <f t="shared" si="5"/>
        <v>0</v>
      </c>
      <c r="Y2450" s="168">
        <f t="shared" si="6"/>
        <v>0</v>
      </c>
      <c r="Z2450" s="168">
        <f t="shared" si="7"/>
        <v>0</v>
      </c>
      <c r="AA2450" s="168">
        <f t="shared" si="8"/>
        <v>0</v>
      </c>
      <c r="AB2450" s="168">
        <f t="shared" si="9"/>
        <v>0</v>
      </c>
    </row>
    <row r="2451" ht="15.0" customHeight="1">
      <c r="A2451" s="157" t="s">
        <v>9933</v>
      </c>
      <c r="B2451" s="169" t="s">
        <v>22</v>
      </c>
      <c r="C2451" s="169" t="s">
        <v>5682</v>
      </c>
      <c r="D2451" s="317">
        <v>45267.0</v>
      </c>
      <c r="E2451" s="157" t="s">
        <v>600</v>
      </c>
      <c r="F2451" s="160">
        <v>15072.44</v>
      </c>
      <c r="G2451" s="160">
        <f>'FACUS$'!$F2451*0.16</f>
        <v>2411.5904</v>
      </c>
      <c r="H2451" s="160">
        <f t="shared" si="68"/>
        <v>17484.0304</v>
      </c>
      <c r="I2451" s="172">
        <f>996.59+11673.72</f>
        <v>12670.31</v>
      </c>
      <c r="J2451" s="169"/>
      <c r="K2451" s="172"/>
      <c r="L2451" s="172">
        <f>+'FACUS$'!$H2451-'FACUS$'!$I2451-'FACUS$'!$K2451</f>
        <v>4813.7204</v>
      </c>
      <c r="M2451" s="162" t="s">
        <v>220</v>
      </c>
      <c r="N2451" s="337" t="s">
        <v>554</v>
      </c>
      <c r="O2451" s="338">
        <v>45320.0</v>
      </c>
      <c r="P2451" s="164">
        <f t="array" ref="P2451">XLOOKUP('FACUS$'!$B2451,'perfil de pagos'!$A$4:$A$46,'perfil de pagos'!$C$4:$C$46+'FACUS$'!$D2451)</f>
        <v>45277</v>
      </c>
      <c r="Q2451" s="165">
        <f t="shared" si="66"/>
        <v>0</v>
      </c>
      <c r="R2451" s="220" t="s">
        <v>9934</v>
      </c>
      <c r="S2451" s="220">
        <v>2774.0</v>
      </c>
      <c r="T2451" s="167"/>
      <c r="U2451" s="334"/>
      <c r="V2451" s="168">
        <f t="shared" si="3"/>
        <v>4813.7204</v>
      </c>
      <c r="W2451" s="168">
        <f t="shared" si="4"/>
        <v>0</v>
      </c>
      <c r="X2451" s="168">
        <f t="shared" si="5"/>
        <v>0</v>
      </c>
      <c r="Y2451" s="168">
        <f t="shared" si="6"/>
        <v>0</v>
      </c>
      <c r="Z2451" s="168">
        <f t="shared" si="7"/>
        <v>0</v>
      </c>
      <c r="AA2451" s="168">
        <f t="shared" si="8"/>
        <v>0</v>
      </c>
      <c r="AB2451" s="168">
        <f t="shared" si="9"/>
        <v>0</v>
      </c>
    </row>
    <row r="2452" ht="15.0" customHeight="1">
      <c r="A2452" s="157" t="s">
        <v>9935</v>
      </c>
      <c r="B2452" s="169" t="s">
        <v>37</v>
      </c>
      <c r="C2452" s="169" t="s">
        <v>5682</v>
      </c>
      <c r="D2452" s="317">
        <v>45267.0</v>
      </c>
      <c r="E2452" s="157" t="s">
        <v>600</v>
      </c>
      <c r="F2452" s="160">
        <v>98520.71</v>
      </c>
      <c r="G2452" s="160">
        <f>'FACUS$'!$F2452*0.16</f>
        <v>15763.3136</v>
      </c>
      <c r="H2452" s="160">
        <f t="shared" si="68"/>
        <v>114284.0236</v>
      </c>
      <c r="I2452" s="172"/>
      <c r="J2452" s="169"/>
      <c r="K2452" s="172"/>
      <c r="L2452" s="172">
        <f>+'FACUS$'!$H2452-'FACUS$'!$I2452-'FACUS$'!$K2452</f>
        <v>114284.0236</v>
      </c>
      <c r="M2452" s="162" t="s">
        <v>116</v>
      </c>
      <c r="N2452" s="337" t="s">
        <v>554</v>
      </c>
      <c r="O2452" s="338">
        <v>45275.0</v>
      </c>
      <c r="P2452" s="164">
        <f t="array" ref="P2452">XLOOKUP('FACUS$'!$B2452,'perfil de pagos'!$A$4:$A$46,'perfil de pagos'!$C$4:$C$46+'FACUS$'!$D2452)</f>
        <v>45277</v>
      </c>
      <c r="Q2452" s="165">
        <f t="shared" si="66"/>
        <v>0</v>
      </c>
      <c r="R2452" s="167"/>
      <c r="S2452" s="167">
        <v>2670.0</v>
      </c>
      <c r="T2452" s="167"/>
      <c r="U2452" s="334"/>
      <c r="V2452" s="168">
        <f t="shared" si="3"/>
        <v>114284.0236</v>
      </c>
      <c r="W2452" s="168">
        <f t="shared" si="4"/>
        <v>0</v>
      </c>
      <c r="X2452" s="168">
        <f t="shared" si="5"/>
        <v>0</v>
      </c>
      <c r="Y2452" s="168">
        <f t="shared" si="6"/>
        <v>0</v>
      </c>
      <c r="Z2452" s="168">
        <f t="shared" si="7"/>
        <v>0</v>
      </c>
      <c r="AA2452" s="168">
        <f t="shared" si="8"/>
        <v>0</v>
      </c>
      <c r="AB2452" s="168">
        <f t="shared" si="9"/>
        <v>0</v>
      </c>
    </row>
    <row r="2453" ht="15.0" customHeight="1">
      <c r="A2453" s="157" t="s">
        <v>9936</v>
      </c>
      <c r="B2453" s="169" t="s">
        <v>38</v>
      </c>
      <c r="C2453" s="169" t="s">
        <v>5682</v>
      </c>
      <c r="D2453" s="317">
        <v>45268.0</v>
      </c>
      <c r="E2453" s="157" t="s">
        <v>600</v>
      </c>
      <c r="F2453" s="160">
        <v>10536.48</v>
      </c>
      <c r="G2453" s="160">
        <f>'FACUS$'!$F2453*0.16</f>
        <v>1685.8368</v>
      </c>
      <c r="H2453" s="160">
        <f t="shared" si="68"/>
        <v>12222.3168</v>
      </c>
      <c r="I2453" s="172"/>
      <c r="J2453" s="169"/>
      <c r="K2453" s="172"/>
      <c r="L2453" s="172">
        <f>+'FACUS$'!$H2453-'FACUS$'!$I2453-'FACUS$'!$K2453</f>
        <v>12222.3168</v>
      </c>
      <c r="M2453" s="162" t="s">
        <v>145</v>
      </c>
      <c r="N2453" s="337" t="s">
        <v>554</v>
      </c>
      <c r="O2453" s="338">
        <v>45316.0</v>
      </c>
      <c r="P2453" s="164">
        <f t="array" ref="P2453">XLOOKUP('FACUS$'!$B2453,'perfil de pagos'!$A$4:$A$46,'perfil de pagos'!$C$4:$C$46+'FACUS$'!$D2453)</f>
        <v>45298</v>
      </c>
      <c r="Q2453" s="165">
        <f t="shared" si="66"/>
        <v>0</v>
      </c>
      <c r="R2453" s="167"/>
      <c r="S2453" s="167">
        <v>2766.0</v>
      </c>
      <c r="T2453" s="167"/>
      <c r="U2453" s="334"/>
      <c r="V2453" s="168">
        <f t="shared" si="3"/>
        <v>12222.3168</v>
      </c>
      <c r="W2453" s="168">
        <f t="shared" si="4"/>
        <v>0</v>
      </c>
      <c r="X2453" s="168">
        <f t="shared" si="5"/>
        <v>0</v>
      </c>
      <c r="Y2453" s="168">
        <f t="shared" si="6"/>
        <v>0</v>
      </c>
      <c r="Z2453" s="168">
        <f t="shared" si="7"/>
        <v>0</v>
      </c>
      <c r="AA2453" s="168">
        <f t="shared" si="8"/>
        <v>0</v>
      </c>
      <c r="AB2453" s="168">
        <f t="shared" si="9"/>
        <v>0</v>
      </c>
    </row>
    <row r="2454" ht="15.0" customHeight="1">
      <c r="A2454" s="157" t="s">
        <v>9937</v>
      </c>
      <c r="B2454" s="169" t="s">
        <v>38</v>
      </c>
      <c r="C2454" s="169" t="s">
        <v>5682</v>
      </c>
      <c r="D2454" s="317">
        <v>45268.0</v>
      </c>
      <c r="E2454" s="157" t="s">
        <v>600</v>
      </c>
      <c r="F2454" s="160">
        <v>3643.02</v>
      </c>
      <c r="G2454" s="160">
        <f>'FACUS$'!$F2454*0.16</f>
        <v>582.8832</v>
      </c>
      <c r="H2454" s="160">
        <f t="shared" si="68"/>
        <v>4225.9032</v>
      </c>
      <c r="I2454" s="172"/>
      <c r="J2454" s="169"/>
      <c r="K2454" s="172"/>
      <c r="L2454" s="172">
        <f>+'FACUS$'!$H2454-'FACUS$'!$I2454-'FACUS$'!$K2454</f>
        <v>4225.9032</v>
      </c>
      <c r="M2454" s="162" t="s">
        <v>642</v>
      </c>
      <c r="N2454" s="337" t="s">
        <v>554</v>
      </c>
      <c r="O2454" s="338">
        <v>45316.0</v>
      </c>
      <c r="P2454" s="164">
        <f t="array" ref="P2454">XLOOKUP('FACUS$'!$B2454,'perfil de pagos'!$A$4:$A$46,'perfil de pagos'!$C$4:$C$46+'FACUS$'!$D2454)</f>
        <v>45298</v>
      </c>
      <c r="Q2454" s="165">
        <f t="shared" si="66"/>
        <v>0</v>
      </c>
      <c r="R2454" s="167"/>
      <c r="S2454" s="167">
        <v>2677.0</v>
      </c>
      <c r="T2454" s="167"/>
      <c r="U2454" s="334"/>
      <c r="V2454" s="168">
        <f t="shared" si="3"/>
        <v>4225.9032</v>
      </c>
      <c r="W2454" s="168">
        <f t="shared" si="4"/>
        <v>0</v>
      </c>
      <c r="X2454" s="168">
        <f t="shared" si="5"/>
        <v>0</v>
      </c>
      <c r="Y2454" s="168">
        <f t="shared" si="6"/>
        <v>0</v>
      </c>
      <c r="Z2454" s="168">
        <f t="shared" si="7"/>
        <v>0</v>
      </c>
      <c r="AA2454" s="168">
        <f t="shared" si="8"/>
        <v>0</v>
      </c>
      <c r="AB2454" s="168">
        <f t="shared" si="9"/>
        <v>0</v>
      </c>
    </row>
    <row r="2455" ht="15.0" customHeight="1">
      <c r="A2455" s="157" t="s">
        <v>9938</v>
      </c>
      <c r="B2455" s="169" t="s">
        <v>31</v>
      </c>
      <c r="C2455" s="169" t="s">
        <v>9939</v>
      </c>
      <c r="D2455" s="317">
        <v>45271.0</v>
      </c>
      <c r="E2455" s="157" t="s">
        <v>600</v>
      </c>
      <c r="F2455" s="160">
        <v>19183.95</v>
      </c>
      <c r="G2455" s="160">
        <f>'FACUS$'!$F2455*0.16</f>
        <v>3069.432</v>
      </c>
      <c r="H2455" s="160">
        <f t="shared" si="68"/>
        <v>22253.382</v>
      </c>
      <c r="I2455" s="172"/>
      <c r="J2455" s="169"/>
      <c r="K2455" s="172"/>
      <c r="L2455" s="172">
        <f>+'FACUS$'!$H2455-'FACUS$'!$I2455-'FACUS$'!$K2455</f>
        <v>22253.382</v>
      </c>
      <c r="M2455" s="162" t="s">
        <v>3183</v>
      </c>
      <c r="N2455" s="337" t="s">
        <v>554</v>
      </c>
      <c r="O2455" s="338">
        <v>45275.0</v>
      </c>
      <c r="P2455" s="164">
        <f t="array" ref="P2455">XLOOKUP('FACUS$'!$B2455,'perfil de pagos'!$A$4:$A$46,'perfil de pagos'!$C$4:$C$46+'FACUS$'!$D2455)</f>
        <v>45274</v>
      </c>
      <c r="Q2455" s="165">
        <f t="shared" si="66"/>
        <v>0</v>
      </c>
      <c r="R2455" s="167"/>
      <c r="S2455" s="167">
        <v>2671.0</v>
      </c>
      <c r="T2455" s="167"/>
      <c r="U2455" s="334"/>
      <c r="V2455" s="168">
        <f t="shared" si="3"/>
        <v>22253.382</v>
      </c>
      <c r="W2455" s="168">
        <f t="shared" si="4"/>
        <v>0</v>
      </c>
      <c r="X2455" s="168">
        <f t="shared" si="5"/>
        <v>0</v>
      </c>
      <c r="Y2455" s="168">
        <f t="shared" si="6"/>
        <v>0</v>
      </c>
      <c r="Z2455" s="168">
        <f t="shared" si="7"/>
        <v>0</v>
      </c>
      <c r="AA2455" s="168">
        <f t="shared" si="8"/>
        <v>0</v>
      </c>
      <c r="AB2455" s="168">
        <f t="shared" si="9"/>
        <v>0</v>
      </c>
    </row>
    <row r="2456" ht="15.0" customHeight="1">
      <c r="A2456" s="157" t="s">
        <v>9940</v>
      </c>
      <c r="B2456" s="169" t="s">
        <v>31</v>
      </c>
      <c r="C2456" s="169" t="s">
        <v>9941</v>
      </c>
      <c r="D2456" s="317">
        <v>45275.0</v>
      </c>
      <c r="E2456" s="157" t="s">
        <v>600</v>
      </c>
      <c r="F2456" s="160">
        <v>13915.07</v>
      </c>
      <c r="G2456" s="160">
        <f>'FACUS$'!$F2456*0.16</f>
        <v>2226.4112</v>
      </c>
      <c r="H2456" s="160">
        <f t="shared" si="68"/>
        <v>16141.4812</v>
      </c>
      <c r="I2456" s="172"/>
      <c r="J2456" s="169"/>
      <c r="K2456" s="172"/>
      <c r="L2456" s="172">
        <f>+'FACUS$'!$H2456-'FACUS$'!$I2456-'FACUS$'!$K2456</f>
        <v>16141.4812</v>
      </c>
      <c r="M2456" s="162" t="s">
        <v>3183</v>
      </c>
      <c r="N2456" s="337" t="s">
        <v>554</v>
      </c>
      <c r="O2456" s="338">
        <v>45280.0</v>
      </c>
      <c r="P2456" s="164">
        <f t="array" ref="P2456">XLOOKUP('FACUS$'!$B2456,'perfil de pagos'!$A$4:$A$46,'perfil de pagos'!$C$4:$C$46+'FACUS$'!$D2456)</f>
        <v>45278</v>
      </c>
      <c r="Q2456" s="165">
        <f t="shared" si="66"/>
        <v>0</v>
      </c>
      <c r="R2456" s="167"/>
      <c r="S2456" s="167">
        <v>2678.0</v>
      </c>
      <c r="T2456" s="167"/>
      <c r="U2456" s="334"/>
      <c r="V2456" s="168">
        <f t="shared" si="3"/>
        <v>16141.4812</v>
      </c>
      <c r="W2456" s="168">
        <f t="shared" si="4"/>
        <v>0</v>
      </c>
      <c r="X2456" s="168">
        <f t="shared" si="5"/>
        <v>0</v>
      </c>
      <c r="Y2456" s="168">
        <f t="shared" si="6"/>
        <v>0</v>
      </c>
      <c r="Z2456" s="168">
        <f t="shared" si="7"/>
        <v>0</v>
      </c>
      <c r="AA2456" s="168">
        <f t="shared" si="8"/>
        <v>0</v>
      </c>
      <c r="AB2456" s="168">
        <f t="shared" si="9"/>
        <v>0</v>
      </c>
    </row>
    <row r="2457" ht="15.0" customHeight="1">
      <c r="A2457" s="157" t="s">
        <v>9942</v>
      </c>
      <c r="B2457" s="169" t="s">
        <v>31</v>
      </c>
      <c r="C2457" s="169" t="s">
        <v>9943</v>
      </c>
      <c r="D2457" s="317">
        <v>45278.0</v>
      </c>
      <c r="E2457" s="157" t="s">
        <v>600</v>
      </c>
      <c r="F2457" s="160">
        <v>29940.44</v>
      </c>
      <c r="G2457" s="160">
        <f>'FACUS$'!$F2457*0.16</f>
        <v>4790.4704</v>
      </c>
      <c r="H2457" s="160">
        <f t="shared" si="68"/>
        <v>34730.9104</v>
      </c>
      <c r="I2457" s="172">
        <f>12156.1+18831.7</f>
        <v>30987.8</v>
      </c>
      <c r="J2457" s="169"/>
      <c r="K2457" s="172"/>
      <c r="L2457" s="172">
        <f>+'FACUS$'!$H2457-'FACUS$'!$I2457-'FACUS$'!$K2457</f>
        <v>3743.1104</v>
      </c>
      <c r="M2457" s="162" t="s">
        <v>3183</v>
      </c>
      <c r="N2457" s="337" t="s">
        <v>554</v>
      </c>
      <c r="O2457" s="338">
        <v>45283.0</v>
      </c>
      <c r="P2457" s="164">
        <f t="array" ref="P2457">XLOOKUP('FACUS$'!$B2457,'perfil de pagos'!$A$4:$A$46,'perfil de pagos'!$C$4:$C$46+'FACUS$'!$D2457)</f>
        <v>45281</v>
      </c>
      <c r="Q2457" s="165">
        <f t="shared" si="66"/>
        <v>0</v>
      </c>
      <c r="R2457" s="167" t="s">
        <v>9944</v>
      </c>
      <c r="S2457" s="167" t="s">
        <v>9945</v>
      </c>
      <c r="T2457" s="167"/>
      <c r="U2457" s="334"/>
      <c r="V2457" s="168">
        <f t="shared" si="3"/>
        <v>3743.1104</v>
      </c>
      <c r="W2457" s="168">
        <f t="shared" si="4"/>
        <v>0</v>
      </c>
      <c r="X2457" s="168">
        <f t="shared" si="5"/>
        <v>0</v>
      </c>
      <c r="Y2457" s="168">
        <f t="shared" si="6"/>
        <v>0</v>
      </c>
      <c r="Z2457" s="168">
        <f t="shared" si="7"/>
        <v>0</v>
      </c>
      <c r="AA2457" s="168">
        <f t="shared" si="8"/>
        <v>0</v>
      </c>
      <c r="AB2457" s="168">
        <f t="shared" si="9"/>
        <v>0</v>
      </c>
    </row>
    <row r="2458" ht="15.0" customHeight="1">
      <c r="A2458" s="157" t="s">
        <v>9946</v>
      </c>
      <c r="B2458" s="169" t="s">
        <v>15</v>
      </c>
      <c r="C2458" s="169" t="s">
        <v>5700</v>
      </c>
      <c r="D2458" s="317">
        <v>45279.0</v>
      </c>
      <c r="E2458" s="157" t="s">
        <v>600</v>
      </c>
      <c r="F2458" s="160">
        <v>74841.86</v>
      </c>
      <c r="G2458" s="160">
        <f>'FACUS$'!$F2458*0.16</f>
        <v>11974.6976</v>
      </c>
      <c r="H2458" s="160">
        <f t="shared" si="68"/>
        <v>86816.5576</v>
      </c>
      <c r="I2458" s="172"/>
      <c r="J2458" s="169"/>
      <c r="K2458" s="172"/>
      <c r="L2458" s="172">
        <f>+'FACUS$'!$H2458-'FACUS$'!$I2458-'FACUS$'!$K2458</f>
        <v>86816.5576</v>
      </c>
      <c r="M2458" s="162" t="s">
        <v>443</v>
      </c>
      <c r="N2458" s="337" t="s">
        <v>554</v>
      </c>
      <c r="O2458" s="338">
        <v>45301.0</v>
      </c>
      <c r="P2458" s="164">
        <f t="array" ref="P2458">XLOOKUP('FACUS$'!$B2458,'perfil de pagos'!$A$4:$A$46,'perfil de pagos'!$C$4:$C$46+'FACUS$'!$D2458)</f>
        <v>45289</v>
      </c>
      <c r="Q2458" s="165">
        <f t="shared" si="66"/>
        <v>0</v>
      </c>
      <c r="R2458" s="167"/>
      <c r="S2458" s="167">
        <v>2734.0</v>
      </c>
      <c r="T2458" s="167"/>
      <c r="U2458" s="334"/>
      <c r="V2458" s="168">
        <f t="shared" si="3"/>
        <v>86816.5576</v>
      </c>
      <c r="W2458" s="168">
        <f t="shared" si="4"/>
        <v>0</v>
      </c>
      <c r="X2458" s="168">
        <f t="shared" si="5"/>
        <v>0</v>
      </c>
      <c r="Y2458" s="168">
        <f t="shared" si="6"/>
        <v>0</v>
      </c>
      <c r="Z2458" s="168">
        <f t="shared" si="7"/>
        <v>0</v>
      </c>
      <c r="AA2458" s="168">
        <f t="shared" si="8"/>
        <v>0</v>
      </c>
      <c r="AB2458" s="168">
        <f t="shared" si="9"/>
        <v>0</v>
      </c>
    </row>
    <row r="2459" ht="15.0" customHeight="1">
      <c r="A2459" s="157" t="s">
        <v>9947</v>
      </c>
      <c r="B2459" s="169" t="s">
        <v>35</v>
      </c>
      <c r="C2459" s="169" t="s">
        <v>5700</v>
      </c>
      <c r="D2459" s="317">
        <v>45279.0</v>
      </c>
      <c r="E2459" s="157" t="s">
        <v>600</v>
      </c>
      <c r="F2459" s="160">
        <v>18051.11</v>
      </c>
      <c r="G2459" s="160">
        <f>'FACUS$'!$F2459*0.16</f>
        <v>2888.1776</v>
      </c>
      <c r="H2459" s="160">
        <f t="shared" si="68"/>
        <v>20939.2876</v>
      </c>
      <c r="I2459" s="172"/>
      <c r="J2459" s="169"/>
      <c r="K2459" s="172"/>
      <c r="L2459" s="172">
        <f>+'FACUS$'!$H2459-'FACUS$'!$I2459-'FACUS$'!$K2459</f>
        <v>20939.2876</v>
      </c>
      <c r="M2459" s="162" t="s">
        <v>276</v>
      </c>
      <c r="N2459" s="337" t="s">
        <v>554</v>
      </c>
      <c r="O2459" s="338">
        <v>45314.0</v>
      </c>
      <c r="P2459" s="164">
        <f t="array" ref="P2459">XLOOKUP('FACUS$'!$B2459,'perfil de pagos'!$A$4:$A$46,'perfil de pagos'!$C$4:$C$46+'FACUS$'!$D2459)</f>
        <v>45289</v>
      </c>
      <c r="Q2459" s="165">
        <f t="shared" si="66"/>
        <v>0</v>
      </c>
      <c r="R2459" s="167"/>
      <c r="S2459" s="167">
        <v>2757.0</v>
      </c>
      <c r="T2459" s="167"/>
      <c r="U2459" s="334"/>
      <c r="V2459" s="168">
        <f t="shared" si="3"/>
        <v>20939.2876</v>
      </c>
      <c r="W2459" s="168">
        <f t="shared" si="4"/>
        <v>0</v>
      </c>
      <c r="X2459" s="168">
        <f t="shared" si="5"/>
        <v>0</v>
      </c>
      <c r="Y2459" s="168">
        <f t="shared" si="6"/>
        <v>0</v>
      </c>
      <c r="Z2459" s="168">
        <f t="shared" si="7"/>
        <v>0</v>
      </c>
      <c r="AA2459" s="168">
        <f t="shared" si="8"/>
        <v>0</v>
      </c>
      <c r="AB2459" s="168">
        <f t="shared" si="9"/>
        <v>0</v>
      </c>
    </row>
    <row r="2460" ht="15.0" customHeight="1">
      <c r="A2460" s="157" t="s">
        <v>9948</v>
      </c>
      <c r="B2460" s="169" t="s">
        <v>31</v>
      </c>
      <c r="C2460" s="169" t="s">
        <v>5700</v>
      </c>
      <c r="D2460" s="317">
        <v>45279.0</v>
      </c>
      <c r="E2460" s="157" t="s">
        <v>600</v>
      </c>
      <c r="F2460" s="160">
        <v>10561.6</v>
      </c>
      <c r="G2460" s="160">
        <f>'FACUS$'!$F2460*0.16</f>
        <v>1689.856</v>
      </c>
      <c r="H2460" s="160">
        <f t="shared" si="68"/>
        <v>12251.456</v>
      </c>
      <c r="I2460" s="172"/>
      <c r="J2460" s="169"/>
      <c r="K2460" s="172"/>
      <c r="L2460" s="172">
        <f>+'FACUS$'!$H2460-'FACUS$'!$I2460-'FACUS$'!$K2460</f>
        <v>12251.456</v>
      </c>
      <c r="M2460" s="162" t="s">
        <v>3183</v>
      </c>
      <c r="N2460" s="337" t="s">
        <v>554</v>
      </c>
      <c r="O2460" s="338">
        <v>45293.0</v>
      </c>
      <c r="P2460" s="164">
        <f t="array" ref="P2460">XLOOKUP('FACUS$'!$B2460,'perfil de pagos'!$A$4:$A$46,'perfil de pagos'!$C$4:$C$46+'FACUS$'!$D2460)</f>
        <v>45282</v>
      </c>
      <c r="Q2460" s="165">
        <f t="shared" si="66"/>
        <v>0</v>
      </c>
      <c r="R2460" s="167"/>
      <c r="S2460" s="167">
        <v>2718.0</v>
      </c>
      <c r="T2460" s="167"/>
      <c r="U2460" s="334"/>
      <c r="V2460" s="168">
        <f t="shared" si="3"/>
        <v>12251.456</v>
      </c>
      <c r="W2460" s="168">
        <f t="shared" si="4"/>
        <v>0</v>
      </c>
      <c r="X2460" s="168">
        <f t="shared" si="5"/>
        <v>0</v>
      </c>
      <c r="Y2460" s="168">
        <f t="shared" si="6"/>
        <v>0</v>
      </c>
      <c r="Z2460" s="168">
        <f t="shared" si="7"/>
        <v>0</v>
      </c>
      <c r="AA2460" s="168">
        <f t="shared" si="8"/>
        <v>0</v>
      </c>
      <c r="AB2460" s="168">
        <f t="shared" si="9"/>
        <v>0</v>
      </c>
    </row>
    <row r="2461" ht="15.0" customHeight="1">
      <c r="A2461" s="157" t="s">
        <v>9949</v>
      </c>
      <c r="B2461" s="169" t="s">
        <v>42</v>
      </c>
      <c r="C2461" s="169" t="s">
        <v>5700</v>
      </c>
      <c r="D2461" s="317">
        <v>45279.0</v>
      </c>
      <c r="E2461" s="157" t="s">
        <v>600</v>
      </c>
      <c r="F2461" s="160">
        <v>19309.3</v>
      </c>
      <c r="G2461" s="160">
        <f>'FACUS$'!$F2461*0.16</f>
        <v>3089.488</v>
      </c>
      <c r="H2461" s="160">
        <f t="shared" si="68"/>
        <v>22398.788</v>
      </c>
      <c r="I2461" s="172"/>
      <c r="J2461" s="169"/>
      <c r="K2461" s="172"/>
      <c r="L2461" s="172">
        <f>+'FACUS$'!$H2461-'FACUS$'!$I2461-'FACUS$'!$K2461</f>
        <v>22398.788</v>
      </c>
      <c r="M2461" s="162" t="s">
        <v>42</v>
      </c>
      <c r="N2461" s="337" t="s">
        <v>554</v>
      </c>
      <c r="O2461" s="338">
        <v>45315.0</v>
      </c>
      <c r="P2461" s="164">
        <f t="array" ref="P2461">XLOOKUP('FACUS$'!$B2461,'perfil de pagos'!$A$4:$A$46,'perfil de pagos'!$C$4:$C$46+'FACUS$'!$D2461)</f>
        <v>45289</v>
      </c>
      <c r="Q2461" s="165">
        <f t="shared" si="66"/>
        <v>0</v>
      </c>
      <c r="R2461" s="167"/>
      <c r="S2461" s="167">
        <v>2759.0</v>
      </c>
      <c r="T2461" s="167"/>
      <c r="U2461" s="334"/>
      <c r="V2461" s="168">
        <f t="shared" si="3"/>
        <v>22398.788</v>
      </c>
      <c r="W2461" s="168">
        <f t="shared" si="4"/>
        <v>0</v>
      </c>
      <c r="X2461" s="168">
        <f t="shared" si="5"/>
        <v>0</v>
      </c>
      <c r="Y2461" s="168">
        <f t="shared" si="6"/>
        <v>0</v>
      </c>
      <c r="Z2461" s="168">
        <f t="shared" si="7"/>
        <v>0</v>
      </c>
      <c r="AA2461" s="168">
        <f t="shared" si="8"/>
        <v>0</v>
      </c>
      <c r="AB2461" s="168">
        <f t="shared" si="9"/>
        <v>0</v>
      </c>
    </row>
    <row r="2462" ht="15.0" customHeight="1">
      <c r="A2462" s="157" t="s">
        <v>9950</v>
      </c>
      <c r="B2462" s="169" t="s">
        <v>44</v>
      </c>
      <c r="C2462" s="169" t="s">
        <v>5700</v>
      </c>
      <c r="D2462" s="317">
        <v>45279.0</v>
      </c>
      <c r="E2462" s="157" t="s">
        <v>600</v>
      </c>
      <c r="F2462" s="160">
        <v>19005.44</v>
      </c>
      <c r="G2462" s="160">
        <f>'FACUS$'!$F2462*0.16</f>
        <v>3040.8704</v>
      </c>
      <c r="H2462" s="160">
        <f t="shared" si="68"/>
        <v>22046.3104</v>
      </c>
      <c r="I2462" s="172"/>
      <c r="J2462" s="169"/>
      <c r="K2462" s="172"/>
      <c r="L2462" s="172">
        <f>+'FACUS$'!$H2462-'FACUS$'!$I2462-'FACUS$'!$K2462</f>
        <v>22046.3104</v>
      </c>
      <c r="M2462" s="162" t="s">
        <v>361</v>
      </c>
      <c r="N2462" s="337" t="s">
        <v>554</v>
      </c>
      <c r="O2462" s="338">
        <v>45289.0</v>
      </c>
      <c r="P2462" s="164">
        <f t="array" ref="P2462">XLOOKUP('FACUS$'!$B2462,'perfil de pagos'!$A$4:$A$46,'perfil de pagos'!$C$4:$C$46+'FACUS$'!$D2462)</f>
        <v>45289</v>
      </c>
      <c r="Q2462" s="165">
        <f t="shared" si="66"/>
        <v>0</v>
      </c>
      <c r="R2462" s="167"/>
      <c r="S2462" s="167">
        <v>2711.0</v>
      </c>
      <c r="T2462" s="167"/>
      <c r="U2462" s="334"/>
      <c r="V2462" s="168">
        <f t="shared" si="3"/>
        <v>22046.3104</v>
      </c>
      <c r="W2462" s="168">
        <f t="shared" si="4"/>
        <v>0</v>
      </c>
      <c r="X2462" s="168">
        <f t="shared" si="5"/>
        <v>0</v>
      </c>
      <c r="Y2462" s="168">
        <f t="shared" si="6"/>
        <v>0</v>
      </c>
      <c r="Z2462" s="168">
        <f t="shared" si="7"/>
        <v>0</v>
      </c>
      <c r="AA2462" s="168">
        <f t="shared" si="8"/>
        <v>0</v>
      </c>
      <c r="AB2462" s="168">
        <f t="shared" si="9"/>
        <v>0</v>
      </c>
    </row>
    <row r="2463" ht="15.0" customHeight="1">
      <c r="A2463" s="157" t="s">
        <v>9951</v>
      </c>
      <c r="B2463" s="169" t="s">
        <v>32</v>
      </c>
      <c r="C2463" s="169" t="s">
        <v>5700</v>
      </c>
      <c r="D2463" s="317">
        <v>45279.0</v>
      </c>
      <c r="E2463" s="157" t="s">
        <v>600</v>
      </c>
      <c r="F2463" s="160">
        <v>21053.83</v>
      </c>
      <c r="G2463" s="160">
        <f>'FACUS$'!$F2463*0.16</f>
        <v>3368.6128</v>
      </c>
      <c r="H2463" s="160">
        <f t="shared" si="68"/>
        <v>24422.4428</v>
      </c>
      <c r="I2463" s="172"/>
      <c r="J2463" s="169"/>
      <c r="K2463" s="172"/>
      <c r="L2463" s="172">
        <f>+'FACUS$'!$H2463-'FACUS$'!$I2463-'FACUS$'!$K2463</f>
        <v>24422.4428</v>
      </c>
      <c r="M2463" s="162" t="s">
        <v>395</v>
      </c>
      <c r="N2463" s="337" t="s">
        <v>554</v>
      </c>
      <c r="O2463" s="338">
        <v>45373.0</v>
      </c>
      <c r="P2463" s="164">
        <f t="array" ref="P2463">XLOOKUP('FACUS$'!$B2463,'perfil de pagos'!$A$4:$A$46,'perfil de pagos'!$C$4:$C$46+'FACUS$'!$D2463)</f>
        <v>45289</v>
      </c>
      <c r="Q2463" s="165">
        <f t="shared" si="66"/>
        <v>0</v>
      </c>
      <c r="R2463" s="167"/>
      <c r="S2463" s="167">
        <v>2892.0</v>
      </c>
      <c r="T2463" s="167"/>
      <c r="U2463" s="334"/>
      <c r="V2463" s="168">
        <f t="shared" si="3"/>
        <v>24422.4428</v>
      </c>
      <c r="W2463" s="168">
        <f t="shared" si="4"/>
        <v>0</v>
      </c>
      <c r="X2463" s="168">
        <f t="shared" si="5"/>
        <v>0</v>
      </c>
      <c r="Y2463" s="168">
        <f t="shared" si="6"/>
        <v>0</v>
      </c>
      <c r="Z2463" s="168">
        <f t="shared" si="7"/>
        <v>0</v>
      </c>
      <c r="AA2463" s="168">
        <f t="shared" si="8"/>
        <v>0</v>
      </c>
      <c r="AB2463" s="168">
        <f t="shared" si="9"/>
        <v>0</v>
      </c>
    </row>
    <row r="2464" ht="15.0" customHeight="1">
      <c r="A2464" s="157" t="s">
        <v>9952</v>
      </c>
      <c r="B2464" s="169" t="s">
        <v>41</v>
      </c>
      <c r="C2464" s="169" t="s">
        <v>5700</v>
      </c>
      <c r="D2464" s="317">
        <v>45279.0</v>
      </c>
      <c r="E2464" s="157" t="s">
        <v>600</v>
      </c>
      <c r="F2464" s="160">
        <v>79856.27</v>
      </c>
      <c r="G2464" s="160">
        <f>'FACUS$'!$F2464*0.16</f>
        <v>12777.0032</v>
      </c>
      <c r="H2464" s="160">
        <f t="shared" si="68"/>
        <v>92633.2732</v>
      </c>
      <c r="I2464" s="172"/>
      <c r="J2464" s="169"/>
      <c r="K2464" s="172"/>
      <c r="L2464" s="172">
        <f>+'FACUS$'!$H2464-'FACUS$'!$I2464-'FACUS$'!$K2464</f>
        <v>92633.2732</v>
      </c>
      <c r="M2464" s="162" t="s">
        <v>875</v>
      </c>
      <c r="N2464" s="337" t="s">
        <v>554</v>
      </c>
      <c r="O2464" s="338">
        <v>45324.0</v>
      </c>
      <c r="P2464" s="164">
        <f t="array" ref="P2464">XLOOKUP('FACUS$'!$B2464,'perfil de pagos'!$A$4:$A$46,'perfil de pagos'!$C$4:$C$46+'FACUS$'!$D2464)</f>
        <v>45289</v>
      </c>
      <c r="Q2464" s="165">
        <f t="shared" si="66"/>
        <v>0</v>
      </c>
      <c r="R2464" s="167"/>
      <c r="S2464" s="167">
        <v>2781.0</v>
      </c>
      <c r="T2464" s="167"/>
      <c r="U2464" s="334"/>
      <c r="V2464" s="168">
        <f t="shared" si="3"/>
        <v>92633.2732</v>
      </c>
      <c r="W2464" s="168">
        <f t="shared" si="4"/>
        <v>0</v>
      </c>
      <c r="X2464" s="168">
        <f t="shared" si="5"/>
        <v>0</v>
      </c>
      <c r="Y2464" s="168">
        <f t="shared" si="6"/>
        <v>0</v>
      </c>
      <c r="Z2464" s="168">
        <f t="shared" si="7"/>
        <v>0</v>
      </c>
      <c r="AA2464" s="168">
        <f t="shared" si="8"/>
        <v>0</v>
      </c>
      <c r="AB2464" s="168">
        <f t="shared" si="9"/>
        <v>0</v>
      </c>
    </row>
    <row r="2465" ht="15.0" customHeight="1">
      <c r="A2465" s="157" t="s">
        <v>9953</v>
      </c>
      <c r="B2465" s="169" t="s">
        <v>34</v>
      </c>
      <c r="C2465" s="169" t="s">
        <v>5700</v>
      </c>
      <c r="D2465" s="317">
        <v>45279.0</v>
      </c>
      <c r="E2465" s="157" t="s">
        <v>600</v>
      </c>
      <c r="F2465" s="160">
        <v>27438.34</v>
      </c>
      <c r="G2465" s="160">
        <f>'FACUS$'!$F2465*0.16</f>
        <v>4390.1344</v>
      </c>
      <c r="H2465" s="160">
        <f t="shared" si="68"/>
        <v>31828.4744</v>
      </c>
      <c r="I2465" s="172"/>
      <c r="J2465" s="169"/>
      <c r="K2465" s="172"/>
      <c r="L2465" s="172">
        <f>+'FACUS$'!$H2465-'FACUS$'!$I2465-'FACUS$'!$K2465</f>
        <v>31828.4744</v>
      </c>
      <c r="M2465" s="162" t="s">
        <v>538</v>
      </c>
      <c r="N2465" s="337" t="s">
        <v>554</v>
      </c>
      <c r="O2465" s="338">
        <v>45324.0</v>
      </c>
      <c r="P2465" s="164">
        <f t="array" ref="P2465">XLOOKUP('FACUS$'!$B2465,'perfil de pagos'!$A$4:$A$46,'perfil de pagos'!$C$4:$C$46+'FACUS$'!$D2465)</f>
        <v>45289</v>
      </c>
      <c r="Q2465" s="165">
        <f t="shared" si="66"/>
        <v>0</v>
      </c>
      <c r="R2465" s="167"/>
      <c r="S2465" s="167">
        <v>2782.0</v>
      </c>
      <c r="T2465" s="167"/>
      <c r="U2465" s="334"/>
      <c r="V2465" s="168">
        <f t="shared" si="3"/>
        <v>31828.4744</v>
      </c>
      <c r="W2465" s="168">
        <f t="shared" si="4"/>
        <v>0</v>
      </c>
      <c r="X2465" s="168">
        <f t="shared" si="5"/>
        <v>0</v>
      </c>
      <c r="Y2465" s="168">
        <f t="shared" si="6"/>
        <v>0</v>
      </c>
      <c r="Z2465" s="168">
        <f t="shared" si="7"/>
        <v>0</v>
      </c>
      <c r="AA2465" s="168">
        <f t="shared" si="8"/>
        <v>0</v>
      </c>
      <c r="AB2465" s="168">
        <f t="shared" si="9"/>
        <v>0</v>
      </c>
    </row>
    <row r="2466" ht="15.0" customHeight="1">
      <c r="A2466" s="157" t="s">
        <v>9954</v>
      </c>
      <c r="B2466" s="169" t="s">
        <v>34</v>
      </c>
      <c r="C2466" s="169" t="s">
        <v>5700</v>
      </c>
      <c r="D2466" s="317">
        <v>45279.0</v>
      </c>
      <c r="E2466" s="157" t="s">
        <v>600</v>
      </c>
      <c r="F2466" s="160">
        <v>26850.79</v>
      </c>
      <c r="G2466" s="160">
        <f>'FACUS$'!$F2466*0.16</f>
        <v>4296.1264</v>
      </c>
      <c r="H2466" s="160">
        <f t="shared" si="68"/>
        <v>31146.9164</v>
      </c>
      <c r="I2466" s="172"/>
      <c r="J2466" s="169"/>
      <c r="K2466" s="172"/>
      <c r="L2466" s="172">
        <f>+'FACUS$'!$H2466-'FACUS$'!$I2466-'FACUS$'!$K2466</f>
        <v>31146.9164</v>
      </c>
      <c r="M2466" s="162" t="s">
        <v>538</v>
      </c>
      <c r="N2466" s="337" t="s">
        <v>554</v>
      </c>
      <c r="O2466" s="338">
        <v>45324.0</v>
      </c>
      <c r="P2466" s="164">
        <f t="array" ref="P2466">XLOOKUP('FACUS$'!$B2466,'perfil de pagos'!$A$4:$A$46,'perfil de pagos'!$C$4:$C$46+'FACUS$'!$D2466)</f>
        <v>45289</v>
      </c>
      <c r="Q2466" s="165">
        <f t="shared" si="66"/>
        <v>0</v>
      </c>
      <c r="R2466" s="167"/>
      <c r="S2466" s="167">
        <v>2782.0</v>
      </c>
      <c r="T2466" s="167"/>
      <c r="U2466" s="334"/>
      <c r="V2466" s="168">
        <f t="shared" si="3"/>
        <v>31146.9164</v>
      </c>
      <c r="W2466" s="168">
        <f t="shared" si="4"/>
        <v>0</v>
      </c>
      <c r="X2466" s="168">
        <f t="shared" si="5"/>
        <v>0</v>
      </c>
      <c r="Y2466" s="168">
        <f t="shared" si="6"/>
        <v>0</v>
      </c>
      <c r="Z2466" s="168">
        <f t="shared" si="7"/>
        <v>0</v>
      </c>
      <c r="AA2466" s="168">
        <f t="shared" si="8"/>
        <v>0</v>
      </c>
      <c r="AB2466" s="168">
        <f t="shared" si="9"/>
        <v>0</v>
      </c>
    </row>
    <row r="2467" ht="15.0" customHeight="1">
      <c r="A2467" s="157" t="s">
        <v>9955</v>
      </c>
      <c r="B2467" s="169" t="s">
        <v>38</v>
      </c>
      <c r="C2467" s="169" t="s">
        <v>5700</v>
      </c>
      <c r="D2467" s="317">
        <v>45280.0</v>
      </c>
      <c r="E2467" s="157" t="s">
        <v>600</v>
      </c>
      <c r="F2467" s="160">
        <v>3662.45</v>
      </c>
      <c r="G2467" s="160">
        <f>'FACUS$'!$F2467*0.16</f>
        <v>585.992</v>
      </c>
      <c r="H2467" s="160">
        <f t="shared" si="68"/>
        <v>4248.442</v>
      </c>
      <c r="I2467" s="172"/>
      <c r="J2467" s="169"/>
      <c r="K2467" s="172"/>
      <c r="L2467" s="172">
        <f>+'FACUS$'!$H2467-'FACUS$'!$I2467-'FACUS$'!$K2467</f>
        <v>4248.442</v>
      </c>
      <c r="M2467" s="162" t="s">
        <v>4654</v>
      </c>
      <c r="N2467" s="337" t="s">
        <v>554</v>
      </c>
      <c r="O2467" s="338">
        <v>45330.0</v>
      </c>
      <c r="P2467" s="164">
        <f t="array" ref="P2467">XLOOKUP('FACUS$'!$B2467,'perfil de pagos'!$A$4:$A$46,'perfil de pagos'!$C$4:$C$46+'FACUS$'!$D2467)</f>
        <v>45310</v>
      </c>
      <c r="Q2467" s="165">
        <f t="shared" si="66"/>
        <v>0</v>
      </c>
      <c r="R2467" s="167"/>
      <c r="S2467" s="167">
        <v>2789.0</v>
      </c>
      <c r="T2467" s="167"/>
      <c r="U2467" s="334"/>
      <c r="V2467" s="168">
        <f t="shared" si="3"/>
        <v>4248.442</v>
      </c>
      <c r="W2467" s="168">
        <f t="shared" si="4"/>
        <v>0</v>
      </c>
      <c r="X2467" s="168">
        <f t="shared" si="5"/>
        <v>0</v>
      </c>
      <c r="Y2467" s="168">
        <f t="shared" si="6"/>
        <v>0</v>
      </c>
      <c r="Z2467" s="168">
        <f t="shared" si="7"/>
        <v>0</v>
      </c>
      <c r="AA2467" s="168">
        <f t="shared" si="8"/>
        <v>0</v>
      </c>
      <c r="AB2467" s="168">
        <f t="shared" si="9"/>
        <v>0</v>
      </c>
    </row>
    <row r="2468" ht="15.0" customHeight="1">
      <c r="A2468" s="157" t="s">
        <v>9956</v>
      </c>
      <c r="B2468" s="169" t="s">
        <v>18</v>
      </c>
      <c r="C2468" s="169" t="s">
        <v>5700</v>
      </c>
      <c r="D2468" s="317">
        <v>45281.0</v>
      </c>
      <c r="E2468" s="157" t="s">
        <v>600</v>
      </c>
      <c r="F2468" s="160">
        <v>6005.88</v>
      </c>
      <c r="G2468" s="160">
        <f>'FACUS$'!$F2468*0.16</f>
        <v>960.9408</v>
      </c>
      <c r="H2468" s="160">
        <f t="shared" si="68"/>
        <v>6966.8208</v>
      </c>
      <c r="I2468" s="172"/>
      <c r="J2468" s="169"/>
      <c r="K2468" s="172"/>
      <c r="L2468" s="172">
        <f>+'FACUS$'!$H2468-'FACUS$'!$I2468-'FACUS$'!$K2468</f>
        <v>6966.8208</v>
      </c>
      <c r="M2468" s="162" t="s">
        <v>586</v>
      </c>
      <c r="N2468" s="337" t="s">
        <v>554</v>
      </c>
      <c r="O2468" s="338">
        <v>45287.0</v>
      </c>
      <c r="P2468" s="164">
        <f t="array" ref="P2468">XLOOKUP('FACUS$'!$B2468,'perfil de pagos'!$A$4:$A$46,'perfil de pagos'!$C$4:$C$46+'FACUS$'!$D2468)</f>
        <v>45291</v>
      </c>
      <c r="Q2468" s="165">
        <f t="shared" si="66"/>
        <v>0</v>
      </c>
      <c r="R2468" s="167"/>
      <c r="S2468" s="167">
        <v>2701.0</v>
      </c>
      <c r="T2468" s="167"/>
      <c r="U2468" s="334"/>
      <c r="V2468" s="168">
        <f t="shared" si="3"/>
        <v>6966.8208</v>
      </c>
      <c r="W2468" s="168">
        <f t="shared" si="4"/>
        <v>0</v>
      </c>
      <c r="X2468" s="168">
        <f t="shared" si="5"/>
        <v>0</v>
      </c>
      <c r="Y2468" s="168">
        <f t="shared" si="6"/>
        <v>0</v>
      </c>
      <c r="Z2468" s="168">
        <f t="shared" si="7"/>
        <v>0</v>
      </c>
      <c r="AA2468" s="168">
        <f t="shared" si="8"/>
        <v>0</v>
      </c>
      <c r="AB2468" s="168">
        <f t="shared" si="9"/>
        <v>0</v>
      </c>
    </row>
    <row r="2469" ht="15.0" customHeight="1">
      <c r="A2469" s="157" t="s">
        <v>9957</v>
      </c>
      <c r="B2469" s="169" t="s">
        <v>20</v>
      </c>
      <c r="C2469" s="169" t="s">
        <v>5700</v>
      </c>
      <c r="D2469" s="317">
        <v>45281.0</v>
      </c>
      <c r="E2469" s="157" t="s">
        <v>600</v>
      </c>
      <c r="F2469" s="160">
        <v>11998.6</v>
      </c>
      <c r="G2469" s="160">
        <f>'FACUS$'!$F2469*0.16</f>
        <v>1919.776</v>
      </c>
      <c r="H2469" s="160">
        <f t="shared" si="68"/>
        <v>13918.376</v>
      </c>
      <c r="I2469" s="172"/>
      <c r="J2469" s="169"/>
      <c r="K2469" s="172"/>
      <c r="L2469" s="172">
        <f>+'FACUS$'!$H2469-'FACUS$'!$I2469-'FACUS$'!$K2469</f>
        <v>13918.376</v>
      </c>
      <c r="M2469" s="162" t="s">
        <v>732</v>
      </c>
      <c r="N2469" s="337" t="s">
        <v>554</v>
      </c>
      <c r="O2469" s="338">
        <v>45287.0</v>
      </c>
      <c r="P2469" s="164">
        <f t="array" ref="P2469">XLOOKUP('FACUS$'!$B2469,'perfil de pagos'!$A$4:$A$46,'perfil de pagos'!$C$4:$C$46+'FACUS$'!$D2469)</f>
        <v>45291</v>
      </c>
      <c r="Q2469" s="165">
        <f t="shared" si="66"/>
        <v>0</v>
      </c>
      <c r="R2469" s="167"/>
      <c r="S2469" s="167">
        <v>2701.0</v>
      </c>
      <c r="T2469" s="167"/>
      <c r="U2469" s="334"/>
      <c r="V2469" s="168">
        <f t="shared" si="3"/>
        <v>13918.376</v>
      </c>
      <c r="W2469" s="168">
        <f t="shared" si="4"/>
        <v>0</v>
      </c>
      <c r="X2469" s="168">
        <f t="shared" si="5"/>
        <v>0</v>
      </c>
      <c r="Y2469" s="168">
        <f t="shared" si="6"/>
        <v>0</v>
      </c>
      <c r="Z2469" s="168">
        <f t="shared" si="7"/>
        <v>0</v>
      </c>
      <c r="AA2469" s="168">
        <f t="shared" si="8"/>
        <v>0</v>
      </c>
      <c r="AB2469" s="168">
        <f t="shared" si="9"/>
        <v>0</v>
      </c>
    </row>
    <row r="2470" ht="15.0" customHeight="1">
      <c r="A2470" s="157" t="s">
        <v>9958</v>
      </c>
      <c r="B2470" s="169" t="s">
        <v>22</v>
      </c>
      <c r="C2470" s="169" t="s">
        <v>5700</v>
      </c>
      <c r="D2470" s="317">
        <v>45281.0</v>
      </c>
      <c r="E2470" s="157" t="s">
        <v>600</v>
      </c>
      <c r="F2470" s="160">
        <v>13744.16</v>
      </c>
      <c r="G2470" s="160">
        <f>'FACUS$'!$F2470*0.16</f>
        <v>2199.0656</v>
      </c>
      <c r="H2470" s="160">
        <f t="shared" si="68"/>
        <v>15943.2256</v>
      </c>
      <c r="I2470" s="172">
        <v>6788.8902</v>
      </c>
      <c r="J2470" s="169"/>
      <c r="K2470" s="172"/>
      <c r="L2470" s="172">
        <f>+'FACUS$'!$H2470-'FACUS$'!$I2470-'FACUS$'!$K2470</f>
        <v>9154.3354</v>
      </c>
      <c r="M2470" s="162" t="s">
        <v>220</v>
      </c>
      <c r="N2470" s="337" t="s">
        <v>554</v>
      </c>
      <c r="O2470" s="338">
        <v>45329.0</v>
      </c>
      <c r="P2470" s="164">
        <f t="array" ref="P2470">XLOOKUP('FACUS$'!$B2470,'perfil de pagos'!$A$4:$A$46,'perfil de pagos'!$C$4:$C$46+'FACUS$'!$D2470)</f>
        <v>45291</v>
      </c>
      <c r="Q2470" s="165">
        <f t="shared" si="66"/>
        <v>0</v>
      </c>
      <c r="R2470" s="220" t="s">
        <v>9959</v>
      </c>
      <c r="S2470" s="220" t="s">
        <v>9960</v>
      </c>
      <c r="T2470" s="167"/>
      <c r="U2470" s="334"/>
      <c r="V2470" s="168">
        <f t="shared" si="3"/>
        <v>9154.3354</v>
      </c>
      <c r="W2470" s="168">
        <f t="shared" si="4"/>
        <v>0</v>
      </c>
      <c r="X2470" s="168">
        <f t="shared" si="5"/>
        <v>0</v>
      </c>
      <c r="Y2470" s="168">
        <f t="shared" si="6"/>
        <v>0</v>
      </c>
      <c r="Z2470" s="168">
        <f t="shared" si="7"/>
        <v>0</v>
      </c>
      <c r="AA2470" s="168">
        <f t="shared" si="8"/>
        <v>0</v>
      </c>
      <c r="AB2470" s="168">
        <f t="shared" si="9"/>
        <v>0</v>
      </c>
    </row>
    <row r="2471" ht="15.0" customHeight="1">
      <c r="A2471" s="157" t="s">
        <v>9961</v>
      </c>
      <c r="B2471" s="169" t="s">
        <v>25</v>
      </c>
      <c r="C2471" s="169" t="s">
        <v>5700</v>
      </c>
      <c r="D2471" s="317">
        <v>45281.0</v>
      </c>
      <c r="E2471" s="157" t="s">
        <v>600</v>
      </c>
      <c r="F2471" s="160">
        <v>5375.05</v>
      </c>
      <c r="G2471" s="160">
        <f>'FACUS$'!$F2471*0.16</f>
        <v>860.008</v>
      </c>
      <c r="H2471" s="160">
        <f t="shared" si="68"/>
        <v>6235.058</v>
      </c>
      <c r="I2471" s="172"/>
      <c r="J2471" s="169"/>
      <c r="K2471" s="172"/>
      <c r="L2471" s="172">
        <f>+'FACUS$'!$H2471-'FACUS$'!$I2471-'FACUS$'!$K2471</f>
        <v>6235.058</v>
      </c>
      <c r="M2471" s="162" t="s">
        <v>4388</v>
      </c>
      <c r="N2471" s="337" t="s">
        <v>554</v>
      </c>
      <c r="O2471" s="338">
        <v>45371.0</v>
      </c>
      <c r="P2471" s="164">
        <f t="array" ref="P2471">XLOOKUP('FACUS$'!$B2471,'perfil de pagos'!$A$4:$A$46,'perfil de pagos'!$C$4:$C$46+'FACUS$'!$D2471)</f>
        <v>45291</v>
      </c>
      <c r="Q2471" s="165">
        <f t="shared" si="66"/>
        <v>0</v>
      </c>
      <c r="R2471" s="167"/>
      <c r="S2471" s="167">
        <v>2877.0</v>
      </c>
      <c r="T2471" s="167"/>
      <c r="U2471" s="334"/>
      <c r="V2471" s="168">
        <f t="shared" si="3"/>
        <v>6235.058</v>
      </c>
      <c r="W2471" s="168">
        <f t="shared" si="4"/>
        <v>0</v>
      </c>
      <c r="X2471" s="168">
        <f t="shared" si="5"/>
        <v>0</v>
      </c>
      <c r="Y2471" s="168">
        <f t="shared" si="6"/>
        <v>0</v>
      </c>
      <c r="Z2471" s="168">
        <f t="shared" si="7"/>
        <v>0</v>
      </c>
      <c r="AA2471" s="168">
        <f t="shared" si="8"/>
        <v>0</v>
      </c>
      <c r="AB2471" s="168">
        <f t="shared" si="9"/>
        <v>0</v>
      </c>
    </row>
    <row r="2472" ht="15.0" customHeight="1">
      <c r="A2472" s="157" t="s">
        <v>9962</v>
      </c>
      <c r="B2472" s="169" t="s">
        <v>37</v>
      </c>
      <c r="C2472" s="169" t="s">
        <v>5700</v>
      </c>
      <c r="D2472" s="317">
        <v>45281.0</v>
      </c>
      <c r="E2472" s="157" t="s">
        <v>600</v>
      </c>
      <c r="F2472" s="160">
        <v>93998.71</v>
      </c>
      <c r="G2472" s="160">
        <f>'FACUS$'!$F2472*0.16</f>
        <v>15039.7936</v>
      </c>
      <c r="H2472" s="160">
        <f t="shared" si="68"/>
        <v>109038.5036</v>
      </c>
      <c r="I2472" s="172"/>
      <c r="J2472" s="169"/>
      <c r="K2472" s="172"/>
      <c r="L2472" s="172">
        <f>+'FACUS$'!$H2472-'FACUS$'!$I2472-'FACUS$'!$K2472</f>
        <v>109038.5036</v>
      </c>
      <c r="M2472" s="162" t="s">
        <v>116</v>
      </c>
      <c r="N2472" s="337" t="s">
        <v>554</v>
      </c>
      <c r="O2472" s="338">
        <v>45294.0</v>
      </c>
      <c r="P2472" s="164">
        <f t="array" ref="P2472">XLOOKUP('FACUS$'!$B2472,'perfil de pagos'!$A$4:$A$46,'perfil de pagos'!$C$4:$C$46+'FACUS$'!$D2472)</f>
        <v>45291</v>
      </c>
      <c r="Q2472" s="165">
        <f t="shared" si="66"/>
        <v>0</v>
      </c>
      <c r="R2472" s="167"/>
      <c r="S2472" s="167">
        <v>2708.0</v>
      </c>
      <c r="T2472" s="167"/>
      <c r="U2472" s="334"/>
      <c r="V2472" s="168">
        <f t="shared" si="3"/>
        <v>109038.5036</v>
      </c>
      <c r="W2472" s="168">
        <f t="shared" si="4"/>
        <v>0</v>
      </c>
      <c r="X2472" s="168">
        <f t="shared" si="5"/>
        <v>0</v>
      </c>
      <c r="Y2472" s="168">
        <f t="shared" si="6"/>
        <v>0</v>
      </c>
      <c r="Z2472" s="168">
        <f t="shared" si="7"/>
        <v>0</v>
      </c>
      <c r="AA2472" s="168">
        <f t="shared" si="8"/>
        <v>0</v>
      </c>
      <c r="AB2472" s="168">
        <f t="shared" si="9"/>
        <v>0</v>
      </c>
    </row>
    <row r="2473" ht="15.0" customHeight="1">
      <c r="A2473" s="157" t="s">
        <v>9963</v>
      </c>
      <c r="B2473" s="169" t="s">
        <v>31</v>
      </c>
      <c r="C2473" s="169" t="s">
        <v>9964</v>
      </c>
      <c r="D2473" s="317">
        <v>45282.0</v>
      </c>
      <c r="E2473" s="157" t="s">
        <v>600</v>
      </c>
      <c r="F2473" s="160">
        <v>29940.44</v>
      </c>
      <c r="G2473" s="160">
        <f>'FACUS$'!$F2473*0.16</f>
        <v>4790.4704</v>
      </c>
      <c r="H2473" s="160">
        <f t="shared" si="68"/>
        <v>34730.9104</v>
      </c>
      <c r="I2473" s="172">
        <f>6000+6000</f>
        <v>12000</v>
      </c>
      <c r="J2473" s="169">
        <f>'NCUS$'!A81</f>
        <v>366</v>
      </c>
      <c r="K2473" s="172">
        <f>'NCUS$'!H81</f>
        <v>20000</v>
      </c>
      <c r="L2473" s="172">
        <f>+'FACUS$'!$H2473-'FACUS$'!$I2473-'FACUS$'!$K2473</f>
        <v>2730.9104</v>
      </c>
      <c r="M2473" s="162" t="s">
        <v>3183</v>
      </c>
      <c r="N2473" s="337" t="s">
        <v>554</v>
      </c>
      <c r="O2473" s="338">
        <v>45611.0</v>
      </c>
      <c r="P2473" s="164">
        <f t="array" ref="P2473">XLOOKUP('FACUS$'!$B2473,'perfil de pagos'!$A$4:$A$46,'perfil de pagos'!$C$4:$C$46+'FACUS$'!$D2473)</f>
        <v>45285</v>
      </c>
      <c r="Q2473" s="165">
        <f t="shared" si="66"/>
        <v>0</v>
      </c>
      <c r="R2473" s="220" t="s">
        <v>9965</v>
      </c>
      <c r="S2473" s="220" t="s">
        <v>9966</v>
      </c>
      <c r="T2473" s="167"/>
      <c r="U2473" s="334"/>
      <c r="V2473" s="168">
        <f t="shared" si="3"/>
        <v>2730.9104</v>
      </c>
      <c r="W2473" s="168">
        <f t="shared" si="4"/>
        <v>0</v>
      </c>
      <c r="X2473" s="168">
        <f t="shared" si="5"/>
        <v>0</v>
      </c>
      <c r="Y2473" s="168">
        <f t="shared" si="6"/>
        <v>0</v>
      </c>
      <c r="Z2473" s="168">
        <f t="shared" si="7"/>
        <v>0</v>
      </c>
      <c r="AA2473" s="168">
        <f t="shared" si="8"/>
        <v>0</v>
      </c>
      <c r="AB2473" s="168">
        <f t="shared" si="9"/>
        <v>0</v>
      </c>
    </row>
    <row r="2474" ht="15.0" customHeight="1">
      <c r="A2474" s="157" t="s">
        <v>9967</v>
      </c>
      <c r="B2474" s="169" t="s">
        <v>31</v>
      </c>
      <c r="C2474" s="169" t="s">
        <v>9968</v>
      </c>
      <c r="D2474" s="317">
        <v>45293.0</v>
      </c>
      <c r="E2474" s="157" t="s">
        <v>600</v>
      </c>
      <c r="F2474" s="160">
        <v>29940.435000000005</v>
      </c>
      <c r="G2474" s="160">
        <f>'FACUS$'!$F2474*0.16</f>
        <v>4790.4696</v>
      </c>
      <c r="H2474" s="160">
        <f t="shared" si="68"/>
        <v>34730.9046</v>
      </c>
      <c r="I2474" s="172"/>
      <c r="J2474" s="169">
        <v>365.0</v>
      </c>
      <c r="K2474" s="172">
        <f>'NCUS$'!H80</f>
        <v>18696.7176</v>
      </c>
      <c r="L2474" s="172">
        <f>+'FACUS$'!$H2474-'FACUS$'!$I2474-'FACUS$'!$K2474</f>
        <v>16034.187</v>
      </c>
      <c r="M2474" s="162" t="s">
        <v>3183</v>
      </c>
      <c r="N2474" s="337"/>
      <c r="O2474" s="338"/>
      <c r="P2474" s="164">
        <f t="array" ref="P2474">XLOOKUP('FACUS$'!$B2474,'perfil de pagos'!$A$4:$A$46,'perfil de pagos'!$C$4:$C$46+'FACUS$'!$D2474)</f>
        <v>45296</v>
      </c>
      <c r="Q2474" s="165">
        <f t="shared" si="66"/>
        <v>493</v>
      </c>
      <c r="R2474" s="167"/>
      <c r="S2474" s="167"/>
      <c r="T2474" s="167"/>
      <c r="U2474" s="334"/>
      <c r="V2474" s="168">
        <f t="shared" si="3"/>
        <v>0</v>
      </c>
      <c r="W2474" s="168">
        <f t="shared" si="4"/>
        <v>0</v>
      </c>
      <c r="X2474" s="168">
        <f t="shared" si="5"/>
        <v>0</v>
      </c>
      <c r="Y2474" s="168">
        <f t="shared" si="6"/>
        <v>0</v>
      </c>
      <c r="Z2474" s="168">
        <f t="shared" si="7"/>
        <v>0</v>
      </c>
      <c r="AA2474" s="168">
        <f t="shared" si="8"/>
        <v>0</v>
      </c>
      <c r="AB2474" s="168">
        <f t="shared" si="9"/>
        <v>16034.187</v>
      </c>
    </row>
    <row r="2475" ht="15.0" customHeight="1">
      <c r="A2475" s="157" t="s">
        <v>9969</v>
      </c>
      <c r="B2475" s="169" t="s">
        <v>31</v>
      </c>
      <c r="C2475" s="169" t="s">
        <v>9970</v>
      </c>
      <c r="D2475" s="317">
        <v>45294.0</v>
      </c>
      <c r="E2475" s="157" t="s">
        <v>600</v>
      </c>
      <c r="F2475" s="160">
        <v>29940.44</v>
      </c>
      <c r="G2475" s="160">
        <f>'FACUS$'!$F2475*0.16</f>
        <v>4790.4704</v>
      </c>
      <c r="H2475" s="160">
        <f t="shared" si="68"/>
        <v>34730.9104</v>
      </c>
      <c r="I2475" s="172"/>
      <c r="J2475" s="169"/>
      <c r="K2475" s="172"/>
      <c r="L2475" s="172">
        <f>+'FACUS$'!$H2475-'FACUS$'!$I2475-'FACUS$'!$K2475</f>
        <v>34730.9104</v>
      </c>
      <c r="M2475" s="162" t="s">
        <v>3183</v>
      </c>
      <c r="N2475" s="337" t="s">
        <v>127</v>
      </c>
      <c r="O2475" s="338"/>
      <c r="P2475" s="164">
        <f t="array" ref="P2475">XLOOKUP('FACUS$'!$B2475,'perfil de pagos'!$A$4:$A$46,'perfil de pagos'!$C$4:$C$46+'FACUS$'!$D2475)</f>
        <v>45297</v>
      </c>
      <c r="Q2475" s="165" t="str">
        <f t="shared" si="66"/>
        <v>N/A</v>
      </c>
      <c r="R2475" s="167"/>
      <c r="S2475" s="167"/>
      <c r="T2475" s="167"/>
      <c r="U2475" s="334"/>
      <c r="V2475" s="168">
        <f t="shared" si="3"/>
        <v>0</v>
      </c>
      <c r="W2475" s="168">
        <f t="shared" si="4"/>
        <v>0</v>
      </c>
      <c r="X2475" s="168">
        <f t="shared" si="5"/>
        <v>0</v>
      </c>
      <c r="Y2475" s="168">
        <f t="shared" si="6"/>
        <v>0</v>
      </c>
      <c r="Z2475" s="168">
        <f t="shared" si="7"/>
        <v>0</v>
      </c>
      <c r="AA2475" s="168">
        <f t="shared" si="8"/>
        <v>0</v>
      </c>
      <c r="AB2475" s="168">
        <f t="shared" si="9"/>
        <v>34730.9104</v>
      </c>
    </row>
    <row r="2476" ht="15.0" customHeight="1">
      <c r="A2476" s="157" t="s">
        <v>9971</v>
      </c>
      <c r="B2476" s="169" t="s">
        <v>32</v>
      </c>
      <c r="C2476" s="169" t="s">
        <v>5755</v>
      </c>
      <c r="D2476" s="317">
        <v>45295.0</v>
      </c>
      <c r="E2476" s="157" t="s">
        <v>600</v>
      </c>
      <c r="F2476" s="160">
        <v>37317.38</v>
      </c>
      <c r="G2476" s="160">
        <f>'FACUS$'!$F2476*0.16</f>
        <v>5970.7808</v>
      </c>
      <c r="H2476" s="160">
        <f t="shared" si="68"/>
        <v>43288.1608</v>
      </c>
      <c r="I2476" s="172"/>
      <c r="J2476" s="169"/>
      <c r="K2476" s="172"/>
      <c r="L2476" s="172">
        <f>+'FACUS$'!$H2476-'FACUS$'!$I2476-'FACUS$'!$K2476</f>
        <v>43288.1608</v>
      </c>
      <c r="M2476" s="162" t="s">
        <v>395</v>
      </c>
      <c r="N2476" s="337" t="s">
        <v>554</v>
      </c>
      <c r="O2476" s="338">
        <v>45366.0</v>
      </c>
      <c r="P2476" s="164">
        <f t="array" ref="P2476">XLOOKUP('FACUS$'!$B2476,'perfil de pagos'!$A$4:$A$46,'perfil de pagos'!$C$4:$C$46+'FACUS$'!$D2476)</f>
        <v>45305</v>
      </c>
      <c r="Q2476" s="165">
        <f t="shared" si="66"/>
        <v>0</v>
      </c>
      <c r="R2476" s="167"/>
      <c r="S2476" s="167">
        <v>2863.0</v>
      </c>
      <c r="T2476" s="167"/>
      <c r="U2476" s="334"/>
      <c r="V2476" s="168">
        <f t="shared" si="3"/>
        <v>43288.1608</v>
      </c>
      <c r="W2476" s="168">
        <f t="shared" si="4"/>
        <v>0</v>
      </c>
      <c r="X2476" s="168">
        <f t="shared" si="5"/>
        <v>0</v>
      </c>
      <c r="Y2476" s="168">
        <f t="shared" si="6"/>
        <v>0</v>
      </c>
      <c r="Z2476" s="168">
        <f t="shared" si="7"/>
        <v>0</v>
      </c>
      <c r="AA2476" s="168">
        <f t="shared" si="8"/>
        <v>0</v>
      </c>
      <c r="AB2476" s="168">
        <f t="shared" si="9"/>
        <v>0</v>
      </c>
    </row>
    <row r="2477" ht="15.0" customHeight="1">
      <c r="A2477" s="157" t="s">
        <v>9972</v>
      </c>
      <c r="B2477" s="169" t="s">
        <v>41</v>
      </c>
      <c r="C2477" s="169" t="s">
        <v>5755</v>
      </c>
      <c r="D2477" s="317">
        <v>45295.0</v>
      </c>
      <c r="E2477" s="157" t="s">
        <v>600</v>
      </c>
      <c r="F2477" s="160">
        <v>101040.32</v>
      </c>
      <c r="G2477" s="160">
        <f>'FACUS$'!$F2477*0.16</f>
        <v>16166.4512</v>
      </c>
      <c r="H2477" s="160">
        <f t="shared" si="68"/>
        <v>117206.7712</v>
      </c>
      <c r="I2477" s="172"/>
      <c r="J2477" s="169"/>
      <c r="K2477" s="172"/>
      <c r="L2477" s="172">
        <f>+'FACUS$'!$H2477-'FACUS$'!$I2477-'FACUS$'!$K2477</f>
        <v>117206.7712</v>
      </c>
      <c r="M2477" s="162" t="s">
        <v>875</v>
      </c>
      <c r="N2477" s="337" t="s">
        <v>554</v>
      </c>
      <c r="O2477" s="338">
        <v>45324.0</v>
      </c>
      <c r="P2477" s="164">
        <f t="array" ref="P2477">XLOOKUP('FACUS$'!$B2477,'perfil de pagos'!$A$4:$A$46,'perfil de pagos'!$C$4:$C$46+'FACUS$'!$D2477)</f>
        <v>45305</v>
      </c>
      <c r="Q2477" s="165">
        <f t="shared" si="66"/>
        <v>0</v>
      </c>
      <c r="R2477" s="167"/>
      <c r="S2477" s="167">
        <v>2781.0</v>
      </c>
      <c r="T2477" s="167"/>
      <c r="U2477" s="334"/>
      <c r="V2477" s="168">
        <f t="shared" si="3"/>
        <v>117206.7712</v>
      </c>
      <c r="W2477" s="168">
        <f t="shared" si="4"/>
        <v>0</v>
      </c>
      <c r="X2477" s="168">
        <f t="shared" si="5"/>
        <v>0</v>
      </c>
      <c r="Y2477" s="168">
        <f t="shared" si="6"/>
        <v>0</v>
      </c>
      <c r="Z2477" s="168">
        <f t="shared" si="7"/>
        <v>0</v>
      </c>
      <c r="AA2477" s="168">
        <f t="shared" si="8"/>
        <v>0</v>
      </c>
      <c r="AB2477" s="168">
        <f t="shared" si="9"/>
        <v>0</v>
      </c>
    </row>
    <row r="2478" ht="15.0" customHeight="1">
      <c r="A2478" s="157" t="s">
        <v>9973</v>
      </c>
      <c r="B2478" s="169" t="s">
        <v>34</v>
      </c>
      <c r="C2478" s="169" t="s">
        <v>5753</v>
      </c>
      <c r="D2478" s="317">
        <v>45295.0</v>
      </c>
      <c r="E2478" s="157" t="s">
        <v>600</v>
      </c>
      <c r="F2478" s="160">
        <v>35702.27</v>
      </c>
      <c r="G2478" s="160">
        <f>'FACUS$'!$F2478*0.16</f>
        <v>5712.3632</v>
      </c>
      <c r="H2478" s="160">
        <f t="shared" si="68"/>
        <v>41414.6332</v>
      </c>
      <c r="I2478" s="172"/>
      <c r="J2478" s="169"/>
      <c r="K2478" s="172"/>
      <c r="L2478" s="172">
        <f>+'FACUS$'!$H2478-'FACUS$'!$I2478-'FACUS$'!$K2478</f>
        <v>41414.6332</v>
      </c>
      <c r="M2478" s="162" t="s">
        <v>538</v>
      </c>
      <c r="N2478" s="337" t="s">
        <v>554</v>
      </c>
      <c r="O2478" s="338">
        <v>45331.0</v>
      </c>
      <c r="P2478" s="164">
        <f t="array" ref="P2478">XLOOKUP('FACUS$'!$B2478,'perfil de pagos'!$A$4:$A$46,'perfil de pagos'!$C$4:$C$46+'FACUS$'!$D2478)</f>
        <v>45305</v>
      </c>
      <c r="Q2478" s="165">
        <f t="shared" si="66"/>
        <v>0</v>
      </c>
      <c r="R2478" s="167"/>
      <c r="S2478" s="167">
        <v>2795.0</v>
      </c>
      <c r="T2478" s="167"/>
      <c r="U2478" s="334"/>
      <c r="V2478" s="168">
        <f t="shared" si="3"/>
        <v>41414.6332</v>
      </c>
      <c r="W2478" s="168">
        <f t="shared" si="4"/>
        <v>0</v>
      </c>
      <c r="X2478" s="168">
        <f t="shared" si="5"/>
        <v>0</v>
      </c>
      <c r="Y2478" s="168">
        <f t="shared" si="6"/>
        <v>0</v>
      </c>
      <c r="Z2478" s="168">
        <f t="shared" si="7"/>
        <v>0</v>
      </c>
      <c r="AA2478" s="168">
        <f t="shared" si="8"/>
        <v>0</v>
      </c>
      <c r="AB2478" s="168">
        <f t="shared" si="9"/>
        <v>0</v>
      </c>
    </row>
    <row r="2479" ht="15.0" customHeight="1">
      <c r="A2479" s="157" t="s">
        <v>9974</v>
      </c>
      <c r="B2479" s="169" t="s">
        <v>34</v>
      </c>
      <c r="C2479" s="169" t="s">
        <v>5755</v>
      </c>
      <c r="D2479" s="317">
        <v>45295.0</v>
      </c>
      <c r="E2479" s="157" t="s">
        <v>600</v>
      </c>
      <c r="F2479" s="160">
        <v>36414.62</v>
      </c>
      <c r="G2479" s="160">
        <f>'FACUS$'!$F2479*0.16</f>
        <v>5826.3392</v>
      </c>
      <c r="H2479" s="160">
        <f t="shared" si="68"/>
        <v>42240.9592</v>
      </c>
      <c r="I2479" s="172"/>
      <c r="J2479" s="169"/>
      <c r="K2479" s="172"/>
      <c r="L2479" s="172">
        <f>+'FACUS$'!$H2479-'FACUS$'!$I2479-'FACUS$'!$K2479</f>
        <v>42240.9592</v>
      </c>
      <c r="M2479" s="162" t="s">
        <v>538</v>
      </c>
      <c r="N2479" s="337" t="s">
        <v>554</v>
      </c>
      <c r="O2479" s="338">
        <v>45352.0</v>
      </c>
      <c r="P2479" s="164">
        <f t="array" ref="P2479">XLOOKUP('FACUS$'!$B2479,'perfil de pagos'!$A$4:$A$46,'perfil de pagos'!$C$4:$C$46+'FACUS$'!$D2479)</f>
        <v>45305</v>
      </c>
      <c r="Q2479" s="165">
        <f t="shared" si="66"/>
        <v>0</v>
      </c>
      <c r="R2479" s="167"/>
      <c r="S2479" s="167">
        <v>2839.0</v>
      </c>
      <c r="T2479" s="167"/>
      <c r="U2479" s="334"/>
      <c r="V2479" s="168">
        <f t="shared" si="3"/>
        <v>42240.9592</v>
      </c>
      <c r="W2479" s="168">
        <f t="shared" si="4"/>
        <v>0</v>
      </c>
      <c r="X2479" s="168">
        <f t="shared" si="5"/>
        <v>0</v>
      </c>
      <c r="Y2479" s="168">
        <f t="shared" si="6"/>
        <v>0</v>
      </c>
      <c r="Z2479" s="168">
        <f t="shared" si="7"/>
        <v>0</v>
      </c>
      <c r="AA2479" s="168">
        <f t="shared" si="8"/>
        <v>0</v>
      </c>
      <c r="AB2479" s="168">
        <f t="shared" si="9"/>
        <v>0</v>
      </c>
    </row>
    <row r="2480" ht="15.0" customHeight="1">
      <c r="A2480" s="157" t="s">
        <v>9975</v>
      </c>
      <c r="B2480" s="169" t="s">
        <v>35</v>
      </c>
      <c r="C2480" s="169" t="s">
        <v>5755</v>
      </c>
      <c r="D2480" s="317">
        <v>45295.0</v>
      </c>
      <c r="E2480" s="157" t="s">
        <v>600</v>
      </c>
      <c r="F2480" s="160">
        <v>22146.82</v>
      </c>
      <c r="G2480" s="160">
        <f>'FACUS$'!$F2480*0.16</f>
        <v>3543.4912</v>
      </c>
      <c r="H2480" s="160">
        <f t="shared" si="68"/>
        <v>25690.3112</v>
      </c>
      <c r="I2480" s="172"/>
      <c r="J2480" s="169"/>
      <c r="K2480" s="172"/>
      <c r="L2480" s="172">
        <f>+'FACUS$'!$H2480-'FACUS$'!$I2480-'FACUS$'!$K2480</f>
        <v>25690.3112</v>
      </c>
      <c r="M2480" s="162" t="s">
        <v>276</v>
      </c>
      <c r="N2480" s="337" t="s">
        <v>554</v>
      </c>
      <c r="O2480" s="338">
        <v>45317.0</v>
      </c>
      <c r="P2480" s="164">
        <f t="array" ref="P2480">XLOOKUP('FACUS$'!$B2480,'perfil de pagos'!$A$4:$A$46,'perfil de pagos'!$C$4:$C$46+'FACUS$'!$D2480)</f>
        <v>45305</v>
      </c>
      <c r="Q2480" s="165">
        <f t="shared" si="66"/>
        <v>0</v>
      </c>
      <c r="R2480" s="167"/>
      <c r="S2480" s="167">
        <v>2764.0</v>
      </c>
      <c r="T2480" s="167"/>
      <c r="U2480" s="334"/>
      <c r="V2480" s="168">
        <f t="shared" si="3"/>
        <v>25690.3112</v>
      </c>
      <c r="W2480" s="168">
        <f t="shared" si="4"/>
        <v>0</v>
      </c>
      <c r="X2480" s="168">
        <f t="shared" si="5"/>
        <v>0</v>
      </c>
      <c r="Y2480" s="168">
        <f t="shared" si="6"/>
        <v>0</v>
      </c>
      <c r="Z2480" s="168">
        <f t="shared" si="7"/>
        <v>0</v>
      </c>
      <c r="AA2480" s="168">
        <f t="shared" si="8"/>
        <v>0</v>
      </c>
      <c r="AB2480" s="168">
        <f t="shared" si="9"/>
        <v>0</v>
      </c>
    </row>
    <row r="2481" ht="15.0" customHeight="1">
      <c r="A2481" s="157" t="s">
        <v>9976</v>
      </c>
      <c r="B2481" s="169" t="s">
        <v>31</v>
      </c>
      <c r="C2481" s="169" t="s">
        <v>5755</v>
      </c>
      <c r="D2481" s="317">
        <v>45295.0</v>
      </c>
      <c r="E2481" s="157" t="s">
        <v>600</v>
      </c>
      <c r="F2481" s="160">
        <v>4076.6354999999967</v>
      </c>
      <c r="G2481" s="160">
        <f>'FACUS$'!$F2481*0.16</f>
        <v>652.26168</v>
      </c>
      <c r="H2481" s="160">
        <f t="shared" si="68"/>
        <v>4728.89718</v>
      </c>
      <c r="I2481" s="172"/>
      <c r="J2481" s="169"/>
      <c r="K2481" s="172"/>
      <c r="L2481" s="172">
        <f>+'FACUS$'!$H2481-'FACUS$'!$I2481-'FACUS$'!$K2481</f>
        <v>4728.89718</v>
      </c>
      <c r="M2481" s="162" t="s">
        <v>3183</v>
      </c>
      <c r="N2481" s="337" t="s">
        <v>554</v>
      </c>
      <c r="O2481" s="338">
        <v>45604.0</v>
      </c>
      <c r="P2481" s="164">
        <f t="array" ref="P2481">XLOOKUP('FACUS$'!$B2481,'perfil de pagos'!$A$4:$A$46,'perfil de pagos'!$C$4:$C$46+'FACUS$'!$D2481)</f>
        <v>45298</v>
      </c>
      <c r="Q2481" s="165">
        <f t="shared" si="66"/>
        <v>0</v>
      </c>
      <c r="R2481" s="167"/>
      <c r="S2481" s="167">
        <v>3392.0</v>
      </c>
      <c r="T2481" s="167"/>
      <c r="U2481" s="334"/>
      <c r="V2481" s="168">
        <f t="shared" si="3"/>
        <v>4728.89718</v>
      </c>
      <c r="W2481" s="168">
        <f t="shared" si="4"/>
        <v>0</v>
      </c>
      <c r="X2481" s="168">
        <f t="shared" si="5"/>
        <v>0</v>
      </c>
      <c r="Y2481" s="168">
        <f t="shared" si="6"/>
        <v>0</v>
      </c>
      <c r="Z2481" s="168">
        <f t="shared" si="7"/>
        <v>0</v>
      </c>
      <c r="AA2481" s="168">
        <f t="shared" si="8"/>
        <v>0</v>
      </c>
      <c r="AB2481" s="168">
        <f t="shared" si="9"/>
        <v>0</v>
      </c>
    </row>
    <row r="2482" ht="15.0" customHeight="1">
      <c r="A2482" s="157" t="s">
        <v>9977</v>
      </c>
      <c r="B2482" s="169" t="s">
        <v>42</v>
      </c>
      <c r="C2482" s="169" t="s">
        <v>5755</v>
      </c>
      <c r="D2482" s="317">
        <v>45295.0</v>
      </c>
      <c r="E2482" s="157" t="s">
        <v>600</v>
      </c>
      <c r="F2482" s="160">
        <v>21581.59</v>
      </c>
      <c r="G2482" s="160">
        <f>'FACUS$'!$F2482*0.16</f>
        <v>3453.0544</v>
      </c>
      <c r="H2482" s="160">
        <f t="shared" si="68"/>
        <v>25034.6444</v>
      </c>
      <c r="I2482" s="172"/>
      <c r="J2482" s="169"/>
      <c r="K2482" s="172"/>
      <c r="L2482" s="172">
        <f>+'FACUS$'!$H2482-'FACUS$'!$I2482-'FACUS$'!$K2482</f>
        <v>25034.6444</v>
      </c>
      <c r="M2482" s="162" t="s">
        <v>42</v>
      </c>
      <c r="N2482" s="337" t="s">
        <v>554</v>
      </c>
      <c r="O2482" s="338">
        <v>45331.0</v>
      </c>
      <c r="P2482" s="164">
        <f t="array" ref="P2482">XLOOKUP('FACUS$'!$B2482,'perfil de pagos'!$A$4:$A$46,'perfil de pagos'!$C$4:$C$46+'FACUS$'!$D2482)</f>
        <v>45305</v>
      </c>
      <c r="Q2482" s="165">
        <f t="shared" si="66"/>
        <v>0</v>
      </c>
      <c r="R2482" s="167"/>
      <c r="S2482" s="167">
        <v>2796.0</v>
      </c>
      <c r="T2482" s="167"/>
      <c r="U2482" s="334"/>
      <c r="V2482" s="168">
        <f t="shared" si="3"/>
        <v>25034.6444</v>
      </c>
      <c r="W2482" s="168">
        <f t="shared" si="4"/>
        <v>0</v>
      </c>
      <c r="X2482" s="168">
        <f t="shared" si="5"/>
        <v>0</v>
      </c>
      <c r="Y2482" s="168">
        <f t="shared" si="6"/>
        <v>0</v>
      </c>
      <c r="Z2482" s="168">
        <f t="shared" si="7"/>
        <v>0</v>
      </c>
      <c r="AA2482" s="168">
        <f t="shared" si="8"/>
        <v>0</v>
      </c>
      <c r="AB2482" s="168">
        <f t="shared" si="9"/>
        <v>0</v>
      </c>
    </row>
    <row r="2483" ht="15.0" customHeight="1">
      <c r="A2483" s="157" t="s">
        <v>9978</v>
      </c>
      <c r="B2483" s="169" t="s">
        <v>44</v>
      </c>
      <c r="C2483" s="169" t="s">
        <v>5755</v>
      </c>
      <c r="D2483" s="317">
        <v>45295.0</v>
      </c>
      <c r="E2483" s="157" t="s">
        <v>600</v>
      </c>
      <c r="F2483" s="160">
        <v>24410.87</v>
      </c>
      <c r="G2483" s="160">
        <f>'FACUS$'!$F2483*0.16</f>
        <v>3905.7392</v>
      </c>
      <c r="H2483" s="160">
        <f t="shared" si="68"/>
        <v>28316.6092</v>
      </c>
      <c r="I2483" s="172">
        <v>18316.61</v>
      </c>
      <c r="J2483" s="169"/>
      <c r="K2483" s="172"/>
      <c r="L2483" s="172">
        <f>+'FACUS$'!$H2483-'FACUS$'!$I2483-'FACUS$'!$K2483</f>
        <v>9999.9992</v>
      </c>
      <c r="M2483" s="162" t="s">
        <v>361</v>
      </c>
      <c r="N2483" s="337" t="s">
        <v>554</v>
      </c>
      <c r="O2483" s="338">
        <v>45316.0</v>
      </c>
      <c r="P2483" s="164">
        <f t="array" ref="P2483">XLOOKUP('FACUS$'!$B2483,'perfil de pagos'!$A$4:$A$46,'perfil de pagos'!$C$4:$C$46+'FACUS$'!$D2483)</f>
        <v>45305</v>
      </c>
      <c r="Q2483" s="165">
        <f t="shared" si="66"/>
        <v>0</v>
      </c>
      <c r="R2483" s="220" t="s">
        <v>9979</v>
      </c>
      <c r="S2483" s="167" t="s">
        <v>9980</v>
      </c>
      <c r="T2483" s="167"/>
      <c r="U2483" s="334"/>
      <c r="V2483" s="168">
        <f t="shared" si="3"/>
        <v>9999.9992</v>
      </c>
      <c r="W2483" s="168">
        <f t="shared" si="4"/>
        <v>0</v>
      </c>
      <c r="X2483" s="168">
        <f t="shared" si="5"/>
        <v>0</v>
      </c>
      <c r="Y2483" s="168">
        <f t="shared" si="6"/>
        <v>0</v>
      </c>
      <c r="Z2483" s="168">
        <f t="shared" si="7"/>
        <v>0</v>
      </c>
      <c r="AA2483" s="168">
        <f t="shared" si="8"/>
        <v>0</v>
      </c>
      <c r="AB2483" s="168">
        <f t="shared" si="9"/>
        <v>0</v>
      </c>
    </row>
    <row r="2484" ht="15.0" customHeight="1">
      <c r="A2484" s="157" t="s">
        <v>9981</v>
      </c>
      <c r="B2484" s="169" t="s">
        <v>38</v>
      </c>
      <c r="C2484" s="169" t="s">
        <v>5755</v>
      </c>
      <c r="D2484" s="317">
        <v>45295.0</v>
      </c>
      <c r="E2484" s="157" t="s">
        <v>600</v>
      </c>
      <c r="F2484" s="160">
        <v>2279.09</v>
      </c>
      <c r="G2484" s="160">
        <f>'FACUS$'!$F2484*0.16</f>
        <v>364.6544</v>
      </c>
      <c r="H2484" s="160">
        <f t="shared" si="68"/>
        <v>2643.7444</v>
      </c>
      <c r="I2484" s="172"/>
      <c r="J2484" s="169"/>
      <c r="K2484" s="172"/>
      <c r="L2484" s="172">
        <f>+'FACUS$'!$H2484-'FACUS$'!$I2484-'FACUS$'!$K2484</f>
        <v>2643.7444</v>
      </c>
      <c r="M2484" s="162" t="s">
        <v>4654</v>
      </c>
      <c r="N2484" s="337" t="s">
        <v>554</v>
      </c>
      <c r="O2484" s="338">
        <v>45330.0</v>
      </c>
      <c r="P2484" s="164">
        <f t="array" ref="P2484">XLOOKUP('FACUS$'!$B2484,'perfil de pagos'!$A$4:$A$46,'perfil de pagos'!$C$4:$C$46+'FACUS$'!$D2484)</f>
        <v>45325</v>
      </c>
      <c r="Q2484" s="165">
        <f t="shared" si="66"/>
        <v>0</v>
      </c>
      <c r="R2484" s="167"/>
      <c r="S2484" s="167">
        <v>2789.0</v>
      </c>
      <c r="T2484" s="167"/>
      <c r="U2484" s="334"/>
      <c r="V2484" s="168">
        <f t="shared" si="3"/>
        <v>2643.7444</v>
      </c>
      <c r="W2484" s="168">
        <f t="shared" si="4"/>
        <v>0</v>
      </c>
      <c r="X2484" s="168">
        <f t="shared" si="5"/>
        <v>0</v>
      </c>
      <c r="Y2484" s="168">
        <f t="shared" si="6"/>
        <v>0</v>
      </c>
      <c r="Z2484" s="168">
        <f t="shared" si="7"/>
        <v>0</v>
      </c>
      <c r="AA2484" s="168">
        <f t="shared" si="8"/>
        <v>0</v>
      </c>
      <c r="AB2484" s="168">
        <f t="shared" si="9"/>
        <v>0</v>
      </c>
    </row>
    <row r="2485" ht="15.0" customHeight="1">
      <c r="A2485" s="157" t="s">
        <v>9982</v>
      </c>
      <c r="B2485" s="169" t="s">
        <v>15</v>
      </c>
      <c r="C2485" s="169" t="s">
        <v>5755</v>
      </c>
      <c r="D2485" s="317">
        <v>45296.0</v>
      </c>
      <c r="E2485" s="157" t="s">
        <v>600</v>
      </c>
      <c r="F2485" s="160">
        <v>35616.41</v>
      </c>
      <c r="G2485" s="160">
        <f>'FACUS$'!$F2485*0.16</f>
        <v>5698.6256</v>
      </c>
      <c r="H2485" s="160">
        <f t="shared" si="68"/>
        <v>41315.0356</v>
      </c>
      <c r="I2485" s="172"/>
      <c r="J2485" s="169"/>
      <c r="K2485" s="172"/>
      <c r="L2485" s="172">
        <f>+'FACUS$'!$H2485-'FACUS$'!$I2485-'FACUS$'!$K2485</f>
        <v>41315.0356</v>
      </c>
      <c r="M2485" s="162" t="s">
        <v>443</v>
      </c>
      <c r="N2485" s="337" t="s">
        <v>554</v>
      </c>
      <c r="O2485" s="338">
        <v>45315.0</v>
      </c>
      <c r="P2485" s="164">
        <f t="array" ref="P2485">XLOOKUP('FACUS$'!$B2485,'perfil de pagos'!$A$4:$A$46,'perfil de pagos'!$C$4:$C$46+'FACUS$'!$D2485)</f>
        <v>45306</v>
      </c>
      <c r="Q2485" s="165">
        <f t="shared" si="66"/>
        <v>0</v>
      </c>
      <c r="R2485" s="167"/>
      <c r="S2485" s="167">
        <v>2758.0</v>
      </c>
      <c r="T2485" s="167"/>
      <c r="U2485" s="334"/>
      <c r="V2485" s="168">
        <f t="shared" si="3"/>
        <v>41315.0356</v>
      </c>
      <c r="W2485" s="168">
        <f t="shared" si="4"/>
        <v>0</v>
      </c>
      <c r="X2485" s="168">
        <f t="shared" si="5"/>
        <v>0</v>
      </c>
      <c r="Y2485" s="168">
        <f t="shared" si="6"/>
        <v>0</v>
      </c>
      <c r="Z2485" s="168">
        <f t="shared" si="7"/>
        <v>0</v>
      </c>
      <c r="AA2485" s="168">
        <f t="shared" si="8"/>
        <v>0</v>
      </c>
      <c r="AB2485" s="168">
        <f t="shared" si="9"/>
        <v>0</v>
      </c>
    </row>
    <row r="2486" ht="15.0" customHeight="1">
      <c r="A2486" s="157" t="s">
        <v>9983</v>
      </c>
      <c r="B2486" s="169" t="s">
        <v>18</v>
      </c>
      <c r="C2486" s="169" t="s">
        <v>5755</v>
      </c>
      <c r="D2486" s="317">
        <v>45299.0</v>
      </c>
      <c r="E2486" s="157" t="s">
        <v>600</v>
      </c>
      <c r="F2486" s="160">
        <v>6690.27</v>
      </c>
      <c r="G2486" s="160">
        <f>'FACUS$'!$F2486*0.16</f>
        <v>1070.4432</v>
      </c>
      <c r="H2486" s="160">
        <f t="shared" si="68"/>
        <v>7760.7132</v>
      </c>
      <c r="I2486" s="172"/>
      <c r="J2486" s="169"/>
      <c r="K2486" s="172"/>
      <c r="L2486" s="172">
        <f>+'FACUS$'!$H2486-'FACUS$'!$I2486-'FACUS$'!$K2486</f>
        <v>7760.7132</v>
      </c>
      <c r="M2486" s="162" t="s">
        <v>586</v>
      </c>
      <c r="N2486" s="337" t="s">
        <v>554</v>
      </c>
      <c r="O2486" s="338">
        <v>45324.0</v>
      </c>
      <c r="P2486" s="164">
        <f t="array" ref="P2486">XLOOKUP('FACUS$'!$B2486,'perfil de pagos'!$A$4:$A$46,'perfil de pagos'!$C$4:$C$46+'FACUS$'!$D2486)</f>
        <v>45309</v>
      </c>
      <c r="Q2486" s="165">
        <f t="shared" si="66"/>
        <v>0</v>
      </c>
      <c r="R2486" s="167"/>
      <c r="S2486" s="167">
        <v>2783.0</v>
      </c>
      <c r="T2486" s="167"/>
      <c r="U2486" s="334"/>
      <c r="V2486" s="168">
        <f t="shared" si="3"/>
        <v>7760.7132</v>
      </c>
      <c r="W2486" s="168">
        <f t="shared" si="4"/>
        <v>0</v>
      </c>
      <c r="X2486" s="168">
        <f t="shared" si="5"/>
        <v>0</v>
      </c>
      <c r="Y2486" s="168">
        <f t="shared" si="6"/>
        <v>0</v>
      </c>
      <c r="Z2486" s="168">
        <f t="shared" si="7"/>
        <v>0</v>
      </c>
      <c r="AA2486" s="168">
        <f t="shared" si="8"/>
        <v>0</v>
      </c>
      <c r="AB2486" s="168">
        <f t="shared" si="9"/>
        <v>0</v>
      </c>
    </row>
    <row r="2487" ht="15.0" customHeight="1">
      <c r="A2487" s="157" t="s">
        <v>9984</v>
      </c>
      <c r="B2487" s="169" t="s">
        <v>20</v>
      </c>
      <c r="C2487" s="169" t="s">
        <v>5755</v>
      </c>
      <c r="D2487" s="317">
        <v>45299.0</v>
      </c>
      <c r="E2487" s="157" t="s">
        <v>600</v>
      </c>
      <c r="F2487" s="160">
        <v>14551.04</v>
      </c>
      <c r="G2487" s="160">
        <f>'FACUS$'!$F2487*0.16</f>
        <v>2328.1664</v>
      </c>
      <c r="H2487" s="160">
        <f t="shared" si="68"/>
        <v>16879.2064</v>
      </c>
      <c r="I2487" s="172"/>
      <c r="J2487" s="169"/>
      <c r="K2487" s="172"/>
      <c r="L2487" s="172">
        <f>+'FACUS$'!$H2487-'FACUS$'!$I2487-'FACUS$'!$K2487</f>
        <v>16879.2064</v>
      </c>
      <c r="M2487" s="162" t="s">
        <v>732</v>
      </c>
      <c r="N2487" s="337" t="s">
        <v>554</v>
      </c>
      <c r="O2487" s="338">
        <v>45324.0</v>
      </c>
      <c r="P2487" s="164">
        <f t="array" ref="P2487">XLOOKUP('FACUS$'!$B2487,'perfil de pagos'!$A$4:$A$46,'perfil de pagos'!$C$4:$C$46+'FACUS$'!$D2487)</f>
        <v>45309</v>
      </c>
      <c r="Q2487" s="165">
        <f t="shared" si="66"/>
        <v>0</v>
      </c>
      <c r="R2487" s="167"/>
      <c r="S2487" s="167">
        <v>2783.0</v>
      </c>
      <c r="T2487" s="167"/>
      <c r="U2487" s="334"/>
      <c r="V2487" s="168">
        <f t="shared" si="3"/>
        <v>16879.2064</v>
      </c>
      <c r="W2487" s="168">
        <f t="shared" si="4"/>
        <v>0</v>
      </c>
      <c r="X2487" s="168">
        <f t="shared" si="5"/>
        <v>0</v>
      </c>
      <c r="Y2487" s="168">
        <f t="shared" si="6"/>
        <v>0</v>
      </c>
      <c r="Z2487" s="168">
        <f t="shared" si="7"/>
        <v>0</v>
      </c>
      <c r="AA2487" s="168">
        <f t="shared" si="8"/>
        <v>0</v>
      </c>
      <c r="AB2487" s="168">
        <f t="shared" si="9"/>
        <v>0</v>
      </c>
    </row>
    <row r="2488" ht="15.0" customHeight="1">
      <c r="A2488" s="157" t="s">
        <v>9985</v>
      </c>
      <c r="B2488" s="169" t="s">
        <v>22</v>
      </c>
      <c r="C2488" s="169" t="s">
        <v>5755</v>
      </c>
      <c r="D2488" s="317">
        <v>45299.0</v>
      </c>
      <c r="E2488" s="157" t="s">
        <v>600</v>
      </c>
      <c r="F2488" s="160">
        <v>14388.74</v>
      </c>
      <c r="G2488" s="160">
        <f>'FACUS$'!$F2488*0.16</f>
        <v>2302.1984</v>
      </c>
      <c r="H2488" s="160">
        <f t="shared" si="68"/>
        <v>16690.9384</v>
      </c>
      <c r="I2488" s="172">
        <v>11260.14</v>
      </c>
      <c r="J2488" s="169"/>
      <c r="K2488" s="172"/>
      <c r="L2488" s="172">
        <f>+'FACUS$'!$H2488-'FACUS$'!$I2488-'FACUS$'!$K2488</f>
        <v>5430.7984</v>
      </c>
      <c r="M2488" s="162" t="s">
        <v>220</v>
      </c>
      <c r="N2488" s="337" t="s">
        <v>554</v>
      </c>
      <c r="O2488" s="338">
        <v>45349.0</v>
      </c>
      <c r="P2488" s="164">
        <f t="array" ref="P2488">XLOOKUP('FACUS$'!$B2488,'perfil de pagos'!$A$4:$A$46,'perfil de pagos'!$C$4:$C$46+'FACUS$'!$D2488)</f>
        <v>45309</v>
      </c>
      <c r="Q2488" s="165">
        <f t="shared" si="66"/>
        <v>0</v>
      </c>
      <c r="R2488" s="220" t="s">
        <v>9986</v>
      </c>
      <c r="S2488" s="167">
        <v>2826.0</v>
      </c>
      <c r="T2488" s="167"/>
      <c r="U2488" s="334"/>
      <c r="V2488" s="168">
        <f t="shared" si="3"/>
        <v>5430.7984</v>
      </c>
      <c r="W2488" s="168">
        <f t="shared" si="4"/>
        <v>0</v>
      </c>
      <c r="X2488" s="168">
        <f t="shared" si="5"/>
        <v>0</v>
      </c>
      <c r="Y2488" s="168">
        <f t="shared" si="6"/>
        <v>0</v>
      </c>
      <c r="Z2488" s="168">
        <f t="shared" si="7"/>
        <v>0</v>
      </c>
      <c r="AA2488" s="168">
        <f t="shared" si="8"/>
        <v>0</v>
      </c>
      <c r="AB2488" s="168">
        <f t="shared" si="9"/>
        <v>0</v>
      </c>
    </row>
    <row r="2489" ht="15.0" customHeight="1">
      <c r="A2489" s="157" t="s">
        <v>9987</v>
      </c>
      <c r="B2489" s="169" t="s">
        <v>25</v>
      </c>
      <c r="C2489" s="169" t="s">
        <v>5755</v>
      </c>
      <c r="D2489" s="317">
        <v>45299.0</v>
      </c>
      <c r="E2489" s="157" t="s">
        <v>600</v>
      </c>
      <c r="F2489" s="160">
        <v>6590.24</v>
      </c>
      <c r="G2489" s="160">
        <f>'FACUS$'!$F2489*0.16</f>
        <v>1054.4384</v>
      </c>
      <c r="H2489" s="160">
        <f t="shared" si="68"/>
        <v>7644.6784</v>
      </c>
      <c r="I2489" s="172"/>
      <c r="J2489" s="169"/>
      <c r="K2489" s="172"/>
      <c r="L2489" s="172">
        <f>+'FACUS$'!$H2489-'FACUS$'!$I2489-'FACUS$'!$K2489</f>
        <v>7644.6784</v>
      </c>
      <c r="M2489" s="162" t="s">
        <v>4388</v>
      </c>
      <c r="N2489" s="337" t="s">
        <v>554</v>
      </c>
      <c r="O2489" s="338">
        <v>45371.0</v>
      </c>
      <c r="P2489" s="164">
        <f t="array" ref="P2489">XLOOKUP('FACUS$'!$B2489,'perfil de pagos'!$A$4:$A$46,'perfil de pagos'!$C$4:$C$46+'FACUS$'!$D2489)</f>
        <v>45309</v>
      </c>
      <c r="Q2489" s="165">
        <f t="shared" si="66"/>
        <v>0</v>
      </c>
      <c r="R2489" s="167"/>
      <c r="S2489" s="167">
        <v>2877.0</v>
      </c>
      <c r="T2489" s="167"/>
      <c r="U2489" s="334"/>
      <c r="V2489" s="168">
        <f t="shared" si="3"/>
        <v>7644.6784</v>
      </c>
      <c r="W2489" s="168">
        <f t="shared" si="4"/>
        <v>0</v>
      </c>
      <c r="X2489" s="168">
        <f t="shared" si="5"/>
        <v>0</v>
      </c>
      <c r="Y2489" s="168">
        <f t="shared" si="6"/>
        <v>0</v>
      </c>
      <c r="Z2489" s="168">
        <f t="shared" si="7"/>
        <v>0</v>
      </c>
      <c r="AA2489" s="168">
        <f t="shared" si="8"/>
        <v>0</v>
      </c>
      <c r="AB2489" s="168">
        <f t="shared" si="9"/>
        <v>0</v>
      </c>
    </row>
    <row r="2490" ht="15.0" customHeight="1">
      <c r="A2490" s="157" t="s">
        <v>9988</v>
      </c>
      <c r="B2490" s="169" t="s">
        <v>37</v>
      </c>
      <c r="C2490" s="169" t="s">
        <v>5755</v>
      </c>
      <c r="D2490" s="317">
        <v>45299.0</v>
      </c>
      <c r="E2490" s="157" t="s">
        <v>600</v>
      </c>
      <c r="F2490" s="160">
        <v>115376.52</v>
      </c>
      <c r="G2490" s="160">
        <f>'FACUS$'!$F2490*0.16</f>
        <v>18460.2432</v>
      </c>
      <c r="H2490" s="160">
        <f t="shared" si="68"/>
        <v>133836.7632</v>
      </c>
      <c r="I2490" s="172"/>
      <c r="J2490" s="169"/>
      <c r="K2490" s="172"/>
      <c r="L2490" s="172">
        <f>+'FACUS$'!$H2490-'FACUS$'!$I2490-'FACUS$'!$K2490</f>
        <v>133836.7632</v>
      </c>
      <c r="M2490" s="162" t="s">
        <v>116</v>
      </c>
      <c r="N2490" s="337" t="s">
        <v>554</v>
      </c>
      <c r="O2490" s="338">
        <v>45313.0</v>
      </c>
      <c r="P2490" s="164">
        <f t="array" ref="P2490">XLOOKUP('FACUS$'!$B2490,'perfil de pagos'!$A$4:$A$46,'perfil de pagos'!$C$4:$C$46+'FACUS$'!$D2490)</f>
        <v>45309</v>
      </c>
      <c r="Q2490" s="165">
        <f t="shared" si="66"/>
        <v>0</v>
      </c>
      <c r="R2490" s="167"/>
      <c r="S2490" s="167">
        <v>2744.0</v>
      </c>
      <c r="T2490" s="167"/>
      <c r="U2490" s="334"/>
      <c r="V2490" s="168">
        <f t="shared" si="3"/>
        <v>133836.7632</v>
      </c>
      <c r="W2490" s="168">
        <f t="shared" si="4"/>
        <v>0</v>
      </c>
      <c r="X2490" s="168">
        <f t="shared" si="5"/>
        <v>0</v>
      </c>
      <c r="Y2490" s="168">
        <f t="shared" si="6"/>
        <v>0</v>
      </c>
      <c r="Z2490" s="168">
        <f t="shared" si="7"/>
        <v>0</v>
      </c>
      <c r="AA2490" s="168">
        <f t="shared" si="8"/>
        <v>0</v>
      </c>
      <c r="AB2490" s="168">
        <f t="shared" si="9"/>
        <v>0</v>
      </c>
    </row>
    <row r="2491" ht="15.0" customHeight="1">
      <c r="A2491" s="157" t="s">
        <v>9989</v>
      </c>
      <c r="B2491" s="169" t="s">
        <v>38</v>
      </c>
      <c r="C2491" s="169" t="s">
        <v>5700</v>
      </c>
      <c r="D2491" s="317">
        <v>45300.0</v>
      </c>
      <c r="E2491" s="157" t="s">
        <v>600</v>
      </c>
      <c r="F2491" s="160">
        <v>8952.87</v>
      </c>
      <c r="G2491" s="160">
        <f>'FACUS$'!$F2491*0.16</f>
        <v>1432.4592</v>
      </c>
      <c r="H2491" s="160">
        <f t="shared" si="68"/>
        <v>10385.3292</v>
      </c>
      <c r="I2491" s="172"/>
      <c r="J2491" s="169"/>
      <c r="K2491" s="172"/>
      <c r="L2491" s="172">
        <f>+'FACUS$'!$H2491-'FACUS$'!$I2491-'FACUS$'!$K2491</f>
        <v>10385.3292</v>
      </c>
      <c r="M2491" s="162" t="s">
        <v>145</v>
      </c>
      <c r="N2491" s="337" t="s">
        <v>554</v>
      </c>
      <c r="O2491" s="338">
        <v>45349.0</v>
      </c>
      <c r="P2491" s="164">
        <f t="array" ref="P2491">XLOOKUP('FACUS$'!$B2491,'perfil de pagos'!$A$4:$A$46,'perfil de pagos'!$C$4:$C$46+'FACUS$'!$D2491)</f>
        <v>45330</v>
      </c>
      <c r="Q2491" s="165">
        <f t="shared" si="66"/>
        <v>0</v>
      </c>
      <c r="R2491" s="167"/>
      <c r="S2491" s="167">
        <v>2828.0</v>
      </c>
      <c r="T2491" s="167"/>
      <c r="U2491" s="334"/>
      <c r="V2491" s="168">
        <f t="shared" si="3"/>
        <v>10385.3292</v>
      </c>
      <c r="W2491" s="168">
        <f t="shared" si="4"/>
        <v>0</v>
      </c>
      <c r="X2491" s="168">
        <f t="shared" si="5"/>
        <v>0</v>
      </c>
      <c r="Y2491" s="168">
        <f t="shared" si="6"/>
        <v>0</v>
      </c>
      <c r="Z2491" s="168">
        <f t="shared" si="7"/>
        <v>0</v>
      </c>
      <c r="AA2491" s="168">
        <f t="shared" si="8"/>
        <v>0</v>
      </c>
      <c r="AB2491" s="168">
        <f t="shared" si="9"/>
        <v>0</v>
      </c>
    </row>
    <row r="2492" ht="15.0" customHeight="1">
      <c r="A2492" s="157" t="s">
        <v>9990</v>
      </c>
      <c r="B2492" s="169" t="s">
        <v>38</v>
      </c>
      <c r="C2492" s="169" t="s">
        <v>5700</v>
      </c>
      <c r="D2492" s="317">
        <v>45300.0</v>
      </c>
      <c r="E2492" s="157" t="s">
        <v>600</v>
      </c>
      <c r="F2492" s="160">
        <v>4526.14</v>
      </c>
      <c r="G2492" s="160">
        <f>'FACUS$'!$F2492*0.16</f>
        <v>724.1824</v>
      </c>
      <c r="H2492" s="160">
        <f t="shared" si="68"/>
        <v>5250.3224</v>
      </c>
      <c r="I2492" s="172"/>
      <c r="J2492" s="169"/>
      <c r="K2492" s="172"/>
      <c r="L2492" s="172">
        <f>+'FACUS$'!$H2492-'FACUS$'!$I2492-'FACUS$'!$K2492</f>
        <v>5250.3224</v>
      </c>
      <c r="M2492" s="162" t="s">
        <v>642</v>
      </c>
      <c r="N2492" s="337" t="s">
        <v>554</v>
      </c>
      <c r="O2492" s="338">
        <v>45349.0</v>
      </c>
      <c r="P2492" s="164">
        <f t="array" ref="P2492">XLOOKUP('FACUS$'!$B2492,'perfil de pagos'!$A$4:$A$46,'perfil de pagos'!$C$4:$C$46+'FACUS$'!$D2492)</f>
        <v>45330</v>
      </c>
      <c r="Q2492" s="165">
        <f t="shared" si="66"/>
        <v>0</v>
      </c>
      <c r="R2492" s="167"/>
      <c r="S2492" s="167">
        <v>2828.0</v>
      </c>
      <c r="T2492" s="167"/>
      <c r="U2492" s="334"/>
      <c r="V2492" s="168">
        <f t="shared" si="3"/>
        <v>5250.3224</v>
      </c>
      <c r="W2492" s="168">
        <f t="shared" si="4"/>
        <v>0</v>
      </c>
      <c r="X2492" s="168">
        <f t="shared" si="5"/>
        <v>0</v>
      </c>
      <c r="Y2492" s="168">
        <f t="shared" si="6"/>
        <v>0</v>
      </c>
      <c r="Z2492" s="168">
        <f t="shared" si="7"/>
        <v>0</v>
      </c>
      <c r="AA2492" s="168">
        <f t="shared" si="8"/>
        <v>0</v>
      </c>
      <c r="AB2492" s="168">
        <f t="shared" si="9"/>
        <v>0</v>
      </c>
    </row>
    <row r="2493" ht="15.0" customHeight="1">
      <c r="A2493" s="157" t="s">
        <v>9991</v>
      </c>
      <c r="B2493" s="169" t="s">
        <v>38</v>
      </c>
      <c r="C2493" s="169" t="s">
        <v>5755</v>
      </c>
      <c r="D2493" s="317">
        <v>45300.0</v>
      </c>
      <c r="E2493" s="157" t="s">
        <v>600</v>
      </c>
      <c r="F2493" s="160">
        <v>8569.76</v>
      </c>
      <c r="G2493" s="160">
        <f>'FACUS$'!$F2493*0.16</f>
        <v>1371.1616</v>
      </c>
      <c r="H2493" s="160">
        <f t="shared" si="68"/>
        <v>9940.9216</v>
      </c>
      <c r="I2493" s="172"/>
      <c r="J2493" s="169"/>
      <c r="K2493" s="172"/>
      <c r="L2493" s="172">
        <f>+'FACUS$'!$H2493-'FACUS$'!$I2493-'FACUS$'!$K2493</f>
        <v>9940.9216</v>
      </c>
      <c r="M2493" s="162" t="s">
        <v>145</v>
      </c>
      <c r="N2493" s="337" t="s">
        <v>554</v>
      </c>
      <c r="O2493" s="338">
        <v>45349.0</v>
      </c>
      <c r="P2493" s="164">
        <f t="array" ref="P2493">XLOOKUP('FACUS$'!$B2493,'perfil de pagos'!$A$4:$A$46,'perfil de pagos'!$C$4:$C$46+'FACUS$'!$D2493)</f>
        <v>45330</v>
      </c>
      <c r="Q2493" s="165">
        <f t="shared" si="66"/>
        <v>0</v>
      </c>
      <c r="R2493" s="167"/>
      <c r="S2493" s="167">
        <v>2828.0</v>
      </c>
      <c r="T2493" s="167"/>
      <c r="U2493" s="334"/>
      <c r="V2493" s="168">
        <f t="shared" si="3"/>
        <v>9940.9216</v>
      </c>
      <c r="W2493" s="168">
        <f t="shared" si="4"/>
        <v>0</v>
      </c>
      <c r="X2493" s="168">
        <f t="shared" si="5"/>
        <v>0</v>
      </c>
      <c r="Y2493" s="168">
        <f t="shared" si="6"/>
        <v>0</v>
      </c>
      <c r="Z2493" s="168">
        <f t="shared" si="7"/>
        <v>0</v>
      </c>
      <c r="AA2493" s="168">
        <f t="shared" si="8"/>
        <v>0</v>
      </c>
      <c r="AB2493" s="168">
        <f t="shared" si="9"/>
        <v>0</v>
      </c>
    </row>
    <row r="2494" ht="15.0" customHeight="1">
      <c r="A2494" s="157" t="s">
        <v>9992</v>
      </c>
      <c r="B2494" s="169" t="s">
        <v>38</v>
      </c>
      <c r="C2494" s="169" t="s">
        <v>5755</v>
      </c>
      <c r="D2494" s="317">
        <v>45300.0</v>
      </c>
      <c r="E2494" s="157" t="s">
        <v>600</v>
      </c>
      <c r="F2494" s="160">
        <v>4513.25</v>
      </c>
      <c r="G2494" s="160">
        <f>'FACUS$'!$F2494*0.16</f>
        <v>722.12</v>
      </c>
      <c r="H2494" s="160">
        <f t="shared" si="68"/>
        <v>5235.37</v>
      </c>
      <c r="I2494" s="172"/>
      <c r="J2494" s="169"/>
      <c r="K2494" s="172"/>
      <c r="L2494" s="172">
        <f>+'FACUS$'!$H2494-'FACUS$'!$I2494-'FACUS$'!$K2494</f>
        <v>5235.37</v>
      </c>
      <c r="M2494" s="162" t="s">
        <v>642</v>
      </c>
      <c r="N2494" s="337" t="s">
        <v>554</v>
      </c>
      <c r="O2494" s="338">
        <v>45349.0</v>
      </c>
      <c r="P2494" s="164">
        <f t="array" ref="P2494">XLOOKUP('FACUS$'!$B2494,'perfil de pagos'!$A$4:$A$46,'perfil de pagos'!$C$4:$C$46+'FACUS$'!$D2494)</f>
        <v>45330</v>
      </c>
      <c r="Q2494" s="165">
        <f t="shared" si="66"/>
        <v>0</v>
      </c>
      <c r="R2494" s="167"/>
      <c r="S2494" s="167">
        <v>2828.0</v>
      </c>
      <c r="T2494" s="167"/>
      <c r="U2494" s="334"/>
      <c r="V2494" s="168">
        <f t="shared" si="3"/>
        <v>5235.37</v>
      </c>
      <c r="W2494" s="168">
        <f t="shared" si="4"/>
        <v>0</v>
      </c>
      <c r="X2494" s="168">
        <f t="shared" si="5"/>
        <v>0</v>
      </c>
      <c r="Y2494" s="168">
        <f t="shared" si="6"/>
        <v>0</v>
      </c>
      <c r="Z2494" s="168">
        <f t="shared" si="7"/>
        <v>0</v>
      </c>
      <c r="AA2494" s="168">
        <f t="shared" si="8"/>
        <v>0</v>
      </c>
      <c r="AB2494" s="168">
        <f t="shared" si="9"/>
        <v>0</v>
      </c>
    </row>
    <row r="2495" ht="15.0" customHeight="1">
      <c r="A2495" s="157" t="s">
        <v>9993</v>
      </c>
      <c r="B2495" s="169" t="s">
        <v>45</v>
      </c>
      <c r="C2495" s="169" t="s">
        <v>9964</v>
      </c>
      <c r="D2495" s="317">
        <v>45303.0</v>
      </c>
      <c r="E2495" s="157" t="s">
        <v>600</v>
      </c>
      <c r="F2495" s="160">
        <v>17241.37931034483</v>
      </c>
      <c r="G2495" s="160">
        <f>'FACUS$'!$F2495*0.16</f>
        <v>2758.62069</v>
      </c>
      <c r="H2495" s="160">
        <f t="shared" si="68"/>
        <v>20000</v>
      </c>
      <c r="I2495" s="172"/>
      <c r="J2495" s="169"/>
      <c r="K2495" s="172"/>
      <c r="L2495" s="172">
        <f>+'FACUS$'!$H2495-'FACUS$'!$I2495-'FACUS$'!$K2495</f>
        <v>20000</v>
      </c>
      <c r="M2495" s="162" t="s">
        <v>3183</v>
      </c>
      <c r="N2495" s="337" t="s">
        <v>554</v>
      </c>
      <c r="O2495" s="338">
        <v>45282.0</v>
      </c>
      <c r="P2495" s="164">
        <f t="array" ref="P2495">XLOOKUP('FACUS$'!$B2495,'perfil de pagos'!$A$4:$A$46,'perfil de pagos'!$C$4:$C$46+'FACUS$'!$D2495)</f>
        <v>45306</v>
      </c>
      <c r="Q2495" s="165">
        <f t="shared" si="66"/>
        <v>0</v>
      </c>
      <c r="R2495" s="167"/>
      <c r="S2495" s="167">
        <v>2737.0</v>
      </c>
      <c r="T2495" s="167"/>
      <c r="U2495" s="334"/>
      <c r="V2495" s="168">
        <f t="shared" si="3"/>
        <v>20000</v>
      </c>
      <c r="W2495" s="168">
        <f t="shared" si="4"/>
        <v>0</v>
      </c>
      <c r="X2495" s="168">
        <f t="shared" si="5"/>
        <v>0</v>
      </c>
      <c r="Y2495" s="168">
        <f t="shared" si="6"/>
        <v>0</v>
      </c>
      <c r="Z2495" s="168">
        <f t="shared" si="7"/>
        <v>0</v>
      </c>
      <c r="AA2495" s="168">
        <f t="shared" si="8"/>
        <v>0</v>
      </c>
      <c r="AB2495" s="168">
        <f t="shared" si="9"/>
        <v>0</v>
      </c>
    </row>
    <row r="2496" ht="15.0" customHeight="1">
      <c r="A2496" s="157" t="s">
        <v>9994</v>
      </c>
      <c r="B2496" s="169" t="s">
        <v>17</v>
      </c>
      <c r="C2496" s="169" t="s">
        <v>9995</v>
      </c>
      <c r="D2496" s="317">
        <v>45306.0</v>
      </c>
      <c r="E2496" s="157" t="s">
        <v>600</v>
      </c>
      <c r="F2496" s="160">
        <v>2048.62</v>
      </c>
      <c r="G2496" s="160">
        <f>'FACUS$'!$F2496*0.16</f>
        <v>327.7792</v>
      </c>
      <c r="H2496" s="160">
        <f t="shared" si="68"/>
        <v>2376.3992</v>
      </c>
      <c r="I2496" s="172"/>
      <c r="J2496" s="169"/>
      <c r="K2496" s="172"/>
      <c r="L2496" s="172">
        <f>+'FACUS$'!$H2496-'FACUS$'!$I2496-'FACUS$'!$K2496</f>
        <v>2376.3992</v>
      </c>
      <c r="M2496" s="162" t="s">
        <v>17</v>
      </c>
      <c r="N2496" s="337" t="s">
        <v>554</v>
      </c>
      <c r="O2496" s="338">
        <v>45331.0</v>
      </c>
      <c r="P2496" s="164">
        <f t="array" ref="P2496">XLOOKUP('FACUS$'!$B2496,'perfil de pagos'!$A$4:$A$46,'perfil de pagos'!$C$4:$C$46+'FACUS$'!$D2496)</f>
        <v>45316</v>
      </c>
      <c r="Q2496" s="165">
        <f t="shared" si="66"/>
        <v>0</v>
      </c>
      <c r="R2496" s="167"/>
      <c r="S2496" s="167">
        <v>2794.0</v>
      </c>
      <c r="T2496" s="167"/>
      <c r="U2496" s="334"/>
      <c r="V2496" s="168">
        <f t="shared" si="3"/>
        <v>2376.3992</v>
      </c>
      <c r="W2496" s="168">
        <f t="shared" si="4"/>
        <v>0</v>
      </c>
      <c r="X2496" s="168">
        <f t="shared" si="5"/>
        <v>0</v>
      </c>
      <c r="Y2496" s="168">
        <f t="shared" si="6"/>
        <v>0</v>
      </c>
      <c r="Z2496" s="168">
        <f t="shared" si="7"/>
        <v>0</v>
      </c>
      <c r="AA2496" s="168">
        <f t="shared" si="8"/>
        <v>0</v>
      </c>
      <c r="AB2496" s="168">
        <f t="shared" si="9"/>
        <v>0</v>
      </c>
    </row>
    <row r="2497" ht="15.0" customHeight="1">
      <c r="A2497" s="157" t="s">
        <v>9996</v>
      </c>
      <c r="B2497" s="169" t="s">
        <v>17</v>
      </c>
      <c r="C2497" s="169"/>
      <c r="D2497" s="317"/>
      <c r="E2497" s="157"/>
      <c r="F2497" s="160"/>
      <c r="G2497" s="160"/>
      <c r="H2497" s="160">
        <f t="shared" si="68"/>
        <v>0</v>
      </c>
      <c r="I2497" s="172"/>
      <c r="J2497" s="169"/>
      <c r="K2497" s="172"/>
      <c r="L2497" s="172">
        <f>+'FACUS$'!$H2497-'FACUS$'!$I2497-'FACUS$'!$K2497</f>
        <v>0</v>
      </c>
      <c r="M2497" s="162"/>
      <c r="N2497" s="337" t="s">
        <v>127</v>
      </c>
      <c r="O2497" s="338"/>
      <c r="P2497" s="164">
        <f t="array" ref="P2497">XLOOKUP('FACUS$'!$B2497,'perfil de pagos'!$A$4:$A$46,'perfil de pagos'!$C$4:$C$46+'FACUS$'!$D2497)</f>
        <v>10</v>
      </c>
      <c r="Q2497" s="165" t="str">
        <f t="shared" si="66"/>
        <v>N/A</v>
      </c>
      <c r="R2497" s="167"/>
      <c r="S2497" s="167"/>
      <c r="T2497" s="167"/>
      <c r="U2497" s="334"/>
      <c r="V2497" s="168">
        <f t="shared" si="3"/>
        <v>0</v>
      </c>
      <c r="W2497" s="168">
        <f t="shared" si="4"/>
        <v>0</v>
      </c>
      <c r="X2497" s="168">
        <f t="shared" si="5"/>
        <v>0</v>
      </c>
      <c r="Y2497" s="168">
        <f t="shared" si="6"/>
        <v>0</v>
      </c>
      <c r="Z2497" s="168">
        <f t="shared" si="7"/>
        <v>0</v>
      </c>
      <c r="AA2497" s="168">
        <f t="shared" si="8"/>
        <v>0</v>
      </c>
      <c r="AB2497" s="168">
        <f t="shared" si="9"/>
        <v>0</v>
      </c>
    </row>
    <row r="2498" ht="15.0" customHeight="1">
      <c r="A2498" s="157" t="s">
        <v>9997</v>
      </c>
      <c r="B2498" s="169" t="s">
        <v>17</v>
      </c>
      <c r="C2498" s="169"/>
      <c r="D2498" s="317"/>
      <c r="E2498" s="157"/>
      <c r="F2498" s="160"/>
      <c r="G2498" s="160"/>
      <c r="H2498" s="160">
        <f t="shared" si="68"/>
        <v>0</v>
      </c>
      <c r="I2498" s="172"/>
      <c r="J2498" s="169"/>
      <c r="K2498" s="172"/>
      <c r="L2498" s="172">
        <f>+'FACUS$'!$H2498-'FACUS$'!$I2498-'FACUS$'!$K2498</f>
        <v>0</v>
      </c>
      <c r="M2498" s="162"/>
      <c r="N2498" s="337" t="s">
        <v>127</v>
      </c>
      <c r="O2498" s="338"/>
      <c r="P2498" s="164">
        <f t="array" ref="P2498">XLOOKUP('FACUS$'!$B2498,'perfil de pagos'!$A$4:$A$46,'perfil de pagos'!$C$4:$C$46+'FACUS$'!$D2498)</f>
        <v>10</v>
      </c>
      <c r="Q2498" s="165" t="str">
        <f t="shared" si="66"/>
        <v>N/A</v>
      </c>
      <c r="R2498" s="167"/>
      <c r="S2498" s="167"/>
      <c r="T2498" s="167"/>
      <c r="U2498" s="334"/>
      <c r="V2498" s="168">
        <f t="shared" si="3"/>
        <v>0</v>
      </c>
      <c r="W2498" s="168">
        <f t="shared" si="4"/>
        <v>0</v>
      </c>
      <c r="X2498" s="168">
        <f t="shared" si="5"/>
        <v>0</v>
      </c>
      <c r="Y2498" s="168">
        <f t="shared" si="6"/>
        <v>0</v>
      </c>
      <c r="Z2498" s="168">
        <f t="shared" si="7"/>
        <v>0</v>
      </c>
      <c r="AA2498" s="168">
        <f t="shared" si="8"/>
        <v>0</v>
      </c>
      <c r="AB2498" s="168">
        <f t="shared" si="9"/>
        <v>0</v>
      </c>
    </row>
    <row r="2499" ht="15.0" customHeight="1">
      <c r="A2499" s="157" t="s">
        <v>9998</v>
      </c>
      <c r="B2499" s="169" t="s">
        <v>17</v>
      </c>
      <c r="C2499" s="169" t="s">
        <v>9999</v>
      </c>
      <c r="D2499" s="317">
        <v>45306.0</v>
      </c>
      <c r="E2499" s="157" t="s">
        <v>600</v>
      </c>
      <c r="F2499" s="160">
        <v>3700.16</v>
      </c>
      <c r="G2499" s="160">
        <f>'FACUS$'!$F2499*0.16</f>
        <v>592.0256</v>
      </c>
      <c r="H2499" s="160">
        <f t="shared" si="68"/>
        <v>4292.1856</v>
      </c>
      <c r="I2499" s="172"/>
      <c r="J2499" s="169">
        <f>'NCUS$'!A85</f>
        <v>373</v>
      </c>
      <c r="K2499" s="172">
        <f>'NCUS$'!H85</f>
        <v>398.5644</v>
      </c>
      <c r="L2499" s="172">
        <f>+'FACUS$'!$H2499-'FACUS$'!$I2499-'FACUS$'!$K2499</f>
        <v>3893.6212</v>
      </c>
      <c r="M2499" s="162" t="s">
        <v>17</v>
      </c>
      <c r="N2499" s="337" t="s">
        <v>554</v>
      </c>
      <c r="O2499" s="338">
        <v>45331.0</v>
      </c>
      <c r="P2499" s="164">
        <f t="array" ref="P2499">XLOOKUP('FACUS$'!$B2499,'perfil de pagos'!$A$4:$A$46,'perfil de pagos'!$C$4:$C$46+'FACUS$'!$D2499)</f>
        <v>45316</v>
      </c>
      <c r="Q2499" s="165">
        <f t="shared" si="66"/>
        <v>0</v>
      </c>
      <c r="R2499" s="167"/>
      <c r="S2499" s="220" t="s">
        <v>10000</v>
      </c>
      <c r="T2499" s="167"/>
      <c r="U2499" s="334"/>
      <c r="V2499" s="168">
        <f t="shared" si="3"/>
        <v>3893.6212</v>
      </c>
      <c r="W2499" s="168">
        <f t="shared" si="4"/>
        <v>0</v>
      </c>
      <c r="X2499" s="168">
        <f t="shared" si="5"/>
        <v>0</v>
      </c>
      <c r="Y2499" s="168">
        <f t="shared" si="6"/>
        <v>0</v>
      </c>
      <c r="Z2499" s="168">
        <f t="shared" si="7"/>
        <v>0</v>
      </c>
      <c r="AA2499" s="168">
        <f t="shared" si="8"/>
        <v>0</v>
      </c>
      <c r="AB2499" s="168">
        <f t="shared" si="9"/>
        <v>0</v>
      </c>
    </row>
    <row r="2500" ht="15.0" customHeight="1">
      <c r="A2500" s="157" t="s">
        <v>10001</v>
      </c>
      <c r="B2500" s="169" t="s">
        <v>17</v>
      </c>
      <c r="C2500" s="169" t="s">
        <v>10002</v>
      </c>
      <c r="D2500" s="317">
        <v>45306.0</v>
      </c>
      <c r="E2500" s="157" t="s">
        <v>600</v>
      </c>
      <c r="F2500" s="160">
        <v>5544.27</v>
      </c>
      <c r="G2500" s="160">
        <f>'FACUS$'!$F2500*0.16</f>
        <v>887.0832</v>
      </c>
      <c r="H2500" s="160">
        <f t="shared" si="68"/>
        <v>6431.3532</v>
      </c>
      <c r="I2500" s="172"/>
      <c r="J2500" s="169" t="s">
        <v>10003</v>
      </c>
      <c r="K2500" s="172">
        <f>'NCUS$'!H86+'NCUS$'!H87</f>
        <v>4881.5584</v>
      </c>
      <c r="L2500" s="172">
        <f>+'FACUS$'!$H2500-'FACUS$'!$I2500-'FACUS$'!$K2500</f>
        <v>1549.7948</v>
      </c>
      <c r="M2500" s="162" t="s">
        <v>17</v>
      </c>
      <c r="N2500" s="337" t="s">
        <v>554</v>
      </c>
      <c r="O2500" s="338">
        <v>45331.0</v>
      </c>
      <c r="P2500" s="164">
        <f t="array" ref="P2500">XLOOKUP('FACUS$'!$B2500,'perfil de pagos'!$A$4:$A$46,'perfil de pagos'!$C$4:$C$46+'FACUS$'!$D2500)</f>
        <v>45316</v>
      </c>
      <c r="Q2500" s="165">
        <f t="shared" si="66"/>
        <v>0</v>
      </c>
      <c r="R2500" s="167"/>
      <c r="S2500" s="167">
        <v>2794.0</v>
      </c>
      <c r="T2500" s="167"/>
      <c r="U2500" s="334"/>
      <c r="V2500" s="168">
        <f t="shared" si="3"/>
        <v>1549.7948</v>
      </c>
      <c r="W2500" s="168">
        <f t="shared" si="4"/>
        <v>0</v>
      </c>
      <c r="X2500" s="168">
        <f t="shared" si="5"/>
        <v>0</v>
      </c>
      <c r="Y2500" s="168">
        <f t="shared" si="6"/>
        <v>0</v>
      </c>
      <c r="Z2500" s="168">
        <f t="shared" si="7"/>
        <v>0</v>
      </c>
      <c r="AA2500" s="168">
        <f t="shared" si="8"/>
        <v>0</v>
      </c>
      <c r="AB2500" s="168">
        <f t="shared" si="9"/>
        <v>0</v>
      </c>
    </row>
    <row r="2501" ht="15.0" customHeight="1">
      <c r="A2501" s="157" t="s">
        <v>10004</v>
      </c>
      <c r="B2501" s="169" t="s">
        <v>42</v>
      </c>
      <c r="C2501" s="169" t="s">
        <v>5832</v>
      </c>
      <c r="D2501" s="317">
        <v>45308.0</v>
      </c>
      <c r="E2501" s="157" t="s">
        <v>600</v>
      </c>
      <c r="F2501" s="160">
        <v>15559.99</v>
      </c>
      <c r="G2501" s="160">
        <f>'FACUS$'!$F2501*0.16</f>
        <v>2489.5984</v>
      </c>
      <c r="H2501" s="160">
        <f t="shared" si="68"/>
        <v>18049.5884</v>
      </c>
      <c r="I2501" s="172"/>
      <c r="J2501" s="169"/>
      <c r="K2501" s="172"/>
      <c r="L2501" s="172">
        <f>+'FACUS$'!$H2501-'FACUS$'!$I2501-'FACUS$'!$K2501</f>
        <v>18049.5884</v>
      </c>
      <c r="M2501" s="162" t="s">
        <v>42</v>
      </c>
      <c r="N2501" s="337" t="s">
        <v>554</v>
      </c>
      <c r="O2501" s="338">
        <v>45337.0</v>
      </c>
      <c r="P2501" s="164">
        <f t="array" ref="P2501">XLOOKUP('FACUS$'!$B2501,'perfil de pagos'!$A$4:$A$46,'perfil de pagos'!$C$4:$C$46+'FACUS$'!$D2501)</f>
        <v>45318</v>
      </c>
      <c r="Q2501" s="165">
        <f t="shared" si="66"/>
        <v>0</v>
      </c>
      <c r="R2501" s="167"/>
      <c r="S2501" s="167">
        <v>2806.0</v>
      </c>
      <c r="T2501" s="167"/>
      <c r="U2501" s="334"/>
      <c r="V2501" s="168">
        <f t="shared" si="3"/>
        <v>18049.5884</v>
      </c>
      <c r="W2501" s="168">
        <f t="shared" si="4"/>
        <v>0</v>
      </c>
      <c r="X2501" s="168">
        <f t="shared" si="5"/>
        <v>0</v>
      </c>
      <c r="Y2501" s="168">
        <f t="shared" si="6"/>
        <v>0</v>
      </c>
      <c r="Z2501" s="168">
        <f t="shared" si="7"/>
        <v>0</v>
      </c>
      <c r="AA2501" s="168">
        <f t="shared" si="8"/>
        <v>0</v>
      </c>
      <c r="AB2501" s="168">
        <f t="shared" si="9"/>
        <v>0</v>
      </c>
    </row>
    <row r="2502" ht="15.0" customHeight="1">
      <c r="A2502" s="157" t="s">
        <v>10005</v>
      </c>
      <c r="B2502" s="169" t="s">
        <v>41</v>
      </c>
      <c r="C2502" s="169" t="s">
        <v>5832</v>
      </c>
      <c r="D2502" s="317">
        <v>45308.0</v>
      </c>
      <c r="E2502" s="157" t="s">
        <v>600</v>
      </c>
      <c r="F2502" s="160">
        <v>88605.08</v>
      </c>
      <c r="G2502" s="160">
        <f>'FACUS$'!$F2502*0.16</f>
        <v>14176.8128</v>
      </c>
      <c r="H2502" s="160">
        <f t="shared" si="68"/>
        <v>102781.8928</v>
      </c>
      <c r="I2502" s="172"/>
      <c r="J2502" s="169"/>
      <c r="K2502" s="172"/>
      <c r="L2502" s="172">
        <f>+'FACUS$'!$H2502-'FACUS$'!$I2502-'FACUS$'!$K2502</f>
        <v>102781.8928</v>
      </c>
      <c r="M2502" s="162" t="s">
        <v>875</v>
      </c>
      <c r="N2502" s="337" t="s">
        <v>554</v>
      </c>
      <c r="O2502" s="338">
        <v>45358.0</v>
      </c>
      <c r="P2502" s="164">
        <f t="array" ref="P2502">XLOOKUP('FACUS$'!$B2502,'perfil de pagos'!$A$4:$A$46,'perfil de pagos'!$C$4:$C$46+'FACUS$'!$D2502)</f>
        <v>45318</v>
      </c>
      <c r="Q2502" s="165">
        <f t="shared" si="66"/>
        <v>0</v>
      </c>
      <c r="R2502" s="167"/>
      <c r="S2502" s="167">
        <v>2848.0</v>
      </c>
      <c r="T2502" s="167"/>
      <c r="U2502" s="334"/>
      <c r="V2502" s="168">
        <f t="shared" si="3"/>
        <v>102781.8928</v>
      </c>
      <c r="W2502" s="168">
        <f t="shared" si="4"/>
        <v>0</v>
      </c>
      <c r="X2502" s="168">
        <f t="shared" si="5"/>
        <v>0</v>
      </c>
      <c r="Y2502" s="168">
        <f t="shared" si="6"/>
        <v>0</v>
      </c>
      <c r="Z2502" s="168">
        <f t="shared" si="7"/>
        <v>0</v>
      </c>
      <c r="AA2502" s="168">
        <f t="shared" si="8"/>
        <v>0</v>
      </c>
      <c r="AB2502" s="168">
        <f t="shared" si="9"/>
        <v>0</v>
      </c>
    </row>
    <row r="2503" ht="15.0" customHeight="1">
      <c r="A2503" s="157" t="s">
        <v>10006</v>
      </c>
      <c r="B2503" s="169" t="s">
        <v>44</v>
      </c>
      <c r="C2503" s="169" t="s">
        <v>5832</v>
      </c>
      <c r="D2503" s="317">
        <v>45309.0</v>
      </c>
      <c r="E2503" s="157" t="s">
        <v>600</v>
      </c>
      <c r="F2503" s="160">
        <v>24569.52</v>
      </c>
      <c r="G2503" s="160">
        <f>'FACUS$'!$F2503*0.16</f>
        <v>3931.1232</v>
      </c>
      <c r="H2503" s="160">
        <f t="shared" si="68"/>
        <v>28500.6432</v>
      </c>
      <c r="I2503" s="172"/>
      <c r="J2503" s="169"/>
      <c r="K2503" s="172"/>
      <c r="L2503" s="172">
        <f>+'FACUS$'!$H2503-'FACUS$'!$I2503-'FACUS$'!$K2503</f>
        <v>28500.6432</v>
      </c>
      <c r="M2503" s="162" t="s">
        <v>361</v>
      </c>
      <c r="N2503" s="337" t="s">
        <v>554</v>
      </c>
      <c r="O2503" s="338">
        <v>45324.0</v>
      </c>
      <c r="P2503" s="164">
        <f t="array" ref="P2503">XLOOKUP('FACUS$'!$B2503,'perfil de pagos'!$A$4:$A$46,'perfil de pagos'!$C$4:$C$46+'FACUS$'!$D2503)</f>
        <v>45319</v>
      </c>
      <c r="Q2503" s="165">
        <f t="shared" si="66"/>
        <v>0</v>
      </c>
      <c r="R2503" s="167"/>
      <c r="S2503" s="167">
        <v>2780.0</v>
      </c>
      <c r="T2503" s="167"/>
      <c r="U2503" s="334"/>
      <c r="V2503" s="168">
        <f t="shared" si="3"/>
        <v>28500.6432</v>
      </c>
      <c r="W2503" s="168">
        <f t="shared" si="4"/>
        <v>0</v>
      </c>
      <c r="X2503" s="168">
        <f t="shared" si="5"/>
        <v>0</v>
      </c>
      <c r="Y2503" s="168">
        <f t="shared" si="6"/>
        <v>0</v>
      </c>
      <c r="Z2503" s="168">
        <f t="shared" si="7"/>
        <v>0</v>
      </c>
      <c r="AA2503" s="168">
        <f t="shared" si="8"/>
        <v>0</v>
      </c>
      <c r="AB2503" s="168">
        <f t="shared" si="9"/>
        <v>0</v>
      </c>
    </row>
    <row r="2504" ht="15.0" customHeight="1">
      <c r="A2504" s="157" t="s">
        <v>10007</v>
      </c>
      <c r="B2504" s="169" t="s">
        <v>35</v>
      </c>
      <c r="C2504" s="169" t="s">
        <v>5832</v>
      </c>
      <c r="D2504" s="317">
        <v>45309.0</v>
      </c>
      <c r="E2504" s="157" t="s">
        <v>600</v>
      </c>
      <c r="F2504" s="160">
        <v>19286.09</v>
      </c>
      <c r="G2504" s="160">
        <f>'FACUS$'!$F2504*0.16</f>
        <v>3085.7744</v>
      </c>
      <c r="H2504" s="160">
        <f t="shared" si="68"/>
        <v>22371.8644</v>
      </c>
      <c r="I2504" s="172"/>
      <c r="J2504" s="169"/>
      <c r="K2504" s="172"/>
      <c r="L2504" s="172">
        <f>+'FACUS$'!$H2504-'FACUS$'!$I2504-'FACUS$'!$K2504</f>
        <v>22371.8644</v>
      </c>
      <c r="M2504" s="162" t="s">
        <v>276</v>
      </c>
      <c r="N2504" s="337" t="s">
        <v>554</v>
      </c>
      <c r="O2504" s="338">
        <v>45328.0</v>
      </c>
      <c r="P2504" s="164">
        <f t="array" ref="P2504">XLOOKUP('FACUS$'!$B2504,'perfil de pagos'!$A$4:$A$46,'perfil de pagos'!$C$4:$C$46+'FACUS$'!$D2504)</f>
        <v>45319</v>
      </c>
      <c r="Q2504" s="165">
        <f t="shared" si="66"/>
        <v>0</v>
      </c>
      <c r="R2504" s="167"/>
      <c r="S2504" s="167">
        <v>2793.0</v>
      </c>
      <c r="T2504" s="167"/>
      <c r="U2504" s="334"/>
      <c r="V2504" s="168">
        <f t="shared" si="3"/>
        <v>22371.8644</v>
      </c>
      <c r="W2504" s="168">
        <f t="shared" si="4"/>
        <v>0</v>
      </c>
      <c r="X2504" s="168">
        <f t="shared" si="5"/>
        <v>0</v>
      </c>
      <c r="Y2504" s="168">
        <f t="shared" si="6"/>
        <v>0</v>
      </c>
      <c r="Z2504" s="168">
        <f t="shared" si="7"/>
        <v>0</v>
      </c>
      <c r="AA2504" s="168">
        <f t="shared" si="8"/>
        <v>0</v>
      </c>
      <c r="AB2504" s="168">
        <f t="shared" si="9"/>
        <v>0</v>
      </c>
    </row>
    <row r="2505" ht="15.0" customHeight="1">
      <c r="A2505" s="157" t="s">
        <v>10008</v>
      </c>
      <c r="B2505" s="169" t="s">
        <v>32</v>
      </c>
      <c r="C2505" s="169" t="s">
        <v>5832</v>
      </c>
      <c r="D2505" s="317">
        <v>45310.0</v>
      </c>
      <c r="E2505" s="157" t="s">
        <v>600</v>
      </c>
      <c r="F2505" s="160">
        <v>21846.26</v>
      </c>
      <c r="G2505" s="160">
        <f>'FACUS$'!$F2505*0.16</f>
        <v>3495.4016</v>
      </c>
      <c r="H2505" s="160">
        <f t="shared" si="68"/>
        <v>25341.6616</v>
      </c>
      <c r="I2505" s="172"/>
      <c r="J2505" s="169"/>
      <c r="K2505" s="172"/>
      <c r="L2505" s="172">
        <f>+'FACUS$'!$H2505-'FACUS$'!$I2505-'FACUS$'!$K2505</f>
        <v>25341.6616</v>
      </c>
      <c r="M2505" s="162" t="s">
        <v>395</v>
      </c>
      <c r="N2505" s="337" t="s">
        <v>554</v>
      </c>
      <c r="O2505" s="338">
        <v>45387.0</v>
      </c>
      <c r="P2505" s="164">
        <f t="array" ref="P2505">XLOOKUP('FACUS$'!$B2505,'perfil de pagos'!$A$4:$A$46,'perfil de pagos'!$C$4:$C$46+'FACUS$'!$D2505)</f>
        <v>45320</v>
      </c>
      <c r="Q2505" s="165">
        <f t="shared" si="66"/>
        <v>0</v>
      </c>
      <c r="R2505" s="167"/>
      <c r="S2505" s="167">
        <v>2923.0</v>
      </c>
      <c r="T2505" s="167"/>
      <c r="U2505" s="334"/>
      <c r="V2505" s="168">
        <f t="shared" si="3"/>
        <v>25341.6616</v>
      </c>
      <c r="W2505" s="168">
        <f t="shared" si="4"/>
        <v>0</v>
      </c>
      <c r="X2505" s="168">
        <f t="shared" si="5"/>
        <v>0</v>
      </c>
      <c r="Y2505" s="168">
        <f t="shared" si="6"/>
        <v>0</v>
      </c>
      <c r="Z2505" s="168">
        <f t="shared" si="7"/>
        <v>0</v>
      </c>
      <c r="AA2505" s="168">
        <f t="shared" si="8"/>
        <v>0</v>
      </c>
      <c r="AB2505" s="168">
        <f t="shared" si="9"/>
        <v>0</v>
      </c>
    </row>
    <row r="2506" ht="15.0" customHeight="1">
      <c r="A2506" s="157" t="s">
        <v>10009</v>
      </c>
      <c r="B2506" s="169" t="s">
        <v>38</v>
      </c>
      <c r="C2506" s="169" t="s">
        <v>5832</v>
      </c>
      <c r="D2506" s="317">
        <v>45310.0</v>
      </c>
      <c r="E2506" s="157" t="s">
        <v>600</v>
      </c>
      <c r="F2506" s="160">
        <v>1662.62</v>
      </c>
      <c r="G2506" s="160">
        <f>'FACUS$'!$F2506*0.16</f>
        <v>266.0192</v>
      </c>
      <c r="H2506" s="160">
        <f t="shared" si="68"/>
        <v>1928.6392</v>
      </c>
      <c r="I2506" s="172"/>
      <c r="J2506" s="169"/>
      <c r="K2506" s="172"/>
      <c r="L2506" s="172">
        <f>+'FACUS$'!$H2506-'FACUS$'!$I2506-'FACUS$'!$K2506</f>
        <v>1928.6392</v>
      </c>
      <c r="M2506" s="162" t="s">
        <v>4654</v>
      </c>
      <c r="N2506" s="337" t="s">
        <v>554</v>
      </c>
      <c r="O2506" s="338">
        <v>45359.0</v>
      </c>
      <c r="P2506" s="164">
        <f t="array" ref="P2506">XLOOKUP('FACUS$'!$B2506,'perfil de pagos'!$A$4:$A$46,'perfil de pagos'!$C$4:$C$46+'FACUS$'!$D2506)</f>
        <v>45340</v>
      </c>
      <c r="Q2506" s="165">
        <f t="shared" si="66"/>
        <v>0</v>
      </c>
      <c r="R2506" s="167"/>
      <c r="S2506" s="167">
        <v>2846.0</v>
      </c>
      <c r="T2506" s="167"/>
      <c r="U2506" s="334"/>
      <c r="V2506" s="168">
        <f t="shared" si="3"/>
        <v>1928.6392</v>
      </c>
      <c r="W2506" s="168">
        <f t="shared" si="4"/>
        <v>0</v>
      </c>
      <c r="X2506" s="168">
        <f t="shared" si="5"/>
        <v>0</v>
      </c>
      <c r="Y2506" s="168">
        <f t="shared" si="6"/>
        <v>0</v>
      </c>
      <c r="Z2506" s="168">
        <f t="shared" si="7"/>
        <v>0</v>
      </c>
      <c r="AA2506" s="168">
        <f t="shared" si="8"/>
        <v>0</v>
      </c>
      <c r="AB2506" s="168">
        <f t="shared" si="9"/>
        <v>0</v>
      </c>
    </row>
    <row r="2507" ht="15.0" customHeight="1">
      <c r="A2507" s="157" t="s">
        <v>10010</v>
      </c>
      <c r="B2507" s="169" t="s">
        <v>34</v>
      </c>
      <c r="C2507" s="169" t="s">
        <v>10011</v>
      </c>
      <c r="D2507" s="317">
        <v>45314.0</v>
      </c>
      <c r="E2507" s="157" t="s">
        <v>600</v>
      </c>
      <c r="F2507" s="160">
        <v>36886.37</v>
      </c>
      <c r="G2507" s="160">
        <f>'FACUS$'!$F2507*0.16</f>
        <v>5901.8192</v>
      </c>
      <c r="H2507" s="160">
        <f t="shared" si="68"/>
        <v>42788.1892</v>
      </c>
      <c r="I2507" s="172"/>
      <c r="J2507" s="169"/>
      <c r="K2507" s="172"/>
      <c r="L2507" s="172">
        <f>+'FACUS$'!$H2507-'FACUS$'!$I2507-'FACUS$'!$K2507</f>
        <v>42788.1892</v>
      </c>
      <c r="M2507" s="162" t="s">
        <v>538</v>
      </c>
      <c r="N2507" s="337" t="s">
        <v>554</v>
      </c>
      <c r="O2507" s="338">
        <v>45359.0</v>
      </c>
      <c r="P2507" s="164">
        <f t="array" ref="P2507">XLOOKUP('FACUS$'!$B2507,'perfil de pagos'!$A$4:$A$46,'perfil de pagos'!$C$4:$C$46+'FACUS$'!$D2507)</f>
        <v>45324</v>
      </c>
      <c r="Q2507" s="165">
        <f t="shared" si="66"/>
        <v>0</v>
      </c>
      <c r="R2507" s="167"/>
      <c r="S2507" s="167">
        <v>2850.0</v>
      </c>
      <c r="T2507" s="167"/>
      <c r="U2507" s="334"/>
      <c r="V2507" s="168">
        <f t="shared" si="3"/>
        <v>42788.1892</v>
      </c>
      <c r="W2507" s="168">
        <f t="shared" si="4"/>
        <v>0</v>
      </c>
      <c r="X2507" s="168">
        <f t="shared" si="5"/>
        <v>0</v>
      </c>
      <c r="Y2507" s="168">
        <f t="shared" si="6"/>
        <v>0</v>
      </c>
      <c r="Z2507" s="168">
        <f t="shared" si="7"/>
        <v>0</v>
      </c>
      <c r="AA2507" s="168">
        <f t="shared" si="8"/>
        <v>0</v>
      </c>
      <c r="AB2507" s="168">
        <f t="shared" si="9"/>
        <v>0</v>
      </c>
    </row>
    <row r="2508" ht="15.0" customHeight="1">
      <c r="A2508" s="157" t="s">
        <v>10012</v>
      </c>
      <c r="B2508" s="169" t="s">
        <v>34</v>
      </c>
      <c r="C2508" s="169" t="s">
        <v>5832</v>
      </c>
      <c r="D2508" s="317">
        <v>45314.0</v>
      </c>
      <c r="E2508" s="157" t="s">
        <v>600</v>
      </c>
      <c r="F2508" s="160">
        <v>31127.81</v>
      </c>
      <c r="G2508" s="160">
        <f>'FACUS$'!$F2508*0.16</f>
        <v>4980.4496</v>
      </c>
      <c r="H2508" s="160">
        <f t="shared" si="68"/>
        <v>36108.2596</v>
      </c>
      <c r="I2508" s="172"/>
      <c r="J2508" s="169"/>
      <c r="K2508" s="172"/>
      <c r="L2508" s="172">
        <f>+'FACUS$'!$H2508-'FACUS$'!$I2508-'FACUS$'!$K2508</f>
        <v>36108.2596</v>
      </c>
      <c r="M2508" s="162" t="s">
        <v>538</v>
      </c>
      <c r="N2508" s="337" t="s">
        <v>554</v>
      </c>
      <c r="O2508" s="338">
        <v>45359.0</v>
      </c>
      <c r="P2508" s="164">
        <f t="array" ref="P2508">XLOOKUP('FACUS$'!$B2508,'perfil de pagos'!$A$4:$A$46,'perfil de pagos'!$C$4:$C$46+'FACUS$'!$D2508)</f>
        <v>45324</v>
      </c>
      <c r="Q2508" s="165">
        <f t="shared" si="66"/>
        <v>0</v>
      </c>
      <c r="R2508" s="167"/>
      <c r="S2508" s="167">
        <v>2850.0</v>
      </c>
      <c r="T2508" s="167"/>
      <c r="U2508" s="334"/>
      <c r="V2508" s="168">
        <f t="shared" si="3"/>
        <v>36108.2596</v>
      </c>
      <c r="W2508" s="168">
        <f t="shared" si="4"/>
        <v>0</v>
      </c>
      <c r="X2508" s="168">
        <f t="shared" si="5"/>
        <v>0</v>
      </c>
      <c r="Y2508" s="168">
        <f t="shared" si="6"/>
        <v>0</v>
      </c>
      <c r="Z2508" s="168">
        <f t="shared" si="7"/>
        <v>0</v>
      </c>
      <c r="AA2508" s="168">
        <f t="shared" si="8"/>
        <v>0</v>
      </c>
      <c r="AB2508" s="168">
        <f t="shared" si="9"/>
        <v>0</v>
      </c>
    </row>
    <row r="2509" ht="15.0" customHeight="1">
      <c r="A2509" s="157" t="s">
        <v>10013</v>
      </c>
      <c r="B2509" s="169" t="s">
        <v>17</v>
      </c>
      <c r="C2509" s="169" t="s">
        <v>10011</v>
      </c>
      <c r="D2509" s="317">
        <v>45314.0</v>
      </c>
      <c r="E2509" s="157" t="s">
        <v>600</v>
      </c>
      <c r="F2509" s="160">
        <v>44898.81</v>
      </c>
      <c r="G2509" s="160">
        <f>'FACUS$'!$F2509*0.16</f>
        <v>7183.8096</v>
      </c>
      <c r="H2509" s="160">
        <f t="shared" si="68"/>
        <v>52082.6196</v>
      </c>
      <c r="I2509" s="172"/>
      <c r="J2509" s="169"/>
      <c r="K2509" s="172"/>
      <c r="L2509" s="172">
        <f>+'FACUS$'!$H2509-'FACUS$'!$I2509-'FACUS$'!$K2509</f>
        <v>52082.6196</v>
      </c>
      <c r="M2509" s="162" t="s">
        <v>17</v>
      </c>
      <c r="N2509" s="337" t="s">
        <v>554</v>
      </c>
      <c r="O2509" s="338">
        <v>45331.0</v>
      </c>
      <c r="P2509" s="164">
        <f t="array" ref="P2509">XLOOKUP('FACUS$'!$B2509,'perfil de pagos'!$A$4:$A$46,'perfil de pagos'!$C$4:$C$46+'FACUS$'!$D2509)</f>
        <v>45324</v>
      </c>
      <c r="Q2509" s="165">
        <f t="shared" si="66"/>
        <v>0</v>
      </c>
      <c r="R2509" s="167"/>
      <c r="S2509" s="167">
        <v>2794.0</v>
      </c>
      <c r="T2509" s="167"/>
      <c r="U2509" s="334"/>
      <c r="V2509" s="168">
        <f t="shared" si="3"/>
        <v>52082.6196</v>
      </c>
      <c r="W2509" s="168">
        <f t="shared" si="4"/>
        <v>0</v>
      </c>
      <c r="X2509" s="168">
        <f t="shared" si="5"/>
        <v>0</v>
      </c>
      <c r="Y2509" s="168">
        <f t="shared" si="6"/>
        <v>0</v>
      </c>
      <c r="Z2509" s="168">
        <f t="shared" si="7"/>
        <v>0</v>
      </c>
      <c r="AA2509" s="168">
        <f t="shared" si="8"/>
        <v>0</v>
      </c>
      <c r="AB2509" s="168">
        <f t="shared" si="9"/>
        <v>0</v>
      </c>
    </row>
    <row r="2510" ht="15.0" customHeight="1">
      <c r="A2510" s="157" t="s">
        <v>10014</v>
      </c>
      <c r="B2510" s="169" t="s">
        <v>17</v>
      </c>
      <c r="C2510" s="169" t="s">
        <v>5832</v>
      </c>
      <c r="D2510" s="317">
        <v>45314.0</v>
      </c>
      <c r="E2510" s="157" t="s">
        <v>600</v>
      </c>
      <c r="F2510" s="160">
        <v>52164.12</v>
      </c>
      <c r="G2510" s="160">
        <f>'FACUS$'!$F2510*0.16</f>
        <v>8346.2592</v>
      </c>
      <c r="H2510" s="160">
        <f t="shared" si="68"/>
        <v>60510.3792</v>
      </c>
      <c r="I2510" s="172"/>
      <c r="J2510" s="169"/>
      <c r="K2510" s="172"/>
      <c r="L2510" s="172">
        <f>+'FACUS$'!$H2510-'FACUS$'!$I2510-'FACUS$'!$K2510</f>
        <v>60510.3792</v>
      </c>
      <c r="M2510" s="162" t="s">
        <v>17</v>
      </c>
      <c r="N2510" s="337" t="s">
        <v>554</v>
      </c>
      <c r="O2510" s="338">
        <v>45331.0</v>
      </c>
      <c r="P2510" s="164">
        <f t="array" ref="P2510">XLOOKUP('FACUS$'!$B2510,'perfil de pagos'!$A$4:$A$46,'perfil de pagos'!$C$4:$C$46+'FACUS$'!$D2510)</f>
        <v>45324</v>
      </c>
      <c r="Q2510" s="165">
        <f t="shared" si="66"/>
        <v>0</v>
      </c>
      <c r="R2510" s="167"/>
      <c r="S2510" s="167">
        <v>2794.0</v>
      </c>
      <c r="T2510" s="167"/>
      <c r="U2510" s="334"/>
      <c r="V2510" s="168">
        <f t="shared" si="3"/>
        <v>60510.3792</v>
      </c>
      <c r="W2510" s="168">
        <f t="shared" si="4"/>
        <v>0</v>
      </c>
      <c r="X2510" s="168">
        <f t="shared" si="5"/>
        <v>0</v>
      </c>
      <c r="Y2510" s="168">
        <f t="shared" si="6"/>
        <v>0</v>
      </c>
      <c r="Z2510" s="168">
        <f t="shared" si="7"/>
        <v>0</v>
      </c>
      <c r="AA2510" s="168">
        <f t="shared" si="8"/>
        <v>0</v>
      </c>
      <c r="AB2510" s="168">
        <f t="shared" si="9"/>
        <v>0</v>
      </c>
    </row>
    <row r="2511" ht="15.0" customHeight="1">
      <c r="A2511" s="157" t="s">
        <v>10015</v>
      </c>
      <c r="B2511" s="169" t="s">
        <v>37</v>
      </c>
      <c r="C2511" s="169" t="s">
        <v>5832</v>
      </c>
      <c r="D2511" s="317">
        <v>45317.0</v>
      </c>
      <c r="E2511" s="157" t="s">
        <v>600</v>
      </c>
      <c r="F2511" s="160">
        <v>85718.1</v>
      </c>
      <c r="G2511" s="160">
        <f>'FACUS$'!$F2511*0.16</f>
        <v>13714.896</v>
      </c>
      <c r="H2511" s="160">
        <f t="shared" si="68"/>
        <v>99432.996</v>
      </c>
      <c r="I2511" s="172"/>
      <c r="J2511" s="169"/>
      <c r="K2511" s="172"/>
      <c r="L2511" s="172">
        <f>+'FACUS$'!$H2511-'FACUS$'!$I2511-'FACUS$'!$K2511</f>
        <v>99432.996</v>
      </c>
      <c r="M2511" s="162" t="s">
        <v>116</v>
      </c>
      <c r="N2511" s="337" t="s">
        <v>554</v>
      </c>
      <c r="O2511" s="338">
        <v>45328.0</v>
      </c>
      <c r="P2511" s="164">
        <f t="array" ref="P2511">XLOOKUP('FACUS$'!$B2511,'perfil de pagos'!$A$4:$A$46,'perfil de pagos'!$C$4:$C$46+'FACUS$'!$D2511)</f>
        <v>45327</v>
      </c>
      <c r="Q2511" s="165">
        <f t="shared" si="66"/>
        <v>0</v>
      </c>
      <c r="R2511" s="167"/>
      <c r="S2511" s="167">
        <v>2785.0</v>
      </c>
      <c r="T2511" s="167"/>
      <c r="U2511" s="334"/>
      <c r="V2511" s="168">
        <f t="shared" si="3"/>
        <v>99432.996</v>
      </c>
      <c r="W2511" s="168">
        <f t="shared" si="4"/>
        <v>0</v>
      </c>
      <c r="X2511" s="168">
        <f t="shared" si="5"/>
        <v>0</v>
      </c>
      <c r="Y2511" s="168">
        <f t="shared" si="6"/>
        <v>0</v>
      </c>
      <c r="Z2511" s="168">
        <f t="shared" si="7"/>
        <v>0</v>
      </c>
      <c r="AA2511" s="168">
        <f t="shared" si="8"/>
        <v>0</v>
      </c>
      <c r="AB2511" s="168">
        <f t="shared" si="9"/>
        <v>0</v>
      </c>
    </row>
    <row r="2512" ht="15.0" customHeight="1">
      <c r="A2512" s="157" t="s">
        <v>10016</v>
      </c>
      <c r="B2512" s="169" t="s">
        <v>18</v>
      </c>
      <c r="C2512" s="169" t="s">
        <v>5832</v>
      </c>
      <c r="D2512" s="317">
        <v>45317.0</v>
      </c>
      <c r="E2512" s="157" t="s">
        <v>600</v>
      </c>
      <c r="F2512" s="160">
        <v>4586.45</v>
      </c>
      <c r="G2512" s="160">
        <f>'FACUS$'!$F2512*0.16</f>
        <v>733.832</v>
      </c>
      <c r="H2512" s="160">
        <f t="shared" si="68"/>
        <v>5320.282</v>
      </c>
      <c r="I2512" s="172"/>
      <c r="J2512" s="169"/>
      <c r="K2512" s="172"/>
      <c r="L2512" s="172">
        <f>+'FACUS$'!$H2512-'FACUS$'!$I2512-'FACUS$'!$K2512</f>
        <v>5320.282</v>
      </c>
      <c r="M2512" s="162" t="s">
        <v>586</v>
      </c>
      <c r="N2512" s="337" t="s">
        <v>554</v>
      </c>
      <c r="O2512" s="338">
        <v>45324.0</v>
      </c>
      <c r="P2512" s="164">
        <f t="array" ref="P2512">XLOOKUP('FACUS$'!$B2512,'perfil de pagos'!$A$4:$A$46,'perfil de pagos'!$C$4:$C$46+'FACUS$'!$D2512)</f>
        <v>45327</v>
      </c>
      <c r="Q2512" s="165">
        <f t="shared" si="66"/>
        <v>0</v>
      </c>
      <c r="R2512" s="167"/>
      <c r="S2512" s="167">
        <v>2783.0</v>
      </c>
      <c r="T2512" s="167"/>
      <c r="U2512" s="334"/>
      <c r="V2512" s="168">
        <f t="shared" si="3"/>
        <v>5320.282</v>
      </c>
      <c r="W2512" s="168">
        <f t="shared" si="4"/>
        <v>0</v>
      </c>
      <c r="X2512" s="168">
        <f t="shared" si="5"/>
        <v>0</v>
      </c>
      <c r="Y2512" s="168">
        <f t="shared" si="6"/>
        <v>0</v>
      </c>
      <c r="Z2512" s="168">
        <f t="shared" si="7"/>
        <v>0</v>
      </c>
      <c r="AA2512" s="168">
        <f t="shared" si="8"/>
        <v>0</v>
      </c>
      <c r="AB2512" s="168">
        <f t="shared" si="9"/>
        <v>0</v>
      </c>
    </row>
    <row r="2513" ht="15.0" customHeight="1">
      <c r="A2513" s="157" t="s">
        <v>10017</v>
      </c>
      <c r="B2513" s="169" t="s">
        <v>20</v>
      </c>
      <c r="C2513" s="169" t="s">
        <v>5832</v>
      </c>
      <c r="D2513" s="317">
        <v>45317.0</v>
      </c>
      <c r="E2513" s="157" t="s">
        <v>600</v>
      </c>
      <c r="F2513" s="160">
        <v>10758.27</v>
      </c>
      <c r="G2513" s="160">
        <f>'FACUS$'!$F2513*0.16</f>
        <v>1721.3232</v>
      </c>
      <c r="H2513" s="160">
        <f t="shared" si="68"/>
        <v>12479.5932</v>
      </c>
      <c r="I2513" s="172"/>
      <c r="J2513" s="169"/>
      <c r="K2513" s="172"/>
      <c r="L2513" s="172">
        <f>+'FACUS$'!$H2513-'FACUS$'!$I2513-'FACUS$'!$K2513</f>
        <v>12479.5932</v>
      </c>
      <c r="M2513" s="162" t="s">
        <v>732</v>
      </c>
      <c r="N2513" s="337" t="s">
        <v>554</v>
      </c>
      <c r="O2513" s="338">
        <v>45324.0</v>
      </c>
      <c r="P2513" s="164">
        <f t="array" ref="P2513">XLOOKUP('FACUS$'!$B2513,'perfil de pagos'!$A$4:$A$46,'perfil de pagos'!$C$4:$C$46+'FACUS$'!$D2513)</f>
        <v>45327</v>
      </c>
      <c r="Q2513" s="165">
        <f t="shared" si="66"/>
        <v>0</v>
      </c>
      <c r="R2513" s="167"/>
      <c r="S2513" s="167">
        <v>2783.0</v>
      </c>
      <c r="T2513" s="167"/>
      <c r="U2513" s="334"/>
      <c r="V2513" s="168">
        <f t="shared" si="3"/>
        <v>12479.5932</v>
      </c>
      <c r="W2513" s="168">
        <f t="shared" si="4"/>
        <v>0</v>
      </c>
      <c r="X2513" s="168">
        <f t="shared" si="5"/>
        <v>0</v>
      </c>
      <c r="Y2513" s="168">
        <f t="shared" si="6"/>
        <v>0</v>
      </c>
      <c r="Z2513" s="168">
        <f t="shared" si="7"/>
        <v>0</v>
      </c>
      <c r="AA2513" s="168">
        <f t="shared" si="8"/>
        <v>0</v>
      </c>
      <c r="AB2513" s="168">
        <f t="shared" si="9"/>
        <v>0</v>
      </c>
    </row>
    <row r="2514" ht="15.0" customHeight="1">
      <c r="A2514" s="157" t="s">
        <v>10018</v>
      </c>
      <c r="B2514" s="169" t="s">
        <v>22</v>
      </c>
      <c r="C2514" s="169" t="s">
        <v>5832</v>
      </c>
      <c r="D2514" s="317">
        <v>45317.0</v>
      </c>
      <c r="E2514" s="157" t="s">
        <v>600</v>
      </c>
      <c r="F2514" s="160">
        <v>12942.89</v>
      </c>
      <c r="G2514" s="160">
        <f>'FACUS$'!$F2514*0.16</f>
        <v>2070.8624</v>
      </c>
      <c r="H2514" s="160">
        <f t="shared" si="68"/>
        <v>15013.7524</v>
      </c>
      <c r="I2514" s="172">
        <v>6247.35</v>
      </c>
      <c r="J2514" s="169"/>
      <c r="K2514" s="172"/>
      <c r="L2514" s="172">
        <f>+'FACUS$'!$H2514-'FACUS$'!$I2514-'FACUS$'!$K2514</f>
        <v>8766.4024</v>
      </c>
      <c r="M2514" s="162" t="s">
        <v>220</v>
      </c>
      <c r="N2514" s="337" t="s">
        <v>554</v>
      </c>
      <c r="O2514" s="338">
        <v>45359.0</v>
      </c>
      <c r="P2514" s="164">
        <f t="array" ref="P2514">XLOOKUP('FACUS$'!$B2514,'perfil de pagos'!$A$4:$A$46,'perfil de pagos'!$C$4:$C$46+'FACUS$'!$D2514)</f>
        <v>45327</v>
      </c>
      <c r="Q2514" s="165">
        <f t="shared" si="66"/>
        <v>0</v>
      </c>
      <c r="R2514" s="220" t="s">
        <v>10019</v>
      </c>
      <c r="S2514" s="167" t="s">
        <v>10020</v>
      </c>
      <c r="T2514" s="167"/>
      <c r="U2514" s="334"/>
      <c r="V2514" s="168">
        <f t="shared" si="3"/>
        <v>8766.4024</v>
      </c>
      <c r="W2514" s="168">
        <f t="shared" si="4"/>
        <v>0</v>
      </c>
      <c r="X2514" s="168">
        <f t="shared" si="5"/>
        <v>0</v>
      </c>
      <c r="Y2514" s="168">
        <f t="shared" si="6"/>
        <v>0</v>
      </c>
      <c r="Z2514" s="168">
        <f t="shared" si="7"/>
        <v>0</v>
      </c>
      <c r="AA2514" s="168">
        <f t="shared" si="8"/>
        <v>0</v>
      </c>
      <c r="AB2514" s="168">
        <f t="shared" si="9"/>
        <v>0</v>
      </c>
    </row>
    <row r="2515" ht="15.0" customHeight="1">
      <c r="A2515" s="157" t="s">
        <v>10021</v>
      </c>
      <c r="B2515" s="169" t="s">
        <v>25</v>
      </c>
      <c r="C2515" s="169" t="s">
        <v>5832</v>
      </c>
      <c r="D2515" s="317">
        <v>45317.0</v>
      </c>
      <c r="E2515" s="157" t="s">
        <v>600</v>
      </c>
      <c r="F2515" s="160">
        <v>4877.76</v>
      </c>
      <c r="G2515" s="160">
        <f>'FACUS$'!$F2515*0.16</f>
        <v>780.4416</v>
      </c>
      <c r="H2515" s="160">
        <f t="shared" si="68"/>
        <v>5658.2016</v>
      </c>
      <c r="I2515" s="172"/>
      <c r="J2515" s="169"/>
      <c r="K2515" s="172"/>
      <c r="L2515" s="172">
        <f>+'FACUS$'!$H2515-'FACUS$'!$I2515-'FACUS$'!$K2515</f>
        <v>5658.2016</v>
      </c>
      <c r="M2515" s="162" t="s">
        <v>4388</v>
      </c>
      <c r="N2515" s="337" t="s">
        <v>554</v>
      </c>
      <c r="O2515" s="338">
        <v>45371.0</v>
      </c>
      <c r="P2515" s="164">
        <f t="array" ref="P2515">XLOOKUP('FACUS$'!$B2515,'perfil de pagos'!$A$4:$A$46,'perfil de pagos'!$C$4:$C$46+'FACUS$'!$D2515)</f>
        <v>45327</v>
      </c>
      <c r="Q2515" s="165">
        <f t="shared" si="66"/>
        <v>0</v>
      </c>
      <c r="R2515" s="167"/>
      <c r="S2515" s="167">
        <v>2877.0</v>
      </c>
      <c r="T2515" s="167"/>
      <c r="U2515" s="334"/>
      <c r="V2515" s="168">
        <f t="shared" si="3"/>
        <v>5658.2016</v>
      </c>
      <c r="W2515" s="168">
        <f t="shared" si="4"/>
        <v>0</v>
      </c>
      <c r="X2515" s="168">
        <f t="shared" si="5"/>
        <v>0</v>
      </c>
      <c r="Y2515" s="168">
        <f t="shared" si="6"/>
        <v>0</v>
      </c>
      <c r="Z2515" s="168">
        <f t="shared" si="7"/>
        <v>0</v>
      </c>
      <c r="AA2515" s="168">
        <f t="shared" si="8"/>
        <v>0</v>
      </c>
      <c r="AB2515" s="168">
        <f t="shared" si="9"/>
        <v>0</v>
      </c>
    </row>
    <row r="2516" ht="15.0" customHeight="1">
      <c r="A2516" s="157" t="s">
        <v>10022</v>
      </c>
      <c r="B2516" s="169" t="s">
        <v>38</v>
      </c>
      <c r="C2516" s="169" t="s">
        <v>5832</v>
      </c>
      <c r="D2516" s="317">
        <v>45320.0</v>
      </c>
      <c r="E2516" s="157" t="s">
        <v>600</v>
      </c>
      <c r="F2516" s="160">
        <v>3149.62</v>
      </c>
      <c r="G2516" s="160">
        <f>'FACUS$'!$F2516*0.16</f>
        <v>503.9392</v>
      </c>
      <c r="H2516" s="160">
        <f t="shared" si="68"/>
        <v>3653.5592</v>
      </c>
      <c r="I2516" s="172"/>
      <c r="J2516" s="169"/>
      <c r="K2516" s="172"/>
      <c r="L2516" s="172">
        <f>+'FACUS$'!$H2516-'FACUS$'!$I2516-'FACUS$'!$K2516</f>
        <v>3653.5592</v>
      </c>
      <c r="M2516" s="162" t="s">
        <v>642</v>
      </c>
      <c r="N2516" s="337" t="s">
        <v>554</v>
      </c>
      <c r="O2516" s="338">
        <v>45359.0</v>
      </c>
      <c r="P2516" s="164">
        <f t="array" ref="P2516">XLOOKUP('FACUS$'!$B2516,'perfil de pagos'!$A$4:$A$46,'perfil de pagos'!$C$4:$C$46+'FACUS$'!$D2516)</f>
        <v>45350</v>
      </c>
      <c r="Q2516" s="165">
        <f t="shared" si="66"/>
        <v>0</v>
      </c>
      <c r="R2516" s="167"/>
      <c r="S2516" s="167">
        <v>2846.0</v>
      </c>
      <c r="T2516" s="167"/>
      <c r="U2516" s="334"/>
      <c r="V2516" s="168">
        <f t="shared" si="3"/>
        <v>3653.5592</v>
      </c>
      <c r="W2516" s="168">
        <f t="shared" si="4"/>
        <v>0</v>
      </c>
      <c r="X2516" s="168">
        <f t="shared" si="5"/>
        <v>0</v>
      </c>
      <c r="Y2516" s="168">
        <f t="shared" si="6"/>
        <v>0</v>
      </c>
      <c r="Z2516" s="168">
        <f t="shared" si="7"/>
        <v>0</v>
      </c>
      <c r="AA2516" s="168">
        <f t="shared" si="8"/>
        <v>0</v>
      </c>
      <c r="AB2516" s="168">
        <f t="shared" si="9"/>
        <v>0</v>
      </c>
    </row>
    <row r="2517" ht="15.0" customHeight="1">
      <c r="A2517" s="157" t="s">
        <v>10023</v>
      </c>
      <c r="B2517" s="169" t="s">
        <v>38</v>
      </c>
      <c r="C2517" s="169" t="s">
        <v>5832</v>
      </c>
      <c r="D2517" s="317">
        <v>45320.0</v>
      </c>
      <c r="E2517" s="157" t="s">
        <v>600</v>
      </c>
      <c r="F2517" s="160">
        <v>8177.39</v>
      </c>
      <c r="G2517" s="160">
        <f>'FACUS$'!$F2517*0.16</f>
        <v>1308.3824</v>
      </c>
      <c r="H2517" s="160">
        <f t="shared" si="68"/>
        <v>9485.7724</v>
      </c>
      <c r="I2517" s="172"/>
      <c r="J2517" s="169"/>
      <c r="K2517" s="172"/>
      <c r="L2517" s="172">
        <f>+'FACUS$'!$H2517-'FACUS$'!$I2517-'FACUS$'!$K2517</f>
        <v>9485.7724</v>
      </c>
      <c r="M2517" s="162" t="s">
        <v>145</v>
      </c>
      <c r="N2517" s="337" t="s">
        <v>554</v>
      </c>
      <c r="O2517" s="338">
        <v>45359.0</v>
      </c>
      <c r="P2517" s="164">
        <f t="array" ref="P2517">XLOOKUP('FACUS$'!$B2517,'perfil de pagos'!$A$4:$A$46,'perfil de pagos'!$C$4:$C$46+'FACUS$'!$D2517)</f>
        <v>45350</v>
      </c>
      <c r="Q2517" s="165">
        <f t="shared" si="66"/>
        <v>0</v>
      </c>
      <c r="R2517" s="167"/>
      <c r="S2517" s="167">
        <v>2846.0</v>
      </c>
      <c r="T2517" s="167"/>
      <c r="U2517" s="334"/>
      <c r="V2517" s="168">
        <f t="shared" si="3"/>
        <v>9485.7724</v>
      </c>
      <c r="W2517" s="168">
        <f t="shared" si="4"/>
        <v>0</v>
      </c>
      <c r="X2517" s="168">
        <f t="shared" si="5"/>
        <v>0</v>
      </c>
      <c r="Y2517" s="168">
        <f t="shared" si="6"/>
        <v>0</v>
      </c>
      <c r="Z2517" s="168">
        <f t="shared" si="7"/>
        <v>0</v>
      </c>
      <c r="AA2517" s="168">
        <f t="shared" si="8"/>
        <v>0</v>
      </c>
      <c r="AB2517" s="168">
        <f t="shared" si="9"/>
        <v>0</v>
      </c>
    </row>
    <row r="2518" ht="15.0" customHeight="1">
      <c r="A2518" s="157" t="s">
        <v>10024</v>
      </c>
      <c r="B2518" s="169" t="s">
        <v>41</v>
      </c>
      <c r="C2518" s="169" t="s">
        <v>5886</v>
      </c>
      <c r="D2518" s="317">
        <v>45324.0</v>
      </c>
      <c r="E2518" s="157" t="s">
        <v>600</v>
      </c>
      <c r="F2518" s="160">
        <v>109450.2</v>
      </c>
      <c r="G2518" s="160">
        <f>'FACUS$'!$F2518*0.16</f>
        <v>17512.032</v>
      </c>
      <c r="H2518" s="160">
        <f t="shared" si="68"/>
        <v>126962.232</v>
      </c>
      <c r="I2518" s="172"/>
      <c r="J2518" s="169"/>
      <c r="K2518" s="172"/>
      <c r="L2518" s="172">
        <f>+'FACUS$'!$H2518-'FACUS$'!$I2518-'FACUS$'!$K2518</f>
        <v>126962.232</v>
      </c>
      <c r="M2518" s="162" t="s">
        <v>875</v>
      </c>
      <c r="N2518" s="337" t="s">
        <v>554</v>
      </c>
      <c r="O2518" s="338">
        <v>45372.0</v>
      </c>
      <c r="P2518" s="164">
        <f t="array" ref="P2518">XLOOKUP('FACUS$'!$B2518,'perfil de pagos'!$A$4:$A$46,'perfil de pagos'!$C$4:$C$46+'FACUS$'!$D2518)</f>
        <v>45334</v>
      </c>
      <c r="Q2518" s="165">
        <f t="shared" si="66"/>
        <v>0</v>
      </c>
      <c r="R2518" s="167"/>
      <c r="S2518" s="167">
        <v>2879.0</v>
      </c>
      <c r="T2518" s="167"/>
      <c r="U2518" s="334"/>
      <c r="V2518" s="168">
        <f t="shared" si="3"/>
        <v>126962.232</v>
      </c>
      <c r="W2518" s="168">
        <f t="shared" si="4"/>
        <v>0</v>
      </c>
      <c r="X2518" s="168">
        <f t="shared" si="5"/>
        <v>0</v>
      </c>
      <c r="Y2518" s="168">
        <f t="shared" si="6"/>
        <v>0</v>
      </c>
      <c r="Z2518" s="168">
        <f t="shared" si="7"/>
        <v>0</v>
      </c>
      <c r="AA2518" s="168">
        <f t="shared" si="8"/>
        <v>0</v>
      </c>
      <c r="AB2518" s="168">
        <f t="shared" si="9"/>
        <v>0</v>
      </c>
    </row>
    <row r="2519" ht="15.0" customHeight="1">
      <c r="A2519" s="157" t="s">
        <v>10025</v>
      </c>
      <c r="B2519" s="169" t="s">
        <v>35</v>
      </c>
      <c r="C2519" s="169" t="s">
        <v>5886</v>
      </c>
      <c r="D2519" s="317">
        <v>45324.0</v>
      </c>
      <c r="E2519" s="157" t="s">
        <v>600</v>
      </c>
      <c r="F2519" s="160">
        <v>24615.17</v>
      </c>
      <c r="G2519" s="160">
        <f>'FACUS$'!$F2519*0.16</f>
        <v>3938.4272</v>
      </c>
      <c r="H2519" s="160">
        <f t="shared" si="68"/>
        <v>28553.5972</v>
      </c>
      <c r="I2519" s="172"/>
      <c r="J2519" s="169"/>
      <c r="K2519" s="172"/>
      <c r="L2519" s="172">
        <f>+'FACUS$'!$H2519-'FACUS$'!$I2519-'FACUS$'!$K2519</f>
        <v>28553.5972</v>
      </c>
      <c r="M2519" s="162" t="s">
        <v>276</v>
      </c>
      <c r="N2519" s="337" t="s">
        <v>554</v>
      </c>
      <c r="O2519" s="338">
        <v>45345.0</v>
      </c>
      <c r="P2519" s="164">
        <f t="array" ref="P2519">XLOOKUP('FACUS$'!$B2519,'perfil de pagos'!$A$4:$A$46,'perfil de pagos'!$C$4:$C$46+'FACUS$'!$D2519)</f>
        <v>45334</v>
      </c>
      <c r="Q2519" s="165">
        <f t="shared" si="66"/>
        <v>0</v>
      </c>
      <c r="R2519" s="167"/>
      <c r="S2519" s="167">
        <v>2823.0</v>
      </c>
      <c r="T2519" s="167"/>
      <c r="U2519" s="334"/>
      <c r="V2519" s="168">
        <f t="shared" si="3"/>
        <v>28553.5972</v>
      </c>
      <c r="W2519" s="168">
        <f t="shared" si="4"/>
        <v>0</v>
      </c>
      <c r="X2519" s="168">
        <f t="shared" si="5"/>
        <v>0</v>
      </c>
      <c r="Y2519" s="168">
        <f t="shared" si="6"/>
        <v>0</v>
      </c>
      <c r="Z2519" s="168">
        <f t="shared" si="7"/>
        <v>0</v>
      </c>
      <c r="AA2519" s="168">
        <f t="shared" si="8"/>
        <v>0</v>
      </c>
      <c r="AB2519" s="168">
        <f t="shared" si="9"/>
        <v>0</v>
      </c>
    </row>
    <row r="2520" ht="15.0" customHeight="1">
      <c r="A2520" s="157" t="s">
        <v>10026</v>
      </c>
      <c r="B2520" s="169" t="s">
        <v>17</v>
      </c>
      <c r="C2520" s="169" t="s">
        <v>9999</v>
      </c>
      <c r="D2520" s="317">
        <v>45324.0</v>
      </c>
      <c r="E2520" s="157" t="s">
        <v>600</v>
      </c>
      <c r="F2520" s="160">
        <v>48486.36</v>
      </c>
      <c r="G2520" s="160">
        <f>'FACUS$'!$F2520*0.16</f>
        <v>7757.8176</v>
      </c>
      <c r="H2520" s="160">
        <f t="shared" si="68"/>
        <v>56244.1776</v>
      </c>
      <c r="I2520" s="172"/>
      <c r="J2520" s="169"/>
      <c r="K2520" s="172"/>
      <c r="L2520" s="172">
        <f>+'FACUS$'!$H2520-'FACUS$'!$I2520-'FACUS$'!$K2520</f>
        <v>56244.1776</v>
      </c>
      <c r="M2520" s="162" t="s">
        <v>17</v>
      </c>
      <c r="N2520" s="337" t="s">
        <v>554</v>
      </c>
      <c r="O2520" s="338">
        <v>45351.0</v>
      </c>
      <c r="P2520" s="164">
        <f t="array" ref="P2520">XLOOKUP('FACUS$'!$B2520,'perfil de pagos'!$A$4:$A$46,'perfil de pagos'!$C$4:$C$46+'FACUS$'!$D2520)</f>
        <v>45334</v>
      </c>
      <c r="Q2520" s="165">
        <f t="shared" si="66"/>
        <v>0</v>
      </c>
      <c r="R2520" s="167"/>
      <c r="S2520" s="167">
        <v>2834.0</v>
      </c>
      <c r="T2520" s="167"/>
      <c r="U2520" s="334"/>
      <c r="V2520" s="168">
        <f t="shared" si="3"/>
        <v>56244.1776</v>
      </c>
      <c r="W2520" s="168">
        <f t="shared" si="4"/>
        <v>0</v>
      </c>
      <c r="X2520" s="168">
        <f t="shared" si="5"/>
        <v>0</v>
      </c>
      <c r="Y2520" s="168">
        <f t="shared" si="6"/>
        <v>0</v>
      </c>
      <c r="Z2520" s="168">
        <f t="shared" si="7"/>
        <v>0</v>
      </c>
      <c r="AA2520" s="168">
        <f t="shared" si="8"/>
        <v>0</v>
      </c>
      <c r="AB2520" s="168">
        <f t="shared" si="9"/>
        <v>0</v>
      </c>
    </row>
    <row r="2521" ht="15.0" customHeight="1">
      <c r="A2521" s="157" t="s">
        <v>10027</v>
      </c>
      <c r="B2521" s="169" t="s">
        <v>17</v>
      </c>
      <c r="C2521" s="169" t="s">
        <v>5886</v>
      </c>
      <c r="D2521" s="317">
        <v>45324.0</v>
      </c>
      <c r="E2521" s="157" t="s">
        <v>600</v>
      </c>
      <c r="F2521" s="160">
        <v>57129.87</v>
      </c>
      <c r="G2521" s="160">
        <f>'FACUS$'!$F2521*0.16</f>
        <v>9140.7792</v>
      </c>
      <c r="H2521" s="160">
        <f t="shared" si="68"/>
        <v>66270.6492</v>
      </c>
      <c r="I2521" s="172"/>
      <c r="J2521" s="169"/>
      <c r="K2521" s="172"/>
      <c r="L2521" s="172">
        <f>+'FACUS$'!$H2521-'FACUS$'!$I2521-'FACUS$'!$K2521</f>
        <v>66270.6492</v>
      </c>
      <c r="M2521" s="162" t="s">
        <v>17</v>
      </c>
      <c r="N2521" s="337" t="s">
        <v>554</v>
      </c>
      <c r="O2521" s="338">
        <v>45351.0</v>
      </c>
      <c r="P2521" s="164">
        <f t="array" ref="P2521">XLOOKUP('FACUS$'!$B2521,'perfil de pagos'!$A$4:$A$46,'perfil de pagos'!$C$4:$C$46+'FACUS$'!$D2521)</f>
        <v>45334</v>
      </c>
      <c r="Q2521" s="165">
        <f t="shared" si="66"/>
        <v>0</v>
      </c>
      <c r="R2521" s="167"/>
      <c r="S2521" s="167">
        <v>2834.0</v>
      </c>
      <c r="T2521" s="167"/>
      <c r="U2521" s="334"/>
      <c r="V2521" s="168">
        <f t="shared" si="3"/>
        <v>66270.6492</v>
      </c>
      <c r="W2521" s="168">
        <f t="shared" si="4"/>
        <v>0</v>
      </c>
      <c r="X2521" s="168">
        <f t="shared" si="5"/>
        <v>0</v>
      </c>
      <c r="Y2521" s="168">
        <f t="shared" si="6"/>
        <v>0</v>
      </c>
      <c r="Z2521" s="168">
        <f t="shared" si="7"/>
        <v>0</v>
      </c>
      <c r="AA2521" s="168">
        <f t="shared" si="8"/>
        <v>0</v>
      </c>
      <c r="AB2521" s="168">
        <f t="shared" si="9"/>
        <v>0</v>
      </c>
    </row>
    <row r="2522" ht="15.0" customHeight="1">
      <c r="A2522" s="157" t="s">
        <v>10028</v>
      </c>
      <c r="B2522" s="169" t="s">
        <v>42</v>
      </c>
      <c r="C2522" s="169" t="s">
        <v>5886</v>
      </c>
      <c r="D2522" s="317">
        <v>45328.0</v>
      </c>
      <c r="E2522" s="157" t="s">
        <v>600</v>
      </c>
      <c r="F2522" s="160">
        <v>11837.94</v>
      </c>
      <c r="G2522" s="160">
        <f>'FACUS$'!$F2522*0.16</f>
        <v>1894.0704</v>
      </c>
      <c r="H2522" s="160">
        <f t="shared" si="68"/>
        <v>13732.0104</v>
      </c>
      <c r="I2522" s="172"/>
      <c r="J2522" s="169"/>
      <c r="K2522" s="172"/>
      <c r="L2522" s="172">
        <f>+'FACUS$'!$H2522-'FACUS$'!$I2522-'FACUS$'!$K2522</f>
        <v>13732.0104</v>
      </c>
      <c r="M2522" s="162" t="s">
        <v>42</v>
      </c>
      <c r="N2522" s="337" t="s">
        <v>554</v>
      </c>
      <c r="O2522" s="338">
        <v>45352.0</v>
      </c>
      <c r="P2522" s="164">
        <f t="array" ref="P2522">XLOOKUP('FACUS$'!$B2522,'perfil de pagos'!$A$4:$A$46,'perfil de pagos'!$C$4:$C$46+'FACUS$'!$D2522)</f>
        <v>45338</v>
      </c>
      <c r="Q2522" s="165">
        <f t="shared" si="66"/>
        <v>0</v>
      </c>
      <c r="R2522" s="167"/>
      <c r="S2522" s="167">
        <v>2840.0</v>
      </c>
      <c r="T2522" s="167"/>
      <c r="U2522" s="334"/>
      <c r="V2522" s="168">
        <f t="shared" si="3"/>
        <v>13732.0104</v>
      </c>
      <c r="W2522" s="168">
        <f t="shared" si="4"/>
        <v>0</v>
      </c>
      <c r="X2522" s="168">
        <f t="shared" si="5"/>
        <v>0</v>
      </c>
      <c r="Y2522" s="168">
        <f t="shared" si="6"/>
        <v>0</v>
      </c>
      <c r="Z2522" s="168">
        <f t="shared" si="7"/>
        <v>0</v>
      </c>
      <c r="AA2522" s="168">
        <f t="shared" si="8"/>
        <v>0</v>
      </c>
      <c r="AB2522" s="168">
        <f t="shared" si="9"/>
        <v>0</v>
      </c>
    </row>
    <row r="2523" ht="15.0" customHeight="1">
      <c r="A2523" s="157" t="s">
        <v>10029</v>
      </c>
      <c r="B2523" s="169" t="s">
        <v>44</v>
      </c>
      <c r="C2523" s="169" t="s">
        <v>5886</v>
      </c>
      <c r="D2523" s="317">
        <v>45328.0</v>
      </c>
      <c r="E2523" s="157" t="s">
        <v>600</v>
      </c>
      <c r="F2523" s="160">
        <v>23651.28</v>
      </c>
      <c r="G2523" s="160">
        <f>'FACUS$'!$F2523*0.16</f>
        <v>3784.2048</v>
      </c>
      <c r="H2523" s="160">
        <f t="shared" si="68"/>
        <v>27435.4848</v>
      </c>
      <c r="I2523" s="172"/>
      <c r="J2523" s="169"/>
      <c r="K2523" s="172"/>
      <c r="L2523" s="172">
        <f>+'FACUS$'!$H2523-'FACUS$'!$I2523-'FACUS$'!$K2523</f>
        <v>27435.4848</v>
      </c>
      <c r="M2523" s="162" t="s">
        <v>361</v>
      </c>
      <c r="N2523" s="337" t="s">
        <v>554</v>
      </c>
      <c r="O2523" s="338">
        <v>45338.0</v>
      </c>
      <c r="P2523" s="164">
        <f t="array" ref="P2523">XLOOKUP('FACUS$'!$B2523,'perfil de pagos'!$A$4:$A$46,'perfil de pagos'!$C$4:$C$46+'FACUS$'!$D2523)</f>
        <v>45338</v>
      </c>
      <c r="Q2523" s="165">
        <f t="shared" si="66"/>
        <v>0</v>
      </c>
      <c r="R2523" s="167"/>
      <c r="S2523" s="167">
        <v>2807.0</v>
      </c>
      <c r="T2523" s="167"/>
      <c r="U2523" s="334"/>
      <c r="V2523" s="168">
        <f t="shared" si="3"/>
        <v>27435.4848</v>
      </c>
      <c r="W2523" s="168">
        <f t="shared" si="4"/>
        <v>0</v>
      </c>
      <c r="X2523" s="168">
        <f t="shared" si="5"/>
        <v>0</v>
      </c>
      <c r="Y2523" s="168">
        <f t="shared" si="6"/>
        <v>0</v>
      </c>
      <c r="Z2523" s="168">
        <f t="shared" si="7"/>
        <v>0</v>
      </c>
      <c r="AA2523" s="168">
        <f t="shared" si="8"/>
        <v>0</v>
      </c>
      <c r="AB2523" s="168">
        <f t="shared" si="9"/>
        <v>0</v>
      </c>
    </row>
    <row r="2524" ht="15.0" customHeight="1">
      <c r="A2524" s="157" t="s">
        <v>10030</v>
      </c>
      <c r="B2524" s="169" t="s">
        <v>34</v>
      </c>
      <c r="C2524" s="169" t="s">
        <v>9999</v>
      </c>
      <c r="D2524" s="317">
        <v>45328.0</v>
      </c>
      <c r="E2524" s="157" t="s">
        <v>600</v>
      </c>
      <c r="F2524" s="160">
        <v>37656.89</v>
      </c>
      <c r="G2524" s="160">
        <f>'FACUS$'!$F2524*0.16</f>
        <v>6025.1024</v>
      </c>
      <c r="H2524" s="160">
        <f t="shared" si="68"/>
        <v>43681.9924</v>
      </c>
      <c r="I2524" s="172"/>
      <c r="J2524" s="169"/>
      <c r="K2524" s="172"/>
      <c r="L2524" s="172">
        <f>+'FACUS$'!$H2524-'FACUS$'!$I2524-'FACUS$'!$K2524</f>
        <v>43681.9924</v>
      </c>
      <c r="M2524" s="162" t="s">
        <v>538</v>
      </c>
      <c r="N2524" s="337" t="s">
        <v>554</v>
      </c>
      <c r="O2524" s="338">
        <v>45366.0</v>
      </c>
      <c r="P2524" s="164">
        <f t="array" ref="P2524">XLOOKUP('FACUS$'!$B2524,'perfil de pagos'!$A$4:$A$46,'perfil de pagos'!$C$4:$C$46+'FACUS$'!$D2524)</f>
        <v>45338</v>
      </c>
      <c r="Q2524" s="165">
        <f t="shared" si="66"/>
        <v>0</v>
      </c>
      <c r="R2524" s="167"/>
      <c r="S2524" s="167">
        <v>2862.0</v>
      </c>
      <c r="T2524" s="167"/>
      <c r="U2524" s="334"/>
      <c r="V2524" s="168">
        <f t="shared" si="3"/>
        <v>43681.9924</v>
      </c>
      <c r="W2524" s="168">
        <f t="shared" si="4"/>
        <v>0</v>
      </c>
      <c r="X2524" s="168">
        <f t="shared" si="5"/>
        <v>0</v>
      </c>
      <c r="Y2524" s="168">
        <f t="shared" si="6"/>
        <v>0</v>
      </c>
      <c r="Z2524" s="168">
        <f t="shared" si="7"/>
        <v>0</v>
      </c>
      <c r="AA2524" s="168">
        <f t="shared" si="8"/>
        <v>0</v>
      </c>
      <c r="AB2524" s="168">
        <f t="shared" si="9"/>
        <v>0</v>
      </c>
    </row>
    <row r="2525" ht="15.0" customHeight="1">
      <c r="A2525" s="157" t="s">
        <v>10031</v>
      </c>
      <c r="B2525" s="169" t="s">
        <v>34</v>
      </c>
      <c r="C2525" s="169" t="s">
        <v>5886</v>
      </c>
      <c r="D2525" s="317">
        <v>45328.0</v>
      </c>
      <c r="E2525" s="157" t="s">
        <v>600</v>
      </c>
      <c r="F2525" s="160">
        <v>30762.82</v>
      </c>
      <c r="G2525" s="160">
        <f>'FACUS$'!$F2525*0.16</f>
        <v>4922.0512</v>
      </c>
      <c r="H2525" s="160">
        <f t="shared" si="68"/>
        <v>35684.8712</v>
      </c>
      <c r="I2525" s="172"/>
      <c r="J2525" s="169"/>
      <c r="K2525" s="172"/>
      <c r="L2525" s="172">
        <f>+'FACUS$'!$H2525-'FACUS$'!$I2525-'FACUS$'!$K2525</f>
        <v>35684.8712</v>
      </c>
      <c r="M2525" s="162" t="s">
        <v>538</v>
      </c>
      <c r="N2525" s="337" t="s">
        <v>554</v>
      </c>
      <c r="O2525" s="338">
        <v>45373.0</v>
      </c>
      <c r="P2525" s="164">
        <f t="array" ref="P2525">XLOOKUP('FACUS$'!$B2525,'perfil de pagos'!$A$4:$A$46,'perfil de pagos'!$C$4:$C$46+'FACUS$'!$D2525)</f>
        <v>45338</v>
      </c>
      <c r="Q2525" s="165">
        <f t="shared" si="66"/>
        <v>0</v>
      </c>
      <c r="R2525" s="167"/>
      <c r="S2525" s="167">
        <v>2881.0</v>
      </c>
      <c r="T2525" s="167"/>
      <c r="U2525" s="334"/>
      <c r="V2525" s="168">
        <f t="shared" si="3"/>
        <v>35684.8712</v>
      </c>
      <c r="W2525" s="168">
        <f t="shared" si="4"/>
        <v>0</v>
      </c>
      <c r="X2525" s="168">
        <f t="shared" si="5"/>
        <v>0</v>
      </c>
      <c r="Y2525" s="168">
        <f t="shared" si="6"/>
        <v>0</v>
      </c>
      <c r="Z2525" s="168">
        <f t="shared" si="7"/>
        <v>0</v>
      </c>
      <c r="AA2525" s="168">
        <f t="shared" si="8"/>
        <v>0</v>
      </c>
      <c r="AB2525" s="168">
        <f t="shared" si="9"/>
        <v>0</v>
      </c>
    </row>
    <row r="2526" ht="15.0" customHeight="1">
      <c r="A2526" s="157" t="s">
        <v>10032</v>
      </c>
      <c r="B2526" s="169" t="s">
        <v>38</v>
      </c>
      <c r="C2526" s="169" t="s">
        <v>5886</v>
      </c>
      <c r="D2526" s="317">
        <v>45328.0</v>
      </c>
      <c r="E2526" s="157" t="s">
        <v>600</v>
      </c>
      <c r="F2526" s="160">
        <v>2984.08</v>
      </c>
      <c r="G2526" s="160">
        <f>'FACUS$'!$F2526*0.16</f>
        <v>477.4528</v>
      </c>
      <c r="H2526" s="160">
        <f t="shared" si="68"/>
        <v>3461.5328</v>
      </c>
      <c r="I2526" s="172"/>
      <c r="J2526" s="169"/>
      <c r="K2526" s="172"/>
      <c r="L2526" s="172">
        <f>+'FACUS$'!$H2526-'FACUS$'!$I2526-'FACUS$'!$K2526</f>
        <v>3461.5328</v>
      </c>
      <c r="M2526" s="162" t="s">
        <v>4654</v>
      </c>
      <c r="N2526" s="337" t="s">
        <v>554</v>
      </c>
      <c r="O2526" s="338">
        <v>45409.0</v>
      </c>
      <c r="P2526" s="164">
        <f t="array" ref="P2526">XLOOKUP('FACUS$'!$B2526,'perfil de pagos'!$A$4:$A$46,'perfil de pagos'!$C$4:$C$46+'FACUS$'!$D2526)</f>
        <v>45358</v>
      </c>
      <c r="Q2526" s="165">
        <f t="shared" si="66"/>
        <v>0</v>
      </c>
      <c r="R2526" s="167"/>
      <c r="S2526" s="167">
        <v>2895.0</v>
      </c>
      <c r="T2526" s="167"/>
      <c r="U2526" s="334"/>
      <c r="V2526" s="168">
        <f t="shared" si="3"/>
        <v>3461.5328</v>
      </c>
      <c r="W2526" s="168">
        <f t="shared" si="4"/>
        <v>0</v>
      </c>
      <c r="X2526" s="168">
        <f t="shared" si="5"/>
        <v>0</v>
      </c>
      <c r="Y2526" s="168">
        <f t="shared" si="6"/>
        <v>0</v>
      </c>
      <c r="Z2526" s="168">
        <f t="shared" si="7"/>
        <v>0</v>
      </c>
      <c r="AA2526" s="168">
        <f t="shared" si="8"/>
        <v>0</v>
      </c>
      <c r="AB2526" s="168">
        <f t="shared" si="9"/>
        <v>0</v>
      </c>
    </row>
    <row r="2527" ht="15.0" customHeight="1">
      <c r="A2527" s="157" t="s">
        <v>10033</v>
      </c>
      <c r="B2527" s="169" t="s">
        <v>18</v>
      </c>
      <c r="C2527" s="169" t="s">
        <v>5886</v>
      </c>
      <c r="D2527" s="317">
        <v>45331.0</v>
      </c>
      <c r="E2527" s="157" t="s">
        <v>600</v>
      </c>
      <c r="F2527" s="160">
        <v>5548.34</v>
      </c>
      <c r="G2527" s="160">
        <f>'FACUS$'!$F2527*0.16</f>
        <v>887.7344</v>
      </c>
      <c r="H2527" s="160">
        <f t="shared" si="68"/>
        <v>6436.0744</v>
      </c>
      <c r="I2527" s="172"/>
      <c r="J2527" s="169"/>
      <c r="K2527" s="172"/>
      <c r="L2527" s="172">
        <f>+'FACUS$'!$H2527-'FACUS$'!$I2527-'FACUS$'!$K2527</f>
        <v>6436.0744</v>
      </c>
      <c r="M2527" s="162" t="s">
        <v>586</v>
      </c>
      <c r="N2527" s="337" t="s">
        <v>554</v>
      </c>
      <c r="O2527" s="338">
        <v>45371.0</v>
      </c>
      <c r="P2527" s="164">
        <f t="array" ref="P2527">XLOOKUP('FACUS$'!$B2527,'perfil de pagos'!$A$4:$A$46,'perfil de pagos'!$C$4:$C$46+'FACUS$'!$D2527)</f>
        <v>45341</v>
      </c>
      <c r="Q2527" s="165">
        <f t="shared" si="66"/>
        <v>0</v>
      </c>
      <c r="R2527" s="167"/>
      <c r="S2527" s="167">
        <v>2878.0</v>
      </c>
      <c r="T2527" s="167"/>
      <c r="U2527" s="334"/>
      <c r="V2527" s="168">
        <f t="shared" si="3"/>
        <v>6436.0744</v>
      </c>
      <c r="W2527" s="168">
        <f t="shared" si="4"/>
        <v>0</v>
      </c>
      <c r="X2527" s="168">
        <f t="shared" si="5"/>
        <v>0</v>
      </c>
      <c r="Y2527" s="168">
        <f t="shared" si="6"/>
        <v>0</v>
      </c>
      <c r="Z2527" s="168">
        <f t="shared" si="7"/>
        <v>0</v>
      </c>
      <c r="AA2527" s="168">
        <f t="shared" si="8"/>
        <v>0</v>
      </c>
      <c r="AB2527" s="168">
        <f t="shared" si="9"/>
        <v>0</v>
      </c>
    </row>
    <row r="2528" ht="15.0" customHeight="1">
      <c r="A2528" s="157" t="s">
        <v>10034</v>
      </c>
      <c r="B2528" s="169" t="s">
        <v>20</v>
      </c>
      <c r="C2528" s="169" t="s">
        <v>5886</v>
      </c>
      <c r="D2528" s="317">
        <v>45331.0</v>
      </c>
      <c r="E2528" s="157" t="s">
        <v>600</v>
      </c>
      <c r="F2528" s="160">
        <v>11059.33</v>
      </c>
      <c r="G2528" s="160">
        <f>'FACUS$'!$F2528*0.16</f>
        <v>1769.4928</v>
      </c>
      <c r="H2528" s="160">
        <f t="shared" si="68"/>
        <v>12828.8228</v>
      </c>
      <c r="I2528" s="172"/>
      <c r="J2528" s="169"/>
      <c r="K2528" s="172"/>
      <c r="L2528" s="172">
        <f>+'FACUS$'!$H2528-'FACUS$'!$I2528-'FACUS$'!$K2528</f>
        <v>12828.8228</v>
      </c>
      <c r="M2528" s="162" t="s">
        <v>732</v>
      </c>
      <c r="N2528" s="337" t="s">
        <v>554</v>
      </c>
      <c r="O2528" s="338">
        <v>45371.0</v>
      </c>
      <c r="P2528" s="164">
        <f t="array" ref="P2528">XLOOKUP('FACUS$'!$B2528,'perfil de pagos'!$A$4:$A$46,'perfil de pagos'!$C$4:$C$46+'FACUS$'!$D2528)</f>
        <v>45341</v>
      </c>
      <c r="Q2528" s="165">
        <f t="shared" si="66"/>
        <v>0</v>
      </c>
      <c r="R2528" s="167"/>
      <c r="S2528" s="167">
        <v>2878.0</v>
      </c>
      <c r="T2528" s="167"/>
      <c r="U2528" s="334"/>
      <c r="V2528" s="168">
        <f t="shared" si="3"/>
        <v>12828.8228</v>
      </c>
      <c r="W2528" s="168">
        <f t="shared" si="4"/>
        <v>0</v>
      </c>
      <c r="X2528" s="168">
        <f t="shared" si="5"/>
        <v>0</v>
      </c>
      <c r="Y2528" s="168">
        <f t="shared" si="6"/>
        <v>0</v>
      </c>
      <c r="Z2528" s="168">
        <f t="shared" si="7"/>
        <v>0</v>
      </c>
      <c r="AA2528" s="168">
        <f t="shared" si="8"/>
        <v>0</v>
      </c>
      <c r="AB2528" s="168">
        <f t="shared" si="9"/>
        <v>0</v>
      </c>
    </row>
    <row r="2529" ht="15.0" customHeight="1">
      <c r="A2529" s="157" t="s">
        <v>10035</v>
      </c>
      <c r="B2529" s="169" t="s">
        <v>22</v>
      </c>
      <c r="C2529" s="169" t="s">
        <v>5886</v>
      </c>
      <c r="D2529" s="317">
        <v>45331.0</v>
      </c>
      <c r="E2529" s="157" t="s">
        <v>600</v>
      </c>
      <c r="F2529" s="160">
        <v>20769.47</v>
      </c>
      <c r="G2529" s="160">
        <f>'FACUS$'!$F2529*0.16</f>
        <v>3323.1152</v>
      </c>
      <c r="H2529" s="160">
        <f t="shared" si="68"/>
        <v>24092.5852</v>
      </c>
      <c r="I2529" s="172">
        <v>11977.04</v>
      </c>
      <c r="J2529" s="169"/>
      <c r="K2529" s="172"/>
      <c r="L2529" s="172">
        <f>+'FACUS$'!$H2529-'FACUS$'!$I2529-'FACUS$'!$K2529</f>
        <v>12115.5452</v>
      </c>
      <c r="M2529" s="162" t="s">
        <v>220</v>
      </c>
      <c r="N2529" s="337" t="s">
        <v>554</v>
      </c>
      <c r="O2529" s="338">
        <v>45371.0</v>
      </c>
      <c r="P2529" s="164">
        <f t="array" ref="P2529">XLOOKUP('FACUS$'!$B2529,'perfil de pagos'!$A$4:$A$46,'perfil de pagos'!$C$4:$C$46+'FACUS$'!$D2529)</f>
        <v>45341</v>
      </c>
      <c r="Q2529" s="165">
        <f t="shared" si="66"/>
        <v>0</v>
      </c>
      <c r="R2529" s="220" t="s">
        <v>10036</v>
      </c>
      <c r="S2529" s="167" t="s">
        <v>10037</v>
      </c>
      <c r="T2529" s="167"/>
      <c r="U2529" s="334"/>
      <c r="V2529" s="168">
        <f t="shared" si="3"/>
        <v>12115.5452</v>
      </c>
      <c r="W2529" s="168">
        <f t="shared" si="4"/>
        <v>0</v>
      </c>
      <c r="X2529" s="168">
        <f t="shared" si="5"/>
        <v>0</v>
      </c>
      <c r="Y2529" s="168">
        <f t="shared" si="6"/>
        <v>0</v>
      </c>
      <c r="Z2529" s="168">
        <f t="shared" si="7"/>
        <v>0</v>
      </c>
      <c r="AA2529" s="168">
        <f t="shared" si="8"/>
        <v>0</v>
      </c>
      <c r="AB2529" s="168">
        <f t="shared" si="9"/>
        <v>0</v>
      </c>
    </row>
    <row r="2530" ht="15.0" customHeight="1">
      <c r="A2530" s="157" t="s">
        <v>10038</v>
      </c>
      <c r="B2530" s="169" t="s">
        <v>25</v>
      </c>
      <c r="C2530" s="169" t="s">
        <v>5886</v>
      </c>
      <c r="D2530" s="317">
        <v>45331.0</v>
      </c>
      <c r="E2530" s="157" t="s">
        <v>600</v>
      </c>
      <c r="F2530" s="160">
        <v>5695.55</v>
      </c>
      <c r="G2530" s="160">
        <f>'FACUS$'!$F2530*0.16</f>
        <v>911.288</v>
      </c>
      <c r="H2530" s="160">
        <f t="shared" si="68"/>
        <v>6606.838</v>
      </c>
      <c r="I2530" s="172"/>
      <c r="J2530" s="169"/>
      <c r="K2530" s="172"/>
      <c r="L2530" s="172">
        <f>+'FACUS$'!$H2530-'FACUS$'!$I2530-'FACUS$'!$K2530</f>
        <v>6606.838</v>
      </c>
      <c r="M2530" s="162" t="s">
        <v>4388</v>
      </c>
      <c r="N2530" s="337" t="s">
        <v>554</v>
      </c>
      <c r="O2530" s="338">
        <v>45371.0</v>
      </c>
      <c r="P2530" s="164">
        <f t="array" ref="P2530">XLOOKUP('FACUS$'!$B2530,'perfil de pagos'!$A$4:$A$46,'perfil de pagos'!$C$4:$C$46+'FACUS$'!$D2530)</f>
        <v>45341</v>
      </c>
      <c r="Q2530" s="165">
        <f t="shared" si="66"/>
        <v>0</v>
      </c>
      <c r="R2530" s="167"/>
      <c r="S2530" s="167">
        <v>2877.0</v>
      </c>
      <c r="T2530" s="167"/>
      <c r="U2530" s="334"/>
      <c r="V2530" s="168">
        <f t="shared" si="3"/>
        <v>6606.838</v>
      </c>
      <c r="W2530" s="168">
        <f t="shared" si="4"/>
        <v>0</v>
      </c>
      <c r="X2530" s="168">
        <f t="shared" si="5"/>
        <v>0</v>
      </c>
      <c r="Y2530" s="168">
        <f t="shared" si="6"/>
        <v>0</v>
      </c>
      <c r="Z2530" s="168">
        <f t="shared" si="7"/>
        <v>0</v>
      </c>
      <c r="AA2530" s="168">
        <f t="shared" si="8"/>
        <v>0</v>
      </c>
      <c r="AB2530" s="168">
        <f t="shared" si="9"/>
        <v>0</v>
      </c>
    </row>
    <row r="2531" ht="15.0" customHeight="1">
      <c r="A2531" s="157" t="s">
        <v>10039</v>
      </c>
      <c r="B2531" s="169" t="s">
        <v>37</v>
      </c>
      <c r="C2531" s="169" t="s">
        <v>5886</v>
      </c>
      <c r="D2531" s="317">
        <v>45331.0</v>
      </c>
      <c r="E2531" s="157" t="s">
        <v>600</v>
      </c>
      <c r="F2531" s="160">
        <v>122064.45</v>
      </c>
      <c r="G2531" s="160">
        <f>'FACUS$'!$F2531*0.16</f>
        <v>19530.312</v>
      </c>
      <c r="H2531" s="160">
        <f t="shared" si="68"/>
        <v>141594.762</v>
      </c>
      <c r="I2531" s="172"/>
      <c r="J2531" s="169"/>
      <c r="K2531" s="172"/>
      <c r="L2531" s="172">
        <f>+'FACUS$'!$H2531-'FACUS$'!$I2531-'FACUS$'!$K2531</f>
        <v>141594.762</v>
      </c>
      <c r="M2531" s="162" t="s">
        <v>116</v>
      </c>
      <c r="N2531" s="337" t="s">
        <v>554</v>
      </c>
      <c r="O2531" s="338">
        <v>45362.0</v>
      </c>
      <c r="P2531" s="164">
        <f t="array" ref="P2531">XLOOKUP('FACUS$'!$B2531,'perfil de pagos'!$A$4:$A$46,'perfil de pagos'!$C$4:$C$46+'FACUS$'!$D2531)</f>
        <v>45341</v>
      </c>
      <c r="Q2531" s="165">
        <f t="shared" si="66"/>
        <v>0</v>
      </c>
      <c r="R2531" s="167"/>
      <c r="S2531" s="167">
        <v>2854.0</v>
      </c>
      <c r="T2531" s="167"/>
      <c r="U2531" s="334"/>
      <c r="V2531" s="168">
        <f t="shared" si="3"/>
        <v>141594.762</v>
      </c>
      <c r="W2531" s="168">
        <f t="shared" si="4"/>
        <v>0</v>
      </c>
      <c r="X2531" s="168">
        <f t="shared" si="5"/>
        <v>0</v>
      </c>
      <c r="Y2531" s="168">
        <f t="shared" si="6"/>
        <v>0</v>
      </c>
      <c r="Z2531" s="168">
        <f t="shared" si="7"/>
        <v>0</v>
      </c>
      <c r="AA2531" s="168">
        <f t="shared" si="8"/>
        <v>0</v>
      </c>
      <c r="AB2531" s="168">
        <f t="shared" si="9"/>
        <v>0</v>
      </c>
    </row>
    <row r="2532" ht="15.0" customHeight="1">
      <c r="A2532" s="157" t="s">
        <v>10040</v>
      </c>
      <c r="B2532" s="169" t="s">
        <v>38</v>
      </c>
      <c r="C2532" s="169" t="s">
        <v>5886</v>
      </c>
      <c r="D2532" s="317">
        <v>45334.0</v>
      </c>
      <c r="E2532" s="157" t="s">
        <v>600</v>
      </c>
      <c r="F2532" s="160">
        <v>11469.22</v>
      </c>
      <c r="G2532" s="160">
        <f>'FACUS$'!$F2532*0.16</f>
        <v>1835.0752</v>
      </c>
      <c r="H2532" s="160">
        <f t="shared" si="68"/>
        <v>13304.2952</v>
      </c>
      <c r="I2532" s="172"/>
      <c r="J2532" s="169"/>
      <c r="K2532" s="172"/>
      <c r="L2532" s="172">
        <f>+'FACUS$'!$H2532-'FACUS$'!$I2532-'FACUS$'!$K2532</f>
        <v>13304.2952</v>
      </c>
      <c r="M2532" s="162" t="s">
        <v>145</v>
      </c>
      <c r="N2532" s="337" t="s">
        <v>554</v>
      </c>
      <c r="O2532" s="338">
        <v>45409.0</v>
      </c>
      <c r="P2532" s="164">
        <f t="array" ref="P2532">XLOOKUP('FACUS$'!$B2532,'perfil de pagos'!$A$4:$A$46,'perfil de pagos'!$C$4:$C$46+'FACUS$'!$D2532)</f>
        <v>45364</v>
      </c>
      <c r="Q2532" s="165">
        <f t="shared" si="66"/>
        <v>0</v>
      </c>
      <c r="R2532" s="167"/>
      <c r="S2532" s="167">
        <v>2895.0</v>
      </c>
      <c r="T2532" s="167"/>
      <c r="U2532" s="334"/>
      <c r="V2532" s="168">
        <f t="shared" si="3"/>
        <v>13304.2952</v>
      </c>
      <c r="W2532" s="168">
        <f t="shared" si="4"/>
        <v>0</v>
      </c>
      <c r="X2532" s="168">
        <f t="shared" si="5"/>
        <v>0</v>
      </c>
      <c r="Y2532" s="168">
        <f t="shared" si="6"/>
        <v>0</v>
      </c>
      <c r="Z2532" s="168">
        <f t="shared" si="7"/>
        <v>0</v>
      </c>
      <c r="AA2532" s="168">
        <f t="shared" si="8"/>
        <v>0</v>
      </c>
      <c r="AB2532" s="168">
        <f t="shared" si="9"/>
        <v>0</v>
      </c>
    </row>
    <row r="2533" ht="15.0" customHeight="1">
      <c r="A2533" s="157" t="s">
        <v>10041</v>
      </c>
      <c r="B2533" s="169" t="s">
        <v>38</v>
      </c>
      <c r="C2533" s="169" t="s">
        <v>5886</v>
      </c>
      <c r="D2533" s="317">
        <v>45334.0</v>
      </c>
      <c r="E2533" s="157" t="s">
        <v>600</v>
      </c>
      <c r="F2533" s="160">
        <v>4507.47</v>
      </c>
      <c r="G2533" s="160">
        <f>'FACUS$'!$F2533*0.16</f>
        <v>721.1952</v>
      </c>
      <c r="H2533" s="160">
        <f t="shared" si="68"/>
        <v>5228.6652</v>
      </c>
      <c r="I2533" s="172"/>
      <c r="J2533" s="169"/>
      <c r="K2533" s="172"/>
      <c r="L2533" s="172">
        <f>+'FACUS$'!$H2533-'FACUS$'!$I2533-'FACUS$'!$K2533</f>
        <v>5228.6652</v>
      </c>
      <c r="M2533" s="162" t="s">
        <v>434</v>
      </c>
      <c r="N2533" s="337" t="s">
        <v>554</v>
      </c>
      <c r="O2533" s="338">
        <v>45385.0</v>
      </c>
      <c r="P2533" s="164">
        <f t="array" ref="P2533">XLOOKUP('FACUS$'!$B2533,'perfil de pagos'!$A$4:$A$46,'perfil de pagos'!$C$4:$C$46+'FACUS$'!$D2533)</f>
        <v>45364</v>
      </c>
      <c r="Q2533" s="165">
        <f t="shared" si="66"/>
        <v>0</v>
      </c>
      <c r="R2533" s="167"/>
      <c r="S2533" s="167">
        <v>2906.0</v>
      </c>
      <c r="T2533" s="167"/>
      <c r="U2533" s="334"/>
      <c r="V2533" s="168">
        <f t="shared" si="3"/>
        <v>5228.6652</v>
      </c>
      <c r="W2533" s="168">
        <f t="shared" si="4"/>
        <v>0</v>
      </c>
      <c r="X2533" s="168">
        <f t="shared" si="5"/>
        <v>0</v>
      </c>
      <c r="Y2533" s="168">
        <f t="shared" si="6"/>
        <v>0</v>
      </c>
      <c r="Z2533" s="168">
        <f t="shared" si="7"/>
        <v>0</v>
      </c>
      <c r="AA2533" s="168">
        <f t="shared" si="8"/>
        <v>0</v>
      </c>
      <c r="AB2533" s="168">
        <f t="shared" si="9"/>
        <v>0</v>
      </c>
    </row>
    <row r="2534" ht="15.0" customHeight="1">
      <c r="A2534" s="157" t="s">
        <v>10042</v>
      </c>
      <c r="B2534" s="169" t="s">
        <v>41</v>
      </c>
      <c r="C2534" s="169" t="s">
        <v>10043</v>
      </c>
      <c r="D2534" s="317">
        <v>45341.0</v>
      </c>
      <c r="E2534" s="157" t="s">
        <v>600</v>
      </c>
      <c r="F2534" s="160">
        <v>66811.02</v>
      </c>
      <c r="G2534" s="160">
        <f>'FACUS$'!$F2534*0.16</f>
        <v>10689.7632</v>
      </c>
      <c r="H2534" s="160">
        <f t="shared" si="68"/>
        <v>77500.7832</v>
      </c>
      <c r="I2534" s="172"/>
      <c r="J2534" s="169"/>
      <c r="K2534" s="172"/>
      <c r="L2534" s="172">
        <f>+'FACUS$'!$H2534-'FACUS$'!$I2534-'FACUS$'!$K2534</f>
        <v>77500.7832</v>
      </c>
      <c r="M2534" s="162" t="s">
        <v>875</v>
      </c>
      <c r="N2534" s="337" t="s">
        <v>554</v>
      </c>
      <c r="O2534" s="338">
        <v>45404.0</v>
      </c>
      <c r="P2534" s="164">
        <f t="array" ref="P2534">XLOOKUP('FACUS$'!$B2534,'perfil de pagos'!$A$4:$A$46,'perfil de pagos'!$C$4:$C$46+'FACUS$'!$D2534)</f>
        <v>45351</v>
      </c>
      <c r="Q2534" s="165">
        <f t="shared" si="66"/>
        <v>0</v>
      </c>
      <c r="R2534" s="167"/>
      <c r="S2534" s="167">
        <v>2948.0</v>
      </c>
      <c r="T2534" s="167"/>
      <c r="U2534" s="334"/>
      <c r="V2534" s="168">
        <f t="shared" si="3"/>
        <v>77500.7832</v>
      </c>
      <c r="W2534" s="168">
        <f t="shared" si="4"/>
        <v>0</v>
      </c>
      <c r="X2534" s="168">
        <f t="shared" si="5"/>
        <v>0</v>
      </c>
      <c r="Y2534" s="168">
        <f t="shared" si="6"/>
        <v>0</v>
      </c>
      <c r="Z2534" s="168">
        <f t="shared" si="7"/>
        <v>0</v>
      </c>
      <c r="AA2534" s="168">
        <f t="shared" si="8"/>
        <v>0</v>
      </c>
      <c r="AB2534" s="168">
        <f t="shared" si="9"/>
        <v>0</v>
      </c>
    </row>
    <row r="2535" ht="15.0" customHeight="1">
      <c r="A2535" s="157" t="s">
        <v>10044</v>
      </c>
      <c r="B2535" s="169" t="s">
        <v>34</v>
      </c>
      <c r="C2535" s="169" t="s">
        <v>5830</v>
      </c>
      <c r="D2535" s="317">
        <v>45341.0</v>
      </c>
      <c r="E2535" s="157" t="s">
        <v>600</v>
      </c>
      <c r="F2535" s="160">
        <v>26538.99</v>
      </c>
      <c r="G2535" s="160">
        <f>'FACUS$'!$F2535*0.16</f>
        <v>4246.2384</v>
      </c>
      <c r="H2535" s="160">
        <f t="shared" si="68"/>
        <v>30785.2284</v>
      </c>
      <c r="I2535" s="172"/>
      <c r="J2535" s="169"/>
      <c r="K2535" s="172"/>
      <c r="L2535" s="172">
        <f>+'FACUS$'!$H2535-'FACUS$'!$I2535-'FACUS$'!$K2535</f>
        <v>30785.2284</v>
      </c>
      <c r="M2535" s="162" t="s">
        <v>538</v>
      </c>
      <c r="N2535" s="337" t="s">
        <v>554</v>
      </c>
      <c r="O2535" s="338">
        <v>45387.0</v>
      </c>
      <c r="P2535" s="164">
        <f t="array" ref="P2535">XLOOKUP('FACUS$'!$B2535,'perfil de pagos'!$A$4:$A$46,'perfil de pagos'!$C$4:$C$46+'FACUS$'!$D2535)</f>
        <v>45351</v>
      </c>
      <c r="Q2535" s="165">
        <f t="shared" si="66"/>
        <v>0</v>
      </c>
      <c r="R2535" s="167"/>
      <c r="S2535" s="167">
        <v>2913.0</v>
      </c>
      <c r="T2535" s="167"/>
      <c r="U2535" s="334"/>
      <c r="V2535" s="168">
        <f t="shared" si="3"/>
        <v>30785.2284</v>
      </c>
      <c r="W2535" s="168">
        <f t="shared" si="4"/>
        <v>0</v>
      </c>
      <c r="X2535" s="168">
        <f t="shared" si="5"/>
        <v>0</v>
      </c>
      <c r="Y2535" s="168">
        <f t="shared" si="6"/>
        <v>0</v>
      </c>
      <c r="Z2535" s="168">
        <f t="shared" si="7"/>
        <v>0</v>
      </c>
      <c r="AA2535" s="168">
        <f t="shared" si="8"/>
        <v>0</v>
      </c>
      <c r="AB2535" s="168">
        <f t="shared" si="9"/>
        <v>0</v>
      </c>
    </row>
    <row r="2536" ht="15.0" customHeight="1">
      <c r="A2536" s="157" t="s">
        <v>10045</v>
      </c>
      <c r="B2536" s="169" t="s">
        <v>34</v>
      </c>
      <c r="C2536" s="169" t="s">
        <v>10043</v>
      </c>
      <c r="D2536" s="317">
        <v>45341.0</v>
      </c>
      <c r="E2536" s="157" t="s">
        <v>600</v>
      </c>
      <c r="F2536" s="160">
        <v>27747.46</v>
      </c>
      <c r="G2536" s="160">
        <f>'FACUS$'!$F2536*0.16</f>
        <v>4439.5936</v>
      </c>
      <c r="H2536" s="160">
        <f t="shared" si="68"/>
        <v>32187.0536</v>
      </c>
      <c r="I2536" s="172"/>
      <c r="J2536" s="169"/>
      <c r="K2536" s="172"/>
      <c r="L2536" s="172">
        <f>+'FACUS$'!$H2536-'FACUS$'!$I2536-'FACUS$'!$K2536</f>
        <v>32187.0536</v>
      </c>
      <c r="M2536" s="162" t="s">
        <v>538</v>
      </c>
      <c r="N2536" s="337" t="s">
        <v>554</v>
      </c>
      <c r="O2536" s="338">
        <v>45387.0</v>
      </c>
      <c r="P2536" s="164">
        <f t="array" ref="P2536">XLOOKUP('FACUS$'!$B2536,'perfil de pagos'!$A$4:$A$46,'perfil de pagos'!$C$4:$C$46+'FACUS$'!$D2536)</f>
        <v>45351</v>
      </c>
      <c r="Q2536" s="165">
        <f t="shared" si="66"/>
        <v>0</v>
      </c>
      <c r="R2536" s="167"/>
      <c r="S2536" s="167">
        <v>2913.0</v>
      </c>
      <c r="T2536" s="167"/>
      <c r="U2536" s="334"/>
      <c r="V2536" s="168">
        <f t="shared" si="3"/>
        <v>32187.0536</v>
      </c>
      <c r="W2536" s="168">
        <f t="shared" si="4"/>
        <v>0</v>
      </c>
      <c r="X2536" s="168">
        <f t="shared" si="5"/>
        <v>0</v>
      </c>
      <c r="Y2536" s="168">
        <f t="shared" si="6"/>
        <v>0</v>
      </c>
      <c r="Z2536" s="168">
        <f t="shared" si="7"/>
        <v>0</v>
      </c>
      <c r="AA2536" s="168">
        <f t="shared" si="8"/>
        <v>0</v>
      </c>
      <c r="AB2536" s="168">
        <f t="shared" si="9"/>
        <v>0</v>
      </c>
    </row>
    <row r="2537" ht="15.0" customHeight="1">
      <c r="A2537" s="157" t="s">
        <v>10046</v>
      </c>
      <c r="B2537" s="169" t="s">
        <v>35</v>
      </c>
      <c r="C2537" s="169" t="s">
        <v>10043</v>
      </c>
      <c r="D2537" s="317">
        <v>45341.0</v>
      </c>
      <c r="E2537" s="157" t="s">
        <v>600</v>
      </c>
      <c r="F2537" s="160">
        <v>20375.9</v>
      </c>
      <c r="G2537" s="160">
        <f>'FACUS$'!$F2537*0.16</f>
        <v>3260.144</v>
      </c>
      <c r="H2537" s="160">
        <f t="shared" si="68"/>
        <v>23636.044</v>
      </c>
      <c r="I2537" s="172"/>
      <c r="J2537" s="169"/>
      <c r="K2537" s="172"/>
      <c r="L2537" s="172">
        <f>+'FACUS$'!$H2537-'FACUS$'!$I2537-'FACUS$'!$K2537</f>
        <v>23636.044</v>
      </c>
      <c r="M2537" s="162" t="s">
        <v>276</v>
      </c>
      <c r="N2537" s="337" t="s">
        <v>554</v>
      </c>
      <c r="O2537" s="338">
        <v>45359.0</v>
      </c>
      <c r="P2537" s="164">
        <f t="array" ref="P2537">XLOOKUP('FACUS$'!$B2537,'perfil de pagos'!$A$4:$A$46,'perfil de pagos'!$C$4:$C$46+'FACUS$'!$D2537)</f>
        <v>45351</v>
      </c>
      <c r="Q2537" s="165">
        <f t="shared" si="66"/>
        <v>0</v>
      </c>
      <c r="R2537" s="167"/>
      <c r="S2537" s="167">
        <v>2856.0</v>
      </c>
      <c r="T2537" s="167"/>
      <c r="U2537" s="334"/>
      <c r="V2537" s="168">
        <f t="shared" si="3"/>
        <v>23636.044</v>
      </c>
      <c r="W2537" s="168">
        <f t="shared" si="4"/>
        <v>0</v>
      </c>
      <c r="X2537" s="168">
        <f t="shared" si="5"/>
        <v>0</v>
      </c>
      <c r="Y2537" s="168">
        <f t="shared" si="6"/>
        <v>0</v>
      </c>
      <c r="Z2537" s="168">
        <f t="shared" si="7"/>
        <v>0</v>
      </c>
      <c r="AA2537" s="168">
        <f t="shared" si="8"/>
        <v>0</v>
      </c>
      <c r="AB2537" s="168">
        <f t="shared" si="9"/>
        <v>0</v>
      </c>
    </row>
    <row r="2538" ht="15.0" customHeight="1">
      <c r="A2538" s="157" t="s">
        <v>10047</v>
      </c>
      <c r="B2538" s="169" t="s">
        <v>17</v>
      </c>
      <c r="C2538" s="169" t="s">
        <v>5830</v>
      </c>
      <c r="D2538" s="317">
        <v>45341.0</v>
      </c>
      <c r="E2538" s="157" t="s">
        <v>600</v>
      </c>
      <c r="F2538" s="160">
        <v>30731.35</v>
      </c>
      <c r="G2538" s="160">
        <f>'FACUS$'!$F2538*0.16</f>
        <v>4917.016</v>
      </c>
      <c r="H2538" s="160">
        <f t="shared" si="68"/>
        <v>35648.366</v>
      </c>
      <c r="I2538" s="172"/>
      <c r="J2538" s="169"/>
      <c r="K2538" s="172"/>
      <c r="L2538" s="172">
        <f>+'FACUS$'!$H2538-'FACUS$'!$I2538-'FACUS$'!$K2538</f>
        <v>35648.366</v>
      </c>
      <c r="M2538" s="162" t="s">
        <v>17</v>
      </c>
      <c r="N2538" s="337" t="s">
        <v>554</v>
      </c>
      <c r="O2538" s="338">
        <v>45358.0</v>
      </c>
      <c r="P2538" s="164">
        <f t="array" ref="P2538">XLOOKUP('FACUS$'!$B2538,'perfil de pagos'!$A$4:$A$46,'perfil de pagos'!$C$4:$C$46+'FACUS$'!$D2538)</f>
        <v>45351</v>
      </c>
      <c r="Q2538" s="165">
        <f t="shared" si="66"/>
        <v>0</v>
      </c>
      <c r="R2538" s="167"/>
      <c r="S2538" s="167">
        <v>2849.0</v>
      </c>
      <c r="T2538" s="167"/>
      <c r="U2538" s="334"/>
      <c r="V2538" s="168">
        <f t="shared" si="3"/>
        <v>35648.366</v>
      </c>
      <c r="W2538" s="168">
        <f t="shared" si="4"/>
        <v>0</v>
      </c>
      <c r="X2538" s="168">
        <f t="shared" si="5"/>
        <v>0</v>
      </c>
      <c r="Y2538" s="168">
        <f t="shared" si="6"/>
        <v>0</v>
      </c>
      <c r="Z2538" s="168">
        <f t="shared" si="7"/>
        <v>0</v>
      </c>
      <c r="AA2538" s="168">
        <f t="shared" si="8"/>
        <v>0</v>
      </c>
      <c r="AB2538" s="168">
        <f t="shared" si="9"/>
        <v>0</v>
      </c>
    </row>
    <row r="2539" ht="15.0" customHeight="1">
      <c r="A2539" s="157" t="s">
        <v>10048</v>
      </c>
      <c r="B2539" s="169" t="s">
        <v>17</v>
      </c>
      <c r="C2539" s="169" t="s">
        <v>10043</v>
      </c>
      <c r="D2539" s="317">
        <v>45341.0</v>
      </c>
      <c r="E2539" s="157" t="s">
        <v>600</v>
      </c>
      <c r="F2539" s="160">
        <v>42008.35</v>
      </c>
      <c r="G2539" s="160">
        <f>'FACUS$'!$F2539*0.16</f>
        <v>6721.336</v>
      </c>
      <c r="H2539" s="160">
        <f t="shared" si="68"/>
        <v>48729.686</v>
      </c>
      <c r="I2539" s="172"/>
      <c r="J2539" s="169"/>
      <c r="K2539" s="172"/>
      <c r="L2539" s="172">
        <f>+'FACUS$'!$H2539-'FACUS$'!$I2539-'FACUS$'!$K2539</f>
        <v>48729.686</v>
      </c>
      <c r="M2539" s="162" t="s">
        <v>17</v>
      </c>
      <c r="N2539" s="337" t="s">
        <v>554</v>
      </c>
      <c r="O2539" s="338">
        <v>45358.0</v>
      </c>
      <c r="P2539" s="164">
        <f t="array" ref="P2539">XLOOKUP('FACUS$'!$B2539,'perfil de pagos'!$A$4:$A$46,'perfil de pagos'!$C$4:$C$46+'FACUS$'!$D2539)</f>
        <v>45351</v>
      </c>
      <c r="Q2539" s="165">
        <f t="shared" si="66"/>
        <v>0</v>
      </c>
      <c r="R2539" s="167"/>
      <c r="S2539" s="167">
        <v>2849.0</v>
      </c>
      <c r="T2539" s="167"/>
      <c r="U2539" s="334"/>
      <c r="V2539" s="168">
        <f t="shared" si="3"/>
        <v>48729.686</v>
      </c>
      <c r="W2539" s="168">
        <f t="shared" si="4"/>
        <v>0</v>
      </c>
      <c r="X2539" s="168">
        <f t="shared" si="5"/>
        <v>0</v>
      </c>
      <c r="Y2539" s="168">
        <f t="shared" si="6"/>
        <v>0</v>
      </c>
      <c r="Z2539" s="168">
        <f t="shared" si="7"/>
        <v>0</v>
      </c>
      <c r="AA2539" s="168">
        <f t="shared" si="8"/>
        <v>0</v>
      </c>
      <c r="AB2539" s="168">
        <f t="shared" si="9"/>
        <v>0</v>
      </c>
    </row>
    <row r="2540" ht="15.0" customHeight="1">
      <c r="A2540" s="157" t="s">
        <v>10049</v>
      </c>
      <c r="B2540" s="169" t="s">
        <v>42</v>
      </c>
      <c r="C2540" s="169" t="s">
        <v>10043</v>
      </c>
      <c r="D2540" s="317">
        <v>45341.0</v>
      </c>
      <c r="E2540" s="157" t="s">
        <v>600</v>
      </c>
      <c r="F2540" s="160">
        <v>6698.86</v>
      </c>
      <c r="G2540" s="160">
        <f>'FACUS$'!$F2540*0.16</f>
        <v>1071.8176</v>
      </c>
      <c r="H2540" s="160">
        <f t="shared" si="68"/>
        <v>7770.6776</v>
      </c>
      <c r="I2540" s="172"/>
      <c r="J2540" s="169"/>
      <c r="K2540" s="172"/>
      <c r="L2540" s="172">
        <f>+'FACUS$'!$H2540-'FACUS$'!$I2540-'FACUS$'!$K2540</f>
        <v>7770.6776</v>
      </c>
      <c r="M2540" s="162" t="s">
        <v>42</v>
      </c>
      <c r="N2540" s="337" t="s">
        <v>554</v>
      </c>
      <c r="O2540" s="338">
        <v>45365.0</v>
      </c>
      <c r="P2540" s="164">
        <f t="array" ref="P2540">XLOOKUP('FACUS$'!$B2540,'perfil de pagos'!$A$4:$A$46,'perfil de pagos'!$C$4:$C$46+'FACUS$'!$D2540)</f>
        <v>45351</v>
      </c>
      <c r="Q2540" s="165">
        <f t="shared" si="66"/>
        <v>0</v>
      </c>
      <c r="R2540" s="167"/>
      <c r="S2540" s="167">
        <v>2880.0</v>
      </c>
      <c r="T2540" s="167"/>
      <c r="U2540" s="334"/>
      <c r="V2540" s="168">
        <f t="shared" si="3"/>
        <v>7770.6776</v>
      </c>
      <c r="W2540" s="168">
        <f t="shared" si="4"/>
        <v>0</v>
      </c>
      <c r="X2540" s="168">
        <f t="shared" si="5"/>
        <v>0</v>
      </c>
      <c r="Y2540" s="168">
        <f t="shared" si="6"/>
        <v>0</v>
      </c>
      <c r="Z2540" s="168">
        <f t="shared" si="7"/>
        <v>0</v>
      </c>
      <c r="AA2540" s="168">
        <f t="shared" si="8"/>
        <v>0</v>
      </c>
      <c r="AB2540" s="168">
        <f t="shared" si="9"/>
        <v>0</v>
      </c>
    </row>
    <row r="2541" ht="15.0" customHeight="1">
      <c r="A2541" s="157" t="s">
        <v>10050</v>
      </c>
      <c r="B2541" s="169" t="s">
        <v>38</v>
      </c>
      <c r="C2541" s="169" t="s">
        <v>10043</v>
      </c>
      <c r="D2541" s="317">
        <v>45341.0</v>
      </c>
      <c r="E2541" s="157" t="s">
        <v>600</v>
      </c>
      <c r="F2541" s="160">
        <v>2249.58</v>
      </c>
      <c r="G2541" s="160">
        <f>'FACUS$'!$F2541*0.16</f>
        <v>359.9328</v>
      </c>
      <c r="H2541" s="160">
        <f t="shared" si="68"/>
        <v>2609.5128</v>
      </c>
      <c r="I2541" s="172"/>
      <c r="J2541" s="169"/>
      <c r="K2541" s="172"/>
      <c r="L2541" s="172">
        <f>+'FACUS$'!$H2541-'FACUS$'!$I2541-'FACUS$'!$K2541</f>
        <v>2609.5128</v>
      </c>
      <c r="M2541" s="162" t="s">
        <v>4654</v>
      </c>
      <c r="N2541" s="337" t="s">
        <v>554</v>
      </c>
      <c r="O2541" s="338">
        <v>45385.0</v>
      </c>
      <c r="P2541" s="164">
        <f t="array" ref="P2541">XLOOKUP('FACUS$'!$B2541,'perfil de pagos'!$A$4:$A$46,'perfil de pagos'!$C$4:$C$46+'FACUS$'!$D2541)</f>
        <v>45371</v>
      </c>
      <c r="Q2541" s="165">
        <f t="shared" si="66"/>
        <v>0</v>
      </c>
      <c r="R2541" s="167"/>
      <c r="S2541" s="167">
        <v>2906.0</v>
      </c>
      <c r="T2541" s="167"/>
      <c r="U2541" s="334"/>
      <c r="V2541" s="168">
        <f t="shared" si="3"/>
        <v>2609.5128</v>
      </c>
      <c r="W2541" s="168">
        <f t="shared" si="4"/>
        <v>0</v>
      </c>
      <c r="X2541" s="168">
        <f t="shared" si="5"/>
        <v>0</v>
      </c>
      <c r="Y2541" s="168">
        <f t="shared" si="6"/>
        <v>0</v>
      </c>
      <c r="Z2541" s="168">
        <f t="shared" si="7"/>
        <v>0</v>
      </c>
      <c r="AA2541" s="168">
        <f t="shared" si="8"/>
        <v>0</v>
      </c>
      <c r="AB2541" s="168">
        <f t="shared" si="9"/>
        <v>0</v>
      </c>
    </row>
    <row r="2542" ht="15.0" customHeight="1">
      <c r="A2542" s="157" t="s">
        <v>10051</v>
      </c>
      <c r="B2542" s="169" t="s">
        <v>18</v>
      </c>
      <c r="C2542" s="169" t="s">
        <v>10043</v>
      </c>
      <c r="D2542" s="317">
        <v>45344.0</v>
      </c>
      <c r="E2542" s="157" t="s">
        <v>600</v>
      </c>
      <c r="F2542" s="160">
        <v>5290.31</v>
      </c>
      <c r="G2542" s="160">
        <f>'FACUS$'!$F2542*0.16</f>
        <v>846.4496</v>
      </c>
      <c r="H2542" s="160">
        <f t="shared" si="68"/>
        <v>6136.7596</v>
      </c>
      <c r="I2542" s="172"/>
      <c r="J2542" s="169"/>
      <c r="K2542" s="172"/>
      <c r="L2542" s="172">
        <f>+'FACUS$'!$H2542-'FACUS$'!$I2542-'FACUS$'!$K2542</f>
        <v>6136.7596</v>
      </c>
      <c r="M2542" s="162" t="s">
        <v>586</v>
      </c>
      <c r="N2542" s="337" t="s">
        <v>554</v>
      </c>
      <c r="O2542" s="338">
        <v>45391.0</v>
      </c>
      <c r="P2542" s="164">
        <f t="array" ref="P2542">XLOOKUP('FACUS$'!$B2542,'perfil de pagos'!$A$4:$A$46,'perfil de pagos'!$C$4:$C$46+'FACUS$'!$D2542)</f>
        <v>45354</v>
      </c>
      <c r="Q2542" s="165">
        <f t="shared" si="66"/>
        <v>0</v>
      </c>
      <c r="R2542" s="167"/>
      <c r="S2542" s="167">
        <v>2926.0</v>
      </c>
      <c r="T2542" s="167"/>
      <c r="U2542" s="334"/>
      <c r="V2542" s="168">
        <f t="shared" si="3"/>
        <v>6136.7596</v>
      </c>
      <c r="W2542" s="168">
        <f t="shared" si="4"/>
        <v>0</v>
      </c>
      <c r="X2542" s="168">
        <f t="shared" si="5"/>
        <v>0</v>
      </c>
      <c r="Y2542" s="168">
        <f t="shared" si="6"/>
        <v>0</v>
      </c>
      <c r="Z2542" s="168">
        <f t="shared" si="7"/>
        <v>0</v>
      </c>
      <c r="AA2542" s="168">
        <f t="shared" si="8"/>
        <v>0</v>
      </c>
      <c r="AB2542" s="168">
        <f t="shared" si="9"/>
        <v>0</v>
      </c>
    </row>
    <row r="2543" ht="15.0" customHeight="1">
      <c r="A2543" s="157" t="s">
        <v>10052</v>
      </c>
      <c r="B2543" s="169" t="s">
        <v>20</v>
      </c>
      <c r="C2543" s="169" t="s">
        <v>10043</v>
      </c>
      <c r="D2543" s="317">
        <v>45344.0</v>
      </c>
      <c r="E2543" s="157" t="s">
        <v>600</v>
      </c>
      <c r="F2543" s="160">
        <v>11857.28</v>
      </c>
      <c r="G2543" s="160">
        <f>'FACUS$'!$F2543*0.16</f>
        <v>1897.1648</v>
      </c>
      <c r="H2543" s="160">
        <f t="shared" si="68"/>
        <v>13754.4448</v>
      </c>
      <c r="I2543" s="172"/>
      <c r="J2543" s="169"/>
      <c r="K2543" s="172"/>
      <c r="L2543" s="172">
        <f>+'FACUS$'!$H2543-'FACUS$'!$I2543-'FACUS$'!$K2543</f>
        <v>13754.4448</v>
      </c>
      <c r="M2543" s="162" t="s">
        <v>732</v>
      </c>
      <c r="N2543" s="337" t="s">
        <v>554</v>
      </c>
      <c r="O2543" s="338">
        <v>45371.0</v>
      </c>
      <c r="P2543" s="164">
        <f t="array" ref="P2543">XLOOKUP('FACUS$'!$B2543,'perfil de pagos'!$A$4:$A$46,'perfil de pagos'!$C$4:$C$46+'FACUS$'!$D2543)</f>
        <v>45354</v>
      </c>
      <c r="Q2543" s="165">
        <f t="shared" si="66"/>
        <v>0</v>
      </c>
      <c r="R2543" s="167"/>
      <c r="S2543" s="167">
        <v>2878.0</v>
      </c>
      <c r="T2543" s="167"/>
      <c r="U2543" s="334"/>
      <c r="V2543" s="168">
        <f t="shared" si="3"/>
        <v>13754.4448</v>
      </c>
      <c r="W2543" s="168">
        <f t="shared" si="4"/>
        <v>0</v>
      </c>
      <c r="X2543" s="168">
        <f t="shared" si="5"/>
        <v>0</v>
      </c>
      <c r="Y2543" s="168">
        <f t="shared" si="6"/>
        <v>0</v>
      </c>
      <c r="Z2543" s="168">
        <f t="shared" si="7"/>
        <v>0</v>
      </c>
      <c r="AA2543" s="168">
        <f t="shared" si="8"/>
        <v>0</v>
      </c>
      <c r="AB2543" s="168">
        <f t="shared" si="9"/>
        <v>0</v>
      </c>
    </row>
    <row r="2544" ht="15.0" customHeight="1">
      <c r="A2544" s="157" t="s">
        <v>10053</v>
      </c>
      <c r="B2544" s="169" t="s">
        <v>22</v>
      </c>
      <c r="C2544" s="169" t="s">
        <v>10043</v>
      </c>
      <c r="D2544" s="317">
        <v>45344.0</v>
      </c>
      <c r="E2544" s="157" t="s">
        <v>600</v>
      </c>
      <c r="F2544" s="160">
        <v>16868.9</v>
      </c>
      <c r="G2544" s="160">
        <f>'FACUS$'!$F2544*0.16</f>
        <v>2699.024</v>
      </c>
      <c r="H2544" s="160">
        <f t="shared" si="68"/>
        <v>19567.924</v>
      </c>
      <c r="I2544" s="172">
        <v>5785.28</v>
      </c>
      <c r="J2544" s="169"/>
      <c r="K2544" s="172"/>
      <c r="L2544" s="172">
        <f>+'FACUS$'!$H2544-'FACUS$'!$I2544-'FACUS$'!$K2544</f>
        <v>13782.644</v>
      </c>
      <c r="M2544" s="162" t="s">
        <v>220</v>
      </c>
      <c r="N2544" s="337" t="s">
        <v>554</v>
      </c>
      <c r="O2544" s="338">
        <v>45383.0</v>
      </c>
      <c r="P2544" s="164">
        <f t="array" ref="P2544">XLOOKUP('FACUS$'!$B2544,'perfil de pagos'!$A$4:$A$46,'perfil de pagos'!$C$4:$C$46+'FACUS$'!$D2544)</f>
        <v>45354</v>
      </c>
      <c r="Q2544" s="165">
        <f t="shared" si="66"/>
        <v>0</v>
      </c>
      <c r="R2544" s="220" t="s">
        <v>10054</v>
      </c>
      <c r="S2544" s="220" t="s">
        <v>10055</v>
      </c>
      <c r="T2544" s="167"/>
      <c r="U2544" s="334"/>
      <c r="V2544" s="168">
        <f t="shared" si="3"/>
        <v>13782.644</v>
      </c>
      <c r="W2544" s="168">
        <f t="shared" si="4"/>
        <v>0</v>
      </c>
      <c r="X2544" s="168">
        <f t="shared" si="5"/>
        <v>0</v>
      </c>
      <c r="Y2544" s="168">
        <f t="shared" si="6"/>
        <v>0</v>
      </c>
      <c r="Z2544" s="168">
        <f t="shared" si="7"/>
        <v>0</v>
      </c>
      <c r="AA2544" s="168">
        <f t="shared" si="8"/>
        <v>0</v>
      </c>
      <c r="AB2544" s="168">
        <f t="shared" si="9"/>
        <v>0</v>
      </c>
    </row>
    <row r="2545" ht="15.0" customHeight="1">
      <c r="A2545" s="157" t="s">
        <v>10056</v>
      </c>
      <c r="B2545" s="169" t="s">
        <v>25</v>
      </c>
      <c r="C2545" s="169" t="s">
        <v>10043</v>
      </c>
      <c r="D2545" s="317">
        <v>45344.0</v>
      </c>
      <c r="E2545" s="157" t="s">
        <v>600</v>
      </c>
      <c r="F2545" s="160">
        <v>4803.83</v>
      </c>
      <c r="G2545" s="160">
        <f>'FACUS$'!$F2545*0.16</f>
        <v>768.6128</v>
      </c>
      <c r="H2545" s="160">
        <f t="shared" si="68"/>
        <v>5572.4428</v>
      </c>
      <c r="I2545" s="172"/>
      <c r="J2545" s="169"/>
      <c r="K2545" s="172"/>
      <c r="L2545" s="172">
        <f>+'FACUS$'!$H2545-'FACUS$'!$I2545-'FACUS$'!$K2545</f>
        <v>5572.4428</v>
      </c>
      <c r="M2545" s="162" t="s">
        <v>4388</v>
      </c>
      <c r="N2545" s="337" t="s">
        <v>554</v>
      </c>
      <c r="O2545" s="338">
        <v>45371.0</v>
      </c>
      <c r="P2545" s="164">
        <f t="array" ref="P2545">XLOOKUP('FACUS$'!$B2545,'perfil de pagos'!$A$4:$A$46,'perfil de pagos'!$C$4:$C$46+'FACUS$'!$D2545)</f>
        <v>45354</v>
      </c>
      <c r="Q2545" s="165">
        <f t="shared" si="66"/>
        <v>0</v>
      </c>
      <c r="R2545" s="167"/>
      <c r="S2545" s="167">
        <v>2877.0</v>
      </c>
      <c r="T2545" s="167"/>
      <c r="U2545" s="334"/>
      <c r="V2545" s="168">
        <f t="shared" si="3"/>
        <v>5572.4428</v>
      </c>
      <c r="W2545" s="168">
        <f t="shared" si="4"/>
        <v>0</v>
      </c>
      <c r="X2545" s="168">
        <f t="shared" si="5"/>
        <v>0</v>
      </c>
      <c r="Y2545" s="168">
        <f t="shared" si="6"/>
        <v>0</v>
      </c>
      <c r="Z2545" s="168">
        <f t="shared" si="7"/>
        <v>0</v>
      </c>
      <c r="AA2545" s="168">
        <f t="shared" si="8"/>
        <v>0</v>
      </c>
      <c r="AB2545" s="168">
        <f t="shared" si="9"/>
        <v>0</v>
      </c>
    </row>
    <row r="2546" ht="15.0" customHeight="1">
      <c r="A2546" s="157" t="s">
        <v>10057</v>
      </c>
      <c r="B2546" s="169" t="s">
        <v>37</v>
      </c>
      <c r="C2546" s="169" t="s">
        <v>10043</v>
      </c>
      <c r="D2546" s="317">
        <v>45344.0</v>
      </c>
      <c r="E2546" s="157" t="s">
        <v>600</v>
      </c>
      <c r="F2546" s="160">
        <v>85915.0</v>
      </c>
      <c r="G2546" s="160">
        <f>'FACUS$'!$F2546*0.16</f>
        <v>13746.4</v>
      </c>
      <c r="H2546" s="160">
        <f t="shared" si="68"/>
        <v>99661.4</v>
      </c>
      <c r="I2546" s="172"/>
      <c r="J2546" s="169"/>
      <c r="K2546" s="172"/>
      <c r="L2546" s="172">
        <f>+'FACUS$'!$H2546-'FACUS$'!$I2546-'FACUS$'!$K2546</f>
        <v>99661.4</v>
      </c>
      <c r="M2546" s="162" t="s">
        <v>116</v>
      </c>
      <c r="N2546" s="337" t="s">
        <v>554</v>
      </c>
      <c r="O2546" s="338">
        <v>45355.0</v>
      </c>
      <c r="P2546" s="164">
        <f t="array" ref="P2546">XLOOKUP('FACUS$'!$B2546,'perfil de pagos'!$A$4:$A$46,'perfil de pagos'!$C$4:$C$46+'FACUS$'!$D2546)</f>
        <v>45354</v>
      </c>
      <c r="Q2546" s="165">
        <f t="shared" si="66"/>
        <v>0</v>
      </c>
      <c r="R2546" s="167"/>
      <c r="S2546" s="167">
        <v>2838.0</v>
      </c>
      <c r="T2546" s="167"/>
      <c r="U2546" s="334"/>
      <c r="V2546" s="168">
        <f t="shared" si="3"/>
        <v>99661.4</v>
      </c>
      <c r="W2546" s="168">
        <f t="shared" si="4"/>
        <v>0</v>
      </c>
      <c r="X2546" s="168">
        <f t="shared" si="5"/>
        <v>0</v>
      </c>
      <c r="Y2546" s="168">
        <f t="shared" si="6"/>
        <v>0</v>
      </c>
      <c r="Z2546" s="168">
        <f t="shared" si="7"/>
        <v>0</v>
      </c>
      <c r="AA2546" s="168">
        <f t="shared" si="8"/>
        <v>0</v>
      </c>
      <c r="AB2546" s="168">
        <f t="shared" si="9"/>
        <v>0</v>
      </c>
    </row>
    <row r="2547" ht="15.0" customHeight="1">
      <c r="A2547" s="157" t="s">
        <v>10058</v>
      </c>
      <c r="B2547" s="169" t="s">
        <v>38</v>
      </c>
      <c r="C2547" s="169" t="s">
        <v>10043</v>
      </c>
      <c r="D2547" s="317">
        <v>45348.0</v>
      </c>
      <c r="E2547" s="157" t="s">
        <v>600</v>
      </c>
      <c r="F2547" s="160">
        <v>9259.61</v>
      </c>
      <c r="G2547" s="160">
        <f>'FACUS$'!$F2547*0.16</f>
        <v>1481.5376</v>
      </c>
      <c r="H2547" s="160">
        <f t="shared" si="68"/>
        <v>10741.1476</v>
      </c>
      <c r="I2547" s="172"/>
      <c r="J2547" s="169"/>
      <c r="K2547" s="172"/>
      <c r="L2547" s="172">
        <f>+'FACUS$'!$H2547-'FACUS$'!$I2547-'FACUS$'!$K2547</f>
        <v>10741.1476</v>
      </c>
      <c r="M2547" s="162" t="s">
        <v>145</v>
      </c>
      <c r="N2547" s="337" t="s">
        <v>554</v>
      </c>
      <c r="O2547" s="338">
        <v>45385.0</v>
      </c>
      <c r="P2547" s="164">
        <f t="array" ref="P2547">XLOOKUP('FACUS$'!$B2547,'perfil de pagos'!$A$4:$A$46,'perfil de pagos'!$C$4:$C$46+'FACUS$'!$D2547)</f>
        <v>45378</v>
      </c>
      <c r="Q2547" s="165">
        <f t="shared" si="66"/>
        <v>0</v>
      </c>
      <c r="R2547" s="167"/>
      <c r="S2547" s="167">
        <v>2906.0</v>
      </c>
      <c r="T2547" s="167"/>
      <c r="U2547" s="334"/>
      <c r="V2547" s="168">
        <f t="shared" si="3"/>
        <v>10741.1476</v>
      </c>
      <c r="W2547" s="168">
        <f t="shared" si="4"/>
        <v>0</v>
      </c>
      <c r="X2547" s="168">
        <f t="shared" si="5"/>
        <v>0</v>
      </c>
      <c r="Y2547" s="168">
        <f t="shared" si="6"/>
        <v>0</v>
      </c>
      <c r="Z2547" s="168">
        <f t="shared" si="7"/>
        <v>0</v>
      </c>
      <c r="AA2547" s="168">
        <f t="shared" si="8"/>
        <v>0</v>
      </c>
      <c r="AB2547" s="168">
        <f t="shared" si="9"/>
        <v>0</v>
      </c>
    </row>
    <row r="2548" ht="15.0" customHeight="1">
      <c r="A2548" s="157" t="s">
        <v>10059</v>
      </c>
      <c r="B2548" s="169" t="s">
        <v>38</v>
      </c>
      <c r="C2548" s="169" t="s">
        <v>10043</v>
      </c>
      <c r="D2548" s="317">
        <v>45348.0</v>
      </c>
      <c r="E2548" s="157" t="s">
        <v>600</v>
      </c>
      <c r="F2548" s="160">
        <v>4680.29</v>
      </c>
      <c r="G2548" s="160">
        <f>'FACUS$'!$F2548*0.16</f>
        <v>748.8464</v>
      </c>
      <c r="H2548" s="160">
        <f t="shared" si="68"/>
        <v>5429.1364</v>
      </c>
      <c r="I2548" s="172"/>
      <c r="J2548" s="169"/>
      <c r="K2548" s="172"/>
      <c r="L2548" s="172">
        <f>+'FACUS$'!$H2548-'FACUS$'!$I2548-'FACUS$'!$K2548</f>
        <v>5429.1364</v>
      </c>
      <c r="M2548" s="162" t="s">
        <v>642</v>
      </c>
      <c r="N2548" s="337" t="s">
        <v>554</v>
      </c>
      <c r="O2548" s="338">
        <v>45385.0</v>
      </c>
      <c r="P2548" s="164">
        <f t="array" ref="P2548">XLOOKUP('FACUS$'!$B2548,'perfil de pagos'!$A$4:$A$46,'perfil de pagos'!$C$4:$C$46+'FACUS$'!$D2548)</f>
        <v>45378</v>
      </c>
      <c r="Q2548" s="165">
        <f t="shared" si="66"/>
        <v>0</v>
      </c>
      <c r="R2548" s="167"/>
      <c r="S2548" s="167">
        <v>2906.0</v>
      </c>
      <c r="T2548" s="167"/>
      <c r="U2548" s="334"/>
      <c r="V2548" s="168">
        <f t="shared" si="3"/>
        <v>5429.1364</v>
      </c>
      <c r="W2548" s="168">
        <f t="shared" si="4"/>
        <v>0</v>
      </c>
      <c r="X2548" s="168">
        <f t="shared" si="5"/>
        <v>0</v>
      </c>
      <c r="Y2548" s="168">
        <f t="shared" si="6"/>
        <v>0</v>
      </c>
      <c r="Z2548" s="168">
        <f t="shared" si="7"/>
        <v>0</v>
      </c>
      <c r="AA2548" s="168">
        <f t="shared" si="8"/>
        <v>0</v>
      </c>
      <c r="AB2548" s="168">
        <f t="shared" si="9"/>
        <v>0</v>
      </c>
    </row>
    <row r="2549" ht="15.0" customHeight="1">
      <c r="A2549" s="157" t="s">
        <v>10060</v>
      </c>
      <c r="B2549" s="169" t="s">
        <v>44</v>
      </c>
      <c r="C2549" s="169" t="s">
        <v>10043</v>
      </c>
      <c r="D2549" s="317">
        <v>45351.0</v>
      </c>
      <c r="E2549" s="157" t="s">
        <v>600</v>
      </c>
      <c r="F2549" s="160">
        <v>17334.04</v>
      </c>
      <c r="G2549" s="160">
        <f>'FACUS$'!$F2549*0.16</f>
        <v>2773.4464</v>
      </c>
      <c r="H2549" s="160">
        <f t="shared" si="68"/>
        <v>20107.4864</v>
      </c>
      <c r="I2549" s="172"/>
      <c r="J2549" s="169"/>
      <c r="K2549" s="172"/>
      <c r="L2549" s="172">
        <f>+'FACUS$'!$H2549-'FACUS$'!$I2549-'FACUS$'!$K2549</f>
        <v>20107.4864</v>
      </c>
      <c r="M2549" s="162" t="s">
        <v>361</v>
      </c>
      <c r="N2549" s="337" t="s">
        <v>554</v>
      </c>
      <c r="O2549" s="338">
        <v>45359.0</v>
      </c>
      <c r="P2549" s="164">
        <f t="array" ref="P2549">XLOOKUP('FACUS$'!$B2549,'perfil de pagos'!$A$4:$A$46,'perfil de pagos'!$C$4:$C$46+'FACUS$'!$D2549)</f>
        <v>45361</v>
      </c>
      <c r="Q2549" s="165">
        <f t="shared" si="66"/>
        <v>0</v>
      </c>
      <c r="R2549" s="167"/>
      <c r="S2549" s="167">
        <v>2851.0</v>
      </c>
      <c r="T2549" s="167"/>
      <c r="U2549" s="334"/>
      <c r="V2549" s="168">
        <f t="shared" si="3"/>
        <v>20107.4864</v>
      </c>
      <c r="W2549" s="168">
        <f t="shared" si="4"/>
        <v>0</v>
      </c>
      <c r="X2549" s="168">
        <f t="shared" si="5"/>
        <v>0</v>
      </c>
      <c r="Y2549" s="168">
        <f t="shared" si="6"/>
        <v>0</v>
      </c>
      <c r="Z2549" s="168">
        <f t="shared" si="7"/>
        <v>0</v>
      </c>
      <c r="AA2549" s="168">
        <f t="shared" si="8"/>
        <v>0</v>
      </c>
      <c r="AB2549" s="168">
        <f t="shared" si="9"/>
        <v>0</v>
      </c>
    </row>
    <row r="2550" ht="15.0" customHeight="1">
      <c r="A2550" s="310" t="s">
        <v>10061</v>
      </c>
      <c r="B2550" s="158" t="s">
        <v>41</v>
      </c>
      <c r="C2550" s="158" t="s">
        <v>10062</v>
      </c>
      <c r="D2550" s="403">
        <v>45355.0</v>
      </c>
      <c r="E2550" s="310" t="s">
        <v>600</v>
      </c>
      <c r="F2550" s="312">
        <v>69713.88</v>
      </c>
      <c r="G2550" s="312">
        <f>'FACUS$'!$F2550*0.16</f>
        <v>11154.2208</v>
      </c>
      <c r="H2550" s="312">
        <f t="shared" si="68"/>
        <v>80868.1008</v>
      </c>
      <c r="I2550" s="404"/>
      <c r="J2550" s="158"/>
      <c r="K2550" s="404"/>
      <c r="L2550" s="404">
        <f>+'FACUS$'!$H2550-'FACUS$'!$I2550-'FACUS$'!$K2550</f>
        <v>80868.1008</v>
      </c>
      <c r="M2550" s="202" t="s">
        <v>875</v>
      </c>
      <c r="N2550" s="405" t="s">
        <v>554</v>
      </c>
      <c r="O2550" s="335">
        <v>45432.0</v>
      </c>
      <c r="P2550" s="163">
        <f t="array" ref="P2550">XLOOKUP('FACUS$'!$B2550,'perfil de pagos'!$A$4:$A$46,'perfil de pagos'!$C$4:$C$46+'FACUS$'!$D2550)</f>
        <v>45365</v>
      </c>
      <c r="Q2550" s="314">
        <f t="shared" si="66"/>
        <v>0</v>
      </c>
      <c r="R2550" s="166"/>
      <c r="S2550" s="166"/>
      <c r="T2550" s="166"/>
      <c r="U2550" s="406"/>
      <c r="V2550" s="187">
        <f t="shared" si="3"/>
        <v>80868.1008</v>
      </c>
      <c r="W2550" s="187">
        <f t="shared" si="4"/>
        <v>0</v>
      </c>
      <c r="X2550" s="187">
        <f t="shared" si="5"/>
        <v>0</v>
      </c>
      <c r="Y2550" s="187">
        <f t="shared" si="6"/>
        <v>0</v>
      </c>
      <c r="Z2550" s="187">
        <f t="shared" si="7"/>
        <v>0</v>
      </c>
      <c r="AA2550" s="187">
        <f t="shared" si="8"/>
        <v>0</v>
      </c>
      <c r="AB2550" s="187">
        <f t="shared" si="9"/>
        <v>0</v>
      </c>
      <c r="AC2550" s="12"/>
      <c r="AD2550" s="12"/>
      <c r="AE2550" s="12"/>
    </row>
    <row r="2551" ht="15.0" customHeight="1">
      <c r="A2551" s="299" t="s">
        <v>10063</v>
      </c>
      <c r="B2551" s="300" t="s">
        <v>34</v>
      </c>
      <c r="C2551" s="300" t="s">
        <v>10064</v>
      </c>
      <c r="D2551" s="407">
        <v>45355.0</v>
      </c>
      <c r="E2551" s="299" t="s">
        <v>600</v>
      </c>
      <c r="F2551" s="302">
        <v>27612.58</v>
      </c>
      <c r="G2551" s="302">
        <f>'FACUS$'!$F2551*0.16</f>
        <v>4418.0128</v>
      </c>
      <c r="H2551" s="302">
        <f t="shared" si="68"/>
        <v>32030.5928</v>
      </c>
      <c r="I2551" s="408"/>
      <c r="J2551" s="300"/>
      <c r="K2551" s="408"/>
      <c r="L2551" s="408">
        <f>+'FACUS$'!$H2551-'FACUS$'!$I2551-'FACUS$'!$K2551</f>
        <v>32030.5928</v>
      </c>
      <c r="M2551" s="305" t="s">
        <v>538</v>
      </c>
      <c r="N2551" s="409" t="s">
        <v>127</v>
      </c>
      <c r="O2551" s="410"/>
      <c r="P2551" s="306">
        <f t="array" ref="P2551">XLOOKUP('FACUS$'!$B2551,'perfil de pagos'!$A$4:$A$46,'perfil de pagos'!$C$4:$C$46+'FACUS$'!$D2551)</f>
        <v>45365</v>
      </c>
      <c r="Q2551" s="307" t="str">
        <f t="shared" si="66"/>
        <v>N/A</v>
      </c>
      <c r="R2551" s="308"/>
      <c r="S2551" s="308"/>
      <c r="T2551" s="308"/>
      <c r="U2551" s="411"/>
      <c r="V2551" s="309">
        <f t="shared" si="3"/>
        <v>0</v>
      </c>
      <c r="W2551" s="309">
        <f t="shared" si="4"/>
        <v>0</v>
      </c>
      <c r="X2551" s="309">
        <f t="shared" si="5"/>
        <v>0</v>
      </c>
      <c r="Y2551" s="309">
        <f t="shared" si="6"/>
        <v>0</v>
      </c>
      <c r="Z2551" s="309">
        <f t="shared" si="7"/>
        <v>0</v>
      </c>
      <c r="AA2551" s="309">
        <f t="shared" si="8"/>
        <v>0</v>
      </c>
      <c r="AB2551" s="309">
        <f t="shared" si="9"/>
        <v>32030.5928</v>
      </c>
      <c r="AC2551" s="12"/>
      <c r="AD2551" s="12"/>
      <c r="AE2551" s="12"/>
    </row>
    <row r="2552" ht="15.0" customHeight="1">
      <c r="A2552" s="157" t="s">
        <v>10065</v>
      </c>
      <c r="B2552" s="169" t="s">
        <v>34</v>
      </c>
      <c r="C2552" s="169" t="s">
        <v>10062</v>
      </c>
      <c r="D2552" s="317">
        <v>45355.0</v>
      </c>
      <c r="E2552" s="157" t="s">
        <v>600</v>
      </c>
      <c r="F2552" s="160">
        <v>29964.67</v>
      </c>
      <c r="G2552" s="160">
        <f>'FACUS$'!$F2552*0.16</f>
        <v>4794.3472</v>
      </c>
      <c r="H2552" s="160">
        <f t="shared" si="68"/>
        <v>34759.0172</v>
      </c>
      <c r="I2552" s="172"/>
      <c r="J2552" s="169"/>
      <c r="K2552" s="172"/>
      <c r="L2552" s="172">
        <f>+'FACUS$'!$H2552-'FACUS$'!$I2552-'FACUS$'!$K2552</f>
        <v>34759.0172</v>
      </c>
      <c r="M2552" s="162" t="s">
        <v>538</v>
      </c>
      <c r="N2552" s="337" t="s">
        <v>554</v>
      </c>
      <c r="O2552" s="338">
        <v>45383.0</v>
      </c>
      <c r="P2552" s="164">
        <f t="array" ref="P2552">XLOOKUP('FACUS$'!$B2552,'perfil de pagos'!$A$4:$A$46,'perfil de pagos'!$C$4:$C$46+'FACUS$'!$D2552)</f>
        <v>45365</v>
      </c>
      <c r="Q2552" s="165">
        <f t="shared" si="66"/>
        <v>0</v>
      </c>
      <c r="R2552" s="167"/>
      <c r="S2552" s="167">
        <v>2911.0</v>
      </c>
      <c r="T2552" s="167"/>
      <c r="U2552" s="334"/>
      <c r="V2552" s="168">
        <f t="shared" si="3"/>
        <v>34759.0172</v>
      </c>
      <c r="W2552" s="168">
        <f t="shared" si="4"/>
        <v>0</v>
      </c>
      <c r="X2552" s="168">
        <f t="shared" si="5"/>
        <v>0</v>
      </c>
      <c r="Y2552" s="168">
        <f t="shared" si="6"/>
        <v>0</v>
      </c>
      <c r="Z2552" s="168">
        <f t="shared" si="7"/>
        <v>0</v>
      </c>
      <c r="AA2552" s="168">
        <f t="shared" si="8"/>
        <v>0</v>
      </c>
      <c r="AB2552" s="168">
        <f t="shared" si="9"/>
        <v>0</v>
      </c>
    </row>
    <row r="2553" ht="15.0" customHeight="1">
      <c r="A2553" s="299" t="s">
        <v>10066</v>
      </c>
      <c r="B2553" s="300" t="s">
        <v>17</v>
      </c>
      <c r="C2553" s="300" t="s">
        <v>10064</v>
      </c>
      <c r="D2553" s="407">
        <v>45355.0</v>
      </c>
      <c r="E2553" s="299" t="s">
        <v>600</v>
      </c>
      <c r="F2553" s="302">
        <v>23371.75</v>
      </c>
      <c r="G2553" s="302">
        <f>'FACUS$'!$F2553*0.16</f>
        <v>3739.48</v>
      </c>
      <c r="H2553" s="302">
        <f t="shared" si="68"/>
        <v>27111.23</v>
      </c>
      <c r="I2553" s="408"/>
      <c r="J2553" s="300"/>
      <c r="K2553" s="408"/>
      <c r="L2553" s="408">
        <f>+'FACUS$'!$H2553-'FACUS$'!$I2553-'FACUS$'!$K2553</f>
        <v>27111.23</v>
      </c>
      <c r="M2553" s="305" t="s">
        <v>17</v>
      </c>
      <c r="N2553" s="409" t="s">
        <v>127</v>
      </c>
      <c r="O2553" s="410"/>
      <c r="P2553" s="306">
        <f t="array" ref="P2553">XLOOKUP('FACUS$'!$B2553,'perfil de pagos'!$A$4:$A$46,'perfil de pagos'!$C$4:$C$46+'FACUS$'!$D2553)</f>
        <v>45365</v>
      </c>
      <c r="Q2553" s="307" t="str">
        <f t="shared" si="66"/>
        <v>N/A</v>
      </c>
      <c r="R2553" s="308"/>
      <c r="S2553" s="308"/>
      <c r="T2553" s="308"/>
      <c r="U2553" s="411"/>
      <c r="V2553" s="309">
        <f t="shared" si="3"/>
        <v>0</v>
      </c>
      <c r="W2553" s="309">
        <f t="shared" si="4"/>
        <v>0</v>
      </c>
      <c r="X2553" s="309">
        <f t="shared" si="5"/>
        <v>0</v>
      </c>
      <c r="Y2553" s="309">
        <f t="shared" si="6"/>
        <v>0</v>
      </c>
      <c r="Z2553" s="309">
        <f t="shared" si="7"/>
        <v>0</v>
      </c>
      <c r="AA2553" s="309">
        <f t="shared" si="8"/>
        <v>0</v>
      </c>
      <c r="AB2553" s="309">
        <f t="shared" si="9"/>
        <v>27111.23</v>
      </c>
    </row>
    <row r="2554" ht="15.0" customHeight="1">
      <c r="A2554" s="157" t="s">
        <v>10067</v>
      </c>
      <c r="B2554" s="169" t="s">
        <v>17</v>
      </c>
      <c r="C2554" s="169" t="s">
        <v>10062</v>
      </c>
      <c r="D2554" s="317">
        <v>45355.0</v>
      </c>
      <c r="E2554" s="157" t="s">
        <v>600</v>
      </c>
      <c r="F2554" s="160">
        <v>33882.28</v>
      </c>
      <c r="G2554" s="160">
        <f>'FACUS$'!$F2554*0.16</f>
        <v>5421.1648</v>
      </c>
      <c r="H2554" s="160">
        <f t="shared" si="68"/>
        <v>39303.4448</v>
      </c>
      <c r="I2554" s="172"/>
      <c r="J2554" s="169"/>
      <c r="K2554" s="172"/>
      <c r="L2554" s="172">
        <f>+'FACUS$'!$H2554-'FACUS$'!$I2554-'FACUS$'!$K2554</f>
        <v>39303.4448</v>
      </c>
      <c r="M2554" s="162" t="s">
        <v>17</v>
      </c>
      <c r="N2554" s="337" t="s">
        <v>554</v>
      </c>
      <c r="O2554" s="338">
        <v>45372.0</v>
      </c>
      <c r="P2554" s="164">
        <f t="array" ref="P2554">XLOOKUP('FACUS$'!$B2554,'perfil de pagos'!$A$4:$A$46,'perfil de pagos'!$C$4:$C$46+'FACUS$'!$D2554)</f>
        <v>45365</v>
      </c>
      <c r="Q2554" s="165">
        <f t="shared" si="66"/>
        <v>0</v>
      </c>
      <c r="R2554" s="167"/>
      <c r="S2554" s="167">
        <v>2880.0</v>
      </c>
      <c r="T2554" s="167"/>
      <c r="U2554" s="334"/>
      <c r="V2554" s="168">
        <f t="shared" si="3"/>
        <v>39303.4448</v>
      </c>
      <c r="W2554" s="168">
        <f t="shared" si="4"/>
        <v>0</v>
      </c>
      <c r="X2554" s="168">
        <f t="shared" si="5"/>
        <v>0</v>
      </c>
      <c r="Y2554" s="168">
        <f t="shared" si="6"/>
        <v>0</v>
      </c>
      <c r="Z2554" s="168">
        <f t="shared" si="7"/>
        <v>0</v>
      </c>
      <c r="AA2554" s="168">
        <f t="shared" si="8"/>
        <v>0</v>
      </c>
      <c r="AB2554" s="168">
        <f t="shared" si="9"/>
        <v>0</v>
      </c>
    </row>
    <row r="2555" ht="15.0" customHeight="1">
      <c r="A2555" s="157" t="s">
        <v>10068</v>
      </c>
      <c r="B2555" s="169" t="s">
        <v>42</v>
      </c>
      <c r="C2555" s="169" t="s">
        <v>10062</v>
      </c>
      <c r="D2555" s="317">
        <v>45355.0</v>
      </c>
      <c r="E2555" s="157" t="s">
        <v>600</v>
      </c>
      <c r="F2555" s="160">
        <v>7866.12</v>
      </c>
      <c r="G2555" s="160">
        <f>'FACUS$'!$F2555*0.16</f>
        <v>1258.5792</v>
      </c>
      <c r="H2555" s="160">
        <f t="shared" si="68"/>
        <v>9124.6992</v>
      </c>
      <c r="I2555" s="172"/>
      <c r="J2555" s="169"/>
      <c r="K2555" s="172"/>
      <c r="L2555" s="172">
        <f>+'FACUS$'!$H2555-'FACUS$'!$I2555-'FACUS$'!$K2555</f>
        <v>9124.6992</v>
      </c>
      <c r="M2555" s="162" t="s">
        <v>42</v>
      </c>
      <c r="N2555" s="337" t="s">
        <v>554</v>
      </c>
      <c r="O2555" s="338">
        <v>45378.0</v>
      </c>
      <c r="P2555" s="164">
        <f t="array" ref="P2555">XLOOKUP('FACUS$'!$B2555,'perfil de pagos'!$A$4:$A$46,'perfil de pagos'!$C$4:$C$46+'FACUS$'!$D2555)</f>
        <v>45365</v>
      </c>
      <c r="Q2555" s="165">
        <f t="shared" si="66"/>
        <v>0</v>
      </c>
      <c r="R2555" s="167"/>
      <c r="S2555" s="167">
        <v>2899.0</v>
      </c>
      <c r="T2555" s="167"/>
      <c r="U2555" s="334"/>
      <c r="V2555" s="168">
        <f t="shared" si="3"/>
        <v>9124.6992</v>
      </c>
      <c r="W2555" s="168">
        <f t="shared" si="4"/>
        <v>0</v>
      </c>
      <c r="X2555" s="168">
        <f t="shared" si="5"/>
        <v>0</v>
      </c>
      <c r="Y2555" s="168">
        <f t="shared" si="6"/>
        <v>0</v>
      </c>
      <c r="Z2555" s="168">
        <f t="shared" si="7"/>
        <v>0</v>
      </c>
      <c r="AA2555" s="168">
        <f t="shared" si="8"/>
        <v>0</v>
      </c>
      <c r="AB2555" s="168">
        <f t="shared" si="9"/>
        <v>0</v>
      </c>
    </row>
    <row r="2556" ht="15.0" customHeight="1">
      <c r="A2556" s="157" t="s">
        <v>10069</v>
      </c>
      <c r="B2556" s="169" t="s">
        <v>38</v>
      </c>
      <c r="C2556" s="169" t="s">
        <v>10062</v>
      </c>
      <c r="D2556" s="317">
        <v>45355.0</v>
      </c>
      <c r="E2556" s="157" t="s">
        <v>600</v>
      </c>
      <c r="F2556" s="160">
        <v>2226.01</v>
      </c>
      <c r="G2556" s="160">
        <f>'FACUS$'!$F2556*0.16</f>
        <v>356.1616</v>
      </c>
      <c r="H2556" s="160">
        <f t="shared" si="68"/>
        <v>2582.1716</v>
      </c>
      <c r="I2556" s="172"/>
      <c r="J2556" s="169"/>
      <c r="K2556" s="172"/>
      <c r="L2556" s="172">
        <f>+'FACUS$'!$H2556-'FACUS$'!$I2556-'FACUS$'!$K2556</f>
        <v>2582.1716</v>
      </c>
      <c r="M2556" s="162" t="s">
        <v>4654</v>
      </c>
      <c r="N2556" s="337" t="s">
        <v>554</v>
      </c>
      <c r="O2556" s="338">
        <v>45406.0</v>
      </c>
      <c r="P2556" s="164">
        <f t="array" ref="P2556">XLOOKUP('FACUS$'!$B2556,'perfil de pagos'!$A$4:$A$46,'perfil de pagos'!$C$4:$C$46+'FACUS$'!$D2556)</f>
        <v>45385</v>
      </c>
      <c r="Q2556" s="165">
        <f t="shared" si="66"/>
        <v>0</v>
      </c>
      <c r="R2556" s="167"/>
      <c r="S2556" s="167">
        <v>2956.0</v>
      </c>
      <c r="T2556" s="167"/>
      <c r="U2556" s="334"/>
      <c r="V2556" s="168">
        <f t="shared" si="3"/>
        <v>2582.1716</v>
      </c>
      <c r="W2556" s="168">
        <f t="shared" si="4"/>
        <v>0</v>
      </c>
      <c r="X2556" s="168">
        <f t="shared" si="5"/>
        <v>0</v>
      </c>
      <c r="Y2556" s="168">
        <f t="shared" si="6"/>
        <v>0</v>
      </c>
      <c r="Z2556" s="168">
        <f t="shared" si="7"/>
        <v>0</v>
      </c>
      <c r="AA2556" s="168">
        <f t="shared" si="8"/>
        <v>0</v>
      </c>
      <c r="AB2556" s="168">
        <f t="shared" si="9"/>
        <v>0</v>
      </c>
    </row>
    <row r="2557" ht="15.0" customHeight="1">
      <c r="A2557" s="157" t="s">
        <v>10070</v>
      </c>
      <c r="B2557" s="169" t="s">
        <v>44</v>
      </c>
      <c r="C2557" s="169" t="s">
        <v>10062</v>
      </c>
      <c r="D2557" s="317">
        <v>45355.0</v>
      </c>
      <c r="E2557" s="157" t="s">
        <v>600</v>
      </c>
      <c r="F2557" s="160">
        <v>15681.93</v>
      </c>
      <c r="G2557" s="160">
        <f>'FACUS$'!$F2557*0.16</f>
        <v>2509.1088</v>
      </c>
      <c r="H2557" s="160">
        <f t="shared" si="68"/>
        <v>18191.0388</v>
      </c>
      <c r="I2557" s="172"/>
      <c r="J2557" s="169"/>
      <c r="K2557" s="172"/>
      <c r="L2557" s="172">
        <f>+'FACUS$'!$H2557-'FACUS$'!$I2557-'FACUS$'!$K2557</f>
        <v>18191.0388</v>
      </c>
      <c r="M2557" s="162" t="s">
        <v>361</v>
      </c>
      <c r="N2557" s="337" t="s">
        <v>554</v>
      </c>
      <c r="O2557" s="338">
        <v>45373.0</v>
      </c>
      <c r="P2557" s="164">
        <f t="array" ref="P2557">XLOOKUP('FACUS$'!$B2557,'perfil de pagos'!$A$4:$A$46,'perfil de pagos'!$C$4:$C$46+'FACUS$'!$D2557)</f>
        <v>45365</v>
      </c>
      <c r="Q2557" s="165">
        <f t="shared" si="66"/>
        <v>0</v>
      </c>
      <c r="R2557" s="167"/>
      <c r="S2557" s="167">
        <v>2882.0</v>
      </c>
      <c r="T2557" s="167"/>
      <c r="U2557" s="334"/>
      <c r="V2557" s="168">
        <f t="shared" si="3"/>
        <v>18191.0388</v>
      </c>
      <c r="W2557" s="168">
        <f t="shared" si="4"/>
        <v>0</v>
      </c>
      <c r="X2557" s="168">
        <f t="shared" si="5"/>
        <v>0</v>
      </c>
      <c r="Y2557" s="168">
        <f t="shared" si="6"/>
        <v>0</v>
      </c>
      <c r="Z2557" s="168">
        <f t="shared" si="7"/>
        <v>0</v>
      </c>
      <c r="AA2557" s="168">
        <f t="shared" si="8"/>
        <v>0</v>
      </c>
      <c r="AB2557" s="168">
        <f t="shared" si="9"/>
        <v>0</v>
      </c>
    </row>
    <row r="2558" ht="15.0" customHeight="1">
      <c r="A2558" s="157" t="s">
        <v>10071</v>
      </c>
      <c r="B2558" s="169" t="s">
        <v>35</v>
      </c>
      <c r="C2558" s="169" t="s">
        <v>10062</v>
      </c>
      <c r="D2558" s="317">
        <v>45358.0</v>
      </c>
      <c r="E2558" s="157" t="s">
        <v>600</v>
      </c>
      <c r="F2558" s="160">
        <v>18965.17</v>
      </c>
      <c r="G2558" s="160">
        <f>'FACUS$'!$F2558*0.16</f>
        <v>3034.4272</v>
      </c>
      <c r="H2558" s="160">
        <f t="shared" si="68"/>
        <v>21999.5972</v>
      </c>
      <c r="I2558" s="172"/>
      <c r="J2558" s="169"/>
      <c r="K2558" s="172"/>
      <c r="L2558" s="172">
        <f>+'FACUS$'!$H2558-'FACUS$'!$I2558-'FACUS$'!$K2558</f>
        <v>21999.5972</v>
      </c>
      <c r="M2558" s="162" t="s">
        <v>276</v>
      </c>
      <c r="N2558" s="337" t="s">
        <v>554</v>
      </c>
      <c r="O2558" s="338">
        <v>45383.0</v>
      </c>
      <c r="P2558" s="164">
        <f t="array" ref="P2558">XLOOKUP('FACUS$'!$B2558,'perfil de pagos'!$A$4:$A$46,'perfil de pagos'!$C$4:$C$46+'FACUS$'!$D2558)</f>
        <v>45368</v>
      </c>
      <c r="Q2558" s="165">
        <f t="shared" si="66"/>
        <v>0</v>
      </c>
      <c r="R2558" s="167"/>
      <c r="S2558" s="167">
        <v>2910.0</v>
      </c>
      <c r="T2558" s="167"/>
      <c r="U2558" s="334"/>
      <c r="V2558" s="168">
        <f t="shared" si="3"/>
        <v>21999.5972</v>
      </c>
      <c r="W2558" s="168">
        <f t="shared" si="4"/>
        <v>0</v>
      </c>
      <c r="X2558" s="168">
        <f t="shared" si="5"/>
        <v>0</v>
      </c>
      <c r="Y2558" s="168">
        <f t="shared" si="6"/>
        <v>0</v>
      </c>
      <c r="Z2558" s="168">
        <f t="shared" si="7"/>
        <v>0</v>
      </c>
      <c r="AA2558" s="168">
        <f t="shared" si="8"/>
        <v>0</v>
      </c>
      <c r="AB2558" s="168">
        <f t="shared" si="9"/>
        <v>0</v>
      </c>
    </row>
    <row r="2559" ht="15.0" customHeight="1">
      <c r="A2559" s="315" t="s">
        <v>10072</v>
      </c>
      <c r="B2559" s="169" t="s">
        <v>34</v>
      </c>
      <c r="C2559" s="169" t="s">
        <v>10073</v>
      </c>
      <c r="D2559" s="317">
        <v>45358.0</v>
      </c>
      <c r="E2559" s="157" t="s">
        <v>600</v>
      </c>
      <c r="F2559" s="160">
        <v>29348.37</v>
      </c>
      <c r="G2559" s="160">
        <f>'FACUS$'!$F2559*0.16</f>
        <v>4695.7392</v>
      </c>
      <c r="H2559" s="160">
        <f t="shared" si="68"/>
        <v>34044.1092</v>
      </c>
      <c r="I2559" s="172"/>
      <c r="J2559" s="169"/>
      <c r="K2559" s="172"/>
      <c r="L2559" s="172">
        <f>+'FACUS$'!$H2559-'FACUS$'!$I2559-'FACUS$'!$K2559</f>
        <v>34044.1092</v>
      </c>
      <c r="M2559" s="162" t="s">
        <v>538</v>
      </c>
      <c r="N2559" s="337" t="s">
        <v>554</v>
      </c>
      <c r="O2559" s="338">
        <v>45394.0</v>
      </c>
      <c r="P2559" s="164">
        <f t="array" ref="P2559">XLOOKUP('FACUS$'!$B2559,'perfil de pagos'!$A$4:$A$46,'perfil de pagos'!$C$4:$C$46+'FACUS$'!$D2559)</f>
        <v>45368</v>
      </c>
      <c r="Q2559" s="165">
        <f t="shared" si="66"/>
        <v>0</v>
      </c>
      <c r="R2559" s="167"/>
      <c r="S2559" s="167">
        <v>2935.0</v>
      </c>
      <c r="T2559" s="167"/>
      <c r="U2559" s="334"/>
      <c r="V2559" s="168">
        <f t="shared" si="3"/>
        <v>34044.1092</v>
      </c>
      <c r="W2559" s="168">
        <f t="shared" si="4"/>
        <v>0</v>
      </c>
      <c r="X2559" s="168">
        <f t="shared" si="5"/>
        <v>0</v>
      </c>
      <c r="Y2559" s="168">
        <f t="shared" si="6"/>
        <v>0</v>
      </c>
      <c r="Z2559" s="168">
        <f t="shared" si="7"/>
        <v>0</v>
      </c>
      <c r="AA2559" s="168">
        <f t="shared" si="8"/>
        <v>0</v>
      </c>
      <c r="AB2559" s="168">
        <f t="shared" si="9"/>
        <v>0</v>
      </c>
    </row>
    <row r="2560" ht="15.0" customHeight="1">
      <c r="A2560" s="315" t="s">
        <v>10074</v>
      </c>
      <c r="B2560" s="169" t="s">
        <v>17</v>
      </c>
      <c r="C2560" s="169" t="s">
        <v>10073</v>
      </c>
      <c r="D2560" s="317">
        <v>45358.0</v>
      </c>
      <c r="E2560" s="157" t="s">
        <v>600</v>
      </c>
      <c r="F2560" s="160">
        <v>24924.02</v>
      </c>
      <c r="G2560" s="160">
        <f>'FACUS$'!$F2560*0.16</f>
        <v>3987.8432</v>
      </c>
      <c r="H2560" s="160">
        <f t="shared" si="68"/>
        <v>28911.8632</v>
      </c>
      <c r="I2560" s="172"/>
      <c r="J2560" s="169"/>
      <c r="K2560" s="172"/>
      <c r="L2560" s="172">
        <f>+'FACUS$'!$H2560-'FACUS$'!$I2560-'FACUS$'!$K2560</f>
        <v>28911.8632</v>
      </c>
      <c r="M2560" s="162" t="s">
        <v>17</v>
      </c>
      <c r="N2560" s="337" t="s">
        <v>554</v>
      </c>
      <c r="O2560" s="338">
        <v>45372.0</v>
      </c>
      <c r="P2560" s="164">
        <f t="array" ref="P2560">XLOOKUP('FACUS$'!$B2560,'perfil de pagos'!$A$4:$A$46,'perfil de pagos'!$C$4:$C$46+'FACUS$'!$D2560)</f>
        <v>45368</v>
      </c>
      <c r="Q2560" s="165">
        <f t="shared" si="66"/>
        <v>0</v>
      </c>
      <c r="R2560" s="167"/>
      <c r="S2560" s="167">
        <v>2880.0</v>
      </c>
      <c r="T2560" s="167"/>
      <c r="U2560" s="334"/>
      <c r="V2560" s="168">
        <f t="shared" si="3"/>
        <v>28911.8632</v>
      </c>
      <c r="W2560" s="168">
        <f t="shared" si="4"/>
        <v>0</v>
      </c>
      <c r="X2560" s="168">
        <f t="shared" si="5"/>
        <v>0</v>
      </c>
      <c r="Y2560" s="168">
        <f t="shared" si="6"/>
        <v>0</v>
      </c>
      <c r="Z2560" s="168">
        <f t="shared" si="7"/>
        <v>0</v>
      </c>
      <c r="AA2560" s="168">
        <f t="shared" si="8"/>
        <v>0</v>
      </c>
      <c r="AB2560" s="168">
        <f t="shared" si="9"/>
        <v>0</v>
      </c>
    </row>
    <row r="2561" ht="15.0" customHeight="1">
      <c r="A2561" s="316" t="s">
        <v>10075</v>
      </c>
      <c r="B2561" s="169" t="s">
        <v>34</v>
      </c>
      <c r="C2561" s="169" t="s">
        <v>10076</v>
      </c>
      <c r="D2561" s="317">
        <v>45359.0</v>
      </c>
      <c r="E2561" s="157" t="s">
        <v>600</v>
      </c>
      <c r="F2561" s="160">
        <v>1603.7</v>
      </c>
      <c r="G2561" s="160">
        <f>'FACUS$'!$F2561*0.16</f>
        <v>256.592</v>
      </c>
      <c r="H2561" s="160">
        <f t="shared" si="68"/>
        <v>1860.292</v>
      </c>
      <c r="I2561" s="172"/>
      <c r="J2561" s="169">
        <f>'NCP$'!A312</f>
        <v>419</v>
      </c>
      <c r="K2561" s="172">
        <f>'NCP$'!H312</f>
        <v>1860.292</v>
      </c>
      <c r="L2561" s="172">
        <f>+'FACUS$'!$H2561-'FACUS$'!$I2561-'FACUS$'!$K2561</f>
        <v>0</v>
      </c>
      <c r="M2561" s="162" t="s">
        <v>538</v>
      </c>
      <c r="N2561" s="337" t="s">
        <v>554</v>
      </c>
      <c r="O2561" s="338">
        <v>45660.0</v>
      </c>
      <c r="P2561" s="164">
        <f t="array" ref="P2561">XLOOKUP('FACUS$'!$B2561,'perfil de pagos'!$A$4:$A$46,'perfil de pagos'!$C$4:$C$46+'FACUS$'!$D2561)</f>
        <v>45369</v>
      </c>
      <c r="Q2561" s="165">
        <f t="shared" si="66"/>
        <v>0</v>
      </c>
      <c r="R2561" s="220" t="s">
        <v>10077</v>
      </c>
      <c r="S2561" s="167"/>
      <c r="T2561" s="167"/>
      <c r="U2561" s="334"/>
      <c r="V2561" s="168">
        <f t="shared" si="3"/>
        <v>0</v>
      </c>
      <c r="W2561" s="168">
        <f t="shared" si="4"/>
        <v>0</v>
      </c>
      <c r="X2561" s="168">
        <f t="shared" si="5"/>
        <v>0</v>
      </c>
      <c r="Y2561" s="168">
        <f t="shared" si="6"/>
        <v>0</v>
      </c>
      <c r="Z2561" s="168">
        <f t="shared" si="7"/>
        <v>0</v>
      </c>
      <c r="AA2561" s="168">
        <f t="shared" si="8"/>
        <v>0</v>
      </c>
      <c r="AB2561" s="168">
        <f t="shared" si="9"/>
        <v>0</v>
      </c>
    </row>
    <row r="2562" ht="15.0" customHeight="1">
      <c r="A2562" s="316" t="s">
        <v>10078</v>
      </c>
      <c r="B2562" s="169" t="s">
        <v>17</v>
      </c>
      <c r="C2562" s="169" t="s">
        <v>10076</v>
      </c>
      <c r="D2562" s="317">
        <v>45359.0</v>
      </c>
      <c r="E2562" s="157" t="s">
        <v>600</v>
      </c>
      <c r="F2562" s="160">
        <v>1920.48</v>
      </c>
      <c r="G2562" s="160">
        <f>'FACUS$'!$F2562*0.16</f>
        <v>307.2768</v>
      </c>
      <c r="H2562" s="160">
        <f t="shared" si="68"/>
        <v>2227.7568</v>
      </c>
      <c r="I2562" s="172"/>
      <c r="J2562" s="169"/>
      <c r="K2562" s="172"/>
      <c r="L2562" s="172">
        <f>+'FACUS$'!$H2562-'FACUS$'!$I2562-'FACUS$'!$K2562</f>
        <v>2227.7568</v>
      </c>
      <c r="M2562" s="162" t="s">
        <v>17</v>
      </c>
      <c r="N2562" s="337" t="s">
        <v>554</v>
      </c>
      <c r="O2562" s="338">
        <v>45372.0</v>
      </c>
      <c r="P2562" s="164">
        <f t="array" ref="P2562">XLOOKUP('FACUS$'!$B2562,'perfil de pagos'!$A$4:$A$46,'perfil de pagos'!$C$4:$C$46+'FACUS$'!$D2562)</f>
        <v>45369</v>
      </c>
      <c r="Q2562" s="165">
        <f t="shared" si="66"/>
        <v>0</v>
      </c>
      <c r="R2562" s="167"/>
      <c r="S2562" s="167">
        <v>2880.0</v>
      </c>
      <c r="T2562" s="167"/>
      <c r="U2562" s="334"/>
      <c r="V2562" s="168">
        <f t="shared" si="3"/>
        <v>2227.7568</v>
      </c>
      <c r="W2562" s="168">
        <f t="shared" si="4"/>
        <v>0</v>
      </c>
      <c r="X2562" s="168">
        <f t="shared" si="5"/>
        <v>0</v>
      </c>
      <c r="Y2562" s="168">
        <f t="shared" si="6"/>
        <v>0</v>
      </c>
      <c r="Z2562" s="168">
        <f t="shared" si="7"/>
        <v>0</v>
      </c>
      <c r="AA2562" s="168">
        <f t="shared" si="8"/>
        <v>0</v>
      </c>
      <c r="AB2562" s="168">
        <f t="shared" si="9"/>
        <v>0</v>
      </c>
    </row>
    <row r="2563" ht="15.0" customHeight="1">
      <c r="A2563" s="157" t="s">
        <v>10079</v>
      </c>
      <c r="B2563" s="169" t="s">
        <v>18</v>
      </c>
      <c r="C2563" s="169" t="s">
        <v>10062</v>
      </c>
      <c r="D2563" s="317">
        <v>45359.0</v>
      </c>
      <c r="E2563" s="157" t="s">
        <v>600</v>
      </c>
      <c r="F2563" s="160">
        <v>5334.9</v>
      </c>
      <c r="G2563" s="160">
        <f>'FACUS$'!$F2563*0.16</f>
        <v>853.584</v>
      </c>
      <c r="H2563" s="160">
        <f t="shared" si="68"/>
        <v>6188.484</v>
      </c>
      <c r="I2563" s="172"/>
      <c r="J2563" s="169"/>
      <c r="K2563" s="172"/>
      <c r="L2563" s="172">
        <f>+'FACUS$'!$H2563-'FACUS$'!$I2563-'FACUS$'!$K2563</f>
        <v>6188.484</v>
      </c>
      <c r="M2563" s="162" t="s">
        <v>586</v>
      </c>
      <c r="N2563" s="337" t="s">
        <v>554</v>
      </c>
      <c r="O2563" s="338">
        <v>45371.0</v>
      </c>
      <c r="P2563" s="164">
        <f t="array" ref="P2563">XLOOKUP('FACUS$'!$B2563,'perfil de pagos'!$A$4:$A$46,'perfil de pagos'!$C$4:$C$46+'FACUS$'!$D2563)</f>
        <v>45369</v>
      </c>
      <c r="Q2563" s="165">
        <f t="shared" si="66"/>
        <v>0</v>
      </c>
      <c r="R2563" s="167"/>
      <c r="S2563" s="167">
        <v>2878.0</v>
      </c>
      <c r="T2563" s="167"/>
      <c r="U2563" s="334"/>
      <c r="V2563" s="168">
        <f t="shared" si="3"/>
        <v>6188.484</v>
      </c>
      <c r="W2563" s="168">
        <f t="shared" si="4"/>
        <v>0</v>
      </c>
      <c r="X2563" s="168">
        <f t="shared" si="5"/>
        <v>0</v>
      </c>
      <c r="Y2563" s="168">
        <f t="shared" si="6"/>
        <v>0</v>
      </c>
      <c r="Z2563" s="168">
        <f t="shared" si="7"/>
        <v>0</v>
      </c>
      <c r="AA2563" s="168">
        <f t="shared" si="8"/>
        <v>0</v>
      </c>
      <c r="AB2563" s="168">
        <f t="shared" si="9"/>
        <v>0</v>
      </c>
    </row>
    <row r="2564" ht="15.0" customHeight="1">
      <c r="A2564" s="157" t="s">
        <v>10080</v>
      </c>
      <c r="B2564" s="169" t="s">
        <v>22</v>
      </c>
      <c r="C2564" s="169" t="s">
        <v>10062</v>
      </c>
      <c r="D2564" s="317">
        <v>45359.0</v>
      </c>
      <c r="E2564" s="157" t="s">
        <v>600</v>
      </c>
      <c r="F2564" s="160">
        <v>19147.78</v>
      </c>
      <c r="G2564" s="160">
        <f>'FACUS$'!$F2564*0.16</f>
        <v>3063.6448</v>
      </c>
      <c r="H2564" s="160">
        <f t="shared" si="68"/>
        <v>22211.4248</v>
      </c>
      <c r="I2564" s="172">
        <v>10201.05</v>
      </c>
      <c r="J2564" s="169"/>
      <c r="K2564" s="172"/>
      <c r="L2564" s="172">
        <f>+'FACUS$'!$H2564-'FACUS$'!$I2564-'FACUS$'!$K2564</f>
        <v>12010.3748</v>
      </c>
      <c r="M2564" s="162" t="s">
        <v>220</v>
      </c>
      <c r="N2564" s="337" t="s">
        <v>554</v>
      </c>
      <c r="O2564" s="338">
        <v>45412.0</v>
      </c>
      <c r="P2564" s="164">
        <f t="array" ref="P2564">XLOOKUP('FACUS$'!$B2564,'perfil de pagos'!$A$4:$A$46,'perfil de pagos'!$C$4:$C$46+'FACUS$'!$D2564)</f>
        <v>45369</v>
      </c>
      <c r="Q2564" s="165">
        <f t="shared" si="66"/>
        <v>0</v>
      </c>
      <c r="R2564" s="220" t="s">
        <v>10081</v>
      </c>
      <c r="S2564" s="167" t="s">
        <v>10082</v>
      </c>
      <c r="T2564" s="167"/>
      <c r="U2564" s="334"/>
      <c r="V2564" s="168">
        <f t="shared" si="3"/>
        <v>12010.3748</v>
      </c>
      <c r="W2564" s="168">
        <f t="shared" si="4"/>
        <v>0</v>
      </c>
      <c r="X2564" s="168">
        <f t="shared" si="5"/>
        <v>0</v>
      </c>
      <c r="Y2564" s="168">
        <f t="shared" si="6"/>
        <v>0</v>
      </c>
      <c r="Z2564" s="168">
        <f t="shared" si="7"/>
        <v>0</v>
      </c>
      <c r="AA2564" s="168">
        <f t="shared" si="8"/>
        <v>0</v>
      </c>
      <c r="AB2564" s="168">
        <f t="shared" si="9"/>
        <v>0</v>
      </c>
    </row>
    <row r="2565" ht="15.0" customHeight="1">
      <c r="A2565" s="157" t="s">
        <v>10083</v>
      </c>
      <c r="B2565" s="169" t="s">
        <v>20</v>
      </c>
      <c r="C2565" s="169" t="s">
        <v>10062</v>
      </c>
      <c r="D2565" s="317">
        <v>45359.0</v>
      </c>
      <c r="E2565" s="157" t="s">
        <v>600</v>
      </c>
      <c r="F2565" s="160">
        <v>13414.63</v>
      </c>
      <c r="G2565" s="160">
        <f>'FACUS$'!$F2565*0.16</f>
        <v>2146.3408</v>
      </c>
      <c r="H2565" s="160">
        <f t="shared" si="68"/>
        <v>15560.9708</v>
      </c>
      <c r="I2565" s="172"/>
      <c r="J2565" s="169"/>
      <c r="K2565" s="172"/>
      <c r="L2565" s="172">
        <f>+'FACUS$'!$H2565-'FACUS$'!$I2565-'FACUS$'!$K2565</f>
        <v>15560.9708</v>
      </c>
      <c r="M2565" s="162" t="s">
        <v>732</v>
      </c>
      <c r="N2565" s="337" t="s">
        <v>554</v>
      </c>
      <c r="O2565" s="338">
        <v>45391.0</v>
      </c>
      <c r="P2565" s="164">
        <f t="array" ref="P2565">XLOOKUP('FACUS$'!$B2565,'perfil de pagos'!$A$4:$A$46,'perfil de pagos'!$C$4:$C$46+'FACUS$'!$D2565)</f>
        <v>45369</v>
      </c>
      <c r="Q2565" s="165">
        <f t="shared" si="66"/>
        <v>0</v>
      </c>
      <c r="R2565" s="167"/>
      <c r="S2565" s="167">
        <v>2926.0</v>
      </c>
      <c r="T2565" s="167"/>
      <c r="U2565" s="334"/>
      <c r="V2565" s="168">
        <f t="shared" si="3"/>
        <v>15560.9708</v>
      </c>
      <c r="W2565" s="168">
        <f t="shared" si="4"/>
        <v>0</v>
      </c>
      <c r="X2565" s="168">
        <f t="shared" si="5"/>
        <v>0</v>
      </c>
      <c r="Y2565" s="168">
        <f t="shared" si="6"/>
        <v>0</v>
      </c>
      <c r="Z2565" s="168">
        <f t="shared" si="7"/>
        <v>0</v>
      </c>
      <c r="AA2565" s="168">
        <f t="shared" si="8"/>
        <v>0</v>
      </c>
      <c r="AB2565" s="168">
        <f t="shared" si="9"/>
        <v>0</v>
      </c>
    </row>
    <row r="2566" ht="15.0" customHeight="1">
      <c r="A2566" s="157" t="s">
        <v>10084</v>
      </c>
      <c r="B2566" s="169" t="s">
        <v>25</v>
      </c>
      <c r="C2566" s="169" t="s">
        <v>10062</v>
      </c>
      <c r="D2566" s="317">
        <v>45359.0</v>
      </c>
      <c r="E2566" s="157" t="s">
        <v>600</v>
      </c>
      <c r="F2566" s="160">
        <v>5932.15</v>
      </c>
      <c r="G2566" s="160">
        <f>'FACUS$'!$F2566*0.16</f>
        <v>949.144</v>
      </c>
      <c r="H2566" s="160">
        <f t="shared" si="68"/>
        <v>6881.294</v>
      </c>
      <c r="I2566" s="172"/>
      <c r="J2566" s="169"/>
      <c r="K2566" s="172"/>
      <c r="L2566" s="172">
        <f>+'FACUS$'!$H2566-'FACUS$'!$I2566-'FACUS$'!$K2566</f>
        <v>6881.294</v>
      </c>
      <c r="M2566" s="162" t="s">
        <v>4388</v>
      </c>
      <c r="N2566" s="337" t="s">
        <v>554</v>
      </c>
      <c r="O2566" s="338">
        <v>45390.0</v>
      </c>
      <c r="P2566" s="164">
        <f t="array" ref="P2566">XLOOKUP('FACUS$'!$B2566,'perfil de pagos'!$A$4:$A$46,'perfil de pagos'!$C$4:$C$46+'FACUS$'!$D2566)</f>
        <v>45369</v>
      </c>
      <c r="Q2566" s="165">
        <f t="shared" si="66"/>
        <v>0</v>
      </c>
      <c r="R2566" s="167"/>
      <c r="S2566" s="167">
        <v>2925.0</v>
      </c>
      <c r="T2566" s="167"/>
      <c r="U2566" s="334"/>
      <c r="V2566" s="168">
        <f t="shared" si="3"/>
        <v>6881.294</v>
      </c>
      <c r="W2566" s="168">
        <f t="shared" si="4"/>
        <v>0</v>
      </c>
      <c r="X2566" s="168">
        <f t="shared" si="5"/>
        <v>0</v>
      </c>
      <c r="Y2566" s="168">
        <f t="shared" si="6"/>
        <v>0</v>
      </c>
      <c r="Z2566" s="168">
        <f t="shared" si="7"/>
        <v>0</v>
      </c>
      <c r="AA2566" s="168">
        <f t="shared" si="8"/>
        <v>0</v>
      </c>
      <c r="AB2566" s="168">
        <f t="shared" si="9"/>
        <v>0</v>
      </c>
    </row>
    <row r="2567" ht="15.0" customHeight="1">
      <c r="A2567" s="157" t="s">
        <v>10085</v>
      </c>
      <c r="B2567" s="169" t="s">
        <v>37</v>
      </c>
      <c r="C2567" s="169" t="s">
        <v>10062</v>
      </c>
      <c r="D2567" s="317">
        <v>45359.0</v>
      </c>
      <c r="E2567" s="157" t="s">
        <v>600</v>
      </c>
      <c r="F2567" s="160">
        <v>103680.95</v>
      </c>
      <c r="G2567" s="160">
        <f>'FACUS$'!$F2567*0.16</f>
        <v>16588.952</v>
      </c>
      <c r="H2567" s="160">
        <f t="shared" si="68"/>
        <v>120269.902</v>
      </c>
      <c r="I2567" s="172"/>
      <c r="J2567" s="169"/>
      <c r="K2567" s="172"/>
      <c r="L2567" s="172">
        <f>+'FACUS$'!$H2567-'FACUS$'!$I2567-'FACUS$'!$K2567</f>
        <v>120269.902</v>
      </c>
      <c r="M2567" s="162" t="s">
        <v>116</v>
      </c>
      <c r="N2567" s="337" t="s">
        <v>554</v>
      </c>
      <c r="O2567" s="338">
        <v>45376.0</v>
      </c>
      <c r="P2567" s="164">
        <f t="array" ref="P2567">XLOOKUP('FACUS$'!$B2567,'perfil de pagos'!$A$4:$A$46,'perfil de pagos'!$C$4:$C$46+'FACUS$'!$D2567)</f>
        <v>45369</v>
      </c>
      <c r="Q2567" s="165">
        <f t="shared" si="66"/>
        <v>0</v>
      </c>
      <c r="R2567" s="167"/>
      <c r="S2567" s="167">
        <v>2888.0</v>
      </c>
      <c r="T2567" s="167"/>
      <c r="U2567" s="334"/>
      <c r="V2567" s="168">
        <f t="shared" si="3"/>
        <v>120269.902</v>
      </c>
      <c r="W2567" s="168">
        <f t="shared" si="4"/>
        <v>0</v>
      </c>
      <c r="X2567" s="168">
        <f t="shared" si="5"/>
        <v>0</v>
      </c>
      <c r="Y2567" s="168">
        <f t="shared" si="6"/>
        <v>0</v>
      </c>
      <c r="Z2567" s="168">
        <f t="shared" si="7"/>
        <v>0</v>
      </c>
      <c r="AA2567" s="168">
        <f t="shared" si="8"/>
        <v>0</v>
      </c>
      <c r="AB2567" s="168">
        <f t="shared" si="9"/>
        <v>0</v>
      </c>
    </row>
    <row r="2568" ht="15.0" customHeight="1">
      <c r="A2568" s="157" t="s">
        <v>10086</v>
      </c>
      <c r="B2568" s="169" t="s">
        <v>38</v>
      </c>
      <c r="C2568" s="169" t="s">
        <v>10062</v>
      </c>
      <c r="D2568" s="317">
        <v>45362.0</v>
      </c>
      <c r="E2568" s="157" t="s">
        <v>600</v>
      </c>
      <c r="F2568" s="160">
        <v>5546.12</v>
      </c>
      <c r="G2568" s="160">
        <f>'FACUS$'!$F2568*0.16</f>
        <v>887.3792</v>
      </c>
      <c r="H2568" s="160">
        <f t="shared" si="68"/>
        <v>6433.4992</v>
      </c>
      <c r="I2568" s="172"/>
      <c r="J2568" s="169"/>
      <c r="K2568" s="172"/>
      <c r="L2568" s="172">
        <f>+'FACUS$'!$H2568-'FACUS$'!$I2568-'FACUS$'!$K2568</f>
        <v>6433.4992</v>
      </c>
      <c r="M2568" s="162" t="s">
        <v>642</v>
      </c>
      <c r="N2568" s="337" t="s">
        <v>554</v>
      </c>
      <c r="O2568" s="338">
        <v>45406.0</v>
      </c>
      <c r="P2568" s="164">
        <f t="array" ref="P2568">XLOOKUP('FACUS$'!$B2568,'perfil de pagos'!$A$4:$A$46,'perfil de pagos'!$C$4:$C$46+'FACUS$'!$D2568)</f>
        <v>45392</v>
      </c>
      <c r="Q2568" s="165">
        <f t="shared" si="66"/>
        <v>0</v>
      </c>
      <c r="R2568" s="167"/>
      <c r="S2568" s="167">
        <v>2956.0</v>
      </c>
      <c r="T2568" s="167"/>
      <c r="U2568" s="334"/>
      <c r="V2568" s="168">
        <f t="shared" si="3"/>
        <v>6433.4992</v>
      </c>
      <c r="W2568" s="168">
        <f t="shared" si="4"/>
        <v>0</v>
      </c>
      <c r="X2568" s="168">
        <f t="shared" si="5"/>
        <v>0</v>
      </c>
      <c r="Y2568" s="168">
        <f t="shared" si="6"/>
        <v>0</v>
      </c>
      <c r="Z2568" s="168">
        <f t="shared" si="7"/>
        <v>0</v>
      </c>
      <c r="AA2568" s="168">
        <f t="shared" si="8"/>
        <v>0</v>
      </c>
      <c r="AB2568" s="168">
        <f t="shared" si="9"/>
        <v>0</v>
      </c>
    </row>
    <row r="2569" ht="15.0" customHeight="1">
      <c r="A2569" s="157" t="s">
        <v>10087</v>
      </c>
      <c r="B2569" s="169" t="s">
        <v>38</v>
      </c>
      <c r="C2569" s="169" t="s">
        <v>10062</v>
      </c>
      <c r="D2569" s="317">
        <v>45362.0</v>
      </c>
      <c r="E2569" s="157" t="s">
        <v>600</v>
      </c>
      <c r="F2569" s="160">
        <v>9146.95</v>
      </c>
      <c r="G2569" s="160">
        <f>'FACUS$'!$F2569*0.16</f>
        <v>1463.512</v>
      </c>
      <c r="H2569" s="160">
        <f t="shared" si="68"/>
        <v>10610.462</v>
      </c>
      <c r="I2569" s="172"/>
      <c r="J2569" s="169"/>
      <c r="K2569" s="172"/>
      <c r="L2569" s="172">
        <f>+'FACUS$'!$H2569-'FACUS$'!$I2569-'FACUS$'!$K2569</f>
        <v>10610.462</v>
      </c>
      <c r="M2569" s="162" t="s">
        <v>145</v>
      </c>
      <c r="N2569" s="337" t="s">
        <v>554</v>
      </c>
      <c r="O2569" s="338">
        <v>45427.0</v>
      </c>
      <c r="P2569" s="164">
        <f t="array" ref="P2569">XLOOKUP('FACUS$'!$B2569,'perfil de pagos'!$A$4:$A$46,'perfil de pagos'!$C$4:$C$46+'FACUS$'!$D2569)</f>
        <v>45392</v>
      </c>
      <c r="Q2569" s="165">
        <f t="shared" si="66"/>
        <v>0</v>
      </c>
      <c r="R2569" s="167"/>
      <c r="S2569" s="167"/>
      <c r="T2569" s="167"/>
      <c r="U2569" s="334"/>
      <c r="V2569" s="168">
        <f t="shared" si="3"/>
        <v>10610.462</v>
      </c>
      <c r="W2569" s="168">
        <f t="shared" si="4"/>
        <v>0</v>
      </c>
      <c r="X2569" s="168">
        <f t="shared" si="5"/>
        <v>0</v>
      </c>
      <c r="Y2569" s="168">
        <f t="shared" si="6"/>
        <v>0</v>
      </c>
      <c r="Z2569" s="168">
        <f t="shared" si="7"/>
        <v>0</v>
      </c>
      <c r="AA2569" s="168">
        <f t="shared" si="8"/>
        <v>0</v>
      </c>
      <c r="AB2569" s="168">
        <f t="shared" si="9"/>
        <v>0</v>
      </c>
    </row>
    <row r="2570" ht="15.0" customHeight="1">
      <c r="A2570" s="157" t="s">
        <v>10088</v>
      </c>
      <c r="B2570" s="169" t="s">
        <v>41</v>
      </c>
      <c r="C2570" s="169" t="s">
        <v>10089</v>
      </c>
      <c r="D2570" s="317">
        <v>45371.0</v>
      </c>
      <c r="E2570" s="157" t="s">
        <v>600</v>
      </c>
      <c r="F2570" s="160">
        <v>64800.21</v>
      </c>
      <c r="G2570" s="160">
        <f>'FACUS$'!$F2570*0.16</f>
        <v>10368.0336</v>
      </c>
      <c r="H2570" s="160">
        <f t="shared" si="68"/>
        <v>75168.2436</v>
      </c>
      <c r="I2570" s="172"/>
      <c r="J2570" s="169"/>
      <c r="K2570" s="172"/>
      <c r="L2570" s="172">
        <f>+'FACUS$'!$H2570-'FACUS$'!$I2570-'FACUS$'!$K2570</f>
        <v>75168.2436</v>
      </c>
      <c r="M2570" s="162" t="s">
        <v>875</v>
      </c>
      <c r="N2570" s="337" t="s">
        <v>554</v>
      </c>
      <c r="O2570" s="338">
        <v>45432.0</v>
      </c>
      <c r="P2570" s="164">
        <f t="array" ref="P2570">XLOOKUP('FACUS$'!$B2570,'perfil de pagos'!$A$4:$A$46,'perfil de pagos'!$C$4:$C$46+'FACUS$'!$D2570)</f>
        <v>45381</v>
      </c>
      <c r="Q2570" s="165">
        <f t="shared" si="66"/>
        <v>0</v>
      </c>
      <c r="R2570" s="167"/>
      <c r="S2570" s="167"/>
      <c r="T2570" s="167"/>
      <c r="U2570" s="334"/>
      <c r="V2570" s="168">
        <f t="shared" si="3"/>
        <v>75168.2436</v>
      </c>
      <c r="W2570" s="168">
        <f t="shared" si="4"/>
        <v>0</v>
      </c>
      <c r="X2570" s="168">
        <f t="shared" si="5"/>
        <v>0</v>
      </c>
      <c r="Y2570" s="168">
        <f t="shared" si="6"/>
        <v>0</v>
      </c>
      <c r="Z2570" s="168">
        <f t="shared" si="7"/>
        <v>0</v>
      </c>
      <c r="AA2570" s="168">
        <f t="shared" si="8"/>
        <v>0</v>
      </c>
      <c r="AB2570" s="168">
        <f t="shared" si="9"/>
        <v>0</v>
      </c>
    </row>
    <row r="2571" ht="15.0" customHeight="1">
      <c r="A2571" s="157" t="s">
        <v>10090</v>
      </c>
      <c r="B2571" s="169" t="s">
        <v>34</v>
      </c>
      <c r="C2571" s="169" t="s">
        <v>10091</v>
      </c>
      <c r="D2571" s="317">
        <v>45371.0</v>
      </c>
      <c r="E2571" s="157" t="s">
        <v>600</v>
      </c>
      <c r="F2571" s="160">
        <v>16955.25</v>
      </c>
      <c r="G2571" s="160">
        <f>'FACUS$'!$F2571*0.16</f>
        <v>2712.84</v>
      </c>
      <c r="H2571" s="160">
        <f t="shared" si="68"/>
        <v>19668.09</v>
      </c>
      <c r="I2571" s="172"/>
      <c r="J2571" s="169"/>
      <c r="K2571" s="172"/>
      <c r="L2571" s="172">
        <f>+'FACUS$'!$H2571-'FACUS$'!$I2571-'FACUS$'!$K2571</f>
        <v>19668.09</v>
      </c>
      <c r="M2571" s="162" t="s">
        <v>538</v>
      </c>
      <c r="N2571" s="337" t="s">
        <v>554</v>
      </c>
      <c r="O2571" s="338">
        <v>45401.0</v>
      </c>
      <c r="P2571" s="164">
        <f t="array" ref="P2571">XLOOKUP('FACUS$'!$B2571,'perfil de pagos'!$A$4:$A$46,'perfil de pagos'!$C$4:$C$46+'FACUS$'!$D2571)</f>
        <v>45381</v>
      </c>
      <c r="Q2571" s="165">
        <f t="shared" si="66"/>
        <v>0</v>
      </c>
      <c r="R2571" s="167"/>
      <c r="S2571" s="167"/>
      <c r="T2571" s="167"/>
      <c r="U2571" s="334"/>
      <c r="V2571" s="168">
        <f t="shared" si="3"/>
        <v>19668.09</v>
      </c>
      <c r="W2571" s="168">
        <f t="shared" si="4"/>
        <v>0</v>
      </c>
      <c r="X2571" s="168">
        <f t="shared" si="5"/>
        <v>0</v>
      </c>
      <c r="Y2571" s="168">
        <f t="shared" si="6"/>
        <v>0</v>
      </c>
      <c r="Z2571" s="168">
        <f t="shared" si="7"/>
        <v>0</v>
      </c>
      <c r="AA2571" s="168">
        <f t="shared" si="8"/>
        <v>0</v>
      </c>
      <c r="AB2571" s="168">
        <f t="shared" si="9"/>
        <v>0</v>
      </c>
    </row>
    <row r="2572" ht="15.0" customHeight="1">
      <c r="A2572" s="157" t="s">
        <v>10092</v>
      </c>
      <c r="B2572" s="169" t="s">
        <v>34</v>
      </c>
      <c r="C2572" s="169" t="s">
        <v>10089</v>
      </c>
      <c r="D2572" s="317">
        <v>45371.0</v>
      </c>
      <c r="E2572" s="157" t="s">
        <v>600</v>
      </c>
      <c r="F2572" s="160">
        <v>24356.78</v>
      </c>
      <c r="G2572" s="160">
        <f>'FACUS$'!$F2572*0.16</f>
        <v>3897.0848</v>
      </c>
      <c r="H2572" s="160">
        <f t="shared" si="68"/>
        <v>28253.8648</v>
      </c>
      <c r="I2572" s="172"/>
      <c r="J2572" s="169"/>
      <c r="K2572" s="172"/>
      <c r="L2572" s="172">
        <f>+'FACUS$'!$H2572-'FACUS$'!$I2572-'FACUS$'!$K2572</f>
        <v>28253.8648</v>
      </c>
      <c r="M2572" s="162" t="s">
        <v>538</v>
      </c>
      <c r="N2572" s="337" t="s">
        <v>554</v>
      </c>
      <c r="O2572" s="338">
        <v>45401.0</v>
      </c>
      <c r="P2572" s="164">
        <f t="array" ref="P2572">XLOOKUP('FACUS$'!$B2572,'perfil de pagos'!$A$4:$A$46,'perfil de pagos'!$C$4:$C$46+'FACUS$'!$D2572)</f>
        <v>45381</v>
      </c>
      <c r="Q2572" s="165">
        <f t="shared" si="66"/>
        <v>0</v>
      </c>
      <c r="R2572" s="167"/>
      <c r="S2572" s="167"/>
      <c r="T2572" s="167"/>
      <c r="U2572" s="334"/>
      <c r="V2572" s="168">
        <f t="shared" si="3"/>
        <v>28253.8648</v>
      </c>
      <c r="W2572" s="168">
        <f t="shared" si="4"/>
        <v>0</v>
      </c>
      <c r="X2572" s="168">
        <f t="shared" si="5"/>
        <v>0</v>
      </c>
      <c r="Y2572" s="168">
        <f t="shared" si="6"/>
        <v>0</v>
      </c>
      <c r="Z2572" s="168">
        <f t="shared" si="7"/>
        <v>0</v>
      </c>
      <c r="AA2572" s="168">
        <f t="shared" si="8"/>
        <v>0</v>
      </c>
      <c r="AB2572" s="168">
        <f t="shared" si="9"/>
        <v>0</v>
      </c>
    </row>
    <row r="2573" ht="15.0" customHeight="1">
      <c r="A2573" s="157" t="s">
        <v>10093</v>
      </c>
      <c r="B2573" s="169" t="s">
        <v>35</v>
      </c>
      <c r="C2573" s="169" t="s">
        <v>10089</v>
      </c>
      <c r="D2573" s="317">
        <v>45371.0</v>
      </c>
      <c r="E2573" s="157" t="s">
        <v>600</v>
      </c>
      <c r="F2573" s="160">
        <v>16180.37</v>
      </c>
      <c r="G2573" s="160">
        <f>'FACUS$'!$F2573*0.16</f>
        <v>2588.8592</v>
      </c>
      <c r="H2573" s="160">
        <f t="shared" si="68"/>
        <v>18769.2292</v>
      </c>
      <c r="I2573" s="172"/>
      <c r="J2573" s="169"/>
      <c r="K2573" s="172"/>
      <c r="L2573" s="172">
        <f>+'FACUS$'!$H2573-'FACUS$'!$I2573-'FACUS$'!$K2573</f>
        <v>18769.2292</v>
      </c>
      <c r="M2573" s="162" t="s">
        <v>276</v>
      </c>
      <c r="N2573" s="337" t="s">
        <v>554</v>
      </c>
      <c r="O2573" s="338">
        <v>45387.0</v>
      </c>
      <c r="P2573" s="164">
        <f t="array" ref="P2573">XLOOKUP('FACUS$'!$B2573,'perfil de pagos'!$A$4:$A$46,'perfil de pagos'!$C$4:$C$46+'FACUS$'!$D2573)</f>
        <v>45381</v>
      </c>
      <c r="Q2573" s="165">
        <f t="shared" si="66"/>
        <v>0</v>
      </c>
      <c r="R2573" s="167"/>
      <c r="S2573" s="167">
        <v>2914.0</v>
      </c>
      <c r="T2573" s="167"/>
      <c r="U2573" s="334"/>
      <c r="V2573" s="168">
        <f t="shared" si="3"/>
        <v>18769.2292</v>
      </c>
      <c r="W2573" s="168">
        <f t="shared" si="4"/>
        <v>0</v>
      </c>
      <c r="X2573" s="168">
        <f t="shared" si="5"/>
        <v>0</v>
      </c>
      <c r="Y2573" s="168">
        <f t="shared" si="6"/>
        <v>0</v>
      </c>
      <c r="Z2573" s="168">
        <f t="shared" si="7"/>
        <v>0</v>
      </c>
      <c r="AA2573" s="168">
        <f t="shared" si="8"/>
        <v>0</v>
      </c>
      <c r="AB2573" s="168">
        <f t="shared" si="9"/>
        <v>0</v>
      </c>
    </row>
    <row r="2574" ht="15.0" customHeight="1">
      <c r="A2574" s="157" t="s">
        <v>10094</v>
      </c>
      <c r="B2574" s="169" t="s">
        <v>17</v>
      </c>
      <c r="C2574" s="169" t="s">
        <v>10091</v>
      </c>
      <c r="D2574" s="317">
        <v>45371.0</v>
      </c>
      <c r="E2574" s="157" t="s">
        <v>600</v>
      </c>
      <c r="F2574" s="160">
        <v>12347.94</v>
      </c>
      <c r="G2574" s="160">
        <f>'FACUS$'!$F2574*0.16</f>
        <v>1975.6704</v>
      </c>
      <c r="H2574" s="160">
        <f t="shared" si="68"/>
        <v>14323.6104</v>
      </c>
      <c r="I2574" s="172"/>
      <c r="J2574" s="169"/>
      <c r="K2574" s="172"/>
      <c r="L2574" s="172">
        <f>+'FACUS$'!$H2574-'FACUS$'!$I2574-'FACUS$'!$K2574</f>
        <v>14323.6104</v>
      </c>
      <c r="M2574" s="162" t="s">
        <v>17</v>
      </c>
      <c r="N2574" s="337" t="s">
        <v>554</v>
      </c>
      <c r="O2574" s="338">
        <v>45386.0</v>
      </c>
      <c r="P2574" s="164">
        <f t="array" ref="P2574">XLOOKUP('FACUS$'!$B2574,'perfil de pagos'!$A$4:$A$46,'perfil de pagos'!$C$4:$C$46+'FACUS$'!$D2574)</f>
        <v>45381</v>
      </c>
      <c r="Q2574" s="165">
        <f t="shared" si="66"/>
        <v>0</v>
      </c>
      <c r="R2574" s="167"/>
      <c r="S2574" s="167">
        <v>2912.0</v>
      </c>
      <c r="T2574" s="167"/>
      <c r="U2574" s="334"/>
      <c r="V2574" s="168">
        <f t="shared" si="3"/>
        <v>14323.6104</v>
      </c>
      <c r="W2574" s="168">
        <f t="shared" si="4"/>
        <v>0</v>
      </c>
      <c r="X2574" s="168">
        <f t="shared" si="5"/>
        <v>0</v>
      </c>
      <c r="Y2574" s="168">
        <f t="shared" si="6"/>
        <v>0</v>
      </c>
      <c r="Z2574" s="168">
        <f t="shared" si="7"/>
        <v>0</v>
      </c>
      <c r="AA2574" s="168">
        <f t="shared" si="8"/>
        <v>0</v>
      </c>
      <c r="AB2574" s="168">
        <f t="shared" si="9"/>
        <v>0</v>
      </c>
    </row>
    <row r="2575" ht="15.0" customHeight="1">
      <c r="A2575" s="157" t="s">
        <v>10095</v>
      </c>
      <c r="B2575" s="169" t="s">
        <v>17</v>
      </c>
      <c r="C2575" s="169" t="s">
        <v>10089</v>
      </c>
      <c r="D2575" s="317">
        <v>45371.0</v>
      </c>
      <c r="E2575" s="157" t="s">
        <v>600</v>
      </c>
      <c r="F2575" s="160">
        <v>2443.14</v>
      </c>
      <c r="G2575" s="160">
        <f>'FACUS$'!$F2575*0.16</f>
        <v>390.9024</v>
      </c>
      <c r="H2575" s="160">
        <f t="shared" si="68"/>
        <v>2834.0424</v>
      </c>
      <c r="I2575" s="172"/>
      <c r="J2575" s="169"/>
      <c r="K2575" s="172"/>
      <c r="L2575" s="172">
        <f>+'FACUS$'!$H2575-'FACUS$'!$I2575-'FACUS$'!$K2575</f>
        <v>2834.0424</v>
      </c>
      <c r="M2575" s="162" t="s">
        <v>17</v>
      </c>
      <c r="N2575" s="337" t="s">
        <v>127</v>
      </c>
      <c r="O2575" s="338"/>
      <c r="P2575" s="164">
        <f t="array" ref="P2575">XLOOKUP('FACUS$'!$B2575,'perfil de pagos'!$A$4:$A$46,'perfil de pagos'!$C$4:$C$46+'FACUS$'!$D2575)</f>
        <v>45381</v>
      </c>
      <c r="Q2575" s="165" t="str">
        <f t="shared" si="66"/>
        <v>N/A</v>
      </c>
      <c r="R2575" s="167"/>
      <c r="S2575" s="167"/>
      <c r="T2575" s="167"/>
      <c r="U2575" s="334"/>
      <c r="V2575" s="168">
        <f t="shared" si="3"/>
        <v>0</v>
      </c>
      <c r="W2575" s="168">
        <f t="shared" si="4"/>
        <v>0</v>
      </c>
      <c r="X2575" s="168">
        <f t="shared" si="5"/>
        <v>0</v>
      </c>
      <c r="Y2575" s="168">
        <f t="shared" si="6"/>
        <v>0</v>
      </c>
      <c r="Z2575" s="168">
        <f t="shared" si="7"/>
        <v>0</v>
      </c>
      <c r="AA2575" s="168">
        <f t="shared" si="8"/>
        <v>0</v>
      </c>
      <c r="AB2575" s="168">
        <f t="shared" si="9"/>
        <v>2834.0424</v>
      </c>
    </row>
    <row r="2576" ht="15.0" customHeight="1">
      <c r="A2576" s="157" t="s">
        <v>10096</v>
      </c>
      <c r="B2576" s="169" t="s">
        <v>42</v>
      </c>
      <c r="C2576" s="169" t="s">
        <v>10089</v>
      </c>
      <c r="D2576" s="317">
        <v>45371.0</v>
      </c>
      <c r="E2576" s="157" t="s">
        <v>600</v>
      </c>
      <c r="F2576" s="160">
        <v>5726.66</v>
      </c>
      <c r="G2576" s="160">
        <f>'FACUS$'!$F2576*0.16</f>
        <v>916.2656</v>
      </c>
      <c r="H2576" s="160">
        <f t="shared" si="68"/>
        <v>6642.9256</v>
      </c>
      <c r="I2576" s="172"/>
      <c r="J2576" s="169"/>
      <c r="K2576" s="172"/>
      <c r="L2576" s="172">
        <f>+'FACUS$'!$H2576-'FACUS$'!$I2576-'FACUS$'!$K2576</f>
        <v>6642.9256</v>
      </c>
      <c r="M2576" s="162" t="s">
        <v>42</v>
      </c>
      <c r="N2576" s="337" t="s">
        <v>554</v>
      </c>
      <c r="O2576" s="338">
        <v>45387.0</v>
      </c>
      <c r="P2576" s="164">
        <f t="array" ref="P2576">XLOOKUP('FACUS$'!$B2576,'perfil de pagos'!$A$4:$A$46,'perfil de pagos'!$C$4:$C$46+'FACUS$'!$D2576)</f>
        <v>45381</v>
      </c>
      <c r="Q2576" s="165">
        <f t="shared" si="66"/>
        <v>0</v>
      </c>
      <c r="R2576" s="167"/>
      <c r="S2576" s="167">
        <v>2922.0</v>
      </c>
      <c r="T2576" s="167"/>
      <c r="U2576" s="334"/>
      <c r="V2576" s="168">
        <f t="shared" si="3"/>
        <v>6642.9256</v>
      </c>
      <c r="W2576" s="168">
        <f t="shared" si="4"/>
        <v>0</v>
      </c>
      <c r="X2576" s="168">
        <f t="shared" si="5"/>
        <v>0</v>
      </c>
      <c r="Y2576" s="168">
        <f t="shared" si="6"/>
        <v>0</v>
      </c>
      <c r="Z2576" s="168">
        <f t="shared" si="7"/>
        <v>0</v>
      </c>
      <c r="AA2576" s="168">
        <f t="shared" si="8"/>
        <v>0</v>
      </c>
      <c r="AB2576" s="168">
        <f t="shared" si="9"/>
        <v>0</v>
      </c>
    </row>
    <row r="2577" ht="15.0" customHeight="1">
      <c r="A2577" s="157" t="s">
        <v>10097</v>
      </c>
      <c r="B2577" s="169" t="s">
        <v>44</v>
      </c>
      <c r="C2577" s="169" t="s">
        <v>10089</v>
      </c>
      <c r="D2577" s="317">
        <v>45371.0</v>
      </c>
      <c r="E2577" s="157" t="s">
        <v>600</v>
      </c>
      <c r="F2577" s="160">
        <v>14739.65</v>
      </c>
      <c r="G2577" s="160">
        <f>'FACUS$'!$F2577*0.16</f>
        <v>2358.344</v>
      </c>
      <c r="H2577" s="160">
        <f t="shared" si="68"/>
        <v>17097.994</v>
      </c>
      <c r="I2577" s="172"/>
      <c r="J2577" s="169"/>
      <c r="K2577" s="172"/>
      <c r="L2577" s="172">
        <f>+'FACUS$'!$H2577-'FACUS$'!$I2577-'FACUS$'!$K2577</f>
        <v>17097.994</v>
      </c>
      <c r="M2577" s="162" t="s">
        <v>361</v>
      </c>
      <c r="N2577" s="337" t="s">
        <v>554</v>
      </c>
      <c r="O2577" s="338">
        <v>45387.0</v>
      </c>
      <c r="P2577" s="164">
        <f t="array" ref="P2577">XLOOKUP('FACUS$'!$B2577,'perfil de pagos'!$A$4:$A$46,'perfil de pagos'!$C$4:$C$46+'FACUS$'!$D2577)</f>
        <v>45381</v>
      </c>
      <c r="Q2577" s="165">
        <f t="shared" si="66"/>
        <v>0</v>
      </c>
      <c r="R2577" s="167"/>
      <c r="S2577" s="167">
        <v>2924.0</v>
      </c>
      <c r="T2577" s="167"/>
      <c r="U2577" s="334"/>
      <c r="V2577" s="168">
        <f t="shared" si="3"/>
        <v>17097.994</v>
      </c>
      <c r="W2577" s="168">
        <f t="shared" si="4"/>
        <v>0</v>
      </c>
      <c r="X2577" s="168">
        <f t="shared" si="5"/>
        <v>0</v>
      </c>
      <c r="Y2577" s="168">
        <f t="shared" si="6"/>
        <v>0</v>
      </c>
      <c r="Z2577" s="168">
        <f t="shared" si="7"/>
        <v>0</v>
      </c>
      <c r="AA2577" s="168">
        <f t="shared" si="8"/>
        <v>0</v>
      </c>
      <c r="AB2577" s="168">
        <f t="shared" si="9"/>
        <v>0</v>
      </c>
    </row>
    <row r="2578" ht="15.0" customHeight="1">
      <c r="A2578" s="157" t="s">
        <v>10098</v>
      </c>
      <c r="B2578" s="169" t="s">
        <v>17</v>
      </c>
      <c r="C2578" s="169" t="s">
        <v>10089</v>
      </c>
      <c r="D2578" s="317">
        <v>45371.0</v>
      </c>
      <c r="E2578" s="157" t="s">
        <v>600</v>
      </c>
      <c r="F2578" s="160">
        <v>24443.14</v>
      </c>
      <c r="G2578" s="160">
        <f>'FACUS$'!$F2578*0.16</f>
        <v>3910.9024</v>
      </c>
      <c r="H2578" s="160">
        <f t="shared" si="68"/>
        <v>28354.0424</v>
      </c>
      <c r="I2578" s="172"/>
      <c r="J2578" s="169"/>
      <c r="K2578" s="172"/>
      <c r="L2578" s="172">
        <f>+'FACUS$'!$H2578-'FACUS$'!$I2578-'FACUS$'!$K2578</f>
        <v>28354.0424</v>
      </c>
      <c r="M2578" s="162" t="s">
        <v>17</v>
      </c>
      <c r="N2578" s="337" t="s">
        <v>554</v>
      </c>
      <c r="O2578" s="338">
        <v>45386.0</v>
      </c>
      <c r="P2578" s="164">
        <f t="array" ref="P2578">XLOOKUP('FACUS$'!$B2578,'perfil de pagos'!$A$4:$A$46,'perfil de pagos'!$C$4:$C$46+'FACUS$'!$D2578)</f>
        <v>45381</v>
      </c>
      <c r="Q2578" s="165">
        <f t="shared" si="66"/>
        <v>0</v>
      </c>
      <c r="R2578" s="167"/>
      <c r="S2578" s="167">
        <v>2912.0</v>
      </c>
      <c r="T2578" s="167"/>
      <c r="U2578" s="334"/>
      <c r="V2578" s="168">
        <f t="shared" si="3"/>
        <v>28354.0424</v>
      </c>
      <c r="W2578" s="168">
        <f t="shared" si="4"/>
        <v>0</v>
      </c>
      <c r="X2578" s="168">
        <f t="shared" si="5"/>
        <v>0</v>
      </c>
      <c r="Y2578" s="168">
        <f t="shared" si="6"/>
        <v>0</v>
      </c>
      <c r="Z2578" s="168">
        <f t="shared" si="7"/>
        <v>0</v>
      </c>
      <c r="AA2578" s="168">
        <f t="shared" si="8"/>
        <v>0</v>
      </c>
      <c r="AB2578" s="168">
        <f t="shared" si="9"/>
        <v>0</v>
      </c>
    </row>
    <row r="2579" ht="15.0" customHeight="1">
      <c r="A2579" s="157" t="s">
        <v>10099</v>
      </c>
      <c r="B2579" s="169" t="s">
        <v>38</v>
      </c>
      <c r="C2579" s="169" t="s">
        <v>10089</v>
      </c>
      <c r="D2579" s="317">
        <v>45372.0</v>
      </c>
      <c r="E2579" s="157" t="s">
        <v>600</v>
      </c>
      <c r="F2579" s="160">
        <v>2218.16</v>
      </c>
      <c r="G2579" s="160">
        <f>'FACUS$'!$F2579*0.16</f>
        <v>354.9056</v>
      </c>
      <c r="H2579" s="160">
        <f t="shared" si="68"/>
        <v>2573.0656</v>
      </c>
      <c r="I2579" s="172"/>
      <c r="J2579" s="169"/>
      <c r="K2579" s="172"/>
      <c r="L2579" s="172">
        <f>+'FACUS$'!$H2579-'FACUS$'!$I2579-'FACUS$'!$K2579</f>
        <v>2573.0656</v>
      </c>
      <c r="M2579" s="162" t="s">
        <v>4654</v>
      </c>
      <c r="N2579" s="337" t="s">
        <v>554</v>
      </c>
      <c r="O2579" s="338">
        <v>45427.0</v>
      </c>
      <c r="P2579" s="164">
        <f t="array" ref="P2579">XLOOKUP('FACUS$'!$B2579,'perfil de pagos'!$A$4:$A$46,'perfil de pagos'!$C$4:$C$46+'FACUS$'!$D2579)</f>
        <v>45402</v>
      </c>
      <c r="Q2579" s="165">
        <f t="shared" si="66"/>
        <v>0</v>
      </c>
      <c r="R2579" s="167"/>
      <c r="S2579" s="167">
        <v>2987.0</v>
      </c>
      <c r="T2579" s="167"/>
      <c r="U2579" s="334"/>
      <c r="V2579" s="168">
        <f t="shared" si="3"/>
        <v>2573.0656</v>
      </c>
      <c r="W2579" s="168">
        <f t="shared" si="4"/>
        <v>0</v>
      </c>
      <c r="X2579" s="168">
        <f t="shared" si="5"/>
        <v>0</v>
      </c>
      <c r="Y2579" s="168">
        <f t="shared" si="6"/>
        <v>0</v>
      </c>
      <c r="Z2579" s="168">
        <f t="shared" si="7"/>
        <v>0</v>
      </c>
      <c r="AA2579" s="168">
        <f t="shared" si="8"/>
        <v>0</v>
      </c>
      <c r="AB2579" s="168">
        <f t="shared" si="9"/>
        <v>0</v>
      </c>
    </row>
    <row r="2580" ht="15.0" customHeight="1">
      <c r="A2580" s="157" t="s">
        <v>10100</v>
      </c>
      <c r="B2580" s="169" t="s">
        <v>18</v>
      </c>
      <c r="C2580" s="169" t="s">
        <v>10089</v>
      </c>
      <c r="D2580" s="317">
        <v>45373.0</v>
      </c>
      <c r="E2580" s="157" t="s">
        <v>600</v>
      </c>
      <c r="F2580" s="160">
        <v>5869.52</v>
      </c>
      <c r="G2580" s="160">
        <f>'FACUS$'!$F2580*0.16</f>
        <v>939.1232</v>
      </c>
      <c r="H2580" s="160">
        <f t="shared" si="68"/>
        <v>6808.6432</v>
      </c>
      <c r="I2580" s="172"/>
      <c r="J2580" s="169"/>
      <c r="K2580" s="172"/>
      <c r="L2580" s="172">
        <f>+'FACUS$'!$H2580-'FACUS$'!$I2580-'FACUS$'!$K2580</f>
        <v>6808.6432</v>
      </c>
      <c r="M2580" s="162" t="s">
        <v>586</v>
      </c>
      <c r="N2580" s="337" t="s">
        <v>554</v>
      </c>
      <c r="O2580" s="338">
        <v>45391.0</v>
      </c>
      <c r="P2580" s="164">
        <f t="array" ref="P2580">XLOOKUP('FACUS$'!$B2580,'perfil de pagos'!$A$4:$A$46,'perfil de pagos'!$C$4:$C$46+'FACUS$'!$D2580)</f>
        <v>45383</v>
      </c>
      <c r="Q2580" s="165">
        <f t="shared" si="66"/>
        <v>0</v>
      </c>
      <c r="R2580" s="167"/>
      <c r="S2580" s="167">
        <v>2926.0</v>
      </c>
      <c r="T2580" s="167"/>
      <c r="U2580" s="334"/>
      <c r="V2580" s="168">
        <f t="shared" si="3"/>
        <v>6808.6432</v>
      </c>
      <c r="W2580" s="168">
        <f t="shared" si="4"/>
        <v>0</v>
      </c>
      <c r="X2580" s="168">
        <f t="shared" si="5"/>
        <v>0</v>
      </c>
      <c r="Y2580" s="168">
        <f t="shared" si="6"/>
        <v>0</v>
      </c>
      <c r="Z2580" s="168">
        <f t="shared" si="7"/>
        <v>0</v>
      </c>
      <c r="AA2580" s="168">
        <f t="shared" si="8"/>
        <v>0</v>
      </c>
      <c r="AB2580" s="168">
        <f t="shared" si="9"/>
        <v>0</v>
      </c>
    </row>
    <row r="2581" ht="15.0" customHeight="1">
      <c r="A2581" s="157" t="s">
        <v>10101</v>
      </c>
      <c r="B2581" s="169" t="s">
        <v>20</v>
      </c>
      <c r="C2581" s="169" t="s">
        <v>10089</v>
      </c>
      <c r="D2581" s="317">
        <v>45373.0</v>
      </c>
      <c r="E2581" s="157" t="s">
        <v>600</v>
      </c>
      <c r="F2581" s="160">
        <v>13573.69</v>
      </c>
      <c r="G2581" s="160">
        <f>'FACUS$'!$F2581*0.16</f>
        <v>2171.7904</v>
      </c>
      <c r="H2581" s="160">
        <f t="shared" si="68"/>
        <v>15745.4804</v>
      </c>
      <c r="I2581" s="172"/>
      <c r="J2581" s="169"/>
      <c r="K2581" s="172"/>
      <c r="L2581" s="172">
        <f>+'FACUS$'!$H2581-'FACUS$'!$I2581-'FACUS$'!$K2581</f>
        <v>15745.4804</v>
      </c>
      <c r="M2581" s="162" t="s">
        <v>732</v>
      </c>
      <c r="N2581" s="337" t="s">
        <v>554</v>
      </c>
      <c r="O2581" s="338">
        <v>45391.0</v>
      </c>
      <c r="P2581" s="164">
        <f t="array" ref="P2581">XLOOKUP('FACUS$'!$B2581,'perfil de pagos'!$A$4:$A$46,'perfil de pagos'!$C$4:$C$46+'FACUS$'!$D2581)</f>
        <v>45383</v>
      </c>
      <c r="Q2581" s="165">
        <f t="shared" si="66"/>
        <v>0</v>
      </c>
      <c r="R2581" s="167"/>
      <c r="S2581" s="167">
        <v>2926.0</v>
      </c>
      <c r="T2581" s="167"/>
      <c r="U2581" s="334"/>
      <c r="V2581" s="168">
        <f t="shared" si="3"/>
        <v>15745.4804</v>
      </c>
      <c r="W2581" s="168">
        <f t="shared" si="4"/>
        <v>0</v>
      </c>
      <c r="X2581" s="168">
        <f t="shared" si="5"/>
        <v>0</v>
      </c>
      <c r="Y2581" s="168">
        <f t="shared" si="6"/>
        <v>0</v>
      </c>
      <c r="Z2581" s="168">
        <f t="shared" si="7"/>
        <v>0</v>
      </c>
      <c r="AA2581" s="168">
        <f t="shared" si="8"/>
        <v>0</v>
      </c>
      <c r="AB2581" s="168">
        <f t="shared" si="9"/>
        <v>0</v>
      </c>
    </row>
    <row r="2582" ht="15.0" customHeight="1">
      <c r="A2582" s="157" t="s">
        <v>10102</v>
      </c>
      <c r="B2582" s="169" t="s">
        <v>22</v>
      </c>
      <c r="C2582" s="169" t="s">
        <v>10089</v>
      </c>
      <c r="D2582" s="317">
        <v>45373.0</v>
      </c>
      <c r="E2582" s="157" t="s">
        <v>600</v>
      </c>
      <c r="F2582" s="160">
        <v>16747.76</v>
      </c>
      <c r="G2582" s="160">
        <f>'FACUS$'!$F2582*0.16</f>
        <v>2679.6416</v>
      </c>
      <c r="H2582" s="160">
        <f t="shared" si="68"/>
        <v>19427.4016</v>
      </c>
      <c r="I2582" s="172">
        <v>5477.03</v>
      </c>
      <c r="J2582" s="169"/>
      <c r="K2582" s="172"/>
      <c r="L2582" s="172">
        <f>+'FACUS$'!$H2582-'FACUS$'!$I2582-'FACUS$'!$K2582</f>
        <v>13950.3716</v>
      </c>
      <c r="M2582" s="162" t="s">
        <v>220</v>
      </c>
      <c r="N2582" s="337" t="s">
        <v>554</v>
      </c>
      <c r="O2582" s="338">
        <v>45418.0</v>
      </c>
      <c r="P2582" s="164">
        <f t="array" ref="P2582">XLOOKUP('FACUS$'!$B2582,'perfil de pagos'!$A$4:$A$46,'perfil de pagos'!$C$4:$C$46+'FACUS$'!$D2582)</f>
        <v>45383</v>
      </c>
      <c r="Q2582" s="165">
        <f t="shared" si="66"/>
        <v>0</v>
      </c>
      <c r="R2582" s="167"/>
      <c r="S2582" s="167" t="s">
        <v>10103</v>
      </c>
      <c r="T2582" s="167"/>
      <c r="U2582" s="334"/>
      <c r="V2582" s="168">
        <f t="shared" si="3"/>
        <v>13950.3716</v>
      </c>
      <c r="W2582" s="168">
        <f t="shared" si="4"/>
        <v>0</v>
      </c>
      <c r="X2582" s="168">
        <f t="shared" si="5"/>
        <v>0</v>
      </c>
      <c r="Y2582" s="168">
        <f t="shared" si="6"/>
        <v>0</v>
      </c>
      <c r="Z2582" s="168">
        <f t="shared" si="7"/>
        <v>0</v>
      </c>
      <c r="AA2582" s="168">
        <f t="shared" si="8"/>
        <v>0</v>
      </c>
      <c r="AB2582" s="168">
        <f t="shared" si="9"/>
        <v>0</v>
      </c>
    </row>
    <row r="2583" ht="15.0" customHeight="1">
      <c r="A2583" s="157" t="s">
        <v>10104</v>
      </c>
      <c r="B2583" s="169" t="s">
        <v>25</v>
      </c>
      <c r="C2583" s="169" t="s">
        <v>10089</v>
      </c>
      <c r="D2583" s="317">
        <v>45373.0</v>
      </c>
      <c r="E2583" s="157" t="s">
        <v>600</v>
      </c>
      <c r="F2583" s="160">
        <v>5004.01</v>
      </c>
      <c r="G2583" s="160">
        <f>'FACUS$'!$F2583*0.16</f>
        <v>800.6416</v>
      </c>
      <c r="H2583" s="160">
        <f t="shared" si="68"/>
        <v>5804.6516</v>
      </c>
      <c r="I2583" s="172"/>
      <c r="J2583" s="169"/>
      <c r="K2583" s="172"/>
      <c r="L2583" s="172">
        <f>+'FACUS$'!$H2583-'FACUS$'!$I2583-'FACUS$'!$K2583</f>
        <v>5804.6516</v>
      </c>
      <c r="M2583" s="162" t="s">
        <v>4388</v>
      </c>
      <c r="N2583" s="337" t="s">
        <v>554</v>
      </c>
      <c r="O2583" s="338">
        <v>45390.0</v>
      </c>
      <c r="P2583" s="164">
        <f t="array" ref="P2583">XLOOKUP('FACUS$'!$B2583,'perfil de pagos'!$A$4:$A$46,'perfil de pagos'!$C$4:$C$46+'FACUS$'!$D2583)</f>
        <v>45383</v>
      </c>
      <c r="Q2583" s="165">
        <f t="shared" si="66"/>
        <v>0</v>
      </c>
      <c r="R2583" s="167"/>
      <c r="S2583" s="167">
        <v>2925.0</v>
      </c>
      <c r="T2583" s="167"/>
      <c r="U2583" s="334"/>
      <c r="V2583" s="168">
        <f t="shared" si="3"/>
        <v>5804.6516</v>
      </c>
      <c r="W2583" s="168">
        <f t="shared" si="4"/>
        <v>0</v>
      </c>
      <c r="X2583" s="168">
        <f t="shared" si="5"/>
        <v>0</v>
      </c>
      <c r="Y2583" s="168">
        <f t="shared" si="6"/>
        <v>0</v>
      </c>
      <c r="Z2583" s="168">
        <f t="shared" si="7"/>
        <v>0</v>
      </c>
      <c r="AA2583" s="168">
        <f t="shared" si="8"/>
        <v>0</v>
      </c>
      <c r="AB2583" s="168">
        <f t="shared" si="9"/>
        <v>0</v>
      </c>
    </row>
    <row r="2584" ht="15.0" customHeight="1">
      <c r="A2584" s="157" t="s">
        <v>10105</v>
      </c>
      <c r="B2584" s="169" t="s">
        <v>37</v>
      </c>
      <c r="C2584" s="169" t="s">
        <v>10089</v>
      </c>
      <c r="D2584" s="317">
        <v>45373.0</v>
      </c>
      <c r="E2584" s="157" t="s">
        <v>600</v>
      </c>
      <c r="F2584" s="160">
        <v>94940.35</v>
      </c>
      <c r="G2584" s="160">
        <f>'FACUS$'!$F2584*0.16</f>
        <v>15190.456</v>
      </c>
      <c r="H2584" s="160">
        <f t="shared" si="68"/>
        <v>110130.806</v>
      </c>
      <c r="I2584" s="172"/>
      <c r="J2584" s="169"/>
      <c r="K2584" s="172"/>
      <c r="L2584" s="172">
        <f>+'FACUS$'!$H2584-'FACUS$'!$I2584-'FACUS$'!$K2584</f>
        <v>110130.806</v>
      </c>
      <c r="M2584" s="162" t="s">
        <v>116</v>
      </c>
      <c r="N2584" s="337" t="s">
        <v>554</v>
      </c>
      <c r="O2584" s="338">
        <v>45425.0</v>
      </c>
      <c r="P2584" s="164">
        <f t="array" ref="P2584">XLOOKUP('FACUS$'!$B2584,'perfil de pagos'!$A$4:$A$46,'perfil de pagos'!$C$4:$C$46+'FACUS$'!$D2584)</f>
        <v>45383</v>
      </c>
      <c r="Q2584" s="165">
        <f t="shared" si="66"/>
        <v>0</v>
      </c>
      <c r="R2584" s="167"/>
      <c r="S2584" s="167"/>
      <c r="T2584" s="167"/>
      <c r="U2584" s="334"/>
      <c r="V2584" s="168">
        <f t="shared" si="3"/>
        <v>110130.806</v>
      </c>
      <c r="W2584" s="168">
        <f t="shared" si="4"/>
        <v>0</v>
      </c>
      <c r="X2584" s="168">
        <f t="shared" si="5"/>
        <v>0</v>
      </c>
      <c r="Y2584" s="168">
        <f t="shared" si="6"/>
        <v>0</v>
      </c>
      <c r="Z2584" s="168">
        <f t="shared" si="7"/>
        <v>0</v>
      </c>
      <c r="AA2584" s="168">
        <f t="shared" si="8"/>
        <v>0</v>
      </c>
      <c r="AB2584" s="168">
        <f t="shared" si="9"/>
        <v>0</v>
      </c>
    </row>
    <row r="2585" ht="15.0" customHeight="1">
      <c r="A2585" s="157" t="s">
        <v>10106</v>
      </c>
      <c r="B2585" s="169" t="s">
        <v>38</v>
      </c>
      <c r="C2585" s="169" t="s">
        <v>10089</v>
      </c>
      <c r="D2585" s="317">
        <v>45376.0</v>
      </c>
      <c r="E2585" s="157" t="s">
        <v>600</v>
      </c>
      <c r="F2585" s="160">
        <v>8841.62</v>
      </c>
      <c r="G2585" s="160">
        <f>'FACUS$'!$F2585*0.16</f>
        <v>1414.6592</v>
      </c>
      <c r="H2585" s="160">
        <f t="shared" si="68"/>
        <v>10256.2792</v>
      </c>
      <c r="I2585" s="172"/>
      <c r="J2585" s="169"/>
      <c r="K2585" s="172"/>
      <c r="L2585" s="172">
        <f>+'FACUS$'!$H2585-'FACUS$'!$I2585-'FACUS$'!$K2585</f>
        <v>10256.2792</v>
      </c>
      <c r="M2585" s="162" t="s">
        <v>145</v>
      </c>
      <c r="N2585" s="337" t="s">
        <v>554</v>
      </c>
      <c r="O2585" s="338">
        <v>45427.0</v>
      </c>
      <c r="P2585" s="164">
        <f t="array" ref="P2585">XLOOKUP('FACUS$'!$B2585,'perfil de pagos'!$A$4:$A$46,'perfil de pagos'!$C$4:$C$46+'FACUS$'!$D2585)</f>
        <v>45406</v>
      </c>
      <c r="Q2585" s="165">
        <f t="shared" si="66"/>
        <v>0</v>
      </c>
      <c r="R2585" s="167"/>
      <c r="S2585" s="167">
        <v>2987.0</v>
      </c>
      <c r="T2585" s="167"/>
      <c r="U2585" s="334"/>
      <c r="V2585" s="168">
        <f t="shared" si="3"/>
        <v>10256.2792</v>
      </c>
      <c r="W2585" s="168">
        <f t="shared" si="4"/>
        <v>0</v>
      </c>
      <c r="X2585" s="168">
        <f t="shared" si="5"/>
        <v>0</v>
      </c>
      <c r="Y2585" s="168">
        <f t="shared" si="6"/>
        <v>0</v>
      </c>
      <c r="Z2585" s="168">
        <f t="shared" si="7"/>
        <v>0</v>
      </c>
      <c r="AA2585" s="168">
        <f t="shared" si="8"/>
        <v>0</v>
      </c>
      <c r="AB2585" s="168">
        <f t="shared" si="9"/>
        <v>0</v>
      </c>
    </row>
    <row r="2586" ht="15.0" customHeight="1">
      <c r="A2586" s="157" t="s">
        <v>10107</v>
      </c>
      <c r="B2586" s="169" t="s">
        <v>38</v>
      </c>
      <c r="C2586" s="169" t="s">
        <v>10089</v>
      </c>
      <c r="D2586" s="317">
        <v>45376.0</v>
      </c>
      <c r="E2586" s="157" t="s">
        <v>600</v>
      </c>
      <c r="F2586" s="160">
        <v>5161.73</v>
      </c>
      <c r="G2586" s="160">
        <f>'FACUS$'!$F2586*0.16</f>
        <v>825.8768</v>
      </c>
      <c r="H2586" s="160">
        <f t="shared" si="68"/>
        <v>5987.6068</v>
      </c>
      <c r="I2586" s="172"/>
      <c r="J2586" s="169"/>
      <c r="K2586" s="172"/>
      <c r="L2586" s="172">
        <f>+'FACUS$'!$H2586-'FACUS$'!$I2586-'FACUS$'!$K2586</f>
        <v>5987.6068</v>
      </c>
      <c r="M2586" s="162" t="s">
        <v>642</v>
      </c>
      <c r="N2586" s="337" t="s">
        <v>554</v>
      </c>
      <c r="O2586" s="338">
        <v>45448.0</v>
      </c>
      <c r="P2586" s="164">
        <f t="array" ref="P2586">XLOOKUP('FACUS$'!$B2586,'perfil de pagos'!$A$4:$A$46,'perfil de pagos'!$C$4:$C$46+'FACUS$'!$D2586)</f>
        <v>45406</v>
      </c>
      <c r="Q2586" s="165">
        <f>IF(N2595="CANCELADO","N/A",IF(N2595="PAGADO",0,IF(ISBLANK(N2595),TODAY()-P2586)))</f>
        <v>0</v>
      </c>
      <c r="R2586" s="167"/>
      <c r="S2586" s="167">
        <v>3024.0</v>
      </c>
      <c r="T2586" s="167"/>
      <c r="U2586" s="334"/>
      <c r="V2586" s="168">
        <f t="shared" si="3"/>
        <v>5987.6068</v>
      </c>
      <c r="W2586" s="168">
        <f t="shared" si="4"/>
        <v>0</v>
      </c>
      <c r="X2586" s="168">
        <f t="shared" si="5"/>
        <v>0</v>
      </c>
      <c r="Y2586" s="168">
        <f t="shared" si="6"/>
        <v>0</v>
      </c>
      <c r="Z2586" s="168">
        <f t="shared" si="7"/>
        <v>0</v>
      </c>
      <c r="AA2586" s="168">
        <f t="shared" si="8"/>
        <v>0</v>
      </c>
      <c r="AB2586" s="168">
        <f t="shared" si="9"/>
        <v>0</v>
      </c>
    </row>
    <row r="2587" ht="15.0" customHeight="1">
      <c r="A2587" s="157" t="s">
        <v>10108</v>
      </c>
      <c r="B2587" s="169" t="s">
        <v>41</v>
      </c>
      <c r="C2587" s="169" t="s">
        <v>10109</v>
      </c>
      <c r="D2587" s="317">
        <v>45384.0</v>
      </c>
      <c r="E2587" s="157" t="s">
        <v>600</v>
      </c>
      <c r="F2587" s="160">
        <v>85625.77</v>
      </c>
      <c r="G2587" s="160">
        <f>'FACUS$'!$F2587*0.16</f>
        <v>13700.1232</v>
      </c>
      <c r="H2587" s="160">
        <f t="shared" si="68"/>
        <v>99325.8932</v>
      </c>
      <c r="I2587" s="172"/>
      <c r="J2587" s="169"/>
      <c r="K2587" s="172"/>
      <c r="L2587" s="172">
        <f>+'FACUS$'!$H2587-'FACUS$'!$I2587-'FACUS$'!$K2587</f>
        <v>99325.8932</v>
      </c>
      <c r="M2587" s="162" t="s">
        <v>875</v>
      </c>
      <c r="N2587" s="337" t="s">
        <v>554</v>
      </c>
      <c r="O2587" s="338">
        <v>45432.0</v>
      </c>
      <c r="P2587" s="164">
        <f t="array" ref="P2587">XLOOKUP('FACUS$'!$B2587,'perfil de pagos'!$A$4:$A$46,'perfil de pagos'!$C$4:$C$46+'FACUS$'!$D2587)</f>
        <v>45394</v>
      </c>
      <c r="Q2587" s="165">
        <f t="shared" ref="Q2587:Q2594" si="69">IF(N2587="CANCELADO","N/A",IF(N2587="PAGADO",0,IF(ISBLANK(N2587),TODAY()-P2587)))</f>
        <v>0</v>
      </c>
      <c r="R2587" s="167"/>
      <c r="S2587" s="167"/>
      <c r="T2587" s="167"/>
      <c r="U2587" s="334"/>
      <c r="V2587" s="168">
        <f t="shared" si="3"/>
        <v>99325.8932</v>
      </c>
      <c r="W2587" s="168">
        <f t="shared" si="4"/>
        <v>0</v>
      </c>
      <c r="X2587" s="168">
        <f t="shared" si="5"/>
        <v>0</v>
      </c>
      <c r="Y2587" s="168">
        <f t="shared" si="6"/>
        <v>0</v>
      </c>
      <c r="Z2587" s="168">
        <f t="shared" si="7"/>
        <v>0</v>
      </c>
      <c r="AA2587" s="168">
        <f t="shared" si="8"/>
        <v>0</v>
      </c>
      <c r="AB2587" s="168">
        <f t="shared" si="9"/>
        <v>0</v>
      </c>
    </row>
    <row r="2588" ht="15.0" customHeight="1">
      <c r="A2588" s="157" t="s">
        <v>10110</v>
      </c>
      <c r="B2588" s="169" t="s">
        <v>34</v>
      </c>
      <c r="C2588" s="169" t="s">
        <v>10109</v>
      </c>
      <c r="D2588" s="317">
        <v>45384.0</v>
      </c>
      <c r="E2588" s="157" t="s">
        <v>600</v>
      </c>
      <c r="F2588" s="160">
        <v>20012.02</v>
      </c>
      <c r="G2588" s="160">
        <f>'FACUS$'!$F2588*0.16</f>
        <v>3201.9232</v>
      </c>
      <c r="H2588" s="160">
        <f t="shared" si="68"/>
        <v>23213.9432</v>
      </c>
      <c r="I2588" s="172"/>
      <c r="J2588" s="169"/>
      <c r="K2588" s="172"/>
      <c r="L2588" s="172">
        <f>+'FACUS$'!$H2588-'FACUS$'!$I2588-'FACUS$'!$K2588</f>
        <v>23213.9432</v>
      </c>
      <c r="M2588" s="162" t="s">
        <v>538</v>
      </c>
      <c r="N2588" s="337" t="s">
        <v>554</v>
      </c>
      <c r="O2588" s="338">
        <v>45408.0</v>
      </c>
      <c r="P2588" s="164">
        <f t="array" ref="P2588">XLOOKUP('FACUS$'!$B2588,'perfil de pagos'!$A$4:$A$46,'perfil de pagos'!$C$4:$C$46+'FACUS$'!$D2588)</f>
        <v>45394</v>
      </c>
      <c r="Q2588" s="165">
        <f t="shared" si="69"/>
        <v>0</v>
      </c>
      <c r="R2588" s="167"/>
      <c r="S2588" s="167">
        <v>2953.0</v>
      </c>
      <c r="T2588" s="167"/>
      <c r="U2588" s="334"/>
      <c r="V2588" s="168">
        <f t="shared" si="3"/>
        <v>23213.9432</v>
      </c>
      <c r="W2588" s="168">
        <f t="shared" si="4"/>
        <v>0</v>
      </c>
      <c r="X2588" s="168">
        <f t="shared" si="5"/>
        <v>0</v>
      </c>
      <c r="Y2588" s="168">
        <f t="shared" si="6"/>
        <v>0</v>
      </c>
      <c r="Z2588" s="168">
        <f t="shared" si="7"/>
        <v>0</v>
      </c>
      <c r="AA2588" s="168">
        <f t="shared" si="8"/>
        <v>0</v>
      </c>
      <c r="AB2588" s="168">
        <f t="shared" si="9"/>
        <v>0</v>
      </c>
    </row>
    <row r="2589" ht="15.0" customHeight="1">
      <c r="A2589" s="157" t="s">
        <v>10111</v>
      </c>
      <c r="B2589" s="169" t="s">
        <v>34</v>
      </c>
      <c r="C2589" s="169" t="s">
        <v>10109</v>
      </c>
      <c r="D2589" s="317">
        <v>45384.0</v>
      </c>
      <c r="E2589" s="157" t="s">
        <v>600</v>
      </c>
      <c r="F2589" s="160">
        <v>26371.49</v>
      </c>
      <c r="G2589" s="160">
        <f>'FACUS$'!$F2589*0.16</f>
        <v>4219.4384</v>
      </c>
      <c r="H2589" s="160">
        <f t="shared" si="68"/>
        <v>30590.9284</v>
      </c>
      <c r="I2589" s="172"/>
      <c r="J2589" s="169"/>
      <c r="K2589" s="172"/>
      <c r="L2589" s="172">
        <f>+'FACUS$'!$H2589-'FACUS$'!$I2589-'FACUS$'!$K2589</f>
        <v>30590.9284</v>
      </c>
      <c r="M2589" s="162" t="s">
        <v>538</v>
      </c>
      <c r="N2589" s="337" t="s">
        <v>554</v>
      </c>
      <c r="O2589" s="338">
        <v>45408.0</v>
      </c>
      <c r="P2589" s="164">
        <f t="array" ref="P2589">XLOOKUP('FACUS$'!$B2589,'perfil de pagos'!$A$4:$A$46,'perfil de pagos'!$C$4:$C$46+'FACUS$'!$D2589)</f>
        <v>45394</v>
      </c>
      <c r="Q2589" s="165">
        <f t="shared" si="69"/>
        <v>0</v>
      </c>
      <c r="R2589" s="167"/>
      <c r="S2589" s="167">
        <v>2953.0</v>
      </c>
      <c r="T2589" s="167"/>
      <c r="U2589" s="334"/>
      <c r="V2589" s="168">
        <f t="shared" si="3"/>
        <v>30590.9284</v>
      </c>
      <c r="W2589" s="168">
        <f t="shared" si="4"/>
        <v>0</v>
      </c>
      <c r="X2589" s="168">
        <f t="shared" si="5"/>
        <v>0</v>
      </c>
      <c r="Y2589" s="168">
        <f t="shared" si="6"/>
        <v>0</v>
      </c>
      <c r="Z2589" s="168">
        <f t="shared" si="7"/>
        <v>0</v>
      </c>
      <c r="AA2589" s="168">
        <f t="shared" si="8"/>
        <v>0</v>
      </c>
      <c r="AB2589" s="168">
        <f t="shared" si="9"/>
        <v>0</v>
      </c>
    </row>
    <row r="2590" ht="15.0" customHeight="1">
      <c r="A2590" s="157" t="s">
        <v>10112</v>
      </c>
      <c r="B2590" s="169" t="s">
        <v>35</v>
      </c>
      <c r="C2590" s="169" t="s">
        <v>10109</v>
      </c>
      <c r="D2590" s="317">
        <v>45384.0</v>
      </c>
      <c r="E2590" s="157" t="s">
        <v>600</v>
      </c>
      <c r="F2590" s="160">
        <v>16888.54</v>
      </c>
      <c r="G2590" s="160">
        <f>'FACUS$'!$F2590*0.16</f>
        <v>2702.1664</v>
      </c>
      <c r="H2590" s="160">
        <f t="shared" si="68"/>
        <v>19590.7064</v>
      </c>
      <c r="I2590" s="172">
        <v>1816.55</v>
      </c>
      <c r="J2590" s="169"/>
      <c r="K2590" s="172"/>
      <c r="L2590" s="172">
        <f>+'FACUS$'!$H2590-'FACUS$'!$I2590-'FACUS$'!$K2590</f>
        <v>17774.1564</v>
      </c>
      <c r="M2590" s="162" t="s">
        <v>276</v>
      </c>
      <c r="N2590" s="337" t="s">
        <v>554</v>
      </c>
      <c r="O2590" s="338">
        <v>45401.0</v>
      </c>
      <c r="P2590" s="164">
        <f t="array" ref="P2590">XLOOKUP('FACUS$'!$B2590,'perfil de pagos'!$A$4:$A$46,'perfil de pagos'!$C$4:$C$46+'FACUS$'!$D2590)</f>
        <v>45394</v>
      </c>
      <c r="Q2590" s="165">
        <f t="shared" si="69"/>
        <v>0</v>
      </c>
      <c r="R2590" s="220" t="s">
        <v>10113</v>
      </c>
      <c r="S2590" s="220" t="s">
        <v>10114</v>
      </c>
      <c r="T2590" s="167"/>
      <c r="U2590" s="334"/>
      <c r="V2590" s="168">
        <f t="shared" si="3"/>
        <v>17774.1564</v>
      </c>
      <c r="W2590" s="168">
        <f t="shared" si="4"/>
        <v>0</v>
      </c>
      <c r="X2590" s="168">
        <f t="shared" si="5"/>
        <v>0</v>
      </c>
      <c r="Y2590" s="168">
        <f t="shared" si="6"/>
        <v>0</v>
      </c>
      <c r="Z2590" s="168">
        <f t="shared" si="7"/>
        <v>0</v>
      </c>
      <c r="AA2590" s="168">
        <f t="shared" si="8"/>
        <v>0</v>
      </c>
      <c r="AB2590" s="168">
        <f t="shared" si="9"/>
        <v>0</v>
      </c>
    </row>
    <row r="2591" ht="15.0" customHeight="1">
      <c r="A2591" s="157" t="s">
        <v>10115</v>
      </c>
      <c r="B2591" s="169" t="s">
        <v>17</v>
      </c>
      <c r="C2591" s="169" t="s">
        <v>10116</v>
      </c>
      <c r="D2591" s="317">
        <v>45384.0</v>
      </c>
      <c r="E2591" s="157" t="s">
        <v>600</v>
      </c>
      <c r="F2591" s="160">
        <v>10901.97</v>
      </c>
      <c r="G2591" s="160">
        <f>'FACUS$'!$F2591*0.16</f>
        <v>1744.3152</v>
      </c>
      <c r="H2591" s="160">
        <f t="shared" si="68"/>
        <v>12646.2852</v>
      </c>
      <c r="I2591" s="172"/>
      <c r="J2591" s="169"/>
      <c r="K2591" s="172"/>
      <c r="L2591" s="172">
        <f>+'FACUS$'!$H2591-'FACUS$'!$I2591-'FACUS$'!$K2591</f>
        <v>12646.2852</v>
      </c>
      <c r="M2591" s="162" t="s">
        <v>17</v>
      </c>
      <c r="N2591" s="337" t="s">
        <v>554</v>
      </c>
      <c r="O2591" s="338">
        <v>45393.0</v>
      </c>
      <c r="P2591" s="164">
        <f t="array" ref="P2591">XLOOKUP('FACUS$'!$B2591,'perfil de pagos'!$A$4:$A$46,'perfil de pagos'!$C$4:$C$46+'FACUS$'!$D2591)</f>
        <v>45394</v>
      </c>
      <c r="Q2591" s="165">
        <f t="shared" si="69"/>
        <v>0</v>
      </c>
      <c r="R2591" s="167"/>
      <c r="S2591" s="167">
        <v>2930.0</v>
      </c>
      <c r="T2591" s="167"/>
      <c r="U2591" s="334"/>
      <c r="V2591" s="168">
        <f t="shared" si="3"/>
        <v>12646.2852</v>
      </c>
      <c r="W2591" s="168">
        <f t="shared" si="4"/>
        <v>0</v>
      </c>
      <c r="X2591" s="168">
        <f t="shared" si="5"/>
        <v>0</v>
      </c>
      <c r="Y2591" s="168">
        <f t="shared" si="6"/>
        <v>0</v>
      </c>
      <c r="Z2591" s="168">
        <f t="shared" si="7"/>
        <v>0</v>
      </c>
      <c r="AA2591" s="168">
        <f t="shared" si="8"/>
        <v>0</v>
      </c>
      <c r="AB2591" s="168">
        <f t="shared" si="9"/>
        <v>0</v>
      </c>
    </row>
    <row r="2592" ht="15.0" customHeight="1">
      <c r="A2592" s="157" t="s">
        <v>10117</v>
      </c>
      <c r="B2592" s="169" t="s">
        <v>17</v>
      </c>
      <c r="C2592" s="169" t="s">
        <v>10109</v>
      </c>
      <c r="D2592" s="317">
        <v>45384.0</v>
      </c>
      <c r="E2592" s="157" t="s">
        <v>600</v>
      </c>
      <c r="F2592" s="160">
        <v>21509.66</v>
      </c>
      <c r="G2592" s="160">
        <f>'FACUS$'!$F2592*0.16</f>
        <v>3441.5456</v>
      </c>
      <c r="H2592" s="160">
        <f t="shared" si="68"/>
        <v>24951.2056</v>
      </c>
      <c r="I2592" s="172"/>
      <c r="J2592" s="169"/>
      <c r="K2592" s="172"/>
      <c r="L2592" s="172">
        <f>+'FACUS$'!$H2592-'FACUS$'!$I2592-'FACUS$'!$K2592</f>
        <v>24951.2056</v>
      </c>
      <c r="M2592" s="162" t="s">
        <v>17</v>
      </c>
      <c r="N2592" s="337" t="s">
        <v>554</v>
      </c>
      <c r="O2592" s="338">
        <v>45393.0</v>
      </c>
      <c r="P2592" s="164">
        <f t="array" ref="P2592">XLOOKUP('FACUS$'!$B2592,'perfil de pagos'!$A$4:$A$46,'perfil de pagos'!$C$4:$C$46+'FACUS$'!$D2592)</f>
        <v>45394</v>
      </c>
      <c r="Q2592" s="165">
        <f t="shared" si="69"/>
        <v>0</v>
      </c>
      <c r="R2592" s="167"/>
      <c r="S2592" s="167">
        <v>2930.0</v>
      </c>
      <c r="T2592" s="167"/>
      <c r="U2592" s="334"/>
      <c r="V2592" s="168">
        <f t="shared" si="3"/>
        <v>24951.2056</v>
      </c>
      <c r="W2592" s="168">
        <f t="shared" si="4"/>
        <v>0</v>
      </c>
      <c r="X2592" s="168">
        <f t="shared" si="5"/>
        <v>0</v>
      </c>
      <c r="Y2592" s="168">
        <f t="shared" si="6"/>
        <v>0</v>
      </c>
      <c r="Z2592" s="168">
        <f t="shared" si="7"/>
        <v>0</v>
      </c>
      <c r="AA2592" s="168">
        <f t="shared" si="8"/>
        <v>0</v>
      </c>
      <c r="AB2592" s="168">
        <f t="shared" si="9"/>
        <v>0</v>
      </c>
    </row>
    <row r="2593" ht="15.0" customHeight="1">
      <c r="A2593" s="157" t="s">
        <v>10118</v>
      </c>
      <c r="B2593" s="169" t="s">
        <v>42</v>
      </c>
      <c r="C2593" s="169" t="s">
        <v>10109</v>
      </c>
      <c r="D2593" s="317">
        <v>45384.0</v>
      </c>
      <c r="E2593" s="157" t="s">
        <v>600</v>
      </c>
      <c r="F2593" s="160">
        <v>7525.78</v>
      </c>
      <c r="G2593" s="160">
        <f>'FACUS$'!$F2593*0.16</f>
        <v>1204.1248</v>
      </c>
      <c r="H2593" s="160">
        <f t="shared" si="68"/>
        <v>8729.9048</v>
      </c>
      <c r="I2593" s="172"/>
      <c r="J2593" s="169"/>
      <c r="K2593" s="172"/>
      <c r="L2593" s="172">
        <f>+'FACUS$'!$H2593-'FACUS$'!$I2593-'FACUS$'!$K2593</f>
        <v>8729.9048</v>
      </c>
      <c r="M2593" s="162" t="s">
        <v>42</v>
      </c>
      <c r="N2593" s="337" t="s">
        <v>554</v>
      </c>
      <c r="O2593" s="338">
        <v>45393.0</v>
      </c>
      <c r="P2593" s="164">
        <f t="array" ref="P2593">XLOOKUP('FACUS$'!$B2593,'perfil de pagos'!$A$4:$A$46,'perfil de pagos'!$C$4:$C$46+'FACUS$'!$D2593)</f>
        <v>45394</v>
      </c>
      <c r="Q2593" s="165">
        <f t="shared" si="69"/>
        <v>0</v>
      </c>
      <c r="R2593" s="167"/>
      <c r="S2593" s="167">
        <v>2929.0</v>
      </c>
      <c r="T2593" s="167"/>
      <c r="U2593" s="334"/>
      <c r="V2593" s="168">
        <f t="shared" si="3"/>
        <v>8729.9048</v>
      </c>
      <c r="W2593" s="168">
        <f t="shared" si="4"/>
        <v>0</v>
      </c>
      <c r="X2593" s="168">
        <f t="shared" si="5"/>
        <v>0</v>
      </c>
      <c r="Y2593" s="168">
        <f t="shared" si="6"/>
        <v>0</v>
      </c>
      <c r="Z2593" s="168">
        <f t="shared" si="7"/>
        <v>0</v>
      </c>
      <c r="AA2593" s="168">
        <f t="shared" si="8"/>
        <v>0</v>
      </c>
      <c r="AB2593" s="168">
        <f t="shared" si="9"/>
        <v>0</v>
      </c>
    </row>
    <row r="2594" ht="15.0" customHeight="1">
      <c r="A2594" s="157" t="s">
        <v>10119</v>
      </c>
      <c r="B2594" s="169" t="s">
        <v>44</v>
      </c>
      <c r="C2594" s="169" t="s">
        <v>10109</v>
      </c>
      <c r="D2594" s="317">
        <v>45384.0</v>
      </c>
      <c r="E2594" s="157" t="s">
        <v>600</v>
      </c>
      <c r="F2594" s="160">
        <v>14447.9</v>
      </c>
      <c r="G2594" s="160">
        <f>'FACUS$'!$F2594*0.16</f>
        <v>2311.664</v>
      </c>
      <c r="H2594" s="160">
        <f t="shared" si="68"/>
        <v>16759.564</v>
      </c>
      <c r="I2594" s="172"/>
      <c r="J2594" s="169"/>
      <c r="K2594" s="172"/>
      <c r="L2594" s="172">
        <f>+'FACUS$'!$H2594-'FACUS$'!$I2594-'FACUS$'!$K2594</f>
        <v>16759.564</v>
      </c>
      <c r="M2594" s="162" t="s">
        <v>361</v>
      </c>
      <c r="N2594" s="337" t="s">
        <v>554</v>
      </c>
      <c r="O2594" s="338">
        <v>45394.0</v>
      </c>
      <c r="P2594" s="164">
        <f t="array" ref="P2594">XLOOKUP('FACUS$'!$B2594,'perfil de pagos'!$A$4:$A$46,'perfil de pagos'!$C$4:$C$46+'FACUS$'!$D2594)</f>
        <v>45394</v>
      </c>
      <c r="Q2594" s="165">
        <f t="shared" si="69"/>
        <v>0</v>
      </c>
      <c r="R2594" s="167"/>
      <c r="S2594" s="167">
        <v>2936.0</v>
      </c>
      <c r="T2594" s="167"/>
      <c r="U2594" s="334"/>
      <c r="V2594" s="168">
        <f t="shared" si="3"/>
        <v>16759.564</v>
      </c>
      <c r="W2594" s="168">
        <f t="shared" si="4"/>
        <v>0</v>
      </c>
      <c r="X2594" s="168">
        <f t="shared" si="5"/>
        <v>0</v>
      </c>
      <c r="Y2594" s="168">
        <f t="shared" si="6"/>
        <v>0</v>
      </c>
      <c r="Z2594" s="168">
        <f t="shared" si="7"/>
        <v>0</v>
      </c>
      <c r="AA2594" s="168">
        <f t="shared" si="8"/>
        <v>0</v>
      </c>
      <c r="AB2594" s="168">
        <f t="shared" si="9"/>
        <v>0</v>
      </c>
    </row>
    <row r="2595" ht="15.0" customHeight="1">
      <c r="A2595" s="157" t="s">
        <v>10120</v>
      </c>
      <c r="B2595" s="169" t="s">
        <v>38</v>
      </c>
      <c r="C2595" s="169" t="s">
        <v>10109</v>
      </c>
      <c r="D2595" s="317">
        <v>45385.0</v>
      </c>
      <c r="E2595" s="157" t="s">
        <v>600</v>
      </c>
      <c r="F2595" s="160">
        <v>2937.92</v>
      </c>
      <c r="G2595" s="160">
        <f>'FACUS$'!$F2595*0.16</f>
        <v>470.0672</v>
      </c>
      <c r="H2595" s="160">
        <f t="shared" si="68"/>
        <v>3407.9872</v>
      </c>
      <c r="I2595" s="172"/>
      <c r="J2595" s="169"/>
      <c r="K2595" s="172"/>
      <c r="L2595" s="172">
        <f>+'FACUS$'!$H2595-'FACUS$'!$I2595-'FACUS$'!$K2595</f>
        <v>3407.9872</v>
      </c>
      <c r="M2595" s="162" t="s">
        <v>4654</v>
      </c>
      <c r="N2595" s="337" t="s">
        <v>554</v>
      </c>
      <c r="O2595" s="338">
        <v>45448.0</v>
      </c>
      <c r="P2595" s="164">
        <f t="array" ref="P2595">XLOOKUP('FACUS$'!$B2595,'perfil de pagos'!$A$4:$A$46,'perfil de pagos'!$C$4:$C$46+'FACUS$'!$D2595)</f>
        <v>45415</v>
      </c>
      <c r="Q2595" s="165" t="str">
        <f>IF(#REF!="CANCELADO","N/A",IF(#REF!="PAGADO",0,IF(ISBLANK(#REF!),TODAY()-P2595)))</f>
        <v>#REF!</v>
      </c>
      <c r="R2595" s="167"/>
      <c r="S2595" s="167">
        <v>3024.0</v>
      </c>
      <c r="T2595" s="167"/>
      <c r="U2595" s="334"/>
      <c r="V2595" s="168" t="str">
        <f t="shared" si="3"/>
        <v>#REF!</v>
      </c>
      <c r="W2595" s="168" t="str">
        <f t="shared" si="4"/>
        <v>#REF!</v>
      </c>
      <c r="X2595" s="168" t="str">
        <f t="shared" si="5"/>
        <v>#REF!</v>
      </c>
      <c r="Y2595" s="168" t="str">
        <f t="shared" si="6"/>
        <v>#REF!</v>
      </c>
      <c r="Z2595" s="168" t="str">
        <f t="shared" si="7"/>
        <v>#REF!</v>
      </c>
      <c r="AA2595" s="168" t="str">
        <f t="shared" si="8"/>
        <v>#REF!</v>
      </c>
      <c r="AB2595" s="168" t="str">
        <f t="shared" si="9"/>
        <v>#REF!</v>
      </c>
    </row>
    <row r="2596" ht="15.0" customHeight="1">
      <c r="A2596" s="157" t="s">
        <v>10121</v>
      </c>
      <c r="B2596" s="169" t="s">
        <v>18</v>
      </c>
      <c r="C2596" s="169" t="s">
        <v>10109</v>
      </c>
      <c r="D2596" s="317">
        <v>45393.0</v>
      </c>
      <c r="E2596" s="157" t="s">
        <v>600</v>
      </c>
      <c r="F2596" s="160">
        <v>6424.81</v>
      </c>
      <c r="G2596" s="160">
        <f>'FACUS$'!$F2596*0.16</f>
        <v>1027.9696</v>
      </c>
      <c r="H2596" s="160">
        <f t="shared" si="68"/>
        <v>7452.7796</v>
      </c>
      <c r="I2596" s="172"/>
      <c r="J2596" s="169"/>
      <c r="K2596" s="172"/>
      <c r="L2596" s="172">
        <f>+'FACUS$'!$H2596-'FACUS$'!$I2596-'FACUS$'!$K2596</f>
        <v>7452.7796</v>
      </c>
      <c r="M2596" s="162" t="s">
        <v>586</v>
      </c>
      <c r="N2596" s="337" t="s">
        <v>554</v>
      </c>
      <c r="O2596" s="338">
        <v>45454.0</v>
      </c>
      <c r="P2596" s="164">
        <f t="array" ref="P2596">XLOOKUP('FACUS$'!$B2596,'perfil de pagos'!$A$4:$A$46,'perfil de pagos'!$C$4:$C$46+'FACUS$'!$D2596)</f>
        <v>45403</v>
      </c>
      <c r="Q2596" s="165">
        <f t="shared" ref="Q2596:Q2984" si="70">IF(N2596="CANCELADO","N/A",IF(N2596="PAGADO",0,IF(ISBLANK(N2596),TODAY()-P2596)))</f>
        <v>0</v>
      </c>
      <c r="R2596" s="167"/>
      <c r="S2596" s="167">
        <v>3050.0</v>
      </c>
      <c r="T2596" s="167"/>
      <c r="U2596" s="334"/>
      <c r="V2596" s="168">
        <f t="shared" si="3"/>
        <v>7452.7796</v>
      </c>
      <c r="W2596" s="168">
        <f t="shared" si="4"/>
        <v>0</v>
      </c>
      <c r="X2596" s="168">
        <f t="shared" si="5"/>
        <v>0</v>
      </c>
      <c r="Y2596" s="168">
        <f t="shared" si="6"/>
        <v>0</v>
      </c>
      <c r="Z2596" s="168">
        <f t="shared" si="7"/>
        <v>0</v>
      </c>
      <c r="AA2596" s="168">
        <f t="shared" si="8"/>
        <v>0</v>
      </c>
      <c r="AB2596" s="168">
        <f t="shared" si="9"/>
        <v>0</v>
      </c>
    </row>
    <row r="2597" ht="15.0" customHeight="1">
      <c r="A2597" s="157" t="s">
        <v>10122</v>
      </c>
      <c r="B2597" s="169" t="s">
        <v>20</v>
      </c>
      <c r="C2597" s="169" t="s">
        <v>10109</v>
      </c>
      <c r="D2597" s="317">
        <v>45393.0</v>
      </c>
      <c r="E2597" s="157" t="s">
        <v>600</v>
      </c>
      <c r="F2597" s="160">
        <v>13413.46</v>
      </c>
      <c r="G2597" s="160">
        <f>'FACUS$'!$F2597*0.16</f>
        <v>2146.1536</v>
      </c>
      <c r="H2597" s="160">
        <f t="shared" si="68"/>
        <v>15559.6136</v>
      </c>
      <c r="I2597" s="172"/>
      <c r="J2597" s="169"/>
      <c r="K2597" s="172"/>
      <c r="L2597" s="172">
        <f>+'FACUS$'!$H2597-'FACUS$'!$I2597-'FACUS$'!$K2597</f>
        <v>15559.6136</v>
      </c>
      <c r="M2597" s="162" t="s">
        <v>732</v>
      </c>
      <c r="N2597" s="337" t="s">
        <v>554</v>
      </c>
      <c r="O2597" s="338">
        <v>45454.0</v>
      </c>
      <c r="P2597" s="164">
        <f t="array" ref="P2597">XLOOKUP('FACUS$'!$B2597,'perfil de pagos'!$A$4:$A$46,'perfil de pagos'!$C$4:$C$46+'FACUS$'!$D2597)</f>
        <v>45403</v>
      </c>
      <c r="Q2597" s="165">
        <f t="shared" si="70"/>
        <v>0</v>
      </c>
      <c r="R2597" s="167"/>
      <c r="S2597" s="167">
        <v>3050.0</v>
      </c>
      <c r="T2597" s="167"/>
      <c r="U2597" s="334"/>
      <c r="V2597" s="168">
        <f t="shared" si="3"/>
        <v>15559.6136</v>
      </c>
      <c r="W2597" s="168">
        <f t="shared" si="4"/>
        <v>0</v>
      </c>
      <c r="X2597" s="168">
        <f t="shared" si="5"/>
        <v>0</v>
      </c>
      <c r="Y2597" s="168">
        <f t="shared" si="6"/>
        <v>0</v>
      </c>
      <c r="Z2597" s="168">
        <f t="shared" si="7"/>
        <v>0</v>
      </c>
      <c r="AA2597" s="168">
        <f t="shared" si="8"/>
        <v>0</v>
      </c>
      <c r="AB2597" s="168">
        <f t="shared" si="9"/>
        <v>0</v>
      </c>
    </row>
    <row r="2598" ht="15.0" customHeight="1">
      <c r="A2598" s="157" t="s">
        <v>10123</v>
      </c>
      <c r="B2598" s="169" t="s">
        <v>22</v>
      </c>
      <c r="C2598" s="169" t="s">
        <v>10109</v>
      </c>
      <c r="D2598" s="317">
        <v>45393.0</v>
      </c>
      <c r="E2598" s="157" t="s">
        <v>600</v>
      </c>
      <c r="F2598" s="160">
        <v>21168.62</v>
      </c>
      <c r="G2598" s="160">
        <f>'FACUS$'!$F2598*0.16</f>
        <v>3386.9792</v>
      </c>
      <c r="H2598" s="160">
        <f t="shared" si="68"/>
        <v>24555.5992</v>
      </c>
      <c r="I2598" s="172">
        <f>808.21+17987.55</f>
        <v>18795.76</v>
      </c>
      <c r="J2598" s="169"/>
      <c r="K2598" s="172"/>
      <c r="L2598" s="172">
        <f>+'FACUS$'!$H2598-'FACUS$'!$I2598-'FACUS$'!$K2598</f>
        <v>5759.8392</v>
      </c>
      <c r="M2598" s="162" t="s">
        <v>220</v>
      </c>
      <c r="N2598" s="337" t="s">
        <v>554</v>
      </c>
      <c r="O2598" s="338">
        <v>45443.0</v>
      </c>
      <c r="P2598" s="164">
        <f t="array" ref="P2598">XLOOKUP('FACUS$'!$B2598,'perfil de pagos'!$A$4:$A$46,'perfil de pagos'!$C$4:$C$46+'FACUS$'!$D2598)</f>
        <v>45403</v>
      </c>
      <c r="Q2598" s="165">
        <f t="shared" si="70"/>
        <v>0</v>
      </c>
      <c r="R2598" s="220" t="s">
        <v>10124</v>
      </c>
      <c r="S2598" s="220" t="s">
        <v>10125</v>
      </c>
      <c r="T2598" s="167"/>
      <c r="U2598" s="334"/>
      <c r="V2598" s="168">
        <f t="shared" si="3"/>
        <v>5759.8392</v>
      </c>
      <c r="W2598" s="168">
        <f t="shared" si="4"/>
        <v>0</v>
      </c>
      <c r="X2598" s="168">
        <f t="shared" si="5"/>
        <v>0</v>
      </c>
      <c r="Y2598" s="168">
        <f t="shared" si="6"/>
        <v>0</v>
      </c>
      <c r="Z2598" s="168">
        <f t="shared" si="7"/>
        <v>0</v>
      </c>
      <c r="AA2598" s="168">
        <f t="shared" si="8"/>
        <v>0</v>
      </c>
      <c r="AB2598" s="168">
        <f t="shared" si="9"/>
        <v>0</v>
      </c>
    </row>
    <row r="2599" ht="15.0" customHeight="1">
      <c r="A2599" s="157" t="s">
        <v>10126</v>
      </c>
      <c r="B2599" s="169" t="s">
        <v>25</v>
      </c>
      <c r="C2599" s="169" t="s">
        <v>10109</v>
      </c>
      <c r="D2599" s="317">
        <v>45393.0</v>
      </c>
      <c r="E2599" s="157" t="s">
        <v>600</v>
      </c>
      <c r="F2599" s="160">
        <v>6047.75</v>
      </c>
      <c r="G2599" s="160">
        <f>'FACUS$'!$F2599*0.16</f>
        <v>967.64</v>
      </c>
      <c r="H2599" s="160">
        <f t="shared" si="68"/>
        <v>7015.39</v>
      </c>
      <c r="I2599" s="172"/>
      <c r="J2599" s="169"/>
      <c r="K2599" s="172"/>
      <c r="L2599" s="172">
        <f>+'FACUS$'!$H2599-'FACUS$'!$I2599-'FACUS$'!$K2599</f>
        <v>7015.39</v>
      </c>
      <c r="M2599" s="162" t="s">
        <v>4388</v>
      </c>
      <c r="N2599" s="337" t="s">
        <v>554</v>
      </c>
      <c r="O2599" s="338">
        <v>45434.0</v>
      </c>
      <c r="P2599" s="164">
        <f t="array" ref="P2599">XLOOKUP('FACUS$'!$B2599,'perfil de pagos'!$A$4:$A$46,'perfil de pagos'!$C$4:$C$46+'FACUS$'!$D2599)</f>
        <v>45403</v>
      </c>
      <c r="Q2599" s="165">
        <f t="shared" si="70"/>
        <v>0</v>
      </c>
      <c r="R2599" s="167"/>
      <c r="S2599" s="167">
        <v>3001.0</v>
      </c>
      <c r="T2599" s="167"/>
      <c r="U2599" s="334"/>
      <c r="V2599" s="168">
        <f t="shared" si="3"/>
        <v>7015.39</v>
      </c>
      <c r="W2599" s="168">
        <f t="shared" si="4"/>
        <v>0</v>
      </c>
      <c r="X2599" s="168">
        <f t="shared" si="5"/>
        <v>0</v>
      </c>
      <c r="Y2599" s="168">
        <f t="shared" si="6"/>
        <v>0</v>
      </c>
      <c r="Z2599" s="168">
        <f t="shared" si="7"/>
        <v>0</v>
      </c>
      <c r="AA2599" s="168">
        <f t="shared" si="8"/>
        <v>0</v>
      </c>
      <c r="AB2599" s="168">
        <f t="shared" si="9"/>
        <v>0</v>
      </c>
    </row>
    <row r="2600" ht="15.0" customHeight="1">
      <c r="A2600" s="157" t="s">
        <v>10127</v>
      </c>
      <c r="B2600" s="169" t="s">
        <v>37</v>
      </c>
      <c r="C2600" s="169" t="s">
        <v>10109</v>
      </c>
      <c r="D2600" s="317">
        <v>45393.0</v>
      </c>
      <c r="E2600" s="157" t="s">
        <v>600</v>
      </c>
      <c r="F2600" s="160">
        <v>109693.1</v>
      </c>
      <c r="G2600" s="160">
        <f>'FACUS$'!$F2600*0.16</f>
        <v>17550.896</v>
      </c>
      <c r="H2600" s="160">
        <f t="shared" si="68"/>
        <v>127243.996</v>
      </c>
      <c r="I2600" s="172"/>
      <c r="J2600" s="169"/>
      <c r="K2600" s="172"/>
      <c r="L2600" s="172">
        <f>+'FACUS$'!$H2600-'FACUS$'!$I2600-'FACUS$'!$K2600</f>
        <v>127243.996</v>
      </c>
      <c r="M2600" s="162" t="s">
        <v>116</v>
      </c>
      <c r="N2600" s="337" t="s">
        <v>554</v>
      </c>
      <c r="O2600" s="338">
        <v>45418.0</v>
      </c>
      <c r="P2600" s="164">
        <f t="array" ref="P2600">XLOOKUP('FACUS$'!$B2600,'perfil de pagos'!$A$4:$A$46,'perfil de pagos'!$C$4:$C$46+'FACUS$'!$D2600)</f>
        <v>45403</v>
      </c>
      <c r="Q2600" s="165">
        <f t="shared" si="70"/>
        <v>0</v>
      </c>
      <c r="R2600" s="167"/>
      <c r="S2600" s="167">
        <v>2968.0</v>
      </c>
      <c r="T2600" s="167"/>
      <c r="U2600" s="334"/>
      <c r="V2600" s="168">
        <f t="shared" si="3"/>
        <v>127243.996</v>
      </c>
      <c r="W2600" s="168">
        <f t="shared" si="4"/>
        <v>0</v>
      </c>
      <c r="X2600" s="168">
        <f t="shared" si="5"/>
        <v>0</v>
      </c>
      <c r="Y2600" s="168">
        <f t="shared" si="6"/>
        <v>0</v>
      </c>
      <c r="Z2600" s="168">
        <f t="shared" si="7"/>
        <v>0</v>
      </c>
      <c r="AA2600" s="168">
        <f t="shared" si="8"/>
        <v>0</v>
      </c>
      <c r="AB2600" s="168">
        <f t="shared" si="9"/>
        <v>0</v>
      </c>
    </row>
    <row r="2601" ht="15.0" customHeight="1">
      <c r="A2601" s="157" t="s">
        <v>10128</v>
      </c>
      <c r="B2601" s="169" t="s">
        <v>38</v>
      </c>
      <c r="C2601" s="169" t="s">
        <v>10109</v>
      </c>
      <c r="D2601" s="317">
        <v>45393.0</v>
      </c>
      <c r="E2601" s="157" t="s">
        <v>600</v>
      </c>
      <c r="F2601" s="160">
        <v>10129.42</v>
      </c>
      <c r="G2601" s="160">
        <f>'FACUS$'!$F2601*0.16</f>
        <v>1620.7072</v>
      </c>
      <c r="H2601" s="160">
        <f t="shared" si="68"/>
        <v>11750.1272</v>
      </c>
      <c r="I2601" s="172"/>
      <c r="J2601" s="169"/>
      <c r="K2601" s="172"/>
      <c r="L2601" s="172">
        <f>+'FACUS$'!$H2601-'FACUS$'!$I2601-'FACUS$'!$K2601</f>
        <v>11750.1272</v>
      </c>
      <c r="M2601" s="162" t="s">
        <v>145</v>
      </c>
      <c r="N2601" s="337" t="s">
        <v>554</v>
      </c>
      <c r="O2601" s="338">
        <v>45448.0</v>
      </c>
      <c r="P2601" s="164">
        <f t="array" ref="P2601">XLOOKUP('FACUS$'!$B2601,'perfil de pagos'!$A$4:$A$46,'perfil de pagos'!$C$4:$C$46+'FACUS$'!$D2601)</f>
        <v>45423</v>
      </c>
      <c r="Q2601" s="165">
        <f t="shared" si="70"/>
        <v>0</v>
      </c>
      <c r="R2601" s="167"/>
      <c r="S2601" s="167">
        <v>3024.0</v>
      </c>
      <c r="T2601" s="167"/>
      <c r="U2601" s="334"/>
      <c r="V2601" s="168">
        <f t="shared" si="3"/>
        <v>11750.1272</v>
      </c>
      <c r="W2601" s="168">
        <f t="shared" si="4"/>
        <v>0</v>
      </c>
      <c r="X2601" s="168">
        <f t="shared" si="5"/>
        <v>0</v>
      </c>
      <c r="Y2601" s="168">
        <f t="shared" si="6"/>
        <v>0</v>
      </c>
      <c r="Z2601" s="168">
        <f t="shared" si="7"/>
        <v>0</v>
      </c>
      <c r="AA2601" s="168">
        <f t="shared" si="8"/>
        <v>0</v>
      </c>
      <c r="AB2601" s="168">
        <f t="shared" si="9"/>
        <v>0</v>
      </c>
    </row>
    <row r="2602" ht="15.0" customHeight="1">
      <c r="A2602" s="157" t="s">
        <v>10129</v>
      </c>
      <c r="B2602" s="169" t="s">
        <v>38</v>
      </c>
      <c r="C2602" s="169" t="s">
        <v>10109</v>
      </c>
      <c r="D2602" s="317">
        <v>45393.0</v>
      </c>
      <c r="E2602" s="157" t="s">
        <v>600</v>
      </c>
      <c r="F2602" s="160">
        <v>5540.49</v>
      </c>
      <c r="G2602" s="160">
        <f>'FACUS$'!$F2602*0.16</f>
        <v>886.4784</v>
      </c>
      <c r="H2602" s="160">
        <f t="shared" si="68"/>
        <v>6426.9684</v>
      </c>
      <c r="I2602" s="172"/>
      <c r="J2602" s="169"/>
      <c r="K2602" s="172"/>
      <c r="L2602" s="172">
        <f>+'FACUS$'!$H2602-'FACUS$'!$I2602-'FACUS$'!$K2602</f>
        <v>6426.9684</v>
      </c>
      <c r="M2602" s="162" t="s">
        <v>642</v>
      </c>
      <c r="N2602" s="337" t="s">
        <v>554</v>
      </c>
      <c r="O2602" s="338">
        <v>45448.0</v>
      </c>
      <c r="P2602" s="164">
        <f t="array" ref="P2602">XLOOKUP('FACUS$'!$B2602,'perfil de pagos'!$A$4:$A$46,'perfil de pagos'!$C$4:$C$46+'FACUS$'!$D2602)</f>
        <v>45423</v>
      </c>
      <c r="Q2602" s="165">
        <f t="shared" si="70"/>
        <v>0</v>
      </c>
      <c r="R2602" s="167"/>
      <c r="S2602" s="167">
        <v>3024.0</v>
      </c>
      <c r="T2602" s="167"/>
      <c r="U2602" s="334"/>
      <c r="V2602" s="168">
        <f t="shared" si="3"/>
        <v>6426.9684</v>
      </c>
      <c r="W2602" s="168">
        <f t="shared" si="4"/>
        <v>0</v>
      </c>
      <c r="X2602" s="168">
        <f t="shared" si="5"/>
        <v>0</v>
      </c>
      <c r="Y2602" s="168">
        <f t="shared" si="6"/>
        <v>0</v>
      </c>
      <c r="Z2602" s="168">
        <f t="shared" si="7"/>
        <v>0</v>
      </c>
      <c r="AA2602" s="168">
        <f t="shared" si="8"/>
        <v>0</v>
      </c>
      <c r="AB2602" s="168">
        <f t="shared" si="9"/>
        <v>0</v>
      </c>
    </row>
    <row r="2603" ht="15.0" customHeight="1">
      <c r="A2603" s="157" t="s">
        <v>10130</v>
      </c>
      <c r="B2603" s="169" t="s">
        <v>41</v>
      </c>
      <c r="C2603" s="169" t="s">
        <v>10131</v>
      </c>
      <c r="D2603" s="317">
        <v>45401.0</v>
      </c>
      <c r="E2603" s="157" t="s">
        <v>600</v>
      </c>
      <c r="F2603" s="160">
        <v>70384.11</v>
      </c>
      <c r="G2603" s="160">
        <f>'FACUS$'!$F2603*0.16</f>
        <v>11261.4576</v>
      </c>
      <c r="H2603" s="160">
        <f t="shared" si="68"/>
        <v>81645.5676</v>
      </c>
      <c r="I2603" s="172"/>
      <c r="J2603" s="169"/>
      <c r="K2603" s="172"/>
      <c r="L2603" s="172">
        <f>+'FACUS$'!$H2603-'FACUS$'!$I2603-'FACUS$'!$K2603</f>
        <v>81645.5676</v>
      </c>
      <c r="M2603" s="162" t="s">
        <v>875</v>
      </c>
      <c r="N2603" s="337" t="s">
        <v>554</v>
      </c>
      <c r="O2603" s="338">
        <v>45436.0</v>
      </c>
      <c r="P2603" s="164">
        <f t="array" ref="P2603">XLOOKUP('FACUS$'!$B2603,'perfil de pagos'!$A$4:$A$46,'perfil de pagos'!$C$4:$C$46+'FACUS$'!$D2603)</f>
        <v>45411</v>
      </c>
      <c r="Q2603" s="165">
        <f t="shared" si="70"/>
        <v>0</v>
      </c>
      <c r="R2603" s="167"/>
      <c r="S2603" s="220">
        <v>3005.0</v>
      </c>
      <c r="T2603" s="167"/>
      <c r="U2603" s="334"/>
      <c r="V2603" s="168">
        <f t="shared" si="3"/>
        <v>81645.5676</v>
      </c>
      <c r="W2603" s="168">
        <f t="shared" si="4"/>
        <v>0</v>
      </c>
      <c r="X2603" s="168">
        <f t="shared" si="5"/>
        <v>0</v>
      </c>
      <c r="Y2603" s="168">
        <f t="shared" si="6"/>
        <v>0</v>
      </c>
      <c r="Z2603" s="168">
        <f t="shared" si="7"/>
        <v>0</v>
      </c>
      <c r="AA2603" s="168">
        <f t="shared" si="8"/>
        <v>0</v>
      </c>
      <c r="AB2603" s="168">
        <f t="shared" si="9"/>
        <v>0</v>
      </c>
    </row>
    <row r="2604" ht="15.0" customHeight="1">
      <c r="A2604" s="157" t="s">
        <v>10132</v>
      </c>
      <c r="B2604" s="169" t="s">
        <v>34</v>
      </c>
      <c r="C2604" s="169" t="s">
        <v>10133</v>
      </c>
      <c r="D2604" s="317">
        <v>45401.0</v>
      </c>
      <c r="E2604" s="157" t="s">
        <v>600</v>
      </c>
      <c r="F2604" s="160">
        <v>10853.23</v>
      </c>
      <c r="G2604" s="160">
        <f>'FACUS$'!$F2604*0.16</f>
        <v>1736.5168</v>
      </c>
      <c r="H2604" s="160">
        <f t="shared" si="68"/>
        <v>12589.7468</v>
      </c>
      <c r="I2604" s="172"/>
      <c r="J2604" s="169"/>
      <c r="K2604" s="172"/>
      <c r="L2604" s="172">
        <f>+'FACUS$'!$H2604-'FACUS$'!$I2604-'FACUS$'!$K2604</f>
        <v>12589.7468</v>
      </c>
      <c r="M2604" s="162" t="s">
        <v>538</v>
      </c>
      <c r="N2604" s="337" t="s">
        <v>554</v>
      </c>
      <c r="O2604" s="338">
        <v>45415.0</v>
      </c>
      <c r="P2604" s="164">
        <f t="array" ref="P2604">XLOOKUP('FACUS$'!$B2604,'perfil de pagos'!$A$4:$A$46,'perfil de pagos'!$C$4:$C$46+'FACUS$'!$D2604)</f>
        <v>45411</v>
      </c>
      <c r="Q2604" s="165">
        <f t="shared" si="70"/>
        <v>0</v>
      </c>
      <c r="R2604" s="167"/>
      <c r="S2604" s="167">
        <v>2964.0</v>
      </c>
      <c r="T2604" s="167"/>
      <c r="U2604" s="334"/>
      <c r="V2604" s="168">
        <f t="shared" si="3"/>
        <v>12589.7468</v>
      </c>
      <c r="W2604" s="168">
        <f t="shared" si="4"/>
        <v>0</v>
      </c>
      <c r="X2604" s="168">
        <f t="shared" si="5"/>
        <v>0</v>
      </c>
      <c r="Y2604" s="168">
        <f t="shared" si="6"/>
        <v>0</v>
      </c>
      <c r="Z2604" s="168">
        <f t="shared" si="7"/>
        <v>0</v>
      </c>
      <c r="AA2604" s="168">
        <f t="shared" si="8"/>
        <v>0</v>
      </c>
      <c r="AB2604" s="168">
        <f t="shared" si="9"/>
        <v>0</v>
      </c>
    </row>
    <row r="2605" ht="15.0" customHeight="1">
      <c r="A2605" s="157" t="s">
        <v>10134</v>
      </c>
      <c r="B2605" s="169" t="s">
        <v>34</v>
      </c>
      <c r="C2605" s="169" t="s">
        <v>10131</v>
      </c>
      <c r="D2605" s="317">
        <v>45401.0</v>
      </c>
      <c r="E2605" s="157" t="s">
        <v>600</v>
      </c>
      <c r="F2605" s="160">
        <v>16743.5</v>
      </c>
      <c r="G2605" s="160">
        <f>'FACUS$'!$F2605*0.16</f>
        <v>2678.96</v>
      </c>
      <c r="H2605" s="160">
        <f t="shared" si="68"/>
        <v>19422.46</v>
      </c>
      <c r="I2605" s="172"/>
      <c r="J2605" s="169"/>
      <c r="K2605" s="172"/>
      <c r="L2605" s="172">
        <f>+'FACUS$'!$H2605-'FACUS$'!$I2605-'FACUS$'!$K2605</f>
        <v>19422.46</v>
      </c>
      <c r="M2605" s="162" t="s">
        <v>538</v>
      </c>
      <c r="N2605" s="337" t="s">
        <v>554</v>
      </c>
      <c r="O2605" s="338">
        <v>45415.0</v>
      </c>
      <c r="P2605" s="164">
        <f t="array" ref="P2605">XLOOKUP('FACUS$'!$B2605,'perfil de pagos'!$A$4:$A$46,'perfil de pagos'!$C$4:$C$46+'FACUS$'!$D2605)</f>
        <v>45411</v>
      </c>
      <c r="Q2605" s="165">
        <f t="shared" si="70"/>
        <v>0</v>
      </c>
      <c r="R2605" s="167"/>
      <c r="S2605" s="167">
        <v>2964.0</v>
      </c>
      <c r="T2605" s="167"/>
      <c r="U2605" s="334"/>
      <c r="V2605" s="168">
        <f t="shared" si="3"/>
        <v>19422.46</v>
      </c>
      <c r="W2605" s="168">
        <f t="shared" si="4"/>
        <v>0</v>
      </c>
      <c r="X2605" s="168">
        <f t="shared" si="5"/>
        <v>0</v>
      </c>
      <c r="Y2605" s="168">
        <f t="shared" si="6"/>
        <v>0</v>
      </c>
      <c r="Z2605" s="168">
        <f t="shared" si="7"/>
        <v>0</v>
      </c>
      <c r="AA2605" s="168">
        <f t="shared" si="8"/>
        <v>0</v>
      </c>
      <c r="AB2605" s="168">
        <f t="shared" si="9"/>
        <v>0</v>
      </c>
    </row>
    <row r="2606" ht="15.0" customHeight="1">
      <c r="A2606" s="157" t="s">
        <v>10135</v>
      </c>
      <c r="B2606" s="169" t="s">
        <v>35</v>
      </c>
      <c r="C2606" s="169" t="s">
        <v>10131</v>
      </c>
      <c r="D2606" s="317">
        <v>45401.0</v>
      </c>
      <c r="E2606" s="157" t="s">
        <v>600</v>
      </c>
      <c r="F2606" s="160">
        <v>13570.68</v>
      </c>
      <c r="G2606" s="160">
        <f>'FACUS$'!$F2606*0.16</f>
        <v>2171.3088</v>
      </c>
      <c r="H2606" s="160">
        <f t="shared" si="68"/>
        <v>15741.9888</v>
      </c>
      <c r="I2606" s="172">
        <v>1816.55</v>
      </c>
      <c r="J2606" s="169"/>
      <c r="K2606" s="172"/>
      <c r="L2606" s="172">
        <f>+'FACUS$'!$H2606-'FACUS$'!$I2606-'FACUS$'!$K2606</f>
        <v>13925.4388</v>
      </c>
      <c r="M2606" s="162" t="s">
        <v>276</v>
      </c>
      <c r="N2606" s="337" t="s">
        <v>554</v>
      </c>
      <c r="O2606" s="338">
        <v>45418.0</v>
      </c>
      <c r="P2606" s="164">
        <f t="array" ref="P2606">XLOOKUP('FACUS$'!$B2606,'perfil de pagos'!$A$4:$A$46,'perfil de pagos'!$C$4:$C$46+'FACUS$'!$D2606)</f>
        <v>45411</v>
      </c>
      <c r="Q2606" s="165">
        <f t="shared" si="70"/>
        <v>0</v>
      </c>
      <c r="R2606" s="167"/>
      <c r="S2606" s="167" t="s">
        <v>10136</v>
      </c>
      <c r="T2606" s="167"/>
      <c r="U2606" s="334"/>
      <c r="V2606" s="168">
        <f t="shared" si="3"/>
        <v>13925.4388</v>
      </c>
      <c r="W2606" s="168">
        <f t="shared" si="4"/>
        <v>0</v>
      </c>
      <c r="X2606" s="168">
        <f t="shared" si="5"/>
        <v>0</v>
      </c>
      <c r="Y2606" s="168">
        <f t="shared" si="6"/>
        <v>0</v>
      </c>
      <c r="Z2606" s="168">
        <f t="shared" si="7"/>
        <v>0</v>
      </c>
      <c r="AA2606" s="168">
        <f t="shared" si="8"/>
        <v>0</v>
      </c>
      <c r="AB2606" s="168">
        <f t="shared" si="9"/>
        <v>0</v>
      </c>
    </row>
    <row r="2607" ht="15.0" customHeight="1">
      <c r="A2607" s="157" t="s">
        <v>10137</v>
      </c>
      <c r="B2607" s="169" t="s">
        <v>42</v>
      </c>
      <c r="C2607" s="169" t="s">
        <v>10131</v>
      </c>
      <c r="D2607" s="317">
        <v>45401.0</v>
      </c>
      <c r="E2607" s="157" t="s">
        <v>600</v>
      </c>
      <c r="F2607" s="160">
        <v>4991.04</v>
      </c>
      <c r="G2607" s="160">
        <f>'FACUS$'!$F2607*0.16</f>
        <v>798.5664</v>
      </c>
      <c r="H2607" s="160">
        <f t="shared" si="68"/>
        <v>5789.6064</v>
      </c>
      <c r="I2607" s="172"/>
      <c r="J2607" s="169"/>
      <c r="K2607" s="172"/>
      <c r="L2607" s="172">
        <f>+'FACUS$'!$H2607-'FACUS$'!$I2607-'FACUS$'!$K2607</f>
        <v>5789.6064</v>
      </c>
      <c r="M2607" s="162" t="s">
        <v>42</v>
      </c>
      <c r="N2607" s="337" t="s">
        <v>554</v>
      </c>
      <c r="O2607" s="338">
        <v>45421.0</v>
      </c>
      <c r="P2607" s="164">
        <f t="array" ref="P2607">XLOOKUP('FACUS$'!$B2607,'perfil de pagos'!$A$4:$A$46,'perfil de pagos'!$C$4:$C$46+'FACUS$'!$D2607)</f>
        <v>45411</v>
      </c>
      <c r="Q2607" s="165">
        <f t="shared" si="70"/>
        <v>0</v>
      </c>
      <c r="R2607" s="167"/>
      <c r="S2607" s="167">
        <v>2974.0</v>
      </c>
      <c r="T2607" s="167"/>
      <c r="U2607" s="334"/>
      <c r="V2607" s="168">
        <f t="shared" si="3"/>
        <v>5789.6064</v>
      </c>
      <c r="W2607" s="168">
        <f t="shared" si="4"/>
        <v>0</v>
      </c>
      <c r="X2607" s="168">
        <f t="shared" si="5"/>
        <v>0</v>
      </c>
      <c r="Y2607" s="168">
        <f t="shared" si="6"/>
        <v>0</v>
      </c>
      <c r="Z2607" s="168">
        <f t="shared" si="7"/>
        <v>0</v>
      </c>
      <c r="AA2607" s="168">
        <f t="shared" si="8"/>
        <v>0</v>
      </c>
      <c r="AB2607" s="168">
        <f t="shared" si="9"/>
        <v>0</v>
      </c>
    </row>
    <row r="2608" ht="15.0" customHeight="1">
      <c r="A2608" s="157" t="s">
        <v>10138</v>
      </c>
      <c r="B2608" s="169" t="s">
        <v>44</v>
      </c>
      <c r="C2608" s="169" t="s">
        <v>10131</v>
      </c>
      <c r="D2608" s="317">
        <v>45401.0</v>
      </c>
      <c r="E2608" s="157" t="s">
        <v>600</v>
      </c>
      <c r="F2608" s="160">
        <v>5544.1</v>
      </c>
      <c r="G2608" s="160">
        <f>'FACUS$'!$F2608*0.16</f>
        <v>887.056</v>
      </c>
      <c r="H2608" s="160">
        <f t="shared" si="68"/>
        <v>6431.156</v>
      </c>
      <c r="I2608" s="172"/>
      <c r="J2608" s="169"/>
      <c r="K2608" s="172"/>
      <c r="L2608" s="172">
        <f>+'FACUS$'!$H2608-'FACUS$'!$I2608-'FACUS$'!$K2608</f>
        <v>6431.156</v>
      </c>
      <c r="M2608" s="162" t="s">
        <v>361</v>
      </c>
      <c r="N2608" s="337" t="s">
        <v>554</v>
      </c>
      <c r="O2608" s="338">
        <v>45408.0</v>
      </c>
      <c r="P2608" s="164">
        <f t="array" ref="P2608">XLOOKUP('FACUS$'!$B2608,'perfil de pagos'!$A$4:$A$46,'perfil de pagos'!$C$4:$C$46+'FACUS$'!$D2608)</f>
        <v>45411</v>
      </c>
      <c r="Q2608" s="165">
        <f t="shared" si="70"/>
        <v>0</v>
      </c>
      <c r="R2608" s="167"/>
      <c r="S2608" s="167">
        <v>2954.0</v>
      </c>
      <c r="T2608" s="167"/>
      <c r="U2608" s="334"/>
      <c r="V2608" s="168">
        <f t="shared" si="3"/>
        <v>6431.156</v>
      </c>
      <c r="W2608" s="168">
        <f t="shared" si="4"/>
        <v>0</v>
      </c>
      <c r="X2608" s="168">
        <f t="shared" si="5"/>
        <v>0</v>
      </c>
      <c r="Y2608" s="168">
        <f t="shared" si="6"/>
        <v>0</v>
      </c>
      <c r="Z2608" s="168">
        <f t="shared" si="7"/>
        <v>0</v>
      </c>
      <c r="AA2608" s="168">
        <f t="shared" si="8"/>
        <v>0</v>
      </c>
      <c r="AB2608" s="168">
        <f t="shared" si="9"/>
        <v>0</v>
      </c>
    </row>
    <row r="2609" ht="15.0" customHeight="1">
      <c r="A2609" s="157" t="s">
        <v>10139</v>
      </c>
      <c r="B2609" s="169" t="s">
        <v>18</v>
      </c>
      <c r="C2609" s="169" t="s">
        <v>10131</v>
      </c>
      <c r="D2609" s="317">
        <v>45404.0</v>
      </c>
      <c r="E2609" s="157" t="s">
        <v>600</v>
      </c>
      <c r="F2609" s="160">
        <v>5125.78</v>
      </c>
      <c r="G2609" s="160">
        <f>'FACUS$'!$F2609*0.16</f>
        <v>820.1248</v>
      </c>
      <c r="H2609" s="160">
        <f t="shared" si="68"/>
        <v>5945.9048</v>
      </c>
      <c r="I2609" s="172"/>
      <c r="J2609" s="169"/>
      <c r="K2609" s="172"/>
      <c r="L2609" s="172">
        <f>+'FACUS$'!$H2609-'FACUS$'!$I2609-'FACUS$'!$K2609</f>
        <v>5945.9048</v>
      </c>
      <c r="M2609" s="162" t="s">
        <v>586</v>
      </c>
      <c r="N2609" s="337" t="s">
        <v>554</v>
      </c>
      <c r="O2609" s="338">
        <v>45455.0</v>
      </c>
      <c r="P2609" s="164">
        <f t="array" ref="P2609">XLOOKUP('FACUS$'!$B2609,'perfil de pagos'!$A$4:$A$46,'perfil de pagos'!$C$4:$C$46+'FACUS$'!$D2609)</f>
        <v>45414</v>
      </c>
      <c r="Q2609" s="165">
        <f t="shared" si="70"/>
        <v>0</v>
      </c>
      <c r="R2609" s="167"/>
      <c r="S2609" s="167">
        <v>3057.0</v>
      </c>
      <c r="T2609" s="167"/>
      <c r="U2609" s="334"/>
      <c r="V2609" s="168">
        <f t="shared" si="3"/>
        <v>5945.9048</v>
      </c>
      <c r="W2609" s="168">
        <f t="shared" si="4"/>
        <v>0</v>
      </c>
      <c r="X2609" s="168">
        <f t="shared" si="5"/>
        <v>0</v>
      </c>
      <c r="Y2609" s="168">
        <f t="shared" si="6"/>
        <v>0</v>
      </c>
      <c r="Z2609" s="168">
        <f t="shared" si="7"/>
        <v>0</v>
      </c>
      <c r="AA2609" s="168">
        <f t="shared" si="8"/>
        <v>0</v>
      </c>
      <c r="AB2609" s="168">
        <f t="shared" si="9"/>
        <v>0</v>
      </c>
    </row>
    <row r="2610" ht="15.0" customHeight="1">
      <c r="A2610" s="157" t="s">
        <v>10140</v>
      </c>
      <c r="B2610" s="169" t="s">
        <v>20</v>
      </c>
      <c r="C2610" s="169" t="s">
        <v>10131</v>
      </c>
      <c r="D2610" s="317">
        <v>45404.0</v>
      </c>
      <c r="E2610" s="157" t="s">
        <v>600</v>
      </c>
      <c r="F2610" s="160">
        <v>16227.86</v>
      </c>
      <c r="G2610" s="160">
        <f>'FACUS$'!$F2610*0.16</f>
        <v>2596.4576</v>
      </c>
      <c r="H2610" s="160">
        <f t="shared" si="68"/>
        <v>18824.3176</v>
      </c>
      <c r="I2610" s="172"/>
      <c r="J2610" s="169"/>
      <c r="K2610" s="172"/>
      <c r="L2610" s="172">
        <f>+'FACUS$'!$H2610-'FACUS$'!$I2610-'FACUS$'!$K2610</f>
        <v>18824.3176</v>
      </c>
      <c r="M2610" s="162" t="s">
        <v>732</v>
      </c>
      <c r="N2610" s="337" t="s">
        <v>554</v>
      </c>
      <c r="O2610" s="338">
        <v>45455.0</v>
      </c>
      <c r="P2610" s="164">
        <f t="array" ref="P2610">XLOOKUP('FACUS$'!$B2610,'perfil de pagos'!$A$4:$A$46,'perfil de pagos'!$C$4:$C$46+'FACUS$'!$D2610)</f>
        <v>45414</v>
      </c>
      <c r="Q2610" s="165">
        <f t="shared" si="70"/>
        <v>0</v>
      </c>
      <c r="R2610" s="167"/>
      <c r="S2610" s="167">
        <v>3057.0</v>
      </c>
      <c r="T2610" s="167"/>
      <c r="U2610" s="334"/>
      <c r="V2610" s="168">
        <f t="shared" si="3"/>
        <v>18824.3176</v>
      </c>
      <c r="W2610" s="168">
        <f t="shared" si="4"/>
        <v>0</v>
      </c>
      <c r="X2610" s="168">
        <f t="shared" si="5"/>
        <v>0</v>
      </c>
      <c r="Y2610" s="168">
        <f t="shared" si="6"/>
        <v>0</v>
      </c>
      <c r="Z2610" s="168">
        <f t="shared" si="7"/>
        <v>0</v>
      </c>
      <c r="AA2610" s="168">
        <f t="shared" si="8"/>
        <v>0</v>
      </c>
      <c r="AB2610" s="168">
        <f t="shared" si="9"/>
        <v>0</v>
      </c>
    </row>
    <row r="2611" ht="15.0" customHeight="1">
      <c r="A2611" s="157" t="s">
        <v>10141</v>
      </c>
      <c r="B2611" s="169" t="s">
        <v>22</v>
      </c>
      <c r="C2611" s="169" t="s">
        <v>10131</v>
      </c>
      <c r="D2611" s="317">
        <v>45404.0</v>
      </c>
      <c r="E2611" s="157" t="s">
        <v>600</v>
      </c>
      <c r="F2611" s="160">
        <v>17289.91</v>
      </c>
      <c r="G2611" s="160">
        <f>'FACUS$'!$F2611*0.16</f>
        <v>2766.3856</v>
      </c>
      <c r="H2611" s="160">
        <f t="shared" si="68"/>
        <v>20056.2956</v>
      </c>
      <c r="I2611" s="172">
        <v>11952.13</v>
      </c>
      <c r="J2611" s="169"/>
      <c r="K2611" s="172"/>
      <c r="L2611" s="172">
        <f>+'FACUS$'!$H2611-'FACUS$'!$I2611-'FACUS$'!$K2611</f>
        <v>8104.1656</v>
      </c>
      <c r="M2611" s="162" t="s">
        <v>220</v>
      </c>
      <c r="N2611" s="337" t="s">
        <v>554</v>
      </c>
      <c r="O2611" s="338">
        <v>45450.0</v>
      </c>
      <c r="P2611" s="164">
        <f t="array" ref="P2611">XLOOKUP('FACUS$'!$B2611,'perfil de pagos'!$A$4:$A$46,'perfil de pagos'!$C$4:$C$46+'FACUS$'!$D2611)</f>
        <v>45414</v>
      </c>
      <c r="Q2611" s="165">
        <f t="shared" si="70"/>
        <v>0</v>
      </c>
      <c r="R2611" s="220" t="s">
        <v>10142</v>
      </c>
      <c r="S2611" s="220" t="s">
        <v>10143</v>
      </c>
      <c r="T2611" s="167"/>
      <c r="U2611" s="334"/>
      <c r="V2611" s="168">
        <f t="shared" si="3"/>
        <v>8104.1656</v>
      </c>
      <c r="W2611" s="168">
        <f t="shared" si="4"/>
        <v>0</v>
      </c>
      <c r="X2611" s="168">
        <f t="shared" si="5"/>
        <v>0</v>
      </c>
      <c r="Y2611" s="168">
        <f t="shared" si="6"/>
        <v>0</v>
      </c>
      <c r="Z2611" s="168">
        <f t="shared" si="7"/>
        <v>0</v>
      </c>
      <c r="AA2611" s="168">
        <f t="shared" si="8"/>
        <v>0</v>
      </c>
      <c r="AB2611" s="168">
        <f t="shared" si="9"/>
        <v>0</v>
      </c>
    </row>
    <row r="2612" ht="15.0" customHeight="1">
      <c r="A2612" s="157" t="s">
        <v>10144</v>
      </c>
      <c r="B2612" s="169" t="s">
        <v>25</v>
      </c>
      <c r="C2612" s="169" t="s">
        <v>10131</v>
      </c>
      <c r="D2612" s="317">
        <v>45404.0</v>
      </c>
      <c r="E2612" s="157" t="s">
        <v>600</v>
      </c>
      <c r="F2612" s="160">
        <v>5663.19</v>
      </c>
      <c r="G2612" s="160">
        <f>'FACUS$'!$F2612*0.16</f>
        <v>906.1104</v>
      </c>
      <c r="H2612" s="160">
        <f t="shared" si="68"/>
        <v>6569.3004</v>
      </c>
      <c r="I2612" s="172"/>
      <c r="J2612" s="169"/>
      <c r="K2612" s="172"/>
      <c r="L2612" s="172">
        <f>+'FACUS$'!$H2612-'FACUS$'!$I2612-'FACUS$'!$K2612</f>
        <v>6569.3004</v>
      </c>
      <c r="M2612" s="162" t="s">
        <v>4388</v>
      </c>
      <c r="N2612" s="337" t="s">
        <v>554</v>
      </c>
      <c r="O2612" s="338">
        <v>45441.0</v>
      </c>
      <c r="P2612" s="164">
        <f t="array" ref="P2612">XLOOKUP('FACUS$'!$B2612,'perfil de pagos'!$A$4:$A$46,'perfil de pagos'!$C$4:$C$46+'FACUS$'!$D2612)</f>
        <v>45414</v>
      </c>
      <c r="Q2612" s="165">
        <f t="shared" si="70"/>
        <v>0</v>
      </c>
      <c r="R2612" s="167"/>
      <c r="S2612" s="167">
        <v>3015.0</v>
      </c>
      <c r="T2612" s="167"/>
      <c r="U2612" s="334"/>
      <c r="V2612" s="168">
        <f t="shared" si="3"/>
        <v>6569.3004</v>
      </c>
      <c r="W2612" s="168">
        <f t="shared" si="4"/>
        <v>0</v>
      </c>
      <c r="X2612" s="168">
        <f t="shared" si="5"/>
        <v>0</v>
      </c>
      <c r="Y2612" s="168">
        <f t="shared" si="6"/>
        <v>0</v>
      </c>
      <c r="Z2612" s="168">
        <f t="shared" si="7"/>
        <v>0</v>
      </c>
      <c r="AA2612" s="168">
        <f t="shared" si="8"/>
        <v>0</v>
      </c>
      <c r="AB2612" s="168">
        <f t="shared" si="9"/>
        <v>0</v>
      </c>
    </row>
    <row r="2613" ht="15.0" customHeight="1">
      <c r="A2613" s="157" t="s">
        <v>10145</v>
      </c>
      <c r="B2613" s="169" t="s">
        <v>37</v>
      </c>
      <c r="C2613" s="169" t="s">
        <v>10131</v>
      </c>
      <c r="D2613" s="317">
        <v>45404.0</v>
      </c>
      <c r="E2613" s="157" t="s">
        <v>600</v>
      </c>
      <c r="F2613" s="160">
        <v>91499.05</v>
      </c>
      <c r="G2613" s="160">
        <f>'FACUS$'!$F2613*0.16</f>
        <v>14639.848</v>
      </c>
      <c r="H2613" s="160">
        <f t="shared" si="68"/>
        <v>106138.898</v>
      </c>
      <c r="I2613" s="172"/>
      <c r="J2613" s="169"/>
      <c r="K2613" s="172"/>
      <c r="L2613" s="172">
        <f>+'FACUS$'!$H2613-'FACUS$'!$I2613-'FACUS$'!$K2613</f>
        <v>106138.898</v>
      </c>
      <c r="M2613" s="162" t="s">
        <v>116</v>
      </c>
      <c r="N2613" s="337" t="s">
        <v>554</v>
      </c>
      <c r="O2613" s="338">
        <v>45418.0</v>
      </c>
      <c r="P2613" s="164">
        <f t="array" ref="P2613">XLOOKUP('FACUS$'!$B2613,'perfil de pagos'!$A$4:$A$46,'perfil de pagos'!$C$4:$C$46+'FACUS$'!$D2613)</f>
        <v>45414</v>
      </c>
      <c r="Q2613" s="165">
        <f t="shared" si="70"/>
        <v>0</v>
      </c>
      <c r="R2613" s="167"/>
      <c r="S2613" s="167">
        <v>2968.0</v>
      </c>
      <c r="T2613" s="167"/>
      <c r="U2613" s="334"/>
      <c r="V2613" s="168">
        <f t="shared" si="3"/>
        <v>106138.898</v>
      </c>
      <c r="W2613" s="168">
        <f t="shared" si="4"/>
        <v>0</v>
      </c>
      <c r="X2613" s="168">
        <f t="shared" si="5"/>
        <v>0</v>
      </c>
      <c r="Y2613" s="168">
        <f t="shared" si="6"/>
        <v>0</v>
      </c>
      <c r="Z2613" s="168">
        <f t="shared" si="7"/>
        <v>0</v>
      </c>
      <c r="AA2613" s="168">
        <f t="shared" si="8"/>
        <v>0</v>
      </c>
      <c r="AB2613" s="168">
        <f t="shared" si="9"/>
        <v>0</v>
      </c>
    </row>
    <row r="2614" ht="15.0" customHeight="1">
      <c r="A2614" s="157" t="s">
        <v>10146</v>
      </c>
      <c r="B2614" s="169" t="s">
        <v>38</v>
      </c>
      <c r="C2614" s="169" t="s">
        <v>10131</v>
      </c>
      <c r="D2614" s="317">
        <v>45404.0</v>
      </c>
      <c r="E2614" s="157" t="s">
        <v>600</v>
      </c>
      <c r="F2614" s="160">
        <v>2461.4</v>
      </c>
      <c r="G2614" s="160">
        <f>'FACUS$'!$F2614*0.16</f>
        <v>393.824</v>
      </c>
      <c r="H2614" s="160">
        <f t="shared" si="68"/>
        <v>2855.224</v>
      </c>
      <c r="I2614" s="172"/>
      <c r="J2614" s="169"/>
      <c r="K2614" s="172"/>
      <c r="L2614" s="172">
        <f>+'FACUS$'!$H2614-'FACUS$'!$I2614-'FACUS$'!$K2614</f>
        <v>2855.224</v>
      </c>
      <c r="M2614" s="162" t="s">
        <v>4654</v>
      </c>
      <c r="N2614" s="337" t="s">
        <v>554</v>
      </c>
      <c r="O2614" s="338">
        <v>45448.0</v>
      </c>
      <c r="P2614" s="164">
        <f t="array" ref="P2614">XLOOKUP('FACUS$'!$B2614,'perfil de pagos'!$A$4:$A$46,'perfil de pagos'!$C$4:$C$46+'FACUS$'!$D2614)</f>
        <v>45434</v>
      </c>
      <c r="Q2614" s="165">
        <f t="shared" si="70"/>
        <v>0</v>
      </c>
      <c r="R2614" s="167"/>
      <c r="S2614" s="167">
        <v>3024.0</v>
      </c>
      <c r="T2614" s="167"/>
      <c r="U2614" s="334"/>
      <c r="V2614" s="168">
        <f t="shared" si="3"/>
        <v>2855.224</v>
      </c>
      <c r="W2614" s="168">
        <f t="shared" si="4"/>
        <v>0</v>
      </c>
      <c r="X2614" s="168">
        <f t="shared" si="5"/>
        <v>0</v>
      </c>
      <c r="Y2614" s="168">
        <f t="shared" si="6"/>
        <v>0</v>
      </c>
      <c r="Z2614" s="168">
        <f t="shared" si="7"/>
        <v>0</v>
      </c>
      <c r="AA2614" s="168">
        <f t="shared" si="8"/>
        <v>0</v>
      </c>
      <c r="AB2614" s="168">
        <f t="shared" si="9"/>
        <v>0</v>
      </c>
    </row>
    <row r="2615" ht="15.0" customHeight="1">
      <c r="A2615" s="157" t="s">
        <v>10147</v>
      </c>
      <c r="B2615" s="169" t="s">
        <v>38</v>
      </c>
      <c r="C2615" s="169" t="s">
        <v>10131</v>
      </c>
      <c r="D2615" s="317">
        <v>45405.0</v>
      </c>
      <c r="E2615" s="157" t="s">
        <v>600</v>
      </c>
      <c r="F2615" s="160">
        <v>8955.64</v>
      </c>
      <c r="G2615" s="160">
        <f>'FACUS$'!$F2615*0.16</f>
        <v>1432.9024</v>
      </c>
      <c r="H2615" s="160">
        <f t="shared" si="68"/>
        <v>10388.5424</v>
      </c>
      <c r="I2615" s="172"/>
      <c r="J2615" s="169"/>
      <c r="K2615" s="172"/>
      <c r="L2615" s="172">
        <f>+'FACUS$'!$H2615-'FACUS$'!$I2615-'FACUS$'!$K2615</f>
        <v>10388.5424</v>
      </c>
      <c r="M2615" s="162" t="s">
        <v>145</v>
      </c>
      <c r="N2615" s="337" t="s">
        <v>554</v>
      </c>
      <c r="O2615" s="338">
        <v>45455.0</v>
      </c>
      <c r="P2615" s="164">
        <f t="array" ref="P2615">XLOOKUP('FACUS$'!$B2615,'perfil de pagos'!$A$4:$A$46,'perfil de pagos'!$C$4:$C$46+'FACUS$'!$D2615)</f>
        <v>45435</v>
      </c>
      <c r="Q2615" s="165">
        <f t="shared" si="70"/>
        <v>0</v>
      </c>
      <c r="R2615" s="167"/>
      <c r="S2615" s="167">
        <v>3053.0</v>
      </c>
      <c r="T2615" s="167"/>
      <c r="U2615" s="334"/>
      <c r="V2615" s="168">
        <f t="shared" si="3"/>
        <v>10388.5424</v>
      </c>
      <c r="W2615" s="168">
        <f t="shared" si="4"/>
        <v>0</v>
      </c>
      <c r="X2615" s="168">
        <f t="shared" si="5"/>
        <v>0</v>
      </c>
      <c r="Y2615" s="168">
        <f t="shared" si="6"/>
        <v>0</v>
      </c>
      <c r="Z2615" s="168">
        <f t="shared" si="7"/>
        <v>0</v>
      </c>
      <c r="AA2615" s="168">
        <f t="shared" si="8"/>
        <v>0</v>
      </c>
      <c r="AB2615" s="168">
        <f t="shared" si="9"/>
        <v>0</v>
      </c>
    </row>
    <row r="2616" ht="15.0" customHeight="1">
      <c r="A2616" s="157" t="s">
        <v>10148</v>
      </c>
      <c r="B2616" s="169" t="s">
        <v>38</v>
      </c>
      <c r="C2616" s="169" t="s">
        <v>10131</v>
      </c>
      <c r="D2616" s="317">
        <v>45405.0</v>
      </c>
      <c r="E2616" s="157" t="s">
        <v>600</v>
      </c>
      <c r="F2616" s="160">
        <v>4643.86</v>
      </c>
      <c r="G2616" s="160">
        <f>'FACUS$'!$F2616*0.16</f>
        <v>743.0176</v>
      </c>
      <c r="H2616" s="160">
        <f t="shared" si="68"/>
        <v>5386.8776</v>
      </c>
      <c r="I2616" s="172"/>
      <c r="J2616" s="169"/>
      <c r="K2616" s="172"/>
      <c r="L2616" s="172">
        <f>+'FACUS$'!$H2616-'FACUS$'!$I2616-'FACUS$'!$K2616</f>
        <v>5386.8776</v>
      </c>
      <c r="M2616" s="162" t="s">
        <v>642</v>
      </c>
      <c r="N2616" s="337" t="s">
        <v>554</v>
      </c>
      <c r="O2616" s="338">
        <v>45455.0</v>
      </c>
      <c r="P2616" s="164">
        <f t="array" ref="P2616">XLOOKUP('FACUS$'!$B2616,'perfil de pagos'!$A$4:$A$46,'perfil de pagos'!$C$4:$C$46+'FACUS$'!$D2616)</f>
        <v>45435</v>
      </c>
      <c r="Q2616" s="165">
        <f t="shared" si="70"/>
        <v>0</v>
      </c>
      <c r="R2616" s="167"/>
      <c r="S2616" s="167">
        <v>3053.0</v>
      </c>
      <c r="T2616" s="167"/>
      <c r="U2616" s="334"/>
      <c r="V2616" s="168">
        <f t="shared" si="3"/>
        <v>5386.8776</v>
      </c>
      <c r="W2616" s="168">
        <f t="shared" si="4"/>
        <v>0</v>
      </c>
      <c r="X2616" s="168">
        <f t="shared" si="5"/>
        <v>0</v>
      </c>
      <c r="Y2616" s="168">
        <f t="shared" si="6"/>
        <v>0</v>
      </c>
      <c r="Z2616" s="168">
        <f t="shared" si="7"/>
        <v>0</v>
      </c>
      <c r="AA2616" s="168">
        <f t="shared" si="8"/>
        <v>0</v>
      </c>
      <c r="AB2616" s="168">
        <f t="shared" si="9"/>
        <v>0</v>
      </c>
    </row>
    <row r="2617" ht="15.0" customHeight="1">
      <c r="A2617" s="157" t="s">
        <v>10149</v>
      </c>
      <c r="B2617" s="169" t="s">
        <v>41</v>
      </c>
      <c r="C2617" s="169" t="s">
        <v>10150</v>
      </c>
      <c r="D2617" s="317">
        <v>45415.0</v>
      </c>
      <c r="E2617" s="157" t="s">
        <v>600</v>
      </c>
      <c r="F2617" s="160">
        <v>75954.22</v>
      </c>
      <c r="G2617" s="160">
        <f>'FACUS$'!$F2617*0.16</f>
        <v>12152.6752</v>
      </c>
      <c r="H2617" s="160">
        <f t="shared" si="68"/>
        <v>88106.8952</v>
      </c>
      <c r="I2617" s="172"/>
      <c r="J2617" s="169"/>
      <c r="K2617" s="172"/>
      <c r="L2617" s="172">
        <f>+'FACUS$'!$H2617-'FACUS$'!$I2617-'FACUS$'!$K2617</f>
        <v>88106.8952</v>
      </c>
      <c r="M2617" s="162" t="s">
        <v>875</v>
      </c>
      <c r="N2617" s="337" t="s">
        <v>554</v>
      </c>
      <c r="O2617" s="338">
        <v>45463.0</v>
      </c>
      <c r="P2617" s="164">
        <f t="array" ref="P2617">XLOOKUP('FACUS$'!$B2617,'perfil de pagos'!$A$4:$A$46,'perfil de pagos'!$C$4:$C$46+'FACUS$'!$D2617)</f>
        <v>45425</v>
      </c>
      <c r="Q2617" s="165">
        <f t="shared" si="70"/>
        <v>0</v>
      </c>
      <c r="R2617" s="167"/>
      <c r="S2617" s="167">
        <v>3076.0</v>
      </c>
      <c r="T2617" s="167"/>
      <c r="U2617" s="334"/>
      <c r="V2617" s="168">
        <f t="shared" si="3"/>
        <v>88106.8952</v>
      </c>
      <c r="W2617" s="168">
        <f t="shared" si="4"/>
        <v>0</v>
      </c>
      <c r="X2617" s="168">
        <f t="shared" si="5"/>
        <v>0</v>
      </c>
      <c r="Y2617" s="168">
        <f t="shared" si="6"/>
        <v>0</v>
      </c>
      <c r="Z2617" s="168">
        <f t="shared" si="7"/>
        <v>0</v>
      </c>
      <c r="AA2617" s="168">
        <f t="shared" si="8"/>
        <v>0</v>
      </c>
      <c r="AB2617" s="168">
        <f t="shared" si="9"/>
        <v>0</v>
      </c>
    </row>
    <row r="2618" ht="15.0" customHeight="1">
      <c r="A2618" s="157" t="s">
        <v>10151</v>
      </c>
      <c r="B2618" s="169" t="s">
        <v>34</v>
      </c>
      <c r="C2618" s="169" t="s">
        <v>10152</v>
      </c>
      <c r="D2618" s="317">
        <v>45415.0</v>
      </c>
      <c r="E2618" s="157" t="s">
        <v>600</v>
      </c>
      <c r="F2618" s="160">
        <v>6428.75</v>
      </c>
      <c r="G2618" s="160">
        <f>'FACUS$'!$F2618*0.16</f>
        <v>1028.6</v>
      </c>
      <c r="H2618" s="160">
        <f t="shared" si="68"/>
        <v>7457.35</v>
      </c>
      <c r="I2618" s="172"/>
      <c r="J2618" s="169"/>
      <c r="K2618" s="172"/>
      <c r="L2618" s="172">
        <f>+'FACUS$'!$H2618-'FACUS$'!$I2618-'FACUS$'!$K2618</f>
        <v>7457.35</v>
      </c>
      <c r="M2618" s="162" t="s">
        <v>538</v>
      </c>
      <c r="N2618" s="337" t="s">
        <v>554</v>
      </c>
      <c r="O2618" s="338">
        <v>45422.0</v>
      </c>
      <c r="P2618" s="164">
        <f t="array" ref="P2618">XLOOKUP('FACUS$'!$B2618,'perfil de pagos'!$A$4:$A$46,'perfil de pagos'!$C$4:$C$46+'FACUS$'!$D2618)</f>
        <v>45425</v>
      </c>
      <c r="Q2618" s="165">
        <f t="shared" si="70"/>
        <v>0</v>
      </c>
      <c r="R2618" s="167"/>
      <c r="S2618" s="167"/>
      <c r="T2618" s="167"/>
      <c r="U2618" s="334"/>
      <c r="V2618" s="168">
        <f t="shared" si="3"/>
        <v>7457.35</v>
      </c>
      <c r="W2618" s="168">
        <f t="shared" si="4"/>
        <v>0</v>
      </c>
      <c r="X2618" s="168">
        <f t="shared" si="5"/>
        <v>0</v>
      </c>
      <c r="Y2618" s="168">
        <f t="shared" si="6"/>
        <v>0</v>
      </c>
      <c r="Z2618" s="168">
        <f t="shared" si="7"/>
        <v>0</v>
      </c>
      <c r="AA2618" s="168">
        <f t="shared" si="8"/>
        <v>0</v>
      </c>
      <c r="AB2618" s="168">
        <f t="shared" si="9"/>
        <v>0</v>
      </c>
    </row>
    <row r="2619" ht="15.0" customHeight="1">
      <c r="A2619" s="157" t="s">
        <v>10153</v>
      </c>
      <c r="B2619" s="169" t="s">
        <v>34</v>
      </c>
      <c r="C2619" s="169" t="s">
        <v>10154</v>
      </c>
      <c r="D2619" s="317">
        <v>45415.0</v>
      </c>
      <c r="E2619" s="157" t="s">
        <v>600</v>
      </c>
      <c r="F2619" s="160">
        <v>10042.61</v>
      </c>
      <c r="G2619" s="160">
        <f>'FACUS$'!$F2619*0.16</f>
        <v>1606.8176</v>
      </c>
      <c r="H2619" s="160">
        <f t="shared" si="68"/>
        <v>11649.4276</v>
      </c>
      <c r="I2619" s="172"/>
      <c r="J2619" s="169"/>
      <c r="K2619" s="172"/>
      <c r="L2619" s="172">
        <f>+'FACUS$'!$H2619-'FACUS$'!$I2619-'FACUS$'!$K2619</f>
        <v>11649.4276</v>
      </c>
      <c r="M2619" s="162" t="s">
        <v>538</v>
      </c>
      <c r="N2619" s="337" t="s">
        <v>554</v>
      </c>
      <c r="O2619" s="338">
        <v>45422.0</v>
      </c>
      <c r="P2619" s="164">
        <f t="array" ref="P2619">XLOOKUP('FACUS$'!$B2619,'perfil de pagos'!$A$4:$A$46,'perfil de pagos'!$C$4:$C$46+'FACUS$'!$D2619)</f>
        <v>45425</v>
      </c>
      <c r="Q2619" s="165">
        <f t="shared" si="70"/>
        <v>0</v>
      </c>
      <c r="R2619" s="167"/>
      <c r="S2619" s="167"/>
      <c r="T2619" s="167"/>
      <c r="U2619" s="334"/>
      <c r="V2619" s="168">
        <f t="shared" si="3"/>
        <v>11649.4276</v>
      </c>
      <c r="W2619" s="168">
        <f t="shared" si="4"/>
        <v>0</v>
      </c>
      <c r="X2619" s="168">
        <f t="shared" si="5"/>
        <v>0</v>
      </c>
      <c r="Y2619" s="168">
        <f t="shared" si="6"/>
        <v>0</v>
      </c>
      <c r="Z2619" s="168">
        <f t="shared" si="7"/>
        <v>0</v>
      </c>
      <c r="AA2619" s="168">
        <f t="shared" si="8"/>
        <v>0</v>
      </c>
      <c r="AB2619" s="168">
        <f t="shared" si="9"/>
        <v>0</v>
      </c>
    </row>
    <row r="2620" ht="15.0" customHeight="1">
      <c r="A2620" s="157" t="s">
        <v>10155</v>
      </c>
      <c r="B2620" s="169" t="s">
        <v>35</v>
      </c>
      <c r="C2620" s="169" t="s">
        <v>10154</v>
      </c>
      <c r="D2620" s="317">
        <v>45415.0</v>
      </c>
      <c r="E2620" s="157" t="s">
        <v>600</v>
      </c>
      <c r="F2620" s="160">
        <v>11161.31</v>
      </c>
      <c r="G2620" s="160">
        <f>'FACUS$'!$F2620*0.16</f>
        <v>1785.8096</v>
      </c>
      <c r="H2620" s="160">
        <f t="shared" si="68"/>
        <v>12947.1196</v>
      </c>
      <c r="I2620" s="172"/>
      <c r="J2620" s="169"/>
      <c r="K2620" s="172"/>
      <c r="L2620" s="172">
        <f>+'FACUS$'!$H2620-'FACUS$'!$I2620-'FACUS$'!$K2620</f>
        <v>12947.1196</v>
      </c>
      <c r="M2620" s="162" t="s">
        <v>276</v>
      </c>
      <c r="N2620" s="337" t="s">
        <v>554</v>
      </c>
      <c r="O2620" s="338">
        <v>45440.0</v>
      </c>
      <c r="P2620" s="164">
        <f t="array" ref="P2620">XLOOKUP('FACUS$'!$B2620,'perfil de pagos'!$A$4:$A$46,'perfil de pagos'!$C$4:$C$46+'FACUS$'!$D2620)</f>
        <v>45425</v>
      </c>
      <c r="Q2620" s="165">
        <f t="shared" si="70"/>
        <v>0</v>
      </c>
      <c r="R2620" s="167"/>
      <c r="S2620" s="167">
        <v>3008.0</v>
      </c>
      <c r="T2620" s="167"/>
      <c r="U2620" s="334"/>
      <c r="V2620" s="168">
        <f t="shared" si="3"/>
        <v>12947.1196</v>
      </c>
      <c r="W2620" s="168">
        <f t="shared" si="4"/>
        <v>0</v>
      </c>
      <c r="X2620" s="168">
        <f t="shared" si="5"/>
        <v>0</v>
      </c>
      <c r="Y2620" s="168">
        <f t="shared" si="6"/>
        <v>0</v>
      </c>
      <c r="Z2620" s="168">
        <f t="shared" si="7"/>
        <v>0</v>
      </c>
      <c r="AA2620" s="168">
        <f t="shared" si="8"/>
        <v>0</v>
      </c>
      <c r="AB2620" s="168">
        <f t="shared" si="9"/>
        <v>0</v>
      </c>
    </row>
    <row r="2621" ht="15.0" customHeight="1">
      <c r="A2621" s="157" t="s">
        <v>10156</v>
      </c>
      <c r="B2621" s="169" t="s">
        <v>42</v>
      </c>
      <c r="C2621" s="169" t="s">
        <v>10154</v>
      </c>
      <c r="D2621" s="317">
        <v>45415.0</v>
      </c>
      <c r="E2621" s="157" t="s">
        <v>600</v>
      </c>
      <c r="F2621" s="160">
        <v>5325.47</v>
      </c>
      <c r="G2621" s="160">
        <f>'FACUS$'!$F2621*0.16</f>
        <v>852.0752</v>
      </c>
      <c r="H2621" s="160">
        <f t="shared" si="68"/>
        <v>6177.5452</v>
      </c>
      <c r="I2621" s="172"/>
      <c r="J2621" s="169"/>
      <c r="K2621" s="172"/>
      <c r="L2621" s="172">
        <f>+'FACUS$'!$H2621-'FACUS$'!$I2621-'FACUS$'!$K2621</f>
        <v>6177.5452</v>
      </c>
      <c r="M2621" s="162" t="s">
        <v>42</v>
      </c>
      <c r="N2621" s="337" t="s">
        <v>554</v>
      </c>
      <c r="O2621" s="338">
        <v>45435.0</v>
      </c>
      <c r="P2621" s="164">
        <f t="array" ref="P2621">XLOOKUP('FACUS$'!$B2621,'perfil de pagos'!$A$4:$A$46,'perfil de pagos'!$C$4:$C$46+'FACUS$'!$D2621)</f>
        <v>45425</v>
      </c>
      <c r="Q2621" s="165">
        <f t="shared" si="70"/>
        <v>0</v>
      </c>
      <c r="R2621" s="167"/>
      <c r="S2621" s="167">
        <v>3002.0</v>
      </c>
      <c r="T2621" s="167"/>
      <c r="U2621" s="334"/>
      <c r="V2621" s="168">
        <f t="shared" si="3"/>
        <v>6177.5452</v>
      </c>
      <c r="W2621" s="168">
        <f t="shared" si="4"/>
        <v>0</v>
      </c>
      <c r="X2621" s="168">
        <f t="shared" si="5"/>
        <v>0</v>
      </c>
      <c r="Y2621" s="168">
        <f t="shared" si="6"/>
        <v>0</v>
      </c>
      <c r="Z2621" s="168">
        <f t="shared" si="7"/>
        <v>0</v>
      </c>
      <c r="AA2621" s="168">
        <f t="shared" si="8"/>
        <v>0</v>
      </c>
      <c r="AB2621" s="168">
        <f t="shared" si="9"/>
        <v>0</v>
      </c>
    </row>
    <row r="2622" ht="15.0" customHeight="1">
      <c r="A2622" s="157" t="s">
        <v>10157</v>
      </c>
      <c r="B2622" s="169" t="s">
        <v>44</v>
      </c>
      <c r="C2622" s="169" t="s">
        <v>10154</v>
      </c>
      <c r="D2622" s="317">
        <v>45415.0</v>
      </c>
      <c r="E2622" s="157" t="s">
        <v>600</v>
      </c>
      <c r="F2622" s="160">
        <v>6368.87</v>
      </c>
      <c r="G2622" s="160">
        <f>'FACUS$'!$F2622*0.16</f>
        <v>1019.0192</v>
      </c>
      <c r="H2622" s="160">
        <f t="shared" si="68"/>
        <v>7387.8892</v>
      </c>
      <c r="I2622" s="172"/>
      <c r="J2622" s="169"/>
      <c r="K2622" s="172"/>
      <c r="L2622" s="172">
        <f>+'FACUS$'!$H2622-'FACUS$'!$I2622-'FACUS$'!$K2622</f>
        <v>7387.8892</v>
      </c>
      <c r="M2622" s="162" t="s">
        <v>361</v>
      </c>
      <c r="N2622" s="337" t="s">
        <v>554</v>
      </c>
      <c r="O2622" s="338">
        <v>45422.0</v>
      </c>
      <c r="P2622" s="164">
        <f t="array" ref="P2622">XLOOKUP('FACUS$'!$B2622,'perfil de pagos'!$A$4:$A$46,'perfil de pagos'!$C$4:$C$46+'FACUS$'!$D2622)</f>
        <v>45425</v>
      </c>
      <c r="Q2622" s="165">
        <f t="shared" si="70"/>
        <v>0</v>
      </c>
      <c r="R2622" s="167"/>
      <c r="S2622" s="167"/>
      <c r="T2622" s="167"/>
      <c r="U2622" s="334"/>
      <c r="V2622" s="168">
        <f t="shared" si="3"/>
        <v>7387.8892</v>
      </c>
      <c r="W2622" s="168">
        <f t="shared" si="4"/>
        <v>0</v>
      </c>
      <c r="X2622" s="168">
        <f t="shared" si="5"/>
        <v>0</v>
      </c>
      <c r="Y2622" s="168">
        <f t="shared" si="6"/>
        <v>0</v>
      </c>
      <c r="Z2622" s="168">
        <f t="shared" si="7"/>
        <v>0</v>
      </c>
      <c r="AA2622" s="168">
        <f t="shared" si="8"/>
        <v>0</v>
      </c>
      <c r="AB2622" s="168">
        <f t="shared" si="9"/>
        <v>0</v>
      </c>
    </row>
    <row r="2623" ht="15.0" customHeight="1">
      <c r="A2623" s="157" t="s">
        <v>10158</v>
      </c>
      <c r="B2623" s="169" t="s">
        <v>38</v>
      </c>
      <c r="C2623" s="169" t="s">
        <v>10154</v>
      </c>
      <c r="D2623" s="317">
        <v>45419.0</v>
      </c>
      <c r="E2623" s="157" t="s">
        <v>600</v>
      </c>
      <c r="F2623" s="160">
        <v>2865.21</v>
      </c>
      <c r="G2623" s="160">
        <f>'FACUS$'!$F2623*0.16</f>
        <v>458.4336</v>
      </c>
      <c r="H2623" s="160">
        <f t="shared" si="68"/>
        <v>3323.6436</v>
      </c>
      <c r="I2623" s="172"/>
      <c r="J2623" s="169"/>
      <c r="K2623" s="172"/>
      <c r="L2623" s="172">
        <f>+'FACUS$'!$H2623-'FACUS$'!$I2623-'FACUS$'!$K2623</f>
        <v>3323.6436</v>
      </c>
      <c r="M2623" s="162" t="s">
        <v>4654</v>
      </c>
      <c r="N2623" s="337" t="s">
        <v>554</v>
      </c>
      <c r="O2623" s="338">
        <v>45455.0</v>
      </c>
      <c r="P2623" s="164">
        <f t="array" ref="P2623">XLOOKUP('FACUS$'!$B2623,'perfil de pagos'!$A$4:$A$46,'perfil de pagos'!$C$4:$C$46+'FACUS$'!$D2623)</f>
        <v>45449</v>
      </c>
      <c r="Q2623" s="165">
        <f t="shared" si="70"/>
        <v>0</v>
      </c>
      <c r="R2623" s="167"/>
      <c r="S2623" s="167">
        <v>3053.0</v>
      </c>
      <c r="T2623" s="167"/>
      <c r="U2623" s="334"/>
      <c r="V2623" s="168">
        <f t="shared" si="3"/>
        <v>3323.6436</v>
      </c>
      <c r="W2623" s="168">
        <f t="shared" si="4"/>
        <v>0</v>
      </c>
      <c r="X2623" s="168">
        <f t="shared" si="5"/>
        <v>0</v>
      </c>
      <c r="Y2623" s="168">
        <f t="shared" si="6"/>
        <v>0</v>
      </c>
      <c r="Z2623" s="168">
        <f t="shared" si="7"/>
        <v>0</v>
      </c>
      <c r="AA2623" s="168">
        <f t="shared" si="8"/>
        <v>0</v>
      </c>
      <c r="AB2623" s="168">
        <f t="shared" si="9"/>
        <v>0</v>
      </c>
    </row>
    <row r="2624" ht="15.0" customHeight="1">
      <c r="A2624" s="157" t="s">
        <v>10159</v>
      </c>
      <c r="B2624" s="169" t="s">
        <v>18</v>
      </c>
      <c r="C2624" s="169" t="s">
        <v>10154</v>
      </c>
      <c r="D2624" s="317">
        <v>45419.0</v>
      </c>
      <c r="E2624" s="157" t="s">
        <v>600</v>
      </c>
      <c r="F2624" s="160">
        <v>6149.29</v>
      </c>
      <c r="G2624" s="160">
        <f>'FACUS$'!$F2624*0.16</f>
        <v>983.8864</v>
      </c>
      <c r="H2624" s="160">
        <f t="shared" si="68"/>
        <v>7133.1764</v>
      </c>
      <c r="I2624" s="172"/>
      <c r="J2624" s="169"/>
      <c r="K2624" s="172"/>
      <c r="L2624" s="172">
        <f>+'FACUS$'!$H2624-'FACUS$'!$I2624-'FACUS$'!$K2624</f>
        <v>7133.1764</v>
      </c>
      <c r="M2624" s="162" t="s">
        <v>586</v>
      </c>
      <c r="N2624" s="337" t="s">
        <v>554</v>
      </c>
      <c r="O2624" s="338">
        <v>45469.0</v>
      </c>
      <c r="P2624" s="164">
        <f t="array" ref="P2624">XLOOKUP('FACUS$'!$B2624,'perfil de pagos'!$A$4:$A$46,'perfil de pagos'!$C$4:$C$46+'FACUS$'!$D2624)</f>
        <v>45429</v>
      </c>
      <c r="Q2624" s="165">
        <f t="shared" si="70"/>
        <v>0</v>
      </c>
      <c r="R2624" s="167"/>
      <c r="S2624" s="167">
        <v>3111.0</v>
      </c>
      <c r="T2624" s="167"/>
      <c r="U2624" s="334"/>
      <c r="V2624" s="168">
        <f t="shared" si="3"/>
        <v>7133.1764</v>
      </c>
      <c r="W2624" s="168">
        <f t="shared" si="4"/>
        <v>0</v>
      </c>
      <c r="X2624" s="168">
        <f t="shared" si="5"/>
        <v>0</v>
      </c>
      <c r="Y2624" s="168">
        <f t="shared" si="6"/>
        <v>0</v>
      </c>
      <c r="Z2624" s="168">
        <f t="shared" si="7"/>
        <v>0</v>
      </c>
      <c r="AA2624" s="168">
        <f t="shared" si="8"/>
        <v>0</v>
      </c>
      <c r="AB2624" s="168">
        <f t="shared" si="9"/>
        <v>0</v>
      </c>
    </row>
    <row r="2625" ht="15.0" customHeight="1">
      <c r="A2625" s="157" t="s">
        <v>10160</v>
      </c>
      <c r="B2625" s="169" t="s">
        <v>20</v>
      </c>
      <c r="C2625" s="169" t="s">
        <v>10154</v>
      </c>
      <c r="D2625" s="317">
        <v>45419.0</v>
      </c>
      <c r="E2625" s="157" t="s">
        <v>600</v>
      </c>
      <c r="F2625" s="160">
        <v>16352.39</v>
      </c>
      <c r="G2625" s="160">
        <f>'FACUS$'!$F2625*0.16</f>
        <v>2616.3824</v>
      </c>
      <c r="H2625" s="160">
        <f t="shared" si="68"/>
        <v>18968.7724</v>
      </c>
      <c r="I2625" s="172"/>
      <c r="J2625" s="169"/>
      <c r="K2625" s="172"/>
      <c r="L2625" s="172">
        <f>+'FACUS$'!$H2625-'FACUS$'!$I2625-'FACUS$'!$K2625</f>
        <v>18968.7724</v>
      </c>
      <c r="M2625" s="162" t="s">
        <v>732</v>
      </c>
      <c r="N2625" s="337" t="s">
        <v>554</v>
      </c>
      <c r="O2625" s="338">
        <v>45469.0</v>
      </c>
      <c r="P2625" s="164">
        <f t="array" ref="P2625">XLOOKUP('FACUS$'!$B2625,'perfil de pagos'!$A$4:$A$46,'perfil de pagos'!$C$4:$C$46+'FACUS$'!$D2625)</f>
        <v>45429</v>
      </c>
      <c r="Q2625" s="165">
        <f t="shared" si="70"/>
        <v>0</v>
      </c>
      <c r="R2625" s="167"/>
      <c r="S2625" s="167">
        <v>3111.0</v>
      </c>
      <c r="T2625" s="167"/>
      <c r="U2625" s="334"/>
      <c r="V2625" s="168">
        <f t="shared" si="3"/>
        <v>18968.7724</v>
      </c>
      <c r="W2625" s="168">
        <f t="shared" si="4"/>
        <v>0</v>
      </c>
      <c r="X2625" s="168">
        <f t="shared" si="5"/>
        <v>0</v>
      </c>
      <c r="Y2625" s="168">
        <f t="shared" si="6"/>
        <v>0</v>
      </c>
      <c r="Z2625" s="168">
        <f t="shared" si="7"/>
        <v>0</v>
      </c>
      <c r="AA2625" s="168">
        <f t="shared" si="8"/>
        <v>0</v>
      </c>
      <c r="AB2625" s="168">
        <f t="shared" si="9"/>
        <v>0</v>
      </c>
    </row>
    <row r="2626" ht="15.0" customHeight="1">
      <c r="A2626" s="157" t="s">
        <v>10161</v>
      </c>
      <c r="B2626" s="169" t="s">
        <v>22</v>
      </c>
      <c r="C2626" s="169" t="s">
        <v>10154</v>
      </c>
      <c r="D2626" s="317">
        <v>45419.0</v>
      </c>
      <c r="E2626" s="157" t="s">
        <v>600</v>
      </c>
      <c r="F2626" s="160">
        <v>23185.32</v>
      </c>
      <c r="G2626" s="160">
        <f>'FACUS$'!$F2626*0.16</f>
        <v>3709.6512</v>
      </c>
      <c r="H2626" s="160">
        <f t="shared" si="68"/>
        <v>26894.9712</v>
      </c>
      <c r="I2626" s="172">
        <f>3285.87+10856+11027.06</f>
        <v>25168.93</v>
      </c>
      <c r="J2626" s="169"/>
      <c r="K2626" s="172"/>
      <c r="L2626" s="172">
        <f>+'FACUS$'!$H2626-'FACUS$'!$I2626-'FACUS$'!$K2626</f>
        <v>1726.0412</v>
      </c>
      <c r="M2626" s="162" t="s">
        <v>220</v>
      </c>
      <c r="N2626" s="337" t="s">
        <v>554</v>
      </c>
      <c r="O2626" s="338">
        <v>45474.0</v>
      </c>
      <c r="P2626" s="164">
        <f t="array" ref="P2626">XLOOKUP('FACUS$'!$B2626,'perfil de pagos'!$A$4:$A$46,'perfil de pagos'!$C$4:$C$46+'FACUS$'!$D2626)</f>
        <v>45429</v>
      </c>
      <c r="Q2626" s="165">
        <f t="shared" si="70"/>
        <v>0</v>
      </c>
      <c r="R2626" s="220" t="s">
        <v>10162</v>
      </c>
      <c r="S2626" s="220" t="s">
        <v>10163</v>
      </c>
      <c r="T2626" s="167"/>
      <c r="U2626" s="334"/>
      <c r="V2626" s="168">
        <f t="shared" si="3"/>
        <v>1726.0412</v>
      </c>
      <c r="W2626" s="168">
        <f t="shared" si="4"/>
        <v>0</v>
      </c>
      <c r="X2626" s="168">
        <f t="shared" si="5"/>
        <v>0</v>
      </c>
      <c r="Y2626" s="168">
        <f t="shared" si="6"/>
        <v>0</v>
      </c>
      <c r="Z2626" s="168">
        <f t="shared" si="7"/>
        <v>0</v>
      </c>
      <c r="AA2626" s="168">
        <f t="shared" si="8"/>
        <v>0</v>
      </c>
      <c r="AB2626" s="168">
        <f t="shared" si="9"/>
        <v>0</v>
      </c>
    </row>
    <row r="2627" ht="15.0" customHeight="1">
      <c r="A2627" s="157" t="s">
        <v>10164</v>
      </c>
      <c r="B2627" s="169" t="s">
        <v>25</v>
      </c>
      <c r="C2627" s="169" t="s">
        <v>10154</v>
      </c>
      <c r="D2627" s="317">
        <v>45419.0</v>
      </c>
      <c r="E2627" s="157" t="s">
        <v>600</v>
      </c>
      <c r="F2627" s="160">
        <v>5954.55</v>
      </c>
      <c r="G2627" s="160">
        <f>'FACUS$'!$F2627*0.16</f>
        <v>952.728</v>
      </c>
      <c r="H2627" s="160">
        <f t="shared" si="68"/>
        <v>6907.278</v>
      </c>
      <c r="I2627" s="172"/>
      <c r="J2627" s="169"/>
      <c r="K2627" s="172"/>
      <c r="L2627" s="172">
        <f>+'FACUS$'!$H2627-'FACUS$'!$I2627-'FACUS$'!$K2627</f>
        <v>6907.278</v>
      </c>
      <c r="M2627" s="162" t="s">
        <v>4388</v>
      </c>
      <c r="N2627" s="337" t="s">
        <v>554</v>
      </c>
      <c r="O2627" s="338">
        <v>45449.0</v>
      </c>
      <c r="P2627" s="164">
        <f t="array" ref="P2627">XLOOKUP('FACUS$'!$B2627,'perfil de pagos'!$A$4:$A$46,'perfil de pagos'!$C$4:$C$46+'FACUS$'!$D2627)</f>
        <v>45429</v>
      </c>
      <c r="Q2627" s="165">
        <f t="shared" si="70"/>
        <v>0</v>
      </c>
      <c r="R2627" s="167"/>
      <c r="S2627" s="167">
        <v>3037.0</v>
      </c>
      <c r="T2627" s="167"/>
      <c r="U2627" s="334"/>
      <c r="V2627" s="168">
        <f t="shared" si="3"/>
        <v>6907.278</v>
      </c>
      <c r="W2627" s="168">
        <f t="shared" si="4"/>
        <v>0</v>
      </c>
      <c r="X2627" s="168">
        <f t="shared" si="5"/>
        <v>0</v>
      </c>
      <c r="Y2627" s="168">
        <f t="shared" si="6"/>
        <v>0</v>
      </c>
      <c r="Z2627" s="168">
        <f t="shared" si="7"/>
        <v>0</v>
      </c>
      <c r="AA2627" s="168">
        <f t="shared" si="8"/>
        <v>0</v>
      </c>
      <c r="AB2627" s="168">
        <f t="shared" si="9"/>
        <v>0</v>
      </c>
    </row>
    <row r="2628" ht="15.0" customHeight="1">
      <c r="A2628" s="157" t="s">
        <v>10165</v>
      </c>
      <c r="B2628" s="169" t="s">
        <v>37</v>
      </c>
      <c r="C2628" s="169" t="s">
        <v>10154</v>
      </c>
      <c r="D2628" s="317">
        <v>45419.0</v>
      </c>
      <c r="E2628" s="157" t="s">
        <v>600</v>
      </c>
      <c r="F2628" s="160">
        <v>101852.1</v>
      </c>
      <c r="G2628" s="160">
        <f>'FACUS$'!$F2628*0.16</f>
        <v>16296.336</v>
      </c>
      <c r="H2628" s="160">
        <f t="shared" si="68"/>
        <v>118148.436</v>
      </c>
      <c r="I2628" s="172"/>
      <c r="J2628" s="169"/>
      <c r="K2628" s="172"/>
      <c r="L2628" s="172">
        <f>+'FACUS$'!$H2628-'FACUS$'!$I2628-'FACUS$'!$K2628</f>
        <v>118148.436</v>
      </c>
      <c r="M2628" s="162" t="s">
        <v>116</v>
      </c>
      <c r="N2628" s="337" t="s">
        <v>554</v>
      </c>
      <c r="O2628" s="338">
        <v>45432.0</v>
      </c>
      <c r="P2628" s="164">
        <f t="array" ref="P2628">XLOOKUP('FACUS$'!$B2628,'perfil de pagos'!$A$4:$A$46,'perfil de pagos'!$C$4:$C$46+'FACUS$'!$D2628)</f>
        <v>45429</v>
      </c>
      <c r="Q2628" s="165">
        <f t="shared" si="70"/>
        <v>0</v>
      </c>
      <c r="R2628" s="167"/>
      <c r="S2628" s="167">
        <v>2996.0</v>
      </c>
      <c r="T2628" s="167"/>
      <c r="U2628" s="334"/>
      <c r="V2628" s="168">
        <f t="shared" si="3"/>
        <v>118148.436</v>
      </c>
      <c r="W2628" s="168">
        <f t="shared" si="4"/>
        <v>0</v>
      </c>
      <c r="X2628" s="168">
        <f t="shared" si="5"/>
        <v>0</v>
      </c>
      <c r="Y2628" s="168">
        <f t="shared" si="6"/>
        <v>0</v>
      </c>
      <c r="Z2628" s="168">
        <f t="shared" si="7"/>
        <v>0</v>
      </c>
      <c r="AA2628" s="168">
        <f t="shared" si="8"/>
        <v>0</v>
      </c>
      <c r="AB2628" s="168">
        <f t="shared" si="9"/>
        <v>0</v>
      </c>
    </row>
    <row r="2629" ht="15.0" customHeight="1">
      <c r="A2629" s="157" t="s">
        <v>10166</v>
      </c>
      <c r="B2629" s="169" t="s">
        <v>38</v>
      </c>
      <c r="C2629" s="169" t="s">
        <v>10154</v>
      </c>
      <c r="D2629" s="317">
        <v>45419.0</v>
      </c>
      <c r="E2629" s="157" t="s">
        <v>600</v>
      </c>
      <c r="F2629" s="160">
        <v>6002.19</v>
      </c>
      <c r="G2629" s="160">
        <f>'FACUS$'!$F2629*0.16</f>
        <v>960.3504</v>
      </c>
      <c r="H2629" s="160">
        <f t="shared" si="68"/>
        <v>6962.5404</v>
      </c>
      <c r="I2629" s="172"/>
      <c r="J2629" s="169"/>
      <c r="K2629" s="172"/>
      <c r="L2629" s="172">
        <f>+'FACUS$'!$H2629-'FACUS$'!$I2629-'FACUS$'!$K2629</f>
        <v>6962.5404</v>
      </c>
      <c r="M2629" s="162" t="s">
        <v>642</v>
      </c>
      <c r="N2629" s="337" t="s">
        <v>554</v>
      </c>
      <c r="O2629" s="338">
        <v>45462.0</v>
      </c>
      <c r="P2629" s="164">
        <f t="array" ref="P2629">XLOOKUP('FACUS$'!$B2629,'perfil de pagos'!$A$4:$A$46,'perfil de pagos'!$C$4:$C$46+'FACUS$'!$D2629)</f>
        <v>45449</v>
      </c>
      <c r="Q2629" s="165">
        <f t="shared" si="70"/>
        <v>0</v>
      </c>
      <c r="R2629" s="167"/>
      <c r="S2629" s="167">
        <v>3068.0</v>
      </c>
      <c r="T2629" s="167"/>
      <c r="U2629" s="334"/>
      <c r="V2629" s="168">
        <f t="shared" si="3"/>
        <v>6962.5404</v>
      </c>
      <c r="W2629" s="168">
        <f t="shared" si="4"/>
        <v>0</v>
      </c>
      <c r="X2629" s="168">
        <f t="shared" si="5"/>
        <v>0</v>
      </c>
      <c r="Y2629" s="168">
        <f t="shared" si="6"/>
        <v>0</v>
      </c>
      <c r="Z2629" s="168">
        <f t="shared" si="7"/>
        <v>0</v>
      </c>
      <c r="AA2629" s="168">
        <f t="shared" si="8"/>
        <v>0</v>
      </c>
      <c r="AB2629" s="168">
        <f t="shared" si="9"/>
        <v>0</v>
      </c>
    </row>
    <row r="2630" ht="15.0" customHeight="1">
      <c r="A2630" s="157" t="s">
        <v>10167</v>
      </c>
      <c r="B2630" s="169" t="s">
        <v>38</v>
      </c>
      <c r="C2630" s="169" t="s">
        <v>10154</v>
      </c>
      <c r="D2630" s="317">
        <v>45419.0</v>
      </c>
      <c r="E2630" s="157" t="s">
        <v>600</v>
      </c>
      <c r="F2630" s="160">
        <v>8818.31</v>
      </c>
      <c r="G2630" s="160">
        <f>'FACUS$'!$F2630*0.16</f>
        <v>1410.9296</v>
      </c>
      <c r="H2630" s="160">
        <f t="shared" si="68"/>
        <v>10229.2396</v>
      </c>
      <c r="I2630" s="172"/>
      <c r="J2630" s="169"/>
      <c r="K2630" s="172"/>
      <c r="L2630" s="172">
        <f>+'FACUS$'!$H2630-'FACUS$'!$I2630-'FACUS$'!$K2630</f>
        <v>10229.2396</v>
      </c>
      <c r="M2630" s="162" t="s">
        <v>145</v>
      </c>
      <c r="N2630" s="337" t="s">
        <v>554</v>
      </c>
      <c r="O2630" s="338">
        <v>45462.0</v>
      </c>
      <c r="P2630" s="164">
        <f t="array" ref="P2630">XLOOKUP('FACUS$'!$B2630,'perfil de pagos'!$A$4:$A$46,'perfil de pagos'!$C$4:$C$46+'FACUS$'!$D2630)</f>
        <v>45449</v>
      </c>
      <c r="Q2630" s="165">
        <f t="shared" si="70"/>
        <v>0</v>
      </c>
      <c r="R2630" s="167"/>
      <c r="S2630" s="167">
        <v>3068.0</v>
      </c>
      <c r="T2630" s="167"/>
      <c r="U2630" s="334"/>
      <c r="V2630" s="168">
        <f t="shared" si="3"/>
        <v>10229.2396</v>
      </c>
      <c r="W2630" s="168">
        <f t="shared" si="4"/>
        <v>0</v>
      </c>
      <c r="X2630" s="168">
        <f t="shared" si="5"/>
        <v>0</v>
      </c>
      <c r="Y2630" s="168">
        <f t="shared" si="6"/>
        <v>0</v>
      </c>
      <c r="Z2630" s="168">
        <f t="shared" si="7"/>
        <v>0</v>
      </c>
      <c r="AA2630" s="168">
        <f t="shared" si="8"/>
        <v>0</v>
      </c>
      <c r="AB2630" s="168">
        <f t="shared" si="9"/>
        <v>0</v>
      </c>
    </row>
    <row r="2631" ht="15.0" customHeight="1">
      <c r="A2631" s="157" t="s">
        <v>10168</v>
      </c>
      <c r="B2631" s="169" t="s">
        <v>34</v>
      </c>
      <c r="C2631" s="169" t="s">
        <v>10169</v>
      </c>
      <c r="D2631" s="317">
        <v>45432.0</v>
      </c>
      <c r="E2631" s="157" t="s">
        <v>600</v>
      </c>
      <c r="F2631" s="160">
        <v>6061.04</v>
      </c>
      <c r="G2631" s="160">
        <f>'FACUS$'!$F2631*0.16</f>
        <v>969.7664</v>
      </c>
      <c r="H2631" s="160">
        <f t="shared" si="68"/>
        <v>7030.8064</v>
      </c>
      <c r="I2631" s="172"/>
      <c r="J2631" s="169"/>
      <c r="K2631" s="172"/>
      <c r="L2631" s="172">
        <f>+'FACUS$'!$H2631-'FACUS$'!$I2631-'FACUS$'!$K2631</f>
        <v>7030.8064</v>
      </c>
      <c r="M2631" s="162" t="s">
        <v>538</v>
      </c>
      <c r="N2631" s="337" t="s">
        <v>554</v>
      </c>
      <c r="O2631" s="338">
        <v>45443.0</v>
      </c>
      <c r="P2631" s="164">
        <f t="array" ref="P2631">XLOOKUP('FACUS$'!$B2631,'perfil de pagos'!$A$4:$A$46,'perfil de pagos'!$C$4:$C$46+'FACUS$'!$D2631)</f>
        <v>45442</v>
      </c>
      <c r="Q2631" s="165">
        <f t="shared" si="70"/>
        <v>0</v>
      </c>
      <c r="R2631" s="167"/>
      <c r="S2631" s="167">
        <v>3017.0</v>
      </c>
      <c r="T2631" s="167"/>
      <c r="U2631" s="334"/>
      <c r="V2631" s="168">
        <f t="shared" si="3"/>
        <v>7030.8064</v>
      </c>
      <c r="W2631" s="168">
        <f t="shared" si="4"/>
        <v>0</v>
      </c>
      <c r="X2631" s="168">
        <f t="shared" si="5"/>
        <v>0</v>
      </c>
      <c r="Y2631" s="168">
        <f t="shared" si="6"/>
        <v>0</v>
      </c>
      <c r="Z2631" s="168">
        <f t="shared" si="7"/>
        <v>0</v>
      </c>
      <c r="AA2631" s="168">
        <f t="shared" si="8"/>
        <v>0</v>
      </c>
      <c r="AB2631" s="168">
        <f t="shared" si="9"/>
        <v>0</v>
      </c>
    </row>
    <row r="2632" ht="15.0" customHeight="1">
      <c r="A2632" s="157" t="s">
        <v>10170</v>
      </c>
      <c r="B2632" s="169" t="s">
        <v>34</v>
      </c>
      <c r="C2632" s="169" t="s">
        <v>6220</v>
      </c>
      <c r="D2632" s="317">
        <v>45432.0</v>
      </c>
      <c r="E2632" s="157" t="s">
        <v>600</v>
      </c>
      <c r="F2632" s="160">
        <v>8001.17</v>
      </c>
      <c r="G2632" s="160">
        <f>'FACUS$'!$F2632*0.16</f>
        <v>1280.1872</v>
      </c>
      <c r="H2632" s="160">
        <f t="shared" si="68"/>
        <v>9281.3572</v>
      </c>
      <c r="I2632" s="172"/>
      <c r="J2632" s="169"/>
      <c r="K2632" s="172"/>
      <c r="L2632" s="172">
        <f>+'FACUS$'!$H2632-'FACUS$'!$I2632-'FACUS$'!$K2632</f>
        <v>9281.3572</v>
      </c>
      <c r="M2632" s="162" t="s">
        <v>538</v>
      </c>
      <c r="N2632" s="337" t="s">
        <v>554</v>
      </c>
      <c r="O2632" s="338">
        <v>45443.0</v>
      </c>
      <c r="P2632" s="164">
        <f t="array" ref="P2632">XLOOKUP('FACUS$'!$B2632,'perfil de pagos'!$A$4:$A$46,'perfil de pagos'!$C$4:$C$46+'FACUS$'!$D2632)</f>
        <v>45442</v>
      </c>
      <c r="Q2632" s="165">
        <f t="shared" si="70"/>
        <v>0</v>
      </c>
      <c r="R2632" s="167"/>
      <c r="S2632" s="167">
        <v>3016.0</v>
      </c>
      <c r="T2632" s="167"/>
      <c r="U2632" s="334"/>
      <c r="V2632" s="168">
        <f t="shared" si="3"/>
        <v>9281.3572</v>
      </c>
      <c r="W2632" s="168">
        <f t="shared" si="4"/>
        <v>0</v>
      </c>
      <c r="X2632" s="168">
        <f t="shared" si="5"/>
        <v>0</v>
      </c>
      <c r="Y2632" s="168">
        <f t="shared" si="6"/>
        <v>0</v>
      </c>
      <c r="Z2632" s="168">
        <f t="shared" si="7"/>
        <v>0</v>
      </c>
      <c r="AA2632" s="168">
        <f t="shared" si="8"/>
        <v>0</v>
      </c>
      <c r="AB2632" s="168">
        <f t="shared" si="9"/>
        <v>0</v>
      </c>
    </row>
    <row r="2633" ht="15.0" customHeight="1">
      <c r="A2633" s="157" t="s">
        <v>10171</v>
      </c>
      <c r="B2633" s="158" t="s">
        <v>35</v>
      </c>
      <c r="C2633" s="169" t="s">
        <v>6220</v>
      </c>
      <c r="D2633" s="317">
        <v>45432.0</v>
      </c>
      <c r="E2633" s="157" t="s">
        <v>600</v>
      </c>
      <c r="F2633" s="160">
        <v>9337.46</v>
      </c>
      <c r="G2633" s="160">
        <f>'FACUS$'!$F2633*0.16</f>
        <v>1493.9936</v>
      </c>
      <c r="H2633" s="160">
        <f t="shared" si="68"/>
        <v>10831.4536</v>
      </c>
      <c r="I2633" s="172"/>
      <c r="J2633" s="169"/>
      <c r="K2633" s="172"/>
      <c r="L2633" s="172">
        <f>+'FACUS$'!$H2633-'FACUS$'!$I2633-'FACUS$'!$K2633</f>
        <v>10831.4536</v>
      </c>
      <c r="M2633" s="162" t="s">
        <v>276</v>
      </c>
      <c r="N2633" s="337" t="s">
        <v>554</v>
      </c>
      <c r="O2633" s="338">
        <v>45461.0</v>
      </c>
      <c r="P2633" s="164">
        <f t="array" ref="P2633">XLOOKUP('FACUS$'!$B2633,'perfil de pagos'!$A$4:$A$46,'perfil de pagos'!$C$4:$C$46+'FACUS$'!$D2633)</f>
        <v>45442</v>
      </c>
      <c r="Q2633" s="165">
        <f t="shared" si="70"/>
        <v>0</v>
      </c>
      <c r="R2633" s="167"/>
      <c r="S2633" s="167"/>
      <c r="T2633" s="167"/>
      <c r="U2633" s="334"/>
      <c r="V2633" s="168">
        <f t="shared" si="3"/>
        <v>10831.4536</v>
      </c>
      <c r="W2633" s="168">
        <f t="shared" si="4"/>
        <v>0</v>
      </c>
      <c r="X2633" s="168">
        <f t="shared" si="5"/>
        <v>0</v>
      </c>
      <c r="Y2633" s="168">
        <f t="shared" si="6"/>
        <v>0</v>
      </c>
      <c r="Z2633" s="168">
        <f t="shared" si="7"/>
        <v>0</v>
      </c>
      <c r="AA2633" s="168">
        <f t="shared" si="8"/>
        <v>0</v>
      </c>
      <c r="AB2633" s="168">
        <f t="shared" si="9"/>
        <v>0</v>
      </c>
    </row>
    <row r="2634" ht="15.0" customHeight="1">
      <c r="A2634" s="299" t="s">
        <v>10172</v>
      </c>
      <c r="B2634" s="300" t="s">
        <v>574</v>
      </c>
      <c r="C2634" s="300"/>
      <c r="D2634" s="407"/>
      <c r="E2634" s="299" t="s">
        <v>600</v>
      </c>
      <c r="F2634" s="302"/>
      <c r="G2634" s="302">
        <f>'FACUS$'!$F2634*0.16</f>
        <v>0</v>
      </c>
      <c r="H2634" s="302">
        <f t="shared" si="68"/>
        <v>0</v>
      </c>
      <c r="I2634" s="408"/>
      <c r="J2634" s="300"/>
      <c r="K2634" s="408"/>
      <c r="L2634" s="408">
        <f>+'FACUS$'!$H2634-'FACUS$'!$I2634-'FACUS$'!$K2634</f>
        <v>0</v>
      </c>
      <c r="M2634" s="305"/>
      <c r="N2634" s="409" t="s">
        <v>127</v>
      </c>
      <c r="O2634" s="410"/>
      <c r="P2634" s="306" t="str">
        <f t="array" ref="P2634">XLOOKUP('FACUS$'!$B2634,'perfil de pagos'!$A$4:$A$46,'perfil de pagos'!$C$4:$C$46+'FACUS$'!$D2634)</f>
        <v>#N/A</v>
      </c>
      <c r="Q2634" s="307" t="str">
        <f t="shared" si="70"/>
        <v>N/A</v>
      </c>
      <c r="R2634" s="308"/>
      <c r="S2634" s="308"/>
      <c r="T2634" s="308"/>
      <c r="U2634" s="411"/>
      <c r="V2634" s="309">
        <f t="shared" si="3"/>
        <v>0</v>
      </c>
      <c r="W2634" s="309">
        <f t="shared" si="4"/>
        <v>0</v>
      </c>
      <c r="X2634" s="309">
        <f t="shared" si="5"/>
        <v>0</v>
      </c>
      <c r="Y2634" s="309">
        <f t="shared" si="6"/>
        <v>0</v>
      </c>
      <c r="Z2634" s="309">
        <f t="shared" si="7"/>
        <v>0</v>
      </c>
      <c r="AA2634" s="309">
        <f t="shared" si="8"/>
        <v>0</v>
      </c>
      <c r="AB2634" s="309">
        <f t="shared" si="9"/>
        <v>0</v>
      </c>
    </row>
    <row r="2635" ht="15.0" customHeight="1">
      <c r="A2635" s="157" t="s">
        <v>10173</v>
      </c>
      <c r="B2635" s="169" t="s">
        <v>42</v>
      </c>
      <c r="C2635" s="169" t="s">
        <v>6220</v>
      </c>
      <c r="D2635" s="317">
        <v>45432.0</v>
      </c>
      <c r="E2635" s="157" t="s">
        <v>600</v>
      </c>
      <c r="F2635" s="160">
        <v>2887.76</v>
      </c>
      <c r="G2635" s="160">
        <f>'FACUS$'!$F2635*0.16</f>
        <v>462.0416</v>
      </c>
      <c r="H2635" s="160">
        <f t="shared" si="68"/>
        <v>3349.8016</v>
      </c>
      <c r="I2635" s="172"/>
      <c r="J2635" s="169"/>
      <c r="K2635" s="172"/>
      <c r="L2635" s="172">
        <f>+'FACUS$'!$H2635-'FACUS$'!$I2635-'FACUS$'!$K2635</f>
        <v>3349.8016</v>
      </c>
      <c r="M2635" s="162" t="s">
        <v>42</v>
      </c>
      <c r="N2635" s="337" t="s">
        <v>554</v>
      </c>
      <c r="O2635" s="338">
        <v>45449.0</v>
      </c>
      <c r="P2635" s="164">
        <f t="array" ref="P2635">XLOOKUP('FACUS$'!$B2635,'perfil de pagos'!$A$4:$A$46,'perfil de pagos'!$C$4:$C$46+'FACUS$'!$D2635)</f>
        <v>45442</v>
      </c>
      <c r="Q2635" s="165">
        <f t="shared" si="70"/>
        <v>0</v>
      </c>
      <c r="R2635" s="167"/>
      <c r="S2635" s="167">
        <v>3036.0</v>
      </c>
      <c r="T2635" s="167"/>
      <c r="U2635" s="334"/>
      <c r="V2635" s="168">
        <f t="shared" si="3"/>
        <v>3349.8016</v>
      </c>
      <c r="W2635" s="168">
        <f t="shared" si="4"/>
        <v>0</v>
      </c>
      <c r="X2635" s="168">
        <f t="shared" si="5"/>
        <v>0</v>
      </c>
      <c r="Y2635" s="168">
        <f t="shared" si="6"/>
        <v>0</v>
      </c>
      <c r="Z2635" s="168">
        <f t="shared" si="7"/>
        <v>0</v>
      </c>
      <c r="AA2635" s="168">
        <f t="shared" si="8"/>
        <v>0</v>
      </c>
      <c r="AB2635" s="168">
        <f t="shared" si="9"/>
        <v>0</v>
      </c>
    </row>
    <row r="2636" ht="15.0" customHeight="1">
      <c r="A2636" s="157" t="s">
        <v>10174</v>
      </c>
      <c r="B2636" s="169" t="s">
        <v>44</v>
      </c>
      <c r="C2636" s="169" t="s">
        <v>6220</v>
      </c>
      <c r="D2636" s="317">
        <v>45432.0</v>
      </c>
      <c r="E2636" s="157" t="s">
        <v>600</v>
      </c>
      <c r="F2636" s="160">
        <v>598.69</v>
      </c>
      <c r="G2636" s="160">
        <f>'FACUS$'!$F2636*0.16</f>
        <v>95.7904</v>
      </c>
      <c r="H2636" s="160">
        <f t="shared" si="68"/>
        <v>694.4804</v>
      </c>
      <c r="I2636" s="172"/>
      <c r="J2636" s="169"/>
      <c r="K2636" s="172"/>
      <c r="L2636" s="172">
        <f>+'FACUS$'!$H2636-'FACUS$'!$I2636-'FACUS$'!$K2636</f>
        <v>694.4804</v>
      </c>
      <c r="M2636" s="162" t="s">
        <v>361</v>
      </c>
      <c r="N2636" s="337" t="s">
        <v>554</v>
      </c>
      <c r="O2636" s="338">
        <v>45436.0</v>
      </c>
      <c r="P2636" s="164">
        <f t="array" ref="P2636">XLOOKUP('FACUS$'!$B2636,'perfil de pagos'!$A$4:$A$46,'perfil de pagos'!$C$4:$C$46+'FACUS$'!$D2636)</f>
        <v>45442</v>
      </c>
      <c r="Q2636" s="165">
        <f t="shared" si="70"/>
        <v>0</v>
      </c>
      <c r="R2636" s="167"/>
      <c r="S2636" s="167">
        <v>3003.0</v>
      </c>
      <c r="T2636" s="167"/>
      <c r="U2636" s="334"/>
      <c r="V2636" s="168">
        <f t="shared" si="3"/>
        <v>694.4804</v>
      </c>
      <c r="W2636" s="168">
        <f t="shared" si="4"/>
        <v>0</v>
      </c>
      <c r="X2636" s="168">
        <f t="shared" si="5"/>
        <v>0</v>
      </c>
      <c r="Y2636" s="168">
        <f t="shared" si="6"/>
        <v>0</v>
      </c>
      <c r="Z2636" s="168">
        <f t="shared" si="7"/>
        <v>0</v>
      </c>
      <c r="AA2636" s="168">
        <f t="shared" si="8"/>
        <v>0</v>
      </c>
      <c r="AB2636" s="168">
        <f t="shared" si="9"/>
        <v>0</v>
      </c>
    </row>
    <row r="2637" ht="15.0" customHeight="1">
      <c r="A2637" s="157" t="s">
        <v>10175</v>
      </c>
      <c r="B2637" s="169" t="s">
        <v>38</v>
      </c>
      <c r="C2637" s="169" t="s">
        <v>6220</v>
      </c>
      <c r="D2637" s="317">
        <v>45432.0</v>
      </c>
      <c r="E2637" s="157" t="s">
        <v>600</v>
      </c>
      <c r="F2637" s="160">
        <v>2190.3</v>
      </c>
      <c r="G2637" s="160">
        <f>'FACUS$'!$F2637*0.16</f>
        <v>350.448</v>
      </c>
      <c r="H2637" s="160">
        <f t="shared" si="68"/>
        <v>2540.748</v>
      </c>
      <c r="I2637" s="172"/>
      <c r="J2637" s="169"/>
      <c r="K2637" s="172"/>
      <c r="L2637" s="172">
        <f>+'FACUS$'!$H2637-'FACUS$'!$I2637-'FACUS$'!$K2637</f>
        <v>2540.748</v>
      </c>
      <c r="M2637" s="162" t="s">
        <v>4654</v>
      </c>
      <c r="N2637" s="337" t="s">
        <v>554</v>
      </c>
      <c r="O2637" s="338">
        <v>45477.0</v>
      </c>
      <c r="P2637" s="164">
        <f t="array" ref="P2637">XLOOKUP('FACUS$'!$B2637,'perfil de pagos'!$A$4:$A$46,'perfil de pagos'!$C$4:$C$46+'FACUS$'!$D2637)</f>
        <v>45462</v>
      </c>
      <c r="Q2637" s="165">
        <f t="shared" si="70"/>
        <v>0</v>
      </c>
      <c r="R2637" s="167"/>
      <c r="S2637" s="167">
        <v>3134.0</v>
      </c>
      <c r="T2637" s="167"/>
      <c r="U2637" s="334"/>
      <c r="V2637" s="168">
        <f t="shared" si="3"/>
        <v>2540.748</v>
      </c>
      <c r="W2637" s="168">
        <f t="shared" si="4"/>
        <v>0</v>
      </c>
      <c r="X2637" s="168">
        <f t="shared" si="5"/>
        <v>0</v>
      </c>
      <c r="Y2637" s="168">
        <f t="shared" si="6"/>
        <v>0</v>
      </c>
      <c r="Z2637" s="168">
        <f t="shared" si="7"/>
        <v>0</v>
      </c>
      <c r="AA2637" s="168">
        <f t="shared" si="8"/>
        <v>0</v>
      </c>
      <c r="AB2637" s="168">
        <f t="shared" si="9"/>
        <v>0</v>
      </c>
    </row>
    <row r="2638" ht="15.0" customHeight="1">
      <c r="A2638" s="157" t="s">
        <v>10176</v>
      </c>
      <c r="B2638" s="169" t="s">
        <v>41</v>
      </c>
      <c r="C2638" s="169" t="s">
        <v>6220</v>
      </c>
      <c r="D2638" s="317">
        <v>45432.0</v>
      </c>
      <c r="E2638" s="157" t="s">
        <v>600</v>
      </c>
      <c r="F2638" s="160">
        <v>66163.48</v>
      </c>
      <c r="G2638" s="160">
        <f>'FACUS$'!$F2638*0.16</f>
        <v>10586.1568</v>
      </c>
      <c r="H2638" s="160">
        <f t="shared" si="68"/>
        <v>76749.6368</v>
      </c>
      <c r="I2638" s="172"/>
      <c r="J2638" s="169"/>
      <c r="K2638" s="172"/>
      <c r="L2638" s="172">
        <f>+'FACUS$'!$H2638-'FACUS$'!$I2638-'FACUS$'!$K2638</f>
        <v>76749.6368</v>
      </c>
      <c r="M2638" s="162" t="s">
        <v>875</v>
      </c>
      <c r="N2638" s="337" t="s">
        <v>554</v>
      </c>
      <c r="O2638" s="338">
        <v>45490.0</v>
      </c>
      <c r="P2638" s="164">
        <f t="array" ref="P2638">XLOOKUP('FACUS$'!$B2638,'perfil de pagos'!$A$4:$A$46,'perfil de pagos'!$C$4:$C$46+'FACUS$'!$D2638)</f>
        <v>45442</v>
      </c>
      <c r="Q2638" s="165">
        <f t="shared" si="70"/>
        <v>0</v>
      </c>
      <c r="R2638" s="167"/>
      <c r="S2638" s="167">
        <v>3147.0</v>
      </c>
      <c r="T2638" s="167"/>
      <c r="U2638" s="334"/>
      <c r="V2638" s="168">
        <f t="shared" si="3"/>
        <v>76749.6368</v>
      </c>
      <c r="W2638" s="168">
        <f t="shared" si="4"/>
        <v>0</v>
      </c>
      <c r="X2638" s="168">
        <f t="shared" si="5"/>
        <v>0</v>
      </c>
      <c r="Y2638" s="168">
        <f t="shared" si="6"/>
        <v>0</v>
      </c>
      <c r="Z2638" s="168">
        <f t="shared" si="7"/>
        <v>0</v>
      </c>
      <c r="AA2638" s="168">
        <f t="shared" si="8"/>
        <v>0</v>
      </c>
      <c r="AB2638" s="168">
        <f t="shared" si="9"/>
        <v>0</v>
      </c>
    </row>
    <row r="2639" ht="15.0" customHeight="1">
      <c r="A2639" s="157" t="s">
        <v>10177</v>
      </c>
      <c r="B2639" s="169" t="s">
        <v>18</v>
      </c>
      <c r="C2639" s="169" t="s">
        <v>6220</v>
      </c>
      <c r="D2639" s="317">
        <v>45435.0</v>
      </c>
      <c r="E2639" s="157" t="s">
        <v>600</v>
      </c>
      <c r="F2639" s="160">
        <v>5336.29</v>
      </c>
      <c r="G2639" s="160">
        <f>'FACUS$'!$F2639*0.16</f>
        <v>853.8064</v>
      </c>
      <c r="H2639" s="160">
        <f t="shared" si="68"/>
        <v>6190.0964</v>
      </c>
      <c r="I2639" s="172"/>
      <c r="J2639" s="169"/>
      <c r="K2639" s="172"/>
      <c r="L2639" s="172">
        <f>+'FACUS$'!$H2639-'FACUS$'!$I2639-'FACUS$'!$K2639</f>
        <v>6190.0964</v>
      </c>
      <c r="M2639" s="162" t="s">
        <v>586</v>
      </c>
      <c r="N2639" s="337" t="s">
        <v>554</v>
      </c>
      <c r="O2639" s="338">
        <v>45477.0</v>
      </c>
      <c r="P2639" s="164">
        <f t="array" ref="P2639">XLOOKUP('FACUS$'!$B2639,'perfil de pagos'!$A$4:$A$46,'perfil de pagos'!$C$4:$C$46+'FACUS$'!$D2639)</f>
        <v>45445</v>
      </c>
      <c r="Q2639" s="165">
        <f t="shared" si="70"/>
        <v>0</v>
      </c>
      <c r="R2639" s="167"/>
      <c r="S2639" s="167">
        <v>3133.0</v>
      </c>
      <c r="T2639" s="167"/>
      <c r="U2639" s="334"/>
      <c r="V2639" s="168">
        <f t="shared" si="3"/>
        <v>6190.0964</v>
      </c>
      <c r="W2639" s="168">
        <f t="shared" si="4"/>
        <v>0</v>
      </c>
      <c r="X2639" s="168">
        <f t="shared" si="5"/>
        <v>0</v>
      </c>
      <c r="Y2639" s="168">
        <f t="shared" si="6"/>
        <v>0</v>
      </c>
      <c r="Z2639" s="168">
        <f t="shared" si="7"/>
        <v>0</v>
      </c>
      <c r="AA2639" s="168">
        <f t="shared" si="8"/>
        <v>0</v>
      </c>
      <c r="AB2639" s="168">
        <f t="shared" si="9"/>
        <v>0</v>
      </c>
    </row>
    <row r="2640" ht="15.0" customHeight="1">
      <c r="A2640" s="157" t="s">
        <v>10178</v>
      </c>
      <c r="B2640" s="169" t="s">
        <v>20</v>
      </c>
      <c r="C2640" s="169" t="s">
        <v>6220</v>
      </c>
      <c r="D2640" s="317">
        <v>45435.0</v>
      </c>
      <c r="E2640" s="157" t="s">
        <v>600</v>
      </c>
      <c r="F2640" s="160">
        <v>12366.85</v>
      </c>
      <c r="G2640" s="160">
        <f>'FACUS$'!$F2640*0.16</f>
        <v>1978.696</v>
      </c>
      <c r="H2640" s="160">
        <f t="shared" si="68"/>
        <v>14345.546</v>
      </c>
      <c r="I2640" s="172"/>
      <c r="J2640" s="169"/>
      <c r="K2640" s="172"/>
      <c r="L2640" s="172">
        <f>+'FACUS$'!$H2640-'FACUS$'!$I2640-'FACUS$'!$K2640</f>
        <v>14345.546</v>
      </c>
      <c r="M2640" s="162" t="s">
        <v>732</v>
      </c>
      <c r="N2640" s="337" t="s">
        <v>554</v>
      </c>
      <c r="O2640" s="338">
        <v>45470.0</v>
      </c>
      <c r="P2640" s="164">
        <f t="array" ref="P2640">XLOOKUP('FACUS$'!$B2640,'perfil de pagos'!$A$4:$A$46,'perfil de pagos'!$C$4:$C$46+'FACUS$'!$D2640)</f>
        <v>45445</v>
      </c>
      <c r="Q2640" s="165">
        <f t="shared" si="70"/>
        <v>0</v>
      </c>
      <c r="R2640" s="167"/>
      <c r="S2640" s="167">
        <v>3112.0</v>
      </c>
      <c r="T2640" s="167"/>
      <c r="U2640" s="334"/>
      <c r="V2640" s="168">
        <f t="shared" si="3"/>
        <v>14345.546</v>
      </c>
      <c r="W2640" s="168">
        <f t="shared" si="4"/>
        <v>0</v>
      </c>
      <c r="X2640" s="168">
        <f t="shared" si="5"/>
        <v>0</v>
      </c>
      <c r="Y2640" s="168">
        <f t="shared" si="6"/>
        <v>0</v>
      </c>
      <c r="Z2640" s="168">
        <f t="shared" si="7"/>
        <v>0</v>
      </c>
      <c r="AA2640" s="168">
        <f t="shared" si="8"/>
        <v>0</v>
      </c>
      <c r="AB2640" s="168">
        <f t="shared" si="9"/>
        <v>0</v>
      </c>
    </row>
    <row r="2641" ht="15.0" customHeight="1">
      <c r="A2641" s="157" t="s">
        <v>10179</v>
      </c>
      <c r="B2641" s="169" t="s">
        <v>22</v>
      </c>
      <c r="C2641" s="169" t="s">
        <v>6220</v>
      </c>
      <c r="D2641" s="317">
        <v>45435.0</v>
      </c>
      <c r="E2641" s="157" t="s">
        <v>600</v>
      </c>
      <c r="F2641" s="160">
        <v>22337.21</v>
      </c>
      <c r="G2641" s="160">
        <f>'FACUS$'!$F2641*0.16</f>
        <v>3573.9536</v>
      </c>
      <c r="H2641" s="160">
        <f t="shared" si="68"/>
        <v>25911.1636</v>
      </c>
      <c r="I2641" s="172">
        <f>10245.25+11051.13</f>
        <v>21296.38</v>
      </c>
      <c r="J2641" s="169"/>
      <c r="K2641" s="172"/>
      <c r="L2641" s="172">
        <f>+'FACUS$'!$H2641-'FACUS$'!$I2641-'FACUS$'!$K2641</f>
        <v>4614.7836</v>
      </c>
      <c r="M2641" s="162" t="s">
        <v>220</v>
      </c>
      <c r="N2641" s="337" t="s">
        <v>554</v>
      </c>
      <c r="O2641" s="338">
        <v>45491.0</v>
      </c>
      <c r="P2641" s="164">
        <f t="array" ref="P2641">XLOOKUP('FACUS$'!$B2641,'perfil de pagos'!$A$4:$A$46,'perfil de pagos'!$C$4:$C$46+'FACUS$'!$D2641)</f>
        <v>45445</v>
      </c>
      <c r="Q2641" s="165">
        <f t="shared" si="70"/>
        <v>0</v>
      </c>
      <c r="R2641" s="220" t="s">
        <v>10180</v>
      </c>
      <c r="S2641" s="220">
        <v>3156.0</v>
      </c>
      <c r="T2641" s="167"/>
      <c r="U2641" s="334"/>
      <c r="V2641" s="168">
        <f t="shared" si="3"/>
        <v>4614.7836</v>
      </c>
      <c r="W2641" s="168">
        <f t="shared" si="4"/>
        <v>0</v>
      </c>
      <c r="X2641" s="168">
        <f t="shared" si="5"/>
        <v>0</v>
      </c>
      <c r="Y2641" s="168">
        <f t="shared" si="6"/>
        <v>0</v>
      </c>
      <c r="Z2641" s="168">
        <f t="shared" si="7"/>
        <v>0</v>
      </c>
      <c r="AA2641" s="168">
        <f t="shared" si="8"/>
        <v>0</v>
      </c>
      <c r="AB2641" s="168">
        <f t="shared" si="9"/>
        <v>0</v>
      </c>
    </row>
    <row r="2642" ht="15.0" customHeight="1">
      <c r="A2642" s="157" t="s">
        <v>10181</v>
      </c>
      <c r="B2642" s="169" t="s">
        <v>25</v>
      </c>
      <c r="C2642" s="169" t="s">
        <v>6220</v>
      </c>
      <c r="D2642" s="317">
        <v>45435.0</v>
      </c>
      <c r="E2642" s="157" t="s">
        <v>600</v>
      </c>
      <c r="F2642" s="160">
        <v>4319.98</v>
      </c>
      <c r="G2642" s="160">
        <f>'FACUS$'!$F2642*0.16</f>
        <v>691.1968</v>
      </c>
      <c r="H2642" s="160">
        <f t="shared" si="68"/>
        <v>5011.1768</v>
      </c>
      <c r="I2642" s="172"/>
      <c r="J2642" s="169"/>
      <c r="K2642" s="172"/>
      <c r="L2642" s="172">
        <f>+'FACUS$'!$H2642-'FACUS$'!$I2642-'FACUS$'!$K2642</f>
        <v>5011.1768</v>
      </c>
      <c r="M2642" s="162" t="s">
        <v>4388</v>
      </c>
      <c r="N2642" s="337" t="s">
        <v>554</v>
      </c>
      <c r="O2642" s="338">
        <v>45449.0</v>
      </c>
      <c r="P2642" s="164">
        <f t="array" ref="P2642">XLOOKUP('FACUS$'!$B2642,'perfil de pagos'!$A$4:$A$46,'perfil de pagos'!$C$4:$C$46+'FACUS$'!$D2642)</f>
        <v>45445</v>
      </c>
      <c r="Q2642" s="165">
        <f t="shared" si="70"/>
        <v>0</v>
      </c>
      <c r="R2642" s="167"/>
      <c r="S2642" s="167">
        <v>3038.0</v>
      </c>
      <c r="T2642" s="167"/>
      <c r="U2642" s="334"/>
      <c r="V2642" s="168">
        <f t="shared" si="3"/>
        <v>5011.1768</v>
      </c>
      <c r="W2642" s="168">
        <f t="shared" si="4"/>
        <v>0</v>
      </c>
      <c r="X2642" s="168">
        <f t="shared" si="5"/>
        <v>0</v>
      </c>
      <c r="Y2642" s="168">
        <f t="shared" si="6"/>
        <v>0</v>
      </c>
      <c r="Z2642" s="168">
        <f t="shared" si="7"/>
        <v>0</v>
      </c>
      <c r="AA2642" s="168">
        <f t="shared" si="8"/>
        <v>0</v>
      </c>
      <c r="AB2642" s="168">
        <f t="shared" si="9"/>
        <v>0</v>
      </c>
    </row>
    <row r="2643" ht="15.0" customHeight="1">
      <c r="A2643" s="157" t="s">
        <v>10182</v>
      </c>
      <c r="B2643" s="169" t="s">
        <v>37</v>
      </c>
      <c r="C2643" s="169" t="s">
        <v>6220</v>
      </c>
      <c r="D2643" s="317">
        <v>45435.0</v>
      </c>
      <c r="E2643" s="157" t="s">
        <v>600</v>
      </c>
      <c r="F2643" s="160">
        <v>82935.4</v>
      </c>
      <c r="G2643" s="160">
        <f>'FACUS$'!$F2643*0.16</f>
        <v>13269.664</v>
      </c>
      <c r="H2643" s="160">
        <f t="shared" si="68"/>
        <v>96205.064</v>
      </c>
      <c r="I2643" s="172"/>
      <c r="J2643" s="169"/>
      <c r="K2643" s="172"/>
      <c r="L2643" s="172">
        <f>+'FACUS$'!$H2643-'FACUS$'!$I2643-'FACUS$'!$K2643</f>
        <v>96205.064</v>
      </c>
      <c r="M2643" s="162" t="s">
        <v>116</v>
      </c>
      <c r="N2643" s="337" t="s">
        <v>554</v>
      </c>
      <c r="O2643" s="338">
        <v>45447.0</v>
      </c>
      <c r="P2643" s="164">
        <f t="array" ref="P2643">XLOOKUP('FACUS$'!$B2643,'perfil de pagos'!$A$4:$A$46,'perfil de pagos'!$C$4:$C$46+'FACUS$'!$D2643)</f>
        <v>45445</v>
      </c>
      <c r="Q2643" s="165">
        <f t="shared" si="70"/>
        <v>0</v>
      </c>
      <c r="R2643" s="167"/>
      <c r="S2643" s="167">
        <v>3023.0</v>
      </c>
      <c r="T2643" s="167"/>
      <c r="U2643" s="334"/>
      <c r="V2643" s="168">
        <f t="shared" si="3"/>
        <v>96205.064</v>
      </c>
      <c r="W2643" s="168">
        <f t="shared" si="4"/>
        <v>0</v>
      </c>
      <c r="X2643" s="168">
        <f t="shared" si="5"/>
        <v>0</v>
      </c>
      <c r="Y2643" s="168">
        <f t="shared" si="6"/>
        <v>0</v>
      </c>
      <c r="Z2643" s="168">
        <f t="shared" si="7"/>
        <v>0</v>
      </c>
      <c r="AA2643" s="168">
        <f t="shared" si="8"/>
        <v>0</v>
      </c>
      <c r="AB2643" s="168">
        <f t="shared" si="9"/>
        <v>0</v>
      </c>
    </row>
    <row r="2644" ht="15.0" customHeight="1">
      <c r="A2644" s="157" t="s">
        <v>10183</v>
      </c>
      <c r="B2644" s="169" t="s">
        <v>38</v>
      </c>
      <c r="C2644" s="169" t="s">
        <v>6220</v>
      </c>
      <c r="D2644" s="317">
        <v>45439.0</v>
      </c>
      <c r="E2644" s="157" t="s">
        <v>600</v>
      </c>
      <c r="F2644" s="160">
        <v>5241.01</v>
      </c>
      <c r="G2644" s="160">
        <f>'FACUS$'!$F2644*0.16</f>
        <v>838.5616</v>
      </c>
      <c r="H2644" s="160">
        <f t="shared" si="68"/>
        <v>6079.5716</v>
      </c>
      <c r="I2644" s="172"/>
      <c r="J2644" s="169"/>
      <c r="K2644" s="172"/>
      <c r="L2644" s="172">
        <f>+'FACUS$'!$H2644-'FACUS$'!$I2644-'FACUS$'!$K2644</f>
        <v>6079.5716</v>
      </c>
      <c r="M2644" s="162" t="s">
        <v>642</v>
      </c>
      <c r="N2644" s="337" t="s">
        <v>554</v>
      </c>
      <c r="O2644" s="338">
        <v>45477.0</v>
      </c>
      <c r="P2644" s="164">
        <f t="array" ref="P2644">XLOOKUP('FACUS$'!$B2644,'perfil de pagos'!$A$4:$A$46,'perfil de pagos'!$C$4:$C$46+'FACUS$'!$D2644)</f>
        <v>45469</v>
      </c>
      <c r="Q2644" s="165">
        <f t="shared" si="70"/>
        <v>0</v>
      </c>
      <c r="R2644" s="167"/>
      <c r="S2644" s="167">
        <v>3134.0</v>
      </c>
      <c r="T2644" s="167"/>
      <c r="U2644" s="334"/>
      <c r="V2644" s="168">
        <f t="shared" si="3"/>
        <v>6079.5716</v>
      </c>
      <c r="W2644" s="168">
        <f t="shared" si="4"/>
        <v>0</v>
      </c>
      <c r="X2644" s="168">
        <f t="shared" si="5"/>
        <v>0</v>
      </c>
      <c r="Y2644" s="168">
        <f t="shared" si="6"/>
        <v>0</v>
      </c>
      <c r="Z2644" s="168">
        <f t="shared" si="7"/>
        <v>0</v>
      </c>
      <c r="AA2644" s="168">
        <f t="shared" si="8"/>
        <v>0</v>
      </c>
      <c r="AB2644" s="168">
        <f t="shared" si="9"/>
        <v>0</v>
      </c>
    </row>
    <row r="2645" ht="15.0" customHeight="1">
      <c r="A2645" s="157" t="s">
        <v>10184</v>
      </c>
      <c r="B2645" s="169" t="s">
        <v>38</v>
      </c>
      <c r="C2645" s="169" t="s">
        <v>6220</v>
      </c>
      <c r="D2645" s="317">
        <v>45439.0</v>
      </c>
      <c r="E2645" s="157" t="s">
        <v>600</v>
      </c>
      <c r="F2645" s="160">
        <v>8284.17</v>
      </c>
      <c r="G2645" s="160">
        <f>'FACUS$'!$F2645*0.16</f>
        <v>1325.4672</v>
      </c>
      <c r="H2645" s="160">
        <f t="shared" si="68"/>
        <v>9609.6372</v>
      </c>
      <c r="I2645" s="172"/>
      <c r="J2645" s="169"/>
      <c r="K2645" s="172"/>
      <c r="L2645" s="172">
        <f>+'FACUS$'!$H2645-'FACUS$'!$I2645-'FACUS$'!$K2645</f>
        <v>9609.6372</v>
      </c>
      <c r="M2645" s="162" t="s">
        <v>145</v>
      </c>
      <c r="N2645" s="337" t="s">
        <v>554</v>
      </c>
      <c r="O2645" s="338">
        <v>45477.0</v>
      </c>
      <c r="P2645" s="164">
        <f t="array" ref="P2645">XLOOKUP('FACUS$'!$B2645,'perfil de pagos'!$A$4:$A$46,'perfil de pagos'!$C$4:$C$46+'FACUS$'!$D2645)</f>
        <v>45469</v>
      </c>
      <c r="Q2645" s="165">
        <f t="shared" si="70"/>
        <v>0</v>
      </c>
      <c r="R2645" s="167"/>
      <c r="S2645" s="167">
        <v>3134.0</v>
      </c>
      <c r="T2645" s="167"/>
      <c r="U2645" s="334"/>
      <c r="V2645" s="168">
        <f t="shared" si="3"/>
        <v>9609.6372</v>
      </c>
      <c r="W2645" s="168">
        <f t="shared" si="4"/>
        <v>0</v>
      </c>
      <c r="X2645" s="168">
        <f t="shared" si="5"/>
        <v>0</v>
      </c>
      <c r="Y2645" s="168">
        <f t="shared" si="6"/>
        <v>0</v>
      </c>
      <c r="Z2645" s="168">
        <f t="shared" si="7"/>
        <v>0</v>
      </c>
      <c r="AA2645" s="168">
        <f t="shared" si="8"/>
        <v>0</v>
      </c>
      <c r="AB2645" s="168">
        <f t="shared" si="9"/>
        <v>0</v>
      </c>
    </row>
    <row r="2646" ht="15.0" customHeight="1">
      <c r="A2646" s="157" t="s">
        <v>10185</v>
      </c>
      <c r="B2646" s="169" t="s">
        <v>34</v>
      </c>
      <c r="C2646" s="169" t="s">
        <v>6261</v>
      </c>
      <c r="D2646" s="317">
        <v>45446.0</v>
      </c>
      <c r="E2646" s="157" t="s">
        <v>600</v>
      </c>
      <c r="F2646" s="160">
        <v>7652.1</v>
      </c>
      <c r="G2646" s="160">
        <f>'FACUS$'!$F2646*0.16</f>
        <v>1224.336</v>
      </c>
      <c r="H2646" s="160">
        <f t="shared" si="68"/>
        <v>8876.436</v>
      </c>
      <c r="I2646" s="172"/>
      <c r="J2646" s="169"/>
      <c r="K2646" s="172"/>
      <c r="L2646" s="172">
        <f>+'FACUS$'!$H2646-'FACUS$'!$I2646-'FACUS$'!$K2646</f>
        <v>8876.436</v>
      </c>
      <c r="M2646" s="162" t="s">
        <v>538</v>
      </c>
      <c r="N2646" s="337" t="s">
        <v>554</v>
      </c>
      <c r="O2646" s="338">
        <v>45457.0</v>
      </c>
      <c r="P2646" s="164">
        <f t="array" ref="P2646">XLOOKUP('FACUS$'!$B2646,'perfil de pagos'!$A$4:$A$46,'perfil de pagos'!$C$4:$C$46+'FACUS$'!$D2646)</f>
        <v>45456</v>
      </c>
      <c r="Q2646" s="165">
        <f t="shared" si="70"/>
        <v>0</v>
      </c>
      <c r="R2646" s="167"/>
      <c r="S2646" s="167"/>
      <c r="T2646" s="167"/>
      <c r="U2646" s="334"/>
      <c r="V2646" s="168">
        <f t="shared" si="3"/>
        <v>8876.436</v>
      </c>
      <c r="W2646" s="168">
        <f t="shared" si="4"/>
        <v>0</v>
      </c>
      <c r="X2646" s="168">
        <f t="shared" si="5"/>
        <v>0</v>
      </c>
      <c r="Y2646" s="168">
        <f t="shared" si="6"/>
        <v>0</v>
      </c>
      <c r="Z2646" s="168">
        <f t="shared" si="7"/>
        <v>0</v>
      </c>
      <c r="AA2646" s="168">
        <f t="shared" si="8"/>
        <v>0</v>
      </c>
      <c r="AB2646" s="168">
        <f t="shared" si="9"/>
        <v>0</v>
      </c>
    </row>
    <row r="2647" ht="15.0" customHeight="1">
      <c r="A2647" s="157" t="s">
        <v>10186</v>
      </c>
      <c r="B2647" s="169" t="s">
        <v>34</v>
      </c>
      <c r="C2647" s="169" t="s">
        <v>6264</v>
      </c>
      <c r="D2647" s="317">
        <v>45446.0</v>
      </c>
      <c r="E2647" s="157" t="s">
        <v>600</v>
      </c>
      <c r="F2647" s="160">
        <v>9283.39</v>
      </c>
      <c r="G2647" s="160">
        <f>'FACUS$'!$F2647*0.16</f>
        <v>1485.3424</v>
      </c>
      <c r="H2647" s="160">
        <f t="shared" si="68"/>
        <v>10768.7324</v>
      </c>
      <c r="I2647" s="172"/>
      <c r="J2647" s="169"/>
      <c r="K2647" s="172"/>
      <c r="L2647" s="172">
        <f>+'FACUS$'!$H2647-'FACUS$'!$I2647-'FACUS$'!$K2647</f>
        <v>10768.7324</v>
      </c>
      <c r="M2647" s="162" t="s">
        <v>538</v>
      </c>
      <c r="N2647" s="337" t="s">
        <v>554</v>
      </c>
      <c r="O2647" s="338">
        <v>45475.0</v>
      </c>
      <c r="P2647" s="164">
        <f t="array" ref="P2647">XLOOKUP('FACUS$'!$B2647,'perfil de pagos'!$A$4:$A$46,'perfil de pagos'!$C$4:$C$46+'FACUS$'!$D2647)</f>
        <v>45456</v>
      </c>
      <c r="Q2647" s="165">
        <f t="shared" si="70"/>
        <v>0</v>
      </c>
      <c r="R2647" s="167"/>
      <c r="S2647" s="167">
        <v>3127.0</v>
      </c>
      <c r="T2647" s="167"/>
      <c r="U2647" s="334"/>
      <c r="V2647" s="168">
        <f t="shared" si="3"/>
        <v>10768.7324</v>
      </c>
      <c r="W2647" s="168">
        <f t="shared" si="4"/>
        <v>0</v>
      </c>
      <c r="X2647" s="168">
        <f t="shared" si="5"/>
        <v>0</v>
      </c>
      <c r="Y2647" s="168">
        <f t="shared" si="6"/>
        <v>0</v>
      </c>
      <c r="Z2647" s="168">
        <f t="shared" si="7"/>
        <v>0</v>
      </c>
      <c r="AA2647" s="168">
        <f t="shared" si="8"/>
        <v>0</v>
      </c>
      <c r="AB2647" s="168">
        <f t="shared" si="9"/>
        <v>0</v>
      </c>
    </row>
    <row r="2648" ht="15.0" customHeight="1">
      <c r="A2648" s="157" t="s">
        <v>10187</v>
      </c>
      <c r="B2648" s="169" t="s">
        <v>35</v>
      </c>
      <c r="C2648" s="169" t="s">
        <v>6264</v>
      </c>
      <c r="D2648" s="317">
        <v>45446.0</v>
      </c>
      <c r="E2648" s="157" t="s">
        <v>600</v>
      </c>
      <c r="F2648" s="160">
        <v>5848.52</v>
      </c>
      <c r="G2648" s="160">
        <f>'FACUS$'!$F2648*0.16</f>
        <v>935.7632</v>
      </c>
      <c r="H2648" s="160">
        <f t="shared" si="68"/>
        <v>6784.2832</v>
      </c>
      <c r="I2648" s="172"/>
      <c r="J2648" s="169"/>
      <c r="K2648" s="172"/>
      <c r="L2648" s="172">
        <f>+'FACUS$'!$H2648-'FACUS$'!$I2648-'FACUS$'!$K2648</f>
        <v>6784.2832</v>
      </c>
      <c r="M2648" s="162" t="s">
        <v>276</v>
      </c>
      <c r="N2648" s="337" t="s">
        <v>554</v>
      </c>
      <c r="O2648" s="338">
        <v>45484.0</v>
      </c>
      <c r="P2648" s="164">
        <f t="array" ref="P2648">XLOOKUP('FACUS$'!$B2648,'perfil de pagos'!$A$4:$A$46,'perfil de pagos'!$C$4:$C$46+'FACUS$'!$D2648)</f>
        <v>45456</v>
      </c>
      <c r="Q2648" s="165">
        <f t="shared" si="70"/>
        <v>0</v>
      </c>
      <c r="R2648" s="167"/>
      <c r="S2648" s="167">
        <v>3141.0</v>
      </c>
      <c r="T2648" s="167"/>
      <c r="U2648" s="334"/>
      <c r="V2648" s="168">
        <f t="shared" si="3"/>
        <v>6784.2832</v>
      </c>
      <c r="W2648" s="168">
        <f t="shared" si="4"/>
        <v>0</v>
      </c>
      <c r="X2648" s="168">
        <f t="shared" si="5"/>
        <v>0</v>
      </c>
      <c r="Y2648" s="168">
        <f t="shared" si="6"/>
        <v>0</v>
      </c>
      <c r="Z2648" s="168">
        <f t="shared" si="7"/>
        <v>0</v>
      </c>
      <c r="AA2648" s="168">
        <f t="shared" si="8"/>
        <v>0</v>
      </c>
      <c r="AB2648" s="168">
        <f t="shared" si="9"/>
        <v>0</v>
      </c>
    </row>
    <row r="2649" ht="15.0" customHeight="1">
      <c r="A2649" s="157" t="s">
        <v>10188</v>
      </c>
      <c r="B2649" s="169" t="s">
        <v>42</v>
      </c>
      <c r="C2649" s="169" t="s">
        <v>6264</v>
      </c>
      <c r="D2649" s="317">
        <v>45446.0</v>
      </c>
      <c r="E2649" s="157" t="s">
        <v>600</v>
      </c>
      <c r="F2649" s="160">
        <v>3856.49</v>
      </c>
      <c r="G2649" s="160">
        <f>'FACUS$'!$F2649*0.16</f>
        <v>617.0384</v>
      </c>
      <c r="H2649" s="160">
        <f t="shared" si="68"/>
        <v>4473.5284</v>
      </c>
      <c r="I2649" s="172"/>
      <c r="J2649" s="169"/>
      <c r="K2649" s="172"/>
      <c r="L2649" s="172">
        <f>+'FACUS$'!$H2649-'FACUS$'!$I2649-'FACUS$'!$K2649</f>
        <v>4473.5284</v>
      </c>
      <c r="M2649" s="162" t="s">
        <v>42</v>
      </c>
      <c r="N2649" s="337" t="s">
        <v>554</v>
      </c>
      <c r="O2649" s="338">
        <v>45456.0</v>
      </c>
      <c r="P2649" s="164">
        <f t="array" ref="P2649">XLOOKUP('FACUS$'!$B2649,'perfil de pagos'!$A$4:$A$46,'perfil de pagos'!$C$4:$C$46+'FACUS$'!$D2649)</f>
        <v>45456</v>
      </c>
      <c r="Q2649" s="165">
        <f t="shared" si="70"/>
        <v>0</v>
      </c>
      <c r="R2649" s="167"/>
      <c r="S2649" s="167">
        <v>3058.0</v>
      </c>
      <c r="T2649" s="167"/>
      <c r="U2649" s="334"/>
      <c r="V2649" s="168">
        <f t="shared" si="3"/>
        <v>4473.5284</v>
      </c>
      <c r="W2649" s="168">
        <f t="shared" si="4"/>
        <v>0</v>
      </c>
      <c r="X2649" s="168">
        <f t="shared" si="5"/>
        <v>0</v>
      </c>
      <c r="Y2649" s="168">
        <f t="shared" si="6"/>
        <v>0</v>
      </c>
      <c r="Z2649" s="168">
        <f t="shared" si="7"/>
        <v>0</v>
      </c>
      <c r="AA2649" s="168">
        <f t="shared" si="8"/>
        <v>0</v>
      </c>
      <c r="AB2649" s="168">
        <f t="shared" si="9"/>
        <v>0</v>
      </c>
    </row>
    <row r="2650" ht="15.0" customHeight="1">
      <c r="A2650" s="157" t="s">
        <v>10189</v>
      </c>
      <c r="B2650" s="169" t="s">
        <v>44</v>
      </c>
      <c r="C2650" s="169" t="s">
        <v>6264</v>
      </c>
      <c r="D2650" s="317">
        <v>45446.0</v>
      </c>
      <c r="E2650" s="157" t="s">
        <v>600</v>
      </c>
      <c r="F2650" s="160">
        <v>3475.91</v>
      </c>
      <c r="G2650" s="160">
        <f>'FACUS$'!$F2650*0.16</f>
        <v>556.1456</v>
      </c>
      <c r="H2650" s="160">
        <f t="shared" si="68"/>
        <v>4032.0556</v>
      </c>
      <c r="I2650" s="172"/>
      <c r="J2650" s="169"/>
      <c r="K2650" s="172"/>
      <c r="L2650" s="172">
        <f>+'FACUS$'!$H2650-'FACUS$'!$I2650-'FACUS$'!$K2650</f>
        <v>4032.0556</v>
      </c>
      <c r="M2650" s="162" t="s">
        <v>361</v>
      </c>
      <c r="N2650" s="337" t="s">
        <v>554</v>
      </c>
      <c r="O2650" s="338">
        <v>45457.0</v>
      </c>
      <c r="P2650" s="164">
        <f t="array" ref="P2650">XLOOKUP('FACUS$'!$B2650,'perfil de pagos'!$A$4:$A$46,'perfil de pagos'!$C$4:$C$46+'FACUS$'!$D2650)</f>
        <v>45456</v>
      </c>
      <c r="Q2650" s="165">
        <f t="shared" si="70"/>
        <v>0</v>
      </c>
      <c r="R2650" s="167"/>
      <c r="S2650" s="167">
        <v>3059.0</v>
      </c>
      <c r="T2650" s="167"/>
      <c r="U2650" s="334"/>
      <c r="V2650" s="168">
        <f t="shared" si="3"/>
        <v>4032.0556</v>
      </c>
      <c r="W2650" s="168">
        <f t="shared" si="4"/>
        <v>0</v>
      </c>
      <c r="X2650" s="168">
        <f t="shared" si="5"/>
        <v>0</v>
      </c>
      <c r="Y2650" s="168">
        <f t="shared" si="6"/>
        <v>0</v>
      </c>
      <c r="Z2650" s="168">
        <f t="shared" si="7"/>
        <v>0</v>
      </c>
      <c r="AA2650" s="168">
        <f t="shared" si="8"/>
        <v>0</v>
      </c>
      <c r="AB2650" s="168">
        <f t="shared" si="9"/>
        <v>0</v>
      </c>
    </row>
    <row r="2651" ht="15.0" customHeight="1">
      <c r="A2651" s="157" t="s">
        <v>10190</v>
      </c>
      <c r="B2651" s="169" t="s">
        <v>41</v>
      </c>
      <c r="C2651" s="169" t="s">
        <v>6264</v>
      </c>
      <c r="D2651" s="317">
        <v>45446.0</v>
      </c>
      <c r="E2651" s="157" t="s">
        <v>600</v>
      </c>
      <c r="F2651" s="160">
        <v>51619.59</v>
      </c>
      <c r="G2651" s="160">
        <f>'FACUS$'!$F2651*0.16</f>
        <v>8259.1344</v>
      </c>
      <c r="H2651" s="160">
        <f t="shared" si="68"/>
        <v>59878.7244</v>
      </c>
      <c r="I2651" s="172"/>
      <c r="J2651" s="169"/>
      <c r="K2651" s="172"/>
      <c r="L2651" s="172">
        <f>+'FACUS$'!$H2651-'FACUS$'!$I2651-'FACUS$'!$K2651</f>
        <v>59878.7244</v>
      </c>
      <c r="M2651" s="162" t="s">
        <v>875</v>
      </c>
      <c r="N2651" s="337" t="s">
        <v>554</v>
      </c>
      <c r="O2651" s="338">
        <v>45498.0</v>
      </c>
      <c r="P2651" s="164">
        <f t="array" ref="P2651">XLOOKUP('FACUS$'!$B2651,'perfil de pagos'!$A$4:$A$46,'perfil de pagos'!$C$4:$C$46+'FACUS$'!$D2651)</f>
        <v>45456</v>
      </c>
      <c r="Q2651" s="165">
        <f t="shared" si="70"/>
        <v>0</v>
      </c>
      <c r="R2651" s="167"/>
      <c r="S2651" s="167">
        <v>3173.0</v>
      </c>
      <c r="T2651" s="167"/>
      <c r="U2651" s="334"/>
      <c r="V2651" s="168">
        <f t="shared" si="3"/>
        <v>59878.7244</v>
      </c>
      <c r="W2651" s="168">
        <f t="shared" si="4"/>
        <v>0</v>
      </c>
      <c r="X2651" s="168">
        <f t="shared" si="5"/>
        <v>0</v>
      </c>
      <c r="Y2651" s="168">
        <f t="shared" si="6"/>
        <v>0</v>
      </c>
      <c r="Z2651" s="168">
        <f t="shared" si="7"/>
        <v>0</v>
      </c>
      <c r="AA2651" s="168">
        <f t="shared" si="8"/>
        <v>0</v>
      </c>
      <c r="AB2651" s="168">
        <f t="shared" si="9"/>
        <v>0</v>
      </c>
    </row>
    <row r="2652" ht="15.0" customHeight="1">
      <c r="A2652" s="157" t="s">
        <v>10191</v>
      </c>
      <c r="B2652" s="169" t="s">
        <v>44</v>
      </c>
      <c r="C2652" s="169" t="s">
        <v>10192</v>
      </c>
      <c r="D2652" s="317">
        <v>45446.0</v>
      </c>
      <c r="E2652" s="157" t="s">
        <v>600</v>
      </c>
      <c r="F2652" s="160">
        <v>2254.22</v>
      </c>
      <c r="G2652" s="160">
        <f>'FACUS$'!$F2652*0.16</f>
        <v>360.6752</v>
      </c>
      <c r="H2652" s="160">
        <f t="shared" si="68"/>
        <v>2614.8952</v>
      </c>
      <c r="I2652" s="172"/>
      <c r="J2652" s="169"/>
      <c r="K2652" s="172"/>
      <c r="L2652" s="172">
        <f>+'FACUS$'!$H2652-'FACUS$'!$I2652-'FACUS$'!$K2652</f>
        <v>2614.8952</v>
      </c>
      <c r="M2652" s="162" t="s">
        <v>361</v>
      </c>
      <c r="N2652" s="337" t="s">
        <v>554</v>
      </c>
      <c r="O2652" s="338">
        <v>45450.0</v>
      </c>
      <c r="P2652" s="164">
        <f t="array" ref="P2652">XLOOKUP('FACUS$'!$B2652,'perfil de pagos'!$A$4:$A$46,'perfil de pagos'!$C$4:$C$46+'FACUS$'!$D2652)</f>
        <v>45456</v>
      </c>
      <c r="Q2652" s="165">
        <f t="shared" si="70"/>
        <v>0</v>
      </c>
      <c r="R2652" s="167"/>
      <c r="S2652" s="167">
        <v>3039.0</v>
      </c>
      <c r="T2652" s="167"/>
      <c r="U2652" s="334"/>
      <c r="V2652" s="168">
        <f t="shared" si="3"/>
        <v>2614.8952</v>
      </c>
      <c r="W2652" s="168">
        <f t="shared" si="4"/>
        <v>0</v>
      </c>
      <c r="X2652" s="168">
        <f t="shared" si="5"/>
        <v>0</v>
      </c>
      <c r="Y2652" s="168">
        <f t="shared" si="6"/>
        <v>0</v>
      </c>
      <c r="Z2652" s="168">
        <f t="shared" si="7"/>
        <v>0</v>
      </c>
      <c r="AA2652" s="168">
        <f t="shared" si="8"/>
        <v>0</v>
      </c>
      <c r="AB2652" s="168">
        <f t="shared" si="9"/>
        <v>0</v>
      </c>
    </row>
    <row r="2653" ht="15.0" customHeight="1">
      <c r="A2653" s="157" t="s">
        <v>10193</v>
      </c>
      <c r="B2653" s="169" t="s">
        <v>38</v>
      </c>
      <c r="C2653" s="169" t="s">
        <v>6264</v>
      </c>
      <c r="D2653" s="317">
        <v>45446.0</v>
      </c>
      <c r="E2653" s="157" t="s">
        <v>600</v>
      </c>
      <c r="F2653" s="160">
        <v>2837.67</v>
      </c>
      <c r="G2653" s="160">
        <f>'FACUS$'!$F2653*0.16</f>
        <v>454.0272</v>
      </c>
      <c r="H2653" s="160">
        <f t="shared" si="68"/>
        <v>3291.6972</v>
      </c>
      <c r="I2653" s="172"/>
      <c r="J2653" s="169"/>
      <c r="K2653" s="172"/>
      <c r="L2653" s="172">
        <f>+'FACUS$'!$H2653-'FACUS$'!$I2653-'FACUS$'!$K2653</f>
        <v>3291.6972</v>
      </c>
      <c r="M2653" s="162" t="s">
        <v>4654</v>
      </c>
      <c r="N2653" s="337" t="s">
        <v>554</v>
      </c>
      <c r="O2653" s="338">
        <v>45490.0</v>
      </c>
      <c r="P2653" s="164">
        <f t="array" ref="P2653">XLOOKUP('FACUS$'!$B2653,'perfil de pagos'!$A$4:$A$46,'perfil de pagos'!$C$4:$C$46+'FACUS$'!$D2653)</f>
        <v>45476</v>
      </c>
      <c r="Q2653" s="165">
        <f t="shared" si="70"/>
        <v>0</v>
      </c>
      <c r="R2653" s="167"/>
      <c r="S2653" s="167">
        <v>3152.0</v>
      </c>
      <c r="T2653" s="167"/>
      <c r="U2653" s="334"/>
      <c r="V2653" s="168">
        <f t="shared" si="3"/>
        <v>3291.6972</v>
      </c>
      <c r="W2653" s="168">
        <f t="shared" si="4"/>
        <v>0</v>
      </c>
      <c r="X2653" s="168">
        <f t="shared" si="5"/>
        <v>0</v>
      </c>
      <c r="Y2653" s="168">
        <f t="shared" si="6"/>
        <v>0</v>
      </c>
      <c r="Z2653" s="168">
        <f t="shared" si="7"/>
        <v>0</v>
      </c>
      <c r="AA2653" s="168">
        <f t="shared" si="8"/>
        <v>0</v>
      </c>
      <c r="AB2653" s="168">
        <f t="shared" si="9"/>
        <v>0</v>
      </c>
    </row>
    <row r="2654" ht="15.0" customHeight="1">
      <c r="A2654" s="157" t="s">
        <v>10194</v>
      </c>
      <c r="B2654" s="169" t="s">
        <v>18</v>
      </c>
      <c r="C2654" s="169" t="s">
        <v>6264</v>
      </c>
      <c r="D2654" s="317">
        <v>45449.0</v>
      </c>
      <c r="E2654" s="157" t="s">
        <v>600</v>
      </c>
      <c r="F2654" s="160">
        <v>6801.0</v>
      </c>
      <c r="G2654" s="160">
        <f>'FACUS$'!$F2654*0.16</f>
        <v>1088.16</v>
      </c>
      <c r="H2654" s="160">
        <f t="shared" si="68"/>
        <v>7889.16</v>
      </c>
      <c r="I2654" s="172"/>
      <c r="J2654" s="169"/>
      <c r="K2654" s="172"/>
      <c r="L2654" s="172">
        <f>+'FACUS$'!$H2654-'FACUS$'!$I2654-'FACUS$'!$K2654</f>
        <v>7889.16</v>
      </c>
      <c r="M2654" s="162" t="s">
        <v>586</v>
      </c>
      <c r="N2654" s="337" t="s">
        <v>554</v>
      </c>
      <c r="O2654" s="338">
        <v>45470.0</v>
      </c>
      <c r="P2654" s="164">
        <f t="array" ref="P2654">XLOOKUP('FACUS$'!$B2654,'perfil de pagos'!$A$4:$A$46,'perfil de pagos'!$C$4:$C$46+'FACUS$'!$D2654)</f>
        <v>45459</v>
      </c>
      <c r="Q2654" s="165">
        <f t="shared" si="70"/>
        <v>0</v>
      </c>
      <c r="R2654" s="167"/>
      <c r="S2654" s="167">
        <v>3112.0</v>
      </c>
      <c r="T2654" s="167"/>
      <c r="U2654" s="334"/>
      <c r="V2654" s="168">
        <f t="shared" si="3"/>
        <v>7889.16</v>
      </c>
      <c r="W2654" s="168">
        <f t="shared" si="4"/>
        <v>0</v>
      </c>
      <c r="X2654" s="168">
        <f t="shared" si="5"/>
        <v>0</v>
      </c>
      <c r="Y2654" s="168">
        <f t="shared" si="6"/>
        <v>0</v>
      </c>
      <c r="Z2654" s="168">
        <f t="shared" si="7"/>
        <v>0</v>
      </c>
      <c r="AA2654" s="168">
        <f t="shared" si="8"/>
        <v>0</v>
      </c>
      <c r="AB2654" s="168">
        <f t="shared" si="9"/>
        <v>0</v>
      </c>
    </row>
    <row r="2655" ht="15.0" customHeight="1">
      <c r="A2655" s="157" t="s">
        <v>10195</v>
      </c>
      <c r="B2655" s="169" t="s">
        <v>20</v>
      </c>
      <c r="C2655" s="169" t="s">
        <v>6264</v>
      </c>
      <c r="D2655" s="317">
        <v>45449.0</v>
      </c>
      <c r="E2655" s="157" t="s">
        <v>600</v>
      </c>
      <c r="F2655" s="160">
        <v>16067.09</v>
      </c>
      <c r="G2655" s="160">
        <f>'FACUS$'!$F2655*0.16</f>
        <v>2570.7344</v>
      </c>
      <c r="H2655" s="160">
        <f t="shared" si="68"/>
        <v>18637.8244</v>
      </c>
      <c r="I2655" s="172"/>
      <c r="J2655" s="169"/>
      <c r="K2655" s="172"/>
      <c r="L2655" s="172">
        <f>+'FACUS$'!$H2655-'FACUS$'!$I2655-'FACUS$'!$K2655</f>
        <v>18637.8244</v>
      </c>
      <c r="M2655" s="162" t="s">
        <v>732</v>
      </c>
      <c r="N2655" s="337" t="s">
        <v>554</v>
      </c>
      <c r="O2655" s="338">
        <v>45490.0</v>
      </c>
      <c r="P2655" s="164">
        <f t="array" ref="P2655">XLOOKUP('FACUS$'!$B2655,'perfil de pagos'!$A$4:$A$46,'perfil de pagos'!$C$4:$C$46+'FACUS$'!$D2655)</f>
        <v>45459</v>
      </c>
      <c r="Q2655" s="165">
        <f t="shared" si="70"/>
        <v>0</v>
      </c>
      <c r="R2655" s="167"/>
      <c r="S2655" s="167">
        <v>3157.0</v>
      </c>
      <c r="T2655" s="167"/>
      <c r="U2655" s="334"/>
      <c r="V2655" s="168">
        <f t="shared" si="3"/>
        <v>18637.8244</v>
      </c>
      <c r="W2655" s="168">
        <f t="shared" si="4"/>
        <v>0</v>
      </c>
      <c r="X2655" s="168">
        <f t="shared" si="5"/>
        <v>0</v>
      </c>
      <c r="Y2655" s="168">
        <f t="shared" si="6"/>
        <v>0</v>
      </c>
      <c r="Z2655" s="168">
        <f t="shared" si="7"/>
        <v>0</v>
      </c>
      <c r="AA2655" s="168">
        <f t="shared" si="8"/>
        <v>0</v>
      </c>
      <c r="AB2655" s="168">
        <f t="shared" si="9"/>
        <v>0</v>
      </c>
    </row>
    <row r="2656" ht="15.0" customHeight="1">
      <c r="A2656" s="157" t="s">
        <v>10196</v>
      </c>
      <c r="B2656" s="169" t="s">
        <v>22</v>
      </c>
      <c r="C2656" s="169" t="s">
        <v>6264</v>
      </c>
      <c r="D2656" s="317">
        <v>45449.0</v>
      </c>
      <c r="E2656" s="157" t="s">
        <v>600</v>
      </c>
      <c r="F2656" s="160">
        <v>22516.63</v>
      </c>
      <c r="G2656" s="160">
        <f>'FACUS$'!$F2656*0.16</f>
        <v>3602.6608</v>
      </c>
      <c r="H2656" s="160">
        <f t="shared" si="68"/>
        <v>26119.2908</v>
      </c>
      <c r="I2656" s="172">
        <f>7829.01+10901.68</f>
        <v>18730.69</v>
      </c>
      <c r="J2656" s="169"/>
      <c r="K2656" s="172"/>
      <c r="L2656" s="172">
        <f>+'FACUS$'!$H2656-'FACUS$'!$I2656-'FACUS$'!$K2656</f>
        <v>7388.6008</v>
      </c>
      <c r="M2656" s="162" t="s">
        <v>220</v>
      </c>
      <c r="N2656" s="337" t="s">
        <v>554</v>
      </c>
      <c r="O2656" s="338">
        <v>45506.0</v>
      </c>
      <c r="P2656" s="164">
        <f t="array" ref="P2656">XLOOKUP('FACUS$'!$B2656,'perfil de pagos'!$A$4:$A$46,'perfil de pagos'!$C$4:$C$46+'FACUS$'!$D2656)</f>
        <v>45459</v>
      </c>
      <c r="Q2656" s="165">
        <f t="shared" si="70"/>
        <v>0</v>
      </c>
      <c r="R2656" s="220" t="s">
        <v>10197</v>
      </c>
      <c r="S2656" s="220">
        <v>3185.0</v>
      </c>
      <c r="T2656" s="167"/>
      <c r="U2656" s="334"/>
      <c r="V2656" s="168">
        <f t="shared" si="3"/>
        <v>7388.6008</v>
      </c>
      <c r="W2656" s="168">
        <f t="shared" si="4"/>
        <v>0</v>
      </c>
      <c r="X2656" s="168">
        <f t="shared" si="5"/>
        <v>0</v>
      </c>
      <c r="Y2656" s="168">
        <f t="shared" si="6"/>
        <v>0</v>
      </c>
      <c r="Z2656" s="168">
        <f t="shared" si="7"/>
        <v>0</v>
      </c>
      <c r="AA2656" s="168">
        <f t="shared" si="8"/>
        <v>0</v>
      </c>
      <c r="AB2656" s="168">
        <f t="shared" si="9"/>
        <v>0</v>
      </c>
    </row>
    <row r="2657" ht="15.0" customHeight="1">
      <c r="A2657" s="157" t="s">
        <v>10198</v>
      </c>
      <c r="B2657" s="169" t="s">
        <v>25</v>
      </c>
      <c r="C2657" s="169" t="s">
        <v>6264</v>
      </c>
      <c r="D2657" s="317">
        <v>45449.0</v>
      </c>
      <c r="E2657" s="157" t="s">
        <v>600</v>
      </c>
      <c r="F2657" s="160">
        <v>5713.05</v>
      </c>
      <c r="G2657" s="160">
        <f>'FACUS$'!$F2657*0.16</f>
        <v>914.088</v>
      </c>
      <c r="H2657" s="160">
        <f t="shared" si="68"/>
        <v>6627.138</v>
      </c>
      <c r="I2657" s="172"/>
      <c r="J2657" s="169"/>
      <c r="K2657" s="172"/>
      <c r="L2657" s="172">
        <f>+'FACUS$'!$H2657-'FACUS$'!$I2657-'FACUS$'!$K2657</f>
        <v>6627.138</v>
      </c>
      <c r="M2657" s="162" t="s">
        <v>4388</v>
      </c>
      <c r="N2657" s="337" t="s">
        <v>554</v>
      </c>
      <c r="O2657" s="338">
        <v>45460.0</v>
      </c>
      <c r="P2657" s="164">
        <f t="array" ref="P2657">XLOOKUP('FACUS$'!$B2657,'perfil de pagos'!$A$4:$A$46,'perfil de pagos'!$C$4:$C$46+'FACUS$'!$D2657)</f>
        <v>45459</v>
      </c>
      <c r="Q2657" s="165">
        <f t="shared" si="70"/>
        <v>0</v>
      </c>
      <c r="R2657" s="167"/>
      <c r="S2657" s="167"/>
      <c r="T2657" s="167"/>
      <c r="U2657" s="334"/>
      <c r="V2657" s="168">
        <f t="shared" si="3"/>
        <v>6627.138</v>
      </c>
      <c r="W2657" s="168">
        <f t="shared" si="4"/>
        <v>0</v>
      </c>
      <c r="X2657" s="168">
        <f t="shared" si="5"/>
        <v>0</v>
      </c>
      <c r="Y2657" s="168">
        <f t="shared" si="6"/>
        <v>0</v>
      </c>
      <c r="Z2657" s="168">
        <f t="shared" si="7"/>
        <v>0</v>
      </c>
      <c r="AA2657" s="168">
        <f t="shared" si="8"/>
        <v>0</v>
      </c>
      <c r="AB2657" s="168">
        <f t="shared" si="9"/>
        <v>0</v>
      </c>
    </row>
    <row r="2658" ht="15.0" customHeight="1">
      <c r="A2658" s="157" t="s">
        <v>10199</v>
      </c>
      <c r="B2658" s="169" t="s">
        <v>37</v>
      </c>
      <c r="C2658" s="169" t="s">
        <v>6264</v>
      </c>
      <c r="D2658" s="317">
        <v>45449.0</v>
      </c>
      <c r="E2658" s="157" t="s">
        <v>600</v>
      </c>
      <c r="F2658" s="160">
        <v>106783.25</v>
      </c>
      <c r="G2658" s="160">
        <f>'FACUS$'!$F2658*0.16</f>
        <v>17085.32</v>
      </c>
      <c r="H2658" s="160">
        <f t="shared" si="68"/>
        <v>123868.57</v>
      </c>
      <c r="I2658" s="172"/>
      <c r="J2658" s="169"/>
      <c r="K2658" s="172"/>
      <c r="L2658" s="172">
        <f>+'FACUS$'!$H2658-'FACUS$'!$I2658-'FACUS$'!$K2658</f>
        <v>123868.57</v>
      </c>
      <c r="M2658" s="162" t="s">
        <v>116</v>
      </c>
      <c r="N2658" s="337" t="s">
        <v>554</v>
      </c>
      <c r="O2658" s="338">
        <v>45475.0</v>
      </c>
      <c r="P2658" s="164">
        <f t="array" ref="P2658">XLOOKUP('FACUS$'!$B2658,'perfil de pagos'!$A$4:$A$46,'perfil de pagos'!$C$4:$C$46+'FACUS$'!$D2658)</f>
        <v>45459</v>
      </c>
      <c r="Q2658" s="165">
        <f t="shared" si="70"/>
        <v>0</v>
      </c>
      <c r="R2658" s="167"/>
      <c r="S2658" s="167">
        <v>3125.0</v>
      </c>
      <c r="T2658" s="167"/>
      <c r="U2658" s="334"/>
      <c r="V2658" s="168">
        <f t="shared" si="3"/>
        <v>123868.57</v>
      </c>
      <c r="W2658" s="168">
        <f t="shared" si="4"/>
        <v>0</v>
      </c>
      <c r="X2658" s="168">
        <f t="shared" si="5"/>
        <v>0</v>
      </c>
      <c r="Y2658" s="168">
        <f t="shared" si="6"/>
        <v>0</v>
      </c>
      <c r="Z2658" s="168">
        <f t="shared" si="7"/>
        <v>0</v>
      </c>
      <c r="AA2658" s="168">
        <f t="shared" si="8"/>
        <v>0</v>
      </c>
      <c r="AB2658" s="168">
        <f t="shared" si="9"/>
        <v>0</v>
      </c>
    </row>
    <row r="2659" ht="15.0" customHeight="1">
      <c r="A2659" s="157" t="s">
        <v>10200</v>
      </c>
      <c r="B2659" s="169" t="s">
        <v>38</v>
      </c>
      <c r="C2659" s="169" t="s">
        <v>6264</v>
      </c>
      <c r="D2659" s="317">
        <v>45449.0</v>
      </c>
      <c r="E2659" s="157" t="s">
        <v>600</v>
      </c>
      <c r="F2659" s="160">
        <v>8917.66</v>
      </c>
      <c r="G2659" s="160">
        <f>'FACUS$'!$F2659*0.16</f>
        <v>1426.8256</v>
      </c>
      <c r="H2659" s="160">
        <f t="shared" si="68"/>
        <v>10344.4856</v>
      </c>
      <c r="I2659" s="172"/>
      <c r="J2659" s="169"/>
      <c r="K2659" s="172"/>
      <c r="L2659" s="172">
        <f>+'FACUS$'!$H2659-'FACUS$'!$I2659-'FACUS$'!$K2659</f>
        <v>10344.4856</v>
      </c>
      <c r="M2659" s="162" t="s">
        <v>145</v>
      </c>
      <c r="N2659" s="337" t="s">
        <v>554</v>
      </c>
      <c r="O2659" s="338">
        <v>45511.0</v>
      </c>
      <c r="P2659" s="164">
        <f t="array" ref="P2659">XLOOKUP('FACUS$'!$B2659,'perfil de pagos'!$A$4:$A$46,'perfil de pagos'!$C$4:$C$46+'FACUS$'!$D2659)</f>
        <v>45479</v>
      </c>
      <c r="Q2659" s="165">
        <f t="shared" si="70"/>
        <v>0</v>
      </c>
      <c r="R2659" s="167"/>
      <c r="S2659" s="167"/>
      <c r="T2659" s="167"/>
      <c r="U2659" s="334"/>
      <c r="V2659" s="168">
        <f t="shared" si="3"/>
        <v>10344.4856</v>
      </c>
      <c r="W2659" s="168">
        <f t="shared" si="4"/>
        <v>0</v>
      </c>
      <c r="X2659" s="168">
        <f t="shared" si="5"/>
        <v>0</v>
      </c>
      <c r="Y2659" s="168">
        <f t="shared" si="6"/>
        <v>0</v>
      </c>
      <c r="Z2659" s="168">
        <f t="shared" si="7"/>
        <v>0</v>
      </c>
      <c r="AA2659" s="168">
        <f t="shared" si="8"/>
        <v>0</v>
      </c>
      <c r="AB2659" s="168">
        <f t="shared" si="9"/>
        <v>0</v>
      </c>
    </row>
    <row r="2660" ht="15.0" customHeight="1">
      <c r="A2660" s="157" t="s">
        <v>10201</v>
      </c>
      <c r="B2660" s="169" t="s">
        <v>38</v>
      </c>
      <c r="C2660" s="169" t="s">
        <v>6264</v>
      </c>
      <c r="D2660" s="317">
        <v>45449.0</v>
      </c>
      <c r="E2660" s="157" t="s">
        <v>600</v>
      </c>
      <c r="F2660" s="160">
        <v>7177.7</v>
      </c>
      <c r="G2660" s="160">
        <f>'FACUS$'!$F2660*0.16</f>
        <v>1148.432</v>
      </c>
      <c r="H2660" s="160">
        <f t="shared" si="68"/>
        <v>8326.132</v>
      </c>
      <c r="I2660" s="172"/>
      <c r="J2660" s="169"/>
      <c r="K2660" s="172"/>
      <c r="L2660" s="172">
        <f>+'FACUS$'!$H2660-'FACUS$'!$I2660-'FACUS$'!$K2660</f>
        <v>8326.132</v>
      </c>
      <c r="M2660" s="162" t="s">
        <v>642</v>
      </c>
      <c r="N2660" s="337" t="s">
        <v>554</v>
      </c>
      <c r="O2660" s="338">
        <v>45511.0</v>
      </c>
      <c r="P2660" s="164">
        <f t="array" ref="P2660">XLOOKUP('FACUS$'!$B2660,'perfil de pagos'!$A$4:$A$46,'perfil de pagos'!$C$4:$C$46+'FACUS$'!$D2660)</f>
        <v>45479</v>
      </c>
      <c r="Q2660" s="165">
        <f t="shared" si="70"/>
        <v>0</v>
      </c>
      <c r="R2660" s="167"/>
      <c r="S2660" s="167"/>
      <c r="T2660" s="167"/>
      <c r="U2660" s="334"/>
      <c r="V2660" s="168">
        <f t="shared" si="3"/>
        <v>8326.132</v>
      </c>
      <c r="W2660" s="168">
        <f t="shared" si="4"/>
        <v>0</v>
      </c>
      <c r="X2660" s="168">
        <f t="shared" si="5"/>
        <v>0</v>
      </c>
      <c r="Y2660" s="168">
        <f t="shared" si="6"/>
        <v>0</v>
      </c>
      <c r="Z2660" s="168">
        <f t="shared" si="7"/>
        <v>0</v>
      </c>
      <c r="AA2660" s="168">
        <f t="shared" si="8"/>
        <v>0</v>
      </c>
      <c r="AB2660" s="168">
        <f t="shared" si="9"/>
        <v>0</v>
      </c>
    </row>
    <row r="2661" ht="15.0" customHeight="1">
      <c r="A2661" s="157" t="s">
        <v>10202</v>
      </c>
      <c r="B2661" s="169" t="s">
        <v>42</v>
      </c>
      <c r="C2661" s="169" t="s">
        <v>6307</v>
      </c>
      <c r="D2661" s="317">
        <v>45462.0</v>
      </c>
      <c r="E2661" s="157" t="s">
        <v>600</v>
      </c>
      <c r="F2661" s="160">
        <v>3247.26</v>
      </c>
      <c r="G2661" s="160">
        <f>'FACUS$'!$F2661*0.16</f>
        <v>519.5616</v>
      </c>
      <c r="H2661" s="160">
        <f t="shared" si="68"/>
        <v>3766.8216</v>
      </c>
      <c r="I2661" s="172"/>
      <c r="J2661" s="169"/>
      <c r="K2661" s="172"/>
      <c r="L2661" s="172">
        <f>+'FACUS$'!$H2661-'FACUS$'!$I2661-'FACUS$'!$K2661</f>
        <v>3766.8216</v>
      </c>
      <c r="M2661" s="162" t="s">
        <v>42</v>
      </c>
      <c r="N2661" s="337" t="s">
        <v>554</v>
      </c>
      <c r="O2661" s="338">
        <v>45470.0</v>
      </c>
      <c r="P2661" s="164">
        <f t="array" ref="P2661">XLOOKUP('FACUS$'!$B2661,'perfil de pagos'!$A$4:$A$46,'perfil de pagos'!$C$4:$C$46+'FACUS$'!$D2661)</f>
        <v>45472</v>
      </c>
      <c r="Q2661" s="165">
        <f t="shared" si="70"/>
        <v>0</v>
      </c>
      <c r="R2661" s="167"/>
      <c r="S2661" s="167">
        <v>3113.0</v>
      </c>
      <c r="T2661" s="167"/>
      <c r="U2661" s="334"/>
      <c r="V2661" s="168">
        <f t="shared" si="3"/>
        <v>3766.8216</v>
      </c>
      <c r="W2661" s="168">
        <f t="shared" si="4"/>
        <v>0</v>
      </c>
      <c r="X2661" s="168">
        <f t="shared" si="5"/>
        <v>0</v>
      </c>
      <c r="Y2661" s="168">
        <f t="shared" si="6"/>
        <v>0</v>
      </c>
      <c r="Z2661" s="168">
        <f t="shared" si="7"/>
        <v>0</v>
      </c>
      <c r="AA2661" s="168">
        <f t="shared" si="8"/>
        <v>0</v>
      </c>
      <c r="AB2661" s="168">
        <f t="shared" si="9"/>
        <v>0</v>
      </c>
    </row>
    <row r="2662" ht="15.0" customHeight="1">
      <c r="A2662" s="157" t="s">
        <v>10203</v>
      </c>
      <c r="B2662" s="169" t="s">
        <v>44</v>
      </c>
      <c r="C2662" s="169" t="s">
        <v>6307</v>
      </c>
      <c r="D2662" s="317">
        <v>45462.0</v>
      </c>
      <c r="E2662" s="157" t="s">
        <v>600</v>
      </c>
      <c r="F2662" s="160">
        <v>1546.39</v>
      </c>
      <c r="G2662" s="160">
        <f>'FACUS$'!$F2662*0.16</f>
        <v>247.4224</v>
      </c>
      <c r="H2662" s="160">
        <f t="shared" si="68"/>
        <v>1793.8124</v>
      </c>
      <c r="I2662" s="172"/>
      <c r="J2662" s="169"/>
      <c r="K2662" s="172"/>
      <c r="L2662" s="172">
        <f>+'FACUS$'!$H2662-'FACUS$'!$I2662-'FACUS$'!$K2662</f>
        <v>1793.8124</v>
      </c>
      <c r="M2662" s="162" t="s">
        <v>361</v>
      </c>
      <c r="N2662" s="337" t="s">
        <v>554</v>
      </c>
      <c r="O2662" s="338">
        <v>45471.0</v>
      </c>
      <c r="P2662" s="164">
        <f t="array" ref="P2662">XLOOKUP('FACUS$'!$B2662,'perfil de pagos'!$A$4:$A$46,'perfil de pagos'!$C$4:$C$46+'FACUS$'!$D2662)</f>
        <v>45472</v>
      </c>
      <c r="Q2662" s="165">
        <f t="shared" si="70"/>
        <v>0</v>
      </c>
      <c r="R2662" s="167"/>
      <c r="S2662" s="167">
        <v>3114.0</v>
      </c>
      <c r="T2662" s="167"/>
      <c r="U2662" s="334"/>
      <c r="V2662" s="168">
        <f t="shared" si="3"/>
        <v>1793.8124</v>
      </c>
      <c r="W2662" s="168">
        <f t="shared" si="4"/>
        <v>0</v>
      </c>
      <c r="X2662" s="168">
        <f t="shared" si="5"/>
        <v>0</v>
      </c>
      <c r="Y2662" s="168">
        <f t="shared" si="6"/>
        <v>0</v>
      </c>
      <c r="Z2662" s="168">
        <f t="shared" si="7"/>
        <v>0</v>
      </c>
      <c r="AA2662" s="168">
        <f t="shared" si="8"/>
        <v>0</v>
      </c>
      <c r="AB2662" s="168">
        <f t="shared" si="9"/>
        <v>0</v>
      </c>
    </row>
    <row r="2663" ht="15.0" customHeight="1">
      <c r="A2663" s="157" t="s">
        <v>10204</v>
      </c>
      <c r="B2663" s="169" t="s">
        <v>41</v>
      </c>
      <c r="C2663" s="169" t="s">
        <v>6307</v>
      </c>
      <c r="D2663" s="317">
        <v>45462.0</v>
      </c>
      <c r="E2663" s="157" t="s">
        <v>600</v>
      </c>
      <c r="F2663" s="160">
        <v>45451.64</v>
      </c>
      <c r="G2663" s="160">
        <f>'FACUS$'!$F2663*0.16</f>
        <v>7272.2624</v>
      </c>
      <c r="H2663" s="160">
        <f t="shared" si="68"/>
        <v>52723.9024</v>
      </c>
      <c r="I2663" s="172"/>
      <c r="J2663" s="169"/>
      <c r="K2663" s="172"/>
      <c r="L2663" s="172">
        <f>+'FACUS$'!$H2663-'FACUS$'!$I2663-'FACUS$'!$K2663</f>
        <v>52723.9024</v>
      </c>
      <c r="M2663" s="162" t="s">
        <v>875</v>
      </c>
      <c r="N2663" s="337" t="s">
        <v>554</v>
      </c>
      <c r="O2663" s="338">
        <v>45502.0</v>
      </c>
      <c r="P2663" s="164">
        <f t="array" ref="P2663">XLOOKUP('FACUS$'!$B2663,'perfil de pagos'!$A$4:$A$46,'perfil de pagos'!$C$4:$C$46+'FACUS$'!$D2663)</f>
        <v>45472</v>
      </c>
      <c r="Q2663" s="165">
        <f t="shared" si="70"/>
        <v>0</v>
      </c>
      <c r="R2663" s="167"/>
      <c r="S2663" s="167">
        <v>3179.0</v>
      </c>
      <c r="T2663" s="167"/>
      <c r="U2663" s="334"/>
      <c r="V2663" s="168">
        <f t="shared" si="3"/>
        <v>52723.9024</v>
      </c>
      <c r="W2663" s="168">
        <f t="shared" si="4"/>
        <v>0</v>
      </c>
      <c r="X2663" s="168">
        <f t="shared" si="5"/>
        <v>0</v>
      </c>
      <c r="Y2663" s="168">
        <f t="shared" si="6"/>
        <v>0</v>
      </c>
      <c r="Z2663" s="168">
        <f t="shared" si="7"/>
        <v>0</v>
      </c>
      <c r="AA2663" s="168">
        <f t="shared" si="8"/>
        <v>0</v>
      </c>
      <c r="AB2663" s="168">
        <f t="shared" si="9"/>
        <v>0</v>
      </c>
    </row>
    <row r="2664" ht="15.0" customHeight="1">
      <c r="A2664" s="157" t="s">
        <v>10205</v>
      </c>
      <c r="B2664" s="169" t="s">
        <v>35</v>
      </c>
      <c r="C2664" s="169" t="s">
        <v>6307</v>
      </c>
      <c r="D2664" s="317">
        <v>45462.0</v>
      </c>
      <c r="E2664" s="157" t="s">
        <v>600</v>
      </c>
      <c r="F2664" s="160">
        <v>3473.28</v>
      </c>
      <c r="G2664" s="160">
        <f>'FACUS$'!$F2664*0.16</f>
        <v>555.7248</v>
      </c>
      <c r="H2664" s="160">
        <f t="shared" si="68"/>
        <v>4029.0048</v>
      </c>
      <c r="I2664" s="172">
        <v>2014.5</v>
      </c>
      <c r="J2664" s="169"/>
      <c r="K2664" s="172"/>
      <c r="L2664" s="172">
        <f>+'FACUS$'!$H2664-'FACUS$'!$I2664-'FACUS$'!$K2664</f>
        <v>2014.5048</v>
      </c>
      <c r="M2664" s="162" t="s">
        <v>276</v>
      </c>
      <c r="N2664" s="337" t="s">
        <v>554</v>
      </c>
      <c r="O2664" s="338">
        <v>45503.0</v>
      </c>
      <c r="P2664" s="164">
        <f t="array" ref="P2664">XLOOKUP('FACUS$'!$B2664,'perfil de pagos'!$A$4:$A$46,'perfil de pagos'!$C$4:$C$46+'FACUS$'!$D2664)</f>
        <v>45472</v>
      </c>
      <c r="Q2664" s="165">
        <f t="shared" si="70"/>
        <v>0</v>
      </c>
      <c r="R2664" s="220" t="s">
        <v>10206</v>
      </c>
      <c r="S2664" s="167" t="s">
        <v>10207</v>
      </c>
      <c r="T2664" s="167"/>
      <c r="U2664" s="334"/>
      <c r="V2664" s="168">
        <f t="shared" si="3"/>
        <v>2014.5048</v>
      </c>
      <c r="W2664" s="168">
        <f t="shared" si="4"/>
        <v>0</v>
      </c>
      <c r="X2664" s="168">
        <f t="shared" si="5"/>
        <v>0</v>
      </c>
      <c r="Y2664" s="168">
        <f t="shared" si="6"/>
        <v>0</v>
      </c>
      <c r="Z2664" s="168">
        <f t="shared" si="7"/>
        <v>0</v>
      </c>
      <c r="AA2664" s="168">
        <f t="shared" si="8"/>
        <v>0</v>
      </c>
      <c r="AB2664" s="168">
        <f t="shared" si="9"/>
        <v>0</v>
      </c>
    </row>
    <row r="2665" ht="15.0" customHeight="1">
      <c r="A2665" s="157" t="s">
        <v>10208</v>
      </c>
      <c r="B2665" s="169" t="s">
        <v>38</v>
      </c>
      <c r="C2665" s="169" t="s">
        <v>6307</v>
      </c>
      <c r="D2665" s="317">
        <v>45467.0</v>
      </c>
      <c r="E2665" s="157" t="s">
        <v>600</v>
      </c>
      <c r="F2665" s="160">
        <v>1566.92</v>
      </c>
      <c r="G2665" s="160">
        <f>'FACUS$'!$F2665*0.16</f>
        <v>250.7072</v>
      </c>
      <c r="H2665" s="160">
        <f t="shared" si="68"/>
        <v>1817.6272</v>
      </c>
      <c r="I2665" s="172"/>
      <c r="J2665" s="169"/>
      <c r="K2665" s="172"/>
      <c r="L2665" s="172">
        <f>+'FACUS$'!$H2665-'FACUS$'!$I2665-'FACUS$'!$K2665</f>
        <v>1817.6272</v>
      </c>
      <c r="M2665" s="162" t="s">
        <v>4654</v>
      </c>
      <c r="N2665" s="337" t="s">
        <v>554</v>
      </c>
      <c r="O2665" s="338">
        <v>45511.0</v>
      </c>
      <c r="P2665" s="164">
        <f t="array" ref="P2665">XLOOKUP('FACUS$'!$B2665,'perfil de pagos'!$A$4:$A$46,'perfil de pagos'!$C$4:$C$46+'FACUS$'!$D2665)</f>
        <v>45497</v>
      </c>
      <c r="Q2665" s="165">
        <f t="shared" si="70"/>
        <v>0</v>
      </c>
      <c r="R2665" s="167"/>
      <c r="S2665" s="167"/>
      <c r="T2665" s="167"/>
      <c r="U2665" s="334"/>
      <c r="V2665" s="168">
        <f t="shared" si="3"/>
        <v>1817.6272</v>
      </c>
      <c r="W2665" s="168">
        <f t="shared" si="4"/>
        <v>0</v>
      </c>
      <c r="X2665" s="168">
        <f t="shared" si="5"/>
        <v>0</v>
      </c>
      <c r="Y2665" s="168">
        <f t="shared" si="6"/>
        <v>0</v>
      </c>
      <c r="Z2665" s="168">
        <f t="shared" si="7"/>
        <v>0</v>
      </c>
      <c r="AA2665" s="168">
        <f t="shared" si="8"/>
        <v>0</v>
      </c>
      <c r="AB2665" s="168">
        <f t="shared" si="9"/>
        <v>0</v>
      </c>
    </row>
    <row r="2666" ht="15.0" customHeight="1">
      <c r="A2666" s="157" t="s">
        <v>10209</v>
      </c>
      <c r="B2666" s="169" t="s">
        <v>22</v>
      </c>
      <c r="C2666" s="169"/>
      <c r="D2666" s="159">
        <v>45468.0</v>
      </c>
      <c r="E2666" s="157" t="s">
        <v>600</v>
      </c>
      <c r="F2666" s="160"/>
      <c r="G2666" s="160">
        <f>'FACUS$'!$F2666*0.16</f>
        <v>0</v>
      </c>
      <c r="H2666" s="160">
        <f t="shared" si="68"/>
        <v>0</v>
      </c>
      <c r="I2666" s="172"/>
      <c r="J2666" s="169"/>
      <c r="K2666" s="172"/>
      <c r="L2666" s="172">
        <f>+'FACUS$'!$H2666-'FACUS$'!$I2666-'FACUS$'!$K2666</f>
        <v>0</v>
      </c>
      <c r="M2666" s="162"/>
      <c r="N2666" s="337" t="s">
        <v>127</v>
      </c>
      <c r="O2666" s="338"/>
      <c r="P2666" s="164">
        <f t="array" ref="P2666">XLOOKUP('FACUS$'!$B2666,'perfil de pagos'!$A$4:$A$46,'perfil de pagos'!$C$4:$C$46+'FACUS$'!$D2666)</f>
        <v>45478</v>
      </c>
      <c r="Q2666" s="165" t="str">
        <f t="shared" si="70"/>
        <v>N/A</v>
      </c>
      <c r="R2666" s="167"/>
      <c r="S2666" s="167"/>
      <c r="T2666" s="167"/>
      <c r="U2666" s="334"/>
      <c r="V2666" s="168">
        <f t="shared" si="3"/>
        <v>0</v>
      </c>
      <c r="W2666" s="168">
        <f t="shared" si="4"/>
        <v>0</v>
      </c>
      <c r="X2666" s="168">
        <f t="shared" si="5"/>
        <v>0</v>
      </c>
      <c r="Y2666" s="168">
        <f t="shared" si="6"/>
        <v>0</v>
      </c>
      <c r="Z2666" s="168">
        <f t="shared" si="7"/>
        <v>0</v>
      </c>
      <c r="AA2666" s="168">
        <f t="shared" si="8"/>
        <v>0</v>
      </c>
      <c r="AB2666" s="168">
        <f t="shared" si="9"/>
        <v>0</v>
      </c>
    </row>
    <row r="2667" ht="15.0" customHeight="1">
      <c r="A2667" s="157" t="s">
        <v>10210</v>
      </c>
      <c r="B2667" s="169" t="s">
        <v>18</v>
      </c>
      <c r="C2667" s="169" t="s">
        <v>6307</v>
      </c>
      <c r="D2667" s="317">
        <v>45468.0</v>
      </c>
      <c r="E2667" s="157" t="s">
        <v>600</v>
      </c>
      <c r="F2667" s="160">
        <v>5242.87</v>
      </c>
      <c r="G2667" s="160">
        <f>'FACUS$'!$F2667*0.16</f>
        <v>838.8592</v>
      </c>
      <c r="H2667" s="160">
        <f t="shared" si="68"/>
        <v>6081.7292</v>
      </c>
      <c r="I2667" s="172"/>
      <c r="J2667" s="169"/>
      <c r="K2667" s="172"/>
      <c r="L2667" s="172">
        <f>+'FACUS$'!$H2667-'FACUS$'!$I2667-'FACUS$'!$K2667</f>
        <v>6081.7292</v>
      </c>
      <c r="M2667" s="162" t="s">
        <v>586</v>
      </c>
      <c r="N2667" s="337" t="s">
        <v>554</v>
      </c>
      <c r="O2667" s="338">
        <v>45516.0</v>
      </c>
      <c r="P2667" s="164">
        <f t="array" ref="P2667">XLOOKUP('FACUS$'!$B2667,'perfil de pagos'!$A$4:$A$46,'perfil de pagos'!$C$4:$C$46+'FACUS$'!$D2667)</f>
        <v>45478</v>
      </c>
      <c r="Q2667" s="165">
        <f t="shared" si="70"/>
        <v>0</v>
      </c>
      <c r="R2667" s="167"/>
      <c r="S2667" s="167">
        <v>3197.0</v>
      </c>
      <c r="T2667" s="167"/>
      <c r="U2667" s="334"/>
      <c r="V2667" s="168">
        <f t="shared" si="3"/>
        <v>6081.7292</v>
      </c>
      <c r="W2667" s="168">
        <f t="shared" si="4"/>
        <v>0</v>
      </c>
      <c r="X2667" s="168">
        <f t="shared" si="5"/>
        <v>0</v>
      </c>
      <c r="Y2667" s="168">
        <f t="shared" si="6"/>
        <v>0</v>
      </c>
      <c r="Z2667" s="168">
        <f t="shared" si="7"/>
        <v>0</v>
      </c>
      <c r="AA2667" s="168">
        <f t="shared" si="8"/>
        <v>0</v>
      </c>
      <c r="AB2667" s="168">
        <f t="shared" si="9"/>
        <v>0</v>
      </c>
    </row>
    <row r="2668" ht="15.0" customHeight="1">
      <c r="A2668" s="157" t="s">
        <v>10211</v>
      </c>
      <c r="B2668" s="169" t="s">
        <v>20</v>
      </c>
      <c r="C2668" s="169" t="s">
        <v>6307</v>
      </c>
      <c r="D2668" s="317">
        <v>45468.0</v>
      </c>
      <c r="E2668" s="157" t="s">
        <v>600</v>
      </c>
      <c r="F2668" s="160">
        <v>12501.04</v>
      </c>
      <c r="G2668" s="160">
        <f>'FACUS$'!$F2668*0.16</f>
        <v>2000.1664</v>
      </c>
      <c r="H2668" s="160">
        <f t="shared" si="68"/>
        <v>14501.2064</v>
      </c>
      <c r="I2668" s="172"/>
      <c r="J2668" s="169"/>
      <c r="K2668" s="172"/>
      <c r="L2668" s="172">
        <f>+'FACUS$'!$H2668-'FACUS$'!$I2668-'FACUS$'!$K2668</f>
        <v>14501.2064</v>
      </c>
      <c r="M2668" s="162" t="s">
        <v>732</v>
      </c>
      <c r="N2668" s="337" t="s">
        <v>554</v>
      </c>
      <c r="O2668" s="338">
        <v>45516.0</v>
      </c>
      <c r="P2668" s="164">
        <f t="array" ref="P2668">XLOOKUP('FACUS$'!$B2668,'perfil de pagos'!$A$4:$A$46,'perfil de pagos'!$C$4:$C$46+'FACUS$'!$D2668)</f>
        <v>45478</v>
      </c>
      <c r="Q2668" s="165">
        <f t="shared" si="70"/>
        <v>0</v>
      </c>
      <c r="R2668" s="167"/>
      <c r="S2668" s="167">
        <v>3197.0</v>
      </c>
      <c r="T2668" s="167"/>
      <c r="U2668" s="334"/>
      <c r="V2668" s="168">
        <f t="shared" si="3"/>
        <v>14501.2064</v>
      </c>
      <c r="W2668" s="168">
        <f t="shared" si="4"/>
        <v>0</v>
      </c>
      <c r="X2668" s="168">
        <f t="shared" si="5"/>
        <v>0</v>
      </c>
      <c r="Y2668" s="168">
        <f t="shared" si="6"/>
        <v>0</v>
      </c>
      <c r="Z2668" s="168">
        <f t="shared" si="7"/>
        <v>0</v>
      </c>
      <c r="AA2668" s="168">
        <f t="shared" si="8"/>
        <v>0</v>
      </c>
      <c r="AB2668" s="168">
        <f t="shared" si="9"/>
        <v>0</v>
      </c>
    </row>
    <row r="2669" ht="15.0" customHeight="1">
      <c r="A2669" s="157" t="s">
        <v>10212</v>
      </c>
      <c r="B2669" s="169" t="s">
        <v>22</v>
      </c>
      <c r="C2669" s="169"/>
      <c r="D2669" s="159">
        <v>45468.0</v>
      </c>
      <c r="E2669" s="157" t="s">
        <v>600</v>
      </c>
      <c r="F2669" s="160"/>
      <c r="G2669" s="160">
        <f>'FACUS$'!$F2669*0.16</f>
        <v>0</v>
      </c>
      <c r="H2669" s="160">
        <f t="shared" si="68"/>
        <v>0</v>
      </c>
      <c r="I2669" s="172"/>
      <c r="J2669" s="169"/>
      <c r="K2669" s="172"/>
      <c r="L2669" s="172">
        <f>+'FACUS$'!$H2669-'FACUS$'!$I2669-'FACUS$'!$K2669</f>
        <v>0</v>
      </c>
      <c r="M2669" s="162"/>
      <c r="N2669" s="337" t="s">
        <v>127</v>
      </c>
      <c r="O2669" s="338"/>
      <c r="P2669" s="164">
        <f t="array" ref="P2669">XLOOKUP('FACUS$'!$B2669,'perfil de pagos'!$A$4:$A$46,'perfil de pagos'!$C$4:$C$46+'FACUS$'!$D2669)</f>
        <v>45478</v>
      </c>
      <c r="Q2669" s="165" t="str">
        <f t="shared" si="70"/>
        <v>N/A</v>
      </c>
      <c r="R2669" s="167"/>
      <c r="S2669" s="167"/>
      <c r="T2669" s="167"/>
      <c r="U2669" s="334"/>
      <c r="V2669" s="168">
        <f t="shared" si="3"/>
        <v>0</v>
      </c>
      <c r="W2669" s="168">
        <f t="shared" si="4"/>
        <v>0</v>
      </c>
      <c r="X2669" s="168">
        <f t="shared" si="5"/>
        <v>0</v>
      </c>
      <c r="Y2669" s="168">
        <f t="shared" si="6"/>
        <v>0</v>
      </c>
      <c r="Z2669" s="168">
        <f t="shared" si="7"/>
        <v>0</v>
      </c>
      <c r="AA2669" s="168">
        <f t="shared" si="8"/>
        <v>0</v>
      </c>
      <c r="AB2669" s="168">
        <f t="shared" si="9"/>
        <v>0</v>
      </c>
    </row>
    <row r="2670" ht="15.0" customHeight="1">
      <c r="A2670" s="157" t="s">
        <v>10213</v>
      </c>
      <c r="B2670" s="169" t="s">
        <v>25</v>
      </c>
      <c r="C2670" s="169" t="s">
        <v>6307</v>
      </c>
      <c r="D2670" s="317">
        <v>45468.0</v>
      </c>
      <c r="E2670" s="157" t="s">
        <v>600</v>
      </c>
      <c r="F2670" s="160">
        <v>4322.09</v>
      </c>
      <c r="G2670" s="160">
        <f>'FACUS$'!$F2670*0.16</f>
        <v>691.5344</v>
      </c>
      <c r="H2670" s="160">
        <f t="shared" si="68"/>
        <v>5013.6244</v>
      </c>
      <c r="I2670" s="172"/>
      <c r="J2670" s="169"/>
      <c r="K2670" s="172"/>
      <c r="L2670" s="172">
        <f>+'FACUS$'!$H2670-'FACUS$'!$I2670-'FACUS$'!$K2670</f>
        <v>5013.6244</v>
      </c>
      <c r="M2670" s="162" t="s">
        <v>4388</v>
      </c>
      <c r="N2670" s="337" t="s">
        <v>554</v>
      </c>
      <c r="O2670" s="338">
        <v>45471.0</v>
      </c>
      <c r="P2670" s="164">
        <f t="array" ref="P2670">XLOOKUP('FACUS$'!$B2670,'perfil de pagos'!$A$4:$A$46,'perfil de pagos'!$C$4:$C$46+'FACUS$'!$D2670)</f>
        <v>45478</v>
      </c>
      <c r="Q2670" s="165">
        <f t="shared" si="70"/>
        <v>0</v>
      </c>
      <c r="R2670" s="167"/>
      <c r="S2670" s="167">
        <v>3115.0</v>
      </c>
      <c r="T2670" s="167"/>
      <c r="U2670" s="334"/>
      <c r="V2670" s="168">
        <f t="shared" si="3"/>
        <v>5013.6244</v>
      </c>
      <c r="W2670" s="168">
        <f t="shared" si="4"/>
        <v>0</v>
      </c>
      <c r="X2670" s="168">
        <f t="shared" si="5"/>
        <v>0</v>
      </c>
      <c r="Y2670" s="168">
        <f t="shared" si="6"/>
        <v>0</v>
      </c>
      <c r="Z2670" s="168">
        <f t="shared" si="7"/>
        <v>0</v>
      </c>
      <c r="AA2670" s="168">
        <f t="shared" si="8"/>
        <v>0</v>
      </c>
      <c r="AB2670" s="168">
        <f t="shared" si="9"/>
        <v>0</v>
      </c>
    </row>
    <row r="2671" ht="15.0" customHeight="1">
      <c r="A2671" s="157" t="s">
        <v>10214</v>
      </c>
      <c r="B2671" s="169" t="s">
        <v>22</v>
      </c>
      <c r="C2671" s="169" t="s">
        <v>6307</v>
      </c>
      <c r="D2671" s="317">
        <v>45468.0</v>
      </c>
      <c r="E2671" s="157" t="s">
        <v>600</v>
      </c>
      <c r="F2671" s="160">
        <v>19998.6</v>
      </c>
      <c r="G2671" s="160">
        <f>'FACUS$'!$F2671*0.16</f>
        <v>3199.776</v>
      </c>
      <c r="H2671" s="160">
        <f t="shared" si="68"/>
        <v>23198.376</v>
      </c>
      <c r="I2671" s="172">
        <f>3365.82+10611.32</f>
        <v>13977.14</v>
      </c>
      <c r="J2671" s="169"/>
      <c r="K2671" s="172">
        <v>3217.0</v>
      </c>
      <c r="L2671" s="172">
        <f>+'FACUS$'!$H2671-'FACUS$'!$I2671-'FACUS$'!$K2671</f>
        <v>6004.236</v>
      </c>
      <c r="M2671" s="162" t="s">
        <v>220</v>
      </c>
      <c r="N2671" s="337" t="s">
        <v>554</v>
      </c>
      <c r="O2671" s="338">
        <v>45525.0</v>
      </c>
      <c r="P2671" s="164">
        <f t="array" ref="P2671">XLOOKUP('FACUS$'!$B2671,'perfil de pagos'!$A$4:$A$46,'perfil de pagos'!$C$4:$C$46+'FACUS$'!$D2671)</f>
        <v>45478</v>
      </c>
      <c r="Q2671" s="165">
        <f t="shared" si="70"/>
        <v>0</v>
      </c>
      <c r="R2671" s="220" t="s">
        <v>10215</v>
      </c>
      <c r="S2671" s="167" t="s">
        <v>10216</v>
      </c>
      <c r="T2671" s="167"/>
      <c r="U2671" s="334"/>
      <c r="V2671" s="168">
        <f t="shared" si="3"/>
        <v>6004.236</v>
      </c>
      <c r="W2671" s="168">
        <f t="shared" si="4"/>
        <v>0</v>
      </c>
      <c r="X2671" s="168">
        <f t="shared" si="5"/>
        <v>0</v>
      </c>
      <c r="Y2671" s="168">
        <f t="shared" si="6"/>
        <v>0</v>
      </c>
      <c r="Z2671" s="168">
        <f t="shared" si="7"/>
        <v>0</v>
      </c>
      <c r="AA2671" s="168">
        <f t="shared" si="8"/>
        <v>0</v>
      </c>
      <c r="AB2671" s="168">
        <f t="shared" si="9"/>
        <v>0</v>
      </c>
    </row>
    <row r="2672" ht="15.0" customHeight="1">
      <c r="A2672" s="157" t="s">
        <v>10217</v>
      </c>
      <c r="B2672" s="169" t="s">
        <v>37</v>
      </c>
      <c r="C2672" s="169" t="s">
        <v>6307</v>
      </c>
      <c r="D2672" s="317">
        <v>45468.0</v>
      </c>
      <c r="E2672" s="157" t="s">
        <v>600</v>
      </c>
      <c r="F2672" s="160">
        <v>82362.85</v>
      </c>
      <c r="G2672" s="160">
        <f>'FACUS$'!$F2672*0.16</f>
        <v>13178.056</v>
      </c>
      <c r="H2672" s="160">
        <f t="shared" si="68"/>
        <v>95540.906</v>
      </c>
      <c r="I2672" s="172"/>
      <c r="J2672" s="169"/>
      <c r="K2672" s="172"/>
      <c r="L2672" s="172">
        <f>+'FACUS$'!$H2672-'FACUS$'!$I2672-'FACUS$'!$K2672</f>
        <v>95540.906</v>
      </c>
      <c r="M2672" s="162" t="s">
        <v>116</v>
      </c>
      <c r="N2672" s="337" t="s">
        <v>554</v>
      </c>
      <c r="O2672" s="338">
        <v>45475.0</v>
      </c>
      <c r="P2672" s="164">
        <f t="array" ref="P2672">XLOOKUP('FACUS$'!$B2672,'perfil de pagos'!$A$4:$A$46,'perfil de pagos'!$C$4:$C$46+'FACUS$'!$D2672)</f>
        <v>45478</v>
      </c>
      <c r="Q2672" s="165">
        <f t="shared" si="70"/>
        <v>0</v>
      </c>
      <c r="R2672" s="167"/>
      <c r="S2672" s="167">
        <v>3125.0</v>
      </c>
      <c r="T2672" s="167"/>
      <c r="U2672" s="334"/>
      <c r="V2672" s="168">
        <f t="shared" si="3"/>
        <v>95540.906</v>
      </c>
      <c r="W2672" s="168">
        <f t="shared" si="4"/>
        <v>0</v>
      </c>
      <c r="X2672" s="168">
        <f t="shared" si="5"/>
        <v>0</v>
      </c>
      <c r="Y2672" s="168">
        <f t="shared" si="6"/>
        <v>0</v>
      </c>
      <c r="Z2672" s="168">
        <f t="shared" si="7"/>
        <v>0</v>
      </c>
      <c r="AA2672" s="168">
        <f t="shared" si="8"/>
        <v>0</v>
      </c>
      <c r="AB2672" s="168">
        <f t="shared" si="9"/>
        <v>0</v>
      </c>
    </row>
    <row r="2673" ht="15.0" customHeight="1">
      <c r="A2673" s="157" t="s">
        <v>10218</v>
      </c>
      <c r="B2673" s="169" t="s">
        <v>38</v>
      </c>
      <c r="C2673" s="169" t="s">
        <v>6307</v>
      </c>
      <c r="D2673" s="317">
        <v>45468.0</v>
      </c>
      <c r="E2673" s="157" t="s">
        <v>600</v>
      </c>
      <c r="F2673" s="160">
        <v>4941.9</v>
      </c>
      <c r="G2673" s="160">
        <f>'FACUS$'!$F2673*0.16</f>
        <v>790.704</v>
      </c>
      <c r="H2673" s="160">
        <f t="shared" si="68"/>
        <v>5732.604</v>
      </c>
      <c r="I2673" s="172"/>
      <c r="J2673" s="169"/>
      <c r="K2673" s="172"/>
      <c r="L2673" s="172">
        <f>+'FACUS$'!$H2673-'FACUS$'!$I2673-'FACUS$'!$K2673</f>
        <v>5732.604</v>
      </c>
      <c r="M2673" s="162" t="s">
        <v>642</v>
      </c>
      <c r="N2673" s="337" t="s">
        <v>554</v>
      </c>
      <c r="O2673" s="338">
        <v>45511.0</v>
      </c>
      <c r="P2673" s="164">
        <f t="array" ref="P2673">XLOOKUP('FACUS$'!$B2673,'perfil de pagos'!$A$4:$A$46,'perfil de pagos'!$C$4:$C$46+'FACUS$'!$D2673)</f>
        <v>45498</v>
      </c>
      <c r="Q2673" s="165">
        <f t="shared" si="70"/>
        <v>0</v>
      </c>
      <c r="R2673" s="167"/>
      <c r="S2673" s="167"/>
      <c r="T2673" s="167"/>
      <c r="U2673" s="334"/>
      <c r="V2673" s="168">
        <f t="shared" si="3"/>
        <v>5732.604</v>
      </c>
      <c r="W2673" s="168">
        <f t="shared" si="4"/>
        <v>0</v>
      </c>
      <c r="X2673" s="168">
        <f t="shared" si="5"/>
        <v>0</v>
      </c>
      <c r="Y2673" s="168">
        <f t="shared" si="6"/>
        <v>0</v>
      </c>
      <c r="Z2673" s="168">
        <f t="shared" si="7"/>
        <v>0</v>
      </c>
      <c r="AA2673" s="168">
        <f t="shared" si="8"/>
        <v>0</v>
      </c>
      <c r="AB2673" s="168">
        <f t="shared" si="9"/>
        <v>0</v>
      </c>
    </row>
    <row r="2674" ht="15.0" customHeight="1">
      <c r="A2674" s="157" t="s">
        <v>10219</v>
      </c>
      <c r="B2674" s="169" t="s">
        <v>38</v>
      </c>
      <c r="C2674" s="169" t="s">
        <v>6307</v>
      </c>
      <c r="D2674" s="317">
        <v>45468.0</v>
      </c>
      <c r="E2674" s="157" t="s">
        <v>600</v>
      </c>
      <c r="F2674" s="160">
        <v>6797.59</v>
      </c>
      <c r="G2674" s="160">
        <f>'FACUS$'!$F2674*0.16</f>
        <v>1087.6144</v>
      </c>
      <c r="H2674" s="160">
        <f t="shared" si="68"/>
        <v>7885.2044</v>
      </c>
      <c r="I2674" s="172"/>
      <c r="J2674" s="169"/>
      <c r="K2674" s="172"/>
      <c r="L2674" s="172">
        <f>+'FACUS$'!$H2674-'FACUS$'!$I2674-'FACUS$'!$K2674</f>
        <v>7885.2044</v>
      </c>
      <c r="M2674" s="162" t="s">
        <v>145</v>
      </c>
      <c r="N2674" s="337" t="s">
        <v>554</v>
      </c>
      <c r="O2674" s="338">
        <v>45525.0</v>
      </c>
      <c r="P2674" s="164">
        <f t="array" ref="P2674">XLOOKUP('FACUS$'!$B2674,'perfil de pagos'!$A$4:$A$46,'perfil de pagos'!$C$4:$C$46+'FACUS$'!$D2674)</f>
        <v>45498</v>
      </c>
      <c r="Q2674" s="165">
        <f t="shared" si="70"/>
        <v>0</v>
      </c>
      <c r="R2674" s="167"/>
      <c r="S2674" s="167">
        <v>3227.0</v>
      </c>
      <c r="T2674" s="167"/>
      <c r="U2674" s="334"/>
      <c r="V2674" s="168">
        <f t="shared" si="3"/>
        <v>7885.2044</v>
      </c>
      <c r="W2674" s="168">
        <f t="shared" si="4"/>
        <v>0</v>
      </c>
      <c r="X2674" s="168">
        <f t="shared" si="5"/>
        <v>0</v>
      </c>
      <c r="Y2674" s="168">
        <f t="shared" si="6"/>
        <v>0</v>
      </c>
      <c r="Z2674" s="168">
        <f t="shared" si="7"/>
        <v>0</v>
      </c>
      <c r="AA2674" s="168">
        <f t="shared" si="8"/>
        <v>0</v>
      </c>
      <c r="AB2674" s="168">
        <f t="shared" si="9"/>
        <v>0</v>
      </c>
    </row>
    <row r="2675" ht="15.0" customHeight="1">
      <c r="A2675" s="157" t="s">
        <v>10220</v>
      </c>
      <c r="B2675" s="169" t="s">
        <v>35</v>
      </c>
      <c r="C2675" s="169" t="s">
        <v>6355</v>
      </c>
      <c r="D2675" s="317">
        <v>45476.0</v>
      </c>
      <c r="E2675" s="157" t="s">
        <v>600</v>
      </c>
      <c r="F2675" s="160">
        <v>4692.07</v>
      </c>
      <c r="G2675" s="160">
        <f>'FACUS$'!$F2675*0.16</f>
        <v>750.7312</v>
      </c>
      <c r="H2675" s="160">
        <f t="shared" si="68"/>
        <v>5442.8012</v>
      </c>
      <c r="I2675" s="172"/>
      <c r="J2675" s="169"/>
      <c r="K2675" s="172"/>
      <c r="L2675" s="172">
        <f>+'FACUS$'!$H2675-'FACUS$'!$I2675-'FACUS$'!$K2675</f>
        <v>5442.8012</v>
      </c>
      <c r="M2675" s="162" t="s">
        <v>276</v>
      </c>
      <c r="N2675" s="337" t="s">
        <v>554</v>
      </c>
      <c r="O2675" s="338">
        <v>45527.0</v>
      </c>
      <c r="P2675" s="164">
        <f t="array" ref="P2675">XLOOKUP('FACUS$'!$B2675,'perfil de pagos'!$A$4:$A$46,'perfil de pagos'!$C$4:$C$46+'FACUS$'!$D2675)</f>
        <v>45486</v>
      </c>
      <c r="Q2675" s="165">
        <f t="shared" si="70"/>
        <v>0</v>
      </c>
      <c r="R2675" s="167"/>
      <c r="S2675" s="167">
        <v>3237.0</v>
      </c>
      <c r="T2675" s="167"/>
      <c r="U2675" s="334"/>
      <c r="V2675" s="168">
        <f t="shared" si="3"/>
        <v>5442.8012</v>
      </c>
      <c r="W2675" s="168">
        <f t="shared" si="4"/>
        <v>0</v>
      </c>
      <c r="X2675" s="168">
        <f t="shared" si="5"/>
        <v>0</v>
      </c>
      <c r="Y2675" s="168">
        <f t="shared" si="6"/>
        <v>0</v>
      </c>
      <c r="Z2675" s="168">
        <f t="shared" si="7"/>
        <v>0</v>
      </c>
      <c r="AA2675" s="168">
        <f t="shared" si="8"/>
        <v>0</v>
      </c>
      <c r="AB2675" s="168">
        <f t="shared" si="9"/>
        <v>0</v>
      </c>
    </row>
    <row r="2676" ht="15.0" customHeight="1">
      <c r="A2676" s="157" t="s">
        <v>10221</v>
      </c>
      <c r="B2676" s="169" t="s">
        <v>42</v>
      </c>
      <c r="C2676" s="169" t="s">
        <v>6355</v>
      </c>
      <c r="D2676" s="317">
        <v>45476.0</v>
      </c>
      <c r="E2676" s="157" t="s">
        <v>600</v>
      </c>
      <c r="F2676" s="160">
        <v>3371.86</v>
      </c>
      <c r="G2676" s="160">
        <f>'FACUS$'!$F2676*0.16</f>
        <v>539.4976</v>
      </c>
      <c r="H2676" s="160">
        <f t="shared" si="68"/>
        <v>3911.3576</v>
      </c>
      <c r="I2676" s="172"/>
      <c r="J2676" s="169"/>
      <c r="K2676" s="172"/>
      <c r="L2676" s="172">
        <f>+'FACUS$'!$H2676-'FACUS$'!$I2676-'FACUS$'!$K2676</f>
        <v>3911.3576</v>
      </c>
      <c r="M2676" s="162" t="s">
        <v>42</v>
      </c>
      <c r="N2676" s="337" t="s">
        <v>554</v>
      </c>
      <c r="O2676" s="338">
        <v>45498.0</v>
      </c>
      <c r="P2676" s="164">
        <f t="array" ref="P2676">XLOOKUP('FACUS$'!$B2676,'perfil de pagos'!$A$4:$A$46,'perfil de pagos'!$C$4:$C$46+'FACUS$'!$D2676)</f>
        <v>45486</v>
      </c>
      <c r="Q2676" s="165">
        <f t="shared" si="70"/>
        <v>0</v>
      </c>
      <c r="R2676" s="167"/>
      <c r="S2676" s="167">
        <v>3174.0</v>
      </c>
      <c r="T2676" s="167"/>
      <c r="U2676" s="334"/>
      <c r="V2676" s="168">
        <f t="shared" si="3"/>
        <v>3911.3576</v>
      </c>
      <c r="W2676" s="168">
        <f t="shared" si="4"/>
        <v>0</v>
      </c>
      <c r="X2676" s="168">
        <f t="shared" si="5"/>
        <v>0</v>
      </c>
      <c r="Y2676" s="168">
        <f t="shared" si="6"/>
        <v>0</v>
      </c>
      <c r="Z2676" s="168">
        <f t="shared" si="7"/>
        <v>0</v>
      </c>
      <c r="AA2676" s="168">
        <f t="shared" si="8"/>
        <v>0</v>
      </c>
      <c r="AB2676" s="168">
        <f t="shared" si="9"/>
        <v>0</v>
      </c>
    </row>
    <row r="2677" ht="15.0" customHeight="1">
      <c r="A2677" s="157" t="s">
        <v>10222</v>
      </c>
      <c r="B2677" s="169" t="s">
        <v>44</v>
      </c>
      <c r="C2677" s="169" t="s">
        <v>6355</v>
      </c>
      <c r="D2677" s="317">
        <v>45476.0</v>
      </c>
      <c r="E2677" s="157" t="s">
        <v>600</v>
      </c>
      <c r="F2677" s="160">
        <v>1783.55</v>
      </c>
      <c r="G2677" s="160">
        <f>'FACUS$'!$F2677*0.16</f>
        <v>285.368</v>
      </c>
      <c r="H2677" s="160">
        <f t="shared" si="68"/>
        <v>2068.918</v>
      </c>
      <c r="I2677" s="172"/>
      <c r="J2677" s="169"/>
      <c r="K2677" s="172"/>
      <c r="L2677" s="172">
        <f>+'FACUS$'!$H2677-'FACUS$'!$I2677-'FACUS$'!$K2677</f>
        <v>2068.918</v>
      </c>
      <c r="M2677" s="162" t="s">
        <v>361</v>
      </c>
      <c r="N2677" s="337" t="s">
        <v>554</v>
      </c>
      <c r="O2677" s="338">
        <v>45485.0</v>
      </c>
      <c r="P2677" s="164">
        <f t="array" ref="P2677">XLOOKUP('FACUS$'!$B2677,'perfil de pagos'!$A$4:$A$46,'perfil de pagos'!$C$4:$C$46+'FACUS$'!$D2677)</f>
        <v>45486</v>
      </c>
      <c r="Q2677" s="165">
        <f t="shared" si="70"/>
        <v>0</v>
      </c>
      <c r="R2677" s="167"/>
      <c r="S2677" s="167">
        <v>3146.0</v>
      </c>
      <c r="T2677" s="167"/>
      <c r="U2677" s="334"/>
      <c r="V2677" s="168">
        <f t="shared" si="3"/>
        <v>2068.918</v>
      </c>
      <c r="W2677" s="168">
        <f t="shared" si="4"/>
        <v>0</v>
      </c>
      <c r="X2677" s="168">
        <f t="shared" si="5"/>
        <v>0</v>
      </c>
      <c r="Y2677" s="168">
        <f t="shared" si="6"/>
        <v>0</v>
      </c>
      <c r="Z2677" s="168">
        <f t="shared" si="7"/>
        <v>0</v>
      </c>
      <c r="AA2677" s="168">
        <f t="shared" si="8"/>
        <v>0</v>
      </c>
      <c r="AB2677" s="168">
        <f t="shared" si="9"/>
        <v>0</v>
      </c>
    </row>
    <row r="2678" ht="15.0" customHeight="1">
      <c r="A2678" s="157" t="s">
        <v>10223</v>
      </c>
      <c r="B2678" s="169" t="s">
        <v>41</v>
      </c>
      <c r="C2678" s="169" t="s">
        <v>6355</v>
      </c>
      <c r="D2678" s="317">
        <v>45476.0</v>
      </c>
      <c r="E2678" s="157" t="s">
        <v>600</v>
      </c>
      <c r="F2678" s="160">
        <v>40036.81</v>
      </c>
      <c r="G2678" s="160">
        <f>'FACUS$'!$F2678*0.16</f>
        <v>6405.8896</v>
      </c>
      <c r="H2678" s="160">
        <f t="shared" si="68"/>
        <v>46442.6996</v>
      </c>
      <c r="I2678" s="172"/>
      <c r="J2678" s="169"/>
      <c r="K2678" s="172"/>
      <c r="L2678" s="172">
        <f>+'FACUS$'!$H2678-'FACUS$'!$I2678-'FACUS$'!$K2678</f>
        <v>46442.6996</v>
      </c>
      <c r="M2678" s="162" t="s">
        <v>875</v>
      </c>
      <c r="N2678" s="337" t="s">
        <v>554</v>
      </c>
      <c r="O2678" s="338">
        <v>45523.0</v>
      </c>
      <c r="P2678" s="164">
        <f t="array" ref="P2678">XLOOKUP('FACUS$'!$B2678,'perfil de pagos'!$A$4:$A$46,'perfil de pagos'!$C$4:$C$46+'FACUS$'!$D2678)</f>
        <v>45486</v>
      </c>
      <c r="Q2678" s="165">
        <f t="shared" si="70"/>
        <v>0</v>
      </c>
      <c r="R2678" s="167"/>
      <c r="S2678" s="167">
        <v>3216.0</v>
      </c>
      <c r="T2678" s="167"/>
      <c r="U2678" s="334"/>
      <c r="V2678" s="168">
        <f t="shared" si="3"/>
        <v>46442.6996</v>
      </c>
      <c r="W2678" s="168">
        <f t="shared" si="4"/>
        <v>0</v>
      </c>
      <c r="X2678" s="168">
        <f t="shared" si="5"/>
        <v>0</v>
      </c>
      <c r="Y2678" s="168">
        <f t="shared" si="6"/>
        <v>0</v>
      </c>
      <c r="Z2678" s="168">
        <f t="shared" si="7"/>
        <v>0</v>
      </c>
      <c r="AA2678" s="168">
        <f t="shared" si="8"/>
        <v>0</v>
      </c>
      <c r="AB2678" s="168">
        <f t="shared" si="9"/>
        <v>0</v>
      </c>
    </row>
    <row r="2679" ht="15.0" customHeight="1">
      <c r="A2679" s="157" t="s">
        <v>10224</v>
      </c>
      <c r="B2679" s="169" t="s">
        <v>38</v>
      </c>
      <c r="C2679" s="169" t="s">
        <v>6355</v>
      </c>
      <c r="D2679" s="317">
        <v>45476.0</v>
      </c>
      <c r="E2679" s="157" t="s">
        <v>600</v>
      </c>
      <c r="F2679" s="160">
        <v>2136.87</v>
      </c>
      <c r="G2679" s="160">
        <f>'FACUS$'!$F2679*0.16</f>
        <v>341.8992</v>
      </c>
      <c r="H2679" s="160">
        <f t="shared" si="68"/>
        <v>2478.7692</v>
      </c>
      <c r="I2679" s="172"/>
      <c r="J2679" s="169"/>
      <c r="K2679" s="172"/>
      <c r="L2679" s="172">
        <f>+'FACUS$'!$H2679-'FACUS$'!$I2679-'FACUS$'!$K2679</f>
        <v>2478.7692</v>
      </c>
      <c r="M2679" s="162" t="s">
        <v>4654</v>
      </c>
      <c r="N2679" s="337" t="s">
        <v>554</v>
      </c>
      <c r="O2679" s="338">
        <v>45525.0</v>
      </c>
      <c r="P2679" s="164">
        <f t="array" ref="P2679">XLOOKUP('FACUS$'!$B2679,'perfil de pagos'!$A$4:$A$46,'perfil de pagos'!$C$4:$C$46+'FACUS$'!$D2679)</f>
        <v>45506</v>
      </c>
      <c r="Q2679" s="165">
        <f t="shared" si="70"/>
        <v>0</v>
      </c>
      <c r="R2679" s="167"/>
      <c r="S2679" s="167">
        <v>3227.0</v>
      </c>
      <c r="T2679" s="167"/>
      <c r="U2679" s="334"/>
      <c r="V2679" s="168">
        <f t="shared" si="3"/>
        <v>2478.7692</v>
      </c>
      <c r="W2679" s="168">
        <f t="shared" si="4"/>
        <v>0</v>
      </c>
      <c r="X2679" s="168">
        <f t="shared" si="5"/>
        <v>0</v>
      </c>
      <c r="Y2679" s="168">
        <f t="shared" si="6"/>
        <v>0</v>
      </c>
      <c r="Z2679" s="168">
        <f t="shared" si="7"/>
        <v>0</v>
      </c>
      <c r="AA2679" s="168">
        <f t="shared" si="8"/>
        <v>0</v>
      </c>
      <c r="AB2679" s="168">
        <f t="shared" si="9"/>
        <v>0</v>
      </c>
    </row>
    <row r="2680" ht="15.0" customHeight="1">
      <c r="A2680" s="157" t="s">
        <v>10225</v>
      </c>
      <c r="B2680" s="169" t="s">
        <v>18</v>
      </c>
      <c r="C2680" s="169" t="s">
        <v>6355</v>
      </c>
      <c r="D2680" s="317">
        <v>45477.0</v>
      </c>
      <c r="E2680" s="157" t="s">
        <v>600</v>
      </c>
      <c r="F2680" s="160">
        <v>6358.35</v>
      </c>
      <c r="G2680" s="160">
        <f>'FACUS$'!$F2680*0.16</f>
        <v>1017.336</v>
      </c>
      <c r="H2680" s="160">
        <f t="shared" si="68"/>
        <v>7375.686</v>
      </c>
      <c r="I2680" s="172"/>
      <c r="J2680" s="169"/>
      <c r="K2680" s="172"/>
      <c r="L2680" s="172">
        <f>+'FACUS$'!$H2680-'FACUS$'!$I2680-'FACUS$'!$K2680</f>
        <v>7375.686</v>
      </c>
      <c r="M2680" s="162" t="s">
        <v>586</v>
      </c>
      <c r="N2680" s="337" t="s">
        <v>554</v>
      </c>
      <c r="O2680" s="338">
        <v>45527.0</v>
      </c>
      <c r="P2680" s="164">
        <f t="array" ref="P2680">XLOOKUP('FACUS$'!$B2680,'perfil de pagos'!$A$4:$A$46,'perfil de pagos'!$C$4:$C$46+'FACUS$'!$D2680)</f>
        <v>45487</v>
      </c>
      <c r="Q2680" s="165">
        <f t="shared" si="70"/>
        <v>0</v>
      </c>
      <c r="R2680" s="167"/>
      <c r="S2680" s="167">
        <v>3231.0</v>
      </c>
      <c r="T2680" s="167"/>
      <c r="U2680" s="334"/>
      <c r="V2680" s="168">
        <f t="shared" si="3"/>
        <v>7375.686</v>
      </c>
      <c r="W2680" s="168">
        <f t="shared" si="4"/>
        <v>0</v>
      </c>
      <c r="X2680" s="168">
        <f t="shared" si="5"/>
        <v>0</v>
      </c>
      <c r="Y2680" s="168">
        <f t="shared" si="6"/>
        <v>0</v>
      </c>
      <c r="Z2680" s="168">
        <f t="shared" si="7"/>
        <v>0</v>
      </c>
      <c r="AA2680" s="168">
        <f t="shared" si="8"/>
        <v>0</v>
      </c>
      <c r="AB2680" s="168">
        <f t="shared" si="9"/>
        <v>0</v>
      </c>
    </row>
    <row r="2681" ht="15.0" customHeight="1">
      <c r="A2681" s="157" t="s">
        <v>10226</v>
      </c>
      <c r="B2681" s="169" t="s">
        <v>20</v>
      </c>
      <c r="C2681" s="169" t="s">
        <v>6355</v>
      </c>
      <c r="D2681" s="317">
        <v>45477.0</v>
      </c>
      <c r="E2681" s="157" t="s">
        <v>600</v>
      </c>
      <c r="F2681" s="160">
        <v>14536.8</v>
      </c>
      <c r="G2681" s="160">
        <f>'FACUS$'!$F2681*0.16</f>
        <v>2325.888</v>
      </c>
      <c r="H2681" s="160">
        <f t="shared" si="68"/>
        <v>16862.688</v>
      </c>
      <c r="I2681" s="172"/>
      <c r="J2681" s="169"/>
      <c r="K2681" s="172"/>
      <c r="L2681" s="172">
        <f>+'FACUS$'!$H2681-'FACUS$'!$I2681-'FACUS$'!$K2681</f>
        <v>16862.688</v>
      </c>
      <c r="M2681" s="162" t="s">
        <v>732</v>
      </c>
      <c r="N2681" s="337" t="s">
        <v>554</v>
      </c>
      <c r="O2681" s="338">
        <v>45527.0</v>
      </c>
      <c r="P2681" s="164">
        <f t="array" ref="P2681">XLOOKUP('FACUS$'!$B2681,'perfil de pagos'!$A$4:$A$46,'perfil de pagos'!$C$4:$C$46+'FACUS$'!$D2681)</f>
        <v>45487</v>
      </c>
      <c r="Q2681" s="165">
        <f t="shared" si="70"/>
        <v>0</v>
      </c>
      <c r="R2681" s="167"/>
      <c r="S2681" s="167">
        <v>3231.0</v>
      </c>
      <c r="T2681" s="167"/>
      <c r="U2681" s="334"/>
      <c r="V2681" s="168">
        <f t="shared" si="3"/>
        <v>16862.688</v>
      </c>
      <c r="W2681" s="168">
        <f t="shared" si="4"/>
        <v>0</v>
      </c>
      <c r="X2681" s="168">
        <f t="shared" si="5"/>
        <v>0</v>
      </c>
      <c r="Y2681" s="168">
        <f t="shared" si="6"/>
        <v>0</v>
      </c>
      <c r="Z2681" s="168">
        <f t="shared" si="7"/>
        <v>0</v>
      </c>
      <c r="AA2681" s="168">
        <f t="shared" si="8"/>
        <v>0</v>
      </c>
      <c r="AB2681" s="168">
        <f t="shared" si="9"/>
        <v>0</v>
      </c>
    </row>
    <row r="2682" ht="15.0" customHeight="1">
      <c r="A2682" s="157" t="s">
        <v>10227</v>
      </c>
      <c r="B2682" s="169" t="s">
        <v>22</v>
      </c>
      <c r="C2682" s="169" t="s">
        <v>6355</v>
      </c>
      <c r="D2682" s="317">
        <v>45477.0</v>
      </c>
      <c r="E2682" s="157" t="s">
        <v>600</v>
      </c>
      <c r="F2682" s="160">
        <v>25905.25</v>
      </c>
      <c r="G2682" s="160">
        <f>'FACUS$'!$F2682*0.16</f>
        <v>4144.84</v>
      </c>
      <c r="H2682" s="160">
        <f t="shared" si="68"/>
        <v>30050.09</v>
      </c>
      <c r="I2682" s="172">
        <f>1453.57+15303.23</f>
        <v>16756.8</v>
      </c>
      <c r="J2682" s="169"/>
      <c r="K2682" s="172"/>
      <c r="L2682" s="172">
        <f>+'FACUS$'!$H2682-'FACUS$'!$I2682-'FACUS$'!$K2682</f>
        <v>13293.29</v>
      </c>
      <c r="M2682" s="162" t="s">
        <v>220</v>
      </c>
      <c r="N2682" s="337" t="s">
        <v>554</v>
      </c>
      <c r="O2682" s="338">
        <v>45555.0</v>
      </c>
      <c r="P2682" s="164">
        <f t="array" ref="P2682">XLOOKUP('FACUS$'!$B2682,'perfil de pagos'!$A$4:$A$46,'perfil de pagos'!$C$4:$C$46+'FACUS$'!$D2682)</f>
        <v>45487</v>
      </c>
      <c r="Q2682" s="165">
        <f t="shared" si="70"/>
        <v>0</v>
      </c>
      <c r="R2682" s="220" t="s">
        <v>10228</v>
      </c>
      <c r="S2682" s="220" t="s">
        <v>10229</v>
      </c>
      <c r="T2682" s="167"/>
      <c r="U2682" s="334"/>
      <c r="V2682" s="168">
        <f t="shared" si="3"/>
        <v>13293.29</v>
      </c>
      <c r="W2682" s="168">
        <f t="shared" si="4"/>
        <v>0</v>
      </c>
      <c r="X2682" s="168">
        <f t="shared" si="5"/>
        <v>0</v>
      </c>
      <c r="Y2682" s="168">
        <f t="shared" si="6"/>
        <v>0</v>
      </c>
      <c r="Z2682" s="168">
        <f t="shared" si="7"/>
        <v>0</v>
      </c>
      <c r="AA2682" s="168">
        <f t="shared" si="8"/>
        <v>0</v>
      </c>
      <c r="AB2682" s="168">
        <f t="shared" si="9"/>
        <v>0</v>
      </c>
    </row>
    <row r="2683" ht="15.0" customHeight="1">
      <c r="A2683" s="157" t="s">
        <v>10230</v>
      </c>
      <c r="B2683" s="169" t="s">
        <v>25</v>
      </c>
      <c r="C2683" s="169" t="s">
        <v>6355</v>
      </c>
      <c r="D2683" s="317">
        <v>45477.0</v>
      </c>
      <c r="E2683" s="157" t="s">
        <v>600</v>
      </c>
      <c r="F2683" s="160">
        <v>4613.78</v>
      </c>
      <c r="G2683" s="160">
        <f>'FACUS$'!$F2683*0.16</f>
        <v>738.2048</v>
      </c>
      <c r="H2683" s="160">
        <f t="shared" si="68"/>
        <v>5351.9848</v>
      </c>
      <c r="I2683" s="172"/>
      <c r="J2683" s="169"/>
      <c r="K2683" s="172"/>
      <c r="L2683" s="172">
        <f>+'FACUS$'!$H2683-'FACUS$'!$I2683-'FACUS$'!$K2683</f>
        <v>5351.9848</v>
      </c>
      <c r="M2683" s="162" t="s">
        <v>4388</v>
      </c>
      <c r="N2683" s="337" t="s">
        <v>554</v>
      </c>
      <c r="O2683" s="338">
        <v>45496.0</v>
      </c>
      <c r="P2683" s="164">
        <f t="array" ref="P2683">XLOOKUP('FACUS$'!$B2683,'perfil de pagos'!$A$4:$A$46,'perfil de pagos'!$C$4:$C$46+'FACUS$'!$D2683)</f>
        <v>45487</v>
      </c>
      <c r="Q2683" s="165">
        <f t="shared" si="70"/>
        <v>0</v>
      </c>
      <c r="R2683" s="167"/>
      <c r="S2683" s="167">
        <v>3166.0</v>
      </c>
      <c r="T2683" s="167"/>
      <c r="U2683" s="334"/>
      <c r="V2683" s="168">
        <f t="shared" si="3"/>
        <v>5351.9848</v>
      </c>
      <c r="W2683" s="168">
        <f t="shared" si="4"/>
        <v>0</v>
      </c>
      <c r="X2683" s="168">
        <f t="shared" si="5"/>
        <v>0</v>
      </c>
      <c r="Y2683" s="168">
        <f t="shared" si="6"/>
        <v>0</v>
      </c>
      <c r="Z2683" s="168">
        <f t="shared" si="7"/>
        <v>0</v>
      </c>
      <c r="AA2683" s="168">
        <f t="shared" si="8"/>
        <v>0</v>
      </c>
      <c r="AB2683" s="168">
        <f t="shared" si="9"/>
        <v>0</v>
      </c>
    </row>
    <row r="2684" ht="15.0" customHeight="1">
      <c r="A2684" s="157" t="s">
        <v>10231</v>
      </c>
      <c r="B2684" s="169" t="s">
        <v>37</v>
      </c>
      <c r="C2684" s="169" t="s">
        <v>6355</v>
      </c>
      <c r="D2684" s="317">
        <v>45477.0</v>
      </c>
      <c r="E2684" s="157" t="s">
        <v>600</v>
      </c>
      <c r="F2684" s="160">
        <v>88305.35</v>
      </c>
      <c r="G2684" s="160">
        <f>'FACUS$'!$F2684*0.16</f>
        <v>14128.856</v>
      </c>
      <c r="H2684" s="160">
        <f t="shared" si="68"/>
        <v>102434.206</v>
      </c>
      <c r="I2684" s="172"/>
      <c r="J2684" s="169"/>
      <c r="K2684" s="172"/>
      <c r="L2684" s="172">
        <f>+'FACUS$'!$H2684-'FACUS$'!$I2684-'FACUS$'!$K2684</f>
        <v>102434.206</v>
      </c>
      <c r="M2684" s="162" t="s">
        <v>116</v>
      </c>
      <c r="N2684" s="337" t="s">
        <v>554</v>
      </c>
      <c r="O2684" s="338">
        <v>45488.0</v>
      </c>
      <c r="P2684" s="164">
        <f t="array" ref="P2684">XLOOKUP('FACUS$'!$B2684,'perfil de pagos'!$A$4:$A$46,'perfil de pagos'!$C$4:$C$46+'FACUS$'!$D2684)</f>
        <v>45487</v>
      </c>
      <c r="Q2684" s="165">
        <f t="shared" si="70"/>
        <v>0</v>
      </c>
      <c r="R2684" s="167"/>
      <c r="S2684" s="167">
        <v>3144.0</v>
      </c>
      <c r="T2684" s="167"/>
      <c r="U2684" s="334"/>
      <c r="V2684" s="168">
        <f t="shared" si="3"/>
        <v>102434.206</v>
      </c>
      <c r="W2684" s="168">
        <f t="shared" si="4"/>
        <v>0</v>
      </c>
      <c r="X2684" s="168">
        <f t="shared" si="5"/>
        <v>0</v>
      </c>
      <c r="Y2684" s="168">
        <f t="shared" si="6"/>
        <v>0</v>
      </c>
      <c r="Z2684" s="168">
        <f t="shared" si="7"/>
        <v>0</v>
      </c>
      <c r="AA2684" s="168">
        <f t="shared" si="8"/>
        <v>0</v>
      </c>
      <c r="AB2684" s="168">
        <f t="shared" si="9"/>
        <v>0</v>
      </c>
    </row>
    <row r="2685" ht="15.0" customHeight="1">
      <c r="A2685" s="157" t="s">
        <v>10232</v>
      </c>
      <c r="B2685" s="169" t="s">
        <v>38</v>
      </c>
      <c r="C2685" s="169" t="s">
        <v>6355</v>
      </c>
      <c r="D2685" s="317">
        <v>45478.0</v>
      </c>
      <c r="E2685" s="157" t="s">
        <v>600</v>
      </c>
      <c r="F2685" s="160">
        <v>9526.54</v>
      </c>
      <c r="G2685" s="160">
        <f>'FACUS$'!$F2685*0.16</f>
        <v>1524.2464</v>
      </c>
      <c r="H2685" s="160">
        <f t="shared" si="68"/>
        <v>11050.7864</v>
      </c>
      <c r="I2685" s="172"/>
      <c r="J2685" s="169"/>
      <c r="K2685" s="172"/>
      <c r="L2685" s="172">
        <f>+'FACUS$'!$H2685-'FACUS$'!$I2685-'FACUS$'!$K2685</f>
        <v>11050.7864</v>
      </c>
      <c r="M2685" s="162" t="s">
        <v>145</v>
      </c>
      <c r="N2685" s="337" t="s">
        <v>554</v>
      </c>
      <c r="O2685" s="338">
        <v>45525.0</v>
      </c>
      <c r="P2685" s="164">
        <f t="array" ref="P2685">XLOOKUP('FACUS$'!$B2685,'perfil de pagos'!$A$4:$A$46,'perfil de pagos'!$C$4:$C$46+'FACUS$'!$D2685)</f>
        <v>45508</v>
      </c>
      <c r="Q2685" s="165">
        <f t="shared" si="70"/>
        <v>0</v>
      </c>
      <c r="R2685" s="167"/>
      <c r="S2685" s="167">
        <v>3227.0</v>
      </c>
      <c r="T2685" s="167"/>
      <c r="U2685" s="334"/>
      <c r="V2685" s="168">
        <f t="shared" si="3"/>
        <v>11050.7864</v>
      </c>
      <c r="W2685" s="168">
        <f t="shared" si="4"/>
        <v>0</v>
      </c>
      <c r="X2685" s="168">
        <f t="shared" si="5"/>
        <v>0</v>
      </c>
      <c r="Y2685" s="168">
        <f t="shared" si="6"/>
        <v>0</v>
      </c>
      <c r="Z2685" s="168">
        <f t="shared" si="7"/>
        <v>0</v>
      </c>
      <c r="AA2685" s="168">
        <f t="shared" si="8"/>
        <v>0</v>
      </c>
      <c r="AB2685" s="168">
        <f t="shared" si="9"/>
        <v>0</v>
      </c>
    </row>
    <row r="2686" ht="15.0" customHeight="1">
      <c r="A2686" s="157" t="s">
        <v>10233</v>
      </c>
      <c r="B2686" s="169" t="s">
        <v>38</v>
      </c>
      <c r="C2686" s="169" t="s">
        <v>6355</v>
      </c>
      <c r="D2686" s="317">
        <v>45478.0</v>
      </c>
      <c r="E2686" s="157" t="s">
        <v>600</v>
      </c>
      <c r="F2686" s="160">
        <v>6448.91</v>
      </c>
      <c r="G2686" s="160">
        <f>'FACUS$'!$F2686*0.16</f>
        <v>1031.8256</v>
      </c>
      <c r="H2686" s="160">
        <f t="shared" si="68"/>
        <v>7480.7356</v>
      </c>
      <c r="I2686" s="172"/>
      <c r="J2686" s="169"/>
      <c r="K2686" s="172"/>
      <c r="L2686" s="172">
        <f>+'FACUS$'!$H2686-'FACUS$'!$I2686-'FACUS$'!$K2686</f>
        <v>7480.7356</v>
      </c>
      <c r="M2686" s="162" t="s">
        <v>642</v>
      </c>
      <c r="N2686" s="337" t="s">
        <v>554</v>
      </c>
      <c r="O2686" s="338">
        <v>45525.0</v>
      </c>
      <c r="P2686" s="164">
        <f t="array" ref="P2686">XLOOKUP('FACUS$'!$B2686,'perfil de pagos'!$A$4:$A$46,'perfil de pagos'!$C$4:$C$46+'FACUS$'!$D2686)</f>
        <v>45508</v>
      </c>
      <c r="Q2686" s="165">
        <f t="shared" si="70"/>
        <v>0</v>
      </c>
      <c r="R2686" s="167"/>
      <c r="S2686" s="167">
        <v>3219.0</v>
      </c>
      <c r="T2686" s="167"/>
      <c r="U2686" s="334"/>
      <c r="V2686" s="168">
        <f t="shared" si="3"/>
        <v>7480.7356</v>
      </c>
      <c r="W2686" s="168">
        <f t="shared" si="4"/>
        <v>0</v>
      </c>
      <c r="X2686" s="168">
        <f t="shared" si="5"/>
        <v>0</v>
      </c>
      <c r="Y2686" s="168">
        <f t="shared" si="6"/>
        <v>0</v>
      </c>
      <c r="Z2686" s="168">
        <f t="shared" si="7"/>
        <v>0</v>
      </c>
      <c r="AA2686" s="168">
        <f t="shared" si="8"/>
        <v>0</v>
      </c>
      <c r="AB2686" s="168">
        <f t="shared" si="9"/>
        <v>0</v>
      </c>
    </row>
    <row r="2687" ht="15.0" customHeight="1">
      <c r="A2687" s="157" t="s">
        <v>10234</v>
      </c>
      <c r="B2687" s="169" t="s">
        <v>41</v>
      </c>
      <c r="C2687" s="169" t="s">
        <v>6398</v>
      </c>
      <c r="D2687" s="317">
        <v>45490.0</v>
      </c>
      <c r="E2687" s="157" t="s">
        <v>600</v>
      </c>
      <c r="F2687" s="160">
        <v>44452.45</v>
      </c>
      <c r="G2687" s="160">
        <f>'FACUS$'!$F2687*0.16</f>
        <v>7112.392</v>
      </c>
      <c r="H2687" s="160">
        <f t="shared" si="68"/>
        <v>51564.842</v>
      </c>
      <c r="I2687" s="172"/>
      <c r="J2687" s="169"/>
      <c r="K2687" s="172"/>
      <c r="L2687" s="172">
        <f>+'FACUS$'!$H2687-'FACUS$'!$I2687-'FACUS$'!$K2687</f>
        <v>51564.842</v>
      </c>
      <c r="M2687" s="162" t="s">
        <v>875</v>
      </c>
      <c r="N2687" s="337" t="s">
        <v>554</v>
      </c>
      <c r="O2687" s="338">
        <v>45548.0</v>
      </c>
      <c r="P2687" s="164">
        <f t="array" ref="P2687">XLOOKUP('FACUS$'!$B2687,'perfil de pagos'!$A$4:$A$46,'perfil de pagos'!$C$4:$C$46+'FACUS$'!$D2687)</f>
        <v>45500</v>
      </c>
      <c r="Q2687" s="165">
        <f t="shared" si="70"/>
        <v>0</v>
      </c>
      <c r="R2687" s="167"/>
      <c r="S2687" s="167">
        <v>3279.0</v>
      </c>
      <c r="T2687" s="167"/>
      <c r="U2687" s="334"/>
      <c r="V2687" s="168">
        <f t="shared" si="3"/>
        <v>51564.842</v>
      </c>
      <c r="W2687" s="168">
        <f t="shared" si="4"/>
        <v>0</v>
      </c>
      <c r="X2687" s="168">
        <f t="shared" si="5"/>
        <v>0</v>
      </c>
      <c r="Y2687" s="168">
        <f t="shared" si="6"/>
        <v>0</v>
      </c>
      <c r="Z2687" s="168">
        <f t="shared" si="7"/>
        <v>0</v>
      </c>
      <c r="AA2687" s="168">
        <f t="shared" si="8"/>
        <v>0</v>
      </c>
      <c r="AB2687" s="168">
        <f t="shared" si="9"/>
        <v>0</v>
      </c>
    </row>
    <row r="2688" ht="15.0" customHeight="1">
      <c r="A2688" s="157" t="s">
        <v>10235</v>
      </c>
      <c r="B2688" s="169" t="s">
        <v>42</v>
      </c>
      <c r="C2688" s="169" t="s">
        <v>6398</v>
      </c>
      <c r="D2688" s="317">
        <v>45490.0</v>
      </c>
      <c r="E2688" s="157" t="s">
        <v>600</v>
      </c>
      <c r="F2688" s="160">
        <v>3211.48</v>
      </c>
      <c r="G2688" s="160">
        <f>'FACUS$'!$F2688*0.16</f>
        <v>513.8368</v>
      </c>
      <c r="H2688" s="160">
        <f t="shared" si="68"/>
        <v>3725.3168</v>
      </c>
      <c r="I2688" s="172"/>
      <c r="J2688" s="169"/>
      <c r="K2688" s="172"/>
      <c r="L2688" s="172">
        <f>+'FACUS$'!$H2688-'FACUS$'!$I2688-'FACUS$'!$K2688</f>
        <v>3725.3168</v>
      </c>
      <c r="M2688" s="162" t="s">
        <v>42</v>
      </c>
      <c r="N2688" s="337" t="s">
        <v>554</v>
      </c>
      <c r="O2688" s="338">
        <v>45498.0</v>
      </c>
      <c r="P2688" s="164">
        <f t="array" ref="P2688">XLOOKUP('FACUS$'!$B2688,'perfil de pagos'!$A$4:$A$46,'perfil de pagos'!$C$4:$C$46+'FACUS$'!$D2688)</f>
        <v>45500</v>
      </c>
      <c r="Q2688" s="165">
        <f t="shared" si="70"/>
        <v>0</v>
      </c>
      <c r="R2688" s="167"/>
      <c r="S2688" s="167">
        <v>3174.0</v>
      </c>
      <c r="T2688" s="167"/>
      <c r="U2688" s="334"/>
      <c r="V2688" s="168">
        <f t="shared" si="3"/>
        <v>3725.3168</v>
      </c>
      <c r="W2688" s="168">
        <f t="shared" si="4"/>
        <v>0</v>
      </c>
      <c r="X2688" s="168">
        <f t="shared" si="5"/>
        <v>0</v>
      </c>
      <c r="Y2688" s="168">
        <f t="shared" si="6"/>
        <v>0</v>
      </c>
      <c r="Z2688" s="168">
        <f t="shared" si="7"/>
        <v>0</v>
      </c>
      <c r="AA2688" s="168">
        <f t="shared" si="8"/>
        <v>0</v>
      </c>
      <c r="AB2688" s="168">
        <f t="shared" si="9"/>
        <v>0</v>
      </c>
    </row>
    <row r="2689" ht="15.0" customHeight="1">
      <c r="A2689" s="157" t="s">
        <v>10236</v>
      </c>
      <c r="B2689" s="169" t="s">
        <v>44</v>
      </c>
      <c r="C2689" s="169" t="s">
        <v>6398</v>
      </c>
      <c r="D2689" s="317">
        <v>45490.0</v>
      </c>
      <c r="E2689" s="157" t="s">
        <v>600</v>
      </c>
      <c r="F2689" s="160">
        <v>1582.7</v>
      </c>
      <c r="G2689" s="160">
        <f>'FACUS$'!$F2689*0.16</f>
        <v>253.232</v>
      </c>
      <c r="H2689" s="160">
        <f t="shared" si="68"/>
        <v>1835.932</v>
      </c>
      <c r="I2689" s="172"/>
      <c r="J2689" s="169"/>
      <c r="K2689" s="172"/>
      <c r="L2689" s="172">
        <f>+'FACUS$'!$H2689-'FACUS$'!$I2689-'FACUS$'!$K2689</f>
        <v>1835.932</v>
      </c>
      <c r="M2689" s="162" t="s">
        <v>361</v>
      </c>
      <c r="N2689" s="337" t="s">
        <v>554</v>
      </c>
      <c r="O2689" s="338">
        <v>45498.0</v>
      </c>
      <c r="P2689" s="164">
        <f t="array" ref="P2689">XLOOKUP('FACUS$'!$B2689,'perfil de pagos'!$A$4:$A$46,'perfil de pagos'!$C$4:$C$46+'FACUS$'!$D2689)</f>
        <v>45500</v>
      </c>
      <c r="Q2689" s="165">
        <f t="shared" si="70"/>
        <v>0</v>
      </c>
      <c r="R2689" s="167"/>
      <c r="S2689" s="167">
        <v>3175.0</v>
      </c>
      <c r="T2689" s="167"/>
      <c r="U2689" s="334"/>
      <c r="V2689" s="168">
        <f t="shared" si="3"/>
        <v>1835.932</v>
      </c>
      <c r="W2689" s="168">
        <f t="shared" si="4"/>
        <v>0</v>
      </c>
      <c r="X2689" s="168">
        <f t="shared" si="5"/>
        <v>0</v>
      </c>
      <c r="Y2689" s="168">
        <f t="shared" si="6"/>
        <v>0</v>
      </c>
      <c r="Z2689" s="168">
        <f t="shared" si="7"/>
        <v>0</v>
      </c>
      <c r="AA2689" s="168">
        <f t="shared" si="8"/>
        <v>0</v>
      </c>
      <c r="AB2689" s="168">
        <f t="shared" si="9"/>
        <v>0</v>
      </c>
    </row>
    <row r="2690" ht="15.0" customHeight="1">
      <c r="A2690" s="157" t="s">
        <v>10237</v>
      </c>
      <c r="B2690" s="169" t="s">
        <v>35</v>
      </c>
      <c r="C2690" s="169" t="s">
        <v>6398</v>
      </c>
      <c r="D2690" s="317">
        <v>45490.0</v>
      </c>
      <c r="E2690" s="157" t="s">
        <v>600</v>
      </c>
      <c r="F2690" s="160">
        <v>4671.62</v>
      </c>
      <c r="G2690" s="160">
        <f>'FACUS$'!$F2690*0.16</f>
        <v>747.4592</v>
      </c>
      <c r="H2690" s="160">
        <f t="shared" si="68"/>
        <v>5419.0792</v>
      </c>
      <c r="I2690" s="172"/>
      <c r="J2690" s="169"/>
      <c r="K2690" s="172"/>
      <c r="L2690" s="172">
        <f>+'FACUS$'!$H2690-'FACUS$'!$I2690-'FACUS$'!$K2690</f>
        <v>5419.0792</v>
      </c>
      <c r="M2690" s="162" t="s">
        <v>276</v>
      </c>
      <c r="N2690" s="337" t="s">
        <v>554</v>
      </c>
      <c r="O2690" s="338">
        <v>45545.0</v>
      </c>
      <c r="P2690" s="164">
        <f t="array" ref="P2690">XLOOKUP('FACUS$'!$B2690,'perfil de pagos'!$A$4:$A$46,'perfil de pagos'!$C$4:$C$46+'FACUS$'!$D2690)</f>
        <v>45500</v>
      </c>
      <c r="Q2690" s="165">
        <f t="shared" si="70"/>
        <v>0</v>
      </c>
      <c r="R2690" s="167"/>
      <c r="S2690" s="167">
        <v>3261.0</v>
      </c>
      <c r="T2690" s="167"/>
      <c r="U2690" s="334"/>
      <c r="V2690" s="168">
        <f t="shared" si="3"/>
        <v>5419.0792</v>
      </c>
      <c r="W2690" s="168">
        <f t="shared" si="4"/>
        <v>0</v>
      </c>
      <c r="X2690" s="168">
        <f t="shared" si="5"/>
        <v>0</v>
      </c>
      <c r="Y2690" s="168">
        <f t="shared" si="6"/>
        <v>0</v>
      </c>
      <c r="Z2690" s="168">
        <f t="shared" si="7"/>
        <v>0</v>
      </c>
      <c r="AA2690" s="168">
        <f t="shared" si="8"/>
        <v>0</v>
      </c>
      <c r="AB2690" s="168">
        <f t="shared" si="9"/>
        <v>0</v>
      </c>
    </row>
    <row r="2691" ht="15.0" customHeight="1">
      <c r="A2691" s="157" t="s">
        <v>10238</v>
      </c>
      <c r="B2691" s="169" t="s">
        <v>18</v>
      </c>
      <c r="C2691" s="169" t="s">
        <v>6398</v>
      </c>
      <c r="D2691" s="317">
        <v>45495.0</v>
      </c>
      <c r="E2691" s="157" t="s">
        <v>600</v>
      </c>
      <c r="F2691" s="160">
        <v>5714.01</v>
      </c>
      <c r="G2691" s="160">
        <f>'FACUS$'!$F2691*0.16</f>
        <v>914.2416</v>
      </c>
      <c r="H2691" s="160">
        <f t="shared" si="68"/>
        <v>6628.2516</v>
      </c>
      <c r="I2691" s="172"/>
      <c r="J2691" s="169"/>
      <c r="K2691" s="172"/>
      <c r="L2691" s="172">
        <f>+'FACUS$'!$H2691-'FACUS$'!$I2691-'FACUS$'!$K2691</f>
        <v>6628.2516</v>
      </c>
      <c r="M2691" s="162" t="s">
        <v>586</v>
      </c>
      <c r="N2691" s="337" t="s">
        <v>554</v>
      </c>
      <c r="O2691" s="338">
        <v>45527.0</v>
      </c>
      <c r="P2691" s="164">
        <f t="array" ref="P2691">XLOOKUP('FACUS$'!$B2691,'perfil de pagos'!$A$4:$A$46,'perfil de pagos'!$C$4:$C$46+'FACUS$'!$D2691)</f>
        <v>45505</v>
      </c>
      <c r="Q2691" s="165">
        <f t="shared" si="70"/>
        <v>0</v>
      </c>
      <c r="R2691" s="167"/>
      <c r="S2691" s="167">
        <v>3229.0</v>
      </c>
      <c r="T2691" s="167"/>
      <c r="U2691" s="334"/>
      <c r="V2691" s="168">
        <f t="shared" si="3"/>
        <v>6628.2516</v>
      </c>
      <c r="W2691" s="168">
        <f t="shared" si="4"/>
        <v>0</v>
      </c>
      <c r="X2691" s="168">
        <f t="shared" si="5"/>
        <v>0</v>
      </c>
      <c r="Y2691" s="168">
        <f t="shared" si="6"/>
        <v>0</v>
      </c>
      <c r="Z2691" s="168">
        <f t="shared" si="7"/>
        <v>0</v>
      </c>
      <c r="AA2691" s="168">
        <f t="shared" si="8"/>
        <v>0</v>
      </c>
      <c r="AB2691" s="168">
        <f t="shared" si="9"/>
        <v>0</v>
      </c>
    </row>
    <row r="2692" ht="15.0" customHeight="1">
      <c r="A2692" s="157" t="s">
        <v>10239</v>
      </c>
      <c r="B2692" s="169" t="s">
        <v>20</v>
      </c>
      <c r="C2692" s="169" t="s">
        <v>6398</v>
      </c>
      <c r="D2692" s="317">
        <v>45495.0</v>
      </c>
      <c r="E2692" s="157" t="s">
        <v>600</v>
      </c>
      <c r="F2692" s="160">
        <v>14110.45</v>
      </c>
      <c r="G2692" s="160">
        <f>'FACUS$'!$F2692*0.16</f>
        <v>2257.672</v>
      </c>
      <c r="H2692" s="160">
        <f t="shared" si="68"/>
        <v>16368.122</v>
      </c>
      <c r="I2692" s="172"/>
      <c r="J2692" s="169"/>
      <c r="K2692" s="172"/>
      <c r="L2692" s="172">
        <f>+'FACUS$'!$H2692-'FACUS$'!$I2692-'FACUS$'!$K2692</f>
        <v>16368.122</v>
      </c>
      <c r="M2692" s="162" t="s">
        <v>732</v>
      </c>
      <c r="N2692" s="337" t="s">
        <v>554</v>
      </c>
      <c r="O2692" s="338">
        <v>45527.0</v>
      </c>
      <c r="P2692" s="164">
        <f t="array" ref="P2692">XLOOKUP('FACUS$'!$B2692,'perfil de pagos'!$A$4:$A$46,'perfil de pagos'!$C$4:$C$46+'FACUS$'!$D2692)</f>
        <v>45505</v>
      </c>
      <c r="Q2692" s="165">
        <f t="shared" si="70"/>
        <v>0</v>
      </c>
      <c r="R2692" s="167"/>
      <c r="S2692" s="167">
        <v>3229.0</v>
      </c>
      <c r="T2692" s="167"/>
      <c r="U2692" s="334"/>
      <c r="V2692" s="168">
        <f t="shared" si="3"/>
        <v>16368.122</v>
      </c>
      <c r="W2692" s="168">
        <f t="shared" si="4"/>
        <v>0</v>
      </c>
      <c r="X2692" s="168">
        <f t="shared" si="5"/>
        <v>0</v>
      </c>
      <c r="Y2692" s="168">
        <f t="shared" si="6"/>
        <v>0</v>
      </c>
      <c r="Z2692" s="168">
        <f t="shared" si="7"/>
        <v>0</v>
      </c>
      <c r="AA2692" s="168">
        <f t="shared" si="8"/>
        <v>0</v>
      </c>
      <c r="AB2692" s="168">
        <f t="shared" si="9"/>
        <v>0</v>
      </c>
    </row>
    <row r="2693" ht="15.0" customHeight="1">
      <c r="A2693" s="157" t="s">
        <v>10240</v>
      </c>
      <c r="B2693" s="169" t="s">
        <v>22</v>
      </c>
      <c r="C2693" s="169" t="s">
        <v>6398</v>
      </c>
      <c r="D2693" s="317">
        <v>45495.0</v>
      </c>
      <c r="E2693" s="157" t="s">
        <v>600</v>
      </c>
      <c r="F2693" s="160">
        <v>20354.36</v>
      </c>
      <c r="G2693" s="160">
        <f>'FACUS$'!$F2693*0.16</f>
        <v>3256.6976</v>
      </c>
      <c r="H2693" s="160">
        <f t="shared" si="68"/>
        <v>23611.0576</v>
      </c>
      <c r="I2693" s="172">
        <v>2205.62</v>
      </c>
      <c r="J2693" s="169"/>
      <c r="K2693" s="172"/>
      <c r="L2693" s="172">
        <f>+'FACUS$'!$H2693-'FACUS$'!$I2693-'FACUS$'!$K2693</f>
        <v>21405.4376</v>
      </c>
      <c r="M2693" s="162" t="s">
        <v>220</v>
      </c>
      <c r="N2693" s="337" t="s">
        <v>554</v>
      </c>
      <c r="O2693" s="338">
        <v>45555.0</v>
      </c>
      <c r="P2693" s="164">
        <f t="array" ref="P2693">XLOOKUP('FACUS$'!$B2693,'perfil de pagos'!$A$4:$A$46,'perfil de pagos'!$C$4:$C$46+'FACUS$'!$D2693)</f>
        <v>45505</v>
      </c>
      <c r="Q2693" s="165">
        <f t="shared" si="70"/>
        <v>0</v>
      </c>
      <c r="R2693" s="167"/>
      <c r="S2693" s="167">
        <v>3287.0</v>
      </c>
      <c r="T2693" s="167"/>
      <c r="U2693" s="334"/>
      <c r="V2693" s="168">
        <f t="shared" si="3"/>
        <v>21405.4376</v>
      </c>
      <c r="W2693" s="168">
        <f t="shared" si="4"/>
        <v>0</v>
      </c>
      <c r="X2693" s="168">
        <f t="shared" si="5"/>
        <v>0</v>
      </c>
      <c r="Y2693" s="168">
        <f t="shared" si="6"/>
        <v>0</v>
      </c>
      <c r="Z2693" s="168">
        <f t="shared" si="7"/>
        <v>0</v>
      </c>
      <c r="AA2693" s="168">
        <f t="shared" si="8"/>
        <v>0</v>
      </c>
      <c r="AB2693" s="168">
        <f t="shared" si="9"/>
        <v>0</v>
      </c>
    </row>
    <row r="2694" ht="15.0" customHeight="1">
      <c r="A2694" s="157" t="s">
        <v>10241</v>
      </c>
      <c r="B2694" s="169" t="s">
        <v>25</v>
      </c>
      <c r="C2694" s="169" t="s">
        <v>6398</v>
      </c>
      <c r="D2694" s="317">
        <v>45495.0</v>
      </c>
      <c r="E2694" s="157" t="s">
        <v>600</v>
      </c>
      <c r="F2694" s="160">
        <v>4390.96</v>
      </c>
      <c r="G2694" s="160">
        <f>'FACUS$'!$F2694*0.16</f>
        <v>702.5536</v>
      </c>
      <c r="H2694" s="160">
        <f t="shared" si="68"/>
        <v>5093.5136</v>
      </c>
      <c r="I2694" s="172"/>
      <c r="J2694" s="169"/>
      <c r="K2694" s="172"/>
      <c r="L2694" s="172">
        <f>+'FACUS$'!$H2694-'FACUS$'!$I2694-'FACUS$'!$K2694</f>
        <v>5093.5136</v>
      </c>
      <c r="M2694" s="162" t="s">
        <v>4388</v>
      </c>
      <c r="N2694" s="337" t="s">
        <v>554</v>
      </c>
      <c r="O2694" s="338">
        <v>45517.0</v>
      </c>
      <c r="P2694" s="164">
        <f t="array" ref="P2694">XLOOKUP('FACUS$'!$B2694,'perfil de pagos'!$A$4:$A$46,'perfil de pagos'!$C$4:$C$46+'FACUS$'!$D2694)</f>
        <v>45505</v>
      </c>
      <c r="Q2694" s="165">
        <f t="shared" si="70"/>
        <v>0</v>
      </c>
      <c r="R2694" s="167"/>
      <c r="S2694" s="167">
        <v>3203.0</v>
      </c>
      <c r="T2694" s="167"/>
      <c r="U2694" s="334"/>
      <c r="V2694" s="168">
        <f t="shared" si="3"/>
        <v>5093.5136</v>
      </c>
      <c r="W2694" s="168">
        <f t="shared" si="4"/>
        <v>0</v>
      </c>
      <c r="X2694" s="168">
        <f t="shared" si="5"/>
        <v>0</v>
      </c>
      <c r="Y2694" s="168">
        <f t="shared" si="6"/>
        <v>0</v>
      </c>
      <c r="Z2694" s="168">
        <f t="shared" si="7"/>
        <v>0</v>
      </c>
      <c r="AA2694" s="168">
        <f t="shared" si="8"/>
        <v>0</v>
      </c>
      <c r="AB2694" s="168">
        <f t="shared" si="9"/>
        <v>0</v>
      </c>
    </row>
    <row r="2695" ht="15.0" customHeight="1">
      <c r="A2695" s="157" t="s">
        <v>10242</v>
      </c>
      <c r="B2695" s="169" t="s">
        <v>37</v>
      </c>
      <c r="C2695" s="169" t="s">
        <v>6398</v>
      </c>
      <c r="D2695" s="317">
        <v>45495.0</v>
      </c>
      <c r="E2695" s="157" t="s">
        <v>600</v>
      </c>
      <c r="F2695" s="160">
        <v>96170.4</v>
      </c>
      <c r="G2695" s="160">
        <f>'FACUS$'!$F2695*0.16</f>
        <v>15387.264</v>
      </c>
      <c r="H2695" s="160">
        <f t="shared" si="68"/>
        <v>111557.664</v>
      </c>
      <c r="I2695" s="172"/>
      <c r="J2695" s="169"/>
      <c r="K2695" s="172"/>
      <c r="L2695" s="172">
        <f>+'FACUS$'!$H2695-'FACUS$'!$I2695-'FACUS$'!$K2695</f>
        <v>111557.664</v>
      </c>
      <c r="M2695" s="162" t="s">
        <v>116</v>
      </c>
      <c r="N2695" s="337" t="s">
        <v>554</v>
      </c>
      <c r="O2695" s="338" t="s">
        <v>10242</v>
      </c>
      <c r="P2695" s="164">
        <f t="array" ref="P2695">XLOOKUP('FACUS$'!$B2695,'perfil de pagos'!$A$4:$A$46,'perfil de pagos'!$C$4:$C$46+'FACUS$'!$D2695)</f>
        <v>45505</v>
      </c>
      <c r="Q2695" s="165">
        <f t="shared" si="70"/>
        <v>0</v>
      </c>
      <c r="R2695" s="167"/>
      <c r="S2695" s="167">
        <v>3195.0</v>
      </c>
      <c r="T2695" s="167"/>
      <c r="U2695" s="334"/>
      <c r="V2695" s="168">
        <f t="shared" si="3"/>
        <v>111557.664</v>
      </c>
      <c r="W2695" s="168">
        <f t="shared" si="4"/>
        <v>0</v>
      </c>
      <c r="X2695" s="168">
        <f t="shared" si="5"/>
        <v>0</v>
      </c>
      <c r="Y2695" s="168">
        <f t="shared" si="6"/>
        <v>0</v>
      </c>
      <c r="Z2695" s="168">
        <f t="shared" si="7"/>
        <v>0</v>
      </c>
      <c r="AA2695" s="168">
        <f t="shared" si="8"/>
        <v>0</v>
      </c>
      <c r="AB2695" s="168">
        <f t="shared" si="9"/>
        <v>0</v>
      </c>
    </row>
    <row r="2696" ht="15.0" customHeight="1">
      <c r="A2696" s="157" t="s">
        <v>10243</v>
      </c>
      <c r="B2696" s="169" t="s">
        <v>38</v>
      </c>
      <c r="C2696" s="169" t="s">
        <v>6398</v>
      </c>
      <c r="D2696" s="317">
        <v>45496.0</v>
      </c>
      <c r="E2696" s="157" t="s">
        <v>600</v>
      </c>
      <c r="F2696" s="160">
        <v>1480.41</v>
      </c>
      <c r="G2696" s="160">
        <f>'FACUS$'!$F2696*0.16</f>
        <v>236.8656</v>
      </c>
      <c r="H2696" s="160">
        <f t="shared" si="68"/>
        <v>1717.2756</v>
      </c>
      <c r="I2696" s="172"/>
      <c r="J2696" s="169"/>
      <c r="K2696" s="172"/>
      <c r="L2696" s="172">
        <f>+'FACUS$'!$H2696-'FACUS$'!$I2696-'FACUS$'!$K2696</f>
        <v>1717.2756</v>
      </c>
      <c r="M2696" s="162" t="s">
        <v>4654</v>
      </c>
      <c r="N2696" s="337" t="s">
        <v>554</v>
      </c>
      <c r="O2696" s="338">
        <v>45532.0</v>
      </c>
      <c r="P2696" s="164">
        <f t="array" ref="P2696">XLOOKUP('FACUS$'!$B2696,'perfil de pagos'!$A$4:$A$46,'perfil de pagos'!$C$4:$C$46+'FACUS$'!$D2696)</f>
        <v>45526</v>
      </c>
      <c r="Q2696" s="165">
        <f t="shared" si="70"/>
        <v>0</v>
      </c>
      <c r="R2696" s="167"/>
      <c r="S2696" s="167">
        <v>3233.0</v>
      </c>
      <c r="T2696" s="167"/>
      <c r="U2696" s="334"/>
      <c r="V2696" s="168">
        <f t="shared" si="3"/>
        <v>1717.2756</v>
      </c>
      <c r="W2696" s="168">
        <f t="shared" si="4"/>
        <v>0</v>
      </c>
      <c r="X2696" s="168">
        <f t="shared" si="5"/>
        <v>0</v>
      </c>
      <c r="Y2696" s="168">
        <f t="shared" si="6"/>
        <v>0</v>
      </c>
      <c r="Z2696" s="168">
        <f t="shared" si="7"/>
        <v>0</v>
      </c>
      <c r="AA2696" s="168">
        <f t="shared" si="8"/>
        <v>0</v>
      </c>
      <c r="AB2696" s="168">
        <f t="shared" si="9"/>
        <v>0</v>
      </c>
    </row>
    <row r="2697" ht="15.0" customHeight="1">
      <c r="A2697" s="157" t="s">
        <v>10244</v>
      </c>
      <c r="B2697" s="169" t="s">
        <v>38</v>
      </c>
      <c r="C2697" s="169" t="s">
        <v>6398</v>
      </c>
      <c r="D2697" s="317">
        <v>45499.0</v>
      </c>
      <c r="E2697" s="157" t="s">
        <v>600</v>
      </c>
      <c r="F2697" s="160">
        <v>8068.06</v>
      </c>
      <c r="G2697" s="160">
        <f>'FACUS$'!$F2697*0.16</f>
        <v>1290.8896</v>
      </c>
      <c r="H2697" s="160">
        <f t="shared" si="68"/>
        <v>9358.9496</v>
      </c>
      <c r="I2697" s="172"/>
      <c r="J2697" s="169"/>
      <c r="K2697" s="172"/>
      <c r="L2697" s="172">
        <f>+'FACUS$'!$H2697-'FACUS$'!$I2697-'FACUS$'!$K2697</f>
        <v>9358.9496</v>
      </c>
      <c r="M2697" s="162" t="s">
        <v>145</v>
      </c>
      <c r="N2697" s="337" t="s">
        <v>554</v>
      </c>
      <c r="O2697" s="338">
        <v>45539.0</v>
      </c>
      <c r="P2697" s="164">
        <f t="array" ref="P2697">XLOOKUP('FACUS$'!$B2697,'perfil de pagos'!$A$4:$A$46,'perfil de pagos'!$C$4:$C$46+'FACUS$'!$D2697)</f>
        <v>45529</v>
      </c>
      <c r="Q2697" s="165">
        <f t="shared" si="70"/>
        <v>0</v>
      </c>
      <c r="R2697" s="167"/>
      <c r="S2697" s="167">
        <v>3252.0</v>
      </c>
      <c r="T2697" s="167"/>
      <c r="U2697" s="334"/>
      <c r="V2697" s="168">
        <f t="shared" si="3"/>
        <v>9358.9496</v>
      </c>
      <c r="W2697" s="168">
        <f t="shared" si="4"/>
        <v>0</v>
      </c>
      <c r="X2697" s="168">
        <f t="shared" si="5"/>
        <v>0</v>
      </c>
      <c r="Y2697" s="168">
        <f t="shared" si="6"/>
        <v>0</v>
      </c>
      <c r="Z2697" s="168">
        <f t="shared" si="7"/>
        <v>0</v>
      </c>
      <c r="AA2697" s="168">
        <f t="shared" si="8"/>
        <v>0</v>
      </c>
      <c r="AB2697" s="168">
        <f t="shared" si="9"/>
        <v>0</v>
      </c>
    </row>
    <row r="2698" ht="15.0" customHeight="1">
      <c r="A2698" s="157" t="s">
        <v>10245</v>
      </c>
      <c r="B2698" s="169" t="s">
        <v>38</v>
      </c>
      <c r="C2698" s="169" t="s">
        <v>6398</v>
      </c>
      <c r="D2698" s="317">
        <v>45499.0</v>
      </c>
      <c r="E2698" s="157" t="s">
        <v>600</v>
      </c>
      <c r="F2698" s="160">
        <v>4719.31</v>
      </c>
      <c r="G2698" s="160">
        <f>'FACUS$'!$F2698*0.16</f>
        <v>755.0896</v>
      </c>
      <c r="H2698" s="160">
        <f t="shared" si="68"/>
        <v>5474.3996</v>
      </c>
      <c r="I2698" s="172"/>
      <c r="J2698" s="169"/>
      <c r="K2698" s="172"/>
      <c r="L2698" s="172">
        <f>+'FACUS$'!$H2698-'FACUS$'!$I2698-'FACUS$'!$K2698</f>
        <v>5474.3996</v>
      </c>
      <c r="M2698" s="162" t="s">
        <v>642</v>
      </c>
      <c r="N2698" s="337" t="s">
        <v>554</v>
      </c>
      <c r="O2698" s="338">
        <v>45539.0</v>
      </c>
      <c r="P2698" s="164">
        <f t="array" ref="P2698">XLOOKUP('FACUS$'!$B2698,'perfil de pagos'!$A$4:$A$46,'perfil de pagos'!$C$4:$C$46+'FACUS$'!$D2698)</f>
        <v>45529</v>
      </c>
      <c r="Q2698" s="165">
        <f t="shared" si="70"/>
        <v>0</v>
      </c>
      <c r="R2698" s="167"/>
      <c r="S2698" s="167">
        <v>3252.0</v>
      </c>
      <c r="T2698" s="167"/>
      <c r="U2698" s="334"/>
      <c r="V2698" s="168">
        <f t="shared" si="3"/>
        <v>5474.3996</v>
      </c>
      <c r="W2698" s="168">
        <f t="shared" si="4"/>
        <v>0</v>
      </c>
      <c r="X2698" s="168">
        <f t="shared" si="5"/>
        <v>0</v>
      </c>
      <c r="Y2698" s="168">
        <f t="shared" si="6"/>
        <v>0</v>
      </c>
      <c r="Z2698" s="168">
        <f t="shared" si="7"/>
        <v>0</v>
      </c>
      <c r="AA2698" s="168">
        <f t="shared" si="8"/>
        <v>0</v>
      </c>
      <c r="AB2698" s="168">
        <f t="shared" si="9"/>
        <v>0</v>
      </c>
    </row>
    <row r="2699" ht="15.0" customHeight="1">
      <c r="A2699" s="157" t="s">
        <v>10246</v>
      </c>
      <c r="B2699" s="169" t="s">
        <v>41</v>
      </c>
      <c r="C2699" s="169" t="s">
        <v>6447</v>
      </c>
      <c r="D2699" s="317">
        <v>45506.0</v>
      </c>
      <c r="E2699" s="157" t="s">
        <v>600</v>
      </c>
      <c r="F2699" s="160">
        <v>49370.11</v>
      </c>
      <c r="G2699" s="160">
        <f>'FACUS$'!$F2699*0.16</f>
        <v>7899.2176</v>
      </c>
      <c r="H2699" s="160">
        <f t="shared" si="68"/>
        <v>57269.3276</v>
      </c>
      <c r="I2699" s="172"/>
      <c r="J2699" s="169"/>
      <c r="K2699" s="172"/>
      <c r="L2699" s="172">
        <f>+'FACUS$'!$H2699-'FACUS$'!$I2699-'FACUS$'!$K2699</f>
        <v>57269.3276</v>
      </c>
      <c r="M2699" s="162" t="s">
        <v>875</v>
      </c>
      <c r="N2699" s="337" t="s">
        <v>554</v>
      </c>
      <c r="O2699" s="338">
        <v>45560.0</v>
      </c>
      <c r="P2699" s="164">
        <f t="array" ref="P2699">XLOOKUP('FACUS$'!$B2699,'perfil de pagos'!$A$4:$A$46,'perfil de pagos'!$C$4:$C$46+'FACUS$'!$D2699)</f>
        <v>45516</v>
      </c>
      <c r="Q2699" s="165">
        <f t="shared" si="70"/>
        <v>0</v>
      </c>
      <c r="R2699" s="167"/>
      <c r="S2699" s="167">
        <v>3294.0</v>
      </c>
      <c r="T2699" s="167"/>
      <c r="U2699" s="334"/>
      <c r="V2699" s="168">
        <f t="shared" si="3"/>
        <v>57269.3276</v>
      </c>
      <c r="W2699" s="168">
        <f t="shared" si="4"/>
        <v>0</v>
      </c>
      <c r="X2699" s="168">
        <f t="shared" si="5"/>
        <v>0</v>
      </c>
      <c r="Y2699" s="168">
        <f t="shared" si="6"/>
        <v>0</v>
      </c>
      <c r="Z2699" s="168">
        <f t="shared" si="7"/>
        <v>0</v>
      </c>
      <c r="AA2699" s="168">
        <f t="shared" si="8"/>
        <v>0</v>
      </c>
      <c r="AB2699" s="168">
        <f t="shared" si="9"/>
        <v>0</v>
      </c>
    </row>
    <row r="2700" ht="15.0" customHeight="1">
      <c r="A2700" s="157" t="s">
        <v>10247</v>
      </c>
      <c r="B2700" s="169" t="s">
        <v>35</v>
      </c>
      <c r="C2700" s="169" t="s">
        <v>6447</v>
      </c>
      <c r="D2700" s="317">
        <v>45506.0</v>
      </c>
      <c r="E2700" s="157" t="s">
        <v>600</v>
      </c>
      <c r="F2700" s="160">
        <v>8242.64</v>
      </c>
      <c r="G2700" s="160">
        <f>'FACUS$'!$F2700*0.16</f>
        <v>1318.8224</v>
      </c>
      <c r="H2700" s="160">
        <f t="shared" si="68"/>
        <v>9561.4624</v>
      </c>
      <c r="I2700" s="172"/>
      <c r="J2700" s="169"/>
      <c r="K2700" s="172"/>
      <c r="L2700" s="172">
        <f>+'FACUS$'!$H2700-'FACUS$'!$I2700-'FACUS$'!$K2700</f>
        <v>9561.4624</v>
      </c>
      <c r="M2700" s="162" t="s">
        <v>276</v>
      </c>
      <c r="N2700" s="337" t="s">
        <v>554</v>
      </c>
      <c r="O2700" s="338">
        <v>45562.0</v>
      </c>
      <c r="P2700" s="164">
        <f t="array" ref="P2700">XLOOKUP('FACUS$'!$B2700,'perfil de pagos'!$A$4:$A$46,'perfil de pagos'!$C$4:$C$46+'FACUS$'!$D2700)</f>
        <v>45516</v>
      </c>
      <c r="Q2700" s="165">
        <f t="shared" si="70"/>
        <v>0</v>
      </c>
      <c r="R2700" s="167"/>
      <c r="S2700" s="167"/>
      <c r="T2700" s="167"/>
      <c r="U2700" s="334"/>
      <c r="V2700" s="168">
        <f t="shared" si="3"/>
        <v>9561.4624</v>
      </c>
      <c r="W2700" s="168">
        <f t="shared" si="4"/>
        <v>0</v>
      </c>
      <c r="X2700" s="168">
        <f t="shared" si="5"/>
        <v>0</v>
      </c>
      <c r="Y2700" s="168">
        <f t="shared" si="6"/>
        <v>0</v>
      </c>
      <c r="Z2700" s="168">
        <f t="shared" si="7"/>
        <v>0</v>
      </c>
      <c r="AA2700" s="168">
        <f t="shared" si="8"/>
        <v>0</v>
      </c>
      <c r="AB2700" s="168">
        <f t="shared" si="9"/>
        <v>0</v>
      </c>
    </row>
    <row r="2701" ht="15.0" customHeight="1">
      <c r="A2701" s="157" t="s">
        <v>10248</v>
      </c>
      <c r="B2701" s="169" t="s">
        <v>42</v>
      </c>
      <c r="C2701" s="169" t="s">
        <v>6447</v>
      </c>
      <c r="D2701" s="317">
        <v>45506.0</v>
      </c>
      <c r="E2701" s="157" t="s">
        <v>600</v>
      </c>
      <c r="F2701" s="160">
        <v>3816.19</v>
      </c>
      <c r="G2701" s="160">
        <f>'FACUS$'!$F2701*0.16</f>
        <v>610.5904</v>
      </c>
      <c r="H2701" s="160">
        <f t="shared" si="68"/>
        <v>4426.7804</v>
      </c>
      <c r="I2701" s="172"/>
      <c r="J2701" s="169"/>
      <c r="K2701" s="172"/>
      <c r="L2701" s="172">
        <f>+'FACUS$'!$H2701-'FACUS$'!$I2701-'FACUS$'!$K2701</f>
        <v>4426.7804</v>
      </c>
      <c r="M2701" s="162" t="s">
        <v>42</v>
      </c>
      <c r="N2701" s="337" t="s">
        <v>554</v>
      </c>
      <c r="O2701" s="338">
        <v>45526.0</v>
      </c>
      <c r="P2701" s="164">
        <f t="array" ref="P2701">XLOOKUP('FACUS$'!$B2701,'perfil de pagos'!$A$4:$A$46,'perfil de pagos'!$C$4:$C$46+'FACUS$'!$D2701)</f>
        <v>45516</v>
      </c>
      <c r="Q2701" s="165">
        <f t="shared" si="70"/>
        <v>0</v>
      </c>
      <c r="R2701" s="167"/>
      <c r="S2701" s="167">
        <v>3228.0</v>
      </c>
      <c r="T2701" s="167"/>
      <c r="U2701" s="334"/>
      <c r="V2701" s="168">
        <f t="shared" si="3"/>
        <v>4426.7804</v>
      </c>
      <c r="W2701" s="168">
        <f t="shared" si="4"/>
        <v>0</v>
      </c>
      <c r="X2701" s="168">
        <f t="shared" si="5"/>
        <v>0</v>
      </c>
      <c r="Y2701" s="168">
        <f t="shared" si="6"/>
        <v>0</v>
      </c>
      <c r="Z2701" s="168">
        <f t="shared" si="7"/>
        <v>0</v>
      </c>
      <c r="AA2701" s="168">
        <f t="shared" si="8"/>
        <v>0</v>
      </c>
      <c r="AB2701" s="168">
        <f t="shared" si="9"/>
        <v>0</v>
      </c>
    </row>
    <row r="2702" ht="15.0" customHeight="1">
      <c r="A2702" s="157" t="s">
        <v>10249</v>
      </c>
      <c r="B2702" s="169" t="s">
        <v>44</v>
      </c>
      <c r="C2702" s="169" t="s">
        <v>6447</v>
      </c>
      <c r="D2702" s="317">
        <v>45506.0</v>
      </c>
      <c r="E2702" s="157" t="s">
        <v>600</v>
      </c>
      <c r="F2702" s="160">
        <v>1925.81</v>
      </c>
      <c r="G2702" s="160">
        <f>'FACUS$'!$F2702*0.16</f>
        <v>308.1296</v>
      </c>
      <c r="H2702" s="160">
        <f t="shared" si="68"/>
        <v>2233.9396</v>
      </c>
      <c r="I2702" s="172"/>
      <c r="J2702" s="169"/>
      <c r="K2702" s="172"/>
      <c r="L2702" s="172">
        <f>+'FACUS$'!$H2702-'FACUS$'!$I2702-'FACUS$'!$K2702</f>
        <v>2233.9396</v>
      </c>
      <c r="M2702" s="162" t="s">
        <v>361</v>
      </c>
      <c r="N2702" s="337" t="s">
        <v>554</v>
      </c>
      <c r="O2702" s="338">
        <v>45513.0</v>
      </c>
      <c r="P2702" s="164">
        <f t="array" ref="P2702">XLOOKUP('FACUS$'!$B2702,'perfil de pagos'!$A$4:$A$46,'perfil de pagos'!$C$4:$C$46+'FACUS$'!$D2702)</f>
        <v>45516</v>
      </c>
      <c r="Q2702" s="165">
        <f t="shared" si="70"/>
        <v>0</v>
      </c>
      <c r="R2702" s="167"/>
      <c r="S2702" s="167">
        <v>3196.0</v>
      </c>
      <c r="T2702" s="167"/>
      <c r="U2702" s="334"/>
      <c r="V2702" s="168">
        <f t="shared" si="3"/>
        <v>2233.9396</v>
      </c>
      <c r="W2702" s="168">
        <f t="shared" si="4"/>
        <v>0</v>
      </c>
      <c r="X2702" s="168">
        <f t="shared" si="5"/>
        <v>0</v>
      </c>
      <c r="Y2702" s="168">
        <f t="shared" si="6"/>
        <v>0</v>
      </c>
      <c r="Z2702" s="168">
        <f t="shared" si="7"/>
        <v>0</v>
      </c>
      <c r="AA2702" s="168">
        <f t="shared" si="8"/>
        <v>0</v>
      </c>
      <c r="AB2702" s="168">
        <f t="shared" si="9"/>
        <v>0</v>
      </c>
    </row>
    <row r="2703" ht="15.0" customHeight="1">
      <c r="A2703" s="157" t="s">
        <v>10250</v>
      </c>
      <c r="B2703" s="169" t="s">
        <v>38</v>
      </c>
      <c r="C2703" s="169" t="s">
        <v>6447</v>
      </c>
      <c r="D2703" s="317">
        <v>45509.0</v>
      </c>
      <c r="E2703" s="157" t="s">
        <v>600</v>
      </c>
      <c r="F2703" s="160">
        <v>2543.66</v>
      </c>
      <c r="G2703" s="160">
        <f>'FACUS$'!$F2703*0.16</f>
        <v>406.9856</v>
      </c>
      <c r="H2703" s="160">
        <f t="shared" si="68"/>
        <v>2950.6456</v>
      </c>
      <c r="I2703" s="172"/>
      <c r="J2703" s="169"/>
      <c r="K2703" s="172"/>
      <c r="L2703" s="172">
        <f>+'FACUS$'!$H2703-'FACUS$'!$I2703-'FACUS$'!$K2703</f>
        <v>2950.6456</v>
      </c>
      <c r="M2703" s="162" t="s">
        <v>4654</v>
      </c>
      <c r="N2703" s="337" t="s">
        <v>554</v>
      </c>
      <c r="O2703" s="338">
        <v>45546.0</v>
      </c>
      <c r="P2703" s="164">
        <f t="array" ref="P2703">XLOOKUP('FACUS$'!$B2703,'perfil de pagos'!$A$4:$A$46,'perfil de pagos'!$C$4:$C$46+'FACUS$'!$D2703)</f>
        <v>45539</v>
      </c>
      <c r="Q2703" s="165">
        <f t="shared" si="70"/>
        <v>0</v>
      </c>
      <c r="R2703" s="167"/>
      <c r="S2703" s="167">
        <v>3268.0</v>
      </c>
      <c r="T2703" s="167"/>
      <c r="U2703" s="334"/>
      <c r="V2703" s="168">
        <f t="shared" si="3"/>
        <v>2950.6456</v>
      </c>
      <c r="W2703" s="168">
        <f t="shared" si="4"/>
        <v>0</v>
      </c>
      <c r="X2703" s="168">
        <f t="shared" si="5"/>
        <v>0</v>
      </c>
      <c r="Y2703" s="168">
        <f t="shared" si="6"/>
        <v>0</v>
      </c>
      <c r="Z2703" s="168">
        <f t="shared" si="7"/>
        <v>0</v>
      </c>
      <c r="AA2703" s="168">
        <f t="shared" si="8"/>
        <v>0</v>
      </c>
      <c r="AB2703" s="168">
        <f t="shared" si="9"/>
        <v>0</v>
      </c>
    </row>
    <row r="2704" ht="15.0" customHeight="1">
      <c r="A2704" s="157" t="s">
        <v>10251</v>
      </c>
      <c r="B2704" s="169" t="s">
        <v>18</v>
      </c>
      <c r="C2704" s="169" t="s">
        <v>6447</v>
      </c>
      <c r="D2704" s="317">
        <v>45512.0</v>
      </c>
      <c r="E2704" s="157" t="s">
        <v>600</v>
      </c>
      <c r="F2704" s="160">
        <v>6903.46</v>
      </c>
      <c r="G2704" s="160">
        <f>'FACUS$'!$F2704*0.16</f>
        <v>1104.5536</v>
      </c>
      <c r="H2704" s="160">
        <f t="shared" si="68"/>
        <v>8008.0136</v>
      </c>
      <c r="I2704" s="172"/>
      <c r="J2704" s="169"/>
      <c r="K2704" s="172"/>
      <c r="L2704" s="172">
        <f>+'FACUS$'!$H2704-'FACUS$'!$I2704-'FACUS$'!$K2704</f>
        <v>8008.0136</v>
      </c>
      <c r="M2704" s="162" t="s">
        <v>586</v>
      </c>
      <c r="N2704" s="337" t="s">
        <v>554</v>
      </c>
      <c r="O2704" s="338">
        <v>45593.0</v>
      </c>
      <c r="P2704" s="164">
        <f t="array" ref="P2704">XLOOKUP('FACUS$'!$B2704,'perfil de pagos'!$A$4:$A$46,'perfil de pagos'!$C$4:$C$46+'FACUS$'!$D2704)</f>
        <v>45522</v>
      </c>
      <c r="Q2704" s="165">
        <f t="shared" si="70"/>
        <v>0</v>
      </c>
      <c r="R2704" s="167"/>
      <c r="S2704" s="167">
        <v>3361.0</v>
      </c>
      <c r="T2704" s="167"/>
      <c r="U2704" s="334"/>
      <c r="V2704" s="168">
        <f t="shared" si="3"/>
        <v>8008.0136</v>
      </c>
      <c r="W2704" s="168">
        <f t="shared" si="4"/>
        <v>0</v>
      </c>
      <c r="X2704" s="168">
        <f t="shared" si="5"/>
        <v>0</v>
      </c>
      <c r="Y2704" s="168">
        <f t="shared" si="6"/>
        <v>0</v>
      </c>
      <c r="Z2704" s="168">
        <f t="shared" si="7"/>
        <v>0</v>
      </c>
      <c r="AA2704" s="168">
        <f t="shared" si="8"/>
        <v>0</v>
      </c>
      <c r="AB2704" s="168">
        <f t="shared" si="9"/>
        <v>0</v>
      </c>
    </row>
    <row r="2705" ht="15.0" customHeight="1">
      <c r="A2705" s="157" t="s">
        <v>10252</v>
      </c>
      <c r="B2705" s="169" t="s">
        <v>20</v>
      </c>
      <c r="C2705" s="169" t="s">
        <v>6447</v>
      </c>
      <c r="D2705" s="317">
        <v>45512.0</v>
      </c>
      <c r="E2705" s="157" t="s">
        <v>600</v>
      </c>
      <c r="F2705" s="160">
        <v>15083.7</v>
      </c>
      <c r="G2705" s="160">
        <f>'FACUS$'!$F2705*0.16</f>
        <v>2413.392</v>
      </c>
      <c r="H2705" s="160">
        <f t="shared" si="68"/>
        <v>17497.092</v>
      </c>
      <c r="I2705" s="172"/>
      <c r="J2705" s="169"/>
      <c r="K2705" s="172"/>
      <c r="L2705" s="172">
        <f>+'FACUS$'!$H2705-'FACUS$'!$I2705-'FACUS$'!$K2705</f>
        <v>17497.092</v>
      </c>
      <c r="M2705" s="162" t="s">
        <v>732</v>
      </c>
      <c r="N2705" s="337" t="s">
        <v>554</v>
      </c>
      <c r="O2705" s="338">
        <v>45593.0</v>
      </c>
      <c r="P2705" s="164">
        <f t="array" ref="P2705">XLOOKUP('FACUS$'!$B2705,'perfil de pagos'!$A$4:$A$46,'perfil de pagos'!$C$4:$C$46+'FACUS$'!$D2705)</f>
        <v>45522</v>
      </c>
      <c r="Q2705" s="165">
        <f t="shared" si="70"/>
        <v>0</v>
      </c>
      <c r="R2705" s="167"/>
      <c r="S2705" s="167">
        <v>3361.0</v>
      </c>
      <c r="T2705" s="167"/>
      <c r="U2705" s="334"/>
      <c r="V2705" s="168">
        <f t="shared" si="3"/>
        <v>17497.092</v>
      </c>
      <c r="W2705" s="168">
        <f t="shared" si="4"/>
        <v>0</v>
      </c>
      <c r="X2705" s="168">
        <f t="shared" si="5"/>
        <v>0</v>
      </c>
      <c r="Y2705" s="168">
        <f t="shared" si="6"/>
        <v>0</v>
      </c>
      <c r="Z2705" s="168">
        <f t="shared" si="7"/>
        <v>0</v>
      </c>
      <c r="AA2705" s="168">
        <f t="shared" si="8"/>
        <v>0</v>
      </c>
      <c r="AB2705" s="168">
        <f t="shared" si="9"/>
        <v>0</v>
      </c>
    </row>
    <row r="2706" ht="15.0" customHeight="1">
      <c r="A2706" s="157" t="s">
        <v>10253</v>
      </c>
      <c r="B2706" s="169" t="s">
        <v>25</v>
      </c>
      <c r="C2706" s="169" t="s">
        <v>6447</v>
      </c>
      <c r="D2706" s="317">
        <v>45512.0</v>
      </c>
      <c r="E2706" s="157" t="s">
        <v>600</v>
      </c>
      <c r="F2706" s="160">
        <v>5573.54</v>
      </c>
      <c r="G2706" s="160">
        <f>'FACUS$'!$F2706*0.16</f>
        <v>891.7664</v>
      </c>
      <c r="H2706" s="160">
        <f t="shared" si="68"/>
        <v>6465.3064</v>
      </c>
      <c r="I2706" s="172"/>
      <c r="J2706" s="169"/>
      <c r="K2706" s="172"/>
      <c r="L2706" s="172">
        <f>+'FACUS$'!$H2706-'FACUS$'!$I2706-'FACUS$'!$K2706</f>
        <v>6465.3064</v>
      </c>
      <c r="M2706" s="162" t="s">
        <v>4388</v>
      </c>
      <c r="N2706" s="337" t="s">
        <v>554</v>
      </c>
      <c r="O2706" s="338">
        <v>45530.0</v>
      </c>
      <c r="P2706" s="164">
        <f t="array" ref="P2706">XLOOKUP('FACUS$'!$B2706,'perfil de pagos'!$A$4:$A$46,'perfil de pagos'!$C$4:$C$46+'FACUS$'!$D2706)</f>
        <v>45522</v>
      </c>
      <c r="Q2706" s="165">
        <f t="shared" si="70"/>
        <v>0</v>
      </c>
      <c r="R2706" s="167"/>
      <c r="S2706" s="167">
        <v>3238.0</v>
      </c>
      <c r="T2706" s="167"/>
      <c r="U2706" s="334"/>
      <c r="V2706" s="168">
        <f t="shared" si="3"/>
        <v>6465.3064</v>
      </c>
      <c r="W2706" s="168">
        <f t="shared" si="4"/>
        <v>0</v>
      </c>
      <c r="X2706" s="168">
        <f t="shared" si="5"/>
        <v>0</v>
      </c>
      <c r="Y2706" s="168">
        <f t="shared" si="6"/>
        <v>0</v>
      </c>
      <c r="Z2706" s="168">
        <f t="shared" si="7"/>
        <v>0</v>
      </c>
      <c r="AA2706" s="168">
        <f t="shared" si="8"/>
        <v>0</v>
      </c>
      <c r="AB2706" s="168">
        <f t="shared" si="9"/>
        <v>0</v>
      </c>
    </row>
    <row r="2707" ht="15.0" customHeight="1">
      <c r="A2707" s="157" t="s">
        <v>10254</v>
      </c>
      <c r="B2707" s="169" t="s">
        <v>37</v>
      </c>
      <c r="C2707" s="169" t="s">
        <v>6447</v>
      </c>
      <c r="D2707" s="317">
        <v>45512.0</v>
      </c>
      <c r="E2707" s="157" t="s">
        <v>600</v>
      </c>
      <c r="F2707" s="160">
        <v>91295.05</v>
      </c>
      <c r="G2707" s="160">
        <f>'FACUS$'!$F2707*0.16</f>
        <v>14607.208</v>
      </c>
      <c r="H2707" s="160">
        <f t="shared" si="68"/>
        <v>105902.258</v>
      </c>
      <c r="I2707" s="172"/>
      <c r="J2707" s="169"/>
      <c r="K2707" s="172"/>
      <c r="L2707" s="172">
        <f>+'FACUS$'!$H2707-'FACUS$'!$I2707-'FACUS$'!$K2707</f>
        <v>105902.258</v>
      </c>
      <c r="M2707" s="162" t="s">
        <v>116</v>
      </c>
      <c r="N2707" s="337" t="s">
        <v>554</v>
      </c>
      <c r="O2707" s="338">
        <v>45523.0</v>
      </c>
      <c r="P2707" s="164">
        <f t="array" ref="P2707">XLOOKUP('FACUS$'!$B2707,'perfil de pagos'!$A$4:$A$46,'perfil de pagos'!$C$4:$C$46+'FACUS$'!$D2707)</f>
        <v>45522</v>
      </c>
      <c r="Q2707" s="165">
        <f t="shared" si="70"/>
        <v>0</v>
      </c>
      <c r="R2707" s="167"/>
      <c r="S2707" s="167">
        <v>3215.0</v>
      </c>
      <c r="T2707" s="167"/>
      <c r="U2707" s="334"/>
      <c r="V2707" s="168">
        <f t="shared" si="3"/>
        <v>105902.258</v>
      </c>
      <c r="W2707" s="168">
        <f t="shared" si="4"/>
        <v>0</v>
      </c>
      <c r="X2707" s="168">
        <f t="shared" si="5"/>
        <v>0</v>
      </c>
      <c r="Y2707" s="168">
        <f t="shared" si="6"/>
        <v>0</v>
      </c>
      <c r="Z2707" s="168">
        <f t="shared" si="7"/>
        <v>0</v>
      </c>
      <c r="AA2707" s="168">
        <f t="shared" si="8"/>
        <v>0</v>
      </c>
      <c r="AB2707" s="168">
        <f t="shared" si="9"/>
        <v>0</v>
      </c>
    </row>
    <row r="2708" ht="15.0" customHeight="1">
      <c r="A2708" s="157" t="s">
        <v>10255</v>
      </c>
      <c r="B2708" s="169" t="s">
        <v>38</v>
      </c>
      <c r="C2708" s="169" t="s">
        <v>6447</v>
      </c>
      <c r="D2708" s="317">
        <v>45516.0</v>
      </c>
      <c r="E2708" s="157" t="s">
        <v>600</v>
      </c>
      <c r="F2708" s="160">
        <v>3362.72</v>
      </c>
      <c r="G2708" s="160">
        <f>'FACUS$'!$F2708*0.16</f>
        <v>538.0352</v>
      </c>
      <c r="H2708" s="160">
        <f t="shared" si="68"/>
        <v>3900.7552</v>
      </c>
      <c r="I2708" s="172"/>
      <c r="J2708" s="169"/>
      <c r="K2708" s="172"/>
      <c r="L2708" s="172">
        <f>+'FACUS$'!$H2708-'FACUS$'!$I2708-'FACUS$'!$K2708</f>
        <v>3900.7552</v>
      </c>
      <c r="M2708" s="162" t="s">
        <v>642</v>
      </c>
      <c r="N2708" s="337" t="s">
        <v>554</v>
      </c>
      <c r="O2708" s="338">
        <v>45546.0</v>
      </c>
      <c r="P2708" s="164">
        <f t="array" ref="P2708">XLOOKUP('FACUS$'!$B2708,'perfil de pagos'!$A$4:$A$46,'perfil de pagos'!$C$4:$C$46+'FACUS$'!$D2708)</f>
        <v>45546</v>
      </c>
      <c r="Q2708" s="165">
        <f t="shared" si="70"/>
        <v>0</v>
      </c>
      <c r="R2708" s="167"/>
      <c r="S2708" s="167">
        <v>3268.0</v>
      </c>
      <c r="T2708" s="167"/>
      <c r="U2708" s="334"/>
      <c r="V2708" s="168">
        <f t="shared" si="3"/>
        <v>3900.7552</v>
      </c>
      <c r="W2708" s="168">
        <f t="shared" si="4"/>
        <v>0</v>
      </c>
      <c r="X2708" s="168">
        <f t="shared" si="5"/>
        <v>0</v>
      </c>
      <c r="Y2708" s="168">
        <f t="shared" si="6"/>
        <v>0</v>
      </c>
      <c r="Z2708" s="168">
        <f t="shared" si="7"/>
        <v>0</v>
      </c>
      <c r="AA2708" s="168">
        <f t="shared" si="8"/>
        <v>0</v>
      </c>
      <c r="AB2708" s="168">
        <f t="shared" si="9"/>
        <v>0</v>
      </c>
    </row>
    <row r="2709" ht="15.0" customHeight="1">
      <c r="A2709" s="157" t="s">
        <v>10256</v>
      </c>
      <c r="B2709" s="169" t="s">
        <v>38</v>
      </c>
      <c r="C2709" s="169" t="s">
        <v>6447</v>
      </c>
      <c r="D2709" s="317">
        <v>45516.0</v>
      </c>
      <c r="E2709" s="157" t="s">
        <v>600</v>
      </c>
      <c r="F2709" s="160">
        <v>8517.34</v>
      </c>
      <c r="G2709" s="160">
        <f>'FACUS$'!$F2709*0.16</f>
        <v>1362.7744</v>
      </c>
      <c r="H2709" s="160">
        <f t="shared" si="68"/>
        <v>9880.1144</v>
      </c>
      <c r="I2709" s="172"/>
      <c r="J2709" s="169"/>
      <c r="K2709" s="172"/>
      <c r="L2709" s="172">
        <f>+'FACUS$'!$H2709-'FACUS$'!$I2709-'FACUS$'!$K2709</f>
        <v>9880.1144</v>
      </c>
      <c r="M2709" s="162" t="s">
        <v>145</v>
      </c>
      <c r="N2709" s="337" t="s">
        <v>554</v>
      </c>
      <c r="O2709" s="338">
        <v>45574.0</v>
      </c>
      <c r="P2709" s="164">
        <f t="array" ref="P2709">XLOOKUP('FACUS$'!$B2709,'perfil de pagos'!$A$4:$A$46,'perfil de pagos'!$C$4:$C$46+'FACUS$'!$D2709)</f>
        <v>45546</v>
      </c>
      <c r="Q2709" s="165">
        <f t="shared" si="70"/>
        <v>0</v>
      </c>
      <c r="R2709" s="167"/>
      <c r="S2709" s="167">
        <v>3313.0</v>
      </c>
      <c r="T2709" s="167"/>
      <c r="U2709" s="334"/>
      <c r="V2709" s="168">
        <f t="shared" si="3"/>
        <v>9880.1144</v>
      </c>
      <c r="W2709" s="168">
        <f t="shared" si="4"/>
        <v>0</v>
      </c>
      <c r="X2709" s="168">
        <f t="shared" si="5"/>
        <v>0</v>
      </c>
      <c r="Y2709" s="168">
        <f t="shared" si="6"/>
        <v>0</v>
      </c>
      <c r="Z2709" s="168">
        <f t="shared" si="7"/>
        <v>0</v>
      </c>
      <c r="AA2709" s="168">
        <f t="shared" si="8"/>
        <v>0</v>
      </c>
      <c r="AB2709" s="168">
        <f t="shared" si="9"/>
        <v>0</v>
      </c>
    </row>
    <row r="2710" ht="15.0" customHeight="1">
      <c r="A2710" s="157" t="s">
        <v>10257</v>
      </c>
      <c r="B2710" s="169" t="s">
        <v>22</v>
      </c>
      <c r="C2710" s="169" t="s">
        <v>6447</v>
      </c>
      <c r="D2710" s="317">
        <v>45520.0</v>
      </c>
      <c r="E2710" s="157" t="s">
        <v>600</v>
      </c>
      <c r="F2710" s="160">
        <v>17265.67</v>
      </c>
      <c r="G2710" s="160">
        <f>'FACUS$'!$F2710*0.16</f>
        <v>2762.5072</v>
      </c>
      <c r="H2710" s="160">
        <f t="shared" si="68"/>
        <v>20028.1772</v>
      </c>
      <c r="I2710" s="172">
        <v>13544.43</v>
      </c>
      <c r="J2710" s="169"/>
      <c r="K2710" s="172"/>
      <c r="L2710" s="172">
        <f>+'FACUS$'!$H2710-'FACUS$'!$I2710-'FACUS$'!$K2710</f>
        <v>6483.7472</v>
      </c>
      <c r="M2710" s="162" t="s">
        <v>220</v>
      </c>
      <c r="N2710" s="337" t="s">
        <v>554</v>
      </c>
      <c r="O2710" s="338">
        <v>45567.0</v>
      </c>
      <c r="P2710" s="164">
        <f t="array" ref="P2710">XLOOKUP('FACUS$'!$B2710,'perfil de pagos'!$A$4:$A$46,'perfil de pagos'!$C$4:$C$46+'FACUS$'!$D2710)</f>
        <v>45530</v>
      </c>
      <c r="Q2710" s="165">
        <f t="shared" si="70"/>
        <v>0</v>
      </c>
      <c r="R2710" s="220" t="s">
        <v>10258</v>
      </c>
      <c r="S2710" s="167">
        <v>3291.0</v>
      </c>
      <c r="T2710" s="167"/>
      <c r="U2710" s="334"/>
      <c r="V2710" s="168">
        <f t="shared" si="3"/>
        <v>6483.7472</v>
      </c>
      <c r="W2710" s="168">
        <f t="shared" si="4"/>
        <v>0</v>
      </c>
      <c r="X2710" s="168">
        <f t="shared" si="5"/>
        <v>0</v>
      </c>
      <c r="Y2710" s="168">
        <f t="shared" si="6"/>
        <v>0</v>
      </c>
      <c r="Z2710" s="168">
        <f t="shared" si="7"/>
        <v>0</v>
      </c>
      <c r="AA2710" s="168">
        <f t="shared" si="8"/>
        <v>0</v>
      </c>
      <c r="AB2710" s="168">
        <f t="shared" si="9"/>
        <v>0</v>
      </c>
    </row>
    <row r="2711" ht="15.0" customHeight="1">
      <c r="A2711" s="157" t="s">
        <v>10259</v>
      </c>
      <c r="B2711" s="169" t="s">
        <v>22</v>
      </c>
      <c r="C2711" s="169" t="s">
        <v>6447</v>
      </c>
      <c r="D2711" s="317">
        <v>45520.0</v>
      </c>
      <c r="E2711" s="157" t="s">
        <v>600</v>
      </c>
      <c r="F2711" s="160">
        <v>3911.75</v>
      </c>
      <c r="G2711" s="160">
        <f>'FACUS$'!$F2711*0.16</f>
        <v>625.88</v>
      </c>
      <c r="H2711" s="160">
        <f t="shared" si="68"/>
        <v>4537.63</v>
      </c>
      <c r="I2711" s="172"/>
      <c r="J2711" s="169"/>
      <c r="K2711" s="172"/>
      <c r="L2711" s="172">
        <f>+'FACUS$'!$H2711-'FACUS$'!$I2711-'FACUS$'!$K2711</f>
        <v>4537.63</v>
      </c>
      <c r="M2711" s="162" t="s">
        <v>6488</v>
      </c>
      <c r="N2711" s="337" t="s">
        <v>554</v>
      </c>
      <c r="O2711" s="338">
        <v>45561.0</v>
      </c>
      <c r="P2711" s="164">
        <f t="array" ref="P2711">XLOOKUP('FACUS$'!$B2711,'perfil de pagos'!$A$4:$A$46,'perfil de pagos'!$C$4:$C$46+'FACUS$'!$D2711)</f>
        <v>45530</v>
      </c>
      <c r="Q2711" s="165">
        <f t="shared" si="70"/>
        <v>0</v>
      </c>
      <c r="R2711" s="167"/>
      <c r="S2711" s="167">
        <v>3291.0</v>
      </c>
      <c r="T2711" s="167"/>
      <c r="U2711" s="334"/>
      <c r="V2711" s="168">
        <f t="shared" si="3"/>
        <v>4537.63</v>
      </c>
      <c r="W2711" s="168">
        <f t="shared" si="4"/>
        <v>0</v>
      </c>
      <c r="X2711" s="168">
        <f t="shared" si="5"/>
        <v>0</v>
      </c>
      <c r="Y2711" s="168">
        <f t="shared" si="6"/>
        <v>0</v>
      </c>
      <c r="Z2711" s="168">
        <f t="shared" si="7"/>
        <v>0</v>
      </c>
      <c r="AA2711" s="168">
        <f t="shared" si="8"/>
        <v>0</v>
      </c>
      <c r="AB2711" s="168">
        <f t="shared" si="9"/>
        <v>0</v>
      </c>
    </row>
    <row r="2712" ht="15.0" customHeight="1">
      <c r="A2712" s="157" t="s">
        <v>10260</v>
      </c>
      <c r="B2712" s="169" t="s">
        <v>41</v>
      </c>
      <c r="C2712" s="169" t="s">
        <v>10261</v>
      </c>
      <c r="D2712" s="317">
        <v>45524.0</v>
      </c>
      <c r="E2712" s="157" t="s">
        <v>600</v>
      </c>
      <c r="F2712" s="160">
        <v>43436.59</v>
      </c>
      <c r="G2712" s="160">
        <f>'FACUS$'!$F2712*0.16</f>
        <v>6949.8544</v>
      </c>
      <c r="H2712" s="160">
        <f t="shared" si="68"/>
        <v>50386.4444</v>
      </c>
      <c r="I2712" s="172"/>
      <c r="J2712" s="169"/>
      <c r="K2712" s="172"/>
      <c r="L2712" s="172">
        <f>+'FACUS$'!$H2712-'FACUS$'!$I2712-'FACUS$'!$K2712</f>
        <v>50386.4444</v>
      </c>
      <c r="M2712" s="162" t="s">
        <v>875</v>
      </c>
      <c r="N2712" s="337" t="s">
        <v>554</v>
      </c>
      <c r="O2712" s="338">
        <v>45575.0</v>
      </c>
      <c r="P2712" s="164">
        <f t="array" ref="P2712">XLOOKUP('FACUS$'!$B2712,'perfil de pagos'!$A$4:$A$46,'perfil de pagos'!$C$4:$C$46+'FACUS$'!$D2712)</f>
        <v>45534</v>
      </c>
      <c r="Q2712" s="165">
        <f t="shared" si="70"/>
        <v>0</v>
      </c>
      <c r="R2712" s="167"/>
      <c r="S2712" s="167">
        <v>3318.0</v>
      </c>
      <c r="T2712" s="167"/>
      <c r="U2712" s="334"/>
      <c r="V2712" s="168">
        <f t="shared" si="3"/>
        <v>50386.4444</v>
      </c>
      <c r="W2712" s="168">
        <f t="shared" si="4"/>
        <v>0</v>
      </c>
      <c r="X2712" s="168">
        <f t="shared" si="5"/>
        <v>0</v>
      </c>
      <c r="Y2712" s="168">
        <f t="shared" si="6"/>
        <v>0</v>
      </c>
      <c r="Z2712" s="168">
        <f t="shared" si="7"/>
        <v>0</v>
      </c>
      <c r="AA2712" s="168">
        <f t="shared" si="8"/>
        <v>0</v>
      </c>
      <c r="AB2712" s="168">
        <f t="shared" si="9"/>
        <v>0</v>
      </c>
    </row>
    <row r="2713" ht="15.0" customHeight="1">
      <c r="A2713" s="157" t="s">
        <v>10262</v>
      </c>
      <c r="B2713" s="169" t="s">
        <v>35</v>
      </c>
      <c r="C2713" s="169" t="s">
        <v>10261</v>
      </c>
      <c r="D2713" s="317">
        <v>45524.0</v>
      </c>
      <c r="E2713" s="157" t="s">
        <v>600</v>
      </c>
      <c r="F2713" s="160">
        <v>4435.05</v>
      </c>
      <c r="G2713" s="160">
        <f>'FACUS$'!$F2713*0.16</f>
        <v>709.608</v>
      </c>
      <c r="H2713" s="160">
        <f t="shared" si="68"/>
        <v>5144.658</v>
      </c>
      <c r="I2713" s="172"/>
      <c r="J2713" s="169"/>
      <c r="K2713" s="172"/>
      <c r="L2713" s="172">
        <f>+'FACUS$'!$H2713-'FACUS$'!$I2713-'FACUS$'!$K2713</f>
        <v>5144.658</v>
      </c>
      <c r="M2713" s="162" t="s">
        <v>276</v>
      </c>
      <c r="N2713" s="337" t="s">
        <v>554</v>
      </c>
      <c r="O2713" s="338">
        <v>45541.0</v>
      </c>
      <c r="P2713" s="164">
        <f t="array" ref="P2713">XLOOKUP('FACUS$'!$B2713,'perfil de pagos'!$A$4:$A$46,'perfil de pagos'!$C$4:$C$46+'FACUS$'!$D2713)</f>
        <v>45534</v>
      </c>
      <c r="Q2713" s="165">
        <f t="shared" si="70"/>
        <v>0</v>
      </c>
      <c r="R2713" s="167"/>
      <c r="S2713" s="167">
        <v>3260.0</v>
      </c>
      <c r="T2713" s="167"/>
      <c r="U2713" s="334"/>
      <c r="V2713" s="168">
        <f t="shared" si="3"/>
        <v>5144.658</v>
      </c>
      <c r="W2713" s="168">
        <f t="shared" si="4"/>
        <v>0</v>
      </c>
      <c r="X2713" s="168">
        <f t="shared" si="5"/>
        <v>0</v>
      </c>
      <c r="Y2713" s="168">
        <f t="shared" si="6"/>
        <v>0</v>
      </c>
      <c r="Z2713" s="168">
        <f t="shared" si="7"/>
        <v>0</v>
      </c>
      <c r="AA2713" s="168">
        <f t="shared" si="8"/>
        <v>0</v>
      </c>
      <c r="AB2713" s="168">
        <f t="shared" si="9"/>
        <v>0</v>
      </c>
    </row>
    <row r="2714" ht="15.0" customHeight="1">
      <c r="A2714" s="157" t="s">
        <v>10263</v>
      </c>
      <c r="B2714" s="169" t="s">
        <v>42</v>
      </c>
      <c r="C2714" s="169" t="s">
        <v>10261</v>
      </c>
      <c r="D2714" s="317">
        <v>45524.0</v>
      </c>
      <c r="E2714" s="157" t="s">
        <v>600</v>
      </c>
      <c r="F2714" s="160">
        <v>3095.16</v>
      </c>
      <c r="G2714" s="160">
        <f>'FACUS$'!$F2714*0.16</f>
        <v>495.2256</v>
      </c>
      <c r="H2714" s="160">
        <f t="shared" si="68"/>
        <v>3590.3856</v>
      </c>
      <c r="I2714" s="172"/>
      <c r="J2714" s="169"/>
      <c r="K2714" s="172"/>
      <c r="L2714" s="172">
        <f>+'FACUS$'!$H2714-'FACUS$'!$I2714-'FACUS$'!$K2714</f>
        <v>3590.3856</v>
      </c>
      <c r="M2714" s="162" t="s">
        <v>42</v>
      </c>
      <c r="N2714" s="337" t="s">
        <v>554</v>
      </c>
      <c r="O2714" s="338">
        <v>45547.0</v>
      </c>
      <c r="P2714" s="164">
        <f t="array" ref="P2714">XLOOKUP('FACUS$'!$B2714,'perfil de pagos'!$A$4:$A$46,'perfil de pagos'!$C$4:$C$46+'FACUS$'!$D2714)</f>
        <v>45534</v>
      </c>
      <c r="Q2714" s="165">
        <f t="shared" si="70"/>
        <v>0</v>
      </c>
      <c r="R2714" s="167"/>
      <c r="S2714" s="167">
        <v>3269.0</v>
      </c>
      <c r="T2714" s="167"/>
      <c r="U2714" s="334"/>
      <c r="V2714" s="168">
        <f t="shared" si="3"/>
        <v>3590.3856</v>
      </c>
      <c r="W2714" s="168">
        <f t="shared" si="4"/>
        <v>0</v>
      </c>
      <c r="X2714" s="168">
        <f t="shared" si="5"/>
        <v>0</v>
      </c>
      <c r="Y2714" s="168">
        <f t="shared" si="6"/>
        <v>0</v>
      </c>
      <c r="Z2714" s="168">
        <f t="shared" si="7"/>
        <v>0</v>
      </c>
      <c r="AA2714" s="168">
        <f t="shared" si="8"/>
        <v>0</v>
      </c>
      <c r="AB2714" s="168">
        <f t="shared" si="9"/>
        <v>0</v>
      </c>
    </row>
    <row r="2715" ht="15.0" customHeight="1">
      <c r="A2715" s="157" t="s">
        <v>10264</v>
      </c>
      <c r="B2715" s="169" t="s">
        <v>44</v>
      </c>
      <c r="C2715" s="169" t="s">
        <v>10261</v>
      </c>
      <c r="D2715" s="317">
        <v>45524.0</v>
      </c>
      <c r="E2715" s="157" t="s">
        <v>600</v>
      </c>
      <c r="F2715" s="160">
        <v>1582.93</v>
      </c>
      <c r="G2715" s="160">
        <f>'FACUS$'!$F2715*0.16</f>
        <v>253.2688</v>
      </c>
      <c r="H2715" s="160">
        <f t="shared" si="68"/>
        <v>1836.1988</v>
      </c>
      <c r="I2715" s="172"/>
      <c r="J2715" s="169"/>
      <c r="K2715" s="172"/>
      <c r="L2715" s="172">
        <f>+'FACUS$'!$H2715-'FACUS$'!$I2715-'FACUS$'!$K2715</f>
        <v>1836.1988</v>
      </c>
      <c r="M2715" s="162" t="s">
        <v>361</v>
      </c>
      <c r="N2715" s="337" t="s">
        <v>554</v>
      </c>
      <c r="O2715" s="338">
        <v>45527.0</v>
      </c>
      <c r="P2715" s="164">
        <f t="array" ref="P2715">XLOOKUP('FACUS$'!$B2715,'perfil de pagos'!$A$4:$A$46,'perfil de pagos'!$C$4:$C$46+'FACUS$'!$D2715)</f>
        <v>45534</v>
      </c>
      <c r="Q2715" s="165">
        <f t="shared" si="70"/>
        <v>0</v>
      </c>
      <c r="R2715" s="167"/>
      <c r="S2715" s="167">
        <v>3230.0</v>
      </c>
      <c r="T2715" s="167"/>
      <c r="U2715" s="334"/>
      <c r="V2715" s="168">
        <f t="shared" si="3"/>
        <v>1836.1988</v>
      </c>
      <c r="W2715" s="168">
        <f t="shared" si="4"/>
        <v>0</v>
      </c>
      <c r="X2715" s="168">
        <f t="shared" si="5"/>
        <v>0</v>
      </c>
      <c r="Y2715" s="168">
        <f t="shared" si="6"/>
        <v>0</v>
      </c>
      <c r="Z2715" s="168">
        <f t="shared" si="7"/>
        <v>0</v>
      </c>
      <c r="AA2715" s="168">
        <f t="shared" si="8"/>
        <v>0</v>
      </c>
      <c r="AB2715" s="168">
        <f t="shared" si="9"/>
        <v>0</v>
      </c>
    </row>
    <row r="2716" ht="15.0" customHeight="1">
      <c r="A2716" s="157" t="s">
        <v>10265</v>
      </c>
      <c r="B2716" s="169" t="s">
        <v>38</v>
      </c>
      <c r="C2716" s="169" t="s">
        <v>10261</v>
      </c>
      <c r="D2716" s="317">
        <v>45524.0</v>
      </c>
      <c r="E2716" s="157" t="s">
        <v>600</v>
      </c>
      <c r="F2716" s="160">
        <v>2256.5</v>
      </c>
      <c r="G2716" s="160">
        <f>'FACUS$'!$F2716*0.16</f>
        <v>361.04</v>
      </c>
      <c r="H2716" s="160">
        <f t="shared" si="68"/>
        <v>2617.54</v>
      </c>
      <c r="I2716" s="172"/>
      <c r="J2716" s="169"/>
      <c r="K2716" s="172"/>
      <c r="L2716" s="172">
        <f>+'FACUS$'!$H2716-'FACUS$'!$I2716-'FACUS$'!$K2716</f>
        <v>2617.54</v>
      </c>
      <c r="M2716" s="162" t="s">
        <v>4654</v>
      </c>
      <c r="N2716" s="337" t="s">
        <v>554</v>
      </c>
      <c r="O2716" s="338">
        <v>45574.0</v>
      </c>
      <c r="P2716" s="164">
        <f t="array" ref="P2716">XLOOKUP('FACUS$'!$B2716,'perfil de pagos'!$A$4:$A$46,'perfil de pagos'!$C$4:$C$46+'FACUS$'!$D2716)</f>
        <v>45554</v>
      </c>
      <c r="Q2716" s="165">
        <f t="shared" si="70"/>
        <v>0</v>
      </c>
      <c r="R2716" s="167"/>
      <c r="S2716" s="167">
        <v>3313.0</v>
      </c>
      <c r="T2716" s="167"/>
      <c r="U2716" s="334"/>
      <c r="V2716" s="168">
        <f t="shared" si="3"/>
        <v>2617.54</v>
      </c>
      <c r="W2716" s="168">
        <f t="shared" si="4"/>
        <v>0</v>
      </c>
      <c r="X2716" s="168">
        <f t="shared" si="5"/>
        <v>0</v>
      </c>
      <c r="Y2716" s="168">
        <f t="shared" si="6"/>
        <v>0</v>
      </c>
      <c r="Z2716" s="168">
        <f t="shared" si="7"/>
        <v>0</v>
      </c>
      <c r="AA2716" s="168">
        <f t="shared" si="8"/>
        <v>0</v>
      </c>
      <c r="AB2716" s="168">
        <f t="shared" si="9"/>
        <v>0</v>
      </c>
    </row>
    <row r="2717" ht="15.0" customHeight="1">
      <c r="A2717" s="157" t="s">
        <v>10266</v>
      </c>
      <c r="B2717" s="169" t="s">
        <v>38</v>
      </c>
      <c r="C2717" s="169" t="s">
        <v>10261</v>
      </c>
      <c r="D2717" s="317">
        <v>45526.0</v>
      </c>
      <c r="E2717" s="157" t="s">
        <v>600</v>
      </c>
      <c r="F2717" s="160">
        <v>6941.1</v>
      </c>
      <c r="G2717" s="160">
        <f>'FACUS$'!$F2717*0.16</f>
        <v>1110.576</v>
      </c>
      <c r="H2717" s="160">
        <f t="shared" si="68"/>
        <v>8051.676</v>
      </c>
      <c r="I2717" s="172"/>
      <c r="J2717" s="169"/>
      <c r="K2717" s="172"/>
      <c r="L2717" s="172">
        <f>+'FACUS$'!$H2717-'FACUS$'!$I2717-'FACUS$'!$K2717</f>
        <v>8051.676</v>
      </c>
      <c r="M2717" s="162" t="s">
        <v>145</v>
      </c>
      <c r="N2717" s="337" t="s">
        <v>554</v>
      </c>
      <c r="O2717" s="338">
        <v>45574.0</v>
      </c>
      <c r="P2717" s="164">
        <f t="array" ref="P2717">XLOOKUP('FACUS$'!$B2717,'perfil de pagos'!$A$4:$A$46,'perfil de pagos'!$C$4:$C$46+'FACUS$'!$D2717)</f>
        <v>45556</v>
      </c>
      <c r="Q2717" s="165">
        <f t="shared" si="70"/>
        <v>0</v>
      </c>
      <c r="R2717" s="167"/>
      <c r="S2717" s="167">
        <v>3313.0</v>
      </c>
      <c r="T2717" s="167"/>
      <c r="U2717" s="334"/>
      <c r="V2717" s="168">
        <f t="shared" si="3"/>
        <v>8051.676</v>
      </c>
      <c r="W2717" s="168">
        <f t="shared" si="4"/>
        <v>0</v>
      </c>
      <c r="X2717" s="168">
        <f t="shared" si="5"/>
        <v>0</v>
      </c>
      <c r="Y2717" s="168">
        <f t="shared" si="6"/>
        <v>0</v>
      </c>
      <c r="Z2717" s="168">
        <f t="shared" si="7"/>
        <v>0</v>
      </c>
      <c r="AA2717" s="168">
        <f t="shared" si="8"/>
        <v>0</v>
      </c>
      <c r="AB2717" s="168">
        <f t="shared" si="9"/>
        <v>0</v>
      </c>
    </row>
    <row r="2718" ht="15.0" customHeight="1">
      <c r="A2718" s="157" t="s">
        <v>10267</v>
      </c>
      <c r="B2718" s="169" t="s">
        <v>18</v>
      </c>
      <c r="C2718" s="169" t="s">
        <v>10261</v>
      </c>
      <c r="D2718" s="317">
        <v>45526.0</v>
      </c>
      <c r="E2718" s="157" t="s">
        <v>600</v>
      </c>
      <c r="F2718" s="160">
        <v>5626.82</v>
      </c>
      <c r="G2718" s="160">
        <f>'FACUS$'!$F2718*0.16</f>
        <v>900.2912</v>
      </c>
      <c r="H2718" s="160">
        <f t="shared" si="68"/>
        <v>6527.1112</v>
      </c>
      <c r="I2718" s="172"/>
      <c r="J2718" s="169"/>
      <c r="K2718" s="172"/>
      <c r="L2718" s="172">
        <f>+'FACUS$'!$H2718-'FACUS$'!$I2718-'FACUS$'!$K2718</f>
        <v>6527.1112</v>
      </c>
      <c r="M2718" s="162" t="s">
        <v>586</v>
      </c>
      <c r="N2718" s="337" t="s">
        <v>554</v>
      </c>
      <c r="O2718" s="338">
        <v>45593.0</v>
      </c>
      <c r="P2718" s="164">
        <f t="array" ref="P2718">XLOOKUP('FACUS$'!$B2718,'perfil de pagos'!$A$4:$A$46,'perfil de pagos'!$C$4:$C$46+'FACUS$'!$D2718)</f>
        <v>45536</v>
      </c>
      <c r="Q2718" s="165">
        <f t="shared" si="70"/>
        <v>0</v>
      </c>
      <c r="R2718" s="167"/>
      <c r="S2718" s="167">
        <v>3361.0</v>
      </c>
      <c r="T2718" s="167"/>
      <c r="U2718" s="334"/>
      <c r="V2718" s="168">
        <f t="shared" si="3"/>
        <v>6527.1112</v>
      </c>
      <c r="W2718" s="168">
        <f t="shared" si="4"/>
        <v>0</v>
      </c>
      <c r="X2718" s="168">
        <f t="shared" si="5"/>
        <v>0</v>
      </c>
      <c r="Y2718" s="168">
        <f t="shared" si="6"/>
        <v>0</v>
      </c>
      <c r="Z2718" s="168">
        <f t="shared" si="7"/>
        <v>0</v>
      </c>
      <c r="AA2718" s="168">
        <f t="shared" si="8"/>
        <v>0</v>
      </c>
      <c r="AB2718" s="168">
        <f t="shared" si="9"/>
        <v>0</v>
      </c>
    </row>
    <row r="2719" ht="15.0" customHeight="1">
      <c r="A2719" s="157" t="s">
        <v>10268</v>
      </c>
      <c r="B2719" s="169" t="s">
        <v>20</v>
      </c>
      <c r="C2719" s="169" t="s">
        <v>10261</v>
      </c>
      <c r="D2719" s="317">
        <v>45526.0</v>
      </c>
      <c r="E2719" s="157" t="s">
        <v>600</v>
      </c>
      <c r="F2719" s="160">
        <v>11407.31</v>
      </c>
      <c r="G2719" s="160">
        <f>'FACUS$'!$F2719*0.16</f>
        <v>1825.1696</v>
      </c>
      <c r="H2719" s="160">
        <f t="shared" si="68"/>
        <v>13232.4796</v>
      </c>
      <c r="I2719" s="172"/>
      <c r="J2719" s="169"/>
      <c r="K2719" s="172"/>
      <c r="L2719" s="172">
        <f>+'FACUS$'!$H2719-'FACUS$'!$I2719-'FACUS$'!$K2719</f>
        <v>13232.4796</v>
      </c>
      <c r="M2719" s="162" t="s">
        <v>732</v>
      </c>
      <c r="N2719" s="337" t="s">
        <v>554</v>
      </c>
      <c r="O2719" s="338">
        <v>45593.0</v>
      </c>
      <c r="P2719" s="164">
        <f t="array" ref="P2719">XLOOKUP('FACUS$'!$B2719,'perfil de pagos'!$A$4:$A$46,'perfil de pagos'!$C$4:$C$46+'FACUS$'!$D2719)</f>
        <v>45536</v>
      </c>
      <c r="Q2719" s="165">
        <f t="shared" si="70"/>
        <v>0</v>
      </c>
      <c r="R2719" s="167"/>
      <c r="S2719" s="167">
        <v>3361.0</v>
      </c>
      <c r="T2719" s="167"/>
      <c r="U2719" s="334"/>
      <c r="V2719" s="168">
        <f t="shared" si="3"/>
        <v>13232.4796</v>
      </c>
      <c r="W2719" s="168">
        <f t="shared" si="4"/>
        <v>0</v>
      </c>
      <c r="X2719" s="168">
        <f t="shared" si="5"/>
        <v>0</v>
      </c>
      <c r="Y2719" s="168">
        <f t="shared" si="6"/>
        <v>0</v>
      </c>
      <c r="Z2719" s="168">
        <f t="shared" si="7"/>
        <v>0</v>
      </c>
      <c r="AA2719" s="168">
        <f t="shared" si="8"/>
        <v>0</v>
      </c>
      <c r="AB2719" s="168">
        <f t="shared" si="9"/>
        <v>0</v>
      </c>
    </row>
    <row r="2720" ht="15.0" customHeight="1">
      <c r="A2720" s="157" t="s">
        <v>10269</v>
      </c>
      <c r="B2720" s="169" t="s">
        <v>25</v>
      </c>
      <c r="C2720" s="169" t="s">
        <v>10261</v>
      </c>
      <c r="D2720" s="317">
        <v>45526.0</v>
      </c>
      <c r="E2720" s="157" t="s">
        <v>600</v>
      </c>
      <c r="F2720" s="160">
        <v>4740.53</v>
      </c>
      <c r="G2720" s="160">
        <f>'FACUS$'!$F2720*0.16</f>
        <v>758.4848</v>
      </c>
      <c r="H2720" s="160">
        <f t="shared" si="68"/>
        <v>5499.0148</v>
      </c>
      <c r="I2720" s="172"/>
      <c r="J2720" s="169"/>
      <c r="K2720" s="172"/>
      <c r="L2720" s="172">
        <f>+'FACUS$'!$H2720-'FACUS$'!$I2720-'FACUS$'!$K2720</f>
        <v>5499.0148</v>
      </c>
      <c r="M2720" s="162" t="s">
        <v>4388</v>
      </c>
      <c r="N2720" s="337" t="s">
        <v>554</v>
      </c>
      <c r="O2720" s="338">
        <v>45574.0</v>
      </c>
      <c r="P2720" s="164">
        <f t="array" ref="P2720">XLOOKUP('FACUS$'!$B2720,'perfil de pagos'!$A$4:$A$46,'perfil de pagos'!$C$4:$C$46+'FACUS$'!$D2720)</f>
        <v>45536</v>
      </c>
      <c r="Q2720" s="165">
        <f t="shared" si="70"/>
        <v>0</v>
      </c>
      <c r="R2720" s="167"/>
      <c r="S2720" s="220">
        <v>3312.0</v>
      </c>
      <c r="T2720" s="167"/>
      <c r="U2720" s="334"/>
      <c r="V2720" s="168">
        <f t="shared" si="3"/>
        <v>5499.0148</v>
      </c>
      <c r="W2720" s="168">
        <f t="shared" si="4"/>
        <v>0</v>
      </c>
      <c r="X2720" s="168">
        <f t="shared" si="5"/>
        <v>0</v>
      </c>
      <c r="Y2720" s="168">
        <f t="shared" si="6"/>
        <v>0</v>
      </c>
      <c r="Z2720" s="168">
        <f t="shared" si="7"/>
        <v>0</v>
      </c>
      <c r="AA2720" s="168">
        <f t="shared" si="8"/>
        <v>0</v>
      </c>
      <c r="AB2720" s="168">
        <f t="shared" si="9"/>
        <v>0</v>
      </c>
    </row>
    <row r="2721" ht="15.0" customHeight="1">
      <c r="A2721" s="157" t="s">
        <v>10270</v>
      </c>
      <c r="B2721" s="169" t="s">
        <v>37</v>
      </c>
      <c r="C2721" s="169" t="s">
        <v>10261</v>
      </c>
      <c r="D2721" s="317">
        <v>45526.0</v>
      </c>
      <c r="E2721" s="157" t="s">
        <v>600</v>
      </c>
      <c r="F2721" s="160">
        <v>87333.15</v>
      </c>
      <c r="G2721" s="160">
        <f>'FACUS$'!$F2721*0.16</f>
        <v>13973.304</v>
      </c>
      <c r="H2721" s="160">
        <f t="shared" si="68"/>
        <v>101306.454</v>
      </c>
      <c r="I2721" s="172"/>
      <c r="J2721" s="169"/>
      <c r="K2721" s="172"/>
      <c r="L2721" s="172">
        <f>+'FACUS$'!$H2721-'FACUS$'!$I2721-'FACUS$'!$K2721</f>
        <v>101306.454</v>
      </c>
      <c r="M2721" s="162" t="s">
        <v>116</v>
      </c>
      <c r="N2721" s="337" t="s">
        <v>554</v>
      </c>
      <c r="O2721" s="338">
        <v>45538.0</v>
      </c>
      <c r="P2721" s="164">
        <f t="array" ref="P2721">XLOOKUP('FACUS$'!$B2721,'perfil de pagos'!$A$4:$A$46,'perfil de pagos'!$C$4:$C$46+'FACUS$'!$D2721)</f>
        <v>45536</v>
      </c>
      <c r="Q2721" s="165">
        <f t="shared" si="70"/>
        <v>0</v>
      </c>
      <c r="R2721" s="167"/>
      <c r="S2721" s="167"/>
      <c r="T2721" s="167"/>
      <c r="U2721" s="334"/>
      <c r="V2721" s="168">
        <f t="shared" si="3"/>
        <v>101306.454</v>
      </c>
      <c r="W2721" s="168">
        <f t="shared" si="4"/>
        <v>0</v>
      </c>
      <c r="X2721" s="168">
        <f t="shared" si="5"/>
        <v>0</v>
      </c>
      <c r="Y2721" s="168">
        <f t="shared" si="6"/>
        <v>0</v>
      </c>
      <c r="Z2721" s="168">
        <f t="shared" si="7"/>
        <v>0</v>
      </c>
      <c r="AA2721" s="168">
        <f t="shared" si="8"/>
        <v>0</v>
      </c>
      <c r="AB2721" s="168">
        <f t="shared" si="9"/>
        <v>0</v>
      </c>
    </row>
    <row r="2722" ht="15.0" customHeight="1">
      <c r="A2722" s="157" t="s">
        <v>10271</v>
      </c>
      <c r="B2722" s="169" t="s">
        <v>50</v>
      </c>
      <c r="C2722" s="169" t="s">
        <v>6508</v>
      </c>
      <c r="D2722" s="317">
        <v>45531.0</v>
      </c>
      <c r="E2722" s="157" t="s">
        <v>600</v>
      </c>
      <c r="F2722" s="160">
        <v>1673.56</v>
      </c>
      <c r="G2722" s="160">
        <f>'FACUS$'!$F2722*0.16</f>
        <v>267.7696</v>
      </c>
      <c r="H2722" s="160">
        <f t="shared" si="68"/>
        <v>1941.3296</v>
      </c>
      <c r="I2722" s="172"/>
      <c r="J2722" s="169"/>
      <c r="K2722" s="172"/>
      <c r="L2722" s="172">
        <f>+'FACUS$'!$H2722-'FACUS$'!$I2722-'FACUS$'!$K2722</f>
        <v>1941.3296</v>
      </c>
      <c r="M2722" s="162" t="s">
        <v>570</v>
      </c>
      <c r="N2722" s="337" t="s">
        <v>554</v>
      </c>
      <c r="O2722" s="338">
        <v>45555.0</v>
      </c>
      <c r="P2722" s="164">
        <f t="array" ref="P2722">XLOOKUP('FACUS$'!$B2722,'perfil de pagos'!$A$4:$A$46,'perfil de pagos'!$C$4:$C$46+'FACUS$'!$D2722)</f>
        <v>45541</v>
      </c>
      <c r="Q2722" s="165">
        <f t="shared" si="70"/>
        <v>0</v>
      </c>
      <c r="R2722" s="167"/>
      <c r="S2722" s="167">
        <v>3288.0</v>
      </c>
      <c r="T2722" s="167"/>
      <c r="U2722" s="334"/>
      <c r="V2722" s="168">
        <f t="shared" si="3"/>
        <v>1941.3296</v>
      </c>
      <c r="W2722" s="168">
        <f t="shared" si="4"/>
        <v>0</v>
      </c>
      <c r="X2722" s="168">
        <f t="shared" si="5"/>
        <v>0</v>
      </c>
      <c r="Y2722" s="168">
        <f t="shared" si="6"/>
        <v>0</v>
      </c>
      <c r="Z2722" s="168">
        <f t="shared" si="7"/>
        <v>0</v>
      </c>
      <c r="AA2722" s="168">
        <f t="shared" si="8"/>
        <v>0</v>
      </c>
      <c r="AB2722" s="168">
        <f t="shared" si="9"/>
        <v>0</v>
      </c>
    </row>
    <row r="2723" ht="15.0" customHeight="1">
      <c r="A2723" s="157" t="s">
        <v>10272</v>
      </c>
      <c r="B2723" s="169" t="s">
        <v>50</v>
      </c>
      <c r="C2723" s="169" t="s">
        <v>10261</v>
      </c>
      <c r="D2723" s="317">
        <v>45531.0</v>
      </c>
      <c r="E2723" s="157" t="s">
        <v>600</v>
      </c>
      <c r="F2723" s="160">
        <v>1093.39</v>
      </c>
      <c r="G2723" s="160">
        <f>'FACUS$'!$F2723*0.16</f>
        <v>174.9424</v>
      </c>
      <c r="H2723" s="160">
        <f t="shared" si="68"/>
        <v>1268.3324</v>
      </c>
      <c r="I2723" s="172"/>
      <c r="J2723" s="169"/>
      <c r="K2723" s="172"/>
      <c r="L2723" s="172">
        <f>+'FACUS$'!$H2723-'FACUS$'!$I2723-'FACUS$'!$K2723</f>
        <v>1268.3324</v>
      </c>
      <c r="M2723" s="162" t="s">
        <v>570</v>
      </c>
      <c r="N2723" s="337" t="s">
        <v>554</v>
      </c>
      <c r="O2723" s="338">
        <v>45555.0</v>
      </c>
      <c r="P2723" s="164">
        <f t="array" ref="P2723">XLOOKUP('FACUS$'!$B2723,'perfil de pagos'!$A$4:$A$46,'perfil de pagos'!$C$4:$C$46+'FACUS$'!$D2723)</f>
        <v>45541</v>
      </c>
      <c r="Q2723" s="165">
        <f t="shared" si="70"/>
        <v>0</v>
      </c>
      <c r="R2723" s="167"/>
      <c r="S2723" s="167">
        <v>3289.0</v>
      </c>
      <c r="T2723" s="167"/>
      <c r="U2723" s="334"/>
      <c r="V2723" s="168">
        <f t="shared" si="3"/>
        <v>1268.3324</v>
      </c>
      <c r="W2723" s="168">
        <f t="shared" si="4"/>
        <v>0</v>
      </c>
      <c r="X2723" s="168">
        <f t="shared" si="5"/>
        <v>0</v>
      </c>
      <c r="Y2723" s="168">
        <f t="shared" si="6"/>
        <v>0</v>
      </c>
      <c r="Z2723" s="168">
        <f t="shared" si="7"/>
        <v>0</v>
      </c>
      <c r="AA2723" s="168">
        <f t="shared" si="8"/>
        <v>0</v>
      </c>
      <c r="AB2723" s="168">
        <f t="shared" si="9"/>
        <v>0</v>
      </c>
    </row>
    <row r="2724" ht="15.0" customHeight="1">
      <c r="A2724" s="157" t="s">
        <v>10273</v>
      </c>
      <c r="B2724" s="169" t="s">
        <v>50</v>
      </c>
      <c r="C2724" s="169" t="s">
        <v>6551</v>
      </c>
      <c r="D2724" s="317">
        <v>45538.0</v>
      </c>
      <c r="E2724" s="157" t="s">
        <v>600</v>
      </c>
      <c r="F2724" s="160">
        <v>4890.34</v>
      </c>
      <c r="G2724" s="160">
        <f>'FACUS$'!$F2724*0.16</f>
        <v>782.4544</v>
      </c>
      <c r="H2724" s="160">
        <f t="shared" si="68"/>
        <v>5672.7944</v>
      </c>
      <c r="I2724" s="172"/>
      <c r="J2724" s="169"/>
      <c r="K2724" s="172"/>
      <c r="L2724" s="172">
        <f>+'FACUS$'!$H2724-'FACUS$'!$I2724-'FACUS$'!$K2724</f>
        <v>5672.7944</v>
      </c>
      <c r="M2724" s="162" t="s">
        <v>570</v>
      </c>
      <c r="N2724" s="337" t="s">
        <v>554</v>
      </c>
      <c r="O2724" s="338">
        <v>45562.0</v>
      </c>
      <c r="P2724" s="164">
        <f t="array" ref="P2724">XLOOKUP('FACUS$'!$B2724,'perfil de pagos'!$A$4:$A$46,'perfil de pagos'!$C$4:$C$46+'FACUS$'!$D2724)</f>
        <v>45548</v>
      </c>
      <c r="Q2724" s="165">
        <f t="shared" si="70"/>
        <v>0</v>
      </c>
      <c r="R2724" s="167"/>
      <c r="S2724" s="167"/>
      <c r="T2724" s="167"/>
      <c r="U2724" s="334"/>
      <c r="V2724" s="168">
        <f t="shared" si="3"/>
        <v>5672.7944</v>
      </c>
      <c r="W2724" s="168">
        <f t="shared" si="4"/>
        <v>0</v>
      </c>
      <c r="X2724" s="168">
        <f t="shared" si="5"/>
        <v>0</v>
      </c>
      <c r="Y2724" s="168">
        <f t="shared" si="6"/>
        <v>0</v>
      </c>
      <c r="Z2724" s="168">
        <f t="shared" si="7"/>
        <v>0</v>
      </c>
      <c r="AA2724" s="168">
        <f t="shared" si="8"/>
        <v>0</v>
      </c>
      <c r="AB2724" s="168">
        <f t="shared" si="9"/>
        <v>0</v>
      </c>
    </row>
    <row r="2725" ht="15.0" customHeight="1">
      <c r="A2725" s="157" t="s">
        <v>10274</v>
      </c>
      <c r="B2725" s="169" t="s">
        <v>50</v>
      </c>
      <c r="C2725" s="169" t="s">
        <v>10275</v>
      </c>
      <c r="D2725" s="317">
        <v>45538.0</v>
      </c>
      <c r="E2725" s="157" t="s">
        <v>600</v>
      </c>
      <c r="F2725" s="160">
        <v>6459.02</v>
      </c>
      <c r="G2725" s="160">
        <f>'FACUS$'!$F2725*0.16</f>
        <v>1033.4432</v>
      </c>
      <c r="H2725" s="160">
        <f t="shared" si="68"/>
        <v>7492.4632</v>
      </c>
      <c r="I2725" s="172"/>
      <c r="J2725" s="169"/>
      <c r="K2725" s="172"/>
      <c r="L2725" s="172">
        <f>+'FACUS$'!$H2725-'FACUS$'!$I2725-'FACUS$'!$K2725</f>
        <v>7492.4632</v>
      </c>
      <c r="M2725" s="162" t="s">
        <v>570</v>
      </c>
      <c r="N2725" s="337" t="s">
        <v>554</v>
      </c>
      <c r="O2725" s="338">
        <v>45572.0</v>
      </c>
      <c r="P2725" s="164">
        <f t="array" ref="P2725">XLOOKUP('FACUS$'!$B2725,'perfil de pagos'!$A$4:$A$46,'perfil de pagos'!$C$4:$C$46+'FACUS$'!$D2725)</f>
        <v>45548</v>
      </c>
      <c r="Q2725" s="165">
        <f t="shared" si="70"/>
        <v>0</v>
      </c>
      <c r="R2725" s="167"/>
      <c r="S2725" s="167">
        <v>3311.0</v>
      </c>
      <c r="T2725" s="167"/>
      <c r="U2725" s="334"/>
      <c r="V2725" s="168">
        <f t="shared" si="3"/>
        <v>7492.4632</v>
      </c>
      <c r="W2725" s="168">
        <f t="shared" si="4"/>
        <v>0</v>
      </c>
      <c r="X2725" s="168">
        <f t="shared" si="5"/>
        <v>0</v>
      </c>
      <c r="Y2725" s="168">
        <f t="shared" si="6"/>
        <v>0</v>
      </c>
      <c r="Z2725" s="168">
        <f t="shared" si="7"/>
        <v>0</v>
      </c>
      <c r="AA2725" s="168">
        <f t="shared" si="8"/>
        <v>0</v>
      </c>
      <c r="AB2725" s="168">
        <f t="shared" si="9"/>
        <v>0</v>
      </c>
    </row>
    <row r="2726" ht="15.0" customHeight="1">
      <c r="A2726" s="157" t="s">
        <v>10276</v>
      </c>
      <c r="B2726" s="169" t="s">
        <v>41</v>
      </c>
      <c r="C2726" s="169" t="s">
        <v>10275</v>
      </c>
      <c r="D2726" s="317">
        <v>45538.0</v>
      </c>
      <c r="E2726" s="157" t="s">
        <v>600</v>
      </c>
      <c r="F2726" s="160">
        <v>54472.15</v>
      </c>
      <c r="G2726" s="160">
        <f>'FACUS$'!$F2726*0.16</f>
        <v>8715.544</v>
      </c>
      <c r="H2726" s="160">
        <f t="shared" si="68"/>
        <v>63187.694</v>
      </c>
      <c r="I2726" s="172"/>
      <c r="J2726" s="169"/>
      <c r="K2726" s="172"/>
      <c r="L2726" s="172">
        <f>+'FACUS$'!$H2726-'FACUS$'!$I2726-'FACUS$'!$K2726</f>
        <v>63187.694</v>
      </c>
      <c r="M2726" s="162" t="s">
        <v>875</v>
      </c>
      <c r="N2726" s="337" t="s">
        <v>554</v>
      </c>
      <c r="O2726" s="338">
        <v>45581.0</v>
      </c>
      <c r="P2726" s="164">
        <f t="array" ref="P2726">XLOOKUP('FACUS$'!$B2726,'perfil de pagos'!$A$4:$A$46,'perfil de pagos'!$C$4:$C$46+'FACUS$'!$D2726)</f>
        <v>45548</v>
      </c>
      <c r="Q2726" s="165">
        <f t="shared" si="70"/>
        <v>0</v>
      </c>
      <c r="R2726" s="167"/>
      <c r="S2726" s="167">
        <v>3337.0</v>
      </c>
      <c r="T2726" s="167"/>
      <c r="U2726" s="334"/>
      <c r="V2726" s="168">
        <f t="shared" si="3"/>
        <v>63187.694</v>
      </c>
      <c r="W2726" s="168">
        <f t="shared" si="4"/>
        <v>0</v>
      </c>
      <c r="X2726" s="168">
        <f t="shared" si="5"/>
        <v>0</v>
      </c>
      <c r="Y2726" s="168">
        <f t="shared" si="6"/>
        <v>0</v>
      </c>
      <c r="Z2726" s="168">
        <f t="shared" si="7"/>
        <v>0</v>
      </c>
      <c r="AA2726" s="168">
        <f t="shared" si="8"/>
        <v>0</v>
      </c>
      <c r="AB2726" s="168">
        <f t="shared" si="9"/>
        <v>0</v>
      </c>
    </row>
    <row r="2727" ht="15.0" customHeight="1">
      <c r="A2727" s="157" t="s">
        <v>10277</v>
      </c>
      <c r="B2727" s="169" t="s">
        <v>35</v>
      </c>
      <c r="C2727" s="169" t="s">
        <v>10275</v>
      </c>
      <c r="D2727" s="317">
        <v>45538.0</v>
      </c>
      <c r="E2727" s="157" t="s">
        <v>600</v>
      </c>
      <c r="F2727" s="160">
        <v>1694.17</v>
      </c>
      <c r="G2727" s="160">
        <f>'FACUS$'!$F2727*0.16</f>
        <v>271.0672</v>
      </c>
      <c r="H2727" s="160">
        <f t="shared" si="68"/>
        <v>1965.2372</v>
      </c>
      <c r="I2727" s="172"/>
      <c r="J2727" s="169"/>
      <c r="K2727" s="172"/>
      <c r="L2727" s="172">
        <f>+'FACUS$'!$H2727-'FACUS$'!$I2727-'FACUS$'!$K2727</f>
        <v>1965.2372</v>
      </c>
      <c r="M2727" s="162" t="s">
        <v>276</v>
      </c>
      <c r="N2727" s="337" t="s">
        <v>554</v>
      </c>
      <c r="O2727" s="338">
        <v>45594.0</v>
      </c>
      <c r="P2727" s="164">
        <f t="array" ref="P2727">XLOOKUP('FACUS$'!$B2727,'perfil de pagos'!$A$4:$A$46,'perfil de pagos'!$C$4:$C$46+'FACUS$'!$D2727)</f>
        <v>45548</v>
      </c>
      <c r="Q2727" s="165">
        <f t="shared" si="70"/>
        <v>0</v>
      </c>
      <c r="R2727" s="167"/>
      <c r="S2727" s="167">
        <v>3362.0</v>
      </c>
      <c r="T2727" s="167"/>
      <c r="U2727" s="334"/>
      <c r="V2727" s="168">
        <f t="shared" si="3"/>
        <v>1965.2372</v>
      </c>
      <c r="W2727" s="168">
        <f t="shared" si="4"/>
        <v>0</v>
      </c>
      <c r="X2727" s="168">
        <f t="shared" si="5"/>
        <v>0</v>
      </c>
      <c r="Y2727" s="168">
        <f t="shared" si="6"/>
        <v>0</v>
      </c>
      <c r="Z2727" s="168">
        <f t="shared" si="7"/>
        <v>0</v>
      </c>
      <c r="AA2727" s="168">
        <f t="shared" si="8"/>
        <v>0</v>
      </c>
      <c r="AB2727" s="168">
        <f t="shared" si="9"/>
        <v>0</v>
      </c>
    </row>
    <row r="2728" ht="15.0" customHeight="1">
      <c r="A2728" s="157" t="s">
        <v>10278</v>
      </c>
      <c r="B2728" s="169" t="s">
        <v>42</v>
      </c>
      <c r="C2728" s="169" t="s">
        <v>10275</v>
      </c>
      <c r="D2728" s="317">
        <v>45538.0</v>
      </c>
      <c r="E2728" s="157" t="s">
        <v>600</v>
      </c>
      <c r="F2728" s="160">
        <v>3673.64</v>
      </c>
      <c r="G2728" s="160">
        <f>'FACUS$'!$F2728*0.16</f>
        <v>587.7824</v>
      </c>
      <c r="H2728" s="160">
        <f t="shared" si="68"/>
        <v>4261.4224</v>
      </c>
      <c r="I2728" s="172"/>
      <c r="J2728" s="169"/>
      <c r="K2728" s="172"/>
      <c r="L2728" s="172">
        <f>+'FACUS$'!$H2728-'FACUS$'!$I2728-'FACUS$'!$K2728</f>
        <v>4261.4224</v>
      </c>
      <c r="M2728" s="162" t="s">
        <v>42</v>
      </c>
      <c r="N2728" s="337" t="s">
        <v>554</v>
      </c>
      <c r="O2728" s="338">
        <v>45560.0</v>
      </c>
      <c r="P2728" s="164">
        <f t="array" ref="P2728">XLOOKUP('FACUS$'!$B2728,'perfil de pagos'!$A$4:$A$46,'perfil de pagos'!$C$4:$C$46+'FACUS$'!$D2728)</f>
        <v>45548</v>
      </c>
      <c r="Q2728" s="165">
        <f t="shared" si="70"/>
        <v>0</v>
      </c>
      <c r="R2728" s="167"/>
      <c r="S2728" s="167">
        <v>3295.0</v>
      </c>
      <c r="T2728" s="167"/>
      <c r="U2728" s="334"/>
      <c r="V2728" s="168">
        <f t="shared" si="3"/>
        <v>4261.4224</v>
      </c>
      <c r="W2728" s="168">
        <f t="shared" si="4"/>
        <v>0</v>
      </c>
      <c r="X2728" s="168">
        <f t="shared" si="5"/>
        <v>0</v>
      </c>
      <c r="Y2728" s="168">
        <f t="shared" si="6"/>
        <v>0</v>
      </c>
      <c r="Z2728" s="168">
        <f t="shared" si="7"/>
        <v>0</v>
      </c>
      <c r="AA2728" s="168">
        <f t="shared" si="8"/>
        <v>0</v>
      </c>
      <c r="AB2728" s="168">
        <f t="shared" si="9"/>
        <v>0</v>
      </c>
    </row>
    <row r="2729" ht="15.0" customHeight="1">
      <c r="A2729" s="157" t="s">
        <v>10279</v>
      </c>
      <c r="B2729" s="169" t="s">
        <v>44</v>
      </c>
      <c r="C2729" s="169" t="s">
        <v>10275</v>
      </c>
      <c r="D2729" s="317">
        <v>45538.0</v>
      </c>
      <c r="E2729" s="157" t="s">
        <v>600</v>
      </c>
      <c r="F2729" s="160">
        <v>1909.83</v>
      </c>
      <c r="G2729" s="160">
        <f>'FACUS$'!$F2729*0.16</f>
        <v>305.5728</v>
      </c>
      <c r="H2729" s="160">
        <f t="shared" si="68"/>
        <v>2215.4028</v>
      </c>
      <c r="I2729" s="172"/>
      <c r="J2729" s="169"/>
      <c r="K2729" s="172"/>
      <c r="L2729" s="172">
        <f>+'FACUS$'!$H2729-'FACUS$'!$I2729-'FACUS$'!$K2729</f>
        <v>2215.4028</v>
      </c>
      <c r="M2729" s="162" t="s">
        <v>361</v>
      </c>
      <c r="N2729" s="337" t="s">
        <v>554</v>
      </c>
      <c r="O2729" s="338">
        <v>45548.0</v>
      </c>
      <c r="P2729" s="164">
        <f t="array" ref="P2729">XLOOKUP('FACUS$'!$B2729,'perfil de pagos'!$A$4:$A$46,'perfil de pagos'!$C$4:$C$46+'FACUS$'!$D2729)</f>
        <v>45548</v>
      </c>
      <c r="Q2729" s="165">
        <f t="shared" si="70"/>
        <v>0</v>
      </c>
      <c r="R2729" s="167"/>
      <c r="S2729" s="167">
        <v>3270.0</v>
      </c>
      <c r="T2729" s="167"/>
      <c r="U2729" s="334"/>
      <c r="V2729" s="168">
        <f t="shared" si="3"/>
        <v>2215.4028</v>
      </c>
      <c r="W2729" s="168">
        <f t="shared" si="4"/>
        <v>0</v>
      </c>
      <c r="X2729" s="168">
        <f t="shared" si="5"/>
        <v>0</v>
      </c>
      <c r="Y2729" s="168">
        <f t="shared" si="6"/>
        <v>0</v>
      </c>
      <c r="Z2729" s="168">
        <f t="shared" si="7"/>
        <v>0</v>
      </c>
      <c r="AA2729" s="168">
        <f t="shared" si="8"/>
        <v>0</v>
      </c>
      <c r="AB2729" s="168">
        <f t="shared" si="9"/>
        <v>0</v>
      </c>
    </row>
    <row r="2730" ht="15.0" customHeight="1">
      <c r="A2730" s="157" t="s">
        <v>10280</v>
      </c>
      <c r="B2730" s="169" t="s">
        <v>38</v>
      </c>
      <c r="C2730" s="169" t="s">
        <v>10275</v>
      </c>
      <c r="D2730" s="317">
        <v>45538.0</v>
      </c>
      <c r="E2730" s="157" t="s">
        <v>600</v>
      </c>
      <c r="F2730" s="160">
        <v>3196.34</v>
      </c>
      <c r="G2730" s="160">
        <f>'FACUS$'!$F2730*0.16</f>
        <v>511.4144</v>
      </c>
      <c r="H2730" s="160">
        <f t="shared" si="68"/>
        <v>3707.7544</v>
      </c>
      <c r="I2730" s="172"/>
      <c r="J2730" s="169"/>
      <c r="K2730" s="172"/>
      <c r="L2730" s="172">
        <f>+'FACUS$'!$H2730-'FACUS$'!$I2730-'FACUS$'!$K2730</f>
        <v>3707.7544</v>
      </c>
      <c r="M2730" s="162" t="s">
        <v>4654</v>
      </c>
      <c r="N2730" s="337" t="s">
        <v>554</v>
      </c>
      <c r="O2730" s="338">
        <v>45581.0</v>
      </c>
      <c r="P2730" s="164">
        <f t="array" ref="P2730">XLOOKUP('FACUS$'!$B2730,'perfil de pagos'!$A$4:$A$46,'perfil de pagos'!$C$4:$C$46+'FACUS$'!$D2730)</f>
        <v>45568</v>
      </c>
      <c r="Q2730" s="165">
        <f t="shared" si="70"/>
        <v>0</v>
      </c>
      <c r="R2730" s="167"/>
      <c r="S2730" s="167">
        <v>3338.0</v>
      </c>
      <c r="T2730" s="167"/>
      <c r="U2730" s="334"/>
      <c r="V2730" s="168">
        <f t="shared" si="3"/>
        <v>3707.7544</v>
      </c>
      <c r="W2730" s="168">
        <f t="shared" si="4"/>
        <v>0</v>
      </c>
      <c r="X2730" s="168">
        <f t="shared" si="5"/>
        <v>0</v>
      </c>
      <c r="Y2730" s="168">
        <f t="shared" si="6"/>
        <v>0</v>
      </c>
      <c r="Z2730" s="168">
        <f t="shared" si="7"/>
        <v>0</v>
      </c>
      <c r="AA2730" s="168">
        <f t="shared" si="8"/>
        <v>0</v>
      </c>
      <c r="AB2730" s="168">
        <f t="shared" si="9"/>
        <v>0</v>
      </c>
    </row>
    <row r="2731" ht="15.0" customHeight="1">
      <c r="A2731" s="157" t="s">
        <v>10281</v>
      </c>
      <c r="B2731" s="169" t="s">
        <v>18</v>
      </c>
      <c r="C2731" s="169" t="s">
        <v>10275</v>
      </c>
      <c r="D2731" s="317">
        <v>45538.0</v>
      </c>
      <c r="E2731" s="157" t="s">
        <v>600</v>
      </c>
      <c r="F2731" s="160">
        <v>6932.08</v>
      </c>
      <c r="G2731" s="160">
        <f>'FACUS$'!$F2731*0.16</f>
        <v>1109.1328</v>
      </c>
      <c r="H2731" s="160">
        <f t="shared" si="68"/>
        <v>8041.2128</v>
      </c>
      <c r="I2731" s="172"/>
      <c r="J2731" s="169"/>
      <c r="K2731" s="172"/>
      <c r="L2731" s="172">
        <f>+'FACUS$'!$H2731-'FACUS$'!$I2731-'FACUS$'!$K2731</f>
        <v>8041.2128</v>
      </c>
      <c r="M2731" s="162" t="s">
        <v>586</v>
      </c>
      <c r="N2731" s="337" t="s">
        <v>554</v>
      </c>
      <c r="O2731" s="338">
        <v>45593.0</v>
      </c>
      <c r="P2731" s="164">
        <f t="array" ref="P2731">XLOOKUP('FACUS$'!$B2731,'perfil de pagos'!$A$4:$A$46,'perfil de pagos'!$C$4:$C$46+'FACUS$'!$D2731)</f>
        <v>45548</v>
      </c>
      <c r="Q2731" s="165">
        <f t="shared" si="70"/>
        <v>0</v>
      </c>
      <c r="R2731" s="167"/>
      <c r="S2731" s="167">
        <v>3361.0</v>
      </c>
      <c r="T2731" s="167"/>
      <c r="U2731" s="334"/>
      <c r="V2731" s="168">
        <f t="shared" si="3"/>
        <v>8041.2128</v>
      </c>
      <c r="W2731" s="168">
        <f t="shared" si="4"/>
        <v>0</v>
      </c>
      <c r="X2731" s="168">
        <f t="shared" si="5"/>
        <v>0</v>
      </c>
      <c r="Y2731" s="168">
        <f t="shared" si="6"/>
        <v>0</v>
      </c>
      <c r="Z2731" s="168">
        <f t="shared" si="7"/>
        <v>0</v>
      </c>
      <c r="AA2731" s="168">
        <f t="shared" si="8"/>
        <v>0</v>
      </c>
      <c r="AB2731" s="168">
        <f t="shared" si="9"/>
        <v>0</v>
      </c>
    </row>
    <row r="2732" ht="15.0" customHeight="1">
      <c r="A2732" s="157" t="s">
        <v>10282</v>
      </c>
      <c r="B2732" s="169" t="s">
        <v>20</v>
      </c>
      <c r="C2732" s="169" t="s">
        <v>10275</v>
      </c>
      <c r="D2732" s="317">
        <v>45538.0</v>
      </c>
      <c r="E2732" s="157" t="s">
        <v>600</v>
      </c>
      <c r="F2732" s="160">
        <v>15067.81</v>
      </c>
      <c r="G2732" s="160">
        <f>'FACUS$'!$F2732*0.16</f>
        <v>2410.8496</v>
      </c>
      <c r="H2732" s="160">
        <f t="shared" si="68"/>
        <v>17478.6596</v>
      </c>
      <c r="I2732" s="172"/>
      <c r="J2732" s="169"/>
      <c r="K2732" s="172"/>
      <c r="L2732" s="172">
        <f>+'FACUS$'!$H2732-'FACUS$'!$I2732-'FACUS$'!$K2732</f>
        <v>17478.6596</v>
      </c>
      <c r="M2732" s="162" t="s">
        <v>732</v>
      </c>
      <c r="N2732" s="337" t="s">
        <v>554</v>
      </c>
      <c r="O2732" s="338">
        <v>45593.0</v>
      </c>
      <c r="P2732" s="164">
        <f t="array" ref="P2732">XLOOKUP('FACUS$'!$B2732,'perfil de pagos'!$A$4:$A$46,'perfil de pagos'!$C$4:$C$46+'FACUS$'!$D2732)</f>
        <v>45548</v>
      </c>
      <c r="Q2732" s="165">
        <f t="shared" si="70"/>
        <v>0</v>
      </c>
      <c r="R2732" s="167"/>
      <c r="S2732" s="167">
        <v>3361.0</v>
      </c>
      <c r="T2732" s="167"/>
      <c r="U2732" s="334"/>
      <c r="V2732" s="168">
        <f t="shared" si="3"/>
        <v>17478.6596</v>
      </c>
      <c r="W2732" s="168">
        <f t="shared" si="4"/>
        <v>0</v>
      </c>
      <c r="X2732" s="168">
        <f t="shared" si="5"/>
        <v>0</v>
      </c>
      <c r="Y2732" s="168">
        <f t="shared" si="6"/>
        <v>0</v>
      </c>
      <c r="Z2732" s="168">
        <f t="shared" si="7"/>
        <v>0</v>
      </c>
      <c r="AA2732" s="168">
        <f t="shared" si="8"/>
        <v>0</v>
      </c>
      <c r="AB2732" s="168">
        <f t="shared" si="9"/>
        <v>0</v>
      </c>
    </row>
    <row r="2733" ht="15.0" customHeight="1">
      <c r="A2733" s="157" t="s">
        <v>10283</v>
      </c>
      <c r="B2733" s="169" t="s">
        <v>25</v>
      </c>
      <c r="C2733" s="169" t="s">
        <v>10275</v>
      </c>
      <c r="D2733" s="317">
        <v>45538.0</v>
      </c>
      <c r="E2733" s="157" t="s">
        <v>600</v>
      </c>
      <c r="F2733" s="160">
        <v>6060.0</v>
      </c>
      <c r="G2733" s="160">
        <f>'FACUS$'!$F2733*0.16</f>
        <v>969.6</v>
      </c>
      <c r="H2733" s="160">
        <f t="shared" si="68"/>
        <v>7029.6</v>
      </c>
      <c r="I2733" s="172"/>
      <c r="J2733" s="169"/>
      <c r="K2733" s="172"/>
      <c r="L2733" s="172">
        <f>+'FACUS$'!$H2733-'FACUS$'!$I2733-'FACUS$'!$K2733</f>
        <v>7029.6</v>
      </c>
      <c r="M2733" s="162" t="s">
        <v>4388</v>
      </c>
      <c r="N2733" s="337" t="s">
        <v>554</v>
      </c>
      <c r="O2733" s="338">
        <v>45593.0</v>
      </c>
      <c r="P2733" s="164">
        <f t="array" ref="P2733">XLOOKUP('FACUS$'!$B2733,'perfil de pagos'!$A$4:$A$46,'perfil de pagos'!$C$4:$C$46+'FACUS$'!$D2733)</f>
        <v>45548</v>
      </c>
      <c r="Q2733" s="165">
        <f t="shared" si="70"/>
        <v>0</v>
      </c>
      <c r="R2733" s="167"/>
      <c r="S2733" s="167">
        <v>3360.0</v>
      </c>
      <c r="T2733" s="167"/>
      <c r="U2733" s="334"/>
      <c r="V2733" s="168">
        <f t="shared" si="3"/>
        <v>7029.6</v>
      </c>
      <c r="W2733" s="168">
        <f t="shared" si="4"/>
        <v>0</v>
      </c>
      <c r="X2733" s="168">
        <f t="shared" si="5"/>
        <v>0</v>
      </c>
      <c r="Y2733" s="168">
        <f t="shared" si="6"/>
        <v>0</v>
      </c>
      <c r="Z2733" s="168">
        <f t="shared" si="7"/>
        <v>0</v>
      </c>
      <c r="AA2733" s="168">
        <f t="shared" si="8"/>
        <v>0</v>
      </c>
      <c r="AB2733" s="168">
        <f t="shared" si="9"/>
        <v>0</v>
      </c>
    </row>
    <row r="2734" ht="15.0" customHeight="1">
      <c r="A2734" s="157" t="s">
        <v>10284</v>
      </c>
      <c r="B2734" s="169" t="s">
        <v>37</v>
      </c>
      <c r="C2734" s="169" t="s">
        <v>10275</v>
      </c>
      <c r="D2734" s="317">
        <v>45538.0</v>
      </c>
      <c r="E2734" s="157" t="s">
        <v>600</v>
      </c>
      <c r="F2734" s="160">
        <v>97152.8</v>
      </c>
      <c r="G2734" s="160">
        <f>'FACUS$'!$F2734*0.16</f>
        <v>15544.448</v>
      </c>
      <c r="H2734" s="160">
        <f t="shared" si="68"/>
        <v>112697.248</v>
      </c>
      <c r="I2734" s="172"/>
      <c r="J2734" s="169"/>
      <c r="K2734" s="172"/>
      <c r="L2734" s="172">
        <f>+'FACUS$'!$H2734-'FACUS$'!$I2734-'FACUS$'!$K2734</f>
        <v>112697.248</v>
      </c>
      <c r="M2734" s="162" t="s">
        <v>116</v>
      </c>
      <c r="N2734" s="337" t="s">
        <v>554</v>
      </c>
      <c r="O2734" s="338">
        <v>45552.0</v>
      </c>
      <c r="P2734" s="164">
        <f t="array" ref="P2734">XLOOKUP('FACUS$'!$B2734,'perfil de pagos'!$A$4:$A$46,'perfil de pagos'!$C$4:$C$46+'FACUS$'!$D2734)</f>
        <v>45548</v>
      </c>
      <c r="Q2734" s="165">
        <f t="shared" si="70"/>
        <v>0</v>
      </c>
      <c r="R2734" s="167"/>
      <c r="S2734" s="167">
        <v>3278.0</v>
      </c>
      <c r="T2734" s="167"/>
      <c r="U2734" s="334"/>
      <c r="V2734" s="168">
        <f t="shared" si="3"/>
        <v>112697.248</v>
      </c>
      <c r="W2734" s="168">
        <f t="shared" si="4"/>
        <v>0</v>
      </c>
      <c r="X2734" s="168">
        <f t="shared" si="5"/>
        <v>0</v>
      </c>
      <c r="Y2734" s="168">
        <f t="shared" si="6"/>
        <v>0</v>
      </c>
      <c r="Z2734" s="168">
        <f t="shared" si="7"/>
        <v>0</v>
      </c>
      <c r="AA2734" s="168">
        <f t="shared" si="8"/>
        <v>0</v>
      </c>
      <c r="AB2734" s="168">
        <f t="shared" si="9"/>
        <v>0</v>
      </c>
    </row>
    <row r="2735" ht="15.0" customHeight="1">
      <c r="A2735" s="157" t="s">
        <v>10285</v>
      </c>
      <c r="B2735" s="169" t="s">
        <v>38</v>
      </c>
      <c r="C2735" s="169" t="s">
        <v>10275</v>
      </c>
      <c r="D2735" s="317">
        <v>45540.0</v>
      </c>
      <c r="E2735" s="157" t="s">
        <v>600</v>
      </c>
      <c r="F2735" s="160">
        <v>8853.29</v>
      </c>
      <c r="G2735" s="160">
        <f>'FACUS$'!$F2735*0.16</f>
        <v>1416.5264</v>
      </c>
      <c r="H2735" s="160">
        <f t="shared" si="68"/>
        <v>10269.8164</v>
      </c>
      <c r="I2735" s="172"/>
      <c r="J2735" s="169"/>
      <c r="K2735" s="172"/>
      <c r="L2735" s="172">
        <f>+'FACUS$'!$H2735-'FACUS$'!$I2735-'FACUS$'!$K2735</f>
        <v>10269.8164</v>
      </c>
      <c r="M2735" s="162" t="s">
        <v>145</v>
      </c>
      <c r="N2735" s="337" t="s">
        <v>554</v>
      </c>
      <c r="O2735" s="338">
        <v>45581.0</v>
      </c>
      <c r="P2735" s="164">
        <f t="array" ref="P2735">XLOOKUP('FACUS$'!$B2735,'perfil de pagos'!$A$4:$A$46,'perfil de pagos'!$C$4:$C$46+'FACUS$'!$D2735)</f>
        <v>45570</v>
      </c>
      <c r="Q2735" s="165">
        <f t="shared" si="70"/>
        <v>0</v>
      </c>
      <c r="R2735" s="167"/>
      <c r="S2735" s="167">
        <v>3338.0</v>
      </c>
      <c r="T2735" s="167"/>
      <c r="U2735" s="334"/>
      <c r="V2735" s="168">
        <f t="shared" si="3"/>
        <v>10269.8164</v>
      </c>
      <c r="W2735" s="168">
        <f t="shared" si="4"/>
        <v>0</v>
      </c>
      <c r="X2735" s="168">
        <f t="shared" si="5"/>
        <v>0</v>
      </c>
      <c r="Y2735" s="168">
        <f t="shared" si="6"/>
        <v>0</v>
      </c>
      <c r="Z2735" s="168">
        <f t="shared" si="7"/>
        <v>0</v>
      </c>
      <c r="AA2735" s="168">
        <f t="shared" si="8"/>
        <v>0</v>
      </c>
      <c r="AB2735" s="168">
        <f t="shared" si="9"/>
        <v>0</v>
      </c>
    </row>
    <row r="2736" ht="15.0" customHeight="1">
      <c r="A2736" s="157" t="s">
        <v>10286</v>
      </c>
      <c r="B2736" s="169" t="s">
        <v>41</v>
      </c>
      <c r="C2736" s="169" t="s">
        <v>10287</v>
      </c>
      <c r="D2736" s="317">
        <v>45553.0</v>
      </c>
      <c r="E2736" s="157" t="s">
        <v>600</v>
      </c>
      <c r="F2736" s="160">
        <v>48154.68</v>
      </c>
      <c r="G2736" s="160">
        <f>'FACUS$'!$F2736*0.16</f>
        <v>7704.7488</v>
      </c>
      <c r="H2736" s="160">
        <f t="shared" si="68"/>
        <v>55859.4288</v>
      </c>
      <c r="I2736" s="172"/>
      <c r="J2736" s="169"/>
      <c r="K2736" s="172"/>
      <c r="L2736" s="172">
        <f>+'FACUS$'!$H2736-'FACUS$'!$I2736-'FACUS$'!$K2736</f>
        <v>55859.4288</v>
      </c>
      <c r="M2736" s="162" t="s">
        <v>875</v>
      </c>
      <c r="N2736" s="337" t="s">
        <v>554</v>
      </c>
      <c r="O2736" s="338">
        <v>45595.0</v>
      </c>
      <c r="P2736" s="164">
        <f t="array" ref="P2736">XLOOKUP('FACUS$'!$B2736,'perfil de pagos'!$A$4:$A$46,'perfil de pagos'!$C$4:$C$46+'FACUS$'!$D2736)</f>
        <v>45563</v>
      </c>
      <c r="Q2736" s="165">
        <f t="shared" si="70"/>
        <v>0</v>
      </c>
      <c r="R2736" s="167"/>
      <c r="S2736" s="167">
        <v>3371.0</v>
      </c>
      <c r="T2736" s="167"/>
      <c r="U2736" s="334"/>
      <c r="V2736" s="168">
        <f t="shared" si="3"/>
        <v>55859.4288</v>
      </c>
      <c r="W2736" s="168">
        <f t="shared" si="4"/>
        <v>0</v>
      </c>
      <c r="X2736" s="168">
        <f t="shared" si="5"/>
        <v>0</v>
      </c>
      <c r="Y2736" s="168">
        <f t="shared" si="6"/>
        <v>0</v>
      </c>
      <c r="Z2736" s="168">
        <f t="shared" si="7"/>
        <v>0</v>
      </c>
      <c r="AA2736" s="168">
        <f t="shared" si="8"/>
        <v>0</v>
      </c>
      <c r="AB2736" s="168">
        <f t="shared" si="9"/>
        <v>0</v>
      </c>
    </row>
    <row r="2737" ht="15.0" customHeight="1">
      <c r="A2737" s="157" t="s">
        <v>10288</v>
      </c>
      <c r="B2737" s="169" t="s">
        <v>35</v>
      </c>
      <c r="C2737" s="169" t="s">
        <v>10287</v>
      </c>
      <c r="D2737" s="317">
        <v>45553.0</v>
      </c>
      <c r="E2737" s="157" t="s">
        <v>600</v>
      </c>
      <c r="F2737" s="160">
        <v>1465.58</v>
      </c>
      <c r="G2737" s="160">
        <f>'FACUS$'!$F2737*0.16</f>
        <v>234.4928</v>
      </c>
      <c r="H2737" s="160">
        <f t="shared" si="68"/>
        <v>1700.0728</v>
      </c>
      <c r="I2737" s="172"/>
      <c r="J2737" s="169"/>
      <c r="K2737" s="172"/>
      <c r="L2737" s="172">
        <f>+'FACUS$'!$H2737-'FACUS$'!$I2737-'FACUS$'!$K2737</f>
        <v>1700.0728</v>
      </c>
      <c r="M2737" s="162" t="s">
        <v>276</v>
      </c>
      <c r="N2737" s="337" t="s">
        <v>554</v>
      </c>
      <c r="O2737" s="338">
        <v>45594.0</v>
      </c>
      <c r="P2737" s="164">
        <f t="array" ref="P2737">XLOOKUP('FACUS$'!$B2737,'perfil de pagos'!$A$4:$A$46,'perfil de pagos'!$C$4:$C$46+'FACUS$'!$D2737)</f>
        <v>45563</v>
      </c>
      <c r="Q2737" s="165">
        <f t="shared" si="70"/>
        <v>0</v>
      </c>
      <c r="R2737" s="167"/>
      <c r="S2737" s="167">
        <v>3362.0</v>
      </c>
      <c r="T2737" s="167"/>
      <c r="U2737" s="334"/>
      <c r="V2737" s="168">
        <f t="shared" si="3"/>
        <v>1700.0728</v>
      </c>
      <c r="W2737" s="168">
        <f t="shared" si="4"/>
        <v>0</v>
      </c>
      <c r="X2737" s="168">
        <f t="shared" si="5"/>
        <v>0</v>
      </c>
      <c r="Y2737" s="168">
        <f t="shared" si="6"/>
        <v>0</v>
      </c>
      <c r="Z2737" s="168">
        <f t="shared" si="7"/>
        <v>0</v>
      </c>
      <c r="AA2737" s="168">
        <f t="shared" si="8"/>
        <v>0</v>
      </c>
      <c r="AB2737" s="168">
        <f t="shared" si="9"/>
        <v>0</v>
      </c>
    </row>
    <row r="2738" ht="15.0" customHeight="1">
      <c r="A2738" s="157" t="s">
        <v>10289</v>
      </c>
      <c r="B2738" s="169" t="s">
        <v>42</v>
      </c>
      <c r="C2738" s="169" t="s">
        <v>10287</v>
      </c>
      <c r="D2738" s="317">
        <v>45553.0</v>
      </c>
      <c r="E2738" s="157" t="s">
        <v>600</v>
      </c>
      <c r="F2738" s="160">
        <v>3179.4</v>
      </c>
      <c r="G2738" s="160">
        <f>'FACUS$'!$F2738*0.16</f>
        <v>508.704</v>
      </c>
      <c r="H2738" s="160">
        <f t="shared" si="68"/>
        <v>3688.104</v>
      </c>
      <c r="I2738" s="172"/>
      <c r="J2738" s="169"/>
      <c r="K2738" s="172"/>
      <c r="L2738" s="172">
        <f>+'FACUS$'!$H2738-'FACUS$'!$I2738-'FACUS$'!$K2738</f>
        <v>3688.104</v>
      </c>
      <c r="M2738" s="162" t="s">
        <v>42</v>
      </c>
      <c r="N2738" s="337" t="s">
        <v>554</v>
      </c>
      <c r="O2738" s="338">
        <v>45568.0</v>
      </c>
      <c r="P2738" s="164">
        <f t="array" ref="P2738">XLOOKUP('FACUS$'!$B2738,'perfil de pagos'!$A$4:$A$46,'perfil de pagos'!$C$4:$C$46+'FACUS$'!$D2738)</f>
        <v>45563</v>
      </c>
      <c r="Q2738" s="165">
        <f t="shared" si="70"/>
        <v>0</v>
      </c>
      <c r="R2738" s="167"/>
      <c r="S2738" s="167">
        <v>3303.0</v>
      </c>
      <c r="T2738" s="167"/>
      <c r="U2738" s="334"/>
      <c r="V2738" s="168">
        <f t="shared" si="3"/>
        <v>3688.104</v>
      </c>
      <c r="W2738" s="168">
        <f t="shared" si="4"/>
        <v>0</v>
      </c>
      <c r="X2738" s="168">
        <f t="shared" si="5"/>
        <v>0</v>
      </c>
      <c r="Y2738" s="168">
        <f t="shared" si="6"/>
        <v>0</v>
      </c>
      <c r="Z2738" s="168">
        <f t="shared" si="7"/>
        <v>0</v>
      </c>
      <c r="AA2738" s="168">
        <f t="shared" si="8"/>
        <v>0</v>
      </c>
      <c r="AB2738" s="168">
        <f t="shared" si="9"/>
        <v>0</v>
      </c>
    </row>
    <row r="2739" ht="15.0" customHeight="1">
      <c r="A2739" s="157" t="s">
        <v>10290</v>
      </c>
      <c r="B2739" s="169" t="s">
        <v>44</v>
      </c>
      <c r="C2739" s="169" t="s">
        <v>10287</v>
      </c>
      <c r="D2739" s="317">
        <v>45553.0</v>
      </c>
      <c r="E2739" s="157" t="s">
        <v>600</v>
      </c>
      <c r="F2739" s="160">
        <v>1564.57</v>
      </c>
      <c r="G2739" s="160">
        <f>'FACUS$'!$F2739*0.16</f>
        <v>250.3312</v>
      </c>
      <c r="H2739" s="160">
        <f t="shared" si="68"/>
        <v>1814.9012</v>
      </c>
      <c r="I2739" s="172"/>
      <c r="J2739" s="169"/>
      <c r="K2739" s="172"/>
      <c r="L2739" s="172">
        <f>+'FACUS$'!$H2739-'FACUS$'!$I2739-'FACUS$'!$K2739</f>
        <v>1814.9012</v>
      </c>
      <c r="M2739" s="162" t="s">
        <v>361</v>
      </c>
      <c r="N2739" s="337" t="s">
        <v>554</v>
      </c>
      <c r="O2739" s="338">
        <v>45562.0</v>
      </c>
      <c r="P2739" s="164">
        <f t="array" ref="P2739">XLOOKUP('FACUS$'!$B2739,'perfil de pagos'!$A$4:$A$46,'perfil de pagos'!$C$4:$C$46+'FACUS$'!$D2739)</f>
        <v>45563</v>
      </c>
      <c r="Q2739" s="165">
        <f t="shared" si="70"/>
        <v>0</v>
      </c>
      <c r="R2739" s="167"/>
      <c r="S2739" s="167">
        <v>3296.0</v>
      </c>
      <c r="T2739" s="167"/>
      <c r="U2739" s="334"/>
      <c r="V2739" s="168">
        <f t="shared" si="3"/>
        <v>1814.9012</v>
      </c>
      <c r="W2739" s="168">
        <f t="shared" si="4"/>
        <v>0</v>
      </c>
      <c r="X2739" s="168">
        <f t="shared" si="5"/>
        <v>0</v>
      </c>
      <c r="Y2739" s="168">
        <f t="shared" si="6"/>
        <v>0</v>
      </c>
      <c r="Z2739" s="168">
        <f t="shared" si="7"/>
        <v>0</v>
      </c>
      <c r="AA2739" s="168">
        <f t="shared" si="8"/>
        <v>0</v>
      </c>
      <c r="AB2739" s="168">
        <f t="shared" si="9"/>
        <v>0</v>
      </c>
    </row>
    <row r="2740" ht="15.0" customHeight="1">
      <c r="A2740" s="157" t="s">
        <v>10291</v>
      </c>
      <c r="B2740" s="169" t="s">
        <v>50</v>
      </c>
      <c r="C2740" s="169" t="s">
        <v>6590</v>
      </c>
      <c r="D2740" s="317">
        <v>45553.0</v>
      </c>
      <c r="E2740" s="157" t="s">
        <v>600</v>
      </c>
      <c r="F2740" s="160">
        <v>8670.09</v>
      </c>
      <c r="G2740" s="160">
        <f>'FACUS$'!$F2740*0.16</f>
        <v>1387.2144</v>
      </c>
      <c r="H2740" s="160">
        <f t="shared" si="68"/>
        <v>10057.3044</v>
      </c>
      <c r="I2740" s="172"/>
      <c r="J2740" s="169"/>
      <c r="K2740" s="172"/>
      <c r="L2740" s="172">
        <f>+'FACUS$'!$H2740-'FACUS$'!$I2740-'FACUS$'!$K2740</f>
        <v>10057.3044</v>
      </c>
      <c r="M2740" s="162" t="s">
        <v>570</v>
      </c>
      <c r="N2740" s="337" t="s">
        <v>554</v>
      </c>
      <c r="O2740" s="338">
        <v>45576.0</v>
      </c>
      <c r="P2740" s="164">
        <f t="array" ref="P2740">XLOOKUP('FACUS$'!$B2740,'perfil de pagos'!$A$4:$A$46,'perfil de pagos'!$C$4:$C$46+'FACUS$'!$D2740)</f>
        <v>45563</v>
      </c>
      <c r="Q2740" s="165">
        <f t="shared" si="70"/>
        <v>0</v>
      </c>
      <c r="R2740" s="167"/>
      <c r="S2740" s="167">
        <v>3319.0</v>
      </c>
      <c r="T2740" s="167"/>
      <c r="U2740" s="334"/>
      <c r="V2740" s="168">
        <f t="shared" si="3"/>
        <v>10057.3044</v>
      </c>
      <c r="W2740" s="168">
        <f t="shared" si="4"/>
        <v>0</v>
      </c>
      <c r="X2740" s="168">
        <f t="shared" si="5"/>
        <v>0</v>
      </c>
      <c r="Y2740" s="168">
        <f t="shared" si="6"/>
        <v>0</v>
      </c>
      <c r="Z2740" s="168">
        <f t="shared" si="7"/>
        <v>0</v>
      </c>
      <c r="AA2740" s="168">
        <f t="shared" si="8"/>
        <v>0</v>
      </c>
      <c r="AB2740" s="168">
        <f t="shared" si="9"/>
        <v>0</v>
      </c>
    </row>
    <row r="2741" ht="15.0" customHeight="1">
      <c r="A2741" s="157" t="s">
        <v>10292</v>
      </c>
      <c r="B2741" s="169" t="s">
        <v>50</v>
      </c>
      <c r="C2741" s="169" t="s">
        <v>10287</v>
      </c>
      <c r="D2741" s="317">
        <v>45553.0</v>
      </c>
      <c r="E2741" s="157" t="s">
        <v>600</v>
      </c>
      <c r="F2741" s="160">
        <v>10765.15</v>
      </c>
      <c r="G2741" s="160">
        <f>'FACUS$'!$F2741*0.16</f>
        <v>1722.424</v>
      </c>
      <c r="H2741" s="160">
        <f t="shared" si="68"/>
        <v>12487.574</v>
      </c>
      <c r="I2741" s="172"/>
      <c r="J2741" s="169"/>
      <c r="K2741" s="172"/>
      <c r="L2741" s="172">
        <f>+'FACUS$'!$H2741-'FACUS$'!$I2741-'FACUS$'!$K2741</f>
        <v>12487.574</v>
      </c>
      <c r="M2741" s="162" t="s">
        <v>570</v>
      </c>
      <c r="N2741" s="337" t="s">
        <v>554</v>
      </c>
      <c r="O2741" s="338">
        <v>45586.0</v>
      </c>
      <c r="P2741" s="164">
        <f t="array" ref="P2741">XLOOKUP('FACUS$'!$B2741,'perfil de pagos'!$A$4:$A$46,'perfil de pagos'!$C$4:$C$46+'FACUS$'!$D2741)</f>
        <v>45563</v>
      </c>
      <c r="Q2741" s="165">
        <f t="shared" si="70"/>
        <v>0</v>
      </c>
      <c r="R2741" s="167"/>
      <c r="S2741" s="167">
        <v>3345.0</v>
      </c>
      <c r="T2741" s="167"/>
      <c r="U2741" s="334"/>
      <c r="V2741" s="168">
        <f t="shared" si="3"/>
        <v>12487.574</v>
      </c>
      <c r="W2741" s="168">
        <f t="shared" si="4"/>
        <v>0</v>
      </c>
      <c r="X2741" s="168">
        <f t="shared" si="5"/>
        <v>0</v>
      </c>
      <c r="Y2741" s="168">
        <f t="shared" si="6"/>
        <v>0</v>
      </c>
      <c r="Z2741" s="168">
        <f t="shared" si="7"/>
        <v>0</v>
      </c>
      <c r="AA2741" s="168">
        <f t="shared" si="8"/>
        <v>0</v>
      </c>
      <c r="AB2741" s="168">
        <f t="shared" si="9"/>
        <v>0</v>
      </c>
    </row>
    <row r="2742" ht="15.0" customHeight="1">
      <c r="A2742" s="157" t="s">
        <v>10293</v>
      </c>
      <c r="B2742" s="169" t="s">
        <v>38</v>
      </c>
      <c r="C2742" s="169" t="s">
        <v>10287</v>
      </c>
      <c r="D2742" s="317">
        <v>45553.0</v>
      </c>
      <c r="E2742" s="157" t="s">
        <v>600</v>
      </c>
      <c r="F2742" s="160">
        <v>2108.26</v>
      </c>
      <c r="G2742" s="160">
        <f>'FACUS$'!$F2742*0.16</f>
        <v>337.3216</v>
      </c>
      <c r="H2742" s="160">
        <f t="shared" si="68"/>
        <v>2445.5816</v>
      </c>
      <c r="I2742" s="172"/>
      <c r="J2742" s="169"/>
      <c r="K2742" s="172"/>
      <c r="L2742" s="172">
        <f>+'FACUS$'!$H2742-'FACUS$'!$I2742-'FACUS$'!$K2742</f>
        <v>2445.5816</v>
      </c>
      <c r="M2742" s="162" t="s">
        <v>4654</v>
      </c>
      <c r="N2742" s="337" t="s">
        <v>554</v>
      </c>
      <c r="O2742" s="338">
        <v>45595.0</v>
      </c>
      <c r="P2742" s="164">
        <f t="array" ref="P2742">XLOOKUP('FACUS$'!$B2742,'perfil de pagos'!$A$4:$A$46,'perfil de pagos'!$C$4:$C$46+'FACUS$'!$D2742)</f>
        <v>45583</v>
      </c>
      <c r="Q2742" s="165">
        <f t="shared" si="70"/>
        <v>0</v>
      </c>
      <c r="R2742" s="167"/>
      <c r="S2742" s="167">
        <v>3370.0</v>
      </c>
      <c r="T2742" s="167"/>
      <c r="U2742" s="334"/>
      <c r="V2742" s="168">
        <f t="shared" si="3"/>
        <v>2445.5816</v>
      </c>
      <c r="W2742" s="168">
        <f t="shared" si="4"/>
        <v>0</v>
      </c>
      <c r="X2742" s="168">
        <f t="shared" si="5"/>
        <v>0</v>
      </c>
      <c r="Y2742" s="168">
        <f t="shared" si="6"/>
        <v>0</v>
      </c>
      <c r="Z2742" s="168">
        <f t="shared" si="7"/>
        <v>0</v>
      </c>
      <c r="AA2742" s="168">
        <f t="shared" si="8"/>
        <v>0</v>
      </c>
      <c r="AB2742" s="168">
        <f t="shared" si="9"/>
        <v>0</v>
      </c>
    </row>
    <row r="2743" ht="15.0" customHeight="1">
      <c r="A2743" s="157" t="s">
        <v>10294</v>
      </c>
      <c r="B2743" s="169" t="s">
        <v>18</v>
      </c>
      <c r="C2743" s="169" t="s">
        <v>10287</v>
      </c>
      <c r="D2743" s="317">
        <v>45565.0</v>
      </c>
      <c r="E2743" s="157" t="s">
        <v>600</v>
      </c>
      <c r="F2743" s="160">
        <v>5710.2</v>
      </c>
      <c r="G2743" s="160">
        <f>'FACUS$'!$F2743*0.16</f>
        <v>913.632</v>
      </c>
      <c r="H2743" s="160">
        <f t="shared" si="68"/>
        <v>6623.832</v>
      </c>
      <c r="I2743" s="172"/>
      <c r="J2743" s="169"/>
      <c r="K2743" s="172"/>
      <c r="L2743" s="172">
        <f>+'FACUS$'!$H2743-'FACUS$'!$I2743-'FACUS$'!$K2743</f>
        <v>6623.832</v>
      </c>
      <c r="M2743" s="162" t="s">
        <v>586</v>
      </c>
      <c r="N2743" s="337" t="s">
        <v>554</v>
      </c>
      <c r="O2743" s="338">
        <v>45593.0</v>
      </c>
      <c r="P2743" s="164">
        <f t="array" ref="P2743">XLOOKUP('FACUS$'!$B2743,'perfil de pagos'!$A$4:$A$46,'perfil de pagos'!$C$4:$C$46+'FACUS$'!$D2743)</f>
        <v>45575</v>
      </c>
      <c r="Q2743" s="165">
        <f t="shared" si="70"/>
        <v>0</v>
      </c>
      <c r="R2743" s="167"/>
      <c r="S2743" s="167">
        <v>3361.0</v>
      </c>
      <c r="T2743" s="167"/>
      <c r="U2743" s="334"/>
      <c r="V2743" s="168">
        <f t="shared" si="3"/>
        <v>6623.832</v>
      </c>
      <c r="W2743" s="168">
        <f t="shared" si="4"/>
        <v>0</v>
      </c>
      <c r="X2743" s="168">
        <f t="shared" si="5"/>
        <v>0</v>
      </c>
      <c r="Y2743" s="168">
        <f t="shared" si="6"/>
        <v>0</v>
      </c>
      <c r="Z2743" s="168">
        <f t="shared" si="7"/>
        <v>0</v>
      </c>
      <c r="AA2743" s="168">
        <f t="shared" si="8"/>
        <v>0</v>
      </c>
      <c r="AB2743" s="168">
        <f t="shared" si="9"/>
        <v>0</v>
      </c>
    </row>
    <row r="2744" ht="15.0" customHeight="1">
      <c r="A2744" s="157" t="s">
        <v>10295</v>
      </c>
      <c r="B2744" s="169" t="s">
        <v>20</v>
      </c>
      <c r="C2744" s="169" t="s">
        <v>10287</v>
      </c>
      <c r="D2744" s="317">
        <v>45565.0</v>
      </c>
      <c r="E2744" s="157" t="s">
        <v>600</v>
      </c>
      <c r="F2744" s="160">
        <v>13091.99</v>
      </c>
      <c r="G2744" s="160">
        <f>'FACUS$'!$F2744*0.16</f>
        <v>2094.7184</v>
      </c>
      <c r="H2744" s="160">
        <f t="shared" si="68"/>
        <v>15186.7084</v>
      </c>
      <c r="I2744" s="172"/>
      <c r="J2744" s="169"/>
      <c r="K2744" s="172"/>
      <c r="L2744" s="172">
        <f>+'FACUS$'!$H2744-'FACUS$'!$I2744-'FACUS$'!$K2744</f>
        <v>15186.7084</v>
      </c>
      <c r="M2744" s="162" t="s">
        <v>732</v>
      </c>
      <c r="N2744" s="337" t="s">
        <v>554</v>
      </c>
      <c r="O2744" s="338">
        <v>45593.0</v>
      </c>
      <c r="P2744" s="164">
        <f t="array" ref="P2744">XLOOKUP('FACUS$'!$B2744,'perfil de pagos'!$A$4:$A$46,'perfil de pagos'!$C$4:$C$46+'FACUS$'!$D2744)</f>
        <v>45575</v>
      </c>
      <c r="Q2744" s="165">
        <f t="shared" si="70"/>
        <v>0</v>
      </c>
      <c r="R2744" s="167"/>
      <c r="S2744" s="167">
        <v>3361.0</v>
      </c>
      <c r="T2744" s="167"/>
      <c r="U2744" s="334"/>
      <c r="V2744" s="168">
        <f t="shared" si="3"/>
        <v>15186.7084</v>
      </c>
      <c r="W2744" s="168">
        <f t="shared" si="4"/>
        <v>0</v>
      </c>
      <c r="X2744" s="168">
        <f t="shared" si="5"/>
        <v>0</v>
      </c>
      <c r="Y2744" s="168">
        <f t="shared" si="6"/>
        <v>0</v>
      </c>
      <c r="Z2744" s="168">
        <f t="shared" si="7"/>
        <v>0</v>
      </c>
      <c r="AA2744" s="168">
        <f t="shared" si="8"/>
        <v>0</v>
      </c>
      <c r="AB2744" s="168">
        <f t="shared" si="9"/>
        <v>0</v>
      </c>
    </row>
    <row r="2745" ht="15.0" customHeight="1">
      <c r="A2745" s="157" t="s">
        <v>10296</v>
      </c>
      <c r="B2745" s="169" t="s">
        <v>25</v>
      </c>
      <c r="C2745" s="169" t="s">
        <v>10287</v>
      </c>
      <c r="D2745" s="317">
        <v>45565.0</v>
      </c>
      <c r="E2745" s="157" t="s">
        <v>600</v>
      </c>
      <c r="F2745" s="160">
        <v>4895.85</v>
      </c>
      <c r="G2745" s="160">
        <f>'FACUS$'!$F2745*0.16</f>
        <v>783.336</v>
      </c>
      <c r="H2745" s="160">
        <f t="shared" si="68"/>
        <v>5679.186</v>
      </c>
      <c r="I2745" s="172"/>
      <c r="J2745" s="169"/>
      <c r="K2745" s="172"/>
      <c r="L2745" s="172">
        <f>+'FACUS$'!$H2745-'FACUS$'!$I2745-'FACUS$'!$K2745</f>
        <v>5679.186</v>
      </c>
      <c r="M2745" s="162" t="s">
        <v>4388</v>
      </c>
      <c r="N2745" s="337" t="s">
        <v>554</v>
      </c>
      <c r="O2745" s="338">
        <v>45604.0</v>
      </c>
      <c r="P2745" s="164">
        <f t="array" ref="P2745">XLOOKUP('FACUS$'!$B2745,'perfil de pagos'!$A$4:$A$46,'perfil de pagos'!$C$4:$C$46+'FACUS$'!$D2745)</f>
        <v>45575</v>
      </c>
      <c r="Q2745" s="165">
        <f t="shared" si="70"/>
        <v>0</v>
      </c>
      <c r="R2745" s="167"/>
      <c r="S2745" s="167">
        <v>3391.0</v>
      </c>
      <c r="T2745" s="167"/>
      <c r="U2745" s="334"/>
      <c r="V2745" s="168">
        <f t="shared" si="3"/>
        <v>5679.186</v>
      </c>
      <c r="W2745" s="168">
        <f t="shared" si="4"/>
        <v>0</v>
      </c>
      <c r="X2745" s="168">
        <f t="shared" si="5"/>
        <v>0</v>
      </c>
      <c r="Y2745" s="168">
        <f t="shared" si="6"/>
        <v>0</v>
      </c>
      <c r="Z2745" s="168">
        <f t="shared" si="7"/>
        <v>0</v>
      </c>
      <c r="AA2745" s="168">
        <f t="shared" si="8"/>
        <v>0</v>
      </c>
      <c r="AB2745" s="168">
        <f t="shared" si="9"/>
        <v>0</v>
      </c>
    </row>
    <row r="2746" ht="15.0" customHeight="1">
      <c r="A2746" s="157" t="s">
        <v>10297</v>
      </c>
      <c r="B2746" s="169" t="s">
        <v>37</v>
      </c>
      <c r="C2746" s="169" t="s">
        <v>10287</v>
      </c>
      <c r="D2746" s="317">
        <v>45565.0</v>
      </c>
      <c r="E2746" s="157" t="s">
        <v>600</v>
      </c>
      <c r="F2746" s="160">
        <v>92609.95</v>
      </c>
      <c r="G2746" s="160">
        <f>'FACUS$'!$F2746*0.16</f>
        <v>14817.592</v>
      </c>
      <c r="H2746" s="160">
        <f t="shared" si="68"/>
        <v>107427.542</v>
      </c>
      <c r="I2746" s="172"/>
      <c r="J2746" s="169"/>
      <c r="K2746" s="172"/>
      <c r="L2746" s="172">
        <f>+'FACUS$'!$H2746-'FACUS$'!$I2746-'FACUS$'!$K2746</f>
        <v>107427.542</v>
      </c>
      <c r="M2746" s="162" t="s">
        <v>116</v>
      </c>
      <c r="N2746" s="337" t="s">
        <v>554</v>
      </c>
      <c r="O2746" s="338">
        <v>45579.0</v>
      </c>
      <c r="P2746" s="164">
        <f t="array" ref="P2746">XLOOKUP('FACUS$'!$B2746,'perfil de pagos'!$A$4:$A$46,'perfil de pagos'!$C$4:$C$46+'FACUS$'!$D2746)</f>
        <v>45575</v>
      </c>
      <c r="Q2746" s="165">
        <f t="shared" si="70"/>
        <v>0</v>
      </c>
      <c r="R2746" s="167"/>
      <c r="S2746" s="220">
        <v>3322.0</v>
      </c>
      <c r="T2746" s="167"/>
      <c r="U2746" s="334"/>
      <c r="V2746" s="168">
        <f t="shared" si="3"/>
        <v>107427.542</v>
      </c>
      <c r="W2746" s="168">
        <f t="shared" si="4"/>
        <v>0</v>
      </c>
      <c r="X2746" s="168">
        <f t="shared" si="5"/>
        <v>0</v>
      </c>
      <c r="Y2746" s="168">
        <f t="shared" si="6"/>
        <v>0</v>
      </c>
      <c r="Z2746" s="168">
        <f t="shared" si="7"/>
        <v>0</v>
      </c>
      <c r="AA2746" s="168">
        <f t="shared" si="8"/>
        <v>0</v>
      </c>
      <c r="AB2746" s="168">
        <f t="shared" si="9"/>
        <v>0</v>
      </c>
    </row>
    <row r="2747" ht="15.0" customHeight="1">
      <c r="A2747" s="157" t="s">
        <v>10298</v>
      </c>
      <c r="B2747" s="169" t="s">
        <v>50</v>
      </c>
      <c r="C2747" s="169" t="s">
        <v>6627</v>
      </c>
      <c r="D2747" s="317">
        <v>45568.0</v>
      </c>
      <c r="E2747" s="157" t="s">
        <v>600</v>
      </c>
      <c r="F2747" s="160">
        <v>13248.9</v>
      </c>
      <c r="G2747" s="160">
        <f>'FACUS$'!$F2747*0.16</f>
        <v>2119.824</v>
      </c>
      <c r="H2747" s="160">
        <f t="shared" si="68"/>
        <v>15368.724</v>
      </c>
      <c r="I2747" s="172"/>
      <c r="J2747" s="169"/>
      <c r="K2747" s="172"/>
      <c r="L2747" s="172">
        <f>+'FACUS$'!$H2747-'FACUS$'!$I2747-'FACUS$'!$K2747</f>
        <v>15368.724</v>
      </c>
      <c r="M2747" s="162" t="s">
        <v>570</v>
      </c>
      <c r="N2747" s="337" t="s">
        <v>554</v>
      </c>
      <c r="O2747" s="338">
        <v>45590.0</v>
      </c>
      <c r="P2747" s="164">
        <f t="array" ref="P2747">XLOOKUP('FACUS$'!$B2747,'perfil de pagos'!$A$4:$A$46,'perfil de pagos'!$C$4:$C$46+'FACUS$'!$D2747)</f>
        <v>45578</v>
      </c>
      <c r="Q2747" s="165">
        <f t="shared" si="70"/>
        <v>0</v>
      </c>
      <c r="R2747" s="167"/>
      <c r="S2747" s="167">
        <v>3358.0</v>
      </c>
      <c r="T2747" s="167"/>
      <c r="U2747" s="334"/>
      <c r="V2747" s="168">
        <f t="shared" si="3"/>
        <v>15368.724</v>
      </c>
      <c r="W2747" s="168">
        <f t="shared" si="4"/>
        <v>0</v>
      </c>
      <c r="X2747" s="168">
        <f t="shared" si="5"/>
        <v>0</v>
      </c>
      <c r="Y2747" s="168">
        <f t="shared" si="6"/>
        <v>0</v>
      </c>
      <c r="Z2747" s="168">
        <f t="shared" si="7"/>
        <v>0</v>
      </c>
      <c r="AA2747" s="168">
        <f t="shared" si="8"/>
        <v>0</v>
      </c>
      <c r="AB2747" s="168">
        <f t="shared" si="9"/>
        <v>0</v>
      </c>
    </row>
    <row r="2748" ht="15.0" customHeight="1">
      <c r="A2748" s="157" t="s">
        <v>10299</v>
      </c>
      <c r="B2748" s="169" t="s">
        <v>50</v>
      </c>
      <c r="C2748" s="169" t="s">
        <v>6627</v>
      </c>
      <c r="D2748" s="317">
        <v>45568.0</v>
      </c>
      <c r="E2748" s="157" t="s">
        <v>600</v>
      </c>
      <c r="F2748" s="160">
        <v>15483.84</v>
      </c>
      <c r="G2748" s="160">
        <f>'FACUS$'!$F2748*0.16</f>
        <v>2477.4144</v>
      </c>
      <c r="H2748" s="160">
        <f t="shared" si="68"/>
        <v>17961.2544</v>
      </c>
      <c r="I2748" s="172"/>
      <c r="J2748" s="169"/>
      <c r="K2748" s="172"/>
      <c r="L2748" s="172">
        <f>+'FACUS$'!$H2748-'FACUS$'!$I2748-'FACUS$'!$K2748</f>
        <v>17961.2544</v>
      </c>
      <c r="M2748" s="162" t="s">
        <v>570</v>
      </c>
      <c r="N2748" s="337" t="s">
        <v>554</v>
      </c>
      <c r="O2748" s="338">
        <v>45597.0</v>
      </c>
      <c r="P2748" s="164">
        <f t="array" ref="P2748">XLOOKUP('FACUS$'!$B2748,'perfil de pagos'!$A$4:$A$46,'perfil de pagos'!$C$4:$C$46+'FACUS$'!$D2748)</f>
        <v>45578</v>
      </c>
      <c r="Q2748" s="165">
        <f t="shared" si="70"/>
        <v>0</v>
      </c>
      <c r="R2748" s="167"/>
      <c r="S2748" s="167">
        <v>3376.0</v>
      </c>
      <c r="T2748" s="167"/>
      <c r="U2748" s="334"/>
      <c r="V2748" s="168">
        <f t="shared" si="3"/>
        <v>17961.2544</v>
      </c>
      <c r="W2748" s="168">
        <f t="shared" si="4"/>
        <v>0</v>
      </c>
      <c r="X2748" s="168">
        <f t="shared" si="5"/>
        <v>0</v>
      </c>
      <c r="Y2748" s="168">
        <f t="shared" si="6"/>
        <v>0</v>
      </c>
      <c r="Z2748" s="168">
        <f t="shared" si="7"/>
        <v>0</v>
      </c>
      <c r="AA2748" s="168">
        <f t="shared" si="8"/>
        <v>0</v>
      </c>
      <c r="AB2748" s="168">
        <f t="shared" si="9"/>
        <v>0</v>
      </c>
    </row>
    <row r="2749" ht="15.0" customHeight="1">
      <c r="A2749" s="157" t="s">
        <v>10300</v>
      </c>
      <c r="B2749" s="169" t="s">
        <v>41</v>
      </c>
      <c r="C2749" s="169" t="s">
        <v>10301</v>
      </c>
      <c r="D2749" s="317">
        <v>45568.0</v>
      </c>
      <c r="E2749" s="157" t="s">
        <v>600</v>
      </c>
      <c r="F2749" s="160">
        <v>71403.04</v>
      </c>
      <c r="G2749" s="160">
        <f>'FACUS$'!$F2749*0.16</f>
        <v>11424.4864</v>
      </c>
      <c r="H2749" s="160">
        <f t="shared" si="68"/>
        <v>82827.5264</v>
      </c>
      <c r="I2749" s="172"/>
      <c r="J2749" s="169"/>
      <c r="K2749" s="172"/>
      <c r="L2749" s="172">
        <f>+'FACUS$'!$H2749-'FACUS$'!$I2749-'FACUS$'!$K2749</f>
        <v>82827.5264</v>
      </c>
      <c r="M2749" s="162" t="s">
        <v>875</v>
      </c>
      <c r="N2749" s="337" t="s">
        <v>554</v>
      </c>
      <c r="O2749" s="338">
        <v>45608.0</v>
      </c>
      <c r="P2749" s="164">
        <f t="array" ref="P2749">XLOOKUP('FACUS$'!$B2749,'perfil de pagos'!$A$4:$A$46,'perfil de pagos'!$C$4:$C$46+'FACUS$'!$D2749)</f>
        <v>45578</v>
      </c>
      <c r="Q2749" s="165">
        <f t="shared" si="70"/>
        <v>0</v>
      </c>
      <c r="R2749" s="167"/>
      <c r="S2749" s="167">
        <v>3395.0</v>
      </c>
      <c r="T2749" s="167"/>
      <c r="U2749" s="334"/>
      <c r="V2749" s="168">
        <f t="shared" si="3"/>
        <v>82827.5264</v>
      </c>
      <c r="W2749" s="168">
        <f t="shared" si="4"/>
        <v>0</v>
      </c>
      <c r="X2749" s="168">
        <f t="shared" si="5"/>
        <v>0</v>
      </c>
      <c r="Y2749" s="168">
        <f t="shared" si="6"/>
        <v>0</v>
      </c>
      <c r="Z2749" s="168">
        <f t="shared" si="7"/>
        <v>0</v>
      </c>
      <c r="AA2749" s="168">
        <f t="shared" si="8"/>
        <v>0</v>
      </c>
      <c r="AB2749" s="168">
        <f t="shared" si="9"/>
        <v>0</v>
      </c>
    </row>
    <row r="2750" ht="15.0" customHeight="1">
      <c r="A2750" s="157" t="s">
        <v>10302</v>
      </c>
      <c r="B2750" s="169" t="s">
        <v>35</v>
      </c>
      <c r="C2750" s="169" t="s">
        <v>10301</v>
      </c>
      <c r="D2750" s="317">
        <v>45568.0</v>
      </c>
      <c r="E2750" s="157" t="s">
        <v>600</v>
      </c>
      <c r="F2750" s="160">
        <v>1787.96</v>
      </c>
      <c r="G2750" s="160">
        <f>'FACUS$'!$F2750*0.16</f>
        <v>286.0736</v>
      </c>
      <c r="H2750" s="160">
        <f t="shared" si="68"/>
        <v>2074.0336</v>
      </c>
      <c r="I2750" s="172"/>
      <c r="J2750" s="169"/>
      <c r="K2750" s="172"/>
      <c r="L2750" s="172">
        <f>+'FACUS$'!$H2750-'FACUS$'!$I2750-'FACUS$'!$K2750</f>
        <v>2074.0336</v>
      </c>
      <c r="M2750" s="162" t="s">
        <v>276</v>
      </c>
      <c r="N2750" s="337" t="s">
        <v>554</v>
      </c>
      <c r="O2750" s="338">
        <v>45594.0</v>
      </c>
      <c r="P2750" s="164">
        <f t="array" ref="P2750">XLOOKUP('FACUS$'!$B2750,'perfil de pagos'!$A$4:$A$46,'perfil de pagos'!$C$4:$C$46+'FACUS$'!$D2750)</f>
        <v>45578</v>
      </c>
      <c r="Q2750" s="165">
        <f t="shared" si="70"/>
        <v>0</v>
      </c>
      <c r="R2750" s="167"/>
      <c r="S2750" s="167">
        <v>3362.0</v>
      </c>
      <c r="T2750" s="167"/>
      <c r="U2750" s="334"/>
      <c r="V2750" s="168">
        <f t="shared" si="3"/>
        <v>2074.0336</v>
      </c>
      <c r="W2750" s="168">
        <f t="shared" si="4"/>
        <v>0</v>
      </c>
      <c r="X2750" s="168">
        <f t="shared" si="5"/>
        <v>0</v>
      </c>
      <c r="Y2750" s="168">
        <f t="shared" si="6"/>
        <v>0</v>
      </c>
      <c r="Z2750" s="168">
        <f t="shared" si="7"/>
        <v>0</v>
      </c>
      <c r="AA2750" s="168">
        <f t="shared" si="8"/>
        <v>0</v>
      </c>
      <c r="AB2750" s="168">
        <f t="shared" si="9"/>
        <v>0</v>
      </c>
    </row>
    <row r="2751" ht="15.0" customHeight="1">
      <c r="A2751" s="157" t="s">
        <v>10303</v>
      </c>
      <c r="B2751" s="169" t="s">
        <v>17</v>
      </c>
      <c r="C2751" s="169" t="s">
        <v>6627</v>
      </c>
      <c r="D2751" s="317">
        <v>45568.0</v>
      </c>
      <c r="E2751" s="157" t="s">
        <v>600</v>
      </c>
      <c r="F2751" s="160">
        <v>6173.4</v>
      </c>
      <c r="G2751" s="160">
        <f>'FACUS$'!$F2751*0.16</f>
        <v>987.744</v>
      </c>
      <c r="H2751" s="160">
        <f t="shared" si="68"/>
        <v>7161.144</v>
      </c>
      <c r="I2751" s="172"/>
      <c r="J2751" s="169"/>
      <c r="K2751" s="172"/>
      <c r="L2751" s="172">
        <f>+'FACUS$'!$H2751-'FACUS$'!$I2751-'FACUS$'!$K2751</f>
        <v>7161.144</v>
      </c>
      <c r="M2751" s="162" t="s">
        <v>17</v>
      </c>
      <c r="N2751" s="337" t="s">
        <v>554</v>
      </c>
      <c r="O2751" s="338">
        <v>45589.0</v>
      </c>
      <c r="P2751" s="164">
        <f t="array" ref="P2751">XLOOKUP('FACUS$'!$B2751,'perfil de pagos'!$A$4:$A$46,'perfil de pagos'!$C$4:$C$46+'FACUS$'!$D2751)</f>
        <v>45578</v>
      </c>
      <c r="Q2751" s="165">
        <f t="shared" si="70"/>
        <v>0</v>
      </c>
      <c r="R2751" s="167"/>
      <c r="S2751" s="167">
        <v>3347.0</v>
      </c>
      <c r="T2751" s="167"/>
      <c r="U2751" s="334"/>
      <c r="V2751" s="168">
        <f t="shared" si="3"/>
        <v>7161.144</v>
      </c>
      <c r="W2751" s="168">
        <f t="shared" si="4"/>
        <v>0</v>
      </c>
      <c r="X2751" s="168">
        <f t="shared" si="5"/>
        <v>0</v>
      </c>
      <c r="Y2751" s="168">
        <f t="shared" si="6"/>
        <v>0</v>
      </c>
      <c r="Z2751" s="168">
        <f t="shared" si="7"/>
        <v>0</v>
      </c>
      <c r="AA2751" s="168">
        <f t="shared" si="8"/>
        <v>0</v>
      </c>
      <c r="AB2751" s="168">
        <f t="shared" si="9"/>
        <v>0</v>
      </c>
    </row>
    <row r="2752" ht="15.0" customHeight="1">
      <c r="A2752" s="157" t="s">
        <v>10304</v>
      </c>
      <c r="B2752" s="169" t="s">
        <v>17</v>
      </c>
      <c r="C2752" s="169" t="s">
        <v>6627</v>
      </c>
      <c r="D2752" s="317">
        <v>45568.0</v>
      </c>
      <c r="E2752" s="157" t="s">
        <v>600</v>
      </c>
      <c r="F2752" s="160">
        <v>10282.04</v>
      </c>
      <c r="G2752" s="160">
        <f>'FACUS$'!$F2752*0.16</f>
        <v>1645.1264</v>
      </c>
      <c r="H2752" s="160">
        <f t="shared" si="68"/>
        <v>11927.1664</v>
      </c>
      <c r="I2752" s="172"/>
      <c r="J2752" s="169"/>
      <c r="K2752" s="172"/>
      <c r="L2752" s="172">
        <f>+'FACUS$'!$H2752-'FACUS$'!$I2752-'FACUS$'!$K2752</f>
        <v>11927.1664</v>
      </c>
      <c r="M2752" s="162" t="s">
        <v>17</v>
      </c>
      <c r="N2752" s="337" t="s">
        <v>554</v>
      </c>
      <c r="O2752" s="338">
        <v>45589.0</v>
      </c>
      <c r="P2752" s="164">
        <f t="array" ref="P2752">XLOOKUP('FACUS$'!$B2752,'perfil de pagos'!$A$4:$A$46,'perfil de pagos'!$C$4:$C$46+'FACUS$'!$D2752)</f>
        <v>45578</v>
      </c>
      <c r="Q2752" s="165">
        <f t="shared" si="70"/>
        <v>0</v>
      </c>
      <c r="R2752" s="167"/>
      <c r="S2752" s="167">
        <v>3347.0</v>
      </c>
      <c r="T2752" s="167"/>
      <c r="U2752" s="334"/>
      <c r="V2752" s="168">
        <f t="shared" si="3"/>
        <v>11927.1664</v>
      </c>
      <c r="W2752" s="168">
        <f t="shared" si="4"/>
        <v>0</v>
      </c>
      <c r="X2752" s="168">
        <f t="shared" si="5"/>
        <v>0</v>
      </c>
      <c r="Y2752" s="168">
        <f t="shared" si="6"/>
        <v>0</v>
      </c>
      <c r="Z2752" s="168">
        <f t="shared" si="7"/>
        <v>0</v>
      </c>
      <c r="AA2752" s="168">
        <f t="shared" si="8"/>
        <v>0</v>
      </c>
      <c r="AB2752" s="168">
        <f t="shared" si="9"/>
        <v>0</v>
      </c>
    </row>
    <row r="2753" ht="15.0" customHeight="1">
      <c r="A2753" s="157" t="s">
        <v>10305</v>
      </c>
      <c r="B2753" s="169" t="s">
        <v>42</v>
      </c>
      <c r="C2753" s="169" t="s">
        <v>10301</v>
      </c>
      <c r="D2753" s="317">
        <v>45568.0</v>
      </c>
      <c r="E2753" s="157" t="s">
        <v>600</v>
      </c>
      <c r="F2753" s="160">
        <v>3740.92</v>
      </c>
      <c r="G2753" s="160">
        <f>'FACUS$'!$F2753*0.16</f>
        <v>598.5472</v>
      </c>
      <c r="H2753" s="160">
        <f t="shared" si="68"/>
        <v>4339.4672</v>
      </c>
      <c r="I2753" s="172"/>
      <c r="J2753" s="169"/>
      <c r="K2753" s="172"/>
      <c r="L2753" s="172">
        <f>+'FACUS$'!$H2753-'FACUS$'!$I2753-'FACUS$'!$K2753</f>
        <v>4339.4672</v>
      </c>
      <c r="M2753" s="162" t="s">
        <v>42</v>
      </c>
      <c r="N2753" s="337" t="s">
        <v>554</v>
      </c>
      <c r="O2753" s="338">
        <v>45589.0</v>
      </c>
      <c r="P2753" s="164">
        <f t="array" ref="P2753">XLOOKUP('FACUS$'!$B2753,'perfil de pagos'!$A$4:$A$46,'perfil de pagos'!$C$4:$C$46+'FACUS$'!$D2753)</f>
        <v>45578</v>
      </c>
      <c r="Q2753" s="165">
        <f t="shared" si="70"/>
        <v>0</v>
      </c>
      <c r="R2753" s="167"/>
      <c r="S2753" s="167">
        <v>3348.0</v>
      </c>
      <c r="T2753" s="167"/>
      <c r="U2753" s="334"/>
      <c r="V2753" s="168">
        <f t="shared" si="3"/>
        <v>4339.4672</v>
      </c>
      <c r="W2753" s="168">
        <f t="shared" si="4"/>
        <v>0</v>
      </c>
      <c r="X2753" s="168">
        <f t="shared" si="5"/>
        <v>0</v>
      </c>
      <c r="Y2753" s="168">
        <f t="shared" si="6"/>
        <v>0</v>
      </c>
      <c r="Z2753" s="168">
        <f t="shared" si="7"/>
        <v>0</v>
      </c>
      <c r="AA2753" s="168">
        <f t="shared" si="8"/>
        <v>0</v>
      </c>
      <c r="AB2753" s="168">
        <f t="shared" si="9"/>
        <v>0</v>
      </c>
    </row>
    <row r="2754" ht="15.0" customHeight="1">
      <c r="A2754" s="157" t="s">
        <v>10306</v>
      </c>
      <c r="B2754" s="169" t="s">
        <v>44</v>
      </c>
      <c r="C2754" s="169" t="s">
        <v>10301</v>
      </c>
      <c r="D2754" s="317">
        <v>45568.0</v>
      </c>
      <c r="E2754" s="157" t="s">
        <v>600</v>
      </c>
      <c r="F2754" s="160">
        <v>3634.09</v>
      </c>
      <c r="G2754" s="160">
        <f>'FACUS$'!$F2754*0.16</f>
        <v>581.4544</v>
      </c>
      <c r="H2754" s="160">
        <f t="shared" si="68"/>
        <v>4215.5444</v>
      </c>
      <c r="I2754" s="172"/>
      <c r="J2754" s="169"/>
      <c r="K2754" s="172"/>
      <c r="L2754" s="172">
        <f>+'FACUS$'!$H2754-'FACUS$'!$I2754-'FACUS$'!$K2754</f>
        <v>4215.5444</v>
      </c>
      <c r="M2754" s="162" t="s">
        <v>361</v>
      </c>
      <c r="N2754" s="337" t="s">
        <v>554</v>
      </c>
      <c r="O2754" s="338">
        <v>45576.0</v>
      </c>
      <c r="P2754" s="164">
        <f t="array" ref="P2754">XLOOKUP('FACUS$'!$B2754,'perfil de pagos'!$A$4:$A$46,'perfil de pagos'!$C$4:$C$46+'FACUS$'!$D2754)</f>
        <v>45578</v>
      </c>
      <c r="Q2754" s="165">
        <f t="shared" si="70"/>
        <v>0</v>
      </c>
      <c r="R2754" s="167"/>
      <c r="S2754" s="167">
        <v>3320.0</v>
      </c>
      <c r="T2754" s="167"/>
      <c r="U2754" s="334"/>
      <c r="V2754" s="168">
        <f t="shared" si="3"/>
        <v>4215.5444</v>
      </c>
      <c r="W2754" s="168">
        <f t="shared" si="4"/>
        <v>0</v>
      </c>
      <c r="X2754" s="168">
        <f t="shared" si="5"/>
        <v>0</v>
      </c>
      <c r="Y2754" s="168">
        <f t="shared" si="6"/>
        <v>0</v>
      </c>
      <c r="Z2754" s="168">
        <f t="shared" si="7"/>
        <v>0</v>
      </c>
      <c r="AA2754" s="168">
        <f t="shared" si="8"/>
        <v>0</v>
      </c>
      <c r="AB2754" s="168">
        <f t="shared" si="9"/>
        <v>0</v>
      </c>
    </row>
    <row r="2755" ht="15.0" customHeight="1">
      <c r="A2755" s="157" t="s">
        <v>10307</v>
      </c>
      <c r="B2755" s="169" t="s">
        <v>38</v>
      </c>
      <c r="C2755" s="169" t="s">
        <v>10287</v>
      </c>
      <c r="D2755" s="317">
        <v>45572.0</v>
      </c>
      <c r="E2755" s="157" t="s">
        <v>600</v>
      </c>
      <c r="F2755" s="160">
        <v>7957.95</v>
      </c>
      <c r="G2755" s="160">
        <f>'FACUS$'!$F2755*0.16</f>
        <v>1273.272</v>
      </c>
      <c r="H2755" s="160">
        <f t="shared" si="68"/>
        <v>9231.222</v>
      </c>
      <c r="I2755" s="172"/>
      <c r="J2755" s="169"/>
      <c r="K2755" s="172"/>
      <c r="L2755" s="172">
        <f>+'FACUS$'!$H2755-'FACUS$'!$I2755-'FACUS$'!$K2755</f>
        <v>9231.222</v>
      </c>
      <c r="M2755" s="162" t="s">
        <v>145</v>
      </c>
      <c r="N2755" s="337" t="s">
        <v>554</v>
      </c>
      <c r="O2755" s="338">
        <v>45595.0</v>
      </c>
      <c r="P2755" s="164">
        <f t="array" ref="P2755">XLOOKUP('FACUS$'!$B2755,'perfil de pagos'!$A$4:$A$46,'perfil de pagos'!$C$4:$C$46+'FACUS$'!$D2755)</f>
        <v>45602</v>
      </c>
      <c r="Q2755" s="165">
        <f t="shared" si="70"/>
        <v>0</v>
      </c>
      <c r="R2755" s="167"/>
      <c r="S2755" s="167">
        <v>3370.0</v>
      </c>
      <c r="T2755" s="167"/>
      <c r="U2755" s="334"/>
      <c r="V2755" s="168">
        <f t="shared" si="3"/>
        <v>9231.222</v>
      </c>
      <c r="W2755" s="168">
        <f t="shared" si="4"/>
        <v>0</v>
      </c>
      <c r="X2755" s="168">
        <f t="shared" si="5"/>
        <v>0</v>
      </c>
      <c r="Y2755" s="168">
        <f t="shared" si="6"/>
        <v>0</v>
      </c>
      <c r="Z2755" s="168">
        <f t="shared" si="7"/>
        <v>0</v>
      </c>
      <c r="AA2755" s="168">
        <f t="shared" si="8"/>
        <v>0</v>
      </c>
      <c r="AB2755" s="168">
        <f t="shared" si="9"/>
        <v>0</v>
      </c>
    </row>
    <row r="2756" ht="15.0" customHeight="1">
      <c r="A2756" s="157" t="s">
        <v>10308</v>
      </c>
      <c r="B2756" s="169" t="s">
        <v>52</v>
      </c>
      <c r="C2756" s="169" t="s">
        <v>6627</v>
      </c>
      <c r="D2756" s="317">
        <v>45572.0</v>
      </c>
      <c r="E2756" s="157" t="s">
        <v>600</v>
      </c>
      <c r="F2756" s="160">
        <v>1841.18</v>
      </c>
      <c r="G2756" s="160">
        <f>'FACUS$'!$F2756*0.16</f>
        <v>294.5888</v>
      </c>
      <c r="H2756" s="160">
        <f t="shared" si="68"/>
        <v>2135.7688</v>
      </c>
      <c r="I2756" s="172"/>
      <c r="J2756" s="169"/>
      <c r="K2756" s="172"/>
      <c r="L2756" s="172">
        <f>+'FACUS$'!$H2756-'FACUS$'!$I2756-'FACUS$'!$K2756</f>
        <v>2135.7688</v>
      </c>
      <c r="M2756" s="162" t="s">
        <v>10309</v>
      </c>
      <c r="N2756" s="337" t="s">
        <v>554</v>
      </c>
      <c r="O2756" s="338">
        <v>45590.0</v>
      </c>
      <c r="P2756" s="164">
        <f t="array" ref="P2756">XLOOKUP('FACUS$'!$B2756,'perfil de pagos'!$A$4:$A$46,'perfil de pagos'!$C$4:$C$46+'FACUS$'!$D2756)</f>
        <v>45587</v>
      </c>
      <c r="Q2756" s="165">
        <f t="shared" si="70"/>
        <v>0</v>
      </c>
      <c r="R2756" s="167"/>
      <c r="S2756" s="167">
        <v>3357.0</v>
      </c>
      <c r="T2756" s="167"/>
      <c r="U2756" s="334"/>
      <c r="V2756" s="168">
        <f t="shared" si="3"/>
        <v>2135.7688</v>
      </c>
      <c r="W2756" s="168">
        <f t="shared" si="4"/>
        <v>0</v>
      </c>
      <c r="X2756" s="168">
        <f t="shared" si="5"/>
        <v>0</v>
      </c>
      <c r="Y2756" s="168">
        <f t="shared" si="6"/>
        <v>0</v>
      </c>
      <c r="Z2756" s="168">
        <f t="shared" si="7"/>
        <v>0</v>
      </c>
      <c r="AA2756" s="168">
        <f t="shared" si="8"/>
        <v>0</v>
      </c>
      <c r="AB2756" s="168">
        <f t="shared" si="9"/>
        <v>0</v>
      </c>
    </row>
    <row r="2757" ht="15.0" customHeight="1">
      <c r="A2757" s="157" t="s">
        <v>10310</v>
      </c>
      <c r="B2757" s="169" t="s">
        <v>52</v>
      </c>
      <c r="C2757" s="169" t="s">
        <v>10301</v>
      </c>
      <c r="D2757" s="317">
        <v>45572.0</v>
      </c>
      <c r="E2757" s="157" t="s">
        <v>600</v>
      </c>
      <c r="F2757" s="160">
        <v>1622.77</v>
      </c>
      <c r="G2757" s="160">
        <f>'FACUS$'!$F2757*0.16</f>
        <v>259.6432</v>
      </c>
      <c r="H2757" s="160">
        <f t="shared" si="68"/>
        <v>1882.4132</v>
      </c>
      <c r="I2757" s="172"/>
      <c r="J2757" s="169"/>
      <c r="K2757" s="172"/>
      <c r="L2757" s="172">
        <f>+'FACUS$'!$H2757-'FACUS$'!$I2757-'FACUS$'!$K2757</f>
        <v>1882.4132</v>
      </c>
      <c r="M2757" s="162" t="s">
        <v>10309</v>
      </c>
      <c r="N2757" s="337" t="s">
        <v>554</v>
      </c>
      <c r="O2757" s="338">
        <v>45590.0</v>
      </c>
      <c r="P2757" s="164">
        <f t="array" ref="P2757">XLOOKUP('FACUS$'!$B2757,'perfil de pagos'!$A$4:$A$46,'perfil de pagos'!$C$4:$C$46+'FACUS$'!$D2757)</f>
        <v>45587</v>
      </c>
      <c r="Q2757" s="165">
        <f t="shared" si="70"/>
        <v>0</v>
      </c>
      <c r="R2757" s="167"/>
      <c r="S2757" s="167">
        <v>3356.0</v>
      </c>
      <c r="T2757" s="167"/>
      <c r="U2757" s="334"/>
      <c r="V2757" s="168">
        <f t="shared" si="3"/>
        <v>1882.4132</v>
      </c>
      <c r="W2757" s="168">
        <f t="shared" si="4"/>
        <v>0</v>
      </c>
      <c r="X2757" s="168">
        <f t="shared" si="5"/>
        <v>0</v>
      </c>
      <c r="Y2757" s="168">
        <f t="shared" si="6"/>
        <v>0</v>
      </c>
      <c r="Z2757" s="168">
        <f t="shared" si="7"/>
        <v>0</v>
      </c>
      <c r="AA2757" s="168">
        <f t="shared" si="8"/>
        <v>0</v>
      </c>
      <c r="AB2757" s="168">
        <f t="shared" si="9"/>
        <v>0</v>
      </c>
    </row>
    <row r="2758" ht="15.0" customHeight="1">
      <c r="A2758" s="157" t="s">
        <v>10311</v>
      </c>
      <c r="B2758" s="169" t="s">
        <v>38</v>
      </c>
      <c r="C2758" s="169" t="s">
        <v>10301</v>
      </c>
      <c r="D2758" s="317">
        <v>45574.0</v>
      </c>
      <c r="E2758" s="157" t="s">
        <v>600</v>
      </c>
      <c r="F2758" s="160">
        <v>2572.36</v>
      </c>
      <c r="G2758" s="160">
        <f>'FACUS$'!$F2758*0.16</f>
        <v>411.5776</v>
      </c>
      <c r="H2758" s="160">
        <f t="shared" si="68"/>
        <v>2983.9376</v>
      </c>
      <c r="I2758" s="172"/>
      <c r="J2758" s="169"/>
      <c r="K2758" s="172"/>
      <c r="L2758" s="172">
        <f>+'FACUS$'!$H2758-'FACUS$'!$I2758-'FACUS$'!$K2758</f>
        <v>2983.9376</v>
      </c>
      <c r="M2758" s="162" t="s">
        <v>4654</v>
      </c>
      <c r="N2758" s="337" t="s">
        <v>554</v>
      </c>
      <c r="O2758" s="338">
        <v>45595.0</v>
      </c>
      <c r="P2758" s="164">
        <f t="array" ref="P2758">XLOOKUP('FACUS$'!$B2758,'perfil de pagos'!$A$4:$A$46,'perfil de pagos'!$C$4:$C$46+'FACUS$'!$D2758)</f>
        <v>45604</v>
      </c>
      <c r="Q2758" s="165">
        <f t="shared" si="70"/>
        <v>0</v>
      </c>
      <c r="R2758" s="167"/>
      <c r="S2758" s="167">
        <v>3370.0</v>
      </c>
      <c r="T2758" s="167"/>
      <c r="U2758" s="334"/>
      <c r="V2758" s="168">
        <f t="shared" si="3"/>
        <v>2983.9376</v>
      </c>
      <c r="W2758" s="168">
        <f t="shared" si="4"/>
        <v>0</v>
      </c>
      <c r="X2758" s="168">
        <f t="shared" si="5"/>
        <v>0</v>
      </c>
      <c r="Y2758" s="168">
        <f t="shared" si="6"/>
        <v>0</v>
      </c>
      <c r="Z2758" s="168">
        <f t="shared" si="7"/>
        <v>0</v>
      </c>
      <c r="AA2758" s="168">
        <f t="shared" si="8"/>
        <v>0</v>
      </c>
      <c r="AB2758" s="168">
        <f t="shared" si="9"/>
        <v>0</v>
      </c>
    </row>
    <row r="2759" ht="15.0" customHeight="1">
      <c r="A2759" s="157" t="s">
        <v>10312</v>
      </c>
      <c r="B2759" s="169" t="s">
        <v>18</v>
      </c>
      <c r="C2759" s="169" t="s">
        <v>10301</v>
      </c>
      <c r="D2759" s="317">
        <v>45574.0</v>
      </c>
      <c r="E2759" s="157" t="s">
        <v>600</v>
      </c>
      <c r="F2759" s="160">
        <v>6355.87</v>
      </c>
      <c r="G2759" s="160">
        <f>'FACUS$'!$F2759*0.16</f>
        <v>1016.9392</v>
      </c>
      <c r="H2759" s="160">
        <f t="shared" si="68"/>
        <v>7372.8092</v>
      </c>
      <c r="I2759" s="172"/>
      <c r="J2759" s="169"/>
      <c r="K2759" s="172"/>
      <c r="L2759" s="172">
        <f>+'FACUS$'!$H2759-'FACUS$'!$I2759-'FACUS$'!$K2759</f>
        <v>7372.8092</v>
      </c>
      <c r="M2759" s="162" t="s">
        <v>586</v>
      </c>
      <c r="N2759" s="337" t="s">
        <v>554</v>
      </c>
      <c r="O2759" s="338">
        <v>45593.0</v>
      </c>
      <c r="P2759" s="164">
        <f t="array" ref="P2759">XLOOKUP('FACUS$'!$B2759,'perfil de pagos'!$A$4:$A$46,'perfil de pagos'!$C$4:$C$46+'FACUS$'!$D2759)</f>
        <v>45584</v>
      </c>
      <c r="Q2759" s="165">
        <f t="shared" si="70"/>
        <v>0</v>
      </c>
      <c r="R2759" s="167"/>
      <c r="S2759" s="167">
        <v>3361.0</v>
      </c>
      <c r="T2759" s="167"/>
      <c r="U2759" s="334"/>
      <c r="V2759" s="168">
        <f t="shared" si="3"/>
        <v>7372.8092</v>
      </c>
      <c r="W2759" s="168">
        <f t="shared" si="4"/>
        <v>0</v>
      </c>
      <c r="X2759" s="168">
        <f t="shared" si="5"/>
        <v>0</v>
      </c>
      <c r="Y2759" s="168">
        <f t="shared" si="6"/>
        <v>0</v>
      </c>
      <c r="Z2759" s="168">
        <f t="shared" si="7"/>
        <v>0</v>
      </c>
      <c r="AA2759" s="168">
        <f t="shared" si="8"/>
        <v>0</v>
      </c>
      <c r="AB2759" s="168">
        <f t="shared" si="9"/>
        <v>0</v>
      </c>
    </row>
    <row r="2760" ht="15.0" customHeight="1">
      <c r="A2760" s="157" t="s">
        <v>10313</v>
      </c>
      <c r="B2760" s="169" t="s">
        <v>20</v>
      </c>
      <c r="C2760" s="169" t="s">
        <v>10301</v>
      </c>
      <c r="D2760" s="317">
        <v>45574.0</v>
      </c>
      <c r="E2760" s="157" t="s">
        <v>600</v>
      </c>
      <c r="F2760" s="160">
        <v>14089.49</v>
      </c>
      <c r="G2760" s="160">
        <f>'FACUS$'!$F2760*0.16</f>
        <v>2254.3184</v>
      </c>
      <c r="H2760" s="160">
        <f t="shared" si="68"/>
        <v>16343.8084</v>
      </c>
      <c r="I2760" s="172"/>
      <c r="J2760" s="169"/>
      <c r="K2760" s="172"/>
      <c r="L2760" s="172">
        <f>+'FACUS$'!$H2760-'FACUS$'!$I2760-'FACUS$'!$K2760</f>
        <v>16343.8084</v>
      </c>
      <c r="M2760" s="162" t="s">
        <v>732</v>
      </c>
      <c r="N2760" s="337" t="s">
        <v>554</v>
      </c>
      <c r="O2760" s="338">
        <v>45593.0</v>
      </c>
      <c r="P2760" s="164">
        <f t="array" ref="P2760">XLOOKUP('FACUS$'!$B2760,'perfil de pagos'!$A$4:$A$46,'perfil de pagos'!$C$4:$C$46+'FACUS$'!$D2760)</f>
        <v>45584</v>
      </c>
      <c r="Q2760" s="165">
        <f t="shared" si="70"/>
        <v>0</v>
      </c>
      <c r="R2760" s="167"/>
      <c r="S2760" s="167">
        <v>3361.0</v>
      </c>
      <c r="T2760" s="167"/>
      <c r="U2760" s="334"/>
      <c r="V2760" s="168">
        <f t="shared" si="3"/>
        <v>16343.8084</v>
      </c>
      <c r="W2760" s="168">
        <f t="shared" si="4"/>
        <v>0</v>
      </c>
      <c r="X2760" s="168">
        <f t="shared" si="5"/>
        <v>0</v>
      </c>
      <c r="Y2760" s="168">
        <f t="shared" si="6"/>
        <v>0</v>
      </c>
      <c r="Z2760" s="168">
        <f t="shared" si="7"/>
        <v>0</v>
      </c>
      <c r="AA2760" s="168">
        <f t="shared" si="8"/>
        <v>0</v>
      </c>
      <c r="AB2760" s="168">
        <f t="shared" si="9"/>
        <v>0</v>
      </c>
    </row>
    <row r="2761" ht="15.0" customHeight="1">
      <c r="A2761" s="299" t="s">
        <v>10314</v>
      </c>
      <c r="B2761" s="300" t="s">
        <v>25</v>
      </c>
      <c r="C2761" s="300" t="s">
        <v>10301</v>
      </c>
      <c r="D2761" s="407">
        <v>45574.0</v>
      </c>
      <c r="E2761" s="299" t="s">
        <v>600</v>
      </c>
      <c r="F2761" s="302">
        <v>90005.9</v>
      </c>
      <c r="G2761" s="302">
        <f>'FACUS$'!$F2761*0.16</f>
        <v>14400.944</v>
      </c>
      <c r="H2761" s="302">
        <f t="shared" si="68"/>
        <v>104406.844</v>
      </c>
      <c r="I2761" s="408"/>
      <c r="J2761" s="300"/>
      <c r="K2761" s="408"/>
      <c r="L2761" s="408">
        <f>+'FACUS$'!$H2761-'FACUS$'!$I2761-'FACUS$'!$K2761</f>
        <v>104406.844</v>
      </c>
      <c r="M2761" s="305" t="s">
        <v>4388</v>
      </c>
      <c r="N2761" s="409" t="s">
        <v>127</v>
      </c>
      <c r="O2761" s="410"/>
      <c r="P2761" s="306">
        <f t="array" ref="P2761">XLOOKUP('FACUS$'!$B2761,'perfil de pagos'!$A$4:$A$46,'perfil de pagos'!$C$4:$C$46+'FACUS$'!$D2761)</f>
        <v>45584</v>
      </c>
      <c r="Q2761" s="307" t="str">
        <f t="shared" si="70"/>
        <v>N/A</v>
      </c>
      <c r="R2761" s="308"/>
      <c r="S2761" s="308"/>
      <c r="T2761" s="308"/>
      <c r="U2761" s="411"/>
      <c r="V2761" s="309">
        <f t="shared" si="3"/>
        <v>0</v>
      </c>
      <c r="W2761" s="309">
        <f t="shared" si="4"/>
        <v>0</v>
      </c>
      <c r="X2761" s="309">
        <f t="shared" si="5"/>
        <v>0</v>
      </c>
      <c r="Y2761" s="309">
        <f t="shared" si="6"/>
        <v>0</v>
      </c>
      <c r="Z2761" s="309">
        <f t="shared" si="7"/>
        <v>0</v>
      </c>
      <c r="AA2761" s="309">
        <f t="shared" si="8"/>
        <v>0</v>
      </c>
      <c r="AB2761" s="309">
        <f t="shared" si="9"/>
        <v>104406.844</v>
      </c>
    </row>
    <row r="2762" ht="15.0" customHeight="1">
      <c r="A2762" s="157" t="s">
        <v>10315</v>
      </c>
      <c r="B2762" s="169" t="s">
        <v>37</v>
      </c>
      <c r="C2762" s="169" t="s">
        <v>10301</v>
      </c>
      <c r="D2762" s="317">
        <v>45574.0</v>
      </c>
      <c r="E2762" s="157" t="s">
        <v>600</v>
      </c>
      <c r="F2762" s="160">
        <v>90005.9</v>
      </c>
      <c r="G2762" s="160">
        <f>'FACUS$'!$F2762*0.16</f>
        <v>14400.944</v>
      </c>
      <c r="H2762" s="160">
        <f t="shared" si="68"/>
        <v>104406.844</v>
      </c>
      <c r="I2762" s="172"/>
      <c r="J2762" s="169"/>
      <c r="K2762" s="172"/>
      <c r="L2762" s="172">
        <f>+'FACUS$'!$H2762-'FACUS$'!$I2762-'FACUS$'!$K2762</f>
        <v>104406.844</v>
      </c>
      <c r="M2762" s="162" t="s">
        <v>116</v>
      </c>
      <c r="N2762" s="337" t="s">
        <v>554</v>
      </c>
      <c r="O2762" s="338">
        <v>45586.0</v>
      </c>
      <c r="P2762" s="164">
        <f t="array" ref="P2762">XLOOKUP('FACUS$'!$B2762,'perfil de pagos'!$A$4:$A$46,'perfil de pagos'!$C$4:$C$46+'FACUS$'!$D2762)</f>
        <v>45584</v>
      </c>
      <c r="Q2762" s="165">
        <f t="shared" si="70"/>
        <v>0</v>
      </c>
      <c r="R2762" s="167"/>
      <c r="S2762" s="167">
        <v>3344.0</v>
      </c>
      <c r="T2762" s="167"/>
      <c r="U2762" s="334"/>
      <c r="V2762" s="168">
        <f t="shared" si="3"/>
        <v>104406.844</v>
      </c>
      <c r="W2762" s="168">
        <f t="shared" si="4"/>
        <v>0</v>
      </c>
      <c r="X2762" s="168">
        <f t="shared" si="5"/>
        <v>0</v>
      </c>
      <c r="Y2762" s="168">
        <f t="shared" si="6"/>
        <v>0</v>
      </c>
      <c r="Z2762" s="168">
        <f t="shared" si="7"/>
        <v>0</v>
      </c>
      <c r="AA2762" s="168">
        <f t="shared" si="8"/>
        <v>0</v>
      </c>
      <c r="AB2762" s="168">
        <f t="shared" si="9"/>
        <v>0</v>
      </c>
    </row>
    <row r="2763" ht="15.0" customHeight="1">
      <c r="A2763" s="157" t="s">
        <v>10316</v>
      </c>
      <c r="B2763" s="169" t="s">
        <v>25</v>
      </c>
      <c r="C2763" s="169" t="s">
        <v>10301</v>
      </c>
      <c r="D2763" s="317">
        <v>45574.0</v>
      </c>
      <c r="E2763" s="157" t="s">
        <v>600</v>
      </c>
      <c r="F2763" s="160">
        <v>5384.85</v>
      </c>
      <c r="G2763" s="160">
        <f>'FACUS$'!$F2763*0.16</f>
        <v>861.576</v>
      </c>
      <c r="H2763" s="160">
        <f t="shared" si="68"/>
        <v>6246.426</v>
      </c>
      <c r="I2763" s="172"/>
      <c r="J2763" s="169"/>
      <c r="K2763" s="172"/>
      <c r="L2763" s="172">
        <f>+'FACUS$'!$H2763-'FACUS$'!$I2763-'FACUS$'!$K2763</f>
        <v>6246.426</v>
      </c>
      <c r="M2763" s="162" t="s">
        <v>4388</v>
      </c>
      <c r="N2763" s="337" t="s">
        <v>554</v>
      </c>
      <c r="O2763" s="338">
        <v>45604.0</v>
      </c>
      <c r="P2763" s="164">
        <f t="array" ref="P2763">XLOOKUP('FACUS$'!$B2763,'perfil de pagos'!$A$4:$A$46,'perfil de pagos'!$C$4:$C$46+'FACUS$'!$D2763)</f>
        <v>45584</v>
      </c>
      <c r="Q2763" s="165">
        <f t="shared" si="70"/>
        <v>0</v>
      </c>
      <c r="R2763" s="167"/>
      <c r="S2763" s="167">
        <v>3391.0</v>
      </c>
      <c r="T2763" s="167"/>
      <c r="U2763" s="334"/>
      <c r="V2763" s="168">
        <f t="shared" si="3"/>
        <v>6246.426</v>
      </c>
      <c r="W2763" s="168">
        <f t="shared" si="4"/>
        <v>0</v>
      </c>
      <c r="X2763" s="168">
        <f t="shared" si="5"/>
        <v>0</v>
      </c>
      <c r="Y2763" s="168">
        <f t="shared" si="6"/>
        <v>0</v>
      </c>
      <c r="Z2763" s="168">
        <f t="shared" si="7"/>
        <v>0</v>
      </c>
      <c r="AA2763" s="168">
        <f t="shared" si="8"/>
        <v>0</v>
      </c>
      <c r="AB2763" s="168">
        <f t="shared" si="9"/>
        <v>0</v>
      </c>
    </row>
    <row r="2764" ht="15.0" customHeight="1">
      <c r="A2764" s="157" t="s">
        <v>10317</v>
      </c>
      <c r="B2764" s="169" t="s">
        <v>38</v>
      </c>
      <c r="C2764" s="169" t="s">
        <v>10301</v>
      </c>
      <c r="D2764" s="317">
        <v>45575.0</v>
      </c>
      <c r="E2764" s="157" t="s">
        <v>547</v>
      </c>
      <c r="F2764" s="160">
        <v>7457.36</v>
      </c>
      <c r="G2764" s="160">
        <f>'FACUS$'!$F2764*0.16</f>
        <v>1193.1776</v>
      </c>
      <c r="H2764" s="160">
        <f t="shared" si="68"/>
        <v>8650.5376</v>
      </c>
      <c r="I2764" s="172"/>
      <c r="J2764" s="169"/>
      <c r="K2764" s="172"/>
      <c r="L2764" s="172">
        <f>+'FACUS$'!$H2764-'FACUS$'!$I2764-'FACUS$'!$K2764</f>
        <v>8650.5376</v>
      </c>
      <c r="M2764" s="162" t="s">
        <v>145</v>
      </c>
      <c r="N2764" s="337" t="s">
        <v>554</v>
      </c>
      <c r="O2764" s="338">
        <v>45602.0</v>
      </c>
      <c r="P2764" s="164">
        <f t="array" ref="P2764">XLOOKUP('FACUS$'!$B2764,'perfil de pagos'!$A$4:$A$46,'perfil de pagos'!$C$4:$C$46+'FACUS$'!$D2764)</f>
        <v>45605</v>
      </c>
      <c r="Q2764" s="165">
        <f t="shared" si="70"/>
        <v>0</v>
      </c>
      <c r="R2764" s="167"/>
      <c r="S2764" s="167">
        <v>3384.0</v>
      </c>
      <c r="T2764" s="167"/>
      <c r="U2764" s="334"/>
      <c r="V2764" s="168">
        <f t="shared" si="3"/>
        <v>8650.5376</v>
      </c>
      <c r="W2764" s="168">
        <f t="shared" si="4"/>
        <v>0</v>
      </c>
      <c r="X2764" s="168">
        <f t="shared" si="5"/>
        <v>0</v>
      </c>
      <c r="Y2764" s="168">
        <f t="shared" si="6"/>
        <v>0</v>
      </c>
      <c r="Z2764" s="168">
        <f t="shared" si="7"/>
        <v>0</v>
      </c>
      <c r="AA2764" s="168">
        <f t="shared" si="8"/>
        <v>0</v>
      </c>
      <c r="AB2764" s="168">
        <f t="shared" si="9"/>
        <v>0</v>
      </c>
    </row>
    <row r="2765" ht="15.0" customHeight="1">
      <c r="A2765" s="157" t="s">
        <v>10318</v>
      </c>
      <c r="B2765" s="169" t="s">
        <v>48</v>
      </c>
      <c r="C2765" s="169" t="s">
        <v>10319</v>
      </c>
      <c r="D2765" s="317">
        <v>45581.0</v>
      </c>
      <c r="E2765" s="157" t="s">
        <v>600</v>
      </c>
      <c r="F2765" s="160">
        <v>77.31</v>
      </c>
      <c r="G2765" s="160">
        <f>'FACUS$'!$F2765*0.16</f>
        <v>12.3696</v>
      </c>
      <c r="H2765" s="160">
        <f t="shared" si="68"/>
        <v>89.6796</v>
      </c>
      <c r="I2765" s="172"/>
      <c r="J2765" s="169"/>
      <c r="K2765" s="172"/>
      <c r="L2765" s="172">
        <f>+'FACUS$'!$H2765-'FACUS$'!$I2765-'FACUS$'!$K2765</f>
        <v>89.6796</v>
      </c>
      <c r="M2765" s="162" t="s">
        <v>10320</v>
      </c>
      <c r="N2765" s="337" t="s">
        <v>554</v>
      </c>
      <c r="O2765" s="338">
        <v>45615.0</v>
      </c>
      <c r="P2765" s="164">
        <f t="array" ref="P2765">XLOOKUP('FACUS$'!$B2765,'perfil de pagos'!$A$4:$A$46,'perfil de pagos'!$C$4:$C$46+'FACUS$'!$D2765)</f>
        <v>45586</v>
      </c>
      <c r="Q2765" s="165">
        <f t="shared" si="70"/>
        <v>0</v>
      </c>
      <c r="R2765" s="167"/>
      <c r="S2765" s="167">
        <v>3401.0</v>
      </c>
      <c r="T2765" s="167"/>
      <c r="U2765" s="334"/>
      <c r="V2765" s="168">
        <f t="shared" si="3"/>
        <v>89.6796</v>
      </c>
      <c r="W2765" s="168">
        <f t="shared" si="4"/>
        <v>0</v>
      </c>
      <c r="X2765" s="168">
        <f t="shared" si="5"/>
        <v>0</v>
      </c>
      <c r="Y2765" s="168">
        <f t="shared" si="6"/>
        <v>0</v>
      </c>
      <c r="Z2765" s="168">
        <f t="shared" si="7"/>
        <v>0</v>
      </c>
      <c r="AA2765" s="168">
        <f t="shared" si="8"/>
        <v>0</v>
      </c>
      <c r="AB2765" s="168">
        <f t="shared" si="9"/>
        <v>0</v>
      </c>
    </row>
    <row r="2766" ht="15.0" customHeight="1">
      <c r="A2766" s="157" t="s">
        <v>10321</v>
      </c>
      <c r="B2766" s="169" t="s">
        <v>50</v>
      </c>
      <c r="C2766" s="169" t="s">
        <v>6664</v>
      </c>
      <c r="D2766" s="317">
        <v>45582.0</v>
      </c>
      <c r="E2766" s="157" t="s">
        <v>600</v>
      </c>
      <c r="F2766" s="160">
        <v>17105.54</v>
      </c>
      <c r="G2766" s="160">
        <f>'FACUS$'!$F2766*0.16</f>
        <v>2736.8864</v>
      </c>
      <c r="H2766" s="160">
        <f t="shared" si="68"/>
        <v>19842.4264</v>
      </c>
      <c r="I2766" s="172"/>
      <c r="J2766" s="169"/>
      <c r="K2766" s="172"/>
      <c r="L2766" s="172">
        <f>+'FACUS$'!$H2766-'FACUS$'!$I2766-'FACUS$'!$K2766</f>
        <v>19842.4264</v>
      </c>
      <c r="M2766" s="162" t="s">
        <v>570</v>
      </c>
      <c r="N2766" s="337" t="s">
        <v>554</v>
      </c>
      <c r="O2766" s="338">
        <v>45604.0</v>
      </c>
      <c r="P2766" s="164">
        <f t="array" ref="P2766">XLOOKUP('FACUS$'!$B2766,'perfil de pagos'!$A$4:$A$46,'perfil de pagos'!$C$4:$C$46+'FACUS$'!$D2766)</f>
        <v>45592</v>
      </c>
      <c r="Q2766" s="165">
        <f t="shared" si="70"/>
        <v>0</v>
      </c>
      <c r="R2766" s="167"/>
      <c r="S2766" s="167">
        <v>3390.0</v>
      </c>
      <c r="T2766" s="167"/>
      <c r="U2766" s="334"/>
      <c r="V2766" s="168">
        <f t="shared" si="3"/>
        <v>19842.4264</v>
      </c>
      <c r="W2766" s="168">
        <f t="shared" si="4"/>
        <v>0</v>
      </c>
      <c r="X2766" s="168">
        <f t="shared" si="5"/>
        <v>0</v>
      </c>
      <c r="Y2766" s="168">
        <f t="shared" si="6"/>
        <v>0</v>
      </c>
      <c r="Z2766" s="168">
        <f t="shared" si="7"/>
        <v>0</v>
      </c>
      <c r="AA2766" s="168">
        <f t="shared" si="8"/>
        <v>0</v>
      </c>
      <c r="AB2766" s="168">
        <f t="shared" si="9"/>
        <v>0</v>
      </c>
    </row>
    <row r="2767" ht="15.0" customHeight="1">
      <c r="A2767" s="157" t="s">
        <v>10322</v>
      </c>
      <c r="B2767" s="169" t="s">
        <v>50</v>
      </c>
      <c r="C2767" s="169" t="s">
        <v>6711</v>
      </c>
      <c r="D2767" s="317">
        <v>45582.0</v>
      </c>
      <c r="E2767" s="157" t="s">
        <v>600</v>
      </c>
      <c r="F2767" s="160">
        <v>18811.87</v>
      </c>
      <c r="G2767" s="160">
        <f>'FACUS$'!$F2767*0.16</f>
        <v>3009.8992</v>
      </c>
      <c r="H2767" s="160">
        <f t="shared" si="68"/>
        <v>21821.7692</v>
      </c>
      <c r="I2767" s="172"/>
      <c r="J2767" s="169"/>
      <c r="K2767" s="172"/>
      <c r="L2767" s="172">
        <f>+'FACUS$'!$H2767-'FACUS$'!$I2767-'FACUS$'!$K2767</f>
        <v>21821.7692</v>
      </c>
      <c r="M2767" s="162" t="s">
        <v>570</v>
      </c>
      <c r="N2767" s="337" t="s">
        <v>554</v>
      </c>
      <c r="O2767" s="338">
        <v>45611.0</v>
      </c>
      <c r="P2767" s="164">
        <f t="array" ref="P2767">XLOOKUP('FACUS$'!$B2767,'perfil de pagos'!$A$4:$A$46,'perfil de pagos'!$C$4:$C$46+'FACUS$'!$D2767)</f>
        <v>45592</v>
      </c>
      <c r="Q2767" s="165">
        <f t="shared" si="70"/>
        <v>0</v>
      </c>
      <c r="R2767" s="167"/>
      <c r="S2767" s="167">
        <v>3406.0</v>
      </c>
      <c r="T2767" s="167"/>
      <c r="U2767" s="334"/>
      <c r="V2767" s="168">
        <f t="shared" si="3"/>
        <v>21821.7692</v>
      </c>
      <c r="W2767" s="168">
        <f t="shared" si="4"/>
        <v>0</v>
      </c>
      <c r="X2767" s="168">
        <f t="shared" si="5"/>
        <v>0</v>
      </c>
      <c r="Y2767" s="168">
        <f t="shared" si="6"/>
        <v>0</v>
      </c>
      <c r="Z2767" s="168">
        <f t="shared" si="7"/>
        <v>0</v>
      </c>
      <c r="AA2767" s="168">
        <f t="shared" si="8"/>
        <v>0</v>
      </c>
      <c r="AB2767" s="168">
        <f t="shared" si="9"/>
        <v>0</v>
      </c>
    </row>
    <row r="2768" ht="15.0" customHeight="1">
      <c r="A2768" s="157" t="s">
        <v>10323</v>
      </c>
      <c r="B2768" s="169" t="s">
        <v>41</v>
      </c>
      <c r="C2768" s="169" t="s">
        <v>6711</v>
      </c>
      <c r="D2768" s="317">
        <v>45582.0</v>
      </c>
      <c r="E2768" s="157" t="s">
        <v>600</v>
      </c>
      <c r="F2768" s="160">
        <v>95172.05</v>
      </c>
      <c r="G2768" s="160">
        <f>'FACUS$'!$F2768*0.16</f>
        <v>15227.528</v>
      </c>
      <c r="H2768" s="160">
        <f t="shared" si="68"/>
        <v>110399.578</v>
      </c>
      <c r="I2768" s="172"/>
      <c r="J2768" s="169"/>
      <c r="K2768" s="172"/>
      <c r="L2768" s="172">
        <f>+'FACUS$'!$H2768-'FACUS$'!$I2768-'FACUS$'!$K2768</f>
        <v>110399.578</v>
      </c>
      <c r="M2768" s="162" t="s">
        <v>875</v>
      </c>
      <c r="N2768" s="337" t="s">
        <v>554</v>
      </c>
      <c r="O2768" s="338">
        <v>45623.0</v>
      </c>
      <c r="P2768" s="164">
        <f t="array" ref="P2768">XLOOKUP('FACUS$'!$B2768,'perfil de pagos'!$A$4:$A$46,'perfil de pagos'!$C$4:$C$46+'FACUS$'!$D2768)</f>
        <v>45592</v>
      </c>
      <c r="Q2768" s="165">
        <f t="shared" si="70"/>
        <v>0</v>
      </c>
      <c r="R2768" s="167"/>
      <c r="S2768" s="167">
        <v>3438.0</v>
      </c>
      <c r="T2768" s="167"/>
      <c r="U2768" s="334"/>
      <c r="V2768" s="168">
        <f t="shared" si="3"/>
        <v>110399.578</v>
      </c>
      <c r="W2768" s="168">
        <f t="shared" si="4"/>
        <v>0</v>
      </c>
      <c r="X2768" s="168">
        <f t="shared" si="5"/>
        <v>0</v>
      </c>
      <c r="Y2768" s="168">
        <f t="shared" si="6"/>
        <v>0</v>
      </c>
      <c r="Z2768" s="168">
        <f t="shared" si="7"/>
        <v>0</v>
      </c>
      <c r="AA2768" s="168">
        <f t="shared" si="8"/>
        <v>0</v>
      </c>
      <c r="AB2768" s="168">
        <f t="shared" si="9"/>
        <v>0</v>
      </c>
    </row>
    <row r="2769" ht="15.0" customHeight="1">
      <c r="A2769" s="157" t="s">
        <v>10324</v>
      </c>
      <c r="B2769" s="169" t="s">
        <v>52</v>
      </c>
      <c r="C2769" s="169" t="s">
        <v>6664</v>
      </c>
      <c r="D2769" s="317">
        <v>45582.0</v>
      </c>
      <c r="E2769" s="157" t="s">
        <v>600</v>
      </c>
      <c r="F2769" s="160">
        <v>3545.27</v>
      </c>
      <c r="G2769" s="160">
        <f>'FACUS$'!$F2769*0.16</f>
        <v>567.2432</v>
      </c>
      <c r="H2769" s="160">
        <f t="shared" si="68"/>
        <v>4112.5132</v>
      </c>
      <c r="I2769" s="172"/>
      <c r="J2769" s="169"/>
      <c r="K2769" s="172"/>
      <c r="L2769" s="172">
        <f>+'FACUS$'!$H2769-'FACUS$'!$I2769-'FACUS$'!$K2769</f>
        <v>4112.5132</v>
      </c>
      <c r="M2769" s="162" t="s">
        <v>10309</v>
      </c>
      <c r="N2769" s="337" t="s">
        <v>554</v>
      </c>
      <c r="O2769" s="338">
        <v>45604.0</v>
      </c>
      <c r="P2769" s="164">
        <f t="array" ref="P2769">XLOOKUP('FACUS$'!$B2769,'perfil de pagos'!$A$4:$A$46,'perfil de pagos'!$C$4:$C$46+'FACUS$'!$D2769)</f>
        <v>45597</v>
      </c>
      <c r="Q2769" s="165">
        <f t="shared" si="70"/>
        <v>0</v>
      </c>
      <c r="R2769" s="167"/>
      <c r="S2769" s="167">
        <v>3394.0</v>
      </c>
      <c r="T2769" s="167"/>
      <c r="U2769" s="334"/>
      <c r="V2769" s="168">
        <f t="shared" si="3"/>
        <v>4112.5132</v>
      </c>
      <c r="W2769" s="168">
        <f t="shared" si="4"/>
        <v>0</v>
      </c>
      <c r="X2769" s="168">
        <f t="shared" si="5"/>
        <v>0</v>
      </c>
      <c r="Y2769" s="168">
        <f t="shared" si="6"/>
        <v>0</v>
      </c>
      <c r="Z2769" s="168">
        <f t="shared" si="7"/>
        <v>0</v>
      </c>
      <c r="AA2769" s="168">
        <f t="shared" si="8"/>
        <v>0</v>
      </c>
      <c r="AB2769" s="168">
        <f t="shared" si="9"/>
        <v>0</v>
      </c>
    </row>
    <row r="2770" ht="15.0" customHeight="1">
      <c r="A2770" s="157" t="s">
        <v>10325</v>
      </c>
      <c r="B2770" s="169" t="s">
        <v>52</v>
      </c>
      <c r="C2770" s="169" t="s">
        <v>6711</v>
      </c>
      <c r="D2770" s="317">
        <v>45582.0</v>
      </c>
      <c r="E2770" s="157" t="s">
        <v>600</v>
      </c>
      <c r="F2770" s="160">
        <v>2827.93</v>
      </c>
      <c r="G2770" s="160">
        <f>'FACUS$'!$F2770*0.16</f>
        <v>452.4688</v>
      </c>
      <c r="H2770" s="160">
        <f t="shared" si="68"/>
        <v>3280.3988</v>
      </c>
      <c r="I2770" s="172"/>
      <c r="J2770" s="169"/>
      <c r="K2770" s="172"/>
      <c r="L2770" s="172">
        <f>+'FACUS$'!$H2770-'FACUS$'!$I2770-'FACUS$'!$K2770</f>
        <v>3280.3988</v>
      </c>
      <c r="M2770" s="162" t="s">
        <v>10309</v>
      </c>
      <c r="N2770" s="337" t="s">
        <v>554</v>
      </c>
      <c r="O2770" s="338">
        <v>45604.0</v>
      </c>
      <c r="P2770" s="164">
        <f t="array" ref="P2770">XLOOKUP('FACUS$'!$B2770,'perfil de pagos'!$A$4:$A$46,'perfil de pagos'!$C$4:$C$46+'FACUS$'!$D2770)</f>
        <v>45597</v>
      </c>
      <c r="Q2770" s="165">
        <f t="shared" si="70"/>
        <v>0</v>
      </c>
      <c r="R2770" s="167"/>
      <c r="S2770" s="167">
        <v>3393.0</v>
      </c>
      <c r="T2770" s="167"/>
      <c r="U2770" s="334"/>
      <c r="V2770" s="168">
        <f t="shared" si="3"/>
        <v>3280.3988</v>
      </c>
      <c r="W2770" s="168">
        <f t="shared" si="4"/>
        <v>0</v>
      </c>
      <c r="X2770" s="168">
        <f t="shared" si="5"/>
        <v>0</v>
      </c>
      <c r="Y2770" s="168">
        <f t="shared" si="6"/>
        <v>0</v>
      </c>
      <c r="Z2770" s="168">
        <f t="shared" si="7"/>
        <v>0</v>
      </c>
      <c r="AA2770" s="168">
        <f t="shared" si="8"/>
        <v>0</v>
      </c>
      <c r="AB2770" s="168">
        <f t="shared" si="9"/>
        <v>0</v>
      </c>
    </row>
    <row r="2771" ht="15.0" customHeight="1">
      <c r="A2771" s="157" t="s">
        <v>10326</v>
      </c>
      <c r="B2771" s="169" t="s">
        <v>35</v>
      </c>
      <c r="C2771" s="169" t="s">
        <v>6711</v>
      </c>
      <c r="D2771" s="317">
        <v>45582.0</v>
      </c>
      <c r="E2771" s="157" t="s">
        <v>600</v>
      </c>
      <c r="F2771" s="160">
        <v>5677.98</v>
      </c>
      <c r="G2771" s="160">
        <f>'FACUS$'!$F2771*0.16</f>
        <v>908.4768</v>
      </c>
      <c r="H2771" s="160">
        <f t="shared" si="68"/>
        <v>6586.4568</v>
      </c>
      <c r="I2771" s="172"/>
      <c r="J2771" s="169"/>
      <c r="K2771" s="172"/>
      <c r="L2771" s="172">
        <f>+'FACUS$'!$H2771-'FACUS$'!$I2771-'FACUS$'!$K2771</f>
        <v>6586.4568</v>
      </c>
      <c r="M2771" s="162" t="s">
        <v>276</v>
      </c>
      <c r="N2771" s="337" t="s">
        <v>554</v>
      </c>
      <c r="O2771" s="338">
        <v>45618.0</v>
      </c>
      <c r="P2771" s="164">
        <f t="array" ref="P2771">XLOOKUP('FACUS$'!$B2771,'perfil de pagos'!$A$4:$A$46,'perfil de pagos'!$C$4:$C$46+'FACUS$'!$D2771)</f>
        <v>45592</v>
      </c>
      <c r="Q2771" s="165">
        <f t="shared" si="70"/>
        <v>0</v>
      </c>
      <c r="R2771" s="167"/>
      <c r="S2771" s="167"/>
      <c r="T2771" s="167"/>
      <c r="U2771" s="334"/>
      <c r="V2771" s="168">
        <f t="shared" si="3"/>
        <v>6586.4568</v>
      </c>
      <c r="W2771" s="168">
        <f t="shared" si="4"/>
        <v>0</v>
      </c>
      <c r="X2771" s="168">
        <f t="shared" si="5"/>
        <v>0</v>
      </c>
      <c r="Y2771" s="168">
        <f t="shared" si="6"/>
        <v>0</v>
      </c>
      <c r="Z2771" s="168">
        <f t="shared" si="7"/>
        <v>0</v>
      </c>
      <c r="AA2771" s="168">
        <f t="shared" si="8"/>
        <v>0</v>
      </c>
      <c r="AB2771" s="168">
        <f t="shared" si="9"/>
        <v>0</v>
      </c>
    </row>
    <row r="2772" ht="15.0" customHeight="1">
      <c r="A2772" s="157" t="s">
        <v>10327</v>
      </c>
      <c r="B2772" s="169" t="s">
        <v>17</v>
      </c>
      <c r="C2772" s="169" t="s">
        <v>6664</v>
      </c>
      <c r="D2772" s="317">
        <v>45582.0</v>
      </c>
      <c r="E2772" s="157" t="s">
        <v>600</v>
      </c>
      <c r="F2772" s="160">
        <v>9208.76</v>
      </c>
      <c r="G2772" s="160">
        <f>'FACUS$'!$F2772*0.16</f>
        <v>1473.4016</v>
      </c>
      <c r="H2772" s="160">
        <f t="shared" si="68"/>
        <v>10682.1616</v>
      </c>
      <c r="I2772" s="172"/>
      <c r="J2772" s="169"/>
      <c r="K2772" s="172"/>
      <c r="L2772" s="172">
        <f>+'FACUS$'!$H2772-'FACUS$'!$I2772-'FACUS$'!$K2772</f>
        <v>10682.1616</v>
      </c>
      <c r="M2772" s="162" t="s">
        <v>17</v>
      </c>
      <c r="N2772" s="337" t="s">
        <v>554</v>
      </c>
      <c r="O2772" s="338">
        <v>45610.0</v>
      </c>
      <c r="P2772" s="164">
        <f t="array" ref="P2772">XLOOKUP('FACUS$'!$B2772,'perfil de pagos'!$A$4:$A$46,'perfil de pagos'!$C$4:$C$46+'FACUS$'!$D2772)</f>
        <v>45592</v>
      </c>
      <c r="Q2772" s="165">
        <f t="shared" si="70"/>
        <v>0</v>
      </c>
      <c r="R2772" s="167"/>
      <c r="S2772" s="167">
        <v>3404.0</v>
      </c>
      <c r="T2772" s="167"/>
      <c r="U2772" s="334"/>
      <c r="V2772" s="168">
        <f t="shared" si="3"/>
        <v>10682.1616</v>
      </c>
      <c r="W2772" s="168">
        <f t="shared" si="4"/>
        <v>0</v>
      </c>
      <c r="X2772" s="168">
        <f t="shared" si="5"/>
        <v>0</v>
      </c>
      <c r="Y2772" s="168">
        <f t="shared" si="6"/>
        <v>0</v>
      </c>
      <c r="Z2772" s="168">
        <f t="shared" si="7"/>
        <v>0</v>
      </c>
      <c r="AA2772" s="168">
        <f t="shared" si="8"/>
        <v>0</v>
      </c>
      <c r="AB2772" s="168">
        <f t="shared" si="9"/>
        <v>0</v>
      </c>
    </row>
    <row r="2773" ht="15.0" customHeight="1">
      <c r="A2773" s="157" t="s">
        <v>10328</v>
      </c>
      <c r="B2773" s="169" t="s">
        <v>17</v>
      </c>
      <c r="C2773" s="169" t="s">
        <v>6711</v>
      </c>
      <c r="D2773" s="317">
        <v>45582.0</v>
      </c>
      <c r="E2773" s="157" t="s">
        <v>600</v>
      </c>
      <c r="F2773" s="160">
        <v>13348.63</v>
      </c>
      <c r="G2773" s="160">
        <f>'FACUS$'!$F2773*0.16</f>
        <v>2135.7808</v>
      </c>
      <c r="H2773" s="160">
        <f t="shared" si="68"/>
        <v>15484.4108</v>
      </c>
      <c r="I2773" s="172"/>
      <c r="J2773" s="169"/>
      <c r="K2773" s="172"/>
      <c r="L2773" s="172">
        <f>+'FACUS$'!$H2773-'FACUS$'!$I2773-'FACUS$'!$K2773</f>
        <v>15484.4108</v>
      </c>
      <c r="M2773" s="162" t="s">
        <v>17</v>
      </c>
      <c r="N2773" s="337" t="s">
        <v>554</v>
      </c>
      <c r="O2773" s="338">
        <v>45610.0</v>
      </c>
      <c r="P2773" s="164">
        <f t="array" ref="P2773">XLOOKUP('FACUS$'!$B2773,'perfil de pagos'!$A$4:$A$46,'perfil de pagos'!$C$4:$C$46+'FACUS$'!$D2773)</f>
        <v>45592</v>
      </c>
      <c r="Q2773" s="165">
        <f t="shared" si="70"/>
        <v>0</v>
      </c>
      <c r="R2773" s="167"/>
      <c r="S2773" s="167">
        <v>3404.0</v>
      </c>
      <c r="T2773" s="167"/>
      <c r="U2773" s="334"/>
      <c r="V2773" s="168">
        <f t="shared" si="3"/>
        <v>15484.4108</v>
      </c>
      <c r="W2773" s="168">
        <f t="shared" si="4"/>
        <v>0</v>
      </c>
      <c r="X2773" s="168">
        <f t="shared" si="5"/>
        <v>0</v>
      </c>
      <c r="Y2773" s="168">
        <f t="shared" si="6"/>
        <v>0</v>
      </c>
      <c r="Z2773" s="168">
        <f t="shared" si="7"/>
        <v>0</v>
      </c>
      <c r="AA2773" s="168">
        <f t="shared" si="8"/>
        <v>0</v>
      </c>
      <c r="AB2773" s="168">
        <f t="shared" si="9"/>
        <v>0</v>
      </c>
    </row>
    <row r="2774" ht="15.0" customHeight="1">
      <c r="A2774" s="157" t="s">
        <v>10329</v>
      </c>
      <c r="B2774" s="169" t="s">
        <v>42</v>
      </c>
      <c r="C2774" s="169" t="s">
        <v>6711</v>
      </c>
      <c r="D2774" s="317">
        <v>45582.0</v>
      </c>
      <c r="E2774" s="157" t="s">
        <v>600</v>
      </c>
      <c r="F2774" s="160">
        <v>11959.07</v>
      </c>
      <c r="G2774" s="160">
        <f>'FACUS$'!$F2774*0.16</f>
        <v>1913.4512</v>
      </c>
      <c r="H2774" s="160">
        <f t="shared" si="68"/>
        <v>13872.5212</v>
      </c>
      <c r="I2774" s="172"/>
      <c r="J2774" s="169"/>
      <c r="K2774" s="172"/>
      <c r="L2774" s="172">
        <f>+'FACUS$'!$H2774-'FACUS$'!$I2774-'FACUS$'!$K2774</f>
        <v>13872.5212</v>
      </c>
      <c r="M2774" s="162" t="s">
        <v>42</v>
      </c>
      <c r="N2774" s="337" t="s">
        <v>554</v>
      </c>
      <c r="O2774" s="338">
        <v>45603.0</v>
      </c>
      <c r="P2774" s="164">
        <f t="array" ref="P2774">XLOOKUP('FACUS$'!$B2774,'perfil de pagos'!$A$4:$A$46,'perfil de pagos'!$C$4:$C$46+'FACUS$'!$D2774)</f>
        <v>45592</v>
      </c>
      <c r="Q2774" s="165">
        <f t="shared" si="70"/>
        <v>0</v>
      </c>
      <c r="R2774" s="167"/>
      <c r="S2774" s="167">
        <v>3385.0</v>
      </c>
      <c r="T2774" s="167"/>
      <c r="U2774" s="334"/>
      <c r="V2774" s="168">
        <f t="shared" si="3"/>
        <v>13872.5212</v>
      </c>
      <c r="W2774" s="168">
        <f t="shared" si="4"/>
        <v>0</v>
      </c>
      <c r="X2774" s="168">
        <f t="shared" si="5"/>
        <v>0</v>
      </c>
      <c r="Y2774" s="168">
        <f t="shared" si="6"/>
        <v>0</v>
      </c>
      <c r="Z2774" s="168">
        <f t="shared" si="7"/>
        <v>0</v>
      </c>
      <c r="AA2774" s="168">
        <f t="shared" si="8"/>
        <v>0</v>
      </c>
      <c r="AB2774" s="168">
        <f t="shared" si="9"/>
        <v>0</v>
      </c>
    </row>
    <row r="2775" ht="15.0" customHeight="1">
      <c r="A2775" s="157" t="s">
        <v>10330</v>
      </c>
      <c r="B2775" s="169" t="s">
        <v>44</v>
      </c>
      <c r="C2775" s="169" t="s">
        <v>6711</v>
      </c>
      <c r="D2775" s="317">
        <v>45582.0</v>
      </c>
      <c r="E2775" s="157" t="s">
        <v>600</v>
      </c>
      <c r="F2775" s="160">
        <v>3096.03</v>
      </c>
      <c r="G2775" s="160">
        <f>'FACUS$'!$F2775*0.16</f>
        <v>495.3648</v>
      </c>
      <c r="H2775" s="160">
        <f t="shared" si="68"/>
        <v>3591.3948</v>
      </c>
      <c r="I2775" s="172"/>
      <c r="J2775" s="169"/>
      <c r="K2775" s="172"/>
      <c r="L2775" s="172">
        <f>+'FACUS$'!$H2775-'FACUS$'!$I2775-'FACUS$'!$K2775</f>
        <v>3591.3948</v>
      </c>
      <c r="M2775" s="162" t="s">
        <v>361</v>
      </c>
      <c r="N2775" s="337" t="s">
        <v>554</v>
      </c>
      <c r="O2775" s="338">
        <v>45593.0</v>
      </c>
      <c r="P2775" s="164">
        <f t="array" ref="P2775">XLOOKUP('FACUS$'!$B2775,'perfil de pagos'!$A$4:$A$46,'perfil de pagos'!$C$4:$C$46+'FACUS$'!$D2775)</f>
        <v>45592</v>
      </c>
      <c r="Q2775" s="165">
        <f t="shared" si="70"/>
        <v>0</v>
      </c>
      <c r="R2775" s="167"/>
      <c r="S2775" s="167">
        <v>3359.0</v>
      </c>
      <c r="T2775" s="167"/>
      <c r="U2775" s="334"/>
      <c r="V2775" s="168">
        <f t="shared" si="3"/>
        <v>3591.3948</v>
      </c>
      <c r="W2775" s="168">
        <f t="shared" si="4"/>
        <v>0</v>
      </c>
      <c r="X2775" s="168">
        <f t="shared" si="5"/>
        <v>0</v>
      </c>
      <c r="Y2775" s="168">
        <f t="shared" si="6"/>
        <v>0</v>
      </c>
      <c r="Z2775" s="168">
        <f t="shared" si="7"/>
        <v>0</v>
      </c>
      <c r="AA2775" s="168">
        <f t="shared" si="8"/>
        <v>0</v>
      </c>
      <c r="AB2775" s="168">
        <f t="shared" si="9"/>
        <v>0</v>
      </c>
    </row>
    <row r="2776" ht="15.0" customHeight="1">
      <c r="A2776" s="157" t="s">
        <v>10331</v>
      </c>
      <c r="B2776" s="169" t="s">
        <v>38</v>
      </c>
      <c r="C2776" s="169" t="s">
        <v>6711</v>
      </c>
      <c r="D2776" s="317">
        <v>45586.0</v>
      </c>
      <c r="E2776" s="157" t="s">
        <v>600</v>
      </c>
      <c r="F2776" s="160">
        <v>1311.79</v>
      </c>
      <c r="G2776" s="160">
        <f>'FACUS$'!$F2776*0.16</f>
        <v>209.8864</v>
      </c>
      <c r="H2776" s="160">
        <f t="shared" si="68"/>
        <v>1521.6764</v>
      </c>
      <c r="I2776" s="172"/>
      <c r="J2776" s="169"/>
      <c r="K2776" s="172"/>
      <c r="L2776" s="172">
        <f>+'FACUS$'!$H2776-'FACUS$'!$I2776-'FACUS$'!$K2776</f>
        <v>1521.6764</v>
      </c>
      <c r="M2776" s="162" t="s">
        <v>4654</v>
      </c>
      <c r="N2776" s="337" t="s">
        <v>554</v>
      </c>
      <c r="O2776" s="338">
        <v>45616.0</v>
      </c>
      <c r="P2776" s="164">
        <f t="array" ref="P2776">XLOOKUP('FACUS$'!$B2776,'perfil de pagos'!$A$4:$A$46,'perfil de pagos'!$C$4:$C$46+'FACUS$'!$D2776)</f>
        <v>45616</v>
      </c>
      <c r="Q2776" s="165">
        <f t="shared" si="70"/>
        <v>0</v>
      </c>
      <c r="R2776" s="167"/>
      <c r="S2776" s="167">
        <v>3418.0</v>
      </c>
      <c r="T2776" s="167"/>
      <c r="U2776" s="334"/>
      <c r="V2776" s="168">
        <f t="shared" si="3"/>
        <v>1521.6764</v>
      </c>
      <c r="W2776" s="168">
        <f t="shared" si="4"/>
        <v>0</v>
      </c>
      <c r="X2776" s="168">
        <f t="shared" si="5"/>
        <v>0</v>
      </c>
      <c r="Y2776" s="168">
        <f t="shared" si="6"/>
        <v>0</v>
      </c>
      <c r="Z2776" s="168">
        <f t="shared" si="7"/>
        <v>0</v>
      </c>
      <c r="AA2776" s="168">
        <f t="shared" si="8"/>
        <v>0</v>
      </c>
      <c r="AB2776" s="168">
        <f t="shared" si="9"/>
        <v>0</v>
      </c>
    </row>
    <row r="2777" ht="15.0" customHeight="1">
      <c r="A2777" s="157" t="s">
        <v>10332</v>
      </c>
      <c r="B2777" s="169" t="s">
        <v>18</v>
      </c>
      <c r="C2777" s="169" t="s">
        <v>6711</v>
      </c>
      <c r="D2777" s="317">
        <v>45587.0</v>
      </c>
      <c r="E2777" s="157" t="s">
        <v>600</v>
      </c>
      <c r="F2777" s="160">
        <v>5830.08</v>
      </c>
      <c r="G2777" s="160">
        <f>'FACUS$'!$F2777*0.16</f>
        <v>932.8128</v>
      </c>
      <c r="H2777" s="160">
        <f t="shared" si="68"/>
        <v>6762.8928</v>
      </c>
      <c r="I2777" s="172"/>
      <c r="J2777" s="169"/>
      <c r="K2777" s="172"/>
      <c r="L2777" s="172">
        <f>+'FACUS$'!$H2777-'FACUS$'!$I2777-'FACUS$'!$K2777</f>
        <v>6762.8928</v>
      </c>
      <c r="M2777" s="162" t="s">
        <v>586</v>
      </c>
      <c r="N2777" s="337" t="s">
        <v>554</v>
      </c>
      <c r="O2777" s="338">
        <v>45623.0</v>
      </c>
      <c r="P2777" s="164">
        <f t="array" ref="P2777">XLOOKUP('FACUS$'!$B2777,'perfil de pagos'!$A$4:$A$46,'perfil de pagos'!$C$4:$C$46+'FACUS$'!$D2777)</f>
        <v>45597</v>
      </c>
      <c r="Q2777" s="165">
        <f t="shared" si="70"/>
        <v>0</v>
      </c>
      <c r="R2777" s="167"/>
      <c r="S2777" s="167">
        <v>3437.0</v>
      </c>
      <c r="T2777" s="167"/>
      <c r="U2777" s="334"/>
      <c r="V2777" s="168">
        <f t="shared" si="3"/>
        <v>6762.8928</v>
      </c>
      <c r="W2777" s="168">
        <f t="shared" si="4"/>
        <v>0</v>
      </c>
      <c r="X2777" s="168">
        <f t="shared" si="5"/>
        <v>0</v>
      </c>
      <c r="Y2777" s="168">
        <f t="shared" si="6"/>
        <v>0</v>
      </c>
      <c r="Z2777" s="168">
        <f t="shared" si="7"/>
        <v>0</v>
      </c>
      <c r="AA2777" s="168">
        <f t="shared" si="8"/>
        <v>0</v>
      </c>
      <c r="AB2777" s="168">
        <f t="shared" si="9"/>
        <v>0</v>
      </c>
    </row>
    <row r="2778" ht="15.0" customHeight="1">
      <c r="A2778" s="157" t="s">
        <v>10333</v>
      </c>
      <c r="B2778" s="169" t="s">
        <v>20</v>
      </c>
      <c r="C2778" s="169" t="s">
        <v>6711</v>
      </c>
      <c r="D2778" s="317">
        <v>45587.0</v>
      </c>
      <c r="E2778" s="157" t="s">
        <v>600</v>
      </c>
      <c r="F2778" s="160">
        <v>11619.59</v>
      </c>
      <c r="G2778" s="160">
        <f>'FACUS$'!$F2778*0.16</f>
        <v>1859.1344</v>
      </c>
      <c r="H2778" s="160">
        <f t="shared" si="68"/>
        <v>13478.7244</v>
      </c>
      <c r="I2778" s="172"/>
      <c r="J2778" s="169"/>
      <c r="K2778" s="172"/>
      <c r="L2778" s="172">
        <f>+'FACUS$'!$H2778-'FACUS$'!$I2778-'FACUS$'!$K2778</f>
        <v>13478.7244</v>
      </c>
      <c r="M2778" s="162" t="s">
        <v>732</v>
      </c>
      <c r="N2778" s="337" t="s">
        <v>554</v>
      </c>
      <c r="O2778" s="338">
        <v>45623.0</v>
      </c>
      <c r="P2778" s="164">
        <f t="array" ref="P2778">XLOOKUP('FACUS$'!$B2778,'perfil de pagos'!$A$4:$A$46,'perfil de pagos'!$C$4:$C$46+'FACUS$'!$D2778)</f>
        <v>45597</v>
      </c>
      <c r="Q2778" s="165">
        <f t="shared" si="70"/>
        <v>0</v>
      </c>
      <c r="R2778" s="167"/>
      <c r="S2778" s="167">
        <v>3437.0</v>
      </c>
      <c r="T2778" s="167"/>
      <c r="U2778" s="334"/>
      <c r="V2778" s="168">
        <f t="shared" si="3"/>
        <v>13478.7244</v>
      </c>
      <c r="W2778" s="168">
        <f t="shared" si="4"/>
        <v>0</v>
      </c>
      <c r="X2778" s="168">
        <f t="shared" si="5"/>
        <v>0</v>
      </c>
      <c r="Y2778" s="168">
        <f t="shared" si="6"/>
        <v>0</v>
      </c>
      <c r="Z2778" s="168">
        <f t="shared" si="7"/>
        <v>0</v>
      </c>
      <c r="AA2778" s="168">
        <f t="shared" si="8"/>
        <v>0</v>
      </c>
      <c r="AB2778" s="168">
        <f t="shared" si="9"/>
        <v>0</v>
      </c>
    </row>
    <row r="2779" ht="15.0" customHeight="1">
      <c r="A2779" s="157" t="s">
        <v>10334</v>
      </c>
      <c r="B2779" s="169" t="s">
        <v>25</v>
      </c>
      <c r="C2779" s="169" t="s">
        <v>6711</v>
      </c>
      <c r="D2779" s="317">
        <v>45587.0</v>
      </c>
      <c r="E2779" s="157" t="s">
        <v>600</v>
      </c>
      <c r="F2779" s="160">
        <v>5273.22</v>
      </c>
      <c r="G2779" s="160">
        <f>'FACUS$'!$F2779*0.16</f>
        <v>843.7152</v>
      </c>
      <c r="H2779" s="160">
        <f t="shared" si="68"/>
        <v>6116.9352</v>
      </c>
      <c r="I2779" s="172"/>
      <c r="J2779" s="169"/>
      <c r="K2779" s="172"/>
      <c r="L2779" s="172">
        <f>+'FACUS$'!$H2779-'FACUS$'!$I2779-'FACUS$'!$K2779</f>
        <v>6116.9352</v>
      </c>
      <c r="M2779" s="162" t="s">
        <v>4388</v>
      </c>
      <c r="N2779" s="337" t="s">
        <v>554</v>
      </c>
      <c r="O2779" s="338">
        <v>45610.0</v>
      </c>
      <c r="P2779" s="164">
        <f t="array" ref="P2779">XLOOKUP('FACUS$'!$B2779,'perfil de pagos'!$A$4:$A$46,'perfil de pagos'!$C$4:$C$46+'FACUS$'!$D2779)</f>
        <v>45597</v>
      </c>
      <c r="Q2779" s="165">
        <f t="shared" si="70"/>
        <v>0</v>
      </c>
      <c r="R2779" s="167"/>
      <c r="S2779" s="167">
        <v>3403.0</v>
      </c>
      <c r="T2779" s="167"/>
      <c r="U2779" s="334"/>
      <c r="V2779" s="168">
        <f t="shared" si="3"/>
        <v>6116.9352</v>
      </c>
      <c r="W2779" s="168">
        <f t="shared" si="4"/>
        <v>0</v>
      </c>
      <c r="X2779" s="168">
        <f t="shared" si="5"/>
        <v>0</v>
      </c>
      <c r="Y2779" s="168">
        <f t="shared" si="6"/>
        <v>0</v>
      </c>
      <c r="Z2779" s="168">
        <f t="shared" si="7"/>
        <v>0</v>
      </c>
      <c r="AA2779" s="168">
        <f t="shared" si="8"/>
        <v>0</v>
      </c>
      <c r="AB2779" s="168">
        <f t="shared" si="9"/>
        <v>0</v>
      </c>
    </row>
    <row r="2780" ht="15.0" customHeight="1">
      <c r="A2780" s="157" t="s">
        <v>10335</v>
      </c>
      <c r="B2780" s="169" t="s">
        <v>37</v>
      </c>
      <c r="C2780" s="169" t="s">
        <v>6711</v>
      </c>
      <c r="D2780" s="317">
        <v>45587.0</v>
      </c>
      <c r="E2780" s="157" t="s">
        <v>600</v>
      </c>
      <c r="F2780" s="160">
        <v>91786.2</v>
      </c>
      <c r="G2780" s="160">
        <f>'FACUS$'!$F2780*0.16</f>
        <v>14685.792</v>
      </c>
      <c r="H2780" s="160">
        <f t="shared" si="68"/>
        <v>106471.992</v>
      </c>
      <c r="I2780" s="172"/>
      <c r="J2780" s="169"/>
      <c r="K2780" s="172"/>
      <c r="L2780" s="172">
        <f>+'FACUS$'!$H2780-'FACUS$'!$I2780-'FACUS$'!$K2780</f>
        <v>106471.992</v>
      </c>
      <c r="M2780" s="162" t="s">
        <v>116</v>
      </c>
      <c r="N2780" s="337" t="s">
        <v>554</v>
      </c>
      <c r="O2780" s="338">
        <v>45600.0</v>
      </c>
      <c r="P2780" s="164">
        <f t="array" ref="P2780">XLOOKUP('FACUS$'!$B2780,'perfil de pagos'!$A$4:$A$46,'perfil de pagos'!$C$4:$C$46+'FACUS$'!$D2780)</f>
        <v>45597</v>
      </c>
      <c r="Q2780" s="165">
        <f t="shared" si="70"/>
        <v>0</v>
      </c>
      <c r="R2780" s="167"/>
      <c r="S2780" s="167">
        <v>3375.0</v>
      </c>
      <c r="T2780" s="167"/>
      <c r="U2780" s="334"/>
      <c r="V2780" s="168">
        <f t="shared" si="3"/>
        <v>106471.992</v>
      </c>
      <c r="W2780" s="168">
        <f t="shared" si="4"/>
        <v>0</v>
      </c>
      <c r="X2780" s="168">
        <f t="shared" si="5"/>
        <v>0</v>
      </c>
      <c r="Y2780" s="168">
        <f t="shared" si="6"/>
        <v>0</v>
      </c>
      <c r="Z2780" s="168">
        <f t="shared" si="7"/>
        <v>0</v>
      </c>
      <c r="AA2780" s="168">
        <f t="shared" si="8"/>
        <v>0</v>
      </c>
      <c r="AB2780" s="168">
        <f t="shared" si="9"/>
        <v>0</v>
      </c>
    </row>
    <row r="2781" ht="15.0" customHeight="1">
      <c r="A2781" s="157" t="s">
        <v>10336</v>
      </c>
      <c r="B2781" s="169" t="s">
        <v>38</v>
      </c>
      <c r="C2781" s="169" t="s">
        <v>6711</v>
      </c>
      <c r="D2781" s="317">
        <v>45594.0</v>
      </c>
      <c r="E2781" s="157" t="s">
        <v>600</v>
      </c>
      <c r="F2781" s="160">
        <v>6999.6</v>
      </c>
      <c r="G2781" s="160">
        <f>'FACUS$'!$F2781*0.16</f>
        <v>1119.936</v>
      </c>
      <c r="H2781" s="160">
        <f t="shared" si="68"/>
        <v>8119.536</v>
      </c>
      <c r="I2781" s="172"/>
      <c r="J2781" s="169"/>
      <c r="K2781" s="172"/>
      <c r="L2781" s="172">
        <f>+'FACUS$'!$H2781-'FACUS$'!$I2781-'FACUS$'!$K2781</f>
        <v>8119.536</v>
      </c>
      <c r="M2781" s="162" t="s">
        <v>145</v>
      </c>
      <c r="N2781" s="337" t="s">
        <v>554</v>
      </c>
      <c r="O2781" s="338">
        <v>45616.0</v>
      </c>
      <c r="P2781" s="164">
        <f t="array" ref="P2781">XLOOKUP('FACUS$'!$B2781,'perfil de pagos'!$A$4:$A$46,'perfil de pagos'!$C$4:$C$46+'FACUS$'!$D2781)</f>
        <v>45624</v>
      </c>
      <c r="Q2781" s="165">
        <f t="shared" si="70"/>
        <v>0</v>
      </c>
      <c r="R2781" s="167"/>
      <c r="S2781" s="167">
        <v>3417.0</v>
      </c>
      <c r="T2781" s="167"/>
      <c r="U2781" s="334"/>
      <c r="V2781" s="168">
        <f t="shared" si="3"/>
        <v>8119.536</v>
      </c>
      <c r="W2781" s="168">
        <f t="shared" si="4"/>
        <v>0</v>
      </c>
      <c r="X2781" s="168">
        <f t="shared" si="5"/>
        <v>0</v>
      </c>
      <c r="Y2781" s="168">
        <f t="shared" si="6"/>
        <v>0</v>
      </c>
      <c r="Z2781" s="168">
        <f t="shared" si="7"/>
        <v>0</v>
      </c>
      <c r="AA2781" s="168">
        <f t="shared" si="8"/>
        <v>0</v>
      </c>
      <c r="AB2781" s="168">
        <f t="shared" si="9"/>
        <v>0</v>
      </c>
    </row>
    <row r="2782" ht="15.0" customHeight="1">
      <c r="A2782" s="157" t="s">
        <v>10337</v>
      </c>
      <c r="B2782" s="169" t="s">
        <v>50</v>
      </c>
      <c r="C2782" s="169" t="s">
        <v>6723</v>
      </c>
      <c r="D2782" s="317">
        <v>45601.0</v>
      </c>
      <c r="E2782" s="157" t="s">
        <v>600</v>
      </c>
      <c r="F2782" s="160">
        <v>16820.99</v>
      </c>
      <c r="G2782" s="160">
        <f>'FACUS$'!$F2782*0.16</f>
        <v>2691.3584</v>
      </c>
      <c r="H2782" s="160">
        <f t="shared" si="68"/>
        <v>19512.3484</v>
      </c>
      <c r="I2782" s="172"/>
      <c r="J2782" s="169"/>
      <c r="K2782" s="172"/>
      <c r="L2782" s="172">
        <f>+'FACUS$'!$H2782-'FACUS$'!$I2782-'FACUS$'!$K2782</f>
        <v>19512.3484</v>
      </c>
      <c r="M2782" s="162" t="s">
        <v>570</v>
      </c>
      <c r="N2782" s="337" t="s">
        <v>554</v>
      </c>
      <c r="O2782" s="338">
        <v>45618.0</v>
      </c>
      <c r="P2782" s="164">
        <f t="array" ref="P2782">XLOOKUP('FACUS$'!$B2782,'perfil de pagos'!$A$4:$A$46,'perfil de pagos'!$C$4:$C$46+'FACUS$'!$D2782)</f>
        <v>45611</v>
      </c>
      <c r="Q2782" s="165">
        <f t="shared" si="70"/>
        <v>0</v>
      </c>
      <c r="R2782" s="167"/>
      <c r="S2782" s="167">
        <v>3420.0</v>
      </c>
      <c r="T2782" s="167"/>
      <c r="U2782" s="334"/>
      <c r="V2782" s="168">
        <f t="shared" si="3"/>
        <v>19512.3484</v>
      </c>
      <c r="W2782" s="168">
        <f t="shared" si="4"/>
        <v>0</v>
      </c>
      <c r="X2782" s="168">
        <f t="shared" si="5"/>
        <v>0</v>
      </c>
      <c r="Y2782" s="168">
        <f t="shared" si="6"/>
        <v>0</v>
      </c>
      <c r="Z2782" s="168">
        <f t="shared" si="7"/>
        <v>0</v>
      </c>
      <c r="AA2782" s="168">
        <f t="shared" si="8"/>
        <v>0</v>
      </c>
      <c r="AB2782" s="168">
        <f t="shared" si="9"/>
        <v>0</v>
      </c>
    </row>
    <row r="2783" ht="15.0" customHeight="1">
      <c r="A2783" s="157" t="s">
        <v>10338</v>
      </c>
      <c r="B2783" s="169" t="s">
        <v>50</v>
      </c>
      <c r="C2783" s="169" t="s">
        <v>10339</v>
      </c>
      <c r="D2783" s="317">
        <v>45601.0</v>
      </c>
      <c r="E2783" s="157" t="s">
        <v>600</v>
      </c>
      <c r="F2783" s="160">
        <v>23916.62</v>
      </c>
      <c r="G2783" s="160">
        <f>'FACUS$'!$F2783*0.16</f>
        <v>3826.6592</v>
      </c>
      <c r="H2783" s="160">
        <f t="shared" si="68"/>
        <v>27743.2792</v>
      </c>
      <c r="I2783" s="172"/>
      <c r="J2783" s="169"/>
      <c r="K2783" s="172"/>
      <c r="L2783" s="172">
        <f>+'FACUS$'!$H2783-'FACUS$'!$I2783-'FACUS$'!$K2783</f>
        <v>27743.2792</v>
      </c>
      <c r="M2783" s="162" t="s">
        <v>570</v>
      </c>
      <c r="N2783" s="337" t="s">
        <v>554</v>
      </c>
      <c r="O2783" s="338">
        <v>45646.0</v>
      </c>
      <c r="P2783" s="164">
        <f t="array" ref="P2783">XLOOKUP('FACUS$'!$B2783,'perfil de pagos'!$A$4:$A$46,'perfil de pagos'!$C$4:$C$46+'FACUS$'!$D2783)</f>
        <v>45611</v>
      </c>
      <c r="Q2783" s="165">
        <f t="shared" si="70"/>
        <v>0</v>
      </c>
      <c r="R2783" s="167"/>
      <c r="S2783" s="167"/>
      <c r="T2783" s="167"/>
      <c r="U2783" s="334"/>
      <c r="V2783" s="168">
        <f t="shared" si="3"/>
        <v>27743.2792</v>
      </c>
      <c r="W2783" s="168">
        <f t="shared" si="4"/>
        <v>0</v>
      </c>
      <c r="X2783" s="168">
        <f t="shared" si="5"/>
        <v>0</v>
      </c>
      <c r="Y2783" s="168">
        <f t="shared" si="6"/>
        <v>0</v>
      </c>
      <c r="Z2783" s="168">
        <f t="shared" si="7"/>
        <v>0</v>
      </c>
      <c r="AA2783" s="168">
        <f t="shared" si="8"/>
        <v>0</v>
      </c>
      <c r="AB2783" s="168">
        <f t="shared" si="9"/>
        <v>0</v>
      </c>
    </row>
    <row r="2784" ht="15.0" customHeight="1">
      <c r="A2784" s="157" t="s">
        <v>10340</v>
      </c>
      <c r="B2784" s="169" t="s">
        <v>41</v>
      </c>
      <c r="C2784" s="169" t="s">
        <v>10339</v>
      </c>
      <c r="D2784" s="317">
        <v>45601.0</v>
      </c>
      <c r="E2784" s="157" t="s">
        <v>600</v>
      </c>
      <c r="F2784" s="160">
        <v>118492.04</v>
      </c>
      <c r="G2784" s="160">
        <f>'FACUS$'!$F2784*0.16</f>
        <v>18958.7264</v>
      </c>
      <c r="H2784" s="160">
        <f t="shared" si="68"/>
        <v>137450.7664</v>
      </c>
      <c r="I2784" s="172"/>
      <c r="J2784" s="169"/>
      <c r="K2784" s="172"/>
      <c r="L2784" s="172">
        <f>+'FACUS$'!$H2784-'FACUS$'!$I2784-'FACUS$'!$K2784</f>
        <v>137450.7664</v>
      </c>
      <c r="M2784" s="162" t="s">
        <v>875</v>
      </c>
      <c r="N2784" s="337" t="s">
        <v>554</v>
      </c>
      <c r="O2784" s="338">
        <v>45646.0</v>
      </c>
      <c r="P2784" s="164">
        <f t="array" ref="P2784">XLOOKUP('FACUS$'!$B2784,'perfil de pagos'!$A$4:$A$46,'perfil de pagos'!$C$4:$C$46+'FACUS$'!$D2784)</f>
        <v>45611</v>
      </c>
      <c r="Q2784" s="165">
        <f t="shared" si="70"/>
        <v>0</v>
      </c>
      <c r="R2784" s="167"/>
      <c r="S2784" s="167"/>
      <c r="T2784" s="167"/>
      <c r="U2784" s="334"/>
      <c r="V2784" s="168">
        <f t="shared" si="3"/>
        <v>137450.7664</v>
      </c>
      <c r="W2784" s="168">
        <f t="shared" si="4"/>
        <v>0</v>
      </c>
      <c r="X2784" s="168">
        <f t="shared" si="5"/>
        <v>0</v>
      </c>
      <c r="Y2784" s="168">
        <f t="shared" si="6"/>
        <v>0</v>
      </c>
      <c r="Z2784" s="168">
        <f t="shared" si="7"/>
        <v>0</v>
      </c>
      <c r="AA2784" s="168">
        <f t="shared" si="8"/>
        <v>0</v>
      </c>
      <c r="AB2784" s="168">
        <f t="shared" si="9"/>
        <v>0</v>
      </c>
    </row>
    <row r="2785" ht="15.0" customHeight="1">
      <c r="A2785" s="157" t="s">
        <v>10341</v>
      </c>
      <c r="B2785" s="169" t="s">
        <v>52</v>
      </c>
      <c r="C2785" s="169" t="s">
        <v>6723</v>
      </c>
      <c r="D2785" s="317">
        <v>45601.0</v>
      </c>
      <c r="E2785" s="157" t="s">
        <v>600</v>
      </c>
      <c r="F2785" s="160">
        <v>3660.09</v>
      </c>
      <c r="G2785" s="160">
        <f>'FACUS$'!$F2785*0.16</f>
        <v>585.6144</v>
      </c>
      <c r="H2785" s="160">
        <f t="shared" si="68"/>
        <v>4245.7044</v>
      </c>
      <c r="I2785" s="172"/>
      <c r="J2785" s="169"/>
      <c r="K2785" s="172"/>
      <c r="L2785" s="172">
        <f>+'FACUS$'!$H2785-'FACUS$'!$I2785-'FACUS$'!$K2785</f>
        <v>4245.7044</v>
      </c>
      <c r="M2785" s="162" t="s">
        <v>10309</v>
      </c>
      <c r="N2785" s="337" t="s">
        <v>554</v>
      </c>
      <c r="O2785" s="338">
        <v>45618.0</v>
      </c>
      <c r="P2785" s="164">
        <f t="array" ref="P2785">XLOOKUP('FACUS$'!$B2785,'perfil de pagos'!$A$4:$A$46,'perfil de pagos'!$C$4:$C$46+'FACUS$'!$D2785)</f>
        <v>45616</v>
      </c>
      <c r="Q2785" s="165">
        <f t="shared" si="70"/>
        <v>0</v>
      </c>
      <c r="R2785" s="167"/>
      <c r="S2785" s="167">
        <v>3423.0</v>
      </c>
      <c r="T2785" s="167"/>
      <c r="U2785" s="334"/>
      <c r="V2785" s="168">
        <f t="shared" si="3"/>
        <v>4245.7044</v>
      </c>
      <c r="W2785" s="168">
        <f t="shared" si="4"/>
        <v>0</v>
      </c>
      <c r="X2785" s="168">
        <f t="shared" si="5"/>
        <v>0</v>
      </c>
      <c r="Y2785" s="168">
        <f t="shared" si="6"/>
        <v>0</v>
      </c>
      <c r="Z2785" s="168">
        <f t="shared" si="7"/>
        <v>0</v>
      </c>
      <c r="AA2785" s="168">
        <f t="shared" si="8"/>
        <v>0</v>
      </c>
      <c r="AB2785" s="168">
        <f t="shared" si="9"/>
        <v>0</v>
      </c>
    </row>
    <row r="2786" ht="15.0" customHeight="1">
      <c r="A2786" s="157" t="s">
        <v>10342</v>
      </c>
      <c r="B2786" s="169" t="s">
        <v>52</v>
      </c>
      <c r="C2786" s="169" t="s">
        <v>10339</v>
      </c>
      <c r="D2786" s="317">
        <v>45601.0</v>
      </c>
      <c r="E2786" s="157" t="s">
        <v>600</v>
      </c>
      <c r="F2786" s="160">
        <v>4053.09</v>
      </c>
      <c r="G2786" s="160">
        <f>'FACUS$'!$F2786*0.16</f>
        <v>648.4944</v>
      </c>
      <c r="H2786" s="160">
        <f t="shared" si="68"/>
        <v>4701.5844</v>
      </c>
      <c r="I2786" s="172"/>
      <c r="J2786" s="169"/>
      <c r="K2786" s="172"/>
      <c r="L2786" s="172">
        <f>+'FACUS$'!$H2786-'FACUS$'!$I2786-'FACUS$'!$K2786</f>
        <v>4701.5844</v>
      </c>
      <c r="M2786" s="162" t="s">
        <v>10309</v>
      </c>
      <c r="N2786" s="337" t="s">
        <v>554</v>
      </c>
      <c r="O2786" s="338">
        <v>45618.0</v>
      </c>
      <c r="P2786" s="164">
        <f t="array" ref="P2786">XLOOKUP('FACUS$'!$B2786,'perfil de pagos'!$A$4:$A$46,'perfil de pagos'!$C$4:$C$46+'FACUS$'!$D2786)</f>
        <v>45616</v>
      </c>
      <c r="Q2786" s="165">
        <f t="shared" si="70"/>
        <v>0</v>
      </c>
      <c r="R2786" s="167"/>
      <c r="S2786" s="167">
        <v>3422.0</v>
      </c>
      <c r="T2786" s="167"/>
      <c r="U2786" s="334"/>
      <c r="V2786" s="168">
        <f t="shared" si="3"/>
        <v>4701.5844</v>
      </c>
      <c r="W2786" s="168">
        <f t="shared" si="4"/>
        <v>0</v>
      </c>
      <c r="X2786" s="168">
        <f t="shared" si="5"/>
        <v>0</v>
      </c>
      <c r="Y2786" s="168">
        <f t="shared" si="6"/>
        <v>0</v>
      </c>
      <c r="Z2786" s="168">
        <f t="shared" si="7"/>
        <v>0</v>
      </c>
      <c r="AA2786" s="168">
        <f t="shared" si="8"/>
        <v>0</v>
      </c>
      <c r="AB2786" s="168">
        <f t="shared" si="9"/>
        <v>0</v>
      </c>
    </row>
    <row r="2787" ht="15.0" customHeight="1">
      <c r="A2787" s="157" t="s">
        <v>10343</v>
      </c>
      <c r="B2787" s="169" t="s">
        <v>35</v>
      </c>
      <c r="C2787" s="169" t="s">
        <v>10339</v>
      </c>
      <c r="D2787" s="317">
        <v>45601.0</v>
      </c>
      <c r="E2787" s="157" t="s">
        <v>600</v>
      </c>
      <c r="F2787" s="160">
        <v>10276.04</v>
      </c>
      <c r="G2787" s="160">
        <f>'FACUS$'!$F2787*0.16</f>
        <v>1644.1664</v>
      </c>
      <c r="H2787" s="160">
        <f t="shared" si="68"/>
        <v>11920.2064</v>
      </c>
      <c r="I2787" s="172"/>
      <c r="J2787" s="169"/>
      <c r="K2787" s="172"/>
      <c r="L2787" s="172">
        <f>+'FACUS$'!$H2787-'FACUS$'!$I2787-'FACUS$'!$K2787</f>
        <v>11920.2064</v>
      </c>
      <c r="M2787" s="162" t="s">
        <v>276</v>
      </c>
      <c r="N2787" s="337" t="s">
        <v>554</v>
      </c>
      <c r="O2787" s="338">
        <v>45635.0</v>
      </c>
      <c r="P2787" s="164">
        <f t="array" ref="P2787">XLOOKUP('FACUS$'!$B2787,'perfil de pagos'!$A$4:$A$46,'perfil de pagos'!$C$4:$C$46+'FACUS$'!$D2787)</f>
        <v>45611</v>
      </c>
      <c r="Q2787" s="165">
        <f t="shared" si="70"/>
        <v>0</v>
      </c>
      <c r="R2787" s="167"/>
      <c r="S2787" s="167" t="s">
        <v>10343</v>
      </c>
      <c r="T2787" s="167"/>
      <c r="U2787" s="334"/>
      <c r="V2787" s="168">
        <f t="shared" si="3"/>
        <v>11920.2064</v>
      </c>
      <c r="W2787" s="168">
        <f t="shared" si="4"/>
        <v>0</v>
      </c>
      <c r="X2787" s="168">
        <f t="shared" si="5"/>
        <v>0</v>
      </c>
      <c r="Y2787" s="168">
        <f t="shared" si="6"/>
        <v>0</v>
      </c>
      <c r="Z2787" s="168">
        <f t="shared" si="7"/>
        <v>0</v>
      </c>
      <c r="AA2787" s="168">
        <f t="shared" si="8"/>
        <v>0</v>
      </c>
      <c r="AB2787" s="168">
        <f t="shared" si="9"/>
        <v>0</v>
      </c>
    </row>
    <row r="2788" ht="15.0" customHeight="1">
      <c r="A2788" s="157" t="s">
        <v>10344</v>
      </c>
      <c r="B2788" s="169" t="s">
        <v>42</v>
      </c>
      <c r="C2788" s="169" t="s">
        <v>10339</v>
      </c>
      <c r="D2788" s="317">
        <v>45601.0</v>
      </c>
      <c r="E2788" s="157" t="s">
        <v>600</v>
      </c>
      <c r="F2788" s="160">
        <v>15512.22</v>
      </c>
      <c r="G2788" s="160">
        <f>'FACUS$'!$F2788*0.16</f>
        <v>2481.9552</v>
      </c>
      <c r="H2788" s="160">
        <f t="shared" si="68"/>
        <v>17994.1752</v>
      </c>
      <c r="I2788" s="172"/>
      <c r="J2788" s="169"/>
      <c r="K2788" s="172"/>
      <c r="L2788" s="172">
        <f>+'FACUS$'!$H2788-'FACUS$'!$I2788-'FACUS$'!$K2788</f>
        <v>17994.1752</v>
      </c>
      <c r="M2788" s="162" t="s">
        <v>42</v>
      </c>
      <c r="N2788" s="337" t="s">
        <v>554</v>
      </c>
      <c r="O2788" s="338">
        <v>45617.0</v>
      </c>
      <c r="P2788" s="164">
        <f t="array" ref="P2788">XLOOKUP('FACUS$'!$B2788,'perfil de pagos'!$A$4:$A$46,'perfil de pagos'!$C$4:$C$46+'FACUS$'!$D2788)</f>
        <v>45611</v>
      </c>
      <c r="Q2788" s="165">
        <f t="shared" si="70"/>
        <v>0</v>
      </c>
      <c r="R2788" s="167"/>
      <c r="S2788" s="167">
        <v>3419.0</v>
      </c>
      <c r="T2788" s="167"/>
      <c r="U2788" s="334"/>
      <c r="V2788" s="168">
        <f t="shared" si="3"/>
        <v>17994.1752</v>
      </c>
      <c r="W2788" s="168">
        <f t="shared" si="4"/>
        <v>0</v>
      </c>
      <c r="X2788" s="168">
        <f t="shared" si="5"/>
        <v>0</v>
      </c>
      <c r="Y2788" s="168">
        <f t="shared" si="6"/>
        <v>0</v>
      </c>
      <c r="Z2788" s="168">
        <f t="shared" si="7"/>
        <v>0</v>
      </c>
      <c r="AA2788" s="168">
        <f t="shared" si="8"/>
        <v>0</v>
      </c>
      <c r="AB2788" s="168">
        <f t="shared" si="9"/>
        <v>0</v>
      </c>
    </row>
    <row r="2789" ht="15.0" customHeight="1">
      <c r="A2789" s="157" t="s">
        <v>10345</v>
      </c>
      <c r="B2789" s="169" t="s">
        <v>44</v>
      </c>
      <c r="C2789" s="169" t="s">
        <v>10339</v>
      </c>
      <c r="D2789" s="317">
        <v>45601.0</v>
      </c>
      <c r="E2789" s="157" t="s">
        <v>600</v>
      </c>
      <c r="F2789" s="160">
        <v>3778.79</v>
      </c>
      <c r="G2789" s="160">
        <f>'FACUS$'!$F2789*0.16</f>
        <v>604.6064</v>
      </c>
      <c r="H2789" s="160">
        <f t="shared" si="68"/>
        <v>4383.3964</v>
      </c>
      <c r="I2789" s="172"/>
      <c r="J2789" s="169"/>
      <c r="K2789" s="172"/>
      <c r="L2789" s="172">
        <f>+'FACUS$'!$H2789-'FACUS$'!$I2789-'FACUS$'!$K2789</f>
        <v>4383.3964</v>
      </c>
      <c r="M2789" s="162" t="s">
        <v>361</v>
      </c>
      <c r="N2789" s="337" t="s">
        <v>554</v>
      </c>
      <c r="O2789" s="338">
        <v>45611.0</v>
      </c>
      <c r="P2789" s="164">
        <f t="array" ref="P2789">XLOOKUP('FACUS$'!$B2789,'perfil de pagos'!$A$4:$A$46,'perfil de pagos'!$C$4:$C$46+'FACUS$'!$D2789)</f>
        <v>45611</v>
      </c>
      <c r="Q2789" s="165">
        <f t="shared" si="70"/>
        <v>0</v>
      </c>
      <c r="R2789" s="167"/>
      <c r="S2789" s="167"/>
      <c r="T2789" s="167"/>
      <c r="U2789" s="334"/>
      <c r="V2789" s="168">
        <f t="shared" si="3"/>
        <v>4383.3964</v>
      </c>
      <c r="W2789" s="168">
        <f t="shared" si="4"/>
        <v>0</v>
      </c>
      <c r="X2789" s="168">
        <f t="shared" si="5"/>
        <v>0</v>
      </c>
      <c r="Y2789" s="168">
        <f t="shared" si="6"/>
        <v>0</v>
      </c>
      <c r="Z2789" s="168">
        <f t="shared" si="7"/>
        <v>0</v>
      </c>
      <c r="AA2789" s="168">
        <f t="shared" si="8"/>
        <v>0</v>
      </c>
      <c r="AB2789" s="168">
        <f t="shared" si="9"/>
        <v>0</v>
      </c>
    </row>
    <row r="2790" ht="15.0" customHeight="1">
      <c r="A2790" s="157" t="s">
        <v>10346</v>
      </c>
      <c r="B2790" s="169" t="s">
        <v>17</v>
      </c>
      <c r="C2790" s="169" t="s">
        <v>6723</v>
      </c>
      <c r="D2790" s="317">
        <v>45602.0</v>
      </c>
      <c r="E2790" s="157" t="s">
        <v>600</v>
      </c>
      <c r="F2790" s="160">
        <v>13619.99</v>
      </c>
      <c r="G2790" s="160">
        <f>'FACUS$'!$F2790*0.16</f>
        <v>2179.1984</v>
      </c>
      <c r="H2790" s="160">
        <f t="shared" si="68"/>
        <v>15799.1884</v>
      </c>
      <c r="I2790" s="172"/>
      <c r="J2790" s="169"/>
      <c r="K2790" s="172"/>
      <c r="L2790" s="172">
        <f>+'FACUS$'!$H2790-'FACUS$'!$I2790-'FACUS$'!$K2790</f>
        <v>15799.1884</v>
      </c>
      <c r="M2790" s="162" t="s">
        <v>17</v>
      </c>
      <c r="N2790" s="337" t="s">
        <v>554</v>
      </c>
      <c r="O2790" s="338">
        <v>45624.0</v>
      </c>
      <c r="P2790" s="164">
        <f t="array" ref="P2790">XLOOKUP('FACUS$'!$B2790,'perfil de pagos'!$A$4:$A$46,'perfil de pagos'!$C$4:$C$46+'FACUS$'!$D2790)</f>
        <v>45612</v>
      </c>
      <c r="Q2790" s="165">
        <f t="shared" si="70"/>
        <v>0</v>
      </c>
      <c r="R2790" s="167"/>
      <c r="S2790" s="167">
        <v>3439.0</v>
      </c>
      <c r="T2790" s="167"/>
      <c r="U2790" s="334"/>
      <c r="V2790" s="168">
        <f t="shared" si="3"/>
        <v>15799.1884</v>
      </c>
      <c r="W2790" s="168">
        <f t="shared" si="4"/>
        <v>0</v>
      </c>
      <c r="X2790" s="168">
        <f t="shared" si="5"/>
        <v>0</v>
      </c>
      <c r="Y2790" s="168">
        <f t="shared" si="6"/>
        <v>0</v>
      </c>
      <c r="Z2790" s="168">
        <f t="shared" si="7"/>
        <v>0</v>
      </c>
      <c r="AA2790" s="168">
        <f t="shared" si="8"/>
        <v>0</v>
      </c>
      <c r="AB2790" s="168">
        <f t="shared" si="9"/>
        <v>0</v>
      </c>
    </row>
    <row r="2791" ht="15.0" customHeight="1">
      <c r="A2791" s="157" t="s">
        <v>10347</v>
      </c>
      <c r="B2791" s="169" t="s">
        <v>17</v>
      </c>
      <c r="C2791" s="169" t="s">
        <v>10339</v>
      </c>
      <c r="D2791" s="317">
        <v>45602.0</v>
      </c>
      <c r="E2791" s="157" t="s">
        <v>600</v>
      </c>
      <c r="F2791" s="160">
        <v>24618.05</v>
      </c>
      <c r="G2791" s="160">
        <f>'FACUS$'!$F2791*0.16</f>
        <v>3938.888</v>
      </c>
      <c r="H2791" s="160">
        <f t="shared" si="68"/>
        <v>28556.938</v>
      </c>
      <c r="I2791" s="172"/>
      <c r="J2791" s="169"/>
      <c r="K2791" s="172"/>
      <c r="L2791" s="172">
        <f>+'FACUS$'!$H2791-'FACUS$'!$I2791-'FACUS$'!$K2791</f>
        <v>28556.938</v>
      </c>
      <c r="M2791" s="162" t="s">
        <v>17</v>
      </c>
      <c r="N2791" s="337" t="s">
        <v>554</v>
      </c>
      <c r="O2791" s="338">
        <v>45624.0</v>
      </c>
      <c r="P2791" s="164">
        <f t="array" ref="P2791">XLOOKUP('FACUS$'!$B2791,'perfil de pagos'!$A$4:$A$46,'perfil de pagos'!$C$4:$C$46+'FACUS$'!$D2791)</f>
        <v>45612</v>
      </c>
      <c r="Q2791" s="165">
        <f t="shared" si="70"/>
        <v>0</v>
      </c>
      <c r="R2791" s="167"/>
      <c r="S2791" s="167">
        <v>3439.0</v>
      </c>
      <c r="T2791" s="167"/>
      <c r="U2791" s="334"/>
      <c r="V2791" s="168">
        <f t="shared" si="3"/>
        <v>28556.938</v>
      </c>
      <c r="W2791" s="168">
        <f t="shared" si="4"/>
        <v>0</v>
      </c>
      <c r="X2791" s="168">
        <f t="shared" si="5"/>
        <v>0</v>
      </c>
      <c r="Y2791" s="168">
        <f t="shared" si="6"/>
        <v>0</v>
      </c>
      <c r="Z2791" s="168">
        <f t="shared" si="7"/>
        <v>0</v>
      </c>
      <c r="AA2791" s="168">
        <f t="shared" si="8"/>
        <v>0</v>
      </c>
      <c r="AB2791" s="168">
        <f t="shared" si="9"/>
        <v>0</v>
      </c>
    </row>
    <row r="2792" ht="15.0" customHeight="1">
      <c r="A2792" s="157" t="s">
        <v>10348</v>
      </c>
      <c r="B2792" s="169" t="s">
        <v>38</v>
      </c>
      <c r="C2792" s="169" t="s">
        <v>10339</v>
      </c>
      <c r="D2792" s="317">
        <v>45602.0</v>
      </c>
      <c r="E2792" s="157" t="s">
        <v>600</v>
      </c>
      <c r="F2792" s="160">
        <v>2215.95</v>
      </c>
      <c r="G2792" s="160">
        <f>'FACUS$'!$F2792*0.16</f>
        <v>354.552</v>
      </c>
      <c r="H2792" s="160">
        <f t="shared" si="68"/>
        <v>2570.502</v>
      </c>
      <c r="I2792" s="172"/>
      <c r="J2792" s="169"/>
      <c r="K2792" s="172"/>
      <c r="L2792" s="172">
        <f>+'FACUS$'!$H2792-'FACUS$'!$I2792-'FACUS$'!$K2792</f>
        <v>2570.502</v>
      </c>
      <c r="M2792" s="162" t="s">
        <v>4654</v>
      </c>
      <c r="N2792" s="337" t="s">
        <v>554</v>
      </c>
      <c r="O2792" s="338">
        <v>45623.0</v>
      </c>
      <c r="P2792" s="164">
        <f t="array" ref="P2792">XLOOKUP('FACUS$'!$B2792,'perfil de pagos'!$A$4:$A$46,'perfil de pagos'!$C$4:$C$46+'FACUS$'!$D2792)</f>
        <v>45632</v>
      </c>
      <c r="Q2792" s="165">
        <f t="shared" si="70"/>
        <v>0</v>
      </c>
      <c r="R2792" s="167"/>
      <c r="S2792" s="167">
        <v>3436.0</v>
      </c>
      <c r="T2792" s="167"/>
      <c r="U2792" s="334"/>
      <c r="V2792" s="168">
        <f t="shared" si="3"/>
        <v>2570.502</v>
      </c>
      <c r="W2792" s="168">
        <f t="shared" si="4"/>
        <v>0</v>
      </c>
      <c r="X2792" s="168">
        <f t="shared" si="5"/>
        <v>0</v>
      </c>
      <c r="Y2792" s="168">
        <f t="shared" si="6"/>
        <v>0</v>
      </c>
      <c r="Z2792" s="168">
        <f t="shared" si="7"/>
        <v>0</v>
      </c>
      <c r="AA2792" s="168">
        <f t="shared" si="8"/>
        <v>0</v>
      </c>
      <c r="AB2792" s="168">
        <f t="shared" si="9"/>
        <v>0</v>
      </c>
    </row>
    <row r="2793" ht="15.0" customHeight="1">
      <c r="A2793" s="157" t="s">
        <v>10349</v>
      </c>
      <c r="B2793" s="169" t="s">
        <v>18</v>
      </c>
      <c r="C2793" s="169" t="s">
        <v>10339</v>
      </c>
      <c r="D2793" s="317">
        <v>45607.0</v>
      </c>
      <c r="E2793" s="157" t="s">
        <v>600</v>
      </c>
      <c r="F2793" s="160">
        <v>7128.1</v>
      </c>
      <c r="G2793" s="160">
        <f>'FACUS$'!$F2793*0.16</f>
        <v>1140.496</v>
      </c>
      <c r="H2793" s="160">
        <f t="shared" si="68"/>
        <v>8268.596</v>
      </c>
      <c r="I2793" s="172"/>
      <c r="J2793" s="169"/>
      <c r="K2793" s="172"/>
      <c r="L2793" s="172">
        <f>+'FACUS$'!$H2793-'FACUS$'!$I2793-'FACUS$'!$K2793</f>
        <v>8268.596</v>
      </c>
      <c r="M2793" s="162" t="s">
        <v>586</v>
      </c>
      <c r="N2793" s="337" t="s">
        <v>554</v>
      </c>
      <c r="O2793" s="338">
        <v>45623.0</v>
      </c>
      <c r="P2793" s="164">
        <f t="array" ref="P2793">XLOOKUP('FACUS$'!$B2793,'perfil de pagos'!$A$4:$A$46,'perfil de pagos'!$C$4:$C$46+'FACUS$'!$D2793)</f>
        <v>45617</v>
      </c>
      <c r="Q2793" s="165">
        <f t="shared" si="70"/>
        <v>0</v>
      </c>
      <c r="R2793" s="167"/>
      <c r="S2793" s="167">
        <v>3437.0</v>
      </c>
      <c r="T2793" s="167"/>
      <c r="U2793" s="334"/>
      <c r="V2793" s="168">
        <f t="shared" si="3"/>
        <v>8268.596</v>
      </c>
      <c r="W2793" s="168">
        <f t="shared" si="4"/>
        <v>0</v>
      </c>
      <c r="X2793" s="168">
        <f t="shared" si="5"/>
        <v>0</v>
      </c>
      <c r="Y2793" s="168">
        <f t="shared" si="6"/>
        <v>0</v>
      </c>
      <c r="Z2793" s="168">
        <f t="shared" si="7"/>
        <v>0</v>
      </c>
      <c r="AA2793" s="168">
        <f t="shared" si="8"/>
        <v>0</v>
      </c>
      <c r="AB2793" s="168">
        <f t="shared" si="9"/>
        <v>0</v>
      </c>
    </row>
    <row r="2794" ht="15.0" customHeight="1">
      <c r="A2794" s="157" t="s">
        <v>10350</v>
      </c>
      <c r="B2794" s="169" t="s">
        <v>20</v>
      </c>
      <c r="C2794" s="169" t="s">
        <v>10339</v>
      </c>
      <c r="D2794" s="317">
        <v>45607.0</v>
      </c>
      <c r="E2794" s="157" t="s">
        <v>600</v>
      </c>
      <c r="F2794" s="160">
        <v>13334.76</v>
      </c>
      <c r="G2794" s="160">
        <f>'FACUS$'!$F2794*0.16</f>
        <v>2133.5616</v>
      </c>
      <c r="H2794" s="160">
        <f t="shared" si="68"/>
        <v>15468.3216</v>
      </c>
      <c r="I2794" s="172"/>
      <c r="J2794" s="169"/>
      <c r="K2794" s="172"/>
      <c r="L2794" s="172">
        <f>+'FACUS$'!$H2794-'FACUS$'!$I2794-'FACUS$'!$K2794</f>
        <v>15468.3216</v>
      </c>
      <c r="M2794" s="162" t="s">
        <v>732</v>
      </c>
      <c r="N2794" s="337" t="s">
        <v>554</v>
      </c>
      <c r="O2794" s="338">
        <v>45623.0</v>
      </c>
      <c r="P2794" s="164">
        <f t="array" ref="P2794">XLOOKUP('FACUS$'!$B2794,'perfil de pagos'!$A$4:$A$46,'perfil de pagos'!$C$4:$C$46+'FACUS$'!$D2794)</f>
        <v>45617</v>
      </c>
      <c r="Q2794" s="165">
        <f t="shared" si="70"/>
        <v>0</v>
      </c>
      <c r="R2794" s="167"/>
      <c r="S2794" s="220">
        <v>3437.0</v>
      </c>
      <c r="T2794" s="167"/>
      <c r="U2794" s="334"/>
      <c r="V2794" s="168">
        <f t="shared" si="3"/>
        <v>15468.3216</v>
      </c>
      <c r="W2794" s="168">
        <f t="shared" si="4"/>
        <v>0</v>
      </c>
      <c r="X2794" s="168">
        <f t="shared" si="5"/>
        <v>0</v>
      </c>
      <c r="Y2794" s="168">
        <f t="shared" si="6"/>
        <v>0</v>
      </c>
      <c r="Z2794" s="168">
        <f t="shared" si="7"/>
        <v>0</v>
      </c>
      <c r="AA2794" s="168">
        <f t="shared" si="8"/>
        <v>0</v>
      </c>
      <c r="AB2794" s="168">
        <f t="shared" si="9"/>
        <v>0</v>
      </c>
    </row>
    <row r="2795" ht="15.0" customHeight="1">
      <c r="A2795" s="157" t="s">
        <v>10351</v>
      </c>
      <c r="B2795" s="169" t="s">
        <v>25</v>
      </c>
      <c r="C2795" s="169" t="s">
        <v>10339</v>
      </c>
      <c r="D2795" s="317">
        <v>45607.0</v>
      </c>
      <c r="E2795" s="157" t="s">
        <v>600</v>
      </c>
      <c r="F2795" s="160">
        <v>6881.51</v>
      </c>
      <c r="G2795" s="160">
        <f>'FACUS$'!$F2795*0.16</f>
        <v>1101.0416</v>
      </c>
      <c r="H2795" s="160">
        <f t="shared" si="68"/>
        <v>7982.5516</v>
      </c>
      <c r="I2795" s="172"/>
      <c r="J2795" s="169"/>
      <c r="K2795" s="172"/>
      <c r="L2795" s="172">
        <f>+'FACUS$'!$H2795-'FACUS$'!$I2795-'FACUS$'!$K2795</f>
        <v>7982.5516</v>
      </c>
      <c r="M2795" s="162" t="s">
        <v>4388</v>
      </c>
      <c r="N2795" s="337" t="s">
        <v>554</v>
      </c>
      <c r="O2795" s="338">
        <v>45625.0</v>
      </c>
      <c r="P2795" s="164">
        <f t="array" ref="P2795">XLOOKUP('FACUS$'!$B2795,'perfil de pagos'!$A$4:$A$46,'perfil de pagos'!$C$4:$C$46+'FACUS$'!$D2795)</f>
        <v>45617</v>
      </c>
      <c r="Q2795" s="165">
        <f t="shared" si="70"/>
        <v>0</v>
      </c>
      <c r="R2795" s="167"/>
      <c r="S2795" s="167">
        <v>3440.0</v>
      </c>
      <c r="T2795" s="167"/>
      <c r="U2795" s="334"/>
      <c r="V2795" s="168">
        <f t="shared" si="3"/>
        <v>7982.5516</v>
      </c>
      <c r="W2795" s="168">
        <f t="shared" si="4"/>
        <v>0</v>
      </c>
      <c r="X2795" s="168">
        <f t="shared" si="5"/>
        <v>0</v>
      </c>
      <c r="Y2795" s="168">
        <f t="shared" si="6"/>
        <v>0</v>
      </c>
      <c r="Z2795" s="168">
        <f t="shared" si="7"/>
        <v>0</v>
      </c>
      <c r="AA2795" s="168">
        <f t="shared" si="8"/>
        <v>0</v>
      </c>
      <c r="AB2795" s="168">
        <f t="shared" si="9"/>
        <v>0</v>
      </c>
    </row>
    <row r="2796" ht="15.0" customHeight="1">
      <c r="A2796" s="157" t="s">
        <v>10352</v>
      </c>
      <c r="B2796" s="169" t="s">
        <v>37</v>
      </c>
      <c r="C2796" s="169" t="s">
        <v>10339</v>
      </c>
      <c r="D2796" s="317">
        <v>45607.0</v>
      </c>
      <c r="E2796" s="157" t="s">
        <v>600</v>
      </c>
      <c r="F2796" s="160">
        <v>98448.6</v>
      </c>
      <c r="G2796" s="160">
        <f>'FACUS$'!$F2796*0.16</f>
        <v>15751.776</v>
      </c>
      <c r="H2796" s="160">
        <f t="shared" si="68"/>
        <v>114200.376</v>
      </c>
      <c r="I2796" s="172"/>
      <c r="J2796" s="169"/>
      <c r="K2796" s="172"/>
      <c r="L2796" s="172">
        <f>+'FACUS$'!$H2796-'FACUS$'!$I2796-'FACUS$'!$K2796</f>
        <v>114200.376</v>
      </c>
      <c r="M2796" s="162" t="s">
        <v>116</v>
      </c>
      <c r="N2796" s="337" t="s">
        <v>554</v>
      </c>
      <c r="O2796" s="338">
        <v>45621.0</v>
      </c>
      <c r="P2796" s="164">
        <f t="array" ref="P2796">XLOOKUP('FACUS$'!$B2796,'perfil de pagos'!$A$4:$A$46,'perfil de pagos'!$C$4:$C$46+'FACUS$'!$D2796)</f>
        <v>45617</v>
      </c>
      <c r="Q2796" s="165">
        <f t="shared" si="70"/>
        <v>0</v>
      </c>
      <c r="R2796" s="167"/>
      <c r="S2796" s="167"/>
      <c r="T2796" s="167"/>
      <c r="U2796" s="334"/>
      <c r="V2796" s="168">
        <f t="shared" si="3"/>
        <v>114200.376</v>
      </c>
      <c r="W2796" s="168">
        <f t="shared" si="4"/>
        <v>0</v>
      </c>
      <c r="X2796" s="168">
        <f t="shared" si="5"/>
        <v>0</v>
      </c>
      <c r="Y2796" s="168">
        <f t="shared" si="6"/>
        <v>0</v>
      </c>
      <c r="Z2796" s="168">
        <f t="shared" si="7"/>
        <v>0</v>
      </c>
      <c r="AA2796" s="168">
        <f t="shared" si="8"/>
        <v>0</v>
      </c>
      <c r="AB2796" s="168">
        <f t="shared" si="9"/>
        <v>0</v>
      </c>
    </row>
    <row r="2797" ht="15.0" customHeight="1">
      <c r="A2797" s="299" t="s">
        <v>10353</v>
      </c>
      <c r="B2797" s="300" t="s">
        <v>38</v>
      </c>
      <c r="C2797" s="300" t="s">
        <v>10339</v>
      </c>
      <c r="D2797" s="407">
        <v>45607.0</v>
      </c>
      <c r="E2797" s="299" t="s">
        <v>600</v>
      </c>
      <c r="F2797" s="302">
        <v>6999.6</v>
      </c>
      <c r="G2797" s="302">
        <f>'FACUS$'!$F2797*0.16</f>
        <v>1119.936</v>
      </c>
      <c r="H2797" s="302">
        <f t="shared" si="68"/>
        <v>8119.536</v>
      </c>
      <c r="I2797" s="408"/>
      <c r="J2797" s="300"/>
      <c r="K2797" s="408"/>
      <c r="L2797" s="408">
        <f>+'FACUS$'!$H2797-'FACUS$'!$I2797-'FACUS$'!$K2797</f>
        <v>8119.536</v>
      </c>
      <c r="M2797" s="305" t="s">
        <v>145</v>
      </c>
      <c r="N2797" s="409" t="s">
        <v>127</v>
      </c>
      <c r="O2797" s="410"/>
      <c r="P2797" s="306">
        <f t="array" ref="P2797">XLOOKUP('FACUS$'!$B2797,'perfil de pagos'!$A$4:$A$46,'perfil de pagos'!$C$4:$C$46+'FACUS$'!$D2797)</f>
        <v>45637</v>
      </c>
      <c r="Q2797" s="307" t="str">
        <f t="shared" si="70"/>
        <v>N/A</v>
      </c>
      <c r="R2797" s="308"/>
      <c r="S2797" s="308"/>
      <c r="T2797" s="308"/>
      <c r="U2797" s="411"/>
      <c r="V2797" s="309">
        <f t="shared" si="3"/>
        <v>0</v>
      </c>
      <c r="W2797" s="309">
        <f t="shared" si="4"/>
        <v>0</v>
      </c>
      <c r="X2797" s="309">
        <f t="shared" si="5"/>
        <v>0</v>
      </c>
      <c r="Y2797" s="309">
        <f t="shared" si="6"/>
        <v>0</v>
      </c>
      <c r="Z2797" s="309">
        <f t="shared" si="7"/>
        <v>0</v>
      </c>
      <c r="AA2797" s="309">
        <f t="shared" si="8"/>
        <v>0</v>
      </c>
      <c r="AB2797" s="309">
        <f t="shared" si="9"/>
        <v>8119.536</v>
      </c>
    </row>
    <row r="2798" ht="15.0" customHeight="1">
      <c r="A2798" s="157" t="s">
        <v>10354</v>
      </c>
      <c r="B2798" s="169" t="s">
        <v>38</v>
      </c>
      <c r="C2798" s="169" t="s">
        <v>10339</v>
      </c>
      <c r="D2798" s="317">
        <v>45608.0</v>
      </c>
      <c r="E2798" s="157" t="s">
        <v>600</v>
      </c>
      <c r="F2798" s="160">
        <v>8465.36</v>
      </c>
      <c r="G2798" s="160">
        <f>'FACUS$'!$F2798*0.16</f>
        <v>1354.4576</v>
      </c>
      <c r="H2798" s="160">
        <f t="shared" si="68"/>
        <v>9819.8176</v>
      </c>
      <c r="I2798" s="172"/>
      <c r="J2798" s="169"/>
      <c r="K2798" s="172"/>
      <c r="L2798" s="172">
        <f>+'FACUS$'!$H2798-'FACUS$'!$I2798-'FACUS$'!$K2798</f>
        <v>9819.8176</v>
      </c>
      <c r="M2798" s="162" t="s">
        <v>145</v>
      </c>
      <c r="N2798" s="337" t="s">
        <v>554</v>
      </c>
      <c r="O2798" s="338">
        <v>45630.0</v>
      </c>
      <c r="P2798" s="164">
        <f t="array" ref="P2798">XLOOKUP('FACUS$'!$B2798,'perfil de pagos'!$A$4:$A$46,'perfil de pagos'!$C$4:$C$46+'FACUS$'!$D2798)</f>
        <v>45638</v>
      </c>
      <c r="Q2798" s="165">
        <f t="shared" si="70"/>
        <v>0</v>
      </c>
      <c r="R2798" s="167"/>
      <c r="S2798" s="167">
        <v>3456.0</v>
      </c>
      <c r="T2798" s="167"/>
      <c r="U2798" s="334"/>
      <c r="V2798" s="168">
        <f t="shared" si="3"/>
        <v>9819.8176</v>
      </c>
      <c r="W2798" s="168">
        <f t="shared" si="4"/>
        <v>0</v>
      </c>
      <c r="X2798" s="168">
        <f t="shared" si="5"/>
        <v>0</v>
      </c>
      <c r="Y2798" s="168">
        <f t="shared" si="6"/>
        <v>0</v>
      </c>
      <c r="Z2798" s="168">
        <f t="shared" si="7"/>
        <v>0</v>
      </c>
      <c r="AA2798" s="168">
        <f t="shared" si="8"/>
        <v>0</v>
      </c>
      <c r="AB2798" s="168">
        <f t="shared" si="9"/>
        <v>0</v>
      </c>
    </row>
    <row r="2799" ht="15.0" customHeight="1">
      <c r="A2799" s="157" t="s">
        <v>10355</v>
      </c>
      <c r="B2799" s="169" t="s">
        <v>50</v>
      </c>
      <c r="C2799" s="169" t="s">
        <v>6764</v>
      </c>
      <c r="D2799" s="317">
        <v>45615.0</v>
      </c>
      <c r="E2799" s="157" t="s">
        <v>600</v>
      </c>
      <c r="F2799" s="160">
        <v>13104.44</v>
      </c>
      <c r="G2799" s="160">
        <f>'FACUS$'!$F2799*0.16</f>
        <v>2096.7104</v>
      </c>
      <c r="H2799" s="160">
        <f t="shared" si="68"/>
        <v>15201.1504</v>
      </c>
      <c r="I2799" s="172"/>
      <c r="J2799" s="169"/>
      <c r="K2799" s="172"/>
      <c r="L2799" s="412">
        <f>+'FACUS$'!$H2799-'FACUS$'!$I2799-'FACUS$'!$K2799</f>
        <v>15201.1504</v>
      </c>
      <c r="M2799" s="162" t="s">
        <v>570</v>
      </c>
      <c r="N2799" s="337" t="s">
        <v>554</v>
      </c>
      <c r="O2799" s="338">
        <v>45625.0</v>
      </c>
      <c r="P2799" s="164">
        <f t="array" ref="P2799">XLOOKUP('FACUS$'!$B2799,'perfil de pagos'!$A$4:$A$46,'perfil de pagos'!$C$4:$C$46+'FACUS$'!$D2799)</f>
        <v>45625</v>
      </c>
      <c r="Q2799" s="165">
        <f t="shared" si="70"/>
        <v>0</v>
      </c>
      <c r="R2799" s="167"/>
      <c r="S2799" s="167">
        <v>3447.0</v>
      </c>
      <c r="T2799" s="167"/>
      <c r="U2799" s="334"/>
      <c r="V2799" s="168">
        <f t="shared" si="3"/>
        <v>15201.1504</v>
      </c>
      <c r="W2799" s="168">
        <f t="shared" si="4"/>
        <v>0</v>
      </c>
      <c r="X2799" s="168">
        <f t="shared" si="5"/>
        <v>0</v>
      </c>
      <c r="Y2799" s="168">
        <f t="shared" si="6"/>
        <v>0</v>
      </c>
      <c r="Z2799" s="168">
        <f t="shared" si="7"/>
        <v>0</v>
      </c>
      <c r="AA2799" s="168">
        <f t="shared" si="8"/>
        <v>0</v>
      </c>
      <c r="AB2799" s="168">
        <f t="shared" si="9"/>
        <v>0</v>
      </c>
    </row>
    <row r="2800" ht="15.0" customHeight="1">
      <c r="A2800" s="157" t="s">
        <v>10356</v>
      </c>
      <c r="B2800" s="169" t="s">
        <v>50</v>
      </c>
      <c r="C2800" s="169" t="s">
        <v>6766</v>
      </c>
      <c r="D2800" s="317">
        <v>45615.0</v>
      </c>
      <c r="E2800" s="157" t="s">
        <v>600</v>
      </c>
      <c r="F2800" s="160">
        <v>19197.6</v>
      </c>
      <c r="G2800" s="160">
        <f>'FACUS$'!$F2800*0.16</f>
        <v>3071.616</v>
      </c>
      <c r="H2800" s="160">
        <f t="shared" si="68"/>
        <v>22269.216</v>
      </c>
      <c r="I2800" s="172"/>
      <c r="J2800" s="169"/>
      <c r="K2800" s="172"/>
      <c r="L2800" s="412">
        <f>+'FACUS$'!$H2800-'FACUS$'!$I2800-'FACUS$'!$K2800</f>
        <v>22269.216</v>
      </c>
      <c r="M2800" s="162" t="s">
        <v>570</v>
      </c>
      <c r="N2800" s="337" t="s">
        <v>554</v>
      </c>
      <c r="O2800" s="338">
        <v>45632.0</v>
      </c>
      <c r="P2800" s="164">
        <f t="array" ref="P2800">XLOOKUP('FACUS$'!$B2800,'perfil de pagos'!$A$4:$A$46,'perfil de pagos'!$C$4:$C$46+'FACUS$'!$D2800)</f>
        <v>45625</v>
      </c>
      <c r="Q2800" s="165">
        <f t="shared" si="70"/>
        <v>0</v>
      </c>
      <c r="R2800" s="167"/>
      <c r="S2800" s="220">
        <v>3458.0</v>
      </c>
      <c r="T2800" s="167"/>
      <c r="U2800" s="334"/>
      <c r="V2800" s="168">
        <f t="shared" si="3"/>
        <v>22269.216</v>
      </c>
      <c r="W2800" s="168">
        <f t="shared" si="4"/>
        <v>0</v>
      </c>
      <c r="X2800" s="168">
        <f t="shared" si="5"/>
        <v>0</v>
      </c>
      <c r="Y2800" s="168">
        <f t="shared" si="6"/>
        <v>0</v>
      </c>
      <c r="Z2800" s="168">
        <f t="shared" si="7"/>
        <v>0</v>
      </c>
      <c r="AA2800" s="168">
        <f t="shared" si="8"/>
        <v>0</v>
      </c>
      <c r="AB2800" s="168">
        <f t="shared" si="9"/>
        <v>0</v>
      </c>
    </row>
    <row r="2801" ht="15.0" customHeight="1">
      <c r="A2801" s="157" t="s">
        <v>10357</v>
      </c>
      <c r="B2801" s="169" t="s">
        <v>41</v>
      </c>
      <c r="C2801" s="169" t="s">
        <v>6764</v>
      </c>
      <c r="D2801" s="317">
        <v>45615.0</v>
      </c>
      <c r="E2801" s="157" t="s">
        <v>600</v>
      </c>
      <c r="F2801" s="160">
        <v>94252.81</v>
      </c>
      <c r="G2801" s="160">
        <f>'FACUS$'!$F2801*0.16</f>
        <v>15080.4496</v>
      </c>
      <c r="H2801" s="160">
        <f t="shared" si="68"/>
        <v>109333.2596</v>
      </c>
      <c r="I2801" s="172"/>
      <c r="J2801" s="169"/>
      <c r="K2801" s="172"/>
      <c r="L2801" s="172">
        <f>+'FACUS$'!$H2801-'FACUS$'!$I2801-'FACUS$'!$K2801</f>
        <v>109333.2596</v>
      </c>
      <c r="M2801" s="162" t="s">
        <v>875</v>
      </c>
      <c r="N2801" s="337" t="s">
        <v>554</v>
      </c>
      <c r="O2801" s="338">
        <v>45660.0</v>
      </c>
      <c r="P2801" s="164">
        <f t="array" ref="P2801">XLOOKUP('FACUS$'!$B2801,'perfil de pagos'!$A$4:$A$46,'perfil de pagos'!$C$4:$C$46+'FACUS$'!$D2801)</f>
        <v>45625</v>
      </c>
      <c r="Q2801" s="165">
        <f t="shared" si="70"/>
        <v>0</v>
      </c>
      <c r="R2801" s="167"/>
      <c r="S2801" s="167"/>
      <c r="T2801" s="167"/>
      <c r="U2801" s="334"/>
      <c r="V2801" s="168">
        <f t="shared" si="3"/>
        <v>109333.2596</v>
      </c>
      <c r="W2801" s="168">
        <f t="shared" si="4"/>
        <v>0</v>
      </c>
      <c r="X2801" s="168">
        <f t="shared" si="5"/>
        <v>0</v>
      </c>
      <c r="Y2801" s="168">
        <f t="shared" si="6"/>
        <v>0</v>
      </c>
      <c r="Z2801" s="168">
        <f t="shared" si="7"/>
        <v>0</v>
      </c>
      <c r="AA2801" s="168">
        <f t="shared" si="8"/>
        <v>0</v>
      </c>
      <c r="AB2801" s="168">
        <f t="shared" si="9"/>
        <v>0</v>
      </c>
    </row>
    <row r="2802" ht="15.0" customHeight="1">
      <c r="A2802" s="157" t="s">
        <v>10358</v>
      </c>
      <c r="B2802" s="169" t="s">
        <v>52</v>
      </c>
      <c r="C2802" s="169" t="s">
        <v>6764</v>
      </c>
      <c r="D2802" s="317">
        <v>45615.0</v>
      </c>
      <c r="E2802" s="157" t="s">
        <v>600</v>
      </c>
      <c r="F2802" s="160">
        <v>4076.03</v>
      </c>
      <c r="G2802" s="160">
        <f>'FACUS$'!$F2802*0.16</f>
        <v>652.1648</v>
      </c>
      <c r="H2802" s="160">
        <f t="shared" si="68"/>
        <v>4728.1948</v>
      </c>
      <c r="I2802" s="172"/>
      <c r="J2802" s="169"/>
      <c r="K2802" s="172"/>
      <c r="L2802" s="172">
        <f>+'FACUS$'!$H2802-'FACUS$'!$I2802-'FACUS$'!$K2802</f>
        <v>4728.1948</v>
      </c>
      <c r="M2802" s="162" t="s">
        <v>10309</v>
      </c>
      <c r="N2802" s="337" t="s">
        <v>554</v>
      </c>
      <c r="O2802" s="338">
        <v>45639.0</v>
      </c>
      <c r="P2802" s="164">
        <f t="array" ref="P2802">XLOOKUP('FACUS$'!$B2802,'perfil de pagos'!$A$4:$A$46,'perfil de pagos'!$C$4:$C$46+'FACUS$'!$D2802)</f>
        <v>45630</v>
      </c>
      <c r="Q2802" s="165">
        <f t="shared" si="70"/>
        <v>0</v>
      </c>
      <c r="R2802" s="167"/>
      <c r="S2802" s="167"/>
      <c r="T2802" s="167"/>
      <c r="U2802" s="334"/>
      <c r="V2802" s="168">
        <f t="shared" si="3"/>
        <v>4728.1948</v>
      </c>
      <c r="W2802" s="168">
        <f t="shared" si="4"/>
        <v>0</v>
      </c>
      <c r="X2802" s="168">
        <f t="shared" si="5"/>
        <v>0</v>
      </c>
      <c r="Y2802" s="168">
        <f t="shared" si="6"/>
        <v>0</v>
      </c>
      <c r="Z2802" s="168">
        <f t="shared" si="7"/>
        <v>0</v>
      </c>
      <c r="AA2802" s="168">
        <f t="shared" si="8"/>
        <v>0</v>
      </c>
      <c r="AB2802" s="168">
        <f t="shared" si="9"/>
        <v>0</v>
      </c>
    </row>
    <row r="2803" ht="15.0" customHeight="1">
      <c r="A2803" s="157" t="s">
        <v>10359</v>
      </c>
      <c r="B2803" s="169" t="s">
        <v>52</v>
      </c>
      <c r="C2803" s="169" t="s">
        <v>6766</v>
      </c>
      <c r="D2803" s="317">
        <v>45615.0</v>
      </c>
      <c r="E2803" s="157" t="s">
        <v>600</v>
      </c>
      <c r="F2803" s="160">
        <v>2891.9</v>
      </c>
      <c r="G2803" s="160">
        <f>'FACUS$'!$F2803*0.16</f>
        <v>462.704</v>
      </c>
      <c r="H2803" s="160">
        <f t="shared" si="68"/>
        <v>3354.604</v>
      </c>
      <c r="I2803" s="172"/>
      <c r="J2803" s="169"/>
      <c r="K2803" s="172"/>
      <c r="L2803" s="172">
        <f>+'FACUS$'!$H2803-'FACUS$'!$I2803-'FACUS$'!$K2803</f>
        <v>3354.604</v>
      </c>
      <c r="M2803" s="162" t="s">
        <v>10309</v>
      </c>
      <c r="N2803" s="337" t="s">
        <v>554</v>
      </c>
      <c r="O2803" s="338">
        <v>45639.0</v>
      </c>
      <c r="P2803" s="164">
        <f t="array" ref="P2803">XLOOKUP('FACUS$'!$B2803,'perfil de pagos'!$A$4:$A$46,'perfil de pagos'!$C$4:$C$46+'FACUS$'!$D2803)</f>
        <v>45630</v>
      </c>
      <c r="Q2803" s="165">
        <f t="shared" si="70"/>
        <v>0</v>
      </c>
      <c r="R2803" s="167"/>
      <c r="S2803" s="167"/>
      <c r="T2803" s="167"/>
      <c r="U2803" s="334"/>
      <c r="V2803" s="168">
        <f t="shared" si="3"/>
        <v>3354.604</v>
      </c>
      <c r="W2803" s="168">
        <f t="shared" si="4"/>
        <v>0</v>
      </c>
      <c r="X2803" s="168">
        <f t="shared" si="5"/>
        <v>0</v>
      </c>
      <c r="Y2803" s="168">
        <f t="shared" si="6"/>
        <v>0</v>
      </c>
      <c r="Z2803" s="168">
        <f t="shared" si="7"/>
        <v>0</v>
      </c>
      <c r="AA2803" s="168">
        <f t="shared" si="8"/>
        <v>0</v>
      </c>
      <c r="AB2803" s="168">
        <f t="shared" si="9"/>
        <v>0</v>
      </c>
    </row>
    <row r="2804" ht="15.0" customHeight="1">
      <c r="A2804" s="157" t="s">
        <v>10360</v>
      </c>
      <c r="B2804" s="169" t="s">
        <v>35</v>
      </c>
      <c r="C2804" s="169" t="s">
        <v>6766</v>
      </c>
      <c r="D2804" s="317">
        <v>45615.0</v>
      </c>
      <c r="E2804" s="157" t="s">
        <v>600</v>
      </c>
      <c r="F2804" s="160">
        <v>7943.52</v>
      </c>
      <c r="G2804" s="160">
        <f>'FACUS$'!$F2804*0.16</f>
        <v>1270.9632</v>
      </c>
      <c r="H2804" s="160">
        <f t="shared" si="68"/>
        <v>9214.4832</v>
      </c>
      <c r="I2804" s="172">
        <v>50.0</v>
      </c>
      <c r="J2804" s="169"/>
      <c r="K2804" s="172"/>
      <c r="L2804" s="172">
        <f>+'FACUS$'!$H2804-'FACUS$'!$I2804-'FACUS$'!$K2804</f>
        <v>9164.4832</v>
      </c>
      <c r="M2804" s="162" t="s">
        <v>276</v>
      </c>
      <c r="N2804" s="337" t="s">
        <v>554</v>
      </c>
      <c r="O2804" s="338">
        <v>45653.0</v>
      </c>
      <c r="P2804" s="164">
        <f t="array" ref="P2804">XLOOKUP('FACUS$'!$B2804,'perfil de pagos'!$A$4:$A$46,'perfil de pagos'!$C$4:$C$46+'FACUS$'!$D2804)</f>
        <v>45625</v>
      </c>
      <c r="Q2804" s="165">
        <f t="shared" si="70"/>
        <v>0</v>
      </c>
      <c r="R2804" s="220" t="s">
        <v>10361</v>
      </c>
      <c r="S2804" s="167">
        <v>3462.0</v>
      </c>
      <c r="T2804" s="167"/>
      <c r="U2804" s="334"/>
      <c r="V2804" s="168">
        <f t="shared" si="3"/>
        <v>9164.4832</v>
      </c>
      <c r="W2804" s="168">
        <f t="shared" si="4"/>
        <v>0</v>
      </c>
      <c r="X2804" s="168">
        <f t="shared" si="5"/>
        <v>0</v>
      </c>
      <c r="Y2804" s="168">
        <f t="shared" si="6"/>
        <v>0</v>
      </c>
      <c r="Z2804" s="168">
        <f t="shared" si="7"/>
        <v>0</v>
      </c>
      <c r="AA2804" s="168">
        <f t="shared" si="8"/>
        <v>0</v>
      </c>
      <c r="AB2804" s="168">
        <f t="shared" si="9"/>
        <v>0</v>
      </c>
    </row>
    <row r="2805" ht="15.0" customHeight="1">
      <c r="A2805" s="157" t="s">
        <v>10362</v>
      </c>
      <c r="B2805" s="169" t="s">
        <v>42</v>
      </c>
      <c r="C2805" s="169" t="s">
        <v>6766</v>
      </c>
      <c r="D2805" s="317">
        <v>45615.0</v>
      </c>
      <c r="E2805" s="157" t="s">
        <v>600</v>
      </c>
      <c r="F2805" s="160">
        <v>12520.76</v>
      </c>
      <c r="G2805" s="160">
        <f>'FACUS$'!$F2805*0.16</f>
        <v>2003.3216</v>
      </c>
      <c r="H2805" s="160">
        <f t="shared" si="68"/>
        <v>14524.0816</v>
      </c>
      <c r="I2805" s="172"/>
      <c r="J2805" s="169"/>
      <c r="K2805" s="172"/>
      <c r="L2805" s="172">
        <f>+'FACUS$'!$H2805-'FACUS$'!$I2805-'FACUS$'!$K2805</f>
        <v>14524.0816</v>
      </c>
      <c r="M2805" s="162" t="s">
        <v>42</v>
      </c>
      <c r="N2805" s="337" t="s">
        <v>554</v>
      </c>
      <c r="O2805" s="338">
        <v>45645.0</v>
      </c>
      <c r="P2805" s="164">
        <f t="array" ref="P2805">XLOOKUP('FACUS$'!$B2805,'perfil de pagos'!$A$4:$A$46,'perfil de pagos'!$C$4:$C$46+'FACUS$'!$D2805)</f>
        <v>45625</v>
      </c>
      <c r="Q2805" s="165">
        <f t="shared" si="70"/>
        <v>0</v>
      </c>
      <c r="R2805" s="167"/>
      <c r="S2805" s="167"/>
      <c r="T2805" s="167"/>
      <c r="U2805" s="334"/>
      <c r="V2805" s="168">
        <f t="shared" si="3"/>
        <v>14524.0816</v>
      </c>
      <c r="W2805" s="168">
        <f t="shared" si="4"/>
        <v>0</v>
      </c>
      <c r="X2805" s="168">
        <f t="shared" si="5"/>
        <v>0</v>
      </c>
      <c r="Y2805" s="168">
        <f t="shared" si="6"/>
        <v>0</v>
      </c>
      <c r="Z2805" s="168">
        <f t="shared" si="7"/>
        <v>0</v>
      </c>
      <c r="AA2805" s="168">
        <f t="shared" si="8"/>
        <v>0</v>
      </c>
      <c r="AB2805" s="168">
        <f t="shared" si="9"/>
        <v>0</v>
      </c>
    </row>
    <row r="2806" ht="15.0" customHeight="1">
      <c r="A2806" s="157" t="s">
        <v>10363</v>
      </c>
      <c r="B2806" s="169" t="s">
        <v>44</v>
      </c>
      <c r="C2806" s="169" t="s">
        <v>6766</v>
      </c>
      <c r="D2806" s="317">
        <v>45615.0</v>
      </c>
      <c r="E2806" s="157" t="s">
        <v>600</v>
      </c>
      <c r="F2806" s="160">
        <v>11874.07</v>
      </c>
      <c r="G2806" s="160">
        <f>'FACUS$'!$F2806*0.16</f>
        <v>1899.8512</v>
      </c>
      <c r="H2806" s="160">
        <f t="shared" si="68"/>
        <v>13773.9212</v>
      </c>
      <c r="I2806" s="172">
        <v>500.0</v>
      </c>
      <c r="J2806" s="169"/>
      <c r="K2806" s="172"/>
      <c r="L2806" s="172">
        <f>+'FACUS$'!$H2806-'FACUS$'!$I2806-'FACUS$'!$K2806</f>
        <v>13273.9212</v>
      </c>
      <c r="M2806" s="162" t="s">
        <v>361</v>
      </c>
      <c r="N2806" s="337" t="s">
        <v>554</v>
      </c>
      <c r="O2806" s="338">
        <v>45625.0</v>
      </c>
      <c r="P2806" s="164">
        <f t="array" ref="P2806">XLOOKUP('FACUS$'!$B2806,'perfil de pagos'!$A$4:$A$46,'perfil de pagos'!$C$4:$C$46+'FACUS$'!$D2806)</f>
        <v>45625</v>
      </c>
      <c r="Q2806" s="165">
        <f t="shared" si="70"/>
        <v>0</v>
      </c>
      <c r="R2806" s="167" t="s">
        <v>10364</v>
      </c>
      <c r="S2806" s="167">
        <v>3441.0</v>
      </c>
      <c r="T2806" s="167"/>
      <c r="U2806" s="334"/>
      <c r="V2806" s="168">
        <f t="shared" si="3"/>
        <v>13273.9212</v>
      </c>
      <c r="W2806" s="168">
        <f t="shared" si="4"/>
        <v>0</v>
      </c>
      <c r="X2806" s="168">
        <f t="shared" si="5"/>
        <v>0</v>
      </c>
      <c r="Y2806" s="168">
        <f t="shared" si="6"/>
        <v>0</v>
      </c>
      <c r="Z2806" s="168">
        <f t="shared" si="7"/>
        <v>0</v>
      </c>
      <c r="AA2806" s="168">
        <f t="shared" si="8"/>
        <v>0</v>
      </c>
      <c r="AB2806" s="168">
        <f t="shared" si="9"/>
        <v>0</v>
      </c>
    </row>
    <row r="2807" ht="15.0" customHeight="1">
      <c r="A2807" s="157" t="s">
        <v>10365</v>
      </c>
      <c r="B2807" s="169" t="s">
        <v>17</v>
      </c>
      <c r="C2807" s="169" t="s">
        <v>6764</v>
      </c>
      <c r="D2807" s="317">
        <v>45615.0</v>
      </c>
      <c r="E2807" s="157" t="s">
        <v>600</v>
      </c>
      <c r="F2807" s="160">
        <v>12110.34</v>
      </c>
      <c r="G2807" s="160">
        <f>'FACUS$'!$F2807*0.16</f>
        <v>1937.6544</v>
      </c>
      <c r="H2807" s="160">
        <f t="shared" si="68"/>
        <v>14047.9944</v>
      </c>
      <c r="I2807" s="172"/>
      <c r="J2807" s="169"/>
      <c r="K2807" s="172"/>
      <c r="L2807" s="172">
        <f>+'FACUS$'!$H2807-'FACUS$'!$I2807-'FACUS$'!$K2807</f>
        <v>14047.9944</v>
      </c>
      <c r="M2807" s="162" t="s">
        <v>17</v>
      </c>
      <c r="N2807" s="337" t="s">
        <v>554</v>
      </c>
      <c r="O2807" s="338">
        <v>45631.0</v>
      </c>
      <c r="P2807" s="164">
        <f t="array" ref="P2807">XLOOKUP('FACUS$'!$B2807,'perfil de pagos'!$A$4:$A$46,'perfil de pagos'!$C$4:$C$46+'FACUS$'!$D2807)</f>
        <v>45625</v>
      </c>
      <c r="Q2807" s="165">
        <f t="shared" si="70"/>
        <v>0</v>
      </c>
      <c r="R2807" s="167"/>
      <c r="S2807" s="167">
        <v>3457.0</v>
      </c>
      <c r="T2807" s="167"/>
      <c r="U2807" s="334"/>
      <c r="V2807" s="168">
        <f t="shared" si="3"/>
        <v>14047.9944</v>
      </c>
      <c r="W2807" s="168">
        <f t="shared" si="4"/>
        <v>0</v>
      </c>
      <c r="X2807" s="168">
        <f t="shared" si="5"/>
        <v>0</v>
      </c>
      <c r="Y2807" s="168">
        <f t="shared" si="6"/>
        <v>0</v>
      </c>
      <c r="Z2807" s="168">
        <f t="shared" si="7"/>
        <v>0</v>
      </c>
      <c r="AA2807" s="168">
        <f t="shared" si="8"/>
        <v>0</v>
      </c>
      <c r="AB2807" s="168">
        <f t="shared" si="9"/>
        <v>0</v>
      </c>
    </row>
    <row r="2808" ht="15.0" customHeight="1">
      <c r="A2808" s="157" t="s">
        <v>10366</v>
      </c>
      <c r="B2808" s="169" t="s">
        <v>17</v>
      </c>
      <c r="C2808" s="169" t="s">
        <v>6766</v>
      </c>
      <c r="D2808" s="317">
        <v>45615.0</v>
      </c>
      <c r="E2808" s="157" t="s">
        <v>600</v>
      </c>
      <c r="F2808" s="160">
        <v>24033.33</v>
      </c>
      <c r="G2808" s="160">
        <f>'FACUS$'!$F2808*0.16</f>
        <v>3845.3328</v>
      </c>
      <c r="H2808" s="160">
        <f t="shared" si="68"/>
        <v>27878.6628</v>
      </c>
      <c r="I2808" s="172"/>
      <c r="J2808" s="169"/>
      <c r="K2808" s="172"/>
      <c r="L2808" s="172">
        <f>+'FACUS$'!$H2808-'FACUS$'!$I2808-'FACUS$'!$K2808</f>
        <v>27878.6628</v>
      </c>
      <c r="M2808" s="162" t="s">
        <v>17</v>
      </c>
      <c r="N2808" s="337" t="s">
        <v>554</v>
      </c>
      <c r="O2808" s="338">
        <v>45631.0</v>
      </c>
      <c r="P2808" s="164">
        <f t="array" ref="P2808">XLOOKUP('FACUS$'!$B2808,'perfil de pagos'!$A$4:$A$46,'perfil de pagos'!$C$4:$C$46+'FACUS$'!$D2808)</f>
        <v>45625</v>
      </c>
      <c r="Q2808" s="165">
        <f t="shared" si="70"/>
        <v>0</v>
      </c>
      <c r="R2808" s="167"/>
      <c r="S2808" s="167">
        <v>3457.0</v>
      </c>
      <c r="T2808" s="167"/>
      <c r="U2808" s="334"/>
      <c r="V2808" s="168">
        <f t="shared" si="3"/>
        <v>27878.6628</v>
      </c>
      <c r="W2808" s="168">
        <f t="shared" si="4"/>
        <v>0</v>
      </c>
      <c r="X2808" s="168">
        <f t="shared" si="5"/>
        <v>0</v>
      </c>
      <c r="Y2808" s="168">
        <f t="shared" si="6"/>
        <v>0</v>
      </c>
      <c r="Z2808" s="168">
        <f t="shared" si="7"/>
        <v>0</v>
      </c>
      <c r="AA2808" s="168">
        <f t="shared" si="8"/>
        <v>0</v>
      </c>
      <c r="AB2808" s="168">
        <f t="shared" si="9"/>
        <v>0</v>
      </c>
    </row>
    <row r="2809" ht="15.0" customHeight="1">
      <c r="A2809" s="157" t="s">
        <v>10367</v>
      </c>
      <c r="B2809" s="169" t="s">
        <v>38</v>
      </c>
      <c r="C2809" s="169" t="s">
        <v>6766</v>
      </c>
      <c r="D2809" s="317">
        <v>45621.0</v>
      </c>
      <c r="E2809" s="157" t="s">
        <v>600</v>
      </c>
      <c r="F2809" s="160">
        <v>1524.0</v>
      </c>
      <c r="G2809" s="160">
        <f>'FACUS$'!$F2809*0.16</f>
        <v>243.84</v>
      </c>
      <c r="H2809" s="160">
        <f t="shared" si="68"/>
        <v>1767.84</v>
      </c>
      <c r="I2809" s="172"/>
      <c r="J2809" s="169"/>
      <c r="K2809" s="172"/>
      <c r="L2809" s="172">
        <f>+'FACUS$'!$H2809-'FACUS$'!$I2809-'FACUS$'!$K2809</f>
        <v>1767.84</v>
      </c>
      <c r="M2809" s="162" t="s">
        <v>4654</v>
      </c>
      <c r="N2809" s="337" t="s">
        <v>554</v>
      </c>
      <c r="O2809" s="338">
        <v>45637.0</v>
      </c>
      <c r="P2809" s="164">
        <f t="array" ref="P2809">XLOOKUP('FACUS$'!$B2809,'perfil de pagos'!$A$4:$A$46,'perfil de pagos'!$C$4:$C$46+'FACUS$'!$D2809)</f>
        <v>45651</v>
      </c>
      <c r="Q2809" s="165">
        <f t="shared" si="70"/>
        <v>0</v>
      </c>
      <c r="R2809" s="167"/>
      <c r="S2809" s="167"/>
      <c r="T2809" s="167"/>
      <c r="U2809" s="334"/>
      <c r="V2809" s="168">
        <f t="shared" si="3"/>
        <v>1767.84</v>
      </c>
      <c r="W2809" s="168">
        <f t="shared" si="4"/>
        <v>0</v>
      </c>
      <c r="X2809" s="168">
        <f t="shared" si="5"/>
        <v>0</v>
      </c>
      <c r="Y2809" s="168">
        <f t="shared" si="6"/>
        <v>0</v>
      </c>
      <c r="Z2809" s="168">
        <f t="shared" si="7"/>
        <v>0</v>
      </c>
      <c r="AA2809" s="168">
        <f t="shared" si="8"/>
        <v>0</v>
      </c>
      <c r="AB2809" s="168">
        <f t="shared" si="9"/>
        <v>0</v>
      </c>
    </row>
    <row r="2810" ht="15.0" customHeight="1">
      <c r="A2810" s="299" t="s">
        <v>10368</v>
      </c>
      <c r="B2810" s="300" t="s">
        <v>105</v>
      </c>
      <c r="C2810" s="300"/>
      <c r="D2810" s="407"/>
      <c r="E2810" s="299" t="s">
        <v>600</v>
      </c>
      <c r="F2810" s="302"/>
      <c r="G2810" s="302">
        <f>'FACUS$'!$F2810*0.16</f>
        <v>0</v>
      </c>
      <c r="H2810" s="302">
        <f t="shared" si="68"/>
        <v>0</v>
      </c>
      <c r="I2810" s="408"/>
      <c r="J2810" s="300"/>
      <c r="K2810" s="408"/>
      <c r="L2810" s="408">
        <f>+'FACUS$'!$H2810-'FACUS$'!$I2810-'FACUS$'!$K2810</f>
        <v>0</v>
      </c>
      <c r="M2810" s="305"/>
      <c r="N2810" s="409" t="s">
        <v>127</v>
      </c>
      <c r="O2810" s="410"/>
      <c r="P2810" s="306" t="str">
        <f t="array" ref="P2810">XLOOKUP('FACUS$'!$B2810,'perfil de pagos'!$A$4:$A$46,'perfil de pagos'!$C$4:$C$46+'FACUS$'!$D2810)</f>
        <v>#N/A</v>
      </c>
      <c r="Q2810" s="307" t="str">
        <f t="shared" si="70"/>
        <v>N/A</v>
      </c>
      <c r="R2810" s="308"/>
      <c r="S2810" s="308"/>
      <c r="T2810" s="308"/>
      <c r="U2810" s="411"/>
      <c r="V2810" s="309">
        <f t="shared" si="3"/>
        <v>0</v>
      </c>
      <c r="W2810" s="309">
        <f t="shared" si="4"/>
        <v>0</v>
      </c>
      <c r="X2810" s="309">
        <f t="shared" si="5"/>
        <v>0</v>
      </c>
      <c r="Y2810" s="309">
        <f t="shared" si="6"/>
        <v>0</v>
      </c>
      <c r="Z2810" s="309">
        <f t="shared" si="7"/>
        <v>0</v>
      </c>
      <c r="AA2810" s="309">
        <f t="shared" si="8"/>
        <v>0</v>
      </c>
      <c r="AB2810" s="309">
        <f t="shared" si="9"/>
        <v>0</v>
      </c>
      <c r="AC2810" s="96"/>
      <c r="AD2810" s="96"/>
      <c r="AE2810" s="96"/>
    </row>
    <row r="2811" ht="15.0" customHeight="1">
      <c r="A2811" s="157" t="s">
        <v>10369</v>
      </c>
      <c r="B2811" s="169" t="s">
        <v>18</v>
      </c>
      <c r="C2811" s="169" t="s">
        <v>6766</v>
      </c>
      <c r="D2811" s="317">
        <v>45621.0</v>
      </c>
      <c r="E2811" s="157" t="s">
        <v>600</v>
      </c>
      <c r="F2811" s="160">
        <v>5536.32</v>
      </c>
      <c r="G2811" s="160">
        <f>'FACUS$'!$F2811*0.16</f>
        <v>885.8112</v>
      </c>
      <c r="H2811" s="160">
        <f t="shared" si="68"/>
        <v>6422.1312</v>
      </c>
      <c r="I2811" s="172"/>
      <c r="J2811" s="169"/>
      <c r="K2811" s="172"/>
      <c r="L2811" s="172">
        <f>+'FACUS$'!$H2811-'FACUS$'!$I2811-'FACUS$'!$K2811</f>
        <v>6422.1312</v>
      </c>
      <c r="M2811" s="162" t="s">
        <v>586</v>
      </c>
      <c r="N2811" s="337" t="s">
        <v>554</v>
      </c>
      <c r="O2811" s="338">
        <v>45656.0</v>
      </c>
      <c r="P2811" s="164">
        <f t="array" ref="P2811">XLOOKUP('FACUS$'!$B2811,'perfil de pagos'!$A$4:$A$46,'perfil de pagos'!$C$4:$C$46+'FACUS$'!$D2811)</f>
        <v>45631</v>
      </c>
      <c r="Q2811" s="165">
        <f t="shared" si="70"/>
        <v>0</v>
      </c>
      <c r="R2811" s="167"/>
      <c r="S2811" s="167"/>
      <c r="T2811" s="167"/>
      <c r="U2811" s="334"/>
      <c r="V2811" s="168">
        <f t="shared" si="3"/>
        <v>6422.1312</v>
      </c>
      <c r="W2811" s="168">
        <f t="shared" si="4"/>
        <v>0</v>
      </c>
      <c r="X2811" s="168">
        <f t="shared" si="5"/>
        <v>0</v>
      </c>
      <c r="Y2811" s="168">
        <f t="shared" si="6"/>
        <v>0</v>
      </c>
      <c r="Z2811" s="168">
        <f t="shared" si="7"/>
        <v>0</v>
      </c>
      <c r="AA2811" s="168">
        <f t="shared" si="8"/>
        <v>0</v>
      </c>
      <c r="AB2811" s="168">
        <f t="shared" si="9"/>
        <v>0</v>
      </c>
    </row>
    <row r="2812" ht="15.0" customHeight="1">
      <c r="A2812" s="157" t="s">
        <v>10370</v>
      </c>
      <c r="B2812" s="169" t="s">
        <v>20</v>
      </c>
      <c r="C2812" s="169" t="s">
        <v>6766</v>
      </c>
      <c r="D2812" s="317">
        <v>45621.0</v>
      </c>
      <c r="E2812" s="157" t="s">
        <v>600</v>
      </c>
      <c r="F2812" s="160">
        <v>12402.95</v>
      </c>
      <c r="G2812" s="160">
        <f>'FACUS$'!$F2812*0.16</f>
        <v>1984.472</v>
      </c>
      <c r="H2812" s="160">
        <f t="shared" si="68"/>
        <v>14387.422</v>
      </c>
      <c r="I2812" s="172"/>
      <c r="J2812" s="169"/>
      <c r="K2812" s="172"/>
      <c r="L2812" s="172">
        <f>+'FACUS$'!$H2812-'FACUS$'!$I2812-'FACUS$'!$K2812</f>
        <v>14387.422</v>
      </c>
      <c r="M2812" s="162" t="s">
        <v>732</v>
      </c>
      <c r="N2812" s="337" t="s">
        <v>554</v>
      </c>
      <c r="O2812" s="338">
        <v>45656.0</v>
      </c>
      <c r="P2812" s="164">
        <f t="array" ref="P2812">XLOOKUP('FACUS$'!$B2812,'perfil de pagos'!$A$4:$A$46,'perfil de pagos'!$C$4:$C$46+'FACUS$'!$D2812)</f>
        <v>45631</v>
      </c>
      <c r="Q2812" s="165">
        <f t="shared" si="70"/>
        <v>0</v>
      </c>
      <c r="R2812" s="167"/>
      <c r="S2812" s="167"/>
      <c r="T2812" s="167"/>
      <c r="U2812" s="334"/>
      <c r="V2812" s="168">
        <f t="shared" si="3"/>
        <v>14387.422</v>
      </c>
      <c r="W2812" s="168">
        <f t="shared" si="4"/>
        <v>0</v>
      </c>
      <c r="X2812" s="168">
        <f t="shared" si="5"/>
        <v>0</v>
      </c>
      <c r="Y2812" s="168">
        <f t="shared" si="6"/>
        <v>0</v>
      </c>
      <c r="Z2812" s="168">
        <f t="shared" si="7"/>
        <v>0</v>
      </c>
      <c r="AA2812" s="168">
        <f t="shared" si="8"/>
        <v>0</v>
      </c>
      <c r="AB2812" s="168">
        <f t="shared" si="9"/>
        <v>0</v>
      </c>
    </row>
    <row r="2813" ht="15.0" customHeight="1">
      <c r="A2813" s="157" t="s">
        <v>10371</v>
      </c>
      <c r="B2813" s="169" t="s">
        <v>25</v>
      </c>
      <c r="C2813" s="169" t="s">
        <v>6766</v>
      </c>
      <c r="D2813" s="317">
        <v>45621.0</v>
      </c>
      <c r="E2813" s="157" t="s">
        <v>600</v>
      </c>
      <c r="F2813" s="160">
        <v>5339.89</v>
      </c>
      <c r="G2813" s="160">
        <f>'FACUS$'!$F2813*0.16</f>
        <v>854.3824</v>
      </c>
      <c r="H2813" s="160">
        <f t="shared" si="68"/>
        <v>6194.2724</v>
      </c>
      <c r="I2813" s="172"/>
      <c r="J2813" s="169"/>
      <c r="K2813" s="172"/>
      <c r="L2813" s="172">
        <f>+'FACUS$'!$H2813-'FACUS$'!$I2813-'FACUS$'!$K2813</f>
        <v>6194.2724</v>
      </c>
      <c r="M2813" s="162" t="s">
        <v>4388</v>
      </c>
      <c r="N2813" s="337" t="s">
        <v>554</v>
      </c>
      <c r="O2813" s="338">
        <v>45628.0</v>
      </c>
      <c r="P2813" s="164">
        <f t="array" ref="P2813">XLOOKUP('FACUS$'!$B2813,'perfil de pagos'!$A$4:$A$46,'perfil de pagos'!$C$4:$C$46+'FACUS$'!$D2813)</f>
        <v>45631</v>
      </c>
      <c r="Q2813" s="165">
        <f t="shared" si="70"/>
        <v>0</v>
      </c>
      <c r="R2813" s="167"/>
      <c r="S2813" s="167">
        <v>3451.0</v>
      </c>
      <c r="T2813" s="167"/>
      <c r="U2813" s="334"/>
      <c r="V2813" s="168">
        <f t="shared" si="3"/>
        <v>6194.2724</v>
      </c>
      <c r="W2813" s="168">
        <f t="shared" si="4"/>
        <v>0</v>
      </c>
      <c r="X2813" s="168">
        <f t="shared" si="5"/>
        <v>0</v>
      </c>
      <c r="Y2813" s="168">
        <f t="shared" si="6"/>
        <v>0</v>
      </c>
      <c r="Z2813" s="168">
        <f t="shared" si="7"/>
        <v>0</v>
      </c>
      <c r="AA2813" s="168">
        <f t="shared" si="8"/>
        <v>0</v>
      </c>
      <c r="AB2813" s="168">
        <f t="shared" si="9"/>
        <v>0</v>
      </c>
    </row>
    <row r="2814" ht="15.0" customHeight="1">
      <c r="A2814" s="157" t="s">
        <v>10372</v>
      </c>
      <c r="B2814" s="169" t="s">
        <v>37</v>
      </c>
      <c r="C2814" s="169" t="s">
        <v>6766</v>
      </c>
      <c r="D2814" s="317">
        <v>45621.0</v>
      </c>
      <c r="E2814" s="157" t="s">
        <v>600</v>
      </c>
      <c r="F2814" s="160">
        <v>94563.0</v>
      </c>
      <c r="G2814" s="160">
        <f>'FACUS$'!$F2814*0.16</f>
        <v>15130.08</v>
      </c>
      <c r="H2814" s="160">
        <f t="shared" si="68"/>
        <v>109693.08</v>
      </c>
      <c r="I2814" s="172"/>
      <c r="J2814" s="169"/>
      <c r="K2814" s="172"/>
      <c r="L2814" s="172">
        <f>+'FACUS$'!$H2814-'FACUS$'!$I2814-'FACUS$'!$K2814</f>
        <v>109693.08</v>
      </c>
      <c r="M2814" s="162" t="s">
        <v>116</v>
      </c>
      <c r="N2814" s="337" t="s">
        <v>554</v>
      </c>
      <c r="O2814" s="338">
        <v>45644.0</v>
      </c>
      <c r="P2814" s="164">
        <f t="array" ref="P2814">XLOOKUP('FACUS$'!$B2814,'perfil de pagos'!$A$4:$A$46,'perfil de pagos'!$C$4:$C$46+'FACUS$'!$D2814)</f>
        <v>45631</v>
      </c>
      <c r="Q2814" s="165">
        <f t="shared" si="70"/>
        <v>0</v>
      </c>
      <c r="R2814" s="167"/>
      <c r="S2814" s="167"/>
      <c r="T2814" s="167"/>
      <c r="U2814" s="334"/>
      <c r="V2814" s="168">
        <f t="shared" si="3"/>
        <v>109693.08</v>
      </c>
      <c r="W2814" s="168">
        <f t="shared" si="4"/>
        <v>0</v>
      </c>
      <c r="X2814" s="168">
        <f t="shared" si="5"/>
        <v>0</v>
      </c>
      <c r="Y2814" s="168">
        <f t="shared" si="6"/>
        <v>0</v>
      </c>
      <c r="Z2814" s="168">
        <f t="shared" si="7"/>
        <v>0</v>
      </c>
      <c r="AA2814" s="168">
        <f t="shared" si="8"/>
        <v>0</v>
      </c>
      <c r="AB2814" s="168">
        <f t="shared" si="9"/>
        <v>0</v>
      </c>
    </row>
    <row r="2815" ht="15.0" customHeight="1">
      <c r="A2815" s="157" t="s">
        <v>10373</v>
      </c>
      <c r="B2815" s="169" t="s">
        <v>38</v>
      </c>
      <c r="C2815" s="169" t="s">
        <v>6766</v>
      </c>
      <c r="D2815" s="317">
        <v>45622.0</v>
      </c>
      <c r="E2815" s="157" t="s">
        <v>600</v>
      </c>
      <c r="F2815" s="160">
        <v>7538.42</v>
      </c>
      <c r="G2815" s="160">
        <f>'FACUS$'!$F2815*0.16</f>
        <v>1206.1472</v>
      </c>
      <c r="H2815" s="160">
        <f t="shared" si="68"/>
        <v>8744.5672</v>
      </c>
      <c r="I2815" s="172"/>
      <c r="J2815" s="169"/>
      <c r="K2815" s="172"/>
      <c r="L2815" s="172">
        <f>+'FACUS$'!$H2815-'FACUS$'!$I2815-'FACUS$'!$K2815</f>
        <v>8744.5672</v>
      </c>
      <c r="M2815" s="162" t="s">
        <v>145</v>
      </c>
      <c r="N2815" s="337" t="s">
        <v>554</v>
      </c>
      <c r="O2815" s="338">
        <v>45644.0</v>
      </c>
      <c r="P2815" s="164">
        <f t="array" ref="P2815">XLOOKUP('FACUS$'!$B2815,'perfil de pagos'!$A$4:$A$46,'perfil de pagos'!$C$4:$C$46+'FACUS$'!$D2815)</f>
        <v>45652</v>
      </c>
      <c r="Q2815" s="165">
        <f t="shared" si="70"/>
        <v>0</v>
      </c>
      <c r="R2815" s="167"/>
      <c r="S2815" s="167"/>
      <c r="T2815" s="167"/>
      <c r="U2815" s="334"/>
      <c r="V2815" s="168">
        <f t="shared" si="3"/>
        <v>8744.5672</v>
      </c>
      <c r="W2815" s="168">
        <f t="shared" si="4"/>
        <v>0</v>
      </c>
      <c r="X2815" s="168">
        <f t="shared" si="5"/>
        <v>0</v>
      </c>
      <c r="Y2815" s="168">
        <f t="shared" si="6"/>
        <v>0</v>
      </c>
      <c r="Z2815" s="168">
        <f t="shared" si="7"/>
        <v>0</v>
      </c>
      <c r="AA2815" s="168">
        <f t="shared" si="8"/>
        <v>0</v>
      </c>
      <c r="AB2815" s="168">
        <f t="shared" si="9"/>
        <v>0</v>
      </c>
    </row>
    <row r="2816" ht="15.0" customHeight="1">
      <c r="A2816" s="157" t="s">
        <v>10374</v>
      </c>
      <c r="B2816" s="169" t="s">
        <v>42</v>
      </c>
      <c r="C2816" s="169" t="s">
        <v>10375</v>
      </c>
      <c r="D2816" s="317">
        <v>45624.0</v>
      </c>
      <c r="E2816" s="157" t="s">
        <v>600</v>
      </c>
      <c r="F2816" s="160">
        <v>43827.98</v>
      </c>
      <c r="G2816" s="160">
        <f>'FACUS$'!$F2816*0.16</f>
        <v>7012.4768</v>
      </c>
      <c r="H2816" s="160">
        <f t="shared" si="68"/>
        <v>50840.4568</v>
      </c>
      <c r="I2816" s="172">
        <f>10000+5000</f>
        <v>15000</v>
      </c>
      <c r="J2816" s="413">
        <v>420426.0</v>
      </c>
      <c r="K2816" s="172">
        <f>'NCUS$'!H88+'NCUS$'!H91</f>
        <v>17794.1564</v>
      </c>
      <c r="L2816" s="172">
        <f>+'FACUS$'!$H2816-'FACUS$'!$I2816-'FACUS$'!$K2816</f>
        <v>18046.3004</v>
      </c>
      <c r="M2816" s="162" t="s">
        <v>42</v>
      </c>
      <c r="N2816" s="337"/>
      <c r="O2816" s="338"/>
      <c r="P2816" s="164">
        <f t="array" ref="P2816">XLOOKUP('FACUS$'!$B2816,'perfil de pagos'!$A$4:$A$46,'perfil de pagos'!$C$4:$C$46+'FACUS$'!$D2816)</f>
        <v>45634</v>
      </c>
      <c r="Q2816" s="165">
        <f t="shared" si="70"/>
        <v>155</v>
      </c>
      <c r="R2816" s="220" t="s">
        <v>10376</v>
      </c>
      <c r="S2816" s="167"/>
      <c r="T2816" s="167"/>
      <c r="U2816" s="334"/>
      <c r="V2816" s="168">
        <f t="shared" si="3"/>
        <v>0</v>
      </c>
      <c r="W2816" s="168">
        <f t="shared" si="4"/>
        <v>0</v>
      </c>
      <c r="X2816" s="168">
        <f t="shared" si="5"/>
        <v>0</v>
      </c>
      <c r="Y2816" s="168">
        <f t="shared" si="6"/>
        <v>0</v>
      </c>
      <c r="Z2816" s="168">
        <f t="shared" si="7"/>
        <v>0</v>
      </c>
      <c r="AA2816" s="168">
        <f t="shared" si="8"/>
        <v>0</v>
      </c>
      <c r="AB2816" s="168">
        <f t="shared" si="9"/>
        <v>18046.3004</v>
      </c>
    </row>
    <row r="2817" ht="15.0" customHeight="1">
      <c r="A2817" s="157" t="s">
        <v>10377</v>
      </c>
      <c r="B2817" s="169" t="s">
        <v>44</v>
      </c>
      <c r="C2817" s="169" t="s">
        <v>10375</v>
      </c>
      <c r="D2817" s="317">
        <v>45624.0</v>
      </c>
      <c r="E2817" s="157" t="s">
        <v>600</v>
      </c>
      <c r="F2817" s="160">
        <v>114042.267241379</v>
      </c>
      <c r="G2817" s="160">
        <f>'FACUS$'!$F2817*0.16</f>
        <v>18246.76276</v>
      </c>
      <c r="H2817" s="160">
        <f t="shared" si="68"/>
        <v>132289.03</v>
      </c>
      <c r="I2817" s="188">
        <f>5721.24+20000+6000+6000</f>
        <v>37721.24</v>
      </c>
      <c r="J2817" s="169">
        <v>421.0</v>
      </c>
      <c r="K2817" s="172">
        <v>88567.79</v>
      </c>
      <c r="L2817" s="172">
        <f>+'FACUS$'!$H2817-'FACUS$'!$I2817-'FACUS$'!$K2817</f>
        <v>6000</v>
      </c>
      <c r="M2817" s="162" t="s">
        <v>361</v>
      </c>
      <c r="N2817" s="414" t="s">
        <v>554</v>
      </c>
      <c r="O2817" s="338">
        <v>45716.0</v>
      </c>
      <c r="P2817" s="164">
        <f t="array" ref="P2817">XLOOKUP('FACUS$'!$B2817,'perfil de pagos'!$A$4:$A$46,'perfil de pagos'!$C$4:$C$46+'FACUS$'!$D2817)</f>
        <v>45634</v>
      </c>
      <c r="Q2817" s="165">
        <f t="shared" si="70"/>
        <v>0</v>
      </c>
      <c r="R2817" s="220" t="s">
        <v>10378</v>
      </c>
      <c r="S2817" s="415" t="s">
        <v>10379</v>
      </c>
      <c r="T2817" s="167"/>
      <c r="U2817" s="334"/>
      <c r="V2817" s="168">
        <f t="shared" si="3"/>
        <v>6000</v>
      </c>
      <c r="W2817" s="168">
        <f t="shared" si="4"/>
        <v>0</v>
      </c>
      <c r="X2817" s="168">
        <f t="shared" si="5"/>
        <v>0</v>
      </c>
      <c r="Y2817" s="168">
        <f t="shared" si="6"/>
        <v>0</v>
      </c>
      <c r="Z2817" s="168">
        <f t="shared" si="7"/>
        <v>0</v>
      </c>
      <c r="AA2817" s="168">
        <f t="shared" si="8"/>
        <v>0</v>
      </c>
      <c r="AB2817" s="168">
        <f t="shared" si="9"/>
        <v>0</v>
      </c>
      <c r="AD2817" s="100"/>
      <c r="AE2817" s="100"/>
    </row>
    <row r="2818" ht="15.0" customHeight="1">
      <c r="A2818" s="157" t="s">
        <v>10380</v>
      </c>
      <c r="B2818" s="169" t="s">
        <v>50</v>
      </c>
      <c r="C2818" s="169" t="s">
        <v>6802</v>
      </c>
      <c r="D2818" s="317">
        <v>45629.0</v>
      </c>
      <c r="E2818" s="157" t="s">
        <v>600</v>
      </c>
      <c r="F2818" s="160">
        <v>22741.63</v>
      </c>
      <c r="G2818" s="160">
        <f>'FACUS$'!$F2818*0.16</f>
        <v>3638.6608</v>
      </c>
      <c r="H2818" s="160">
        <f t="shared" si="68"/>
        <v>26380.2908</v>
      </c>
      <c r="I2818" s="172"/>
      <c r="J2818" s="169"/>
      <c r="K2818" s="172"/>
      <c r="L2818" s="412">
        <f>+'FACUS$'!$H2818-'FACUS$'!$I2818-'FACUS$'!$K2818</f>
        <v>26380.2908</v>
      </c>
      <c r="M2818" s="162" t="s">
        <v>570</v>
      </c>
      <c r="N2818" s="337" t="s">
        <v>554</v>
      </c>
      <c r="O2818" s="338">
        <v>45639.0</v>
      </c>
      <c r="P2818" s="164">
        <f t="array" ref="P2818">XLOOKUP('FACUS$'!$B2818,'perfil de pagos'!$A$4:$A$46,'perfil de pagos'!$C$4:$C$46+'FACUS$'!$D2818)</f>
        <v>45639</v>
      </c>
      <c r="Q2818" s="165">
        <f t="shared" si="70"/>
        <v>0</v>
      </c>
      <c r="R2818" s="167"/>
      <c r="S2818" s="167"/>
      <c r="T2818" s="167"/>
      <c r="U2818" s="334"/>
      <c r="V2818" s="168">
        <f t="shared" si="3"/>
        <v>26380.2908</v>
      </c>
      <c r="W2818" s="168">
        <f t="shared" si="4"/>
        <v>0</v>
      </c>
      <c r="X2818" s="168">
        <f t="shared" si="5"/>
        <v>0</v>
      </c>
      <c r="Y2818" s="168">
        <f t="shared" si="6"/>
        <v>0</v>
      </c>
      <c r="Z2818" s="168">
        <f t="shared" si="7"/>
        <v>0</v>
      </c>
      <c r="AA2818" s="168">
        <f t="shared" si="8"/>
        <v>0</v>
      </c>
      <c r="AB2818" s="168">
        <f t="shared" si="9"/>
        <v>0</v>
      </c>
    </row>
    <row r="2819" ht="15.0" customHeight="1">
      <c r="A2819" s="157" t="s">
        <v>10381</v>
      </c>
      <c r="B2819" s="169" t="s">
        <v>50</v>
      </c>
      <c r="C2819" s="169" t="s">
        <v>6804</v>
      </c>
      <c r="D2819" s="317">
        <v>45629.0</v>
      </c>
      <c r="E2819" s="157" t="s">
        <v>600</v>
      </c>
      <c r="F2819" s="160">
        <v>29558.4</v>
      </c>
      <c r="G2819" s="160">
        <f>'FACUS$'!$F2819*0.16</f>
        <v>4729.344</v>
      </c>
      <c r="H2819" s="160">
        <f t="shared" si="68"/>
        <v>34287.744</v>
      </c>
      <c r="I2819" s="172"/>
      <c r="J2819" s="169"/>
      <c r="K2819" s="172"/>
      <c r="L2819" s="412">
        <f>+'FACUS$'!$H2819-'FACUS$'!$I2819-'FACUS$'!$K2819</f>
        <v>34287.744</v>
      </c>
      <c r="M2819" s="271" t="s">
        <v>570</v>
      </c>
      <c r="N2819" s="337" t="s">
        <v>554</v>
      </c>
      <c r="O2819" s="338">
        <v>45653.0</v>
      </c>
      <c r="P2819" s="164">
        <f t="array" ref="P2819">XLOOKUP('FACUS$'!$B2819,'perfil de pagos'!$A$4:$A$46,'perfil de pagos'!$C$4:$C$46+'FACUS$'!$D2819)</f>
        <v>45639</v>
      </c>
      <c r="Q2819" s="165">
        <f t="shared" si="70"/>
        <v>0</v>
      </c>
      <c r="R2819" s="167"/>
      <c r="S2819" s="167"/>
      <c r="T2819" s="167"/>
      <c r="U2819" s="334"/>
      <c r="V2819" s="168">
        <f t="shared" si="3"/>
        <v>34287.744</v>
      </c>
      <c r="W2819" s="168">
        <f t="shared" si="4"/>
        <v>0</v>
      </c>
      <c r="X2819" s="168">
        <f t="shared" si="5"/>
        <v>0</v>
      </c>
      <c r="Y2819" s="168">
        <f t="shared" si="6"/>
        <v>0</v>
      </c>
      <c r="Z2819" s="168">
        <f t="shared" si="7"/>
        <v>0</v>
      </c>
      <c r="AA2819" s="168">
        <f t="shared" si="8"/>
        <v>0</v>
      </c>
      <c r="AB2819" s="168">
        <f t="shared" si="9"/>
        <v>0</v>
      </c>
    </row>
    <row r="2820" ht="15.0" customHeight="1">
      <c r="A2820" s="157" t="s">
        <v>10382</v>
      </c>
      <c r="B2820" s="169" t="s">
        <v>41</v>
      </c>
      <c r="C2820" s="169" t="s">
        <v>6804</v>
      </c>
      <c r="D2820" s="317">
        <v>45629.0</v>
      </c>
      <c r="E2820" s="157" t="s">
        <v>600</v>
      </c>
      <c r="F2820" s="160">
        <v>124739.47</v>
      </c>
      <c r="G2820" s="160">
        <f>'FACUS$'!$F2820*0.16</f>
        <v>19958.3152</v>
      </c>
      <c r="H2820" s="160">
        <f t="shared" si="68"/>
        <v>144697.7852</v>
      </c>
      <c r="I2820" s="172"/>
      <c r="J2820" s="169"/>
      <c r="K2820" s="172"/>
      <c r="L2820" s="172">
        <f>+'FACUS$'!$H2820-'FACUS$'!$I2820-'FACUS$'!$K2820</f>
        <v>144697.7852</v>
      </c>
      <c r="M2820" s="162" t="s">
        <v>875</v>
      </c>
      <c r="N2820" s="337" t="s">
        <v>554</v>
      </c>
      <c r="O2820" s="338">
        <v>45667.0</v>
      </c>
      <c r="P2820" s="164">
        <f t="array" ref="P2820">XLOOKUP('FACUS$'!$B2820,'perfil de pagos'!$A$4:$A$46,'perfil de pagos'!$C$4:$C$46+'FACUS$'!$D2820)</f>
        <v>45639</v>
      </c>
      <c r="Q2820" s="165">
        <f t="shared" si="70"/>
        <v>0</v>
      </c>
      <c r="R2820" s="167"/>
      <c r="S2820" s="167">
        <v>3541.0</v>
      </c>
      <c r="T2820" s="167"/>
      <c r="U2820" s="334"/>
      <c r="V2820" s="168">
        <f t="shared" si="3"/>
        <v>144697.7852</v>
      </c>
      <c r="W2820" s="168">
        <f t="shared" si="4"/>
        <v>0</v>
      </c>
      <c r="X2820" s="168">
        <f t="shared" si="5"/>
        <v>0</v>
      </c>
      <c r="Y2820" s="168">
        <f t="shared" si="6"/>
        <v>0</v>
      </c>
      <c r="Z2820" s="168">
        <f t="shared" si="7"/>
        <v>0</v>
      </c>
      <c r="AA2820" s="168">
        <f t="shared" si="8"/>
        <v>0</v>
      </c>
      <c r="AB2820" s="168">
        <f t="shared" si="9"/>
        <v>0</v>
      </c>
    </row>
    <row r="2821" ht="15.0" customHeight="1">
      <c r="A2821" s="157" t="s">
        <v>10383</v>
      </c>
      <c r="B2821" s="169" t="s">
        <v>52</v>
      </c>
      <c r="C2821" s="169" t="s">
        <v>6802</v>
      </c>
      <c r="D2821" s="317">
        <v>45629.0</v>
      </c>
      <c r="E2821" s="157" t="s">
        <v>600</v>
      </c>
      <c r="F2821" s="160">
        <v>6588.69</v>
      </c>
      <c r="G2821" s="160">
        <f>'FACUS$'!$F2821*0.16</f>
        <v>1054.1904</v>
      </c>
      <c r="H2821" s="160">
        <f t="shared" si="68"/>
        <v>7642.8804</v>
      </c>
      <c r="I2821" s="172"/>
      <c r="J2821" s="169"/>
      <c r="K2821" s="172"/>
      <c r="L2821" s="172">
        <f>+'FACUS$'!$H2821-'FACUS$'!$I2821-'FACUS$'!$K2821</f>
        <v>7642.8804</v>
      </c>
      <c r="M2821" s="162" t="s">
        <v>10309</v>
      </c>
      <c r="N2821" s="337" t="s">
        <v>554</v>
      </c>
      <c r="O2821" s="338">
        <v>45646.0</v>
      </c>
      <c r="P2821" s="164">
        <f t="array" ref="P2821">XLOOKUP('FACUS$'!$B2821,'perfil de pagos'!$A$4:$A$46,'perfil de pagos'!$C$4:$C$46+'FACUS$'!$D2821)</f>
        <v>45644</v>
      </c>
      <c r="Q2821" s="165">
        <f t="shared" si="70"/>
        <v>0</v>
      </c>
      <c r="R2821" s="167"/>
      <c r="S2821" s="167"/>
      <c r="T2821" s="167"/>
      <c r="U2821" s="334"/>
      <c r="V2821" s="168">
        <f t="shared" si="3"/>
        <v>7642.8804</v>
      </c>
      <c r="W2821" s="168">
        <f t="shared" si="4"/>
        <v>0</v>
      </c>
      <c r="X2821" s="168">
        <f t="shared" si="5"/>
        <v>0</v>
      </c>
      <c r="Y2821" s="168">
        <f t="shared" si="6"/>
        <v>0</v>
      </c>
      <c r="Z2821" s="168">
        <f t="shared" si="7"/>
        <v>0</v>
      </c>
      <c r="AA2821" s="168">
        <f t="shared" si="8"/>
        <v>0</v>
      </c>
      <c r="AB2821" s="168">
        <f t="shared" si="9"/>
        <v>0</v>
      </c>
    </row>
    <row r="2822" ht="15.0" customHeight="1">
      <c r="A2822" s="157" t="s">
        <v>10384</v>
      </c>
      <c r="B2822" s="169" t="s">
        <v>52</v>
      </c>
      <c r="C2822" s="169" t="s">
        <v>6804</v>
      </c>
      <c r="D2822" s="317">
        <v>45629.0</v>
      </c>
      <c r="E2822" s="157" t="s">
        <v>600</v>
      </c>
      <c r="F2822" s="160">
        <v>4226.1</v>
      </c>
      <c r="G2822" s="160">
        <f>'FACUS$'!$F2822*0.16</f>
        <v>676.176</v>
      </c>
      <c r="H2822" s="160">
        <f t="shared" si="68"/>
        <v>4902.276</v>
      </c>
      <c r="I2822" s="172"/>
      <c r="J2822" s="169"/>
      <c r="K2822" s="172"/>
      <c r="L2822" s="172">
        <f>+'FACUS$'!$H2822-'FACUS$'!$I2822-'FACUS$'!$K2822</f>
        <v>4902.276</v>
      </c>
      <c r="M2822" s="162" t="s">
        <v>10309</v>
      </c>
      <c r="N2822" s="337" t="s">
        <v>554</v>
      </c>
      <c r="O2822" s="338">
        <v>45646.0</v>
      </c>
      <c r="P2822" s="164">
        <f t="array" ref="P2822">XLOOKUP('FACUS$'!$B2822,'perfil de pagos'!$A$4:$A$46,'perfil de pagos'!$C$4:$C$46+'FACUS$'!$D2822)</f>
        <v>45644</v>
      </c>
      <c r="Q2822" s="165">
        <f t="shared" si="70"/>
        <v>0</v>
      </c>
      <c r="R2822" s="167"/>
      <c r="S2822" s="167"/>
      <c r="T2822" s="167"/>
      <c r="U2822" s="334"/>
      <c r="V2822" s="168">
        <f t="shared" si="3"/>
        <v>4902.276</v>
      </c>
      <c r="W2822" s="168">
        <f t="shared" si="4"/>
        <v>0</v>
      </c>
      <c r="X2822" s="168">
        <f t="shared" si="5"/>
        <v>0</v>
      </c>
      <c r="Y2822" s="168">
        <f t="shared" si="6"/>
        <v>0</v>
      </c>
      <c r="Z2822" s="168">
        <f t="shared" si="7"/>
        <v>0</v>
      </c>
      <c r="AA2822" s="168">
        <f t="shared" si="8"/>
        <v>0</v>
      </c>
      <c r="AB2822" s="168">
        <f t="shared" si="9"/>
        <v>0</v>
      </c>
    </row>
    <row r="2823" ht="15.0" customHeight="1">
      <c r="A2823" s="157" t="s">
        <v>10385</v>
      </c>
      <c r="B2823" s="169" t="s">
        <v>35</v>
      </c>
      <c r="C2823" s="169" t="s">
        <v>6804</v>
      </c>
      <c r="D2823" s="317">
        <v>45629.0</v>
      </c>
      <c r="E2823" s="157" t="s">
        <v>600</v>
      </c>
      <c r="F2823" s="160">
        <v>15066.77</v>
      </c>
      <c r="G2823" s="160">
        <f>'FACUS$'!$F2823*0.16</f>
        <v>2410.6832</v>
      </c>
      <c r="H2823" s="160">
        <f t="shared" si="68"/>
        <v>17477.4532</v>
      </c>
      <c r="I2823" s="172">
        <v>8312.97</v>
      </c>
      <c r="J2823" s="169"/>
      <c r="K2823" s="172"/>
      <c r="L2823" s="172">
        <f>+'FACUS$'!$H2823-'FACUS$'!$I2823-'FACUS$'!$K2823</f>
        <v>9164.4832</v>
      </c>
      <c r="M2823" s="162" t="s">
        <v>276</v>
      </c>
      <c r="N2823" s="337" t="s">
        <v>554</v>
      </c>
      <c r="O2823" s="338">
        <v>45674.0</v>
      </c>
      <c r="P2823" s="164">
        <f t="array" ref="P2823">XLOOKUP('FACUS$'!$B2823,'perfil de pagos'!$A$4:$A$46,'perfil de pagos'!$C$4:$C$46+'FACUS$'!$D2823)</f>
        <v>45639</v>
      </c>
      <c r="Q2823" s="165">
        <f t="shared" si="70"/>
        <v>0</v>
      </c>
      <c r="R2823" s="220" t="s">
        <v>10386</v>
      </c>
      <c r="S2823" s="167">
        <v>3552.0</v>
      </c>
      <c r="T2823" s="167"/>
      <c r="U2823" s="334"/>
      <c r="V2823" s="168">
        <f t="shared" si="3"/>
        <v>9164.4832</v>
      </c>
      <c r="W2823" s="168">
        <f t="shared" si="4"/>
        <v>0</v>
      </c>
      <c r="X2823" s="168">
        <f t="shared" si="5"/>
        <v>0</v>
      </c>
      <c r="Y2823" s="168">
        <f t="shared" si="6"/>
        <v>0</v>
      </c>
      <c r="Z2823" s="168">
        <f t="shared" si="7"/>
        <v>0</v>
      </c>
      <c r="AA2823" s="168">
        <f t="shared" si="8"/>
        <v>0</v>
      </c>
      <c r="AB2823" s="168">
        <f t="shared" si="9"/>
        <v>0</v>
      </c>
    </row>
    <row r="2824" ht="15.0" customHeight="1">
      <c r="A2824" s="157" t="s">
        <v>10387</v>
      </c>
      <c r="B2824" s="169" t="s">
        <v>17</v>
      </c>
      <c r="C2824" s="169" t="s">
        <v>6802</v>
      </c>
      <c r="D2824" s="317">
        <v>45629.0</v>
      </c>
      <c r="E2824" s="157" t="s">
        <v>600</v>
      </c>
      <c r="F2824" s="160">
        <v>26906.98</v>
      </c>
      <c r="G2824" s="160">
        <f>'FACUS$'!$F2824*0.16</f>
        <v>4305.1168</v>
      </c>
      <c r="H2824" s="160">
        <f t="shared" si="68"/>
        <v>31212.0968</v>
      </c>
      <c r="I2824" s="172"/>
      <c r="J2824" s="169"/>
      <c r="K2824" s="172"/>
      <c r="L2824" s="172">
        <f>+'FACUS$'!$H2824-'FACUS$'!$I2824-'FACUS$'!$K2824</f>
        <v>31212.0968</v>
      </c>
      <c r="M2824" s="162" t="s">
        <v>17</v>
      </c>
      <c r="N2824" s="337" t="s">
        <v>554</v>
      </c>
      <c r="O2824" s="338">
        <v>45639.0</v>
      </c>
      <c r="P2824" s="164">
        <f t="array" ref="P2824">XLOOKUP('FACUS$'!$B2824,'perfil de pagos'!$A$4:$A$46,'perfil de pagos'!$C$4:$C$46+'FACUS$'!$D2824)</f>
        <v>45639</v>
      </c>
      <c r="Q2824" s="165">
        <f t="shared" si="70"/>
        <v>0</v>
      </c>
      <c r="R2824" s="167"/>
      <c r="S2824" s="167"/>
      <c r="T2824" s="167"/>
      <c r="U2824" s="334"/>
      <c r="V2824" s="168">
        <f t="shared" si="3"/>
        <v>31212.0968</v>
      </c>
      <c r="W2824" s="168">
        <f t="shared" si="4"/>
        <v>0</v>
      </c>
      <c r="X2824" s="168">
        <f t="shared" si="5"/>
        <v>0</v>
      </c>
      <c r="Y2824" s="168">
        <f t="shared" si="6"/>
        <v>0</v>
      </c>
      <c r="Z2824" s="168">
        <f t="shared" si="7"/>
        <v>0</v>
      </c>
      <c r="AA2824" s="168">
        <f t="shared" si="8"/>
        <v>0</v>
      </c>
      <c r="AB2824" s="168">
        <f t="shared" si="9"/>
        <v>0</v>
      </c>
    </row>
    <row r="2825" ht="15.0" customHeight="1">
      <c r="A2825" s="157" t="s">
        <v>10388</v>
      </c>
      <c r="B2825" s="169" t="s">
        <v>17</v>
      </c>
      <c r="C2825" s="169" t="s">
        <v>6804</v>
      </c>
      <c r="D2825" s="317">
        <v>45629.0</v>
      </c>
      <c r="E2825" s="157" t="s">
        <v>600</v>
      </c>
      <c r="F2825" s="160">
        <v>43740.19</v>
      </c>
      <c r="G2825" s="160">
        <f>'FACUS$'!$F2825*0.16</f>
        <v>6998.4304</v>
      </c>
      <c r="H2825" s="160">
        <f t="shared" si="68"/>
        <v>50738.6204</v>
      </c>
      <c r="I2825" s="172"/>
      <c r="J2825" s="169"/>
      <c r="K2825" s="172"/>
      <c r="L2825" s="172">
        <f>+'FACUS$'!$H2825-'FACUS$'!$I2825-'FACUS$'!$K2825</f>
        <v>50738.6204</v>
      </c>
      <c r="M2825" s="162" t="s">
        <v>17</v>
      </c>
      <c r="N2825" s="337" t="s">
        <v>554</v>
      </c>
      <c r="O2825" s="338">
        <v>45639.0</v>
      </c>
      <c r="P2825" s="164">
        <f t="array" ref="P2825">XLOOKUP('FACUS$'!$B2825,'perfil de pagos'!$A$4:$A$46,'perfil de pagos'!$C$4:$C$46+'FACUS$'!$D2825)</f>
        <v>45639</v>
      </c>
      <c r="Q2825" s="165">
        <f t="shared" si="70"/>
        <v>0</v>
      </c>
      <c r="R2825" s="167"/>
      <c r="S2825" s="167"/>
      <c r="T2825" s="167"/>
      <c r="U2825" s="334"/>
      <c r="V2825" s="168">
        <f t="shared" si="3"/>
        <v>50738.6204</v>
      </c>
      <c r="W2825" s="168">
        <f t="shared" si="4"/>
        <v>0</v>
      </c>
      <c r="X2825" s="168">
        <f t="shared" si="5"/>
        <v>0</v>
      </c>
      <c r="Y2825" s="168">
        <f t="shared" si="6"/>
        <v>0</v>
      </c>
      <c r="Z2825" s="168">
        <f t="shared" si="7"/>
        <v>0</v>
      </c>
      <c r="AA2825" s="168">
        <f t="shared" si="8"/>
        <v>0</v>
      </c>
      <c r="AB2825" s="168">
        <f t="shared" si="9"/>
        <v>0</v>
      </c>
    </row>
    <row r="2826" ht="15.0" customHeight="1">
      <c r="A2826" s="157" t="s">
        <v>10389</v>
      </c>
      <c r="B2826" s="169" t="s">
        <v>44</v>
      </c>
      <c r="C2826" s="169" t="s">
        <v>6804</v>
      </c>
      <c r="D2826" s="317">
        <v>45629.0</v>
      </c>
      <c r="E2826" s="157" t="s">
        <v>600</v>
      </c>
      <c r="F2826" s="160">
        <v>11088.37</v>
      </c>
      <c r="G2826" s="160">
        <f>'FACUS$'!$F2826*0.16</f>
        <v>1774.1392</v>
      </c>
      <c r="H2826" s="160">
        <f t="shared" si="68"/>
        <v>12862.5092</v>
      </c>
      <c r="I2826" s="172"/>
      <c r="J2826" s="169"/>
      <c r="K2826" s="172"/>
      <c r="L2826" s="172">
        <f>+'FACUS$'!$H2826-'FACUS$'!$I2826-'FACUS$'!$K2826</f>
        <v>12862.5092</v>
      </c>
      <c r="M2826" s="162" t="s">
        <v>361</v>
      </c>
      <c r="N2826" s="337" t="s">
        <v>554</v>
      </c>
      <c r="O2826" s="338">
        <v>45639.0</v>
      </c>
      <c r="P2826" s="164">
        <f t="array" ref="P2826">XLOOKUP('FACUS$'!$B2826,'perfil de pagos'!$A$4:$A$46,'perfil de pagos'!$C$4:$C$46+'FACUS$'!$D2826)</f>
        <v>45639</v>
      </c>
      <c r="Q2826" s="165">
        <f t="shared" si="70"/>
        <v>0</v>
      </c>
      <c r="R2826" s="167"/>
      <c r="S2826" s="167"/>
      <c r="T2826" s="167"/>
      <c r="U2826" s="334"/>
      <c r="V2826" s="168">
        <f t="shared" si="3"/>
        <v>12862.5092</v>
      </c>
      <c r="W2826" s="168">
        <f t="shared" si="4"/>
        <v>0</v>
      </c>
      <c r="X2826" s="168">
        <f t="shared" si="5"/>
        <v>0</v>
      </c>
      <c r="Y2826" s="168">
        <f t="shared" si="6"/>
        <v>0</v>
      </c>
      <c r="Z2826" s="168">
        <f t="shared" si="7"/>
        <v>0</v>
      </c>
      <c r="AA2826" s="168">
        <f t="shared" si="8"/>
        <v>0</v>
      </c>
      <c r="AB2826" s="168">
        <f t="shared" si="9"/>
        <v>0</v>
      </c>
    </row>
    <row r="2827" ht="15.0" customHeight="1">
      <c r="A2827" s="157" t="s">
        <v>10390</v>
      </c>
      <c r="B2827" s="169" t="s">
        <v>17</v>
      </c>
      <c r="C2827" s="169" t="s">
        <v>10391</v>
      </c>
      <c r="D2827" s="317">
        <v>45629.0</v>
      </c>
      <c r="E2827" s="157" t="s">
        <v>600</v>
      </c>
      <c r="F2827" s="160">
        <v>7523.95</v>
      </c>
      <c r="G2827" s="160">
        <f>'FACUS$'!$F2827*0.16</f>
        <v>1203.832</v>
      </c>
      <c r="H2827" s="160">
        <f t="shared" si="68"/>
        <v>8727.782</v>
      </c>
      <c r="I2827" s="172"/>
      <c r="J2827" s="169"/>
      <c r="K2827" s="172"/>
      <c r="L2827" s="172">
        <f>+'FACUS$'!$H2827-'FACUS$'!$I2827-'FACUS$'!$K2827</f>
        <v>8727.782</v>
      </c>
      <c r="M2827" s="162" t="s">
        <v>17</v>
      </c>
      <c r="N2827" s="337" t="s">
        <v>554</v>
      </c>
      <c r="O2827" s="338">
        <v>45639.0</v>
      </c>
      <c r="P2827" s="164">
        <f t="array" ref="P2827">XLOOKUP('FACUS$'!$B2827,'perfil de pagos'!$A$4:$A$46,'perfil de pagos'!$C$4:$C$46+'FACUS$'!$D2827)</f>
        <v>45639</v>
      </c>
      <c r="Q2827" s="165">
        <f t="shared" si="70"/>
        <v>0</v>
      </c>
      <c r="R2827" s="167"/>
      <c r="S2827" s="167"/>
      <c r="T2827" s="167"/>
      <c r="U2827" s="334"/>
      <c r="V2827" s="168">
        <f t="shared" si="3"/>
        <v>8727.782</v>
      </c>
      <c r="W2827" s="168">
        <f t="shared" si="4"/>
        <v>0</v>
      </c>
      <c r="X2827" s="168">
        <f t="shared" si="5"/>
        <v>0</v>
      </c>
      <c r="Y2827" s="168">
        <f t="shared" si="6"/>
        <v>0</v>
      </c>
      <c r="Z2827" s="168">
        <f t="shared" si="7"/>
        <v>0</v>
      </c>
      <c r="AA2827" s="168">
        <f t="shared" si="8"/>
        <v>0</v>
      </c>
      <c r="AB2827" s="168">
        <f t="shared" si="9"/>
        <v>0</v>
      </c>
    </row>
    <row r="2828" ht="15.0" customHeight="1">
      <c r="A2828" s="299" t="s">
        <v>10392</v>
      </c>
      <c r="B2828" s="300" t="s">
        <v>17</v>
      </c>
      <c r="C2828" s="300" t="s">
        <v>10391</v>
      </c>
      <c r="D2828" s="407">
        <v>45629.0</v>
      </c>
      <c r="E2828" s="299" t="s">
        <v>600</v>
      </c>
      <c r="F2828" s="302">
        <v>8604.12</v>
      </c>
      <c r="G2828" s="302">
        <f>'FACUS$'!$F2828*0.16</f>
        <v>1376.6592</v>
      </c>
      <c r="H2828" s="302">
        <f t="shared" si="68"/>
        <v>9980.7792</v>
      </c>
      <c r="I2828" s="408"/>
      <c r="J2828" s="300"/>
      <c r="K2828" s="408"/>
      <c r="L2828" s="408">
        <f>+'FACUS$'!$H2828-'FACUS$'!$I2828-'FACUS$'!$K2828</f>
        <v>9980.7792</v>
      </c>
      <c r="M2828" s="305" t="s">
        <v>17</v>
      </c>
      <c r="N2828" s="409" t="s">
        <v>127</v>
      </c>
      <c r="O2828" s="410"/>
      <c r="P2828" s="306">
        <f t="array" ref="P2828">XLOOKUP('FACUS$'!$B2828,'perfil de pagos'!$A$4:$A$46,'perfil de pagos'!$C$4:$C$46+'FACUS$'!$D2828)</f>
        <v>45639</v>
      </c>
      <c r="Q2828" s="307" t="str">
        <f t="shared" si="70"/>
        <v>N/A</v>
      </c>
      <c r="R2828" s="308"/>
      <c r="S2828" s="308"/>
      <c r="T2828" s="308"/>
      <c r="U2828" s="411"/>
      <c r="V2828" s="309">
        <f t="shared" si="3"/>
        <v>0</v>
      </c>
      <c r="W2828" s="309">
        <f t="shared" si="4"/>
        <v>0</v>
      </c>
      <c r="X2828" s="309">
        <f t="shared" si="5"/>
        <v>0</v>
      </c>
      <c r="Y2828" s="309">
        <f t="shared" si="6"/>
        <v>0</v>
      </c>
      <c r="Z2828" s="309">
        <f t="shared" si="7"/>
        <v>0</v>
      </c>
      <c r="AA2828" s="309">
        <f t="shared" si="8"/>
        <v>0</v>
      </c>
      <c r="AB2828" s="309">
        <f t="shared" si="9"/>
        <v>9980.7792</v>
      </c>
      <c r="AC2828" s="96"/>
      <c r="AD2828" s="96"/>
      <c r="AE2828" s="96"/>
    </row>
    <row r="2829" ht="15.0" customHeight="1">
      <c r="A2829" s="157" t="s">
        <v>10393</v>
      </c>
      <c r="B2829" s="169" t="s">
        <v>42</v>
      </c>
      <c r="C2829" s="169" t="s">
        <v>6804</v>
      </c>
      <c r="D2829" s="317">
        <v>45630.0</v>
      </c>
      <c r="E2829" s="157" t="s">
        <v>547</v>
      </c>
      <c r="F2829" s="160">
        <v>20024.31</v>
      </c>
      <c r="G2829" s="160">
        <f>'FACUS$'!$F2829*0.16</f>
        <v>3203.8896</v>
      </c>
      <c r="H2829" s="160">
        <f t="shared" si="68"/>
        <v>23228.1996</v>
      </c>
      <c r="I2829" s="172"/>
      <c r="J2829" s="169"/>
      <c r="K2829" s="172"/>
      <c r="L2829" s="172">
        <f>+'FACUS$'!$H2829-'FACUS$'!$I2829-'FACUS$'!$K2829</f>
        <v>23228.1996</v>
      </c>
      <c r="M2829" s="162" t="s">
        <v>42</v>
      </c>
      <c r="N2829" s="337" t="s">
        <v>554</v>
      </c>
      <c r="O2829" s="338">
        <v>45650.0</v>
      </c>
      <c r="P2829" s="164">
        <f t="array" ref="P2829">XLOOKUP('FACUS$'!$B2829,'perfil de pagos'!$A$4:$A$46,'perfil de pagos'!$C$4:$C$46+'FACUS$'!$D2829)</f>
        <v>45640</v>
      </c>
      <c r="Q2829" s="165">
        <f t="shared" si="70"/>
        <v>0</v>
      </c>
      <c r="R2829" s="167"/>
      <c r="S2829" s="167"/>
      <c r="T2829" s="167"/>
      <c r="U2829" s="334"/>
      <c r="V2829" s="168">
        <f t="shared" si="3"/>
        <v>23228.1996</v>
      </c>
      <c r="W2829" s="168">
        <f t="shared" si="4"/>
        <v>0</v>
      </c>
      <c r="X2829" s="168">
        <f t="shared" si="5"/>
        <v>0</v>
      </c>
      <c r="Y2829" s="168">
        <f t="shared" si="6"/>
        <v>0</v>
      </c>
      <c r="Z2829" s="168">
        <f t="shared" si="7"/>
        <v>0</v>
      </c>
      <c r="AA2829" s="168">
        <f t="shared" si="8"/>
        <v>0</v>
      </c>
      <c r="AB2829" s="168">
        <f t="shared" si="9"/>
        <v>0</v>
      </c>
    </row>
    <row r="2830" ht="15.0" customHeight="1">
      <c r="A2830" s="157" t="s">
        <v>10394</v>
      </c>
      <c r="B2830" s="169" t="s">
        <v>17</v>
      </c>
      <c r="C2830" s="169" t="s">
        <v>10391</v>
      </c>
      <c r="D2830" s="317">
        <v>45630.0</v>
      </c>
      <c r="E2830" s="157" t="s">
        <v>600</v>
      </c>
      <c r="F2830" s="160">
        <v>8605.32</v>
      </c>
      <c r="G2830" s="160">
        <f>'FACUS$'!$F2830*0.16</f>
        <v>1376.8512</v>
      </c>
      <c r="H2830" s="160">
        <f t="shared" si="68"/>
        <v>9982.1712</v>
      </c>
      <c r="I2830" s="172"/>
      <c r="J2830" s="169"/>
      <c r="K2830" s="172"/>
      <c r="L2830" s="172">
        <f>+'FACUS$'!$H2830-'FACUS$'!$I2830-'FACUS$'!$K2830</f>
        <v>9982.1712</v>
      </c>
      <c r="M2830" s="162" t="s">
        <v>17</v>
      </c>
      <c r="N2830" s="337" t="s">
        <v>554</v>
      </c>
      <c r="O2830" s="338">
        <v>45639.0</v>
      </c>
      <c r="P2830" s="164">
        <f t="array" ref="P2830">XLOOKUP('FACUS$'!$B2830,'perfil de pagos'!$A$4:$A$46,'perfil de pagos'!$C$4:$C$46+'FACUS$'!$D2830)</f>
        <v>45640</v>
      </c>
      <c r="Q2830" s="165">
        <f t="shared" si="70"/>
        <v>0</v>
      </c>
      <c r="R2830" s="167"/>
      <c r="S2830" s="167"/>
      <c r="T2830" s="167"/>
      <c r="U2830" s="334"/>
      <c r="V2830" s="168">
        <f t="shared" si="3"/>
        <v>9982.1712</v>
      </c>
      <c r="W2830" s="168">
        <f t="shared" si="4"/>
        <v>0</v>
      </c>
      <c r="X2830" s="168">
        <f t="shared" si="5"/>
        <v>0</v>
      </c>
      <c r="Y2830" s="168">
        <f t="shared" si="6"/>
        <v>0</v>
      </c>
      <c r="Z2830" s="168">
        <f t="shared" si="7"/>
        <v>0</v>
      </c>
      <c r="AA2830" s="168">
        <f t="shared" si="8"/>
        <v>0</v>
      </c>
      <c r="AB2830" s="168">
        <f t="shared" si="9"/>
        <v>0</v>
      </c>
    </row>
    <row r="2831" ht="15.0" customHeight="1">
      <c r="A2831" s="157" t="s">
        <v>10395</v>
      </c>
      <c r="B2831" s="169" t="s">
        <v>18</v>
      </c>
      <c r="C2831" s="169" t="s">
        <v>6804</v>
      </c>
      <c r="D2831" s="317">
        <v>45635.0</v>
      </c>
      <c r="E2831" s="157" t="s">
        <v>600</v>
      </c>
      <c r="F2831" s="160">
        <v>6543.49</v>
      </c>
      <c r="G2831" s="160">
        <f>'FACUS$'!$F2831*0.16</f>
        <v>1046.9584</v>
      </c>
      <c r="H2831" s="160">
        <f t="shared" si="68"/>
        <v>7590.4484</v>
      </c>
      <c r="I2831" s="172"/>
      <c r="J2831" s="169"/>
      <c r="K2831" s="172"/>
      <c r="L2831" s="172">
        <f>+'FACUS$'!$H2831-'FACUS$'!$I2831-'FACUS$'!$K2831</f>
        <v>7590.4484</v>
      </c>
      <c r="M2831" s="162" t="s">
        <v>586</v>
      </c>
      <c r="N2831" s="337" t="s">
        <v>554</v>
      </c>
      <c r="O2831" s="338">
        <v>45656.0</v>
      </c>
      <c r="P2831" s="164">
        <f t="array" ref="P2831">XLOOKUP('FACUS$'!$B2831,'perfil de pagos'!$A$4:$A$46,'perfil de pagos'!$C$4:$C$46+'FACUS$'!$D2831)</f>
        <v>45645</v>
      </c>
      <c r="Q2831" s="165">
        <f t="shared" si="70"/>
        <v>0</v>
      </c>
      <c r="R2831" s="167"/>
      <c r="S2831" s="167"/>
      <c r="T2831" s="167"/>
      <c r="U2831" s="334"/>
      <c r="V2831" s="168">
        <f t="shared" si="3"/>
        <v>7590.4484</v>
      </c>
      <c r="W2831" s="168">
        <f t="shared" si="4"/>
        <v>0</v>
      </c>
      <c r="X2831" s="168">
        <f t="shared" si="5"/>
        <v>0</v>
      </c>
      <c r="Y2831" s="168">
        <f t="shared" si="6"/>
        <v>0</v>
      </c>
      <c r="Z2831" s="168">
        <f t="shared" si="7"/>
        <v>0</v>
      </c>
      <c r="AA2831" s="168">
        <f t="shared" si="8"/>
        <v>0</v>
      </c>
      <c r="AB2831" s="168">
        <f t="shared" si="9"/>
        <v>0</v>
      </c>
    </row>
    <row r="2832" ht="15.0" customHeight="1">
      <c r="A2832" s="157" t="s">
        <v>10396</v>
      </c>
      <c r="B2832" s="169" t="s">
        <v>20</v>
      </c>
      <c r="C2832" s="169" t="s">
        <v>6804</v>
      </c>
      <c r="D2832" s="317">
        <v>45635.0</v>
      </c>
      <c r="E2832" s="157" t="s">
        <v>600</v>
      </c>
      <c r="F2832" s="160">
        <v>16054.48</v>
      </c>
      <c r="G2832" s="160">
        <f>'FACUS$'!$F2832*0.16</f>
        <v>2568.7168</v>
      </c>
      <c r="H2832" s="160">
        <f t="shared" si="68"/>
        <v>18623.1968</v>
      </c>
      <c r="I2832" s="172"/>
      <c r="J2832" s="169"/>
      <c r="K2832" s="172"/>
      <c r="L2832" s="172">
        <f>+'FACUS$'!$H2832-'FACUS$'!$I2832-'FACUS$'!$K2832</f>
        <v>18623.1968</v>
      </c>
      <c r="M2832" s="162" t="s">
        <v>732</v>
      </c>
      <c r="N2832" s="337" t="s">
        <v>554</v>
      </c>
      <c r="O2832" s="338">
        <v>45656.0</v>
      </c>
      <c r="P2832" s="164">
        <f t="array" ref="P2832">XLOOKUP('FACUS$'!$B2832,'perfil de pagos'!$A$4:$A$46,'perfil de pagos'!$C$4:$C$46+'FACUS$'!$D2832)</f>
        <v>45645</v>
      </c>
      <c r="Q2832" s="165">
        <f t="shared" si="70"/>
        <v>0</v>
      </c>
      <c r="R2832" s="167"/>
      <c r="S2832" s="167"/>
      <c r="T2832" s="167"/>
      <c r="U2832" s="334"/>
      <c r="V2832" s="168">
        <f t="shared" si="3"/>
        <v>18623.1968</v>
      </c>
      <c r="W2832" s="168">
        <f t="shared" si="4"/>
        <v>0</v>
      </c>
      <c r="X2832" s="168">
        <f t="shared" si="5"/>
        <v>0</v>
      </c>
      <c r="Y2832" s="168">
        <f t="shared" si="6"/>
        <v>0</v>
      </c>
      <c r="Z2832" s="168">
        <f t="shared" si="7"/>
        <v>0</v>
      </c>
      <c r="AA2832" s="168">
        <f t="shared" si="8"/>
        <v>0</v>
      </c>
      <c r="AB2832" s="168">
        <f t="shared" si="9"/>
        <v>0</v>
      </c>
    </row>
    <row r="2833" ht="15.0" customHeight="1">
      <c r="A2833" s="157" t="s">
        <v>10397</v>
      </c>
      <c r="B2833" s="169" t="s">
        <v>25</v>
      </c>
      <c r="C2833" s="169" t="s">
        <v>6804</v>
      </c>
      <c r="D2833" s="317">
        <v>45635.0</v>
      </c>
      <c r="E2833" s="157" t="s">
        <v>600</v>
      </c>
      <c r="F2833" s="160">
        <v>7041.05</v>
      </c>
      <c r="G2833" s="160">
        <f>'FACUS$'!$F2833*0.16</f>
        <v>1126.568</v>
      </c>
      <c r="H2833" s="160">
        <f t="shared" si="68"/>
        <v>8167.618</v>
      </c>
      <c r="I2833" s="172"/>
      <c r="J2833" s="169"/>
      <c r="K2833" s="172"/>
      <c r="L2833" s="172">
        <f>+'FACUS$'!$H2833-'FACUS$'!$I2833-'FACUS$'!$K2833</f>
        <v>8167.618</v>
      </c>
      <c r="M2833" s="162" t="s">
        <v>4388</v>
      </c>
      <c r="N2833" s="337" t="s">
        <v>554</v>
      </c>
      <c r="O2833" s="338">
        <v>45645.0</v>
      </c>
      <c r="P2833" s="164">
        <f t="array" ref="P2833">XLOOKUP('FACUS$'!$B2833,'perfil de pagos'!$A$4:$A$46,'perfil de pagos'!$C$4:$C$46+'FACUS$'!$D2833)</f>
        <v>45645</v>
      </c>
      <c r="Q2833" s="165">
        <f t="shared" si="70"/>
        <v>0</v>
      </c>
      <c r="R2833" s="167"/>
      <c r="S2833" s="167"/>
      <c r="T2833" s="167"/>
      <c r="U2833" s="334"/>
      <c r="V2833" s="168">
        <f t="shared" si="3"/>
        <v>8167.618</v>
      </c>
      <c r="W2833" s="168">
        <f t="shared" si="4"/>
        <v>0</v>
      </c>
      <c r="X2833" s="168">
        <f t="shared" si="5"/>
        <v>0</v>
      </c>
      <c r="Y2833" s="168">
        <f t="shared" si="6"/>
        <v>0</v>
      </c>
      <c r="Z2833" s="168">
        <f t="shared" si="7"/>
        <v>0</v>
      </c>
      <c r="AA2833" s="168">
        <f t="shared" si="8"/>
        <v>0</v>
      </c>
      <c r="AB2833" s="168">
        <f t="shared" si="9"/>
        <v>0</v>
      </c>
    </row>
    <row r="2834" ht="15.0" customHeight="1">
      <c r="A2834" s="157" t="s">
        <v>10398</v>
      </c>
      <c r="B2834" s="169" t="s">
        <v>37</v>
      </c>
      <c r="C2834" s="169" t="s">
        <v>6804</v>
      </c>
      <c r="D2834" s="317">
        <v>45635.0</v>
      </c>
      <c r="E2834" s="157" t="s">
        <v>600</v>
      </c>
      <c r="F2834" s="160">
        <v>98531.6</v>
      </c>
      <c r="G2834" s="160">
        <f>'FACUS$'!$F2834*0.16</f>
        <v>15765.056</v>
      </c>
      <c r="H2834" s="160">
        <f t="shared" si="68"/>
        <v>114296.656</v>
      </c>
      <c r="I2834" s="172"/>
      <c r="J2834" s="169"/>
      <c r="K2834" s="172"/>
      <c r="L2834" s="172">
        <f>+'FACUS$'!$H2834-'FACUS$'!$I2834-'FACUS$'!$K2834</f>
        <v>114296.656</v>
      </c>
      <c r="M2834" s="162" t="s">
        <v>116</v>
      </c>
      <c r="N2834" s="337" t="s">
        <v>554</v>
      </c>
      <c r="O2834" s="338">
        <v>45644.0</v>
      </c>
      <c r="P2834" s="164">
        <f t="array" ref="P2834">XLOOKUP('FACUS$'!$B2834,'perfil de pagos'!$A$4:$A$46,'perfil de pagos'!$C$4:$C$46+'FACUS$'!$D2834)</f>
        <v>45645</v>
      </c>
      <c r="Q2834" s="165">
        <f t="shared" si="70"/>
        <v>0</v>
      </c>
      <c r="R2834" s="167"/>
      <c r="S2834" s="167"/>
      <c r="T2834" s="167"/>
      <c r="U2834" s="334"/>
      <c r="V2834" s="168">
        <f t="shared" si="3"/>
        <v>114296.656</v>
      </c>
      <c r="W2834" s="168">
        <f t="shared" si="4"/>
        <v>0</v>
      </c>
      <c r="X2834" s="168">
        <f t="shared" si="5"/>
        <v>0</v>
      </c>
      <c r="Y2834" s="168">
        <f t="shared" si="6"/>
        <v>0</v>
      </c>
      <c r="Z2834" s="168">
        <f t="shared" si="7"/>
        <v>0</v>
      </c>
      <c r="AA2834" s="168">
        <f t="shared" si="8"/>
        <v>0</v>
      </c>
      <c r="AB2834" s="168">
        <f t="shared" si="9"/>
        <v>0</v>
      </c>
    </row>
    <row r="2835" ht="15.0" customHeight="1">
      <c r="A2835" s="162" t="s">
        <v>10399</v>
      </c>
      <c r="B2835" s="169" t="s">
        <v>38</v>
      </c>
      <c r="C2835" s="169" t="s">
        <v>6804</v>
      </c>
      <c r="D2835" s="317">
        <v>45637.0</v>
      </c>
      <c r="E2835" s="157" t="s">
        <v>600</v>
      </c>
      <c r="F2835" s="160">
        <v>9173.86</v>
      </c>
      <c r="G2835" s="160">
        <f>'FACUS$'!$F2835*0.16</f>
        <v>1467.8176</v>
      </c>
      <c r="H2835" s="160">
        <f t="shared" si="68"/>
        <v>10641.6776</v>
      </c>
      <c r="I2835" s="172"/>
      <c r="J2835" s="169"/>
      <c r="K2835" s="172"/>
      <c r="L2835" s="172">
        <f>+'FACUS$'!$H2835-'FACUS$'!$I2835-'FACUS$'!$K2835</f>
        <v>10641.6776</v>
      </c>
      <c r="M2835" s="162" t="s">
        <v>145</v>
      </c>
      <c r="N2835" s="337" t="s">
        <v>554</v>
      </c>
      <c r="O2835" s="338">
        <v>45653.0</v>
      </c>
      <c r="P2835" s="164">
        <f t="array" ref="P2835">XLOOKUP('FACUS$'!$B2835,'perfil de pagos'!$A$4:$A$46,'perfil de pagos'!$C$4:$C$46+'FACUS$'!$D2835)</f>
        <v>45667</v>
      </c>
      <c r="Q2835" s="165">
        <f t="shared" si="70"/>
        <v>0</v>
      </c>
      <c r="R2835" s="167"/>
      <c r="S2835" s="167"/>
      <c r="T2835" s="167"/>
      <c r="U2835" s="334"/>
      <c r="V2835" s="168">
        <f t="shared" si="3"/>
        <v>10641.6776</v>
      </c>
      <c r="W2835" s="168">
        <f t="shared" si="4"/>
        <v>0</v>
      </c>
      <c r="X2835" s="168">
        <f t="shared" si="5"/>
        <v>0</v>
      </c>
      <c r="Y2835" s="168">
        <f t="shared" si="6"/>
        <v>0</v>
      </c>
      <c r="Z2835" s="168">
        <f t="shared" si="7"/>
        <v>0</v>
      </c>
      <c r="AA2835" s="168">
        <f t="shared" si="8"/>
        <v>0</v>
      </c>
      <c r="AB2835" s="168">
        <f t="shared" si="9"/>
        <v>0</v>
      </c>
    </row>
    <row r="2836" ht="15.0" customHeight="1">
      <c r="A2836" s="157" t="s">
        <v>10400</v>
      </c>
      <c r="B2836" s="169" t="s">
        <v>38</v>
      </c>
      <c r="C2836" s="169" t="s">
        <v>6804</v>
      </c>
      <c r="D2836" s="317">
        <v>45638.0</v>
      </c>
      <c r="E2836" s="157" t="s">
        <v>600</v>
      </c>
      <c r="F2836" s="160">
        <v>1638.1</v>
      </c>
      <c r="G2836" s="160">
        <f>'FACUS$'!$F2836*0.16</f>
        <v>262.096</v>
      </c>
      <c r="H2836" s="160">
        <f t="shared" si="68"/>
        <v>1900.196</v>
      </c>
      <c r="I2836" s="172"/>
      <c r="J2836" s="169"/>
      <c r="K2836" s="172"/>
      <c r="L2836" s="172">
        <f>+'FACUS$'!$H2836-'FACUS$'!$I2836-'FACUS$'!$K2836</f>
        <v>1900.196</v>
      </c>
      <c r="M2836" s="162" t="s">
        <v>4654</v>
      </c>
      <c r="N2836" s="337" t="s">
        <v>554</v>
      </c>
      <c r="O2836" s="338">
        <v>45665.0</v>
      </c>
      <c r="P2836" s="164">
        <f t="array" ref="P2836">XLOOKUP('FACUS$'!$B2836,'perfil de pagos'!$A$4:$A$46,'perfil de pagos'!$C$4:$C$46+'FACUS$'!$D2836)</f>
        <v>45668</v>
      </c>
      <c r="Q2836" s="165">
        <f t="shared" si="70"/>
        <v>0</v>
      </c>
      <c r="R2836" s="167"/>
      <c r="S2836" s="167">
        <v>3539.0</v>
      </c>
      <c r="T2836" s="167"/>
      <c r="U2836" s="334"/>
      <c r="V2836" s="168">
        <f t="shared" si="3"/>
        <v>1900.196</v>
      </c>
      <c r="W2836" s="168">
        <f t="shared" si="4"/>
        <v>0</v>
      </c>
      <c r="X2836" s="168">
        <f t="shared" si="5"/>
        <v>0</v>
      </c>
      <c r="Y2836" s="168">
        <f t="shared" si="6"/>
        <v>0</v>
      </c>
      <c r="Z2836" s="168">
        <f t="shared" si="7"/>
        <v>0</v>
      </c>
      <c r="AA2836" s="168">
        <f t="shared" si="8"/>
        <v>0</v>
      </c>
      <c r="AB2836" s="168">
        <f t="shared" si="9"/>
        <v>0</v>
      </c>
    </row>
    <row r="2837" ht="15.0" customHeight="1">
      <c r="A2837" s="157" t="s">
        <v>10401</v>
      </c>
      <c r="B2837" s="158" t="s">
        <v>17</v>
      </c>
      <c r="C2837" s="158" t="s">
        <v>6850</v>
      </c>
      <c r="D2837" s="159">
        <v>45642.0</v>
      </c>
      <c r="E2837" s="157" t="s">
        <v>600</v>
      </c>
      <c r="F2837" s="160">
        <v>28410.53</v>
      </c>
      <c r="G2837" s="160">
        <f>'FACUS$'!$F2837*0.16</f>
        <v>4545.6848</v>
      </c>
      <c r="H2837" s="160">
        <f t="shared" si="68"/>
        <v>32956.2148</v>
      </c>
      <c r="I2837" s="172"/>
      <c r="J2837" s="169"/>
      <c r="K2837" s="172"/>
      <c r="L2837" s="172">
        <f>+'FACUS$'!$H2837-'FACUS$'!$I2837-'FACUS$'!$K2837</f>
        <v>32956.2148</v>
      </c>
      <c r="M2837" s="162" t="s">
        <v>17</v>
      </c>
      <c r="N2837" s="337" t="s">
        <v>554</v>
      </c>
      <c r="O2837" s="338">
        <v>45645.0</v>
      </c>
      <c r="P2837" s="164">
        <f t="array" ref="P2837">XLOOKUP('FACUS$'!$B2837,'perfil de pagos'!$A$4:$A$46,'perfil de pagos'!$C$4:$C$46+'FACUS$'!$D2837)</f>
        <v>45652</v>
      </c>
      <c r="Q2837" s="165">
        <f t="shared" si="70"/>
        <v>0</v>
      </c>
      <c r="R2837" s="167"/>
      <c r="S2837" s="167"/>
      <c r="T2837" s="167"/>
      <c r="U2837" s="334"/>
      <c r="V2837" s="168">
        <f t="shared" si="3"/>
        <v>32956.2148</v>
      </c>
      <c r="W2837" s="168">
        <f t="shared" si="4"/>
        <v>0</v>
      </c>
      <c r="X2837" s="168">
        <f t="shared" si="5"/>
        <v>0</v>
      </c>
      <c r="Y2837" s="168">
        <f t="shared" si="6"/>
        <v>0</v>
      </c>
      <c r="Z2837" s="168">
        <f t="shared" si="7"/>
        <v>0</v>
      </c>
      <c r="AA2837" s="168">
        <f t="shared" si="8"/>
        <v>0</v>
      </c>
      <c r="AB2837" s="168">
        <f t="shared" si="9"/>
        <v>0</v>
      </c>
    </row>
    <row r="2838" ht="15.0" customHeight="1">
      <c r="A2838" s="157" t="s">
        <v>10402</v>
      </c>
      <c r="B2838" s="158" t="s">
        <v>17</v>
      </c>
      <c r="C2838" s="158" t="s">
        <v>6853</v>
      </c>
      <c r="D2838" s="159">
        <v>45642.0</v>
      </c>
      <c r="E2838" s="157" t="s">
        <v>600</v>
      </c>
      <c r="F2838" s="160">
        <v>41180.64</v>
      </c>
      <c r="G2838" s="160">
        <f>'FACUS$'!$F2838*0.16</f>
        <v>6588.9024</v>
      </c>
      <c r="H2838" s="160">
        <f t="shared" si="68"/>
        <v>47769.5424</v>
      </c>
      <c r="I2838" s="172"/>
      <c r="J2838" s="169"/>
      <c r="K2838" s="172"/>
      <c r="L2838" s="172">
        <f>+'FACUS$'!$H2838-'FACUS$'!$I2838-'FACUS$'!$K2838</f>
        <v>47769.5424</v>
      </c>
      <c r="M2838" s="162" t="s">
        <v>17</v>
      </c>
      <c r="N2838" s="337" t="s">
        <v>554</v>
      </c>
      <c r="O2838" s="338">
        <v>45645.0</v>
      </c>
      <c r="P2838" s="164">
        <f t="array" ref="P2838">XLOOKUP('FACUS$'!$B2838,'perfil de pagos'!$A$4:$A$46,'perfil de pagos'!$C$4:$C$46+'FACUS$'!$D2838)</f>
        <v>45652</v>
      </c>
      <c r="Q2838" s="165">
        <f t="shared" si="70"/>
        <v>0</v>
      </c>
      <c r="R2838" s="167"/>
      <c r="S2838" s="167"/>
      <c r="T2838" s="167"/>
      <c r="U2838" s="334"/>
      <c r="V2838" s="168">
        <f t="shared" si="3"/>
        <v>47769.5424</v>
      </c>
      <c r="W2838" s="168">
        <f t="shared" si="4"/>
        <v>0</v>
      </c>
      <c r="X2838" s="168">
        <f t="shared" si="5"/>
        <v>0</v>
      </c>
      <c r="Y2838" s="168">
        <f t="shared" si="6"/>
        <v>0</v>
      </c>
      <c r="Z2838" s="168">
        <f t="shared" si="7"/>
        <v>0</v>
      </c>
      <c r="AA2838" s="168">
        <f t="shared" si="8"/>
        <v>0</v>
      </c>
      <c r="AB2838" s="168">
        <f t="shared" si="9"/>
        <v>0</v>
      </c>
    </row>
    <row r="2839" ht="15.0" customHeight="1">
      <c r="A2839" s="299" t="s">
        <v>10403</v>
      </c>
      <c r="B2839" s="300" t="s">
        <v>32</v>
      </c>
      <c r="C2839" s="300" t="s">
        <v>6853</v>
      </c>
      <c r="D2839" s="301">
        <v>45643.0</v>
      </c>
      <c r="E2839" s="299" t="s">
        <v>600</v>
      </c>
      <c r="F2839" s="302">
        <v>8177.6</v>
      </c>
      <c r="G2839" s="302">
        <f>'FACUS$'!$F2839*0.16</f>
        <v>1308.416</v>
      </c>
      <c r="H2839" s="302">
        <f t="shared" si="68"/>
        <v>9486.016</v>
      </c>
      <c r="I2839" s="408"/>
      <c r="J2839" s="300"/>
      <c r="K2839" s="408"/>
      <c r="L2839" s="408">
        <f>+'FACUS$'!$H2839-'FACUS$'!$I2839-'FACUS$'!$K2839</f>
        <v>9486.016</v>
      </c>
      <c r="M2839" s="305" t="s">
        <v>395</v>
      </c>
      <c r="N2839" s="409" t="s">
        <v>127</v>
      </c>
      <c r="O2839" s="410"/>
      <c r="P2839" s="306">
        <f t="array" ref="P2839">XLOOKUP('FACUS$'!$B2839,'perfil de pagos'!$A$4:$A$46,'perfil de pagos'!$C$4:$C$46+'FACUS$'!$D2839)</f>
        <v>45653</v>
      </c>
      <c r="Q2839" s="307" t="str">
        <f t="shared" si="70"/>
        <v>N/A</v>
      </c>
      <c r="R2839" s="308"/>
      <c r="S2839" s="308"/>
      <c r="T2839" s="308"/>
      <c r="U2839" s="411"/>
      <c r="V2839" s="309">
        <f t="shared" si="3"/>
        <v>0</v>
      </c>
      <c r="W2839" s="309">
        <f t="shared" si="4"/>
        <v>0</v>
      </c>
      <c r="X2839" s="309">
        <f t="shared" si="5"/>
        <v>0</v>
      </c>
      <c r="Y2839" s="309">
        <f t="shared" si="6"/>
        <v>0</v>
      </c>
      <c r="Z2839" s="309">
        <f t="shared" si="7"/>
        <v>0</v>
      </c>
      <c r="AA2839" s="309">
        <f t="shared" si="8"/>
        <v>0</v>
      </c>
      <c r="AB2839" s="309">
        <f t="shared" si="9"/>
        <v>9486.016</v>
      </c>
      <c r="AC2839" s="96"/>
      <c r="AD2839" s="96"/>
      <c r="AE2839" s="96"/>
    </row>
    <row r="2840" ht="15.0" customHeight="1">
      <c r="A2840" s="157" t="s">
        <v>10404</v>
      </c>
      <c r="B2840" s="169" t="s">
        <v>50</v>
      </c>
      <c r="C2840" s="158" t="s">
        <v>6850</v>
      </c>
      <c r="D2840" s="159">
        <v>45643.0</v>
      </c>
      <c r="E2840" s="157" t="s">
        <v>600</v>
      </c>
      <c r="F2840" s="160">
        <v>25954.19</v>
      </c>
      <c r="G2840" s="160">
        <f>'FACUS$'!$F2840*0.16</f>
        <v>4152.6704</v>
      </c>
      <c r="H2840" s="160">
        <f t="shared" si="68"/>
        <v>30106.8604</v>
      </c>
      <c r="I2840" s="172"/>
      <c r="J2840" s="169"/>
      <c r="K2840" s="172"/>
      <c r="L2840" s="172">
        <f>+'FACUS$'!$H2840-'FACUS$'!$I2840-'FACUS$'!$K2840</f>
        <v>30106.8604</v>
      </c>
      <c r="M2840" s="162" t="s">
        <v>570</v>
      </c>
      <c r="N2840" s="337" t="s">
        <v>554</v>
      </c>
      <c r="O2840" s="338">
        <v>45660.0</v>
      </c>
      <c r="P2840" s="164">
        <f t="array" ref="P2840">XLOOKUP('FACUS$'!$B2840,'perfil de pagos'!$A$4:$A$46,'perfil de pagos'!$C$4:$C$46+'FACUS$'!$D2840)</f>
        <v>45653</v>
      </c>
      <c r="Q2840" s="165">
        <f t="shared" si="70"/>
        <v>0</v>
      </c>
      <c r="R2840" s="167"/>
      <c r="S2840" s="167"/>
      <c r="T2840" s="167"/>
      <c r="U2840" s="334"/>
      <c r="V2840" s="168">
        <f t="shared" si="3"/>
        <v>30106.8604</v>
      </c>
      <c r="W2840" s="168">
        <f t="shared" si="4"/>
        <v>0</v>
      </c>
      <c r="X2840" s="168">
        <f t="shared" si="5"/>
        <v>0</v>
      </c>
      <c r="Y2840" s="168">
        <f t="shared" si="6"/>
        <v>0</v>
      </c>
      <c r="Z2840" s="168">
        <f t="shared" si="7"/>
        <v>0</v>
      </c>
      <c r="AA2840" s="168">
        <f t="shared" si="8"/>
        <v>0</v>
      </c>
      <c r="AB2840" s="168">
        <f t="shared" si="9"/>
        <v>0</v>
      </c>
    </row>
    <row r="2841" ht="15.0" customHeight="1">
      <c r="A2841" s="157" t="s">
        <v>10405</v>
      </c>
      <c r="B2841" s="169" t="s">
        <v>50</v>
      </c>
      <c r="C2841" s="158" t="s">
        <v>6853</v>
      </c>
      <c r="D2841" s="159">
        <v>45643.0</v>
      </c>
      <c r="E2841" s="157" t="s">
        <v>600</v>
      </c>
      <c r="F2841" s="160">
        <v>26435.28</v>
      </c>
      <c r="G2841" s="160">
        <f>'FACUS$'!$F2841*0.16</f>
        <v>4229.6448</v>
      </c>
      <c r="H2841" s="160">
        <f t="shared" si="68"/>
        <v>30664.9248</v>
      </c>
      <c r="I2841" s="172"/>
      <c r="J2841" s="169"/>
      <c r="K2841" s="172"/>
      <c r="L2841" s="172">
        <f>+'FACUS$'!$H2841-'FACUS$'!$I2841-'FACUS$'!$K2841</f>
        <v>30664.9248</v>
      </c>
      <c r="M2841" s="162" t="s">
        <v>570</v>
      </c>
      <c r="N2841" s="337" t="s">
        <v>554</v>
      </c>
      <c r="O2841" s="338">
        <v>45667.0</v>
      </c>
      <c r="P2841" s="164">
        <f t="array" ref="P2841">XLOOKUP('FACUS$'!$B2841,'perfil de pagos'!$A$4:$A$46,'perfil de pagos'!$C$4:$C$46+'FACUS$'!$D2841)</f>
        <v>45653</v>
      </c>
      <c r="Q2841" s="165">
        <f t="shared" si="70"/>
        <v>0</v>
      </c>
      <c r="R2841" s="167"/>
      <c r="S2841" s="167">
        <v>3542.0</v>
      </c>
      <c r="T2841" s="167"/>
      <c r="U2841" s="334"/>
      <c r="V2841" s="168">
        <f t="shared" si="3"/>
        <v>30664.9248</v>
      </c>
      <c r="W2841" s="168">
        <f t="shared" si="4"/>
        <v>0</v>
      </c>
      <c r="X2841" s="168">
        <f t="shared" si="5"/>
        <v>0</v>
      </c>
      <c r="Y2841" s="168">
        <f t="shared" si="6"/>
        <v>0</v>
      </c>
      <c r="Z2841" s="168">
        <f t="shared" si="7"/>
        <v>0</v>
      </c>
      <c r="AA2841" s="168">
        <f t="shared" si="8"/>
        <v>0</v>
      </c>
      <c r="AB2841" s="168">
        <f t="shared" si="9"/>
        <v>0</v>
      </c>
    </row>
    <row r="2842" ht="15.0" customHeight="1">
      <c r="A2842" s="157" t="s">
        <v>10406</v>
      </c>
      <c r="B2842" s="169" t="s">
        <v>41</v>
      </c>
      <c r="C2842" s="158" t="s">
        <v>6853</v>
      </c>
      <c r="D2842" s="159">
        <v>45643.0</v>
      </c>
      <c r="E2842" s="157" t="s">
        <v>600</v>
      </c>
      <c r="F2842" s="160">
        <v>123721.7</v>
      </c>
      <c r="G2842" s="160">
        <f>'FACUS$'!$F2842*0.16</f>
        <v>19795.472</v>
      </c>
      <c r="H2842" s="160">
        <f t="shared" si="68"/>
        <v>143517.172</v>
      </c>
      <c r="I2842" s="172"/>
      <c r="J2842" s="169"/>
      <c r="K2842" s="172"/>
      <c r="L2842" s="172">
        <f>+'FACUS$'!$H2842-'FACUS$'!$I2842-'FACUS$'!$K2842</f>
        <v>143517.172</v>
      </c>
      <c r="M2842" s="162" t="s">
        <v>875</v>
      </c>
      <c r="N2842" s="337" t="s">
        <v>554</v>
      </c>
      <c r="O2842" s="338">
        <v>45687.0</v>
      </c>
      <c r="P2842" s="164">
        <f t="array" ref="P2842">XLOOKUP('FACUS$'!$B2842,'perfil de pagos'!$A$4:$A$46,'perfil de pagos'!$C$4:$C$46+'FACUS$'!$D2842)</f>
        <v>45653</v>
      </c>
      <c r="Q2842" s="165">
        <f t="shared" si="70"/>
        <v>0</v>
      </c>
      <c r="R2842" s="167"/>
      <c r="S2842" s="167"/>
      <c r="T2842" s="167"/>
      <c r="U2842" s="334"/>
      <c r="V2842" s="168">
        <f t="shared" si="3"/>
        <v>143517.172</v>
      </c>
      <c r="W2842" s="168">
        <f t="shared" si="4"/>
        <v>0</v>
      </c>
      <c r="X2842" s="168">
        <f t="shared" si="5"/>
        <v>0</v>
      </c>
      <c r="Y2842" s="168">
        <f t="shared" si="6"/>
        <v>0</v>
      </c>
      <c r="Z2842" s="168">
        <f t="shared" si="7"/>
        <v>0</v>
      </c>
      <c r="AA2842" s="168">
        <f t="shared" si="8"/>
        <v>0</v>
      </c>
      <c r="AB2842" s="168">
        <f t="shared" si="9"/>
        <v>0</v>
      </c>
    </row>
    <row r="2843" ht="15.0" customHeight="1">
      <c r="A2843" s="157" t="s">
        <v>10407</v>
      </c>
      <c r="B2843" s="169" t="s">
        <v>52</v>
      </c>
      <c r="C2843" s="158" t="s">
        <v>6850</v>
      </c>
      <c r="D2843" s="159">
        <v>45643.0</v>
      </c>
      <c r="E2843" s="157" t="s">
        <v>600</v>
      </c>
      <c r="F2843" s="160">
        <v>6554.69</v>
      </c>
      <c r="G2843" s="160">
        <f>'FACUS$'!$F2843*0.16</f>
        <v>1048.7504</v>
      </c>
      <c r="H2843" s="160">
        <f t="shared" si="68"/>
        <v>7603.4404</v>
      </c>
      <c r="I2843" s="172"/>
      <c r="J2843" s="169"/>
      <c r="K2843" s="172"/>
      <c r="L2843" s="172">
        <f>+'FACUS$'!$H2843-'FACUS$'!$I2843-'FACUS$'!$K2843</f>
        <v>7603.4404</v>
      </c>
      <c r="M2843" s="162" t="s">
        <v>10309</v>
      </c>
      <c r="N2843" s="337" t="s">
        <v>554</v>
      </c>
      <c r="O2843" s="338">
        <v>45294.0</v>
      </c>
      <c r="P2843" s="164">
        <f t="array" ref="P2843">XLOOKUP('FACUS$'!$B2843,'perfil de pagos'!$A$4:$A$46,'perfil de pagos'!$C$4:$C$46+'FACUS$'!$D2843)</f>
        <v>45658</v>
      </c>
      <c r="Q2843" s="165">
        <f t="shared" si="70"/>
        <v>0</v>
      </c>
      <c r="R2843" s="167"/>
      <c r="S2843" s="167"/>
      <c r="T2843" s="167"/>
      <c r="U2843" s="334"/>
      <c r="V2843" s="168">
        <f t="shared" si="3"/>
        <v>7603.4404</v>
      </c>
      <c r="W2843" s="168">
        <f t="shared" si="4"/>
        <v>0</v>
      </c>
      <c r="X2843" s="168">
        <f t="shared" si="5"/>
        <v>0</v>
      </c>
      <c r="Y2843" s="168">
        <f t="shared" si="6"/>
        <v>0</v>
      </c>
      <c r="Z2843" s="168">
        <f t="shared" si="7"/>
        <v>0</v>
      </c>
      <c r="AA2843" s="168">
        <f t="shared" si="8"/>
        <v>0</v>
      </c>
      <c r="AB2843" s="168">
        <f t="shared" si="9"/>
        <v>0</v>
      </c>
    </row>
    <row r="2844" ht="15.0" customHeight="1">
      <c r="A2844" s="157" t="s">
        <v>10408</v>
      </c>
      <c r="B2844" s="169" t="s">
        <v>52</v>
      </c>
      <c r="C2844" s="158" t="s">
        <v>6853</v>
      </c>
      <c r="D2844" s="159">
        <v>45643.0</v>
      </c>
      <c r="E2844" s="157" t="s">
        <v>600</v>
      </c>
      <c r="F2844" s="160">
        <v>3433.05</v>
      </c>
      <c r="G2844" s="160">
        <f>'FACUS$'!$F2844*0.16</f>
        <v>549.288</v>
      </c>
      <c r="H2844" s="160">
        <f t="shared" si="68"/>
        <v>3982.338</v>
      </c>
      <c r="I2844" s="172"/>
      <c r="J2844" s="169"/>
      <c r="K2844" s="172"/>
      <c r="L2844" s="172">
        <f>+'FACUS$'!$H2844-'FACUS$'!$I2844-'FACUS$'!$K2844</f>
        <v>3982.338</v>
      </c>
      <c r="M2844" s="162" t="s">
        <v>10309</v>
      </c>
      <c r="N2844" s="337" t="s">
        <v>554</v>
      </c>
      <c r="O2844" s="338">
        <v>45294.0</v>
      </c>
      <c r="P2844" s="164">
        <f t="array" ref="P2844">XLOOKUP('FACUS$'!$B2844,'perfil de pagos'!$A$4:$A$46,'perfil de pagos'!$C$4:$C$46+'FACUS$'!$D2844)</f>
        <v>45658</v>
      </c>
      <c r="Q2844" s="165">
        <f t="shared" si="70"/>
        <v>0</v>
      </c>
      <c r="R2844" s="167"/>
      <c r="S2844" s="167"/>
      <c r="T2844" s="167"/>
      <c r="U2844" s="334"/>
      <c r="V2844" s="168">
        <f t="shared" si="3"/>
        <v>3982.338</v>
      </c>
      <c r="W2844" s="168">
        <f t="shared" si="4"/>
        <v>0</v>
      </c>
      <c r="X2844" s="168">
        <f t="shared" si="5"/>
        <v>0</v>
      </c>
      <c r="Y2844" s="168">
        <f t="shared" si="6"/>
        <v>0</v>
      </c>
      <c r="Z2844" s="168">
        <f t="shared" si="7"/>
        <v>0</v>
      </c>
      <c r="AA2844" s="168">
        <f t="shared" si="8"/>
        <v>0</v>
      </c>
      <c r="AB2844" s="168">
        <f t="shared" si="9"/>
        <v>0</v>
      </c>
    </row>
    <row r="2845" ht="15.0" customHeight="1">
      <c r="A2845" s="299" t="s">
        <v>10409</v>
      </c>
      <c r="B2845" s="300" t="s">
        <v>52</v>
      </c>
      <c r="C2845" s="300" t="s">
        <v>6853</v>
      </c>
      <c r="D2845" s="301">
        <v>45643.0</v>
      </c>
      <c r="E2845" s="299" t="s">
        <v>600</v>
      </c>
      <c r="F2845" s="302">
        <v>3433.05</v>
      </c>
      <c r="G2845" s="302">
        <f>'FACUS$'!$F2845*0.16</f>
        <v>549.288</v>
      </c>
      <c r="H2845" s="302">
        <f t="shared" si="68"/>
        <v>3982.338</v>
      </c>
      <c r="I2845" s="408"/>
      <c r="J2845" s="300"/>
      <c r="K2845" s="408"/>
      <c r="L2845" s="408">
        <f>+'FACUS$'!$H2845-'FACUS$'!$I2845-'FACUS$'!$K2845</f>
        <v>3982.338</v>
      </c>
      <c r="M2845" s="305" t="s">
        <v>10309</v>
      </c>
      <c r="N2845" s="409" t="s">
        <v>127</v>
      </c>
      <c r="O2845" s="410"/>
      <c r="P2845" s="306">
        <f t="array" ref="P2845">XLOOKUP('FACUS$'!$B2845,'perfil de pagos'!$A$4:$A$46,'perfil de pagos'!$C$4:$C$46+'FACUS$'!$D2845)</f>
        <v>45658</v>
      </c>
      <c r="Q2845" s="307" t="str">
        <f t="shared" si="70"/>
        <v>N/A</v>
      </c>
      <c r="R2845" s="308"/>
      <c r="S2845" s="308"/>
      <c r="T2845" s="308"/>
      <c r="U2845" s="411"/>
      <c r="V2845" s="309">
        <f t="shared" si="3"/>
        <v>0</v>
      </c>
      <c r="W2845" s="309">
        <f t="shared" si="4"/>
        <v>0</v>
      </c>
      <c r="X2845" s="309">
        <f t="shared" si="5"/>
        <v>0</v>
      </c>
      <c r="Y2845" s="309">
        <f t="shared" si="6"/>
        <v>0</v>
      </c>
      <c r="Z2845" s="309">
        <f t="shared" si="7"/>
        <v>0</v>
      </c>
      <c r="AA2845" s="309">
        <f t="shared" si="8"/>
        <v>0</v>
      </c>
      <c r="AB2845" s="309">
        <f t="shared" si="9"/>
        <v>3982.338</v>
      </c>
      <c r="AC2845" s="96"/>
      <c r="AD2845" s="96"/>
      <c r="AE2845" s="96"/>
    </row>
    <row r="2846" ht="15.0" customHeight="1">
      <c r="A2846" s="157" t="s">
        <v>10410</v>
      </c>
      <c r="B2846" s="169" t="s">
        <v>35</v>
      </c>
      <c r="C2846" s="158" t="s">
        <v>6853</v>
      </c>
      <c r="D2846" s="159">
        <v>45643.0</v>
      </c>
      <c r="E2846" s="157" t="s">
        <v>600</v>
      </c>
      <c r="F2846" s="160">
        <v>13808.22</v>
      </c>
      <c r="G2846" s="160">
        <f>'FACUS$'!$F2846*0.16</f>
        <v>2209.3152</v>
      </c>
      <c r="H2846" s="160">
        <f t="shared" si="68"/>
        <v>16017.5352</v>
      </c>
      <c r="I2846" s="172"/>
      <c r="J2846" s="169"/>
      <c r="K2846" s="172"/>
      <c r="L2846" s="172">
        <f>+'FACUS$'!$H2846-'FACUS$'!$I2846-'FACUS$'!$K2846</f>
        <v>16017.5352</v>
      </c>
      <c r="M2846" s="162" t="s">
        <v>276</v>
      </c>
      <c r="N2846" s="337" t="s">
        <v>554</v>
      </c>
      <c r="O2846" s="338">
        <v>45674.0</v>
      </c>
      <c r="P2846" s="164">
        <f t="array" ref="P2846">XLOOKUP('FACUS$'!$B2846,'perfil de pagos'!$A$4:$A$46,'perfil de pagos'!$C$4:$C$46+'FACUS$'!$D2846)</f>
        <v>45653</v>
      </c>
      <c r="Q2846" s="165">
        <f t="shared" si="70"/>
        <v>0</v>
      </c>
      <c r="R2846" s="167"/>
      <c r="S2846" s="167">
        <v>3552.0</v>
      </c>
      <c r="T2846" s="167"/>
      <c r="U2846" s="334"/>
      <c r="V2846" s="168">
        <f t="shared" si="3"/>
        <v>16017.5352</v>
      </c>
      <c r="W2846" s="168">
        <f t="shared" si="4"/>
        <v>0</v>
      </c>
      <c r="X2846" s="168">
        <f t="shared" si="5"/>
        <v>0</v>
      </c>
      <c r="Y2846" s="168">
        <f t="shared" si="6"/>
        <v>0</v>
      </c>
      <c r="Z2846" s="168">
        <f t="shared" si="7"/>
        <v>0</v>
      </c>
      <c r="AA2846" s="168">
        <f t="shared" si="8"/>
        <v>0</v>
      </c>
      <c r="AB2846" s="168">
        <f t="shared" si="9"/>
        <v>0</v>
      </c>
    </row>
    <row r="2847" ht="15.0" customHeight="1">
      <c r="A2847" s="157" t="s">
        <v>10411</v>
      </c>
      <c r="B2847" s="169" t="s">
        <v>44</v>
      </c>
      <c r="C2847" s="158" t="s">
        <v>6853</v>
      </c>
      <c r="D2847" s="159">
        <v>45643.0</v>
      </c>
      <c r="E2847" s="157" t="s">
        <v>600</v>
      </c>
      <c r="F2847" s="160">
        <v>16105.17</v>
      </c>
      <c r="G2847" s="160">
        <f>'FACUS$'!$F2847*0.16</f>
        <v>2576.8272</v>
      </c>
      <c r="H2847" s="160">
        <f t="shared" si="68"/>
        <v>18681.9972</v>
      </c>
      <c r="I2847" s="172"/>
      <c r="J2847" s="169"/>
      <c r="K2847" s="172"/>
      <c r="L2847" s="172">
        <f>+'FACUS$'!$H2847-'FACUS$'!$I2847-'FACUS$'!$K2847</f>
        <v>18681.9972</v>
      </c>
      <c r="M2847" s="162" t="s">
        <v>361</v>
      </c>
      <c r="N2847" s="337" t="s">
        <v>554</v>
      </c>
      <c r="O2847" s="338">
        <v>45652.0</v>
      </c>
      <c r="P2847" s="164">
        <f t="array" ref="P2847">XLOOKUP('FACUS$'!$B2847,'perfil de pagos'!$A$4:$A$46,'perfil de pagos'!$C$4:$C$46+'FACUS$'!$D2847)</f>
        <v>45653</v>
      </c>
      <c r="Q2847" s="165">
        <f t="shared" si="70"/>
        <v>0</v>
      </c>
      <c r="R2847" s="167"/>
      <c r="S2847" s="167"/>
      <c r="T2847" s="167"/>
      <c r="U2847" s="334"/>
      <c r="V2847" s="168">
        <f t="shared" si="3"/>
        <v>18681.9972</v>
      </c>
      <c r="W2847" s="168">
        <f t="shared" si="4"/>
        <v>0</v>
      </c>
      <c r="X2847" s="168">
        <f t="shared" si="5"/>
        <v>0</v>
      </c>
      <c r="Y2847" s="168">
        <f t="shared" si="6"/>
        <v>0</v>
      </c>
      <c r="Z2847" s="168">
        <f t="shared" si="7"/>
        <v>0</v>
      </c>
      <c r="AA2847" s="168">
        <f t="shared" si="8"/>
        <v>0</v>
      </c>
      <c r="AB2847" s="168">
        <f t="shared" si="9"/>
        <v>0</v>
      </c>
    </row>
    <row r="2848" ht="15.0" customHeight="1">
      <c r="A2848" s="157" t="s">
        <v>10412</v>
      </c>
      <c r="B2848" s="169" t="s">
        <v>42</v>
      </c>
      <c r="C2848" s="158" t="s">
        <v>6853</v>
      </c>
      <c r="D2848" s="159">
        <v>45653.0</v>
      </c>
      <c r="E2848" s="157" t="s">
        <v>600</v>
      </c>
      <c r="F2848" s="160">
        <v>16880.51</v>
      </c>
      <c r="G2848" s="160">
        <f>'FACUS$'!$F2848*0.16</f>
        <v>2700.8816</v>
      </c>
      <c r="H2848" s="160">
        <f t="shared" si="68"/>
        <v>19581.3916</v>
      </c>
      <c r="I2848" s="172"/>
      <c r="J2848" s="169"/>
      <c r="K2848" s="172"/>
      <c r="L2848" s="172">
        <f>+'FACUS$'!$H2848-'FACUS$'!$I2848-'FACUS$'!$K2848</f>
        <v>19581.3916</v>
      </c>
      <c r="M2848" s="162" t="s">
        <v>42</v>
      </c>
      <c r="N2848" s="337" t="s">
        <v>554</v>
      </c>
      <c r="O2848" s="338">
        <v>45673.0</v>
      </c>
      <c r="P2848" s="164">
        <f t="array" ref="P2848">XLOOKUP('FACUS$'!$B2848,'perfil de pagos'!$A$4:$A$46,'perfil de pagos'!$C$4:$C$46+'FACUS$'!$D2848)</f>
        <v>45663</v>
      </c>
      <c r="Q2848" s="165">
        <f t="shared" si="70"/>
        <v>0</v>
      </c>
      <c r="R2848" s="167"/>
      <c r="S2848" s="167">
        <v>3551.0</v>
      </c>
      <c r="T2848" s="167"/>
      <c r="U2848" s="334"/>
      <c r="V2848" s="168">
        <f t="shared" si="3"/>
        <v>19581.3916</v>
      </c>
      <c r="W2848" s="168">
        <f t="shared" si="4"/>
        <v>0</v>
      </c>
      <c r="X2848" s="168">
        <f t="shared" si="5"/>
        <v>0</v>
      </c>
      <c r="Y2848" s="168">
        <f t="shared" si="6"/>
        <v>0</v>
      </c>
      <c r="Z2848" s="168">
        <f t="shared" si="7"/>
        <v>0</v>
      </c>
      <c r="AA2848" s="168">
        <f t="shared" si="8"/>
        <v>0</v>
      </c>
      <c r="AB2848" s="168">
        <f t="shared" si="9"/>
        <v>0</v>
      </c>
    </row>
    <row r="2849" ht="15.0" customHeight="1">
      <c r="A2849" s="157" t="s">
        <v>10413</v>
      </c>
      <c r="B2849" s="169" t="s">
        <v>38</v>
      </c>
      <c r="C2849" s="158" t="s">
        <v>6853</v>
      </c>
      <c r="D2849" s="159">
        <v>45653.0</v>
      </c>
      <c r="E2849" s="157" t="s">
        <v>600</v>
      </c>
      <c r="F2849" s="160">
        <v>2130.7</v>
      </c>
      <c r="G2849" s="160">
        <f>'FACUS$'!$F2849*0.16</f>
        <v>340.912</v>
      </c>
      <c r="H2849" s="160">
        <f t="shared" si="68"/>
        <v>2471.612</v>
      </c>
      <c r="I2849" s="172"/>
      <c r="J2849" s="169"/>
      <c r="K2849" s="172"/>
      <c r="L2849" s="172">
        <f>+'FACUS$'!$H2849-'FACUS$'!$I2849-'FACUS$'!$K2849</f>
        <v>2471.612</v>
      </c>
      <c r="M2849" s="162" t="s">
        <v>4654</v>
      </c>
      <c r="N2849" s="337" t="s">
        <v>554</v>
      </c>
      <c r="O2849" s="338">
        <v>45672.0</v>
      </c>
      <c r="P2849" s="164">
        <f t="array" ref="P2849">XLOOKUP('FACUS$'!$B2849,'perfil de pagos'!$A$4:$A$46,'perfil de pagos'!$C$4:$C$46+'FACUS$'!$D2849)</f>
        <v>45683</v>
      </c>
      <c r="Q2849" s="165">
        <f t="shared" si="70"/>
        <v>0</v>
      </c>
      <c r="R2849" s="167"/>
      <c r="S2849" s="167">
        <v>3548.0</v>
      </c>
      <c r="T2849" s="167"/>
      <c r="U2849" s="334"/>
      <c r="V2849" s="168">
        <f t="shared" si="3"/>
        <v>2471.612</v>
      </c>
      <c r="W2849" s="168">
        <f t="shared" si="4"/>
        <v>0</v>
      </c>
      <c r="X2849" s="168">
        <f t="shared" si="5"/>
        <v>0</v>
      </c>
      <c r="Y2849" s="168">
        <f t="shared" si="6"/>
        <v>0</v>
      </c>
      <c r="Z2849" s="168">
        <f t="shared" si="7"/>
        <v>0</v>
      </c>
      <c r="AA2849" s="168">
        <f t="shared" si="8"/>
        <v>0</v>
      </c>
      <c r="AB2849" s="168">
        <f t="shared" si="9"/>
        <v>0</v>
      </c>
    </row>
    <row r="2850" ht="15.0" customHeight="1">
      <c r="A2850" s="157" t="s">
        <v>10414</v>
      </c>
      <c r="B2850" s="169" t="s">
        <v>18</v>
      </c>
      <c r="C2850" s="158" t="s">
        <v>6853</v>
      </c>
      <c r="D2850" s="159">
        <v>45653.0</v>
      </c>
      <c r="E2850" s="157" t="s">
        <v>600</v>
      </c>
      <c r="F2850" s="160">
        <v>5517.43</v>
      </c>
      <c r="G2850" s="160">
        <f>'FACUS$'!$F2850*0.16</f>
        <v>882.7888</v>
      </c>
      <c r="H2850" s="160">
        <f t="shared" si="68"/>
        <v>6400.2188</v>
      </c>
      <c r="I2850" s="172"/>
      <c r="J2850" s="169"/>
      <c r="K2850" s="172"/>
      <c r="L2850" s="172">
        <f>+'FACUS$'!$H2850-'FACUS$'!$I2850-'FACUS$'!$K2850</f>
        <v>6400.2188</v>
      </c>
      <c r="M2850" s="162" t="s">
        <v>586</v>
      </c>
      <c r="N2850" s="337" t="s">
        <v>554</v>
      </c>
      <c r="O2850" s="338">
        <v>45694.0</v>
      </c>
      <c r="P2850" s="164">
        <f t="array" ref="P2850">XLOOKUP('FACUS$'!$B2850,'perfil de pagos'!$A$4:$A$46,'perfil de pagos'!$C$4:$C$46+'FACUS$'!$D2850)</f>
        <v>45663</v>
      </c>
      <c r="Q2850" s="165">
        <f t="shared" si="70"/>
        <v>0</v>
      </c>
      <c r="R2850" s="167"/>
      <c r="S2850" s="167">
        <v>3612.0</v>
      </c>
      <c r="T2850" s="167"/>
      <c r="U2850" s="334"/>
      <c r="V2850" s="168">
        <f t="shared" si="3"/>
        <v>6400.2188</v>
      </c>
      <c r="W2850" s="168">
        <f t="shared" si="4"/>
        <v>0</v>
      </c>
      <c r="X2850" s="168">
        <f t="shared" si="5"/>
        <v>0</v>
      </c>
      <c r="Y2850" s="168">
        <f t="shared" si="6"/>
        <v>0</v>
      </c>
      <c r="Z2850" s="168">
        <f t="shared" si="7"/>
        <v>0</v>
      </c>
      <c r="AA2850" s="168">
        <f t="shared" si="8"/>
        <v>0</v>
      </c>
      <c r="AB2850" s="168">
        <f t="shared" si="9"/>
        <v>0</v>
      </c>
    </row>
    <row r="2851" ht="15.0" customHeight="1">
      <c r="A2851" s="157" t="s">
        <v>10415</v>
      </c>
      <c r="B2851" s="169" t="s">
        <v>20</v>
      </c>
      <c r="C2851" s="158" t="s">
        <v>6853</v>
      </c>
      <c r="D2851" s="159">
        <v>45653.0</v>
      </c>
      <c r="E2851" s="157" t="s">
        <v>600</v>
      </c>
      <c r="F2851" s="160">
        <v>11600.2</v>
      </c>
      <c r="G2851" s="160">
        <f>'FACUS$'!$F2851*0.16</f>
        <v>1856.032</v>
      </c>
      <c r="H2851" s="160">
        <f t="shared" si="68"/>
        <v>13456.232</v>
      </c>
      <c r="I2851" s="172"/>
      <c r="J2851" s="169"/>
      <c r="K2851" s="172"/>
      <c r="L2851" s="172">
        <f>+'FACUS$'!$H2851-'FACUS$'!$I2851-'FACUS$'!$K2851</f>
        <v>13456.232</v>
      </c>
      <c r="M2851" s="162" t="s">
        <v>732</v>
      </c>
      <c r="N2851" s="337" t="s">
        <v>554</v>
      </c>
      <c r="O2851" s="338">
        <v>45694.0</v>
      </c>
      <c r="P2851" s="164">
        <f t="array" ref="P2851">XLOOKUP('FACUS$'!$B2851,'perfil de pagos'!$A$4:$A$46,'perfil de pagos'!$C$4:$C$46+'FACUS$'!$D2851)</f>
        <v>45663</v>
      </c>
      <c r="Q2851" s="165">
        <f t="shared" si="70"/>
        <v>0</v>
      </c>
      <c r="R2851" s="167"/>
      <c r="S2851" s="167">
        <v>3612.0</v>
      </c>
      <c r="T2851" s="167"/>
      <c r="U2851" s="334"/>
      <c r="V2851" s="168">
        <f t="shared" si="3"/>
        <v>13456.232</v>
      </c>
      <c r="W2851" s="168">
        <f t="shared" si="4"/>
        <v>0</v>
      </c>
      <c r="X2851" s="168">
        <f t="shared" si="5"/>
        <v>0</v>
      </c>
      <c r="Y2851" s="168">
        <f t="shared" si="6"/>
        <v>0</v>
      </c>
      <c r="Z2851" s="168">
        <f t="shared" si="7"/>
        <v>0</v>
      </c>
      <c r="AA2851" s="168">
        <f t="shared" si="8"/>
        <v>0</v>
      </c>
      <c r="AB2851" s="168">
        <f t="shared" si="9"/>
        <v>0</v>
      </c>
    </row>
    <row r="2852" ht="15.0" customHeight="1">
      <c r="A2852" s="157" t="s">
        <v>10416</v>
      </c>
      <c r="B2852" s="169" t="s">
        <v>25</v>
      </c>
      <c r="C2852" s="158" t="s">
        <v>6853</v>
      </c>
      <c r="D2852" s="159">
        <v>45653.0</v>
      </c>
      <c r="E2852" s="157" t="s">
        <v>600</v>
      </c>
      <c r="F2852" s="160">
        <v>5466.9</v>
      </c>
      <c r="G2852" s="160">
        <f>'FACUS$'!$F2852*0.16</f>
        <v>874.704</v>
      </c>
      <c r="H2852" s="160">
        <f t="shared" si="68"/>
        <v>6341.604</v>
      </c>
      <c r="I2852" s="172"/>
      <c r="J2852" s="169"/>
      <c r="K2852" s="172"/>
      <c r="L2852" s="172">
        <f>+'FACUS$'!$H2852-'FACUS$'!$I2852-'FACUS$'!$K2852</f>
        <v>6341.604</v>
      </c>
      <c r="M2852" s="162" t="s">
        <v>4388</v>
      </c>
      <c r="N2852" s="337" t="s">
        <v>554</v>
      </c>
      <c r="O2852" s="338">
        <v>45712.0</v>
      </c>
      <c r="P2852" s="164">
        <f t="array" ref="P2852">XLOOKUP('FACUS$'!$B2852,'perfil de pagos'!$A$4:$A$46,'perfil de pagos'!$C$4:$C$46+'FACUS$'!$D2852)</f>
        <v>45663</v>
      </c>
      <c r="Q2852" s="165">
        <f t="shared" si="70"/>
        <v>0</v>
      </c>
      <c r="R2852" s="167"/>
      <c r="S2852" s="167">
        <v>3642.0</v>
      </c>
      <c r="T2852" s="167"/>
      <c r="U2852" s="334"/>
      <c r="V2852" s="168">
        <f t="shared" si="3"/>
        <v>6341.604</v>
      </c>
      <c r="W2852" s="168">
        <f t="shared" si="4"/>
        <v>0</v>
      </c>
      <c r="X2852" s="168">
        <f t="shared" si="5"/>
        <v>0</v>
      </c>
      <c r="Y2852" s="168">
        <f t="shared" si="6"/>
        <v>0</v>
      </c>
      <c r="Z2852" s="168">
        <f t="shared" si="7"/>
        <v>0</v>
      </c>
      <c r="AA2852" s="168">
        <f t="shared" si="8"/>
        <v>0</v>
      </c>
      <c r="AB2852" s="168">
        <f t="shared" si="9"/>
        <v>0</v>
      </c>
    </row>
    <row r="2853" ht="15.0" customHeight="1">
      <c r="A2853" s="157" t="s">
        <v>10417</v>
      </c>
      <c r="B2853" s="169" t="s">
        <v>37</v>
      </c>
      <c r="C2853" s="158" t="s">
        <v>6853</v>
      </c>
      <c r="D2853" s="159">
        <v>45653.0</v>
      </c>
      <c r="E2853" s="157" t="s">
        <v>600</v>
      </c>
      <c r="F2853" s="160">
        <v>90645.3</v>
      </c>
      <c r="G2853" s="160">
        <f>'FACUS$'!$F2853*0.16</f>
        <v>14503.248</v>
      </c>
      <c r="H2853" s="160">
        <f t="shared" si="68"/>
        <v>105148.548</v>
      </c>
      <c r="I2853" s="172"/>
      <c r="J2853" s="169"/>
      <c r="K2853" s="172"/>
      <c r="L2853" s="172">
        <f>+'FACUS$'!$H2853-'FACUS$'!$I2853-'FACUS$'!$K2853</f>
        <v>105148.548</v>
      </c>
      <c r="M2853" s="162" t="s">
        <v>116</v>
      </c>
      <c r="N2853" s="337" t="s">
        <v>554</v>
      </c>
      <c r="O2853" s="338">
        <v>45663.0</v>
      </c>
      <c r="P2853" s="164">
        <f t="array" ref="P2853">XLOOKUP('FACUS$'!$B2853,'perfil de pagos'!$A$4:$A$46,'perfil de pagos'!$C$4:$C$46+'FACUS$'!$D2853)</f>
        <v>45663</v>
      </c>
      <c r="Q2853" s="165">
        <f t="shared" si="70"/>
        <v>0</v>
      </c>
      <c r="R2853" s="167"/>
      <c r="S2853" s="167"/>
      <c r="T2853" s="167"/>
      <c r="U2853" s="334"/>
      <c r="V2853" s="168">
        <f t="shared" si="3"/>
        <v>105148.548</v>
      </c>
      <c r="W2853" s="168">
        <f t="shared" si="4"/>
        <v>0</v>
      </c>
      <c r="X2853" s="168">
        <f t="shared" si="5"/>
        <v>0</v>
      </c>
      <c r="Y2853" s="168">
        <f t="shared" si="6"/>
        <v>0</v>
      </c>
      <c r="Z2853" s="168">
        <f t="shared" si="7"/>
        <v>0</v>
      </c>
      <c r="AA2853" s="168">
        <f t="shared" si="8"/>
        <v>0</v>
      </c>
      <c r="AB2853" s="168">
        <f t="shared" si="9"/>
        <v>0</v>
      </c>
    </row>
    <row r="2854" ht="15.0" customHeight="1">
      <c r="A2854" s="157" t="s">
        <v>10418</v>
      </c>
      <c r="B2854" s="169" t="s">
        <v>38</v>
      </c>
      <c r="C2854" s="158" t="s">
        <v>6853</v>
      </c>
      <c r="D2854" s="159">
        <v>45656.0</v>
      </c>
      <c r="E2854" s="157" t="s">
        <v>600</v>
      </c>
      <c r="F2854" s="160">
        <v>7790.5</v>
      </c>
      <c r="G2854" s="160">
        <f>'FACUS$'!$F2854*0.16</f>
        <v>1246.48</v>
      </c>
      <c r="H2854" s="160">
        <f t="shared" si="68"/>
        <v>9036.98</v>
      </c>
      <c r="I2854" s="172"/>
      <c r="J2854" s="169"/>
      <c r="K2854" s="172"/>
      <c r="L2854" s="172">
        <f>+'FACUS$'!$H2854-'FACUS$'!$I2854-'FACUS$'!$K2854</f>
        <v>9036.98</v>
      </c>
      <c r="M2854" s="162" t="s">
        <v>145</v>
      </c>
      <c r="N2854" s="337" t="s">
        <v>554</v>
      </c>
      <c r="O2854" s="338">
        <v>45672.0</v>
      </c>
      <c r="P2854" s="164">
        <f t="array" ref="P2854">XLOOKUP('FACUS$'!$B2854,'perfil de pagos'!$A$4:$A$46,'perfil de pagos'!$C$4:$C$46+'FACUS$'!$D2854)</f>
        <v>45686</v>
      </c>
      <c r="Q2854" s="165">
        <f t="shared" si="70"/>
        <v>0</v>
      </c>
      <c r="R2854" s="167"/>
      <c r="S2854" s="167">
        <v>3548.0</v>
      </c>
      <c r="T2854" s="167"/>
      <c r="U2854" s="334"/>
      <c r="V2854" s="168">
        <f t="shared" si="3"/>
        <v>9036.98</v>
      </c>
      <c r="W2854" s="168">
        <f t="shared" si="4"/>
        <v>0</v>
      </c>
      <c r="X2854" s="168">
        <f t="shared" si="5"/>
        <v>0</v>
      </c>
      <c r="Y2854" s="168">
        <f t="shared" si="6"/>
        <v>0</v>
      </c>
      <c r="Z2854" s="168">
        <f t="shared" si="7"/>
        <v>0</v>
      </c>
      <c r="AA2854" s="168">
        <f t="shared" si="8"/>
        <v>0</v>
      </c>
      <c r="AB2854" s="168">
        <f t="shared" si="9"/>
        <v>0</v>
      </c>
    </row>
    <row r="2855" ht="15.0" customHeight="1">
      <c r="A2855" s="157" t="s">
        <v>10419</v>
      </c>
      <c r="B2855" s="169" t="s">
        <v>32</v>
      </c>
      <c r="C2855" s="169" t="s">
        <v>10420</v>
      </c>
      <c r="D2855" s="317">
        <v>45656.0</v>
      </c>
      <c r="E2855" s="157" t="s">
        <v>600</v>
      </c>
      <c r="F2855" s="160">
        <v>50588.44</v>
      </c>
      <c r="G2855" s="160">
        <f>'FACUS$'!$F2855*0.16</f>
        <v>8094.1504</v>
      </c>
      <c r="H2855" s="160">
        <f t="shared" si="68"/>
        <v>58682.5904</v>
      </c>
      <c r="I2855" s="172"/>
      <c r="J2855" s="169"/>
      <c r="K2855" s="172"/>
      <c r="L2855" s="172">
        <f>+'FACUS$'!$H2855-'FACUS$'!$I2855-'FACUS$'!$K2855</f>
        <v>58682.5904</v>
      </c>
      <c r="M2855" s="162" t="s">
        <v>395</v>
      </c>
      <c r="N2855" s="337"/>
      <c r="O2855" s="338"/>
      <c r="P2855" s="164">
        <f t="array" ref="P2855">XLOOKUP('FACUS$'!$B2855,'perfil de pagos'!$A$4:$A$46,'perfil de pagos'!$C$4:$C$46+'FACUS$'!$D2855)</f>
        <v>45666</v>
      </c>
      <c r="Q2855" s="165">
        <f t="shared" si="70"/>
        <v>123</v>
      </c>
      <c r="R2855" s="167"/>
      <c r="S2855" s="167"/>
      <c r="T2855" s="167"/>
      <c r="U2855" s="334"/>
      <c r="V2855" s="168">
        <f t="shared" si="3"/>
        <v>0</v>
      </c>
      <c r="W2855" s="168">
        <f t="shared" si="4"/>
        <v>0</v>
      </c>
      <c r="X2855" s="168">
        <f t="shared" si="5"/>
        <v>0</v>
      </c>
      <c r="Y2855" s="168">
        <f t="shared" si="6"/>
        <v>0</v>
      </c>
      <c r="Z2855" s="168">
        <f t="shared" si="7"/>
        <v>0</v>
      </c>
      <c r="AA2855" s="168">
        <f t="shared" si="8"/>
        <v>0</v>
      </c>
      <c r="AB2855" s="168">
        <f t="shared" si="9"/>
        <v>58682.5904</v>
      </c>
    </row>
    <row r="2856" ht="15.0" customHeight="1">
      <c r="A2856" s="157" t="s">
        <v>10421</v>
      </c>
      <c r="B2856" s="169" t="s">
        <v>50</v>
      </c>
      <c r="C2856" s="158" t="s">
        <v>6897</v>
      </c>
      <c r="D2856" s="317">
        <v>45663.0</v>
      </c>
      <c r="E2856" s="157" t="s">
        <v>600</v>
      </c>
      <c r="F2856" s="160">
        <v>30691.07</v>
      </c>
      <c r="G2856" s="160">
        <f>'FACUS$'!$F2856*0.16</f>
        <v>4910.5712</v>
      </c>
      <c r="H2856" s="160">
        <f t="shared" si="68"/>
        <v>35601.6412</v>
      </c>
      <c r="I2856" s="172"/>
      <c r="J2856" s="169"/>
      <c r="K2856" s="172"/>
      <c r="L2856" s="172">
        <f>+'FACUS$'!$H2856-'FACUS$'!$I2856-'FACUS$'!$K2856</f>
        <v>35601.6412</v>
      </c>
      <c r="M2856" s="162" t="s">
        <v>570</v>
      </c>
      <c r="N2856" s="337" t="s">
        <v>554</v>
      </c>
      <c r="O2856" s="338">
        <v>45674.0</v>
      </c>
      <c r="P2856" s="164">
        <f t="array" ref="P2856">XLOOKUP('FACUS$'!$B2856,'perfil de pagos'!$A$4:$A$46,'perfil de pagos'!$C$4:$C$46+'FACUS$'!$D2856)</f>
        <v>45673</v>
      </c>
      <c r="Q2856" s="165">
        <f t="shared" si="70"/>
        <v>0</v>
      </c>
      <c r="R2856" s="167"/>
      <c r="S2856" s="167"/>
      <c r="T2856" s="167"/>
      <c r="U2856" s="334"/>
      <c r="V2856" s="168">
        <f t="shared" si="3"/>
        <v>35601.6412</v>
      </c>
      <c r="W2856" s="168">
        <f t="shared" si="4"/>
        <v>0</v>
      </c>
      <c r="X2856" s="168">
        <f t="shared" si="5"/>
        <v>0</v>
      </c>
      <c r="Y2856" s="168">
        <f t="shared" si="6"/>
        <v>0</v>
      </c>
      <c r="Z2856" s="168">
        <f t="shared" si="7"/>
        <v>0</v>
      </c>
      <c r="AA2856" s="168">
        <f t="shared" si="8"/>
        <v>0</v>
      </c>
      <c r="AB2856" s="168">
        <f t="shared" si="9"/>
        <v>0</v>
      </c>
    </row>
    <row r="2857" ht="15.0" customHeight="1">
      <c r="A2857" s="157" t="s">
        <v>10422</v>
      </c>
      <c r="B2857" s="169" t="s">
        <v>50</v>
      </c>
      <c r="C2857" s="158" t="s">
        <v>10423</v>
      </c>
      <c r="D2857" s="317">
        <v>45663.0</v>
      </c>
      <c r="E2857" s="157" t="s">
        <v>600</v>
      </c>
      <c r="F2857" s="160">
        <v>32747.52</v>
      </c>
      <c r="G2857" s="160">
        <f>'FACUS$'!$F2857*0.16</f>
        <v>5239.6032</v>
      </c>
      <c r="H2857" s="160">
        <f t="shared" si="68"/>
        <v>37987.1232</v>
      </c>
      <c r="I2857" s="172"/>
      <c r="J2857" s="169"/>
      <c r="K2857" s="172"/>
      <c r="L2857" s="172">
        <f>+'FACUS$'!$H2857-'FACUS$'!$I2857-'FACUS$'!$K2857</f>
        <v>37987.1232</v>
      </c>
      <c r="M2857" s="162" t="s">
        <v>570</v>
      </c>
      <c r="N2857" s="337" t="s">
        <v>554</v>
      </c>
      <c r="O2857" s="338">
        <v>45681.0</v>
      </c>
      <c r="P2857" s="164">
        <f t="array" ref="P2857">XLOOKUP('FACUS$'!$B2857,'perfil de pagos'!$A$4:$A$46,'perfil de pagos'!$C$4:$C$46+'FACUS$'!$D2857)</f>
        <v>45673</v>
      </c>
      <c r="Q2857" s="165">
        <f t="shared" si="70"/>
        <v>0</v>
      </c>
      <c r="R2857" s="167"/>
      <c r="S2857" s="167">
        <v>3567.0</v>
      </c>
      <c r="T2857" s="167"/>
      <c r="U2857" s="334"/>
      <c r="V2857" s="168">
        <f t="shared" si="3"/>
        <v>37987.1232</v>
      </c>
      <c r="W2857" s="168">
        <f t="shared" si="4"/>
        <v>0</v>
      </c>
      <c r="X2857" s="168">
        <f t="shared" si="5"/>
        <v>0</v>
      </c>
      <c r="Y2857" s="168">
        <f t="shared" si="6"/>
        <v>0</v>
      </c>
      <c r="Z2857" s="168">
        <f t="shared" si="7"/>
        <v>0</v>
      </c>
      <c r="AA2857" s="168">
        <f t="shared" si="8"/>
        <v>0</v>
      </c>
      <c r="AB2857" s="168">
        <f t="shared" si="9"/>
        <v>0</v>
      </c>
    </row>
    <row r="2858" ht="15.0" customHeight="1">
      <c r="A2858" s="157" t="s">
        <v>10424</v>
      </c>
      <c r="B2858" s="169" t="s">
        <v>41</v>
      </c>
      <c r="C2858" s="158" t="s">
        <v>10423</v>
      </c>
      <c r="D2858" s="317">
        <v>45663.0</v>
      </c>
      <c r="E2858" s="157" t="s">
        <v>600</v>
      </c>
      <c r="F2858" s="160">
        <v>157912.07</v>
      </c>
      <c r="G2858" s="160">
        <f>'FACUS$'!$F2858*0.16</f>
        <v>25265.9312</v>
      </c>
      <c r="H2858" s="160">
        <f t="shared" si="68"/>
        <v>183178.0012</v>
      </c>
      <c r="I2858" s="172"/>
      <c r="J2858" s="169"/>
      <c r="K2858" s="172"/>
      <c r="L2858" s="172">
        <f>+'FACUS$'!$H2858-'FACUS$'!$I2858-'FACUS$'!$K2858</f>
        <v>183178.0012</v>
      </c>
      <c r="M2858" s="162" t="s">
        <v>875</v>
      </c>
      <c r="N2858" s="337" t="s">
        <v>554</v>
      </c>
      <c r="O2858" s="338">
        <v>45709.0</v>
      </c>
      <c r="P2858" s="164">
        <f t="array" ref="P2858">XLOOKUP('FACUS$'!$B2858,'perfil de pagos'!$A$4:$A$46,'perfil de pagos'!$C$4:$C$46+'FACUS$'!$D2858)</f>
        <v>45673</v>
      </c>
      <c r="Q2858" s="165">
        <f t="shared" si="70"/>
        <v>0</v>
      </c>
      <c r="R2858" s="167"/>
      <c r="S2858" s="167">
        <v>3636.0</v>
      </c>
      <c r="T2858" s="167"/>
      <c r="U2858" s="334"/>
      <c r="V2858" s="168">
        <f t="shared" si="3"/>
        <v>183178.0012</v>
      </c>
      <c r="W2858" s="168">
        <f t="shared" si="4"/>
        <v>0</v>
      </c>
      <c r="X2858" s="168">
        <f t="shared" si="5"/>
        <v>0</v>
      </c>
      <c r="Y2858" s="168">
        <f t="shared" si="6"/>
        <v>0</v>
      </c>
      <c r="Z2858" s="168">
        <f t="shared" si="7"/>
        <v>0</v>
      </c>
      <c r="AA2858" s="168">
        <f t="shared" si="8"/>
        <v>0</v>
      </c>
      <c r="AB2858" s="168">
        <f t="shared" si="9"/>
        <v>0</v>
      </c>
    </row>
    <row r="2859" ht="15.0" customHeight="1">
      <c r="A2859" s="157" t="s">
        <v>10425</v>
      </c>
      <c r="B2859" s="169" t="s">
        <v>52</v>
      </c>
      <c r="C2859" s="158" t="s">
        <v>6897</v>
      </c>
      <c r="D2859" s="317">
        <v>45663.0</v>
      </c>
      <c r="E2859" s="157" t="s">
        <v>600</v>
      </c>
      <c r="F2859" s="160">
        <v>11041.96</v>
      </c>
      <c r="G2859" s="160">
        <f>'FACUS$'!$F2859*0.16</f>
        <v>1766.7136</v>
      </c>
      <c r="H2859" s="160">
        <f t="shared" si="68"/>
        <v>12808.6736</v>
      </c>
      <c r="I2859" s="172"/>
      <c r="J2859" s="169"/>
      <c r="K2859" s="172"/>
      <c r="L2859" s="172">
        <f>+'FACUS$'!$H2859-'FACUS$'!$I2859-'FACUS$'!$K2859</f>
        <v>12808.6736</v>
      </c>
      <c r="M2859" s="162" t="s">
        <v>10309</v>
      </c>
      <c r="N2859" s="337" t="s">
        <v>554</v>
      </c>
      <c r="O2859" s="338">
        <v>45688.0</v>
      </c>
      <c r="P2859" s="164">
        <f t="array" ref="P2859">XLOOKUP('FACUS$'!$B2859,'perfil de pagos'!$A$4:$A$46,'perfil de pagos'!$C$4:$C$46+'FACUS$'!$D2859)</f>
        <v>45678</v>
      </c>
      <c r="Q2859" s="165">
        <f t="shared" si="70"/>
        <v>0</v>
      </c>
      <c r="R2859" s="167"/>
      <c r="S2859" s="167"/>
      <c r="T2859" s="167"/>
      <c r="U2859" s="334"/>
      <c r="V2859" s="168">
        <f t="shared" si="3"/>
        <v>12808.6736</v>
      </c>
      <c r="W2859" s="168">
        <f t="shared" si="4"/>
        <v>0</v>
      </c>
      <c r="X2859" s="168">
        <f t="shared" si="5"/>
        <v>0</v>
      </c>
      <c r="Y2859" s="168">
        <f t="shared" si="6"/>
        <v>0</v>
      </c>
      <c r="Z2859" s="168">
        <f t="shared" si="7"/>
        <v>0</v>
      </c>
      <c r="AA2859" s="168">
        <f t="shared" si="8"/>
        <v>0</v>
      </c>
      <c r="AB2859" s="168">
        <f t="shared" si="9"/>
        <v>0</v>
      </c>
    </row>
    <row r="2860" ht="15.0" customHeight="1">
      <c r="A2860" s="157" t="s">
        <v>10426</v>
      </c>
      <c r="B2860" s="169" t="s">
        <v>52</v>
      </c>
      <c r="C2860" s="158" t="s">
        <v>10423</v>
      </c>
      <c r="D2860" s="317">
        <v>45663.0</v>
      </c>
      <c r="E2860" s="157" t="s">
        <v>600</v>
      </c>
      <c r="F2860" s="160">
        <v>6861.13</v>
      </c>
      <c r="G2860" s="160">
        <f>'FACUS$'!$F2860*0.16</f>
        <v>1097.7808</v>
      </c>
      <c r="H2860" s="160">
        <f t="shared" si="68"/>
        <v>7958.9108</v>
      </c>
      <c r="I2860" s="172"/>
      <c r="J2860" s="169"/>
      <c r="K2860" s="172"/>
      <c r="L2860" s="172">
        <f>+'FACUS$'!$H2860-'FACUS$'!$I2860-'FACUS$'!$K2860</f>
        <v>7958.9108</v>
      </c>
      <c r="M2860" s="162" t="s">
        <v>10309</v>
      </c>
      <c r="N2860" s="337" t="s">
        <v>554</v>
      </c>
      <c r="O2860" s="338">
        <v>45709.0</v>
      </c>
      <c r="P2860" s="164">
        <f t="array" ref="P2860">XLOOKUP('FACUS$'!$B2860,'perfil de pagos'!$A$4:$A$46,'perfil de pagos'!$C$4:$C$46+'FACUS$'!$D2860)</f>
        <v>45678</v>
      </c>
      <c r="Q2860" s="165">
        <f t="shared" si="70"/>
        <v>0</v>
      </c>
      <c r="R2860" s="167"/>
      <c r="S2860" s="167">
        <v>3633.0</v>
      </c>
      <c r="T2860" s="167"/>
      <c r="U2860" s="334"/>
      <c r="V2860" s="168">
        <f t="shared" si="3"/>
        <v>7958.9108</v>
      </c>
      <c r="W2860" s="168">
        <f t="shared" si="4"/>
        <v>0</v>
      </c>
      <c r="X2860" s="168">
        <f t="shared" si="5"/>
        <v>0</v>
      </c>
      <c r="Y2860" s="168">
        <f t="shared" si="6"/>
        <v>0</v>
      </c>
      <c r="Z2860" s="168">
        <f t="shared" si="7"/>
        <v>0</v>
      </c>
      <c r="AA2860" s="168">
        <f t="shared" si="8"/>
        <v>0</v>
      </c>
      <c r="AB2860" s="168">
        <f t="shared" si="9"/>
        <v>0</v>
      </c>
    </row>
    <row r="2861" ht="15.0" customHeight="1">
      <c r="A2861" s="157" t="s">
        <v>10427</v>
      </c>
      <c r="B2861" s="169" t="s">
        <v>35</v>
      </c>
      <c r="C2861" s="158" t="s">
        <v>10423</v>
      </c>
      <c r="D2861" s="317">
        <v>45663.0</v>
      </c>
      <c r="E2861" s="157" t="s">
        <v>600</v>
      </c>
      <c r="F2861" s="160">
        <v>20047.63</v>
      </c>
      <c r="G2861" s="160">
        <f>'FACUS$'!$F2861*0.16</f>
        <v>3207.6208</v>
      </c>
      <c r="H2861" s="160">
        <f t="shared" si="68"/>
        <v>23255.2508</v>
      </c>
      <c r="I2861" s="172"/>
      <c r="J2861" s="169"/>
      <c r="K2861" s="172"/>
      <c r="L2861" s="172">
        <f>+'FACUS$'!$H2861-'FACUS$'!$I2861-'FACUS$'!$K2861</f>
        <v>23255.2508</v>
      </c>
      <c r="M2861" s="162" t="s">
        <v>276</v>
      </c>
      <c r="N2861" s="337" t="s">
        <v>554</v>
      </c>
      <c r="O2861" s="338">
        <v>45681.0</v>
      </c>
      <c r="P2861" s="164">
        <f t="array" ref="P2861">XLOOKUP('FACUS$'!$B2861,'perfil de pagos'!$A$4:$A$46,'perfil de pagos'!$C$4:$C$46+'FACUS$'!$D2861)</f>
        <v>45673</v>
      </c>
      <c r="Q2861" s="165">
        <f t="shared" si="70"/>
        <v>0</v>
      </c>
      <c r="R2861" s="167"/>
      <c r="S2861" s="167">
        <v>3568.0</v>
      </c>
      <c r="T2861" s="167"/>
      <c r="U2861" s="334"/>
      <c r="V2861" s="168">
        <f t="shared" si="3"/>
        <v>23255.2508</v>
      </c>
      <c r="W2861" s="168">
        <f t="shared" si="4"/>
        <v>0</v>
      </c>
      <c r="X2861" s="168">
        <f t="shared" si="5"/>
        <v>0</v>
      </c>
      <c r="Y2861" s="168">
        <f t="shared" si="6"/>
        <v>0</v>
      </c>
      <c r="Z2861" s="168">
        <f t="shared" si="7"/>
        <v>0</v>
      </c>
      <c r="AA2861" s="168">
        <f t="shared" si="8"/>
        <v>0</v>
      </c>
      <c r="AB2861" s="168">
        <f t="shared" si="9"/>
        <v>0</v>
      </c>
    </row>
    <row r="2862" ht="15.0" customHeight="1">
      <c r="A2862" s="299" t="s">
        <v>10428</v>
      </c>
      <c r="B2862" s="300" t="s">
        <v>17</v>
      </c>
      <c r="C2862" s="300" t="s">
        <v>6897</v>
      </c>
      <c r="D2862" s="407">
        <v>45663.0</v>
      </c>
      <c r="E2862" s="299" t="s">
        <v>600</v>
      </c>
      <c r="F2862" s="302">
        <v>40124.49</v>
      </c>
      <c r="G2862" s="302">
        <f>'FACUS$'!$F2862*0.16</f>
        <v>6419.9184</v>
      </c>
      <c r="H2862" s="302">
        <f t="shared" si="68"/>
        <v>46544.4084</v>
      </c>
      <c r="I2862" s="408"/>
      <c r="J2862" s="300"/>
      <c r="K2862" s="408"/>
      <c r="L2862" s="408">
        <f>+'FACUS$'!$H2862-'FACUS$'!$I2862-'FACUS$'!$K2862</f>
        <v>46544.4084</v>
      </c>
      <c r="M2862" s="305" t="s">
        <v>17</v>
      </c>
      <c r="N2862" s="409" t="s">
        <v>127</v>
      </c>
      <c r="O2862" s="410"/>
      <c r="P2862" s="306">
        <f t="array" ref="P2862">XLOOKUP('FACUS$'!$B2862,'perfil de pagos'!$A$4:$A$46,'perfil de pagos'!$C$4:$C$46+'FACUS$'!$D2862)</f>
        <v>45673</v>
      </c>
      <c r="Q2862" s="307" t="str">
        <f t="shared" si="70"/>
        <v>N/A</v>
      </c>
      <c r="R2862" s="308"/>
      <c r="S2862" s="308"/>
      <c r="T2862" s="308"/>
      <c r="U2862" s="411"/>
      <c r="V2862" s="309">
        <f t="shared" si="3"/>
        <v>0</v>
      </c>
      <c r="W2862" s="309">
        <f t="shared" si="4"/>
        <v>0</v>
      </c>
      <c r="X2862" s="309">
        <f t="shared" si="5"/>
        <v>0</v>
      </c>
      <c r="Y2862" s="309">
        <f t="shared" si="6"/>
        <v>0</v>
      </c>
      <c r="Z2862" s="309">
        <f t="shared" si="7"/>
        <v>0</v>
      </c>
      <c r="AA2862" s="309">
        <f t="shared" si="8"/>
        <v>0</v>
      </c>
      <c r="AB2862" s="309">
        <f t="shared" si="9"/>
        <v>46544.4084</v>
      </c>
    </row>
    <row r="2863" ht="15.0" customHeight="1">
      <c r="A2863" s="157" t="s">
        <v>10429</v>
      </c>
      <c r="B2863" s="169" t="s">
        <v>17</v>
      </c>
      <c r="C2863" s="158" t="s">
        <v>10423</v>
      </c>
      <c r="D2863" s="317">
        <v>45663.0</v>
      </c>
      <c r="E2863" s="157" t="s">
        <v>600</v>
      </c>
      <c r="F2863" s="160">
        <v>55398.32</v>
      </c>
      <c r="G2863" s="160">
        <f>'FACUS$'!$F2863*0.16</f>
        <v>8863.7312</v>
      </c>
      <c r="H2863" s="160">
        <f t="shared" si="68"/>
        <v>64262.0512</v>
      </c>
      <c r="I2863" s="172"/>
      <c r="J2863" s="169"/>
      <c r="K2863" s="172"/>
      <c r="L2863" s="172">
        <f>+'FACUS$'!$H2863-'FACUS$'!$I2863-'FACUS$'!$K2863</f>
        <v>64262.0512</v>
      </c>
      <c r="M2863" s="162" t="s">
        <v>17</v>
      </c>
      <c r="N2863" s="337" t="s">
        <v>554</v>
      </c>
      <c r="O2863" s="338">
        <v>45685.0</v>
      </c>
      <c r="P2863" s="164">
        <f t="array" ref="P2863">XLOOKUP('FACUS$'!$B2863,'perfil de pagos'!$A$4:$A$46,'perfil de pagos'!$C$4:$C$46+'FACUS$'!$D2863)</f>
        <v>45673</v>
      </c>
      <c r="Q2863" s="165">
        <f t="shared" si="70"/>
        <v>0</v>
      </c>
      <c r="R2863" s="167"/>
      <c r="S2863" s="167">
        <v>3574.0</v>
      </c>
      <c r="T2863" s="167"/>
      <c r="U2863" s="334"/>
      <c r="V2863" s="168">
        <f t="shared" si="3"/>
        <v>64262.0512</v>
      </c>
      <c r="W2863" s="168">
        <f t="shared" si="4"/>
        <v>0</v>
      </c>
      <c r="X2863" s="168">
        <f t="shared" si="5"/>
        <v>0</v>
      </c>
      <c r="Y2863" s="168">
        <f t="shared" si="6"/>
        <v>0</v>
      </c>
      <c r="Z2863" s="168">
        <f t="shared" si="7"/>
        <v>0</v>
      </c>
      <c r="AA2863" s="168">
        <f t="shared" si="8"/>
        <v>0</v>
      </c>
      <c r="AB2863" s="168">
        <f t="shared" si="9"/>
        <v>0</v>
      </c>
    </row>
    <row r="2864" ht="15.0" customHeight="1">
      <c r="A2864" s="157" t="s">
        <v>10430</v>
      </c>
      <c r="B2864" s="169" t="s">
        <v>42</v>
      </c>
      <c r="C2864" s="158" t="s">
        <v>10423</v>
      </c>
      <c r="D2864" s="317">
        <v>45663.0</v>
      </c>
      <c r="E2864" s="157" t="s">
        <v>600</v>
      </c>
      <c r="F2864" s="160">
        <v>20673.25</v>
      </c>
      <c r="G2864" s="160">
        <f>'FACUS$'!$F2864*0.16</f>
        <v>3307.72</v>
      </c>
      <c r="H2864" s="160">
        <f t="shared" si="68"/>
        <v>23980.97</v>
      </c>
      <c r="I2864" s="172"/>
      <c r="J2864" s="169"/>
      <c r="K2864" s="172"/>
      <c r="L2864" s="172">
        <f>+'FACUS$'!$H2864-'FACUS$'!$I2864-'FACUS$'!$K2864</f>
        <v>23980.97</v>
      </c>
      <c r="M2864" s="162" t="s">
        <v>42</v>
      </c>
      <c r="N2864" s="337" t="s">
        <v>554</v>
      </c>
      <c r="O2864" s="338">
        <v>45687.0</v>
      </c>
      <c r="P2864" s="164">
        <f t="array" ref="P2864">XLOOKUP('FACUS$'!$B2864,'perfil de pagos'!$A$4:$A$46,'perfil de pagos'!$C$4:$C$46+'FACUS$'!$D2864)</f>
        <v>45673</v>
      </c>
      <c r="Q2864" s="165">
        <f t="shared" si="70"/>
        <v>0</v>
      </c>
      <c r="R2864" s="167"/>
      <c r="S2864" s="167"/>
      <c r="T2864" s="167"/>
      <c r="U2864" s="334"/>
      <c r="V2864" s="168">
        <f t="shared" si="3"/>
        <v>23980.97</v>
      </c>
      <c r="W2864" s="168">
        <f t="shared" si="4"/>
        <v>0</v>
      </c>
      <c r="X2864" s="168">
        <f t="shared" si="5"/>
        <v>0</v>
      </c>
      <c r="Y2864" s="168">
        <f t="shared" si="6"/>
        <v>0</v>
      </c>
      <c r="Z2864" s="168">
        <f t="shared" si="7"/>
        <v>0</v>
      </c>
      <c r="AA2864" s="168">
        <f t="shared" si="8"/>
        <v>0</v>
      </c>
      <c r="AB2864" s="168">
        <f t="shared" si="9"/>
        <v>0</v>
      </c>
    </row>
    <row r="2865" ht="15.0" customHeight="1">
      <c r="A2865" s="157" t="s">
        <v>10431</v>
      </c>
      <c r="B2865" s="169" t="s">
        <v>44</v>
      </c>
      <c r="C2865" s="158" t="s">
        <v>10423</v>
      </c>
      <c r="D2865" s="317">
        <v>45663.0</v>
      </c>
      <c r="E2865" s="157" t="s">
        <v>600</v>
      </c>
      <c r="F2865" s="160">
        <v>20889.91</v>
      </c>
      <c r="G2865" s="160">
        <f>'FACUS$'!$F2865*0.16</f>
        <v>3342.3856</v>
      </c>
      <c r="H2865" s="160">
        <f t="shared" si="68"/>
        <v>24232.2956</v>
      </c>
      <c r="I2865" s="172"/>
      <c r="J2865" s="169"/>
      <c r="K2865" s="172"/>
      <c r="L2865" s="172">
        <f>+'FACUS$'!$H2865-'FACUS$'!$I2865-'FACUS$'!$K2865</f>
        <v>24232.2956</v>
      </c>
      <c r="M2865" s="162" t="s">
        <v>361</v>
      </c>
      <c r="N2865" s="337" t="s">
        <v>554</v>
      </c>
      <c r="O2865" s="338">
        <v>45667.0</v>
      </c>
      <c r="P2865" s="164">
        <f t="array" ref="P2865">XLOOKUP('FACUS$'!$B2865,'perfil de pagos'!$A$4:$A$46,'perfil de pagos'!$C$4:$C$46+'FACUS$'!$D2865)</f>
        <v>45673</v>
      </c>
      <c r="Q2865" s="165">
        <f t="shared" si="70"/>
        <v>0</v>
      </c>
      <c r="R2865" s="167"/>
      <c r="S2865" s="167">
        <v>3540.0</v>
      </c>
      <c r="T2865" s="167"/>
      <c r="U2865" s="334"/>
      <c r="V2865" s="168">
        <f t="shared" si="3"/>
        <v>24232.2956</v>
      </c>
      <c r="W2865" s="168">
        <f t="shared" si="4"/>
        <v>0</v>
      </c>
      <c r="X2865" s="168">
        <f t="shared" si="5"/>
        <v>0</v>
      </c>
      <c r="Y2865" s="168">
        <f t="shared" si="6"/>
        <v>0</v>
      </c>
      <c r="Z2865" s="168">
        <f t="shared" si="7"/>
        <v>0</v>
      </c>
      <c r="AA2865" s="168">
        <f t="shared" si="8"/>
        <v>0</v>
      </c>
      <c r="AB2865" s="168">
        <f t="shared" si="9"/>
        <v>0</v>
      </c>
    </row>
    <row r="2866" ht="15.0" customHeight="1">
      <c r="A2866" s="157" t="s">
        <v>10432</v>
      </c>
      <c r="B2866" s="169" t="s">
        <v>17</v>
      </c>
      <c r="C2866" s="158" t="s">
        <v>6897</v>
      </c>
      <c r="D2866" s="317">
        <v>45664.0</v>
      </c>
      <c r="E2866" s="157" t="s">
        <v>600</v>
      </c>
      <c r="F2866" s="160">
        <v>40124.48</v>
      </c>
      <c r="G2866" s="160">
        <f>'FACUS$'!$F2866*0.16</f>
        <v>6419.9168</v>
      </c>
      <c r="H2866" s="160">
        <f t="shared" si="68"/>
        <v>46544.3968</v>
      </c>
      <c r="I2866" s="172"/>
      <c r="J2866" s="169"/>
      <c r="K2866" s="172"/>
      <c r="L2866" s="172">
        <f>+'FACUS$'!$H2866-'FACUS$'!$I2866-'FACUS$'!$K2866</f>
        <v>46544.3968</v>
      </c>
      <c r="M2866" s="162" t="s">
        <v>17</v>
      </c>
      <c r="N2866" s="337" t="s">
        <v>554</v>
      </c>
      <c r="O2866" s="338">
        <v>45685.0</v>
      </c>
      <c r="P2866" s="164">
        <f t="array" ref="P2866">XLOOKUP('FACUS$'!$B2866,'perfil de pagos'!$A$4:$A$46,'perfil de pagos'!$C$4:$C$46+'FACUS$'!$D2866)</f>
        <v>45674</v>
      </c>
      <c r="Q2866" s="165">
        <f t="shared" si="70"/>
        <v>0</v>
      </c>
      <c r="R2866" s="167"/>
      <c r="S2866" s="167">
        <v>3574.0</v>
      </c>
      <c r="T2866" s="167"/>
      <c r="U2866" s="334"/>
      <c r="V2866" s="168">
        <f t="shared" si="3"/>
        <v>46544.3968</v>
      </c>
      <c r="W2866" s="168">
        <f t="shared" si="4"/>
        <v>0</v>
      </c>
      <c r="X2866" s="168">
        <f t="shared" si="5"/>
        <v>0</v>
      </c>
      <c r="Y2866" s="168">
        <f t="shared" si="6"/>
        <v>0</v>
      </c>
      <c r="Z2866" s="168">
        <f t="shared" si="7"/>
        <v>0</v>
      </c>
      <c r="AA2866" s="168">
        <f t="shared" si="8"/>
        <v>0</v>
      </c>
      <c r="AB2866" s="168">
        <f t="shared" si="9"/>
        <v>0</v>
      </c>
    </row>
    <row r="2867" ht="15.0" customHeight="1">
      <c r="A2867" s="157" t="s">
        <v>10433</v>
      </c>
      <c r="B2867" s="169" t="s">
        <v>18</v>
      </c>
      <c r="C2867" s="158" t="s">
        <v>10423</v>
      </c>
      <c r="D2867" s="317">
        <v>45664.0</v>
      </c>
      <c r="E2867" s="157" t="s">
        <v>600</v>
      </c>
      <c r="F2867" s="160">
        <v>6200.87</v>
      </c>
      <c r="G2867" s="160">
        <f>'FACUS$'!$F2867*0.16</f>
        <v>992.1392</v>
      </c>
      <c r="H2867" s="160">
        <f t="shared" si="68"/>
        <v>7193.0092</v>
      </c>
      <c r="I2867" s="172"/>
      <c r="J2867" s="169"/>
      <c r="K2867" s="172"/>
      <c r="L2867" s="172">
        <f>+'FACUS$'!$H2867-'FACUS$'!$I2867-'FACUS$'!$K2867</f>
        <v>7193.0092</v>
      </c>
      <c r="M2867" s="162" t="s">
        <v>586</v>
      </c>
      <c r="N2867" s="337" t="s">
        <v>554</v>
      </c>
      <c r="O2867" s="338">
        <v>45694.0</v>
      </c>
      <c r="P2867" s="164">
        <f t="array" ref="P2867">XLOOKUP('FACUS$'!$B2867,'perfil de pagos'!$A$4:$A$46,'perfil de pagos'!$C$4:$C$46+'FACUS$'!$D2867)</f>
        <v>45674</v>
      </c>
      <c r="Q2867" s="165">
        <f t="shared" si="70"/>
        <v>0</v>
      </c>
      <c r="R2867" s="167"/>
      <c r="S2867" s="167">
        <v>3612.0</v>
      </c>
      <c r="T2867" s="167"/>
      <c r="U2867" s="334"/>
      <c r="V2867" s="168">
        <f t="shared" si="3"/>
        <v>7193.0092</v>
      </c>
      <c r="W2867" s="168">
        <f t="shared" si="4"/>
        <v>0</v>
      </c>
      <c r="X2867" s="168">
        <f t="shared" si="5"/>
        <v>0</v>
      </c>
      <c r="Y2867" s="168">
        <f t="shared" si="6"/>
        <v>0</v>
      </c>
      <c r="Z2867" s="168">
        <f t="shared" si="7"/>
        <v>0</v>
      </c>
      <c r="AA2867" s="168">
        <f t="shared" si="8"/>
        <v>0</v>
      </c>
      <c r="AB2867" s="168">
        <f t="shared" si="9"/>
        <v>0</v>
      </c>
    </row>
    <row r="2868" ht="15.0" customHeight="1">
      <c r="A2868" s="157" t="s">
        <v>10434</v>
      </c>
      <c r="B2868" s="169" t="s">
        <v>20</v>
      </c>
      <c r="C2868" s="158" t="s">
        <v>10423</v>
      </c>
      <c r="D2868" s="317">
        <v>45664.0</v>
      </c>
      <c r="E2868" s="157" t="s">
        <v>600</v>
      </c>
      <c r="F2868" s="160">
        <v>14311.36</v>
      </c>
      <c r="G2868" s="160">
        <f>'FACUS$'!$F2868*0.16</f>
        <v>2289.8176</v>
      </c>
      <c r="H2868" s="160">
        <f t="shared" si="68"/>
        <v>16601.1776</v>
      </c>
      <c r="I2868" s="172"/>
      <c r="J2868" s="169"/>
      <c r="K2868" s="172"/>
      <c r="L2868" s="172">
        <f>+'FACUS$'!$H2868-'FACUS$'!$I2868-'FACUS$'!$K2868</f>
        <v>16601.1776</v>
      </c>
      <c r="M2868" s="162" t="s">
        <v>732</v>
      </c>
      <c r="N2868" s="337" t="s">
        <v>554</v>
      </c>
      <c r="O2868" s="338">
        <v>45694.0</v>
      </c>
      <c r="P2868" s="164">
        <f t="array" ref="P2868">XLOOKUP('FACUS$'!$B2868,'perfil de pagos'!$A$4:$A$46,'perfil de pagos'!$C$4:$C$46+'FACUS$'!$D2868)</f>
        <v>45674</v>
      </c>
      <c r="Q2868" s="165">
        <f t="shared" si="70"/>
        <v>0</v>
      </c>
      <c r="R2868" s="167"/>
      <c r="S2868" s="167">
        <v>3612.0</v>
      </c>
      <c r="T2868" s="167"/>
      <c r="U2868" s="334"/>
      <c r="V2868" s="168">
        <f t="shared" si="3"/>
        <v>16601.1776</v>
      </c>
      <c r="W2868" s="168">
        <f t="shared" si="4"/>
        <v>0</v>
      </c>
      <c r="X2868" s="168">
        <f t="shared" si="5"/>
        <v>0</v>
      </c>
      <c r="Y2868" s="168">
        <f t="shared" si="6"/>
        <v>0</v>
      </c>
      <c r="Z2868" s="168">
        <f t="shared" si="7"/>
        <v>0</v>
      </c>
      <c r="AA2868" s="168">
        <f t="shared" si="8"/>
        <v>0</v>
      </c>
      <c r="AB2868" s="168">
        <f t="shared" si="9"/>
        <v>0</v>
      </c>
    </row>
    <row r="2869" ht="15.0" customHeight="1">
      <c r="A2869" s="157" t="s">
        <v>10435</v>
      </c>
      <c r="B2869" s="169" t="s">
        <v>25</v>
      </c>
      <c r="C2869" s="158" t="s">
        <v>10423</v>
      </c>
      <c r="D2869" s="317">
        <v>45664.0</v>
      </c>
      <c r="E2869" s="157" t="s">
        <v>600</v>
      </c>
      <c r="F2869" s="160">
        <v>5971.19</v>
      </c>
      <c r="G2869" s="160">
        <f>'FACUS$'!$F2869*0.16</f>
        <v>955.3904</v>
      </c>
      <c r="H2869" s="160">
        <f t="shared" si="68"/>
        <v>6926.5804</v>
      </c>
      <c r="I2869" s="172"/>
      <c r="J2869" s="169"/>
      <c r="K2869" s="172"/>
      <c r="L2869" s="172">
        <f>+'FACUS$'!$H2869-'FACUS$'!$I2869-'FACUS$'!$K2869</f>
        <v>6926.5804</v>
      </c>
      <c r="M2869" s="162" t="s">
        <v>4388</v>
      </c>
      <c r="N2869" s="337" t="s">
        <v>554</v>
      </c>
      <c r="O2869" s="338">
        <v>45712.0</v>
      </c>
      <c r="P2869" s="164">
        <f t="array" ref="P2869">XLOOKUP('FACUS$'!$B2869,'perfil de pagos'!$A$4:$A$46,'perfil de pagos'!$C$4:$C$46+'FACUS$'!$D2869)</f>
        <v>45674</v>
      </c>
      <c r="Q2869" s="165">
        <f t="shared" si="70"/>
        <v>0</v>
      </c>
      <c r="R2869" s="167"/>
      <c r="S2869" s="167">
        <v>3642.0</v>
      </c>
      <c r="T2869" s="167"/>
      <c r="U2869" s="334"/>
      <c r="V2869" s="168">
        <f t="shared" si="3"/>
        <v>6926.5804</v>
      </c>
      <c r="W2869" s="168">
        <f t="shared" si="4"/>
        <v>0</v>
      </c>
      <c r="X2869" s="168">
        <f t="shared" si="5"/>
        <v>0</v>
      </c>
      <c r="Y2869" s="168">
        <f t="shared" si="6"/>
        <v>0</v>
      </c>
      <c r="Z2869" s="168">
        <f t="shared" si="7"/>
        <v>0</v>
      </c>
      <c r="AA2869" s="168">
        <f t="shared" si="8"/>
        <v>0</v>
      </c>
      <c r="AB2869" s="168">
        <f t="shared" si="9"/>
        <v>0</v>
      </c>
    </row>
    <row r="2870" ht="15.0" customHeight="1">
      <c r="A2870" s="157" t="s">
        <v>10436</v>
      </c>
      <c r="B2870" s="169" t="s">
        <v>37</v>
      </c>
      <c r="C2870" s="158" t="s">
        <v>10423</v>
      </c>
      <c r="D2870" s="317">
        <v>45664.0</v>
      </c>
      <c r="E2870" s="157" t="s">
        <v>600</v>
      </c>
      <c r="F2870" s="160">
        <v>103407.0</v>
      </c>
      <c r="G2870" s="160">
        <f>'FACUS$'!$F2870*0.16</f>
        <v>16545.12</v>
      </c>
      <c r="H2870" s="160">
        <f t="shared" si="68"/>
        <v>119952.12</v>
      </c>
      <c r="I2870" s="172"/>
      <c r="J2870" s="169"/>
      <c r="K2870" s="172"/>
      <c r="L2870" s="172">
        <f>+'FACUS$'!$H2870-'FACUS$'!$I2870-'FACUS$'!$K2870</f>
        <v>119952.12</v>
      </c>
      <c r="M2870" s="162" t="s">
        <v>116</v>
      </c>
      <c r="N2870" s="337" t="s">
        <v>554</v>
      </c>
      <c r="O2870" s="338">
        <v>45677.0</v>
      </c>
      <c r="P2870" s="164">
        <f t="array" ref="P2870">XLOOKUP('FACUS$'!$B2870,'perfil de pagos'!$A$4:$A$46,'perfil de pagos'!$C$4:$C$46+'FACUS$'!$D2870)</f>
        <v>45674</v>
      </c>
      <c r="Q2870" s="165">
        <f t="shared" si="70"/>
        <v>0</v>
      </c>
      <c r="R2870" s="167"/>
      <c r="S2870" s="167">
        <v>3559.0</v>
      </c>
      <c r="T2870" s="167"/>
      <c r="U2870" s="334"/>
      <c r="V2870" s="168">
        <f t="shared" si="3"/>
        <v>119952.12</v>
      </c>
      <c r="W2870" s="168">
        <f t="shared" si="4"/>
        <v>0</v>
      </c>
      <c r="X2870" s="168">
        <f t="shared" si="5"/>
        <v>0</v>
      </c>
      <c r="Y2870" s="168">
        <f t="shared" si="6"/>
        <v>0</v>
      </c>
      <c r="Z2870" s="168">
        <f t="shared" si="7"/>
        <v>0</v>
      </c>
      <c r="AA2870" s="168">
        <f t="shared" si="8"/>
        <v>0</v>
      </c>
      <c r="AB2870" s="168">
        <f t="shared" si="9"/>
        <v>0</v>
      </c>
    </row>
    <row r="2871" ht="15.0" customHeight="1">
      <c r="A2871" s="157" t="s">
        <v>10437</v>
      </c>
      <c r="B2871" s="169" t="s">
        <v>38</v>
      </c>
      <c r="C2871" s="158" t="s">
        <v>10423</v>
      </c>
      <c r="D2871" s="317">
        <v>45666.0</v>
      </c>
      <c r="E2871" s="157" t="s">
        <v>600</v>
      </c>
      <c r="F2871" s="160">
        <v>1306.47</v>
      </c>
      <c r="G2871" s="160">
        <f>'FACUS$'!$F2871*0.16</f>
        <v>209.0352</v>
      </c>
      <c r="H2871" s="160">
        <f t="shared" si="68"/>
        <v>1515.5052</v>
      </c>
      <c r="I2871" s="172"/>
      <c r="J2871" s="169"/>
      <c r="K2871" s="172"/>
      <c r="L2871" s="172">
        <f>+'FACUS$'!$H2871-'FACUS$'!$I2871-'FACUS$'!$K2871</f>
        <v>1515.5052</v>
      </c>
      <c r="M2871" s="162" t="s">
        <v>4654</v>
      </c>
      <c r="N2871" s="337" t="s">
        <v>554</v>
      </c>
      <c r="O2871" s="338">
        <v>45679.0</v>
      </c>
      <c r="P2871" s="164">
        <f t="array" ref="P2871">XLOOKUP('FACUS$'!$B2871,'perfil de pagos'!$A$4:$A$46,'perfil de pagos'!$C$4:$C$46+'FACUS$'!$D2871)</f>
        <v>45696</v>
      </c>
      <c r="Q2871" s="165">
        <f t="shared" si="70"/>
        <v>0</v>
      </c>
      <c r="R2871" s="167"/>
      <c r="S2871" s="167">
        <v>3569.0</v>
      </c>
      <c r="T2871" s="167"/>
      <c r="U2871" s="334"/>
      <c r="V2871" s="168">
        <f t="shared" si="3"/>
        <v>1515.5052</v>
      </c>
      <c r="W2871" s="168">
        <f t="shared" si="4"/>
        <v>0</v>
      </c>
      <c r="X2871" s="168">
        <f t="shared" si="5"/>
        <v>0</v>
      </c>
      <c r="Y2871" s="168">
        <f t="shared" si="6"/>
        <v>0</v>
      </c>
      <c r="Z2871" s="168">
        <f t="shared" si="7"/>
        <v>0</v>
      </c>
      <c r="AA2871" s="168">
        <f t="shared" si="8"/>
        <v>0</v>
      </c>
      <c r="AB2871" s="168">
        <f t="shared" si="9"/>
        <v>0</v>
      </c>
    </row>
    <row r="2872" ht="15.0" customHeight="1">
      <c r="A2872" s="157" t="s">
        <v>10438</v>
      </c>
      <c r="B2872" s="169" t="s">
        <v>38</v>
      </c>
      <c r="C2872" s="158" t="s">
        <v>10423</v>
      </c>
      <c r="D2872" s="317">
        <v>45666.0</v>
      </c>
      <c r="E2872" s="157" t="s">
        <v>600</v>
      </c>
      <c r="F2872" s="160">
        <v>7959.2</v>
      </c>
      <c r="G2872" s="160">
        <f>'FACUS$'!$F2872*0.16</f>
        <v>1273.472</v>
      </c>
      <c r="H2872" s="160">
        <f t="shared" si="68"/>
        <v>9232.672</v>
      </c>
      <c r="I2872" s="172"/>
      <c r="J2872" s="169"/>
      <c r="K2872" s="172"/>
      <c r="L2872" s="172">
        <f>+'FACUS$'!$H2872-'FACUS$'!$I2872-'FACUS$'!$K2872</f>
        <v>9232.672</v>
      </c>
      <c r="M2872" s="162" t="s">
        <v>145</v>
      </c>
      <c r="N2872" s="337" t="s">
        <v>554</v>
      </c>
      <c r="O2872" s="338">
        <v>45686.0</v>
      </c>
      <c r="P2872" s="164">
        <f t="array" ref="P2872">XLOOKUP('FACUS$'!$B2872,'perfil de pagos'!$A$4:$A$46,'perfil de pagos'!$C$4:$C$46+'FACUS$'!$D2872)</f>
        <v>45696</v>
      </c>
      <c r="Q2872" s="165">
        <f t="shared" si="70"/>
        <v>0</v>
      </c>
      <c r="R2872" s="167"/>
      <c r="S2872" s="167">
        <v>3672.0</v>
      </c>
      <c r="T2872" s="167"/>
      <c r="U2872" s="334"/>
      <c r="V2872" s="168">
        <f t="shared" si="3"/>
        <v>9232.672</v>
      </c>
      <c r="W2872" s="168">
        <f t="shared" si="4"/>
        <v>0</v>
      </c>
      <c r="X2872" s="168">
        <f t="shared" si="5"/>
        <v>0</v>
      </c>
      <c r="Y2872" s="168">
        <f t="shared" si="6"/>
        <v>0</v>
      </c>
      <c r="Z2872" s="168">
        <f t="shared" si="7"/>
        <v>0</v>
      </c>
      <c r="AA2872" s="168">
        <f t="shared" si="8"/>
        <v>0</v>
      </c>
      <c r="AB2872" s="168">
        <f t="shared" si="9"/>
        <v>0</v>
      </c>
    </row>
    <row r="2873" ht="15.0" customHeight="1">
      <c r="A2873" s="157" t="s">
        <v>10439</v>
      </c>
      <c r="B2873" s="169" t="s">
        <v>50</v>
      </c>
      <c r="C2873" s="158" t="s">
        <v>6947</v>
      </c>
      <c r="D2873" s="317">
        <v>45674.0</v>
      </c>
      <c r="E2873" s="157" t="s">
        <v>600</v>
      </c>
      <c r="F2873" s="160">
        <v>30294.37</v>
      </c>
      <c r="G2873" s="160">
        <f>'FACUS$'!$F2873*0.16</f>
        <v>4847.0992</v>
      </c>
      <c r="H2873" s="160">
        <f t="shared" si="68"/>
        <v>35141.4692</v>
      </c>
      <c r="I2873" s="172"/>
      <c r="J2873" s="169"/>
      <c r="K2873" s="172"/>
      <c r="L2873" s="172">
        <f>+'FACUS$'!$H2873-'FACUS$'!$I2873-'FACUS$'!$K2873</f>
        <v>35141.4692</v>
      </c>
      <c r="M2873" s="162" t="s">
        <v>570</v>
      </c>
      <c r="N2873" s="337" t="s">
        <v>554</v>
      </c>
      <c r="O2873" s="338">
        <v>45688.0</v>
      </c>
      <c r="P2873" s="164">
        <f t="array" ref="P2873">XLOOKUP('FACUS$'!$B2873,'perfil de pagos'!$A$4:$A$46,'perfil de pagos'!$C$4:$C$46+'FACUS$'!$D2873)</f>
        <v>45684</v>
      </c>
      <c r="Q2873" s="165">
        <f t="shared" si="70"/>
        <v>0</v>
      </c>
      <c r="R2873" s="167"/>
      <c r="S2873" s="167">
        <v>3585.0</v>
      </c>
      <c r="T2873" s="167"/>
      <c r="U2873" s="334"/>
      <c r="V2873" s="168">
        <f t="shared" si="3"/>
        <v>35141.4692</v>
      </c>
      <c r="W2873" s="168">
        <f t="shared" si="4"/>
        <v>0</v>
      </c>
      <c r="X2873" s="168">
        <f t="shared" si="5"/>
        <v>0</v>
      </c>
      <c r="Y2873" s="168">
        <f t="shared" si="6"/>
        <v>0</v>
      </c>
      <c r="Z2873" s="168">
        <f t="shared" si="7"/>
        <v>0</v>
      </c>
      <c r="AA2873" s="168">
        <f t="shared" si="8"/>
        <v>0</v>
      </c>
      <c r="AB2873" s="168">
        <f t="shared" si="9"/>
        <v>0</v>
      </c>
    </row>
    <row r="2874" ht="15.0" customHeight="1">
      <c r="A2874" s="157" t="s">
        <v>10440</v>
      </c>
      <c r="B2874" s="169" t="s">
        <v>50</v>
      </c>
      <c r="C2874" s="158" t="s">
        <v>10441</v>
      </c>
      <c r="D2874" s="317">
        <v>45674.0</v>
      </c>
      <c r="E2874" s="157" t="s">
        <v>600</v>
      </c>
      <c r="F2874" s="160">
        <v>27085.79</v>
      </c>
      <c r="G2874" s="160">
        <f>'FACUS$'!$F2874*0.16</f>
        <v>4333.7264</v>
      </c>
      <c r="H2874" s="160">
        <f t="shared" si="68"/>
        <v>31419.5164</v>
      </c>
      <c r="I2874" s="172"/>
      <c r="J2874" s="169"/>
      <c r="K2874" s="172"/>
      <c r="L2874" s="172">
        <f>+'FACUS$'!$H2874-'FACUS$'!$I2874-'FACUS$'!$K2874</f>
        <v>31419.5164</v>
      </c>
      <c r="M2874" s="162" t="s">
        <v>570</v>
      </c>
      <c r="N2874" s="337" t="s">
        <v>554</v>
      </c>
      <c r="O2874" s="338">
        <v>45695.0</v>
      </c>
      <c r="P2874" s="164">
        <f t="array" ref="P2874">XLOOKUP('FACUS$'!$B2874,'perfil de pagos'!$A$4:$A$46,'perfil de pagos'!$C$4:$C$46+'FACUS$'!$D2874)</f>
        <v>45684</v>
      </c>
      <c r="Q2874" s="165">
        <f t="shared" si="70"/>
        <v>0</v>
      </c>
      <c r="R2874" s="167"/>
      <c r="S2874" s="167">
        <v>3597.0</v>
      </c>
      <c r="T2874" s="167"/>
      <c r="U2874" s="334"/>
      <c r="V2874" s="168">
        <f t="shared" si="3"/>
        <v>31419.5164</v>
      </c>
      <c r="W2874" s="168">
        <f t="shared" si="4"/>
        <v>0</v>
      </c>
      <c r="X2874" s="168">
        <f t="shared" si="5"/>
        <v>0</v>
      </c>
      <c r="Y2874" s="168">
        <f t="shared" si="6"/>
        <v>0</v>
      </c>
      <c r="Z2874" s="168">
        <f t="shared" si="7"/>
        <v>0</v>
      </c>
      <c r="AA2874" s="168">
        <f t="shared" si="8"/>
        <v>0</v>
      </c>
      <c r="AB2874" s="168">
        <f t="shared" si="9"/>
        <v>0</v>
      </c>
    </row>
    <row r="2875" ht="15.0" customHeight="1">
      <c r="A2875" s="157" t="s">
        <v>10442</v>
      </c>
      <c r="B2875" s="169" t="s">
        <v>41</v>
      </c>
      <c r="C2875" s="158" t="s">
        <v>10441</v>
      </c>
      <c r="D2875" s="317">
        <v>45674.0</v>
      </c>
      <c r="E2875" s="157" t="s">
        <v>600</v>
      </c>
      <c r="F2875" s="172">
        <v>140218.48</v>
      </c>
      <c r="G2875" s="160">
        <f>'FACUS$'!$F2875*0.16</f>
        <v>22434.9568</v>
      </c>
      <c r="H2875" s="160">
        <f t="shared" si="68"/>
        <v>162653.4368</v>
      </c>
      <c r="I2875" s="172"/>
      <c r="J2875" s="169"/>
      <c r="K2875" s="172"/>
      <c r="L2875" s="172">
        <f>+'FACUS$'!$H2875-'FACUS$'!$I2875-'FACUS$'!$K2875</f>
        <v>162653.4368</v>
      </c>
      <c r="M2875" s="162" t="s">
        <v>875</v>
      </c>
      <c r="N2875" s="337" t="s">
        <v>554</v>
      </c>
      <c r="O2875" s="338">
        <v>45735.0</v>
      </c>
      <c r="P2875" s="164">
        <f t="array" ref="P2875">XLOOKUP('FACUS$'!$B2875,'perfil de pagos'!$A$4:$A$46,'perfil de pagos'!$C$4:$C$46+'FACUS$'!$D2875)</f>
        <v>45684</v>
      </c>
      <c r="Q2875" s="165">
        <f t="shared" si="70"/>
        <v>0</v>
      </c>
      <c r="R2875" s="167"/>
      <c r="S2875" s="167">
        <v>3699.0</v>
      </c>
      <c r="T2875" s="167"/>
      <c r="U2875" s="334"/>
      <c r="V2875" s="168">
        <f t="shared" si="3"/>
        <v>162653.4368</v>
      </c>
      <c r="W2875" s="168">
        <f t="shared" si="4"/>
        <v>0</v>
      </c>
      <c r="X2875" s="168">
        <f t="shared" si="5"/>
        <v>0</v>
      </c>
      <c r="Y2875" s="168">
        <f t="shared" si="6"/>
        <v>0</v>
      </c>
      <c r="Z2875" s="168">
        <f t="shared" si="7"/>
        <v>0</v>
      </c>
      <c r="AA2875" s="168">
        <f t="shared" si="8"/>
        <v>0</v>
      </c>
      <c r="AB2875" s="168">
        <f t="shared" si="9"/>
        <v>0</v>
      </c>
    </row>
    <row r="2876" ht="15.0" customHeight="1">
      <c r="A2876" s="157" t="s">
        <v>10443</v>
      </c>
      <c r="B2876" s="169" t="s">
        <v>52</v>
      </c>
      <c r="C2876" s="158" t="s">
        <v>6947</v>
      </c>
      <c r="D2876" s="317">
        <v>45674.0</v>
      </c>
      <c r="E2876" s="157" t="s">
        <v>600</v>
      </c>
      <c r="F2876" s="160">
        <v>7997.36</v>
      </c>
      <c r="G2876" s="160">
        <f>'FACUS$'!$F2876*0.16</f>
        <v>1279.5776</v>
      </c>
      <c r="H2876" s="160">
        <f t="shared" si="68"/>
        <v>9276.9376</v>
      </c>
      <c r="I2876" s="172"/>
      <c r="J2876" s="169"/>
      <c r="K2876" s="172"/>
      <c r="L2876" s="172">
        <f>+'FACUS$'!$H2876-'FACUS$'!$I2876-'FACUS$'!$K2876</f>
        <v>9276.9376</v>
      </c>
      <c r="M2876" s="162" t="s">
        <v>10309</v>
      </c>
      <c r="N2876" s="337" t="s">
        <v>554</v>
      </c>
      <c r="O2876" s="338">
        <v>45695.0</v>
      </c>
      <c r="P2876" s="164">
        <f t="array" ref="P2876">XLOOKUP('FACUS$'!$B2876,'perfil de pagos'!$A$4:$A$46,'perfil de pagos'!$C$4:$C$46+'FACUS$'!$D2876)</f>
        <v>45689</v>
      </c>
      <c r="Q2876" s="165">
        <f t="shared" si="70"/>
        <v>0</v>
      </c>
      <c r="R2876" s="167"/>
      <c r="S2876" s="167">
        <v>3605.0</v>
      </c>
      <c r="T2876" s="167"/>
      <c r="U2876" s="334"/>
      <c r="V2876" s="168">
        <f t="shared" si="3"/>
        <v>9276.9376</v>
      </c>
      <c r="W2876" s="168">
        <f t="shared" si="4"/>
        <v>0</v>
      </c>
      <c r="X2876" s="168">
        <f t="shared" si="5"/>
        <v>0</v>
      </c>
      <c r="Y2876" s="168">
        <f t="shared" si="6"/>
        <v>0</v>
      </c>
      <c r="Z2876" s="168">
        <f t="shared" si="7"/>
        <v>0</v>
      </c>
      <c r="AA2876" s="168">
        <f t="shared" si="8"/>
        <v>0</v>
      </c>
      <c r="AB2876" s="168">
        <f t="shared" si="9"/>
        <v>0</v>
      </c>
    </row>
    <row r="2877" ht="15.0" customHeight="1">
      <c r="A2877" s="157" t="s">
        <v>10444</v>
      </c>
      <c r="B2877" s="169" t="s">
        <v>52</v>
      </c>
      <c r="C2877" s="158" t="s">
        <v>10441</v>
      </c>
      <c r="D2877" s="317">
        <v>45674.0</v>
      </c>
      <c r="E2877" s="157" t="s">
        <v>600</v>
      </c>
      <c r="F2877" s="160">
        <v>4226.31</v>
      </c>
      <c r="G2877" s="160">
        <f>'FACUS$'!$F2877*0.16</f>
        <v>676.2096</v>
      </c>
      <c r="H2877" s="160">
        <f t="shared" si="68"/>
        <v>4902.5196</v>
      </c>
      <c r="I2877" s="172"/>
      <c r="J2877" s="169"/>
      <c r="K2877" s="172"/>
      <c r="L2877" s="172">
        <f>+'FACUS$'!$H2877-'FACUS$'!$I2877-'FACUS$'!$K2877</f>
        <v>4902.5196</v>
      </c>
      <c r="M2877" s="162" t="s">
        <v>10309</v>
      </c>
      <c r="N2877" s="337" t="s">
        <v>554</v>
      </c>
      <c r="O2877" s="338">
        <v>45716.0</v>
      </c>
      <c r="P2877" s="164">
        <f t="array" ref="P2877">XLOOKUP('FACUS$'!$B2877,'perfil de pagos'!$A$4:$A$46,'perfil de pagos'!$C$4:$C$46+'FACUS$'!$D2877)</f>
        <v>45689</v>
      </c>
      <c r="Q2877" s="165">
        <f t="shared" si="70"/>
        <v>0</v>
      </c>
      <c r="R2877" s="167"/>
      <c r="S2877" s="167">
        <v>3653.0</v>
      </c>
      <c r="T2877" s="167"/>
      <c r="U2877" s="334"/>
      <c r="V2877" s="168">
        <f t="shared" si="3"/>
        <v>4902.5196</v>
      </c>
      <c r="W2877" s="168">
        <f t="shared" si="4"/>
        <v>0</v>
      </c>
      <c r="X2877" s="168">
        <f t="shared" si="5"/>
        <v>0</v>
      </c>
      <c r="Y2877" s="168">
        <f t="shared" si="6"/>
        <v>0</v>
      </c>
      <c r="Z2877" s="168">
        <f t="shared" si="7"/>
        <v>0</v>
      </c>
      <c r="AA2877" s="168">
        <f t="shared" si="8"/>
        <v>0</v>
      </c>
      <c r="AB2877" s="168">
        <f t="shared" si="9"/>
        <v>0</v>
      </c>
    </row>
    <row r="2878" ht="15.0" customHeight="1">
      <c r="A2878" s="157" t="s">
        <v>10445</v>
      </c>
      <c r="B2878" s="169" t="s">
        <v>35</v>
      </c>
      <c r="C2878" s="158" t="s">
        <v>10441</v>
      </c>
      <c r="D2878" s="317">
        <v>45674.0</v>
      </c>
      <c r="E2878" s="157" t="s">
        <v>600</v>
      </c>
      <c r="F2878" s="160">
        <v>17135.64</v>
      </c>
      <c r="G2878" s="160">
        <f>'FACUS$'!$F2878*0.16</f>
        <v>2741.7024</v>
      </c>
      <c r="H2878" s="160">
        <f t="shared" si="68"/>
        <v>19877.3424</v>
      </c>
      <c r="I2878" s="172"/>
      <c r="J2878" s="169"/>
      <c r="K2878" s="172"/>
      <c r="L2878" s="172">
        <f>+'FACUS$'!$H2878-'FACUS$'!$I2878-'FACUS$'!$K2878</f>
        <v>19877.3424</v>
      </c>
      <c r="M2878" s="162" t="s">
        <v>276</v>
      </c>
      <c r="N2878" s="337" t="s">
        <v>554</v>
      </c>
      <c r="O2878" s="338">
        <v>45699.0</v>
      </c>
      <c r="P2878" s="164">
        <f t="array" ref="P2878">XLOOKUP('FACUS$'!$B2878,'perfil de pagos'!$A$4:$A$46,'perfil de pagos'!$C$4:$C$46+'FACUS$'!$D2878)</f>
        <v>45684</v>
      </c>
      <c r="Q2878" s="165">
        <f t="shared" si="70"/>
        <v>0</v>
      </c>
      <c r="R2878" s="167"/>
      <c r="S2878" s="167">
        <v>3606.0</v>
      </c>
      <c r="T2878" s="167"/>
      <c r="U2878" s="334"/>
      <c r="V2878" s="168">
        <f t="shared" si="3"/>
        <v>19877.3424</v>
      </c>
      <c r="W2878" s="168">
        <f t="shared" si="4"/>
        <v>0</v>
      </c>
      <c r="X2878" s="168">
        <f t="shared" si="5"/>
        <v>0</v>
      </c>
      <c r="Y2878" s="168">
        <f t="shared" si="6"/>
        <v>0</v>
      </c>
      <c r="Z2878" s="168">
        <f t="shared" si="7"/>
        <v>0</v>
      </c>
      <c r="AA2878" s="168">
        <f t="shared" si="8"/>
        <v>0</v>
      </c>
      <c r="AB2878" s="168">
        <f t="shared" si="9"/>
        <v>0</v>
      </c>
    </row>
    <row r="2879" ht="15.0" customHeight="1">
      <c r="A2879" s="157" t="s">
        <v>10446</v>
      </c>
      <c r="B2879" s="169" t="s">
        <v>17</v>
      </c>
      <c r="C2879" s="158" t="s">
        <v>6947</v>
      </c>
      <c r="D2879" s="317">
        <v>45677.0</v>
      </c>
      <c r="E2879" s="157" t="s">
        <v>600</v>
      </c>
      <c r="F2879" s="160">
        <v>34531.07</v>
      </c>
      <c r="G2879" s="160">
        <f>'FACUS$'!$F2879*0.16</f>
        <v>5524.9712</v>
      </c>
      <c r="H2879" s="160">
        <f t="shared" si="68"/>
        <v>40056.0412</v>
      </c>
      <c r="I2879" s="172"/>
      <c r="J2879" s="169"/>
      <c r="K2879" s="172"/>
      <c r="L2879" s="172">
        <f>+'FACUS$'!$H2879-'FACUS$'!$I2879-'FACUS$'!$K2879</f>
        <v>40056.0412</v>
      </c>
      <c r="M2879" s="162" t="s">
        <v>17</v>
      </c>
      <c r="N2879" s="337" t="s">
        <v>554</v>
      </c>
      <c r="O2879" s="338">
        <v>45694.0</v>
      </c>
      <c r="P2879" s="164">
        <f t="array" ref="P2879">XLOOKUP('FACUS$'!$B2879,'perfil de pagos'!$A$4:$A$46,'perfil de pagos'!$C$4:$C$46+'FACUS$'!$D2879)</f>
        <v>45687</v>
      </c>
      <c r="Q2879" s="165">
        <f t="shared" si="70"/>
        <v>0</v>
      </c>
      <c r="R2879" s="167"/>
      <c r="S2879" s="167">
        <v>3596.0</v>
      </c>
      <c r="T2879" s="167"/>
      <c r="U2879" s="334"/>
      <c r="V2879" s="168">
        <f t="shared" si="3"/>
        <v>40056.0412</v>
      </c>
      <c r="W2879" s="168">
        <f t="shared" si="4"/>
        <v>0</v>
      </c>
      <c r="X2879" s="168">
        <f t="shared" si="5"/>
        <v>0</v>
      </c>
      <c r="Y2879" s="168">
        <f t="shared" si="6"/>
        <v>0</v>
      </c>
      <c r="Z2879" s="168">
        <f t="shared" si="7"/>
        <v>0</v>
      </c>
      <c r="AA2879" s="168">
        <f t="shared" si="8"/>
        <v>0</v>
      </c>
      <c r="AB2879" s="168">
        <f t="shared" si="9"/>
        <v>0</v>
      </c>
    </row>
    <row r="2880" ht="15.0" customHeight="1">
      <c r="A2880" s="157" t="s">
        <v>10447</v>
      </c>
      <c r="B2880" s="169" t="s">
        <v>17</v>
      </c>
      <c r="C2880" s="158" t="s">
        <v>10441</v>
      </c>
      <c r="D2880" s="317">
        <v>45677.0</v>
      </c>
      <c r="E2880" s="157" t="s">
        <v>600</v>
      </c>
      <c r="F2880" s="160">
        <v>39985.5</v>
      </c>
      <c r="G2880" s="160">
        <f>'FACUS$'!$F2880*0.16</f>
        <v>6397.68</v>
      </c>
      <c r="H2880" s="160">
        <f t="shared" si="68"/>
        <v>46383.18</v>
      </c>
      <c r="I2880" s="172"/>
      <c r="J2880" s="169"/>
      <c r="K2880" s="172"/>
      <c r="L2880" s="172">
        <f>+'FACUS$'!$H2880-'FACUS$'!$I2880-'FACUS$'!$K2880</f>
        <v>46383.18</v>
      </c>
      <c r="M2880" s="162" t="s">
        <v>17</v>
      </c>
      <c r="N2880" s="337" t="s">
        <v>554</v>
      </c>
      <c r="O2880" s="338">
        <v>45694.0</v>
      </c>
      <c r="P2880" s="164">
        <f t="array" ref="P2880">XLOOKUP('FACUS$'!$B2880,'perfil de pagos'!$A$4:$A$46,'perfil de pagos'!$C$4:$C$46+'FACUS$'!$D2880)</f>
        <v>45687</v>
      </c>
      <c r="Q2880" s="165">
        <f t="shared" si="70"/>
        <v>0</v>
      </c>
      <c r="R2880" s="167"/>
      <c r="S2880" s="167">
        <v>3596.0</v>
      </c>
      <c r="T2880" s="167"/>
      <c r="U2880" s="334"/>
      <c r="V2880" s="168">
        <f t="shared" si="3"/>
        <v>46383.18</v>
      </c>
      <c r="W2880" s="168">
        <f t="shared" si="4"/>
        <v>0</v>
      </c>
      <c r="X2880" s="168">
        <f t="shared" si="5"/>
        <v>0</v>
      </c>
      <c r="Y2880" s="168">
        <f t="shared" si="6"/>
        <v>0</v>
      </c>
      <c r="Z2880" s="168">
        <f t="shared" si="7"/>
        <v>0</v>
      </c>
      <c r="AA2880" s="168">
        <f t="shared" si="8"/>
        <v>0</v>
      </c>
      <c r="AB2880" s="168">
        <f t="shared" si="9"/>
        <v>0</v>
      </c>
    </row>
    <row r="2881" ht="15.0" customHeight="1">
      <c r="A2881" s="157" t="s">
        <v>10448</v>
      </c>
      <c r="B2881" s="169" t="s">
        <v>38</v>
      </c>
      <c r="C2881" s="158" t="s">
        <v>10441</v>
      </c>
      <c r="D2881" s="317">
        <v>45677.0</v>
      </c>
      <c r="E2881" s="157" t="s">
        <v>600</v>
      </c>
      <c r="F2881" s="160">
        <v>1317.16</v>
      </c>
      <c r="G2881" s="160">
        <f>'FACUS$'!$F2881*0.16</f>
        <v>210.7456</v>
      </c>
      <c r="H2881" s="160">
        <f t="shared" si="68"/>
        <v>1527.9056</v>
      </c>
      <c r="I2881" s="172"/>
      <c r="J2881" s="169"/>
      <c r="K2881" s="172"/>
      <c r="L2881" s="172">
        <f>+'FACUS$'!$H2881-'FACUS$'!$I2881-'FACUS$'!$K2881</f>
        <v>1527.9056</v>
      </c>
      <c r="M2881" s="162" t="s">
        <v>4654</v>
      </c>
      <c r="N2881" s="337" t="s">
        <v>554</v>
      </c>
      <c r="O2881" s="338">
        <v>45700.0</v>
      </c>
      <c r="P2881" s="164">
        <f t="array" ref="P2881">XLOOKUP('FACUS$'!$B2881,'perfil de pagos'!$A$4:$A$46,'perfil de pagos'!$C$4:$C$46+'FACUS$'!$D2881)</f>
        <v>45707</v>
      </c>
      <c r="Q2881" s="165">
        <f t="shared" si="70"/>
        <v>0</v>
      </c>
      <c r="R2881" s="167"/>
      <c r="S2881" s="167"/>
      <c r="T2881" s="167"/>
      <c r="U2881" s="334"/>
      <c r="V2881" s="168">
        <f t="shared" si="3"/>
        <v>1527.9056</v>
      </c>
      <c r="W2881" s="168">
        <f t="shared" si="4"/>
        <v>0</v>
      </c>
      <c r="X2881" s="168">
        <f t="shared" si="5"/>
        <v>0</v>
      </c>
      <c r="Y2881" s="168">
        <f t="shared" si="6"/>
        <v>0</v>
      </c>
      <c r="Z2881" s="168">
        <f t="shared" si="7"/>
        <v>0</v>
      </c>
      <c r="AA2881" s="168">
        <f t="shared" si="8"/>
        <v>0</v>
      </c>
      <c r="AB2881" s="168">
        <f t="shared" si="9"/>
        <v>0</v>
      </c>
    </row>
    <row r="2882" ht="15.0" customHeight="1">
      <c r="A2882" s="157" t="s">
        <v>10449</v>
      </c>
      <c r="B2882" s="169" t="s">
        <v>42</v>
      </c>
      <c r="C2882" s="158" t="s">
        <v>10441</v>
      </c>
      <c r="D2882" s="317">
        <v>45686.0</v>
      </c>
      <c r="E2882" s="157" t="s">
        <v>600</v>
      </c>
      <c r="F2882" s="160">
        <v>24948.99</v>
      </c>
      <c r="G2882" s="160">
        <f>'FACUS$'!$F2882*0.16</f>
        <v>3991.8384</v>
      </c>
      <c r="H2882" s="160">
        <f t="shared" si="68"/>
        <v>28940.8284</v>
      </c>
      <c r="I2882" s="172">
        <v>5000.0</v>
      </c>
      <c r="J2882" s="169"/>
      <c r="K2882" s="172"/>
      <c r="L2882" s="172">
        <f>+'FACUS$'!$H2882-'FACUS$'!$I2882-'FACUS$'!$K2882</f>
        <v>23940.8284</v>
      </c>
      <c r="M2882" s="162" t="s">
        <v>42</v>
      </c>
      <c r="N2882" s="337" t="s">
        <v>554</v>
      </c>
      <c r="O2882" s="338">
        <v>45701.0</v>
      </c>
      <c r="P2882" s="164">
        <f t="array" ref="P2882">XLOOKUP('FACUS$'!$B2882,'perfil de pagos'!$A$4:$A$46,'perfil de pagos'!$C$4:$C$46+'FACUS$'!$D2882)</f>
        <v>45696</v>
      </c>
      <c r="Q2882" s="165">
        <f t="shared" si="70"/>
        <v>0</v>
      </c>
      <c r="R2882" s="220" t="s">
        <v>10450</v>
      </c>
      <c r="S2882" s="167"/>
      <c r="T2882" s="167"/>
      <c r="U2882" s="334"/>
      <c r="V2882" s="168">
        <f t="shared" si="3"/>
        <v>23940.8284</v>
      </c>
      <c r="W2882" s="168">
        <f t="shared" si="4"/>
        <v>0</v>
      </c>
      <c r="X2882" s="168">
        <f t="shared" si="5"/>
        <v>0</v>
      </c>
      <c r="Y2882" s="168">
        <f t="shared" si="6"/>
        <v>0</v>
      </c>
      <c r="Z2882" s="168">
        <f t="shared" si="7"/>
        <v>0</v>
      </c>
      <c r="AA2882" s="168">
        <f t="shared" si="8"/>
        <v>0</v>
      </c>
      <c r="AB2882" s="168">
        <f t="shared" si="9"/>
        <v>0</v>
      </c>
    </row>
    <row r="2883" ht="15.0" customHeight="1">
      <c r="A2883" s="157" t="s">
        <v>10451</v>
      </c>
      <c r="B2883" s="169" t="s">
        <v>18</v>
      </c>
      <c r="C2883" s="158" t="s">
        <v>10441</v>
      </c>
      <c r="D2883" s="317">
        <v>45686.0</v>
      </c>
      <c r="E2883" s="157" t="s">
        <v>600</v>
      </c>
      <c r="F2883" s="160">
        <v>5092.26</v>
      </c>
      <c r="G2883" s="160">
        <f>'FACUS$'!$F2883*0.16</f>
        <v>814.7616</v>
      </c>
      <c r="H2883" s="160">
        <f t="shared" si="68"/>
        <v>5907.0216</v>
      </c>
      <c r="I2883" s="172"/>
      <c r="J2883" s="169"/>
      <c r="K2883" s="172"/>
      <c r="L2883" s="172">
        <f>+'FACUS$'!$H2883-'FACUS$'!$I2883-'FACUS$'!$K2883</f>
        <v>5907.0216</v>
      </c>
      <c r="M2883" s="162" t="s">
        <v>586</v>
      </c>
      <c r="N2883" s="337" t="s">
        <v>554</v>
      </c>
      <c r="O2883" s="338">
        <v>45694.0</v>
      </c>
      <c r="P2883" s="164">
        <f t="array" ref="P2883">XLOOKUP('FACUS$'!$B2883,'perfil de pagos'!$A$4:$A$46,'perfil de pagos'!$C$4:$C$46+'FACUS$'!$D2883)</f>
        <v>45696</v>
      </c>
      <c r="Q2883" s="165">
        <f t="shared" si="70"/>
        <v>0</v>
      </c>
      <c r="R2883" s="167"/>
      <c r="S2883" s="167">
        <v>3612.0</v>
      </c>
      <c r="T2883" s="167"/>
      <c r="U2883" s="334"/>
      <c r="V2883" s="168">
        <f t="shared" si="3"/>
        <v>5907.0216</v>
      </c>
      <c r="W2883" s="168">
        <f t="shared" si="4"/>
        <v>0</v>
      </c>
      <c r="X2883" s="168">
        <f t="shared" si="5"/>
        <v>0</v>
      </c>
      <c r="Y2883" s="168">
        <f t="shared" si="6"/>
        <v>0</v>
      </c>
      <c r="Z2883" s="168">
        <f t="shared" si="7"/>
        <v>0</v>
      </c>
      <c r="AA2883" s="168">
        <f t="shared" si="8"/>
        <v>0</v>
      </c>
      <c r="AB2883" s="168">
        <f t="shared" si="9"/>
        <v>0</v>
      </c>
    </row>
    <row r="2884" ht="15.0" customHeight="1">
      <c r="A2884" s="157" t="s">
        <v>10452</v>
      </c>
      <c r="B2884" s="169" t="s">
        <v>20</v>
      </c>
      <c r="C2884" s="158" t="s">
        <v>10441</v>
      </c>
      <c r="D2884" s="317">
        <v>45686.0</v>
      </c>
      <c r="E2884" s="157" t="s">
        <v>600</v>
      </c>
      <c r="F2884" s="160">
        <v>11988.8</v>
      </c>
      <c r="G2884" s="160">
        <f>'FACUS$'!$F2884*0.16</f>
        <v>1918.208</v>
      </c>
      <c r="H2884" s="160">
        <f t="shared" si="68"/>
        <v>13907.008</v>
      </c>
      <c r="I2884" s="172"/>
      <c r="J2884" s="169"/>
      <c r="K2884" s="172"/>
      <c r="L2884" s="172">
        <f>+'FACUS$'!$H2884-'FACUS$'!$I2884-'FACUS$'!$K2884</f>
        <v>13907.008</v>
      </c>
      <c r="M2884" s="162" t="s">
        <v>732</v>
      </c>
      <c r="N2884" s="337" t="s">
        <v>554</v>
      </c>
      <c r="O2884" s="338">
        <v>45694.0</v>
      </c>
      <c r="P2884" s="164">
        <f t="array" ref="P2884">XLOOKUP('FACUS$'!$B2884,'perfil de pagos'!$A$4:$A$46,'perfil de pagos'!$C$4:$C$46+'FACUS$'!$D2884)</f>
        <v>45696</v>
      </c>
      <c r="Q2884" s="165">
        <f t="shared" si="70"/>
        <v>0</v>
      </c>
      <c r="R2884" s="167"/>
      <c r="S2884" s="167">
        <v>3612.0</v>
      </c>
      <c r="T2884" s="167"/>
      <c r="U2884" s="334"/>
      <c r="V2884" s="168">
        <f t="shared" si="3"/>
        <v>13907.008</v>
      </c>
      <c r="W2884" s="168">
        <f t="shared" si="4"/>
        <v>0</v>
      </c>
      <c r="X2884" s="168">
        <f t="shared" si="5"/>
        <v>0</v>
      </c>
      <c r="Y2884" s="168">
        <f t="shared" si="6"/>
        <v>0</v>
      </c>
      <c r="Z2884" s="168">
        <f t="shared" si="7"/>
        <v>0</v>
      </c>
      <c r="AA2884" s="168">
        <f t="shared" si="8"/>
        <v>0</v>
      </c>
      <c r="AB2884" s="168">
        <f t="shared" si="9"/>
        <v>0</v>
      </c>
    </row>
    <row r="2885" ht="15.0" customHeight="1">
      <c r="A2885" s="157" t="s">
        <v>10453</v>
      </c>
      <c r="B2885" s="169" t="s">
        <v>25</v>
      </c>
      <c r="C2885" s="158" t="s">
        <v>10441</v>
      </c>
      <c r="D2885" s="317">
        <v>45686.0</v>
      </c>
      <c r="E2885" s="157" t="s">
        <v>600</v>
      </c>
      <c r="F2885" s="160">
        <v>5103.97</v>
      </c>
      <c r="G2885" s="160">
        <f>'FACUS$'!$F2885*0.16</f>
        <v>816.6352</v>
      </c>
      <c r="H2885" s="160">
        <f t="shared" si="68"/>
        <v>5920.6052</v>
      </c>
      <c r="I2885" s="172"/>
      <c r="J2885" s="169"/>
      <c r="K2885" s="172"/>
      <c r="L2885" s="172">
        <f>+'FACUS$'!$H2885-'FACUS$'!$I2885-'FACUS$'!$K2885</f>
        <v>5920.6052</v>
      </c>
      <c r="M2885" s="162" t="s">
        <v>4388</v>
      </c>
      <c r="N2885" s="337" t="s">
        <v>554</v>
      </c>
      <c r="O2885" s="338">
        <v>45712.0</v>
      </c>
      <c r="P2885" s="164">
        <f t="array" ref="P2885">XLOOKUP('FACUS$'!$B2885,'perfil de pagos'!$A$4:$A$46,'perfil de pagos'!$C$4:$C$46+'FACUS$'!$D2885)</f>
        <v>45696</v>
      </c>
      <c r="Q2885" s="165">
        <f t="shared" si="70"/>
        <v>0</v>
      </c>
      <c r="R2885" s="167"/>
      <c r="S2885" s="167">
        <v>3642.0</v>
      </c>
      <c r="T2885" s="167"/>
      <c r="U2885" s="334"/>
      <c r="V2885" s="168">
        <f t="shared" si="3"/>
        <v>5920.6052</v>
      </c>
      <c r="W2885" s="168">
        <f t="shared" si="4"/>
        <v>0</v>
      </c>
      <c r="X2885" s="168">
        <f t="shared" si="5"/>
        <v>0</v>
      </c>
      <c r="Y2885" s="168">
        <f t="shared" si="6"/>
        <v>0</v>
      </c>
      <c r="Z2885" s="168">
        <f t="shared" si="7"/>
        <v>0</v>
      </c>
      <c r="AA2885" s="168">
        <f t="shared" si="8"/>
        <v>0</v>
      </c>
      <c r="AB2885" s="168">
        <f t="shared" si="9"/>
        <v>0</v>
      </c>
    </row>
    <row r="2886" ht="15.0" customHeight="1">
      <c r="A2886" s="157" t="s">
        <v>10454</v>
      </c>
      <c r="B2886" s="169" t="s">
        <v>37</v>
      </c>
      <c r="C2886" s="158" t="s">
        <v>10441</v>
      </c>
      <c r="D2886" s="317">
        <v>45686.0</v>
      </c>
      <c r="E2886" s="157" t="s">
        <v>600</v>
      </c>
      <c r="F2886" s="160">
        <v>82773.12</v>
      </c>
      <c r="G2886" s="160">
        <f>'FACUS$'!$F2886*0.16</f>
        <v>13243.6992</v>
      </c>
      <c r="H2886" s="160">
        <f t="shared" si="68"/>
        <v>96016.8192</v>
      </c>
      <c r="I2886" s="172"/>
      <c r="J2886" s="169"/>
      <c r="K2886" s="172"/>
      <c r="L2886" s="172">
        <f>+'FACUS$'!$H2886-'FACUS$'!$I2886-'FACUS$'!$K2886</f>
        <v>96016.8192</v>
      </c>
      <c r="M2886" s="162" t="s">
        <v>116</v>
      </c>
      <c r="N2886" s="337" t="s">
        <v>554</v>
      </c>
      <c r="O2886" s="338">
        <v>45698.0</v>
      </c>
      <c r="P2886" s="164">
        <f t="array" ref="P2886">XLOOKUP('FACUS$'!$B2886,'perfil de pagos'!$A$4:$A$46,'perfil de pagos'!$C$4:$C$46+'FACUS$'!$D2886)</f>
        <v>45696</v>
      </c>
      <c r="Q2886" s="165">
        <f t="shared" si="70"/>
        <v>0</v>
      </c>
      <c r="R2886" s="167"/>
      <c r="S2886" s="167">
        <v>3602.0</v>
      </c>
      <c r="T2886" s="167"/>
      <c r="U2886" s="334"/>
      <c r="V2886" s="168">
        <f t="shared" si="3"/>
        <v>96016.8192</v>
      </c>
      <c r="W2886" s="168">
        <f t="shared" si="4"/>
        <v>0</v>
      </c>
      <c r="X2886" s="168">
        <f t="shared" si="5"/>
        <v>0</v>
      </c>
      <c r="Y2886" s="168">
        <f t="shared" si="6"/>
        <v>0</v>
      </c>
      <c r="Z2886" s="168">
        <f t="shared" si="7"/>
        <v>0</v>
      </c>
      <c r="AA2886" s="168">
        <f t="shared" si="8"/>
        <v>0</v>
      </c>
      <c r="AB2886" s="168">
        <f t="shared" si="9"/>
        <v>0</v>
      </c>
    </row>
    <row r="2887" ht="15.0" customHeight="1">
      <c r="A2887" s="157" t="s">
        <v>10455</v>
      </c>
      <c r="B2887" s="169" t="s">
        <v>44</v>
      </c>
      <c r="C2887" s="158" t="s">
        <v>10441</v>
      </c>
      <c r="D2887" s="317">
        <v>45687.0</v>
      </c>
      <c r="E2887" s="157" t="s">
        <v>600</v>
      </c>
      <c r="F2887" s="160">
        <v>17023.47</v>
      </c>
      <c r="G2887" s="160">
        <f>'FACUS$'!$F2887*0.16</f>
        <v>2723.7552</v>
      </c>
      <c r="H2887" s="160">
        <f t="shared" si="68"/>
        <v>19747.2252</v>
      </c>
      <c r="I2887" s="172"/>
      <c r="J2887" s="169"/>
      <c r="K2887" s="172"/>
      <c r="L2887" s="172">
        <f>+'FACUS$'!$H2887-'FACUS$'!$I2887-'FACUS$'!$K2887</f>
        <v>19747.2252</v>
      </c>
      <c r="M2887" s="162" t="s">
        <v>361</v>
      </c>
      <c r="N2887" s="337" t="s">
        <v>554</v>
      </c>
      <c r="O2887" s="338">
        <v>45694.0</v>
      </c>
      <c r="P2887" s="164">
        <f t="array" ref="P2887">XLOOKUP('FACUS$'!$B2887,'perfil de pagos'!$A$4:$A$46,'perfil de pagos'!$C$4:$C$46+'FACUS$'!$D2887)</f>
        <v>45697</v>
      </c>
      <c r="Q2887" s="165">
        <f t="shared" si="70"/>
        <v>0</v>
      </c>
      <c r="R2887" s="167"/>
      <c r="S2887" s="167">
        <v>3598.0</v>
      </c>
      <c r="T2887" s="167"/>
      <c r="U2887" s="334"/>
      <c r="V2887" s="168">
        <f t="shared" si="3"/>
        <v>19747.2252</v>
      </c>
      <c r="W2887" s="168">
        <f t="shared" si="4"/>
        <v>0</v>
      </c>
      <c r="X2887" s="168">
        <f t="shared" si="5"/>
        <v>0</v>
      </c>
      <c r="Y2887" s="168">
        <f t="shared" si="6"/>
        <v>0</v>
      </c>
      <c r="Z2887" s="168">
        <f t="shared" si="7"/>
        <v>0</v>
      </c>
      <c r="AA2887" s="168">
        <f t="shared" si="8"/>
        <v>0</v>
      </c>
      <c r="AB2887" s="168">
        <f t="shared" si="9"/>
        <v>0</v>
      </c>
    </row>
    <row r="2888" ht="15.0" customHeight="1">
      <c r="A2888" s="157" t="s">
        <v>10456</v>
      </c>
      <c r="B2888" s="169" t="s">
        <v>38</v>
      </c>
      <c r="C2888" s="158" t="s">
        <v>10441</v>
      </c>
      <c r="D2888" s="317">
        <v>45687.0</v>
      </c>
      <c r="E2888" s="157" t="s">
        <v>600</v>
      </c>
      <c r="F2888" s="160">
        <v>7164.15</v>
      </c>
      <c r="G2888" s="160">
        <f>'FACUS$'!$F2888*0.16</f>
        <v>1146.264</v>
      </c>
      <c r="H2888" s="160">
        <f t="shared" si="68"/>
        <v>8310.414</v>
      </c>
      <c r="I2888" s="172"/>
      <c r="J2888" s="169"/>
      <c r="K2888" s="172"/>
      <c r="L2888" s="172">
        <f>+'FACUS$'!$H2888-'FACUS$'!$I2888-'FACUS$'!$K2888</f>
        <v>8310.414</v>
      </c>
      <c r="M2888" s="162" t="s">
        <v>10457</v>
      </c>
      <c r="N2888" s="337" t="s">
        <v>554</v>
      </c>
      <c r="O2888" s="338">
        <v>45707.0</v>
      </c>
      <c r="P2888" s="164">
        <f t="array" ref="P2888">XLOOKUP('FACUS$'!$B2888,'perfil de pagos'!$A$4:$A$46,'perfil de pagos'!$C$4:$C$46+'FACUS$'!$D2888)</f>
        <v>45717</v>
      </c>
      <c r="Q2888" s="165">
        <f t="shared" si="70"/>
        <v>0</v>
      </c>
      <c r="R2888" s="167"/>
      <c r="S2888" s="167">
        <v>3631.0</v>
      </c>
      <c r="T2888" s="167"/>
      <c r="U2888" s="334"/>
      <c r="V2888" s="168">
        <f t="shared" si="3"/>
        <v>8310.414</v>
      </c>
      <c r="W2888" s="168">
        <f t="shared" si="4"/>
        <v>0</v>
      </c>
      <c r="X2888" s="168">
        <f t="shared" si="5"/>
        <v>0</v>
      </c>
      <c r="Y2888" s="168">
        <f t="shared" si="6"/>
        <v>0</v>
      </c>
      <c r="Z2888" s="168">
        <f t="shared" si="7"/>
        <v>0</v>
      </c>
      <c r="AA2888" s="168">
        <f t="shared" si="8"/>
        <v>0</v>
      </c>
      <c r="AB2888" s="168">
        <f t="shared" si="9"/>
        <v>0</v>
      </c>
    </row>
    <row r="2889" ht="15.0" customHeight="1">
      <c r="A2889" s="157" t="s">
        <v>10458</v>
      </c>
      <c r="B2889" s="169" t="s">
        <v>50</v>
      </c>
      <c r="C2889" s="158" t="s">
        <v>6991</v>
      </c>
      <c r="D2889" s="317">
        <v>45693.0</v>
      </c>
      <c r="E2889" s="157" t="s">
        <v>600</v>
      </c>
      <c r="F2889" s="160">
        <v>38290.25</v>
      </c>
      <c r="G2889" s="160">
        <f>'FACUS$'!$F2889*0.16</f>
        <v>6126.44</v>
      </c>
      <c r="H2889" s="160">
        <f t="shared" si="68"/>
        <v>44416.69</v>
      </c>
      <c r="I2889" s="172"/>
      <c r="J2889" s="169"/>
      <c r="K2889" s="172"/>
      <c r="L2889" s="172">
        <f>+'FACUS$'!$H2889-'FACUS$'!$I2889-'FACUS$'!$K2889</f>
        <v>44416.69</v>
      </c>
      <c r="M2889" s="162" t="s">
        <v>570</v>
      </c>
      <c r="N2889" s="337" t="s">
        <v>554</v>
      </c>
      <c r="O2889" s="338">
        <v>45712.0</v>
      </c>
      <c r="P2889" s="164">
        <f t="array" ref="P2889">XLOOKUP('FACUS$'!$B2889,'perfil de pagos'!$A$4:$A$46,'perfil de pagos'!$C$4:$C$46+'FACUS$'!$D2889)</f>
        <v>45703</v>
      </c>
      <c r="Q2889" s="165">
        <f t="shared" si="70"/>
        <v>0</v>
      </c>
      <c r="R2889" s="167"/>
      <c r="S2889" s="167">
        <v>3641.0</v>
      </c>
      <c r="T2889" s="167"/>
      <c r="U2889" s="334"/>
      <c r="V2889" s="168">
        <f t="shared" si="3"/>
        <v>44416.69</v>
      </c>
      <c r="W2889" s="168">
        <f t="shared" si="4"/>
        <v>0</v>
      </c>
      <c r="X2889" s="168">
        <f t="shared" si="5"/>
        <v>0</v>
      </c>
      <c r="Y2889" s="168">
        <f t="shared" si="6"/>
        <v>0</v>
      </c>
      <c r="Z2889" s="168">
        <f t="shared" si="7"/>
        <v>0</v>
      </c>
      <c r="AA2889" s="168">
        <f t="shared" si="8"/>
        <v>0</v>
      </c>
      <c r="AB2889" s="168">
        <f t="shared" si="9"/>
        <v>0</v>
      </c>
    </row>
    <row r="2890" ht="15.0" customHeight="1">
      <c r="A2890" s="157" t="s">
        <v>10459</v>
      </c>
      <c r="B2890" s="169" t="s">
        <v>50</v>
      </c>
      <c r="C2890" s="158" t="s">
        <v>10460</v>
      </c>
      <c r="D2890" s="317">
        <v>45693.0</v>
      </c>
      <c r="E2890" s="157" t="s">
        <v>600</v>
      </c>
      <c r="F2890" s="160">
        <v>27551.18</v>
      </c>
      <c r="G2890" s="160">
        <f>'FACUS$'!$F2890*0.16</f>
        <v>4408.1888</v>
      </c>
      <c r="H2890" s="160">
        <f t="shared" si="68"/>
        <v>31959.3688</v>
      </c>
      <c r="I2890" s="172"/>
      <c r="J2890" s="169"/>
      <c r="K2890" s="172"/>
      <c r="L2890" s="172">
        <f>+'FACUS$'!$H2890-'FACUS$'!$I2890-'FACUS$'!$K2890</f>
        <v>31959.3688</v>
      </c>
      <c r="M2890" s="162" t="s">
        <v>570</v>
      </c>
      <c r="N2890" s="337" t="s">
        <v>554</v>
      </c>
      <c r="O2890" s="338">
        <v>45716.0</v>
      </c>
      <c r="P2890" s="164">
        <f t="array" ref="P2890">XLOOKUP('FACUS$'!$B2890,'perfil de pagos'!$A$4:$A$46,'perfil de pagos'!$C$4:$C$46+'FACUS$'!$D2890)</f>
        <v>45703</v>
      </c>
      <c r="Q2890" s="165">
        <f t="shared" si="70"/>
        <v>0</v>
      </c>
      <c r="R2890" s="167"/>
      <c r="S2890" s="167">
        <v>3652.0</v>
      </c>
      <c r="T2890" s="167"/>
      <c r="U2890" s="334"/>
      <c r="V2890" s="168">
        <f t="shared" si="3"/>
        <v>31959.3688</v>
      </c>
      <c r="W2890" s="168">
        <f t="shared" si="4"/>
        <v>0</v>
      </c>
      <c r="X2890" s="168">
        <f t="shared" si="5"/>
        <v>0</v>
      </c>
      <c r="Y2890" s="168">
        <f t="shared" si="6"/>
        <v>0</v>
      </c>
      <c r="Z2890" s="168">
        <f t="shared" si="7"/>
        <v>0</v>
      </c>
      <c r="AA2890" s="168">
        <f t="shared" si="8"/>
        <v>0</v>
      </c>
      <c r="AB2890" s="168">
        <f t="shared" si="9"/>
        <v>0</v>
      </c>
    </row>
    <row r="2891" ht="15.0" customHeight="1">
      <c r="A2891" s="157" t="s">
        <v>10461</v>
      </c>
      <c r="B2891" s="169" t="s">
        <v>41</v>
      </c>
      <c r="C2891" s="158" t="s">
        <v>10460</v>
      </c>
      <c r="D2891" s="317">
        <v>45693.0</v>
      </c>
      <c r="E2891" s="157" t="s">
        <v>600</v>
      </c>
      <c r="F2891" s="160">
        <v>167941.68</v>
      </c>
      <c r="G2891" s="160">
        <f>'FACUS$'!$F2891*0.16</f>
        <v>26870.6688</v>
      </c>
      <c r="H2891" s="160">
        <f t="shared" si="68"/>
        <v>194812.3488</v>
      </c>
      <c r="I2891" s="172"/>
      <c r="J2891" s="169"/>
      <c r="K2891" s="172"/>
      <c r="L2891" s="172">
        <f>+'FACUS$'!$H2891-'FACUS$'!$I2891-'FACUS$'!$K2891</f>
        <v>194812.3488</v>
      </c>
      <c r="M2891" s="162" t="s">
        <v>875</v>
      </c>
      <c r="N2891" s="337" t="s">
        <v>554</v>
      </c>
      <c r="O2891" s="338">
        <v>45751.0</v>
      </c>
      <c r="P2891" s="164">
        <f t="array" ref="P2891">XLOOKUP('FACUS$'!$B2891,'perfil de pagos'!$A$4:$A$46,'perfil de pagos'!$C$4:$C$46+'FACUS$'!$D2891)</f>
        <v>45703</v>
      </c>
      <c r="Q2891" s="165">
        <f t="shared" si="70"/>
        <v>0</v>
      </c>
      <c r="R2891" s="167"/>
      <c r="S2891" s="167">
        <v>3730.0</v>
      </c>
      <c r="T2891" s="167"/>
      <c r="U2891" s="334"/>
      <c r="V2891" s="168">
        <f t="shared" si="3"/>
        <v>194812.3488</v>
      </c>
      <c r="W2891" s="168">
        <f t="shared" si="4"/>
        <v>0</v>
      </c>
      <c r="X2891" s="168">
        <f t="shared" si="5"/>
        <v>0</v>
      </c>
      <c r="Y2891" s="168">
        <f t="shared" si="6"/>
        <v>0</v>
      </c>
      <c r="Z2891" s="168">
        <f t="shared" si="7"/>
        <v>0</v>
      </c>
      <c r="AA2891" s="168">
        <f t="shared" si="8"/>
        <v>0</v>
      </c>
      <c r="AB2891" s="168">
        <f t="shared" si="9"/>
        <v>0</v>
      </c>
    </row>
    <row r="2892" ht="15.0" customHeight="1">
      <c r="A2892" s="157" t="s">
        <v>10462</v>
      </c>
      <c r="B2892" s="169" t="s">
        <v>52</v>
      </c>
      <c r="C2892" s="158" t="s">
        <v>6991</v>
      </c>
      <c r="D2892" s="317">
        <v>45693.0</v>
      </c>
      <c r="E2892" s="157" t="s">
        <v>600</v>
      </c>
      <c r="F2892" s="160">
        <v>10649.58</v>
      </c>
      <c r="G2892" s="160">
        <f>'FACUS$'!$F2892*0.16</f>
        <v>1703.9328</v>
      </c>
      <c r="H2892" s="160">
        <f t="shared" si="68"/>
        <v>12353.5128</v>
      </c>
      <c r="I2892" s="172"/>
      <c r="J2892" s="169"/>
      <c r="K2892" s="172"/>
      <c r="L2892" s="172">
        <f>+'FACUS$'!$H2892-'FACUS$'!$I2892-'FACUS$'!$K2892</f>
        <v>12353.5128</v>
      </c>
      <c r="M2892" s="162" t="s">
        <v>10309</v>
      </c>
      <c r="N2892" s="337" t="s">
        <v>554</v>
      </c>
      <c r="O2892" s="338">
        <v>45730.0</v>
      </c>
      <c r="P2892" s="164">
        <f t="array" ref="P2892">XLOOKUP('FACUS$'!$B2892,'perfil de pagos'!$A$4:$A$46,'perfil de pagos'!$C$4:$C$46+'FACUS$'!$D2892)</f>
        <v>45708</v>
      </c>
      <c r="Q2892" s="165">
        <f t="shared" si="70"/>
        <v>0</v>
      </c>
      <c r="R2892" s="167"/>
      <c r="S2892" s="167">
        <v>3683.0</v>
      </c>
      <c r="T2892" s="167"/>
      <c r="U2892" s="334"/>
      <c r="V2892" s="168">
        <f t="shared" si="3"/>
        <v>12353.5128</v>
      </c>
      <c r="W2892" s="168">
        <f t="shared" si="4"/>
        <v>0</v>
      </c>
      <c r="X2892" s="168">
        <f t="shared" si="5"/>
        <v>0</v>
      </c>
      <c r="Y2892" s="168">
        <f t="shared" si="6"/>
        <v>0</v>
      </c>
      <c r="Z2892" s="168">
        <f t="shared" si="7"/>
        <v>0</v>
      </c>
      <c r="AA2892" s="168">
        <f t="shared" si="8"/>
        <v>0</v>
      </c>
      <c r="AB2892" s="168">
        <f t="shared" si="9"/>
        <v>0</v>
      </c>
    </row>
    <row r="2893" ht="15.0" customHeight="1">
      <c r="A2893" s="157" t="s">
        <v>10463</v>
      </c>
      <c r="B2893" s="169" t="s">
        <v>52</v>
      </c>
      <c r="C2893" s="158" t="s">
        <v>10460</v>
      </c>
      <c r="D2893" s="317">
        <v>45693.0</v>
      </c>
      <c r="E2893" s="157" t="s">
        <v>600</v>
      </c>
      <c r="F2893" s="160">
        <v>4896.05</v>
      </c>
      <c r="G2893" s="160">
        <f>'FACUS$'!$F2893*0.16</f>
        <v>783.368</v>
      </c>
      <c r="H2893" s="160">
        <f t="shared" si="68"/>
        <v>5679.418</v>
      </c>
      <c r="I2893" s="172"/>
      <c r="J2893" s="169"/>
      <c r="K2893" s="172"/>
      <c r="L2893" s="172">
        <f>+'FACUS$'!$H2893-'FACUS$'!$I2893-'FACUS$'!$K2893</f>
        <v>5679.418</v>
      </c>
      <c r="M2893" s="162" t="s">
        <v>10309</v>
      </c>
      <c r="N2893" s="337" t="s">
        <v>554</v>
      </c>
      <c r="O2893" s="338">
        <v>45737.0</v>
      </c>
      <c r="P2893" s="164">
        <f t="array" ref="P2893">XLOOKUP('FACUS$'!$B2893,'perfil de pagos'!$A$4:$A$46,'perfil de pagos'!$C$4:$C$46+'FACUS$'!$D2893)</f>
        <v>45708</v>
      </c>
      <c r="Q2893" s="165">
        <f t="shared" si="70"/>
        <v>0</v>
      </c>
      <c r="R2893" s="167"/>
      <c r="S2893" s="167">
        <v>3702.0</v>
      </c>
      <c r="T2893" s="167"/>
      <c r="U2893" s="334"/>
      <c r="V2893" s="168">
        <f t="shared" si="3"/>
        <v>5679.418</v>
      </c>
      <c r="W2893" s="168">
        <f t="shared" si="4"/>
        <v>0</v>
      </c>
      <c r="X2893" s="168">
        <f t="shared" si="5"/>
        <v>0</v>
      </c>
      <c r="Y2893" s="168">
        <f t="shared" si="6"/>
        <v>0</v>
      </c>
      <c r="Z2893" s="168">
        <f t="shared" si="7"/>
        <v>0</v>
      </c>
      <c r="AA2893" s="168">
        <f t="shared" si="8"/>
        <v>0</v>
      </c>
      <c r="AB2893" s="168">
        <f t="shared" si="9"/>
        <v>0</v>
      </c>
    </row>
    <row r="2894" ht="15.0" customHeight="1">
      <c r="A2894" s="157" t="s">
        <v>10464</v>
      </c>
      <c r="B2894" s="169" t="s">
        <v>35</v>
      </c>
      <c r="C2894" s="158" t="s">
        <v>10460</v>
      </c>
      <c r="D2894" s="317">
        <v>45693.0</v>
      </c>
      <c r="E2894" s="157" t="s">
        <v>600</v>
      </c>
      <c r="F2894" s="160">
        <v>21608.84</v>
      </c>
      <c r="G2894" s="160">
        <f>'FACUS$'!$F2894*0.16</f>
        <v>3457.4144</v>
      </c>
      <c r="H2894" s="160">
        <f t="shared" si="68"/>
        <v>25066.2544</v>
      </c>
      <c r="I2894" s="172"/>
      <c r="J2894" s="169"/>
      <c r="K2894" s="172"/>
      <c r="L2894" s="172">
        <f>+'FACUS$'!$H2894-'FACUS$'!$I2894-'FACUS$'!$K2894</f>
        <v>25066.2544</v>
      </c>
      <c r="M2894" s="162" t="s">
        <v>276</v>
      </c>
      <c r="N2894" s="337" t="s">
        <v>554</v>
      </c>
      <c r="O2894" s="338">
        <v>45720.0</v>
      </c>
      <c r="P2894" s="164">
        <f t="array" ref="P2894">XLOOKUP('FACUS$'!$B2894,'perfil de pagos'!$A$4:$A$46,'perfil de pagos'!$C$4:$C$46+'FACUS$'!$D2894)</f>
        <v>45703</v>
      </c>
      <c r="Q2894" s="165">
        <f t="shared" si="70"/>
        <v>0</v>
      </c>
      <c r="R2894" s="167"/>
      <c r="S2894" s="167">
        <v>3664.0</v>
      </c>
      <c r="T2894" s="167"/>
      <c r="U2894" s="334"/>
      <c r="V2894" s="168">
        <f t="shared" si="3"/>
        <v>25066.2544</v>
      </c>
      <c r="W2894" s="168">
        <f t="shared" si="4"/>
        <v>0</v>
      </c>
      <c r="X2894" s="168">
        <f t="shared" si="5"/>
        <v>0</v>
      </c>
      <c r="Y2894" s="168">
        <f t="shared" si="6"/>
        <v>0</v>
      </c>
      <c r="Z2894" s="168">
        <f t="shared" si="7"/>
        <v>0</v>
      </c>
      <c r="AA2894" s="168">
        <f t="shared" si="8"/>
        <v>0</v>
      </c>
      <c r="AB2894" s="168">
        <f t="shared" si="9"/>
        <v>0</v>
      </c>
    </row>
    <row r="2895" ht="15.0" customHeight="1">
      <c r="A2895" s="157" t="s">
        <v>10465</v>
      </c>
      <c r="B2895" s="169" t="s">
        <v>17</v>
      </c>
      <c r="C2895" s="158" t="s">
        <v>6991</v>
      </c>
      <c r="D2895" s="317">
        <v>45693.0</v>
      </c>
      <c r="E2895" s="157" t="s">
        <v>600</v>
      </c>
      <c r="F2895" s="160">
        <v>33500.95</v>
      </c>
      <c r="G2895" s="160">
        <f>'FACUS$'!$F2895*0.16</f>
        <v>5360.152</v>
      </c>
      <c r="H2895" s="160">
        <f t="shared" si="68"/>
        <v>38861.102</v>
      </c>
      <c r="I2895" s="172"/>
      <c r="J2895" s="169"/>
      <c r="K2895" s="172"/>
      <c r="L2895" s="172">
        <f>+'FACUS$'!$H2895-'FACUS$'!$I2895-'FACUS$'!$K2895</f>
        <v>38861.102</v>
      </c>
      <c r="M2895" s="162" t="s">
        <v>17</v>
      </c>
      <c r="N2895" s="337" t="s">
        <v>554</v>
      </c>
      <c r="O2895" s="338">
        <v>45708.0</v>
      </c>
      <c r="P2895" s="164">
        <f t="array" ref="P2895">XLOOKUP('FACUS$'!$B2895,'perfil de pagos'!$A$4:$A$46,'perfil de pagos'!$C$4:$C$46+'FACUS$'!$D2895)</f>
        <v>45703</v>
      </c>
      <c r="Q2895" s="165">
        <f t="shared" si="70"/>
        <v>0</v>
      </c>
      <c r="R2895" s="167"/>
      <c r="S2895" s="167">
        <v>3632.0</v>
      </c>
      <c r="T2895" s="167"/>
      <c r="U2895" s="334"/>
      <c r="V2895" s="168">
        <f t="shared" si="3"/>
        <v>38861.102</v>
      </c>
      <c r="W2895" s="168">
        <f t="shared" si="4"/>
        <v>0</v>
      </c>
      <c r="X2895" s="168">
        <f t="shared" si="5"/>
        <v>0</v>
      </c>
      <c r="Y2895" s="168">
        <f t="shared" si="6"/>
        <v>0</v>
      </c>
      <c r="Z2895" s="168">
        <f t="shared" si="7"/>
        <v>0</v>
      </c>
      <c r="AA2895" s="168">
        <f t="shared" si="8"/>
        <v>0</v>
      </c>
      <c r="AB2895" s="168">
        <f t="shared" si="9"/>
        <v>0</v>
      </c>
    </row>
    <row r="2896" ht="15.0" customHeight="1">
      <c r="A2896" s="157" t="s">
        <v>10466</v>
      </c>
      <c r="B2896" s="169" t="s">
        <v>17</v>
      </c>
      <c r="C2896" s="158" t="s">
        <v>10460</v>
      </c>
      <c r="D2896" s="317">
        <v>45693.0</v>
      </c>
      <c r="E2896" s="157" t="s">
        <v>600</v>
      </c>
      <c r="F2896" s="160">
        <v>33171.23</v>
      </c>
      <c r="G2896" s="160">
        <f>'FACUS$'!$F2896*0.16</f>
        <v>5307.3968</v>
      </c>
      <c r="H2896" s="160">
        <f t="shared" si="68"/>
        <v>38478.6268</v>
      </c>
      <c r="I2896" s="172"/>
      <c r="J2896" s="169"/>
      <c r="K2896" s="172"/>
      <c r="L2896" s="172">
        <f>+'FACUS$'!$H2896-'FACUS$'!$I2896-'FACUS$'!$K2896</f>
        <v>38478.6268</v>
      </c>
      <c r="M2896" s="162" t="s">
        <v>17</v>
      </c>
      <c r="N2896" s="337" t="s">
        <v>554</v>
      </c>
      <c r="O2896" s="338">
        <v>45708.0</v>
      </c>
      <c r="P2896" s="164">
        <f t="array" ref="P2896">XLOOKUP('FACUS$'!$B2896,'perfil de pagos'!$A$4:$A$46,'perfil de pagos'!$C$4:$C$46+'FACUS$'!$D2896)</f>
        <v>45703</v>
      </c>
      <c r="Q2896" s="165">
        <f t="shared" si="70"/>
        <v>0</v>
      </c>
      <c r="R2896" s="167"/>
      <c r="S2896" s="167">
        <v>3632.0</v>
      </c>
      <c r="T2896" s="167"/>
      <c r="U2896" s="334"/>
      <c r="V2896" s="168">
        <f t="shared" si="3"/>
        <v>38478.6268</v>
      </c>
      <c r="W2896" s="168">
        <f t="shared" si="4"/>
        <v>0</v>
      </c>
      <c r="X2896" s="168">
        <f t="shared" si="5"/>
        <v>0</v>
      </c>
      <c r="Y2896" s="168">
        <f t="shared" si="6"/>
        <v>0</v>
      </c>
      <c r="Z2896" s="168">
        <f t="shared" si="7"/>
        <v>0</v>
      </c>
      <c r="AA2896" s="168">
        <f t="shared" si="8"/>
        <v>0</v>
      </c>
      <c r="AB2896" s="168">
        <f t="shared" si="9"/>
        <v>0</v>
      </c>
    </row>
    <row r="2897" ht="15.0" customHeight="1">
      <c r="A2897" s="157" t="s">
        <v>10467</v>
      </c>
      <c r="B2897" s="169" t="s">
        <v>42</v>
      </c>
      <c r="C2897" s="158" t="s">
        <v>10460</v>
      </c>
      <c r="D2897" s="317">
        <v>45693.0</v>
      </c>
      <c r="E2897" s="157" t="s">
        <v>600</v>
      </c>
      <c r="F2897" s="160">
        <v>27489.99</v>
      </c>
      <c r="G2897" s="160">
        <f>'FACUS$'!$F2897*0.16</f>
        <v>4398.3984</v>
      </c>
      <c r="H2897" s="160">
        <f t="shared" si="68"/>
        <v>31888.3884</v>
      </c>
      <c r="I2897" s="172"/>
      <c r="J2897" s="169"/>
      <c r="K2897" s="172"/>
      <c r="L2897" s="172">
        <f>+'FACUS$'!$H2897-'FACUS$'!$I2897-'FACUS$'!$K2897</f>
        <v>31888.3884</v>
      </c>
      <c r="M2897" s="162" t="s">
        <v>42</v>
      </c>
      <c r="N2897" s="337" t="s">
        <v>554</v>
      </c>
      <c r="O2897" s="338">
        <v>45709.0</v>
      </c>
      <c r="P2897" s="164">
        <f t="array" ref="P2897">XLOOKUP('FACUS$'!$B2897,'perfil de pagos'!$A$4:$A$46,'perfil de pagos'!$C$4:$C$46+'FACUS$'!$D2897)</f>
        <v>45703</v>
      </c>
      <c r="Q2897" s="165">
        <f t="shared" si="70"/>
        <v>0</v>
      </c>
      <c r="R2897" s="167"/>
      <c r="S2897" s="167">
        <v>3637.0</v>
      </c>
      <c r="T2897" s="167"/>
      <c r="U2897" s="334"/>
      <c r="V2897" s="168">
        <f t="shared" si="3"/>
        <v>31888.3884</v>
      </c>
      <c r="W2897" s="168">
        <f t="shared" si="4"/>
        <v>0</v>
      </c>
      <c r="X2897" s="168">
        <f t="shared" si="5"/>
        <v>0</v>
      </c>
      <c r="Y2897" s="168">
        <f t="shared" si="6"/>
        <v>0</v>
      </c>
      <c r="Z2897" s="168">
        <f t="shared" si="7"/>
        <v>0</v>
      </c>
      <c r="AA2897" s="168">
        <f t="shared" si="8"/>
        <v>0</v>
      </c>
      <c r="AB2897" s="168">
        <f t="shared" si="9"/>
        <v>0</v>
      </c>
    </row>
    <row r="2898" ht="15.0" customHeight="1">
      <c r="A2898" s="157" t="s">
        <v>10468</v>
      </c>
      <c r="B2898" s="169" t="s">
        <v>44</v>
      </c>
      <c r="C2898" s="158" t="s">
        <v>10460</v>
      </c>
      <c r="D2898" s="317">
        <v>45693.0</v>
      </c>
      <c r="E2898" s="157" t="s">
        <v>600</v>
      </c>
      <c r="F2898" s="160">
        <v>19122.34</v>
      </c>
      <c r="G2898" s="160">
        <f>'FACUS$'!$F2898*0.16</f>
        <v>3059.5744</v>
      </c>
      <c r="H2898" s="160">
        <f t="shared" si="68"/>
        <v>22181.9144</v>
      </c>
      <c r="I2898" s="172"/>
      <c r="J2898" s="169"/>
      <c r="K2898" s="172"/>
      <c r="L2898" s="172">
        <f>+'FACUS$'!$H2898-'FACUS$'!$I2898-'FACUS$'!$K2898</f>
        <v>22181.9144</v>
      </c>
      <c r="M2898" s="162" t="s">
        <v>361</v>
      </c>
      <c r="N2898" s="337" t="s">
        <v>554</v>
      </c>
      <c r="O2898" s="338">
        <v>45702.0</v>
      </c>
      <c r="P2898" s="164">
        <f t="array" ref="P2898">XLOOKUP('FACUS$'!$B2898,'perfil de pagos'!$A$4:$A$46,'perfil de pagos'!$C$4:$C$46+'FACUS$'!$D2898)</f>
        <v>45703</v>
      </c>
      <c r="Q2898" s="165">
        <f t="shared" si="70"/>
        <v>0</v>
      </c>
      <c r="R2898" s="220" t="s">
        <v>10469</v>
      </c>
      <c r="S2898" s="167">
        <v>3623.0</v>
      </c>
      <c r="T2898" s="167"/>
      <c r="U2898" s="334"/>
      <c r="V2898" s="168">
        <f t="shared" si="3"/>
        <v>22181.9144</v>
      </c>
      <c r="W2898" s="168">
        <f t="shared" si="4"/>
        <v>0</v>
      </c>
      <c r="X2898" s="168">
        <f t="shared" si="5"/>
        <v>0</v>
      </c>
      <c r="Y2898" s="168">
        <f t="shared" si="6"/>
        <v>0</v>
      </c>
      <c r="Z2898" s="168">
        <f t="shared" si="7"/>
        <v>0</v>
      </c>
      <c r="AA2898" s="168">
        <f t="shared" si="8"/>
        <v>0</v>
      </c>
      <c r="AB2898" s="168">
        <f t="shared" si="9"/>
        <v>0</v>
      </c>
    </row>
    <row r="2899" ht="15.0" customHeight="1">
      <c r="A2899" s="157" t="s">
        <v>10470</v>
      </c>
      <c r="B2899" s="169" t="s">
        <v>37</v>
      </c>
      <c r="C2899" s="158" t="s">
        <v>10460</v>
      </c>
      <c r="D2899" s="317">
        <v>45694.0</v>
      </c>
      <c r="E2899" s="157" t="s">
        <v>600</v>
      </c>
      <c r="F2899" s="160">
        <v>106361.35</v>
      </c>
      <c r="G2899" s="160">
        <f>'FACUS$'!$F2899*0.16</f>
        <v>17017.816</v>
      </c>
      <c r="H2899" s="160">
        <f t="shared" si="68"/>
        <v>123379.166</v>
      </c>
      <c r="I2899" s="172"/>
      <c r="J2899" s="169"/>
      <c r="K2899" s="172"/>
      <c r="L2899" s="172">
        <f>+'FACUS$'!$H2899-'FACUS$'!$I2899-'FACUS$'!$K2899</f>
        <v>123379.166</v>
      </c>
      <c r="M2899" s="162" t="s">
        <v>116</v>
      </c>
      <c r="N2899" s="337" t="s">
        <v>554</v>
      </c>
      <c r="O2899" s="338">
        <v>45706.0</v>
      </c>
      <c r="P2899" s="164">
        <f t="array" ref="P2899">XLOOKUP('FACUS$'!$B2899,'perfil de pagos'!$A$4:$A$46,'perfil de pagos'!$C$4:$C$46+'FACUS$'!$D2899)</f>
        <v>45704</v>
      </c>
      <c r="Q2899" s="165">
        <f t="shared" si="70"/>
        <v>0</v>
      </c>
      <c r="R2899" s="167"/>
      <c r="S2899" s="167"/>
      <c r="T2899" s="167"/>
      <c r="U2899" s="334"/>
      <c r="V2899" s="168">
        <f t="shared" si="3"/>
        <v>123379.166</v>
      </c>
      <c r="W2899" s="168">
        <f t="shared" si="4"/>
        <v>0</v>
      </c>
      <c r="X2899" s="168">
        <f t="shared" si="5"/>
        <v>0</v>
      </c>
      <c r="Y2899" s="168">
        <f t="shared" si="6"/>
        <v>0</v>
      </c>
      <c r="Z2899" s="168">
        <f t="shared" si="7"/>
        <v>0</v>
      </c>
      <c r="AA2899" s="168">
        <f t="shared" si="8"/>
        <v>0</v>
      </c>
      <c r="AB2899" s="168">
        <f t="shared" si="9"/>
        <v>0</v>
      </c>
    </row>
    <row r="2900" ht="15.0" customHeight="1">
      <c r="A2900" s="157" t="s">
        <v>10471</v>
      </c>
      <c r="B2900" s="169" t="s">
        <v>18</v>
      </c>
      <c r="C2900" s="158" t="s">
        <v>10460</v>
      </c>
      <c r="D2900" s="317">
        <v>45694.0</v>
      </c>
      <c r="E2900" s="157" t="s">
        <v>600</v>
      </c>
      <c r="F2900" s="160">
        <v>5756.31</v>
      </c>
      <c r="G2900" s="160">
        <f>'FACUS$'!$F2900*0.16</f>
        <v>921.0096</v>
      </c>
      <c r="H2900" s="160">
        <f t="shared" si="68"/>
        <v>6677.3196</v>
      </c>
      <c r="I2900" s="172"/>
      <c r="J2900" s="169"/>
      <c r="K2900" s="172"/>
      <c r="L2900" s="172">
        <f>+'FACUS$'!$H2900-'FACUS$'!$I2900-'FACUS$'!$K2900</f>
        <v>6677.3196</v>
      </c>
      <c r="M2900" s="162" t="s">
        <v>586</v>
      </c>
      <c r="N2900" s="337" t="s">
        <v>554</v>
      </c>
      <c r="O2900" s="338">
        <v>45709.0</v>
      </c>
      <c r="P2900" s="164">
        <f t="array" ref="P2900">XLOOKUP('FACUS$'!$B2900,'perfil de pagos'!$A$4:$A$46,'perfil de pagos'!$C$4:$C$46+'FACUS$'!$D2900)</f>
        <v>45704</v>
      </c>
      <c r="Q2900" s="165">
        <f t="shared" si="70"/>
        <v>0</v>
      </c>
      <c r="R2900" s="167"/>
      <c r="S2900" s="167">
        <v>3635.0</v>
      </c>
      <c r="T2900" s="167"/>
      <c r="U2900" s="334"/>
      <c r="V2900" s="168">
        <f t="shared" si="3"/>
        <v>6677.3196</v>
      </c>
      <c r="W2900" s="168">
        <f t="shared" si="4"/>
        <v>0</v>
      </c>
      <c r="X2900" s="168">
        <f t="shared" si="5"/>
        <v>0</v>
      </c>
      <c r="Y2900" s="168">
        <f t="shared" si="6"/>
        <v>0</v>
      </c>
      <c r="Z2900" s="168">
        <f t="shared" si="7"/>
        <v>0</v>
      </c>
      <c r="AA2900" s="168">
        <f t="shared" si="8"/>
        <v>0</v>
      </c>
      <c r="AB2900" s="168">
        <f t="shared" si="9"/>
        <v>0</v>
      </c>
    </row>
    <row r="2901" ht="15.0" customHeight="1">
      <c r="A2901" s="157" t="s">
        <v>10472</v>
      </c>
      <c r="B2901" s="169" t="s">
        <v>20</v>
      </c>
      <c r="C2901" s="158" t="s">
        <v>10460</v>
      </c>
      <c r="D2901" s="317">
        <v>45694.0</v>
      </c>
      <c r="E2901" s="157" t="s">
        <v>600</v>
      </c>
      <c r="F2901" s="160">
        <v>12206.7</v>
      </c>
      <c r="G2901" s="160">
        <f>'FACUS$'!$F2901*0.16</f>
        <v>1953.072</v>
      </c>
      <c r="H2901" s="160">
        <f t="shared" si="68"/>
        <v>14159.772</v>
      </c>
      <c r="I2901" s="172"/>
      <c r="J2901" s="169"/>
      <c r="K2901" s="172"/>
      <c r="L2901" s="172">
        <f>+'FACUS$'!$H2901-'FACUS$'!$I2901-'FACUS$'!$K2901</f>
        <v>14159.772</v>
      </c>
      <c r="M2901" s="162" t="s">
        <v>732</v>
      </c>
      <c r="N2901" s="337" t="s">
        <v>554</v>
      </c>
      <c r="O2901" s="338">
        <v>45709.0</v>
      </c>
      <c r="P2901" s="164">
        <f t="array" ref="P2901">XLOOKUP('FACUS$'!$B2901,'perfil de pagos'!$A$4:$A$46,'perfil de pagos'!$C$4:$C$46+'FACUS$'!$D2901)</f>
        <v>45704</v>
      </c>
      <c r="Q2901" s="165">
        <f t="shared" si="70"/>
        <v>0</v>
      </c>
      <c r="R2901" s="167"/>
      <c r="S2901" s="167">
        <v>3635.0</v>
      </c>
      <c r="T2901" s="167"/>
      <c r="U2901" s="334"/>
      <c r="V2901" s="168">
        <f t="shared" si="3"/>
        <v>14159.772</v>
      </c>
      <c r="W2901" s="168">
        <f t="shared" si="4"/>
        <v>0</v>
      </c>
      <c r="X2901" s="168">
        <f t="shared" si="5"/>
        <v>0</v>
      </c>
      <c r="Y2901" s="168">
        <f t="shared" si="6"/>
        <v>0</v>
      </c>
      <c r="Z2901" s="168">
        <f t="shared" si="7"/>
        <v>0</v>
      </c>
      <c r="AA2901" s="168">
        <f t="shared" si="8"/>
        <v>0</v>
      </c>
      <c r="AB2901" s="168">
        <f t="shared" si="9"/>
        <v>0</v>
      </c>
    </row>
    <row r="2902" ht="15.0" customHeight="1">
      <c r="A2902" s="157" t="s">
        <v>10473</v>
      </c>
      <c r="B2902" s="169" t="s">
        <v>25</v>
      </c>
      <c r="C2902" s="158" t="s">
        <v>10460</v>
      </c>
      <c r="D2902" s="317">
        <v>45694.0</v>
      </c>
      <c r="E2902" s="157" t="s">
        <v>600</v>
      </c>
      <c r="F2902" s="160">
        <v>6200.53</v>
      </c>
      <c r="G2902" s="160">
        <f>'FACUS$'!$F2902*0.16</f>
        <v>992.0848</v>
      </c>
      <c r="H2902" s="160">
        <f t="shared" si="68"/>
        <v>7192.6148</v>
      </c>
      <c r="I2902" s="172"/>
      <c r="J2902" s="169"/>
      <c r="K2902" s="172"/>
      <c r="L2902" s="172">
        <f>+'FACUS$'!$H2902-'FACUS$'!$I2902-'FACUS$'!$K2902</f>
        <v>7192.6148</v>
      </c>
      <c r="M2902" s="162" t="s">
        <v>4388</v>
      </c>
      <c r="N2902" s="337" t="s">
        <v>554</v>
      </c>
      <c r="O2902" s="338">
        <v>45712.0</v>
      </c>
      <c r="P2902" s="164">
        <f t="array" ref="P2902">XLOOKUP('FACUS$'!$B2902,'perfil de pagos'!$A$4:$A$46,'perfil de pagos'!$C$4:$C$46+'FACUS$'!$D2902)</f>
        <v>45704</v>
      </c>
      <c r="Q2902" s="165">
        <f t="shared" si="70"/>
        <v>0</v>
      </c>
      <c r="R2902" s="167"/>
      <c r="S2902" s="167">
        <v>3642.0</v>
      </c>
      <c r="T2902" s="167"/>
      <c r="U2902" s="334"/>
      <c r="V2902" s="168">
        <f t="shared" si="3"/>
        <v>7192.6148</v>
      </c>
      <c r="W2902" s="168">
        <f t="shared" si="4"/>
        <v>0</v>
      </c>
      <c r="X2902" s="168">
        <f t="shared" si="5"/>
        <v>0</v>
      </c>
      <c r="Y2902" s="168">
        <f t="shared" si="6"/>
        <v>0</v>
      </c>
      <c r="Z2902" s="168">
        <f t="shared" si="7"/>
        <v>0</v>
      </c>
      <c r="AA2902" s="168">
        <f t="shared" si="8"/>
        <v>0</v>
      </c>
      <c r="AB2902" s="168">
        <f t="shared" si="9"/>
        <v>0</v>
      </c>
    </row>
    <row r="2903" ht="15.0" customHeight="1">
      <c r="A2903" s="157" t="s">
        <v>10474</v>
      </c>
      <c r="B2903" s="169" t="s">
        <v>38</v>
      </c>
      <c r="C2903" s="158" t="s">
        <v>10460</v>
      </c>
      <c r="D2903" s="317">
        <v>45694.0</v>
      </c>
      <c r="E2903" s="157" t="s">
        <v>600</v>
      </c>
      <c r="F2903" s="160">
        <v>10347.1</v>
      </c>
      <c r="G2903" s="160">
        <f>'FACUS$'!$F2903*0.16</f>
        <v>1655.536</v>
      </c>
      <c r="H2903" s="160">
        <f t="shared" si="68"/>
        <v>12002.636</v>
      </c>
      <c r="I2903" s="172"/>
      <c r="J2903" s="169"/>
      <c r="K2903" s="172"/>
      <c r="L2903" s="172">
        <f>+'FACUS$'!$H2903-'FACUS$'!$I2903-'FACUS$'!$K2903</f>
        <v>12002.636</v>
      </c>
      <c r="M2903" s="162" t="s">
        <v>10457</v>
      </c>
      <c r="N2903" s="337" t="s">
        <v>554</v>
      </c>
      <c r="O2903" s="338">
        <v>45721.0</v>
      </c>
      <c r="P2903" s="164">
        <f t="array" ref="P2903">XLOOKUP('FACUS$'!$B2903,'perfil de pagos'!$A$4:$A$46,'perfil de pagos'!$C$4:$C$46+'FACUS$'!$D2903)</f>
        <v>45724</v>
      </c>
      <c r="Q2903" s="165">
        <f t="shared" si="70"/>
        <v>0</v>
      </c>
      <c r="R2903" s="167"/>
      <c r="S2903" s="167">
        <v>3657.0</v>
      </c>
      <c r="T2903" s="167"/>
      <c r="U2903" s="334"/>
      <c r="V2903" s="168">
        <f t="shared" si="3"/>
        <v>12002.636</v>
      </c>
      <c r="W2903" s="168">
        <f t="shared" si="4"/>
        <v>0</v>
      </c>
      <c r="X2903" s="168">
        <f t="shared" si="5"/>
        <v>0</v>
      </c>
      <c r="Y2903" s="168">
        <f t="shared" si="6"/>
        <v>0</v>
      </c>
      <c r="Z2903" s="168">
        <f t="shared" si="7"/>
        <v>0</v>
      </c>
      <c r="AA2903" s="168">
        <f t="shared" si="8"/>
        <v>0</v>
      </c>
      <c r="AB2903" s="168">
        <f t="shared" si="9"/>
        <v>0</v>
      </c>
    </row>
    <row r="2904" ht="15.0" customHeight="1">
      <c r="A2904" s="157" t="s">
        <v>10475</v>
      </c>
      <c r="B2904" s="169" t="s">
        <v>38</v>
      </c>
      <c r="C2904" s="158" t="s">
        <v>10460</v>
      </c>
      <c r="D2904" s="317">
        <v>45698.0</v>
      </c>
      <c r="E2904" s="157" t="s">
        <v>600</v>
      </c>
      <c r="F2904" s="160">
        <v>2333.67</v>
      </c>
      <c r="G2904" s="160">
        <f>'FACUS$'!$F2904*0.16</f>
        <v>373.3872</v>
      </c>
      <c r="H2904" s="160">
        <f t="shared" si="68"/>
        <v>2707.0572</v>
      </c>
      <c r="I2904" s="172"/>
      <c r="J2904" s="169"/>
      <c r="K2904" s="172"/>
      <c r="L2904" s="172">
        <f>+'FACUS$'!$H2904-'FACUS$'!$I2904-'FACUS$'!$K2904</f>
        <v>2707.0572</v>
      </c>
      <c r="M2904" s="162" t="s">
        <v>4654</v>
      </c>
      <c r="N2904" s="337" t="s">
        <v>554</v>
      </c>
      <c r="O2904" s="338">
        <v>45721.0</v>
      </c>
      <c r="P2904" s="164">
        <f t="array" ref="P2904">XLOOKUP('FACUS$'!$B2904,'perfil de pagos'!$A$4:$A$46,'perfil de pagos'!$C$4:$C$46+'FACUS$'!$D2904)</f>
        <v>45728</v>
      </c>
      <c r="Q2904" s="165">
        <f t="shared" si="70"/>
        <v>0</v>
      </c>
      <c r="R2904" s="167"/>
      <c r="S2904" s="167">
        <v>3657.0</v>
      </c>
      <c r="T2904" s="167"/>
      <c r="U2904" s="334"/>
      <c r="V2904" s="168">
        <f t="shared" si="3"/>
        <v>2707.0572</v>
      </c>
      <c r="W2904" s="168">
        <f t="shared" si="4"/>
        <v>0</v>
      </c>
      <c r="X2904" s="168">
        <f t="shared" si="5"/>
        <v>0</v>
      </c>
      <c r="Y2904" s="168">
        <f t="shared" si="6"/>
        <v>0</v>
      </c>
      <c r="Z2904" s="168">
        <f t="shared" si="7"/>
        <v>0</v>
      </c>
      <c r="AA2904" s="168">
        <f t="shared" si="8"/>
        <v>0</v>
      </c>
      <c r="AB2904" s="168">
        <f t="shared" si="9"/>
        <v>0</v>
      </c>
    </row>
    <row r="2905" ht="15.0" customHeight="1">
      <c r="A2905" s="157" t="s">
        <v>10476</v>
      </c>
      <c r="B2905" s="169" t="s">
        <v>35</v>
      </c>
      <c r="C2905" s="158" t="s">
        <v>10477</v>
      </c>
      <c r="D2905" s="317">
        <v>45698.0</v>
      </c>
      <c r="E2905" s="157" t="s">
        <v>600</v>
      </c>
      <c r="F2905" s="160">
        <v>9426.88</v>
      </c>
      <c r="G2905" s="160">
        <f>'FACUS$'!$F2905*0.16</f>
        <v>1508.3008</v>
      </c>
      <c r="H2905" s="160">
        <f t="shared" si="68"/>
        <v>10935.1808</v>
      </c>
      <c r="I2905" s="172">
        <v>5467.59</v>
      </c>
      <c r="J2905" s="169"/>
      <c r="K2905" s="172"/>
      <c r="L2905" s="172">
        <f>+'FACUS$'!$H2905-'FACUS$'!$I2905-'FACUS$'!$K2905</f>
        <v>5467.5908</v>
      </c>
      <c r="M2905" s="162" t="s">
        <v>276</v>
      </c>
      <c r="N2905" s="337" t="s">
        <v>554</v>
      </c>
      <c r="O2905" s="338">
        <v>45709.0</v>
      </c>
      <c r="P2905" s="164">
        <f t="array" ref="P2905">XLOOKUP('FACUS$'!$B2905,'perfil de pagos'!$A$4:$A$46,'perfil de pagos'!$C$4:$C$46+'FACUS$'!$D2905)</f>
        <v>45708</v>
      </c>
      <c r="Q2905" s="165">
        <f t="shared" si="70"/>
        <v>0</v>
      </c>
      <c r="R2905" s="220" t="s">
        <v>10478</v>
      </c>
      <c r="S2905" s="415" t="s">
        <v>10479</v>
      </c>
      <c r="T2905" s="167"/>
      <c r="U2905" s="334"/>
      <c r="V2905" s="168">
        <f t="shared" si="3"/>
        <v>5467.5908</v>
      </c>
      <c r="W2905" s="168">
        <f t="shared" si="4"/>
        <v>0</v>
      </c>
      <c r="X2905" s="168">
        <f t="shared" si="5"/>
        <v>0</v>
      </c>
      <c r="Y2905" s="168">
        <f t="shared" si="6"/>
        <v>0</v>
      </c>
      <c r="Z2905" s="168">
        <f t="shared" si="7"/>
        <v>0</v>
      </c>
      <c r="AA2905" s="168">
        <f t="shared" si="8"/>
        <v>0</v>
      </c>
      <c r="AB2905" s="168">
        <f t="shared" si="9"/>
        <v>0</v>
      </c>
    </row>
    <row r="2906" ht="15.0" customHeight="1">
      <c r="A2906" s="157" t="s">
        <v>10480</v>
      </c>
      <c r="B2906" s="169" t="s">
        <v>52</v>
      </c>
      <c r="C2906" s="158" t="s">
        <v>7043</v>
      </c>
      <c r="D2906" s="317">
        <v>45707.0</v>
      </c>
      <c r="E2906" s="157" t="s">
        <v>600</v>
      </c>
      <c r="F2906" s="160">
        <v>8078.06</v>
      </c>
      <c r="G2906" s="160">
        <f>'FACUS$'!$F2906*0.16</f>
        <v>1292.4896</v>
      </c>
      <c r="H2906" s="160">
        <f t="shared" si="68"/>
        <v>9370.5496</v>
      </c>
      <c r="I2906" s="172"/>
      <c r="J2906" s="169"/>
      <c r="K2906" s="172"/>
      <c r="L2906" s="172">
        <f>+'FACUS$'!$H2906-'FACUS$'!$I2906-'FACUS$'!$K2906</f>
        <v>9370.5496</v>
      </c>
      <c r="M2906" s="162" t="s">
        <v>10309</v>
      </c>
      <c r="N2906" s="337" t="s">
        <v>554</v>
      </c>
      <c r="O2906" s="338">
        <v>45758.0</v>
      </c>
      <c r="P2906" s="164">
        <f t="array" ref="P2906">XLOOKUP('FACUS$'!$B2906,'perfil de pagos'!$A$4:$A$46,'perfil de pagos'!$C$4:$C$46+'FACUS$'!$D2906)</f>
        <v>45722</v>
      </c>
      <c r="Q2906" s="165">
        <f t="shared" si="70"/>
        <v>0</v>
      </c>
      <c r="R2906" s="167"/>
      <c r="S2906" s="167">
        <v>3751.0</v>
      </c>
      <c r="T2906" s="167"/>
      <c r="U2906" s="334"/>
      <c r="V2906" s="168">
        <f t="shared" si="3"/>
        <v>9370.5496</v>
      </c>
      <c r="W2906" s="168">
        <f t="shared" si="4"/>
        <v>0</v>
      </c>
      <c r="X2906" s="168">
        <f t="shared" si="5"/>
        <v>0</v>
      </c>
      <c r="Y2906" s="168">
        <f t="shared" si="6"/>
        <v>0</v>
      </c>
      <c r="Z2906" s="168">
        <f t="shared" si="7"/>
        <v>0</v>
      </c>
      <c r="AA2906" s="168">
        <f t="shared" si="8"/>
        <v>0</v>
      </c>
      <c r="AB2906" s="168">
        <f t="shared" si="9"/>
        <v>0</v>
      </c>
    </row>
    <row r="2907" ht="15.0" customHeight="1">
      <c r="A2907" s="157" t="s">
        <v>10481</v>
      </c>
      <c r="B2907" s="169" t="s">
        <v>52</v>
      </c>
      <c r="C2907" s="158" t="s">
        <v>10482</v>
      </c>
      <c r="D2907" s="317">
        <v>45707.0</v>
      </c>
      <c r="E2907" s="157" t="s">
        <v>600</v>
      </c>
      <c r="F2907" s="160">
        <v>3583.53</v>
      </c>
      <c r="G2907" s="160">
        <f>'FACUS$'!$F2907*0.16</f>
        <v>573.3648</v>
      </c>
      <c r="H2907" s="160">
        <f t="shared" si="68"/>
        <v>4156.8948</v>
      </c>
      <c r="I2907" s="172"/>
      <c r="J2907" s="169"/>
      <c r="K2907" s="172"/>
      <c r="L2907" s="172">
        <f>+'FACUS$'!$H2907-'FACUS$'!$I2907-'FACUS$'!$K2907</f>
        <v>4156.8948</v>
      </c>
      <c r="M2907" s="162" t="s">
        <v>10309</v>
      </c>
      <c r="N2907" s="337"/>
      <c r="O2907" s="338"/>
      <c r="P2907" s="164">
        <f t="array" ref="P2907">XLOOKUP('FACUS$'!$B2907,'perfil de pagos'!$A$4:$A$46,'perfil de pagos'!$C$4:$C$46+'FACUS$'!$D2907)</f>
        <v>45722</v>
      </c>
      <c r="Q2907" s="165">
        <f t="shared" si="70"/>
        <v>67</v>
      </c>
      <c r="R2907" s="167"/>
      <c r="S2907" s="167"/>
      <c r="T2907" s="167"/>
      <c r="U2907" s="334"/>
      <c r="V2907" s="168">
        <f t="shared" si="3"/>
        <v>0</v>
      </c>
      <c r="W2907" s="168">
        <f t="shared" si="4"/>
        <v>0</v>
      </c>
      <c r="X2907" s="168">
        <f t="shared" si="5"/>
        <v>0</v>
      </c>
      <c r="Y2907" s="168">
        <f t="shared" si="6"/>
        <v>0</v>
      </c>
      <c r="Z2907" s="168">
        <f t="shared" si="7"/>
        <v>0</v>
      </c>
      <c r="AA2907" s="168">
        <f t="shared" si="8"/>
        <v>4156.8948</v>
      </c>
      <c r="AB2907" s="168">
        <f t="shared" si="9"/>
        <v>0</v>
      </c>
    </row>
    <row r="2908" ht="15.0" customHeight="1">
      <c r="A2908" s="157" t="s">
        <v>10483</v>
      </c>
      <c r="B2908" s="169" t="s">
        <v>35</v>
      </c>
      <c r="C2908" s="158" t="s">
        <v>10482</v>
      </c>
      <c r="D2908" s="317">
        <v>45707.0</v>
      </c>
      <c r="E2908" s="157" t="s">
        <v>600</v>
      </c>
      <c r="F2908" s="160">
        <v>14764.49</v>
      </c>
      <c r="G2908" s="160">
        <f>'FACUS$'!$F2908*0.16</f>
        <v>2362.3184</v>
      </c>
      <c r="H2908" s="160">
        <f t="shared" si="68"/>
        <v>17126.8084</v>
      </c>
      <c r="I2908" s="172"/>
      <c r="J2908" s="169"/>
      <c r="K2908" s="172"/>
      <c r="L2908" s="172">
        <f>+'FACUS$'!$H2908-'FACUS$'!$I2908-'FACUS$'!$K2908</f>
        <v>17126.8084</v>
      </c>
      <c r="M2908" s="162" t="s">
        <v>276</v>
      </c>
      <c r="N2908" s="337" t="s">
        <v>554</v>
      </c>
      <c r="O2908" s="338">
        <v>45726.0</v>
      </c>
      <c r="P2908" s="164">
        <f t="array" ref="P2908">XLOOKUP('FACUS$'!$B2908,'perfil de pagos'!$A$4:$A$46,'perfil de pagos'!$C$4:$C$46+'FACUS$'!$D2908)</f>
        <v>45717</v>
      </c>
      <c r="Q2908" s="165">
        <f t="shared" si="70"/>
        <v>0</v>
      </c>
      <c r="R2908" s="167"/>
      <c r="S2908" s="167">
        <v>3670.0</v>
      </c>
      <c r="T2908" s="167"/>
      <c r="U2908" s="334"/>
      <c r="V2908" s="168">
        <f t="shared" si="3"/>
        <v>17126.8084</v>
      </c>
      <c r="W2908" s="168">
        <f t="shared" si="4"/>
        <v>0</v>
      </c>
      <c r="X2908" s="168">
        <f t="shared" si="5"/>
        <v>0</v>
      </c>
      <c r="Y2908" s="168">
        <f t="shared" si="6"/>
        <v>0</v>
      </c>
      <c r="Z2908" s="168">
        <f t="shared" si="7"/>
        <v>0</v>
      </c>
      <c r="AA2908" s="168">
        <f t="shared" si="8"/>
        <v>0</v>
      </c>
      <c r="AB2908" s="168">
        <f t="shared" si="9"/>
        <v>0</v>
      </c>
    </row>
    <row r="2909" ht="15.0" customHeight="1">
      <c r="A2909" s="157" t="s">
        <v>10484</v>
      </c>
      <c r="B2909" s="169" t="s">
        <v>17</v>
      </c>
      <c r="C2909" s="158" t="s">
        <v>7043</v>
      </c>
      <c r="D2909" s="317">
        <v>45707.0</v>
      </c>
      <c r="E2909" s="157" t="s">
        <v>600</v>
      </c>
      <c r="F2909" s="160">
        <v>24868.8</v>
      </c>
      <c r="G2909" s="160">
        <f>'FACUS$'!$F2909*0.16</f>
        <v>3979.008</v>
      </c>
      <c r="H2909" s="160">
        <f t="shared" si="68"/>
        <v>28847.808</v>
      </c>
      <c r="I2909" s="172"/>
      <c r="J2909" s="169"/>
      <c r="K2909" s="172"/>
      <c r="L2909" s="172">
        <f>+'FACUS$'!$H2909-'FACUS$'!$I2909-'FACUS$'!$K2909</f>
        <v>28847.808</v>
      </c>
      <c r="M2909" s="162" t="s">
        <v>17</v>
      </c>
      <c r="N2909" s="337" t="s">
        <v>554</v>
      </c>
      <c r="O2909" s="338">
        <v>45736.0</v>
      </c>
      <c r="P2909" s="164">
        <f t="array" ref="P2909">XLOOKUP('FACUS$'!$B2909,'perfil de pagos'!$A$4:$A$46,'perfil de pagos'!$C$4:$C$46+'FACUS$'!$D2909)</f>
        <v>45717</v>
      </c>
      <c r="Q2909" s="165">
        <f t="shared" si="70"/>
        <v>0</v>
      </c>
      <c r="R2909" s="167"/>
      <c r="S2909" s="167">
        <v>3701.0</v>
      </c>
      <c r="T2909" s="167"/>
      <c r="U2909" s="334"/>
      <c r="V2909" s="168">
        <f t="shared" si="3"/>
        <v>28847.808</v>
      </c>
      <c r="W2909" s="168">
        <f t="shared" si="4"/>
        <v>0</v>
      </c>
      <c r="X2909" s="168">
        <f t="shared" si="5"/>
        <v>0</v>
      </c>
      <c r="Y2909" s="168">
        <f t="shared" si="6"/>
        <v>0</v>
      </c>
      <c r="Z2909" s="168">
        <f t="shared" si="7"/>
        <v>0</v>
      </c>
      <c r="AA2909" s="168">
        <f t="shared" si="8"/>
        <v>0</v>
      </c>
      <c r="AB2909" s="168">
        <f t="shared" si="9"/>
        <v>0</v>
      </c>
    </row>
    <row r="2910" ht="15.0" customHeight="1">
      <c r="A2910" s="157" t="s">
        <v>10485</v>
      </c>
      <c r="B2910" s="169" t="s">
        <v>17</v>
      </c>
      <c r="C2910" s="158" t="s">
        <v>10482</v>
      </c>
      <c r="D2910" s="317">
        <v>45707.0</v>
      </c>
      <c r="E2910" s="157" t="s">
        <v>600</v>
      </c>
      <c r="F2910" s="160">
        <v>26890.62</v>
      </c>
      <c r="G2910" s="160">
        <f>'FACUS$'!$F2910*0.16</f>
        <v>4302.4992</v>
      </c>
      <c r="H2910" s="160">
        <f t="shared" si="68"/>
        <v>31193.1192</v>
      </c>
      <c r="I2910" s="172"/>
      <c r="J2910" s="169"/>
      <c r="K2910" s="172"/>
      <c r="L2910" s="172">
        <f>+'FACUS$'!$H2910-'FACUS$'!$I2910-'FACUS$'!$K2910</f>
        <v>31193.1192</v>
      </c>
      <c r="M2910" s="162" t="s">
        <v>17</v>
      </c>
      <c r="N2910" s="337" t="s">
        <v>554</v>
      </c>
      <c r="O2910" s="338">
        <v>45736.0</v>
      </c>
      <c r="P2910" s="164">
        <f t="array" ref="P2910">XLOOKUP('FACUS$'!$B2910,'perfil de pagos'!$A$4:$A$46,'perfil de pagos'!$C$4:$C$46+'FACUS$'!$D2910)</f>
        <v>45717</v>
      </c>
      <c r="Q2910" s="165">
        <f t="shared" si="70"/>
        <v>0</v>
      </c>
      <c r="R2910" s="167"/>
      <c r="S2910" s="167">
        <v>3701.0</v>
      </c>
      <c r="T2910" s="167"/>
      <c r="U2910" s="334"/>
      <c r="V2910" s="168">
        <f t="shared" si="3"/>
        <v>31193.1192</v>
      </c>
      <c r="W2910" s="168">
        <f t="shared" si="4"/>
        <v>0</v>
      </c>
      <c r="X2910" s="168">
        <f t="shared" si="5"/>
        <v>0</v>
      </c>
      <c r="Y2910" s="168">
        <f t="shared" si="6"/>
        <v>0</v>
      </c>
      <c r="Z2910" s="168">
        <f t="shared" si="7"/>
        <v>0</v>
      </c>
      <c r="AA2910" s="168">
        <f t="shared" si="8"/>
        <v>0</v>
      </c>
      <c r="AB2910" s="168">
        <f t="shared" si="9"/>
        <v>0</v>
      </c>
    </row>
    <row r="2911" ht="15.0" customHeight="1">
      <c r="A2911" s="157" t="s">
        <v>10486</v>
      </c>
      <c r="B2911" s="169" t="s">
        <v>42</v>
      </c>
      <c r="C2911" s="158" t="s">
        <v>10482</v>
      </c>
      <c r="D2911" s="317">
        <v>45707.0</v>
      </c>
      <c r="E2911" s="157" t="s">
        <v>600</v>
      </c>
      <c r="F2911" s="160">
        <v>13764.1</v>
      </c>
      <c r="G2911" s="160">
        <f>'FACUS$'!$F2911*0.16</f>
        <v>2202.256</v>
      </c>
      <c r="H2911" s="160">
        <f t="shared" si="68"/>
        <v>15966.356</v>
      </c>
      <c r="I2911" s="172"/>
      <c r="J2911" s="169"/>
      <c r="K2911" s="172"/>
      <c r="L2911" s="172">
        <f>+'FACUS$'!$H2911-'FACUS$'!$I2911-'FACUS$'!$K2911</f>
        <v>15966.356</v>
      </c>
      <c r="M2911" s="162" t="s">
        <v>42</v>
      </c>
      <c r="N2911" s="414" t="s">
        <v>554</v>
      </c>
      <c r="O2911" s="338">
        <v>45722.0</v>
      </c>
      <c r="P2911" s="164">
        <f t="array" ref="P2911">XLOOKUP('FACUS$'!$B2911,'perfil de pagos'!$A$4:$A$46,'perfil de pagos'!$C$4:$C$46+'FACUS$'!$D2911)</f>
        <v>45717</v>
      </c>
      <c r="Q2911" s="165">
        <f t="shared" si="70"/>
        <v>0</v>
      </c>
      <c r="R2911" s="167"/>
      <c r="S2911" s="167">
        <v>3665.0</v>
      </c>
      <c r="T2911" s="167"/>
      <c r="U2911" s="334"/>
      <c r="V2911" s="168">
        <f t="shared" si="3"/>
        <v>15966.356</v>
      </c>
      <c r="W2911" s="168">
        <f t="shared" si="4"/>
        <v>0</v>
      </c>
      <c r="X2911" s="168">
        <f t="shared" si="5"/>
        <v>0</v>
      </c>
      <c r="Y2911" s="168">
        <f t="shared" si="6"/>
        <v>0</v>
      </c>
      <c r="Z2911" s="168">
        <f t="shared" si="7"/>
        <v>0</v>
      </c>
      <c r="AA2911" s="168">
        <f t="shared" si="8"/>
        <v>0</v>
      </c>
      <c r="AB2911" s="168">
        <f t="shared" si="9"/>
        <v>0</v>
      </c>
    </row>
    <row r="2912" ht="15.0" customHeight="1">
      <c r="A2912" s="157" t="s">
        <v>10487</v>
      </c>
      <c r="B2912" s="169" t="s">
        <v>44</v>
      </c>
      <c r="C2912" s="158" t="s">
        <v>10482</v>
      </c>
      <c r="D2912" s="317">
        <v>45707.0</v>
      </c>
      <c r="E2912" s="157" t="s">
        <v>600</v>
      </c>
      <c r="F2912" s="160">
        <v>16075.41</v>
      </c>
      <c r="G2912" s="160">
        <f>'FACUS$'!$F2912*0.16</f>
        <v>2572.0656</v>
      </c>
      <c r="H2912" s="160">
        <f t="shared" si="68"/>
        <v>18647.4756</v>
      </c>
      <c r="I2912" s="172"/>
      <c r="J2912" s="169"/>
      <c r="K2912" s="172"/>
      <c r="L2912" s="172">
        <f>+'FACUS$'!$H2912-'FACUS$'!$I2912-'FACUS$'!$K2912</f>
        <v>18647.4756</v>
      </c>
      <c r="M2912" s="162" t="s">
        <v>361</v>
      </c>
      <c r="N2912" s="414" t="s">
        <v>554</v>
      </c>
      <c r="O2912" s="338">
        <v>45716.0</v>
      </c>
      <c r="P2912" s="164">
        <f t="array" ref="P2912">XLOOKUP('FACUS$'!$B2912,'perfil de pagos'!$A$4:$A$46,'perfil de pagos'!$C$4:$C$46+'FACUS$'!$D2912)</f>
        <v>45717</v>
      </c>
      <c r="Q2912" s="165">
        <f t="shared" si="70"/>
        <v>0</v>
      </c>
      <c r="R2912" s="167"/>
      <c r="S2912" s="167"/>
      <c r="T2912" s="167"/>
      <c r="U2912" s="334"/>
      <c r="V2912" s="168">
        <f t="shared" si="3"/>
        <v>18647.4756</v>
      </c>
      <c r="W2912" s="168">
        <f t="shared" si="4"/>
        <v>0</v>
      </c>
      <c r="X2912" s="168">
        <f t="shared" si="5"/>
        <v>0</v>
      </c>
      <c r="Y2912" s="168">
        <f t="shared" si="6"/>
        <v>0</v>
      </c>
      <c r="Z2912" s="168">
        <f t="shared" si="7"/>
        <v>0</v>
      </c>
      <c r="AA2912" s="168">
        <f t="shared" si="8"/>
        <v>0</v>
      </c>
      <c r="AB2912" s="168">
        <f t="shared" si="9"/>
        <v>0</v>
      </c>
    </row>
    <row r="2913" ht="15.0" customHeight="1">
      <c r="A2913" s="157" t="s">
        <v>10488</v>
      </c>
      <c r="B2913" s="169" t="s">
        <v>50</v>
      </c>
      <c r="C2913" s="158" t="s">
        <v>7043</v>
      </c>
      <c r="D2913" s="317">
        <v>45707.0</v>
      </c>
      <c r="E2913" s="157" t="s">
        <v>600</v>
      </c>
      <c r="F2913" s="160">
        <v>25687.36</v>
      </c>
      <c r="G2913" s="160">
        <f>'FACUS$'!$F2913*0.16</f>
        <v>4109.9776</v>
      </c>
      <c r="H2913" s="160">
        <f t="shared" si="68"/>
        <v>29797.3376</v>
      </c>
      <c r="I2913" s="172"/>
      <c r="J2913" s="169"/>
      <c r="K2913" s="172"/>
      <c r="L2913" s="172">
        <f>+'FACUS$'!$H2913-'FACUS$'!$I2913-'FACUS$'!$K2913</f>
        <v>29797.3376</v>
      </c>
      <c r="M2913" s="162" t="s">
        <v>570</v>
      </c>
      <c r="N2913" s="337" t="s">
        <v>554</v>
      </c>
      <c r="O2913" s="338">
        <v>45723.0</v>
      </c>
      <c r="P2913" s="164">
        <f t="array" ref="P2913">XLOOKUP('FACUS$'!$B2913,'perfil de pagos'!$A$4:$A$46,'perfil de pagos'!$C$4:$C$46+'FACUS$'!$D2913)</f>
        <v>45717</v>
      </c>
      <c r="Q2913" s="165">
        <f t="shared" si="70"/>
        <v>0</v>
      </c>
      <c r="R2913" s="167"/>
      <c r="S2913" s="167">
        <v>3666.0</v>
      </c>
      <c r="T2913" s="167"/>
      <c r="U2913" s="334"/>
      <c r="V2913" s="168">
        <f t="shared" si="3"/>
        <v>29797.3376</v>
      </c>
      <c r="W2913" s="168">
        <f t="shared" si="4"/>
        <v>0</v>
      </c>
      <c r="X2913" s="168">
        <f t="shared" si="5"/>
        <v>0</v>
      </c>
      <c r="Y2913" s="168">
        <f t="shared" si="6"/>
        <v>0</v>
      </c>
      <c r="Z2913" s="168">
        <f t="shared" si="7"/>
        <v>0</v>
      </c>
      <c r="AA2913" s="168">
        <f t="shared" si="8"/>
        <v>0</v>
      </c>
      <c r="AB2913" s="168">
        <f t="shared" si="9"/>
        <v>0</v>
      </c>
    </row>
    <row r="2914" ht="15.0" customHeight="1">
      <c r="A2914" s="157" t="s">
        <v>10489</v>
      </c>
      <c r="B2914" s="169" t="s">
        <v>50</v>
      </c>
      <c r="C2914" s="158" t="s">
        <v>10482</v>
      </c>
      <c r="D2914" s="317">
        <v>45707.0</v>
      </c>
      <c r="E2914" s="157" t="s">
        <v>600</v>
      </c>
      <c r="F2914" s="160">
        <v>22164.19</v>
      </c>
      <c r="G2914" s="160">
        <f>'FACUS$'!$F2914*0.16</f>
        <v>3546.2704</v>
      </c>
      <c r="H2914" s="160">
        <f t="shared" si="68"/>
        <v>25710.4604</v>
      </c>
      <c r="I2914" s="172"/>
      <c r="J2914" s="169"/>
      <c r="K2914" s="172"/>
      <c r="L2914" s="172">
        <f>+'FACUS$'!$H2914-'FACUS$'!$I2914-'FACUS$'!$K2914</f>
        <v>25710.4604</v>
      </c>
      <c r="M2914" s="162" t="s">
        <v>570</v>
      </c>
      <c r="N2914" s="337" t="s">
        <v>554</v>
      </c>
      <c r="O2914" s="338" t="s">
        <v>10490</v>
      </c>
      <c r="P2914" s="164">
        <f t="array" ref="P2914">XLOOKUP('FACUS$'!$B2914,'perfil de pagos'!$A$4:$A$46,'perfil de pagos'!$C$4:$C$46+'FACUS$'!$D2914)</f>
        <v>45717</v>
      </c>
      <c r="Q2914" s="165">
        <f t="shared" si="70"/>
        <v>0</v>
      </c>
      <c r="R2914" s="167"/>
      <c r="S2914" s="167">
        <v>3685.0</v>
      </c>
      <c r="T2914" s="167"/>
      <c r="U2914" s="334"/>
      <c r="V2914" s="168">
        <f t="shared" si="3"/>
        <v>25710.4604</v>
      </c>
      <c r="W2914" s="168">
        <f t="shared" si="4"/>
        <v>0</v>
      </c>
      <c r="X2914" s="168">
        <f t="shared" si="5"/>
        <v>0</v>
      </c>
      <c r="Y2914" s="168">
        <f t="shared" si="6"/>
        <v>0</v>
      </c>
      <c r="Z2914" s="168">
        <f t="shared" si="7"/>
        <v>0</v>
      </c>
      <c r="AA2914" s="168">
        <f t="shared" si="8"/>
        <v>0</v>
      </c>
      <c r="AB2914" s="168">
        <f t="shared" si="9"/>
        <v>0</v>
      </c>
    </row>
    <row r="2915" ht="15.0" customHeight="1">
      <c r="A2915" s="157" t="s">
        <v>10491</v>
      </c>
      <c r="B2915" s="169" t="s">
        <v>41</v>
      </c>
      <c r="C2915" s="158" t="s">
        <v>10482</v>
      </c>
      <c r="D2915" s="317">
        <v>45707.0</v>
      </c>
      <c r="E2915" s="157" t="s">
        <v>600</v>
      </c>
      <c r="F2915" s="160">
        <v>97851.17</v>
      </c>
      <c r="G2915" s="160">
        <f>'FACUS$'!$F2915*0.16</f>
        <v>15656.1872</v>
      </c>
      <c r="H2915" s="160">
        <f t="shared" si="68"/>
        <v>113507.3572</v>
      </c>
      <c r="I2915" s="172"/>
      <c r="J2915" s="169"/>
      <c r="K2915" s="172"/>
      <c r="L2915" s="172">
        <f>+'FACUS$'!$H2915-'FACUS$'!$I2915-'FACUS$'!$K2915</f>
        <v>113507.3572</v>
      </c>
      <c r="M2915" s="162" t="s">
        <v>875</v>
      </c>
      <c r="N2915" s="337" t="s">
        <v>554</v>
      </c>
      <c r="O2915" s="338">
        <v>45758.0</v>
      </c>
      <c r="P2915" s="164">
        <f t="array" ref="P2915">XLOOKUP('FACUS$'!$B2915,'perfil de pagos'!$A$4:$A$46,'perfil de pagos'!$C$4:$C$46+'FACUS$'!$D2915)</f>
        <v>45717</v>
      </c>
      <c r="Q2915" s="165">
        <f t="shared" si="70"/>
        <v>0</v>
      </c>
      <c r="R2915" s="167"/>
      <c r="S2915" s="167">
        <v>3754.0</v>
      </c>
      <c r="T2915" s="167"/>
      <c r="U2915" s="334"/>
      <c r="V2915" s="168">
        <f t="shared" si="3"/>
        <v>113507.3572</v>
      </c>
      <c r="W2915" s="168">
        <f t="shared" si="4"/>
        <v>0</v>
      </c>
      <c r="X2915" s="168">
        <f t="shared" si="5"/>
        <v>0</v>
      </c>
      <c r="Y2915" s="168">
        <f t="shared" si="6"/>
        <v>0</v>
      </c>
      <c r="Z2915" s="168">
        <f t="shared" si="7"/>
        <v>0</v>
      </c>
      <c r="AA2915" s="168">
        <f t="shared" si="8"/>
        <v>0</v>
      </c>
      <c r="AB2915" s="168">
        <f t="shared" si="9"/>
        <v>0</v>
      </c>
    </row>
    <row r="2916" ht="15.0" customHeight="1">
      <c r="A2916" s="157" t="s">
        <v>10492</v>
      </c>
      <c r="B2916" s="169" t="s">
        <v>38</v>
      </c>
      <c r="C2916" s="158" t="s">
        <v>10482</v>
      </c>
      <c r="D2916" s="317">
        <v>45708.0</v>
      </c>
      <c r="E2916" s="157" t="s">
        <v>600</v>
      </c>
      <c r="F2916" s="160">
        <v>2152.29</v>
      </c>
      <c r="G2916" s="160">
        <f>'FACUS$'!$F2916*0.16</f>
        <v>344.3664</v>
      </c>
      <c r="H2916" s="160">
        <f t="shared" si="68"/>
        <v>2496.6564</v>
      </c>
      <c r="I2916" s="172"/>
      <c r="J2916" s="169"/>
      <c r="K2916" s="172"/>
      <c r="L2916" s="172">
        <f>+'FACUS$'!$H2916-'FACUS$'!$I2916-'FACUS$'!$K2916</f>
        <v>2496.6564</v>
      </c>
      <c r="M2916" s="162" t="s">
        <v>4654</v>
      </c>
      <c r="N2916" s="337" t="s">
        <v>554</v>
      </c>
      <c r="O2916" s="338">
        <v>45728.0</v>
      </c>
      <c r="P2916" s="164">
        <f t="array" ref="P2916">XLOOKUP('FACUS$'!$B2916,'perfil de pagos'!$A$4:$A$46,'perfil de pagos'!$C$4:$C$46+'FACUS$'!$D2916)</f>
        <v>45738</v>
      </c>
      <c r="Q2916" s="165">
        <f t="shared" si="70"/>
        <v>0</v>
      </c>
      <c r="R2916" s="167"/>
      <c r="S2916" s="167">
        <v>3682.0</v>
      </c>
      <c r="T2916" s="167"/>
      <c r="U2916" s="334"/>
      <c r="V2916" s="168">
        <f t="shared" si="3"/>
        <v>2496.6564</v>
      </c>
      <c r="W2916" s="168">
        <f t="shared" si="4"/>
        <v>0</v>
      </c>
      <c r="X2916" s="168">
        <f t="shared" si="5"/>
        <v>0</v>
      </c>
      <c r="Y2916" s="168">
        <f t="shared" si="6"/>
        <v>0</v>
      </c>
      <c r="Z2916" s="168">
        <f t="shared" si="7"/>
        <v>0</v>
      </c>
      <c r="AA2916" s="168">
        <f t="shared" si="8"/>
        <v>0</v>
      </c>
      <c r="AB2916" s="168">
        <f t="shared" si="9"/>
        <v>0</v>
      </c>
    </row>
    <row r="2917" ht="15.0" customHeight="1">
      <c r="A2917" s="157" t="s">
        <v>10493</v>
      </c>
      <c r="B2917" s="169" t="s">
        <v>18</v>
      </c>
      <c r="C2917" s="158" t="s">
        <v>10482</v>
      </c>
      <c r="D2917" s="317">
        <v>45713.0</v>
      </c>
      <c r="E2917" s="157" t="s">
        <v>600</v>
      </c>
      <c r="F2917" s="160">
        <v>6183.0</v>
      </c>
      <c r="G2917" s="160">
        <f>'FACUS$'!$F2917*0.16</f>
        <v>989.28</v>
      </c>
      <c r="H2917" s="160">
        <f t="shared" si="68"/>
        <v>7172.28</v>
      </c>
      <c r="I2917" s="172"/>
      <c r="J2917" s="169"/>
      <c r="K2917" s="172"/>
      <c r="L2917" s="172">
        <f>+'FACUS$'!$H2917-'FACUS$'!$I2917-'FACUS$'!$K2917</f>
        <v>7172.28</v>
      </c>
      <c r="M2917" s="162" t="s">
        <v>586</v>
      </c>
      <c r="N2917" s="337" t="s">
        <v>554</v>
      </c>
      <c r="O2917" s="338">
        <v>45751.0</v>
      </c>
      <c r="P2917" s="164">
        <f t="array" ref="P2917">XLOOKUP('FACUS$'!$B2917,'perfil de pagos'!$A$4:$A$46,'perfil de pagos'!$C$4:$C$46+'FACUS$'!$D2917)</f>
        <v>45723</v>
      </c>
      <c r="Q2917" s="165">
        <f t="shared" si="70"/>
        <v>0</v>
      </c>
      <c r="R2917" s="167"/>
      <c r="S2917" s="167">
        <v>3731.0</v>
      </c>
      <c r="T2917" s="167"/>
      <c r="U2917" s="334"/>
      <c r="V2917" s="168">
        <f t="shared" si="3"/>
        <v>7172.28</v>
      </c>
      <c r="W2917" s="168">
        <f t="shared" si="4"/>
        <v>0</v>
      </c>
      <c r="X2917" s="168">
        <f t="shared" si="5"/>
        <v>0</v>
      </c>
      <c r="Y2917" s="168">
        <f t="shared" si="6"/>
        <v>0</v>
      </c>
      <c r="Z2917" s="168">
        <f t="shared" si="7"/>
        <v>0</v>
      </c>
      <c r="AA2917" s="168">
        <f t="shared" si="8"/>
        <v>0</v>
      </c>
      <c r="AB2917" s="168">
        <f t="shared" si="9"/>
        <v>0</v>
      </c>
    </row>
    <row r="2918" ht="15.0" customHeight="1">
      <c r="A2918" s="157" t="s">
        <v>10494</v>
      </c>
      <c r="B2918" s="169" t="s">
        <v>20</v>
      </c>
      <c r="C2918" s="158" t="s">
        <v>10482</v>
      </c>
      <c r="D2918" s="317">
        <v>45713.0</v>
      </c>
      <c r="E2918" s="157" t="s">
        <v>600</v>
      </c>
      <c r="F2918" s="160">
        <v>11669.11</v>
      </c>
      <c r="G2918" s="160">
        <f>'FACUS$'!$F2918*0.16</f>
        <v>1867.0576</v>
      </c>
      <c r="H2918" s="160">
        <f t="shared" si="68"/>
        <v>13536.1676</v>
      </c>
      <c r="I2918" s="172"/>
      <c r="J2918" s="169"/>
      <c r="K2918" s="172"/>
      <c r="L2918" s="172">
        <f>+'FACUS$'!$H2918-'FACUS$'!$I2918-'FACUS$'!$K2918</f>
        <v>13536.1676</v>
      </c>
      <c r="M2918" s="162" t="s">
        <v>732</v>
      </c>
      <c r="N2918" s="337" t="s">
        <v>554</v>
      </c>
      <c r="O2918" s="338">
        <v>45751.0</v>
      </c>
      <c r="P2918" s="164">
        <f t="array" ref="P2918">XLOOKUP('FACUS$'!$B2918,'perfil de pagos'!$A$4:$A$46,'perfil de pagos'!$C$4:$C$46+'FACUS$'!$D2918)</f>
        <v>45723</v>
      </c>
      <c r="Q2918" s="165">
        <f t="shared" si="70"/>
        <v>0</v>
      </c>
      <c r="R2918" s="167"/>
      <c r="S2918" s="167">
        <v>3731.0</v>
      </c>
      <c r="T2918" s="167"/>
      <c r="U2918" s="334"/>
      <c r="V2918" s="168">
        <f t="shared" si="3"/>
        <v>13536.1676</v>
      </c>
      <c r="W2918" s="168">
        <f t="shared" si="4"/>
        <v>0</v>
      </c>
      <c r="X2918" s="168">
        <f t="shared" si="5"/>
        <v>0</v>
      </c>
      <c r="Y2918" s="168">
        <f t="shared" si="6"/>
        <v>0</v>
      </c>
      <c r="Z2918" s="168">
        <f t="shared" si="7"/>
        <v>0</v>
      </c>
      <c r="AA2918" s="168">
        <f t="shared" si="8"/>
        <v>0</v>
      </c>
      <c r="AB2918" s="168">
        <f t="shared" si="9"/>
        <v>0</v>
      </c>
    </row>
    <row r="2919" ht="15.0" customHeight="1">
      <c r="A2919" s="157" t="s">
        <v>10495</v>
      </c>
      <c r="B2919" s="169" t="s">
        <v>25</v>
      </c>
      <c r="C2919" s="158" t="s">
        <v>10482</v>
      </c>
      <c r="D2919" s="317">
        <v>45713.0</v>
      </c>
      <c r="E2919" s="157" t="s">
        <v>600</v>
      </c>
      <c r="F2919" s="160">
        <v>5405.47</v>
      </c>
      <c r="G2919" s="160">
        <f>'FACUS$'!$F2919*0.16</f>
        <v>864.8752</v>
      </c>
      <c r="H2919" s="160">
        <f t="shared" si="68"/>
        <v>6270.3452</v>
      </c>
      <c r="I2919" s="172"/>
      <c r="J2919" s="169"/>
      <c r="K2919" s="172"/>
      <c r="L2919" s="172">
        <f>+'FACUS$'!$H2919-'FACUS$'!$I2919-'FACUS$'!$K2919</f>
        <v>6270.3452</v>
      </c>
      <c r="M2919" s="162" t="s">
        <v>4388</v>
      </c>
      <c r="N2919" s="337" t="s">
        <v>554</v>
      </c>
      <c r="O2919" s="338">
        <v>45720.0</v>
      </c>
      <c r="P2919" s="164">
        <f t="array" ref="P2919">XLOOKUP('FACUS$'!$B2919,'perfil de pagos'!$A$4:$A$46,'perfil de pagos'!$C$4:$C$46+'FACUS$'!$D2919)</f>
        <v>45723</v>
      </c>
      <c r="Q2919" s="165">
        <f t="shared" si="70"/>
        <v>0</v>
      </c>
      <c r="R2919" s="167"/>
      <c r="S2919" s="167">
        <v>3663.0</v>
      </c>
      <c r="T2919" s="167"/>
      <c r="U2919" s="334"/>
      <c r="V2919" s="168">
        <f t="shared" si="3"/>
        <v>6270.3452</v>
      </c>
      <c r="W2919" s="168">
        <f t="shared" si="4"/>
        <v>0</v>
      </c>
      <c r="X2919" s="168">
        <f t="shared" si="5"/>
        <v>0</v>
      </c>
      <c r="Y2919" s="168">
        <f t="shared" si="6"/>
        <v>0</v>
      </c>
      <c r="Z2919" s="168">
        <f t="shared" si="7"/>
        <v>0</v>
      </c>
      <c r="AA2919" s="168">
        <f t="shared" si="8"/>
        <v>0</v>
      </c>
      <c r="AB2919" s="168">
        <f t="shared" si="9"/>
        <v>0</v>
      </c>
    </row>
    <row r="2920" ht="15.0" customHeight="1">
      <c r="A2920" s="157" t="s">
        <v>10496</v>
      </c>
      <c r="B2920" s="169" t="s">
        <v>38</v>
      </c>
      <c r="C2920" s="158" t="s">
        <v>10482</v>
      </c>
      <c r="D2920" s="317">
        <v>45714.0</v>
      </c>
      <c r="E2920" s="157" t="s">
        <v>600</v>
      </c>
      <c r="F2920" s="160">
        <v>7839.58</v>
      </c>
      <c r="G2920" s="160">
        <f>'FACUS$'!$F2920*0.16</f>
        <v>1254.3328</v>
      </c>
      <c r="H2920" s="160">
        <f t="shared" si="68"/>
        <v>9093.9128</v>
      </c>
      <c r="I2920" s="172"/>
      <c r="J2920" s="169"/>
      <c r="K2920" s="172"/>
      <c r="L2920" s="172">
        <f>+'FACUS$'!$H2920-'FACUS$'!$I2920-'FACUS$'!$K2920</f>
        <v>9093.9128</v>
      </c>
      <c r="M2920" s="162" t="s">
        <v>10457</v>
      </c>
      <c r="N2920" s="337" t="s">
        <v>554</v>
      </c>
      <c r="O2920" s="338">
        <v>45728.0</v>
      </c>
      <c r="P2920" s="164">
        <f t="array" ref="P2920">XLOOKUP('FACUS$'!$B2920,'perfil de pagos'!$A$4:$A$46,'perfil de pagos'!$C$4:$C$46+'FACUS$'!$D2920)</f>
        <v>45744</v>
      </c>
      <c r="Q2920" s="165">
        <f t="shared" si="70"/>
        <v>0</v>
      </c>
      <c r="R2920" s="167"/>
      <c r="S2920" s="167">
        <v>3682.0</v>
      </c>
      <c r="T2920" s="167"/>
      <c r="U2920" s="334"/>
      <c r="V2920" s="168">
        <f t="shared" si="3"/>
        <v>9093.9128</v>
      </c>
      <c r="W2920" s="168">
        <f t="shared" si="4"/>
        <v>0</v>
      </c>
      <c r="X2920" s="168">
        <f t="shared" si="5"/>
        <v>0</v>
      </c>
      <c r="Y2920" s="168">
        <f t="shared" si="6"/>
        <v>0</v>
      </c>
      <c r="Z2920" s="168">
        <f t="shared" si="7"/>
        <v>0</v>
      </c>
      <c r="AA2920" s="168">
        <f t="shared" si="8"/>
        <v>0</v>
      </c>
      <c r="AB2920" s="168">
        <f t="shared" si="9"/>
        <v>0</v>
      </c>
    </row>
    <row r="2921" ht="15.0" customHeight="1">
      <c r="A2921" s="157" t="s">
        <v>10497</v>
      </c>
      <c r="B2921" s="169" t="s">
        <v>37</v>
      </c>
      <c r="C2921" s="158" t="s">
        <v>10482</v>
      </c>
      <c r="D2921" s="317">
        <v>45714.0</v>
      </c>
      <c r="E2921" s="157" t="s">
        <v>600</v>
      </c>
      <c r="F2921" s="160">
        <v>96244.7</v>
      </c>
      <c r="G2921" s="160">
        <f>'FACUS$'!$F2921*0.16</f>
        <v>15399.152</v>
      </c>
      <c r="H2921" s="160">
        <f t="shared" si="68"/>
        <v>111643.852</v>
      </c>
      <c r="I2921" s="172"/>
      <c r="J2921" s="169"/>
      <c r="K2921" s="172"/>
      <c r="L2921" s="172">
        <f>+'FACUS$'!$H2921-'FACUS$'!$I2921-'FACUS$'!$K2921</f>
        <v>111643.852</v>
      </c>
      <c r="M2921" s="162" t="s">
        <v>116</v>
      </c>
      <c r="N2921" s="337" t="s">
        <v>554</v>
      </c>
      <c r="O2921" s="338">
        <v>45726.0</v>
      </c>
      <c r="P2921" s="164">
        <f t="array" ref="P2921">XLOOKUP('FACUS$'!$B2921,'perfil de pagos'!$A$4:$A$46,'perfil de pagos'!$C$4:$C$46+'FACUS$'!$D2921)</f>
        <v>45724</v>
      </c>
      <c r="Q2921" s="165">
        <f t="shared" si="70"/>
        <v>0</v>
      </c>
      <c r="R2921" s="167"/>
      <c r="S2921" s="167">
        <v>3671.0</v>
      </c>
      <c r="T2921" s="167"/>
      <c r="U2921" s="334"/>
      <c r="V2921" s="168">
        <f t="shared" si="3"/>
        <v>111643.852</v>
      </c>
      <c r="W2921" s="168">
        <f t="shared" si="4"/>
        <v>0</v>
      </c>
      <c r="X2921" s="168">
        <f t="shared" si="5"/>
        <v>0</v>
      </c>
      <c r="Y2921" s="168">
        <f t="shared" si="6"/>
        <v>0</v>
      </c>
      <c r="Z2921" s="168">
        <f t="shared" si="7"/>
        <v>0</v>
      </c>
      <c r="AA2921" s="168">
        <f t="shared" si="8"/>
        <v>0</v>
      </c>
      <c r="AB2921" s="168">
        <f t="shared" si="9"/>
        <v>0</v>
      </c>
    </row>
    <row r="2922" ht="15.0" customHeight="1">
      <c r="A2922" s="157" t="s">
        <v>10498</v>
      </c>
      <c r="B2922" s="169" t="s">
        <v>50</v>
      </c>
      <c r="C2922" s="158" t="s">
        <v>7094</v>
      </c>
      <c r="D2922" s="317">
        <v>45720.0</v>
      </c>
      <c r="E2922" s="157" t="s">
        <v>600</v>
      </c>
      <c r="F2922" s="160">
        <v>23467.69</v>
      </c>
      <c r="G2922" s="160">
        <f>'FACUS$'!$F2922*0.16</f>
        <v>3754.8304</v>
      </c>
      <c r="H2922" s="160">
        <f t="shared" si="68"/>
        <v>27222.5204</v>
      </c>
      <c r="I2922" s="172"/>
      <c r="J2922" s="169"/>
      <c r="K2922" s="172"/>
      <c r="L2922" s="172">
        <f>+'FACUS$'!$H2922-'FACUS$'!$I2922-'FACUS$'!$K2922</f>
        <v>27222.5204</v>
      </c>
      <c r="M2922" s="162" t="s">
        <v>570</v>
      </c>
      <c r="N2922" s="337" t="s">
        <v>554</v>
      </c>
      <c r="O2922" s="338">
        <v>45744.0</v>
      </c>
      <c r="P2922" s="164">
        <f t="array" ref="P2922">XLOOKUP('FACUS$'!$B2922,'perfil de pagos'!$A$4:$A$46,'perfil de pagos'!$C$4:$C$46+'FACUS$'!$D2922)</f>
        <v>45730</v>
      </c>
      <c r="Q2922" s="165">
        <f t="shared" si="70"/>
        <v>0</v>
      </c>
      <c r="R2922" s="167"/>
      <c r="S2922" s="167">
        <v>3713.0</v>
      </c>
      <c r="T2922" s="167"/>
      <c r="U2922" s="334"/>
      <c r="V2922" s="168">
        <f t="shared" si="3"/>
        <v>27222.5204</v>
      </c>
      <c r="W2922" s="168">
        <f t="shared" si="4"/>
        <v>0</v>
      </c>
      <c r="X2922" s="168">
        <f t="shared" si="5"/>
        <v>0</v>
      </c>
      <c r="Y2922" s="168">
        <f t="shared" si="6"/>
        <v>0</v>
      </c>
      <c r="Z2922" s="168">
        <f t="shared" si="7"/>
        <v>0</v>
      </c>
      <c r="AA2922" s="168">
        <f t="shared" si="8"/>
        <v>0</v>
      </c>
      <c r="AB2922" s="168">
        <f t="shared" si="9"/>
        <v>0</v>
      </c>
    </row>
    <row r="2923" ht="15.0" customHeight="1">
      <c r="A2923" s="157" t="s">
        <v>10499</v>
      </c>
      <c r="B2923" s="169" t="s">
        <v>50</v>
      </c>
      <c r="C2923" s="158" t="s">
        <v>10500</v>
      </c>
      <c r="D2923" s="317">
        <v>45720.0</v>
      </c>
      <c r="E2923" s="157" t="s">
        <v>600</v>
      </c>
      <c r="F2923" s="160">
        <v>20339.81</v>
      </c>
      <c r="G2923" s="160">
        <f>'FACUS$'!$F2923*0.16</f>
        <v>3254.3696</v>
      </c>
      <c r="H2923" s="160">
        <f t="shared" si="68"/>
        <v>23594.1796</v>
      </c>
      <c r="I2923" s="172"/>
      <c r="J2923" s="169"/>
      <c r="K2923" s="172"/>
      <c r="L2923" s="172">
        <f>+'FACUS$'!$H2923-'FACUS$'!$I2923-'FACUS$'!$K2923</f>
        <v>23594.1796</v>
      </c>
      <c r="M2923" s="162" t="s">
        <v>570</v>
      </c>
      <c r="N2923" s="337" t="s">
        <v>554</v>
      </c>
      <c r="O2923" s="338">
        <v>45737.0</v>
      </c>
      <c r="P2923" s="164">
        <f t="array" ref="P2923">XLOOKUP('FACUS$'!$B2923,'perfil de pagos'!$A$4:$A$46,'perfil de pagos'!$C$4:$C$46+'FACUS$'!$D2923)</f>
        <v>45730</v>
      </c>
      <c r="Q2923" s="165">
        <f t="shared" si="70"/>
        <v>0</v>
      </c>
      <c r="R2923" s="167"/>
      <c r="S2923" s="167">
        <v>3705.0</v>
      </c>
      <c r="T2923" s="167"/>
      <c r="U2923" s="334"/>
      <c r="V2923" s="168">
        <f t="shared" si="3"/>
        <v>23594.1796</v>
      </c>
      <c r="W2923" s="168">
        <f t="shared" si="4"/>
        <v>0</v>
      </c>
      <c r="X2923" s="168">
        <f t="shared" si="5"/>
        <v>0</v>
      </c>
      <c r="Y2923" s="168">
        <f t="shared" si="6"/>
        <v>0</v>
      </c>
      <c r="Z2923" s="168">
        <f t="shared" si="7"/>
        <v>0</v>
      </c>
      <c r="AA2923" s="168">
        <f t="shared" si="8"/>
        <v>0</v>
      </c>
      <c r="AB2923" s="168">
        <f t="shared" si="9"/>
        <v>0</v>
      </c>
    </row>
    <row r="2924" ht="15.0" customHeight="1">
      <c r="A2924" s="157" t="s">
        <v>10501</v>
      </c>
      <c r="B2924" s="169" t="s">
        <v>41</v>
      </c>
      <c r="C2924" s="158" t="s">
        <v>10500</v>
      </c>
      <c r="D2924" s="317">
        <v>45720.0</v>
      </c>
      <c r="E2924" s="157" t="s">
        <v>600</v>
      </c>
      <c r="F2924" s="160">
        <v>102728.0</v>
      </c>
      <c r="G2924" s="160">
        <f>'FACUS$'!$F2924*0.16</f>
        <v>16436.48</v>
      </c>
      <c r="H2924" s="160">
        <f t="shared" si="68"/>
        <v>119164.48</v>
      </c>
      <c r="I2924" s="172"/>
      <c r="J2924" s="169"/>
      <c r="K2924" s="172"/>
      <c r="L2924" s="172">
        <f>+'FACUS$'!$H2924-'FACUS$'!$I2924-'FACUS$'!$K2924</f>
        <v>119164.48</v>
      </c>
      <c r="M2924" s="162" t="s">
        <v>875</v>
      </c>
      <c r="N2924" s="337" t="s">
        <v>554</v>
      </c>
      <c r="O2924" s="338">
        <v>45771.0</v>
      </c>
      <c r="P2924" s="164">
        <f t="array" ref="P2924">XLOOKUP('FACUS$'!$B2924,'perfil de pagos'!$A$4:$A$46,'perfil de pagos'!$C$4:$C$46+'FACUS$'!$D2924)</f>
        <v>45730</v>
      </c>
      <c r="Q2924" s="165">
        <f t="shared" si="70"/>
        <v>0</v>
      </c>
      <c r="R2924" s="167"/>
      <c r="S2924" s="167">
        <v>3777.0</v>
      </c>
      <c r="T2924" s="167"/>
      <c r="U2924" s="334"/>
      <c r="V2924" s="168">
        <f t="shared" si="3"/>
        <v>119164.48</v>
      </c>
      <c r="W2924" s="168">
        <f t="shared" si="4"/>
        <v>0</v>
      </c>
      <c r="X2924" s="168">
        <f t="shared" si="5"/>
        <v>0</v>
      </c>
      <c r="Y2924" s="168">
        <f t="shared" si="6"/>
        <v>0</v>
      </c>
      <c r="Z2924" s="168">
        <f t="shared" si="7"/>
        <v>0</v>
      </c>
      <c r="AA2924" s="168">
        <f t="shared" si="8"/>
        <v>0</v>
      </c>
      <c r="AB2924" s="168">
        <f t="shared" si="9"/>
        <v>0</v>
      </c>
    </row>
    <row r="2925" ht="15.0" customHeight="1">
      <c r="A2925" s="157" t="s">
        <v>10502</v>
      </c>
      <c r="B2925" s="169" t="s">
        <v>52</v>
      </c>
      <c r="C2925" s="158" t="s">
        <v>7094</v>
      </c>
      <c r="D2925" s="317">
        <v>45720.0</v>
      </c>
      <c r="E2925" s="157" t="s">
        <v>600</v>
      </c>
      <c r="F2925" s="160">
        <v>9364.53</v>
      </c>
      <c r="G2925" s="160">
        <f>'FACUS$'!$F2925*0.16</f>
        <v>1498.3248</v>
      </c>
      <c r="H2925" s="160">
        <f t="shared" si="68"/>
        <v>10862.8548</v>
      </c>
      <c r="I2925" s="172"/>
      <c r="J2925" s="169"/>
      <c r="K2925" s="172"/>
      <c r="L2925" s="172">
        <f>+'FACUS$'!$H2925-'FACUS$'!$I2925-'FACUS$'!$K2925</f>
        <v>10862.8548</v>
      </c>
      <c r="M2925" s="162" t="s">
        <v>10309</v>
      </c>
      <c r="N2925" s="337"/>
      <c r="O2925" s="338"/>
      <c r="P2925" s="164">
        <f t="array" ref="P2925">XLOOKUP('FACUS$'!$B2925,'perfil de pagos'!$A$4:$A$46,'perfil de pagos'!$C$4:$C$46+'FACUS$'!$D2925)</f>
        <v>45735</v>
      </c>
      <c r="Q2925" s="165">
        <f t="shared" si="70"/>
        <v>54</v>
      </c>
      <c r="R2925" s="167"/>
      <c r="S2925" s="167"/>
      <c r="T2925" s="167"/>
      <c r="U2925" s="334"/>
      <c r="V2925" s="168">
        <f t="shared" si="3"/>
        <v>0</v>
      </c>
      <c r="W2925" s="168">
        <f t="shared" si="4"/>
        <v>0</v>
      </c>
      <c r="X2925" s="168">
        <f t="shared" si="5"/>
        <v>0</v>
      </c>
      <c r="Y2925" s="168">
        <f t="shared" si="6"/>
        <v>0</v>
      </c>
      <c r="Z2925" s="168">
        <f t="shared" si="7"/>
        <v>10862.8548</v>
      </c>
      <c r="AA2925" s="168">
        <f t="shared" si="8"/>
        <v>0</v>
      </c>
      <c r="AB2925" s="168">
        <f t="shared" si="9"/>
        <v>0</v>
      </c>
    </row>
    <row r="2926" ht="15.0" customHeight="1">
      <c r="A2926" s="157" t="s">
        <v>10503</v>
      </c>
      <c r="B2926" s="169" t="s">
        <v>52</v>
      </c>
      <c r="C2926" s="158" t="s">
        <v>10500</v>
      </c>
      <c r="D2926" s="317">
        <v>45720.0</v>
      </c>
      <c r="E2926" s="157" t="s">
        <v>600</v>
      </c>
      <c r="F2926" s="160">
        <v>4400.79</v>
      </c>
      <c r="G2926" s="160">
        <f>'FACUS$'!$F2926*0.16</f>
        <v>704.1264</v>
      </c>
      <c r="H2926" s="160">
        <f t="shared" si="68"/>
        <v>5104.9164</v>
      </c>
      <c r="I2926" s="172"/>
      <c r="J2926" s="169"/>
      <c r="K2926" s="172"/>
      <c r="L2926" s="172">
        <f>+'FACUS$'!$H2926-'FACUS$'!$I2926-'FACUS$'!$K2926</f>
        <v>5104.9164</v>
      </c>
      <c r="M2926" s="162" t="s">
        <v>10309</v>
      </c>
      <c r="N2926" s="337"/>
      <c r="O2926" s="338"/>
      <c r="P2926" s="164">
        <f t="array" ref="P2926">XLOOKUP('FACUS$'!$B2926,'perfil de pagos'!$A$4:$A$46,'perfil de pagos'!$C$4:$C$46+'FACUS$'!$D2926)</f>
        <v>45735</v>
      </c>
      <c r="Q2926" s="165">
        <f t="shared" si="70"/>
        <v>54</v>
      </c>
      <c r="R2926" s="167"/>
      <c r="S2926" s="167"/>
      <c r="T2926" s="167"/>
      <c r="U2926" s="334"/>
      <c r="V2926" s="168">
        <f t="shared" si="3"/>
        <v>0</v>
      </c>
      <c r="W2926" s="168">
        <f t="shared" si="4"/>
        <v>0</v>
      </c>
      <c r="X2926" s="168">
        <f t="shared" si="5"/>
        <v>0</v>
      </c>
      <c r="Y2926" s="168">
        <f t="shared" si="6"/>
        <v>0</v>
      </c>
      <c r="Z2926" s="168">
        <f t="shared" si="7"/>
        <v>5104.9164</v>
      </c>
      <c r="AA2926" s="168">
        <f t="shared" si="8"/>
        <v>0</v>
      </c>
      <c r="AB2926" s="168">
        <f t="shared" si="9"/>
        <v>0</v>
      </c>
    </row>
    <row r="2927" ht="15.0" customHeight="1">
      <c r="A2927" s="157" t="s">
        <v>10504</v>
      </c>
      <c r="B2927" s="169" t="s">
        <v>35</v>
      </c>
      <c r="C2927" s="158" t="s">
        <v>10500</v>
      </c>
      <c r="D2927" s="317">
        <v>45720.0</v>
      </c>
      <c r="E2927" s="157" t="s">
        <v>600</v>
      </c>
      <c r="F2927" s="160">
        <v>15050.15</v>
      </c>
      <c r="G2927" s="160">
        <f>'FACUS$'!$F2927*0.16</f>
        <v>2408.024</v>
      </c>
      <c r="H2927" s="160">
        <f t="shared" si="68"/>
        <v>17458.174</v>
      </c>
      <c r="I2927" s="172"/>
      <c r="J2927" s="169"/>
      <c r="K2927" s="172"/>
      <c r="L2927" s="172">
        <f>+'FACUS$'!$H2927-'FACUS$'!$I2927-'FACUS$'!$K2927</f>
        <v>17458.174</v>
      </c>
      <c r="M2927" s="162" t="s">
        <v>276</v>
      </c>
      <c r="N2927" s="337" t="s">
        <v>554</v>
      </c>
      <c r="O2927" s="338">
        <v>45737.0</v>
      </c>
      <c r="P2927" s="164">
        <f t="array" ref="P2927">XLOOKUP('FACUS$'!$B2927,'perfil de pagos'!$A$4:$A$46,'perfil de pagos'!$C$4:$C$46+'FACUS$'!$D2927)</f>
        <v>45730</v>
      </c>
      <c r="Q2927" s="165">
        <f t="shared" si="70"/>
        <v>0</v>
      </c>
      <c r="R2927" s="167"/>
      <c r="S2927" s="167">
        <v>3703.0</v>
      </c>
      <c r="T2927" s="167"/>
      <c r="U2927" s="334"/>
      <c r="V2927" s="168">
        <f t="shared" si="3"/>
        <v>17458.174</v>
      </c>
      <c r="W2927" s="168">
        <f t="shared" si="4"/>
        <v>0</v>
      </c>
      <c r="X2927" s="168">
        <f t="shared" si="5"/>
        <v>0</v>
      </c>
      <c r="Y2927" s="168">
        <f t="shared" si="6"/>
        <v>0</v>
      </c>
      <c r="Z2927" s="168">
        <f t="shared" si="7"/>
        <v>0</v>
      </c>
      <c r="AA2927" s="168">
        <f t="shared" si="8"/>
        <v>0</v>
      </c>
      <c r="AB2927" s="168">
        <f t="shared" si="9"/>
        <v>0</v>
      </c>
    </row>
    <row r="2928" ht="15.0" customHeight="1">
      <c r="A2928" s="157" t="s">
        <v>10505</v>
      </c>
      <c r="B2928" s="169" t="s">
        <v>17</v>
      </c>
      <c r="C2928" s="158" t="s">
        <v>7094</v>
      </c>
      <c r="D2928" s="317">
        <v>45720.0</v>
      </c>
      <c r="E2928" s="157" t="s">
        <v>600</v>
      </c>
      <c r="F2928" s="160">
        <v>22319.27</v>
      </c>
      <c r="G2928" s="160">
        <f>'FACUS$'!$F2928*0.16</f>
        <v>3571.0832</v>
      </c>
      <c r="H2928" s="160">
        <f t="shared" si="68"/>
        <v>25890.3532</v>
      </c>
      <c r="I2928" s="172"/>
      <c r="J2928" s="169"/>
      <c r="K2928" s="172"/>
      <c r="L2928" s="172">
        <f>+'FACUS$'!$H2928-'FACUS$'!$I2928-'FACUS$'!$K2928</f>
        <v>25890.3532</v>
      </c>
      <c r="M2928" s="162" t="s">
        <v>17</v>
      </c>
      <c r="N2928" s="337" t="s">
        <v>554</v>
      </c>
      <c r="O2928" s="338">
        <v>45737.0</v>
      </c>
      <c r="P2928" s="164">
        <f t="array" ref="P2928">XLOOKUP('FACUS$'!$B2928,'perfil de pagos'!$A$4:$A$46,'perfil de pagos'!$C$4:$C$46+'FACUS$'!$D2928)</f>
        <v>45730</v>
      </c>
      <c r="Q2928" s="165">
        <f t="shared" si="70"/>
        <v>0</v>
      </c>
      <c r="R2928" s="167"/>
      <c r="S2928" s="167">
        <v>3704.0</v>
      </c>
      <c r="T2928" s="167"/>
      <c r="U2928" s="334"/>
      <c r="V2928" s="168">
        <f t="shared" si="3"/>
        <v>25890.3532</v>
      </c>
      <c r="W2928" s="168">
        <f t="shared" si="4"/>
        <v>0</v>
      </c>
      <c r="X2928" s="168">
        <f t="shared" si="5"/>
        <v>0</v>
      </c>
      <c r="Y2928" s="168">
        <f t="shared" si="6"/>
        <v>0</v>
      </c>
      <c r="Z2928" s="168">
        <f t="shared" si="7"/>
        <v>0</v>
      </c>
      <c r="AA2928" s="168">
        <f t="shared" si="8"/>
        <v>0</v>
      </c>
      <c r="AB2928" s="168">
        <f t="shared" si="9"/>
        <v>0</v>
      </c>
    </row>
    <row r="2929" ht="15.0" customHeight="1">
      <c r="A2929" s="157" t="s">
        <v>10506</v>
      </c>
      <c r="B2929" s="169" t="s">
        <v>17</v>
      </c>
      <c r="C2929" s="158" t="s">
        <v>10500</v>
      </c>
      <c r="D2929" s="317">
        <v>45720.0</v>
      </c>
      <c r="E2929" s="157" t="s">
        <v>600</v>
      </c>
      <c r="F2929" s="160">
        <v>24373.73</v>
      </c>
      <c r="G2929" s="160">
        <f>'FACUS$'!$F2929*0.16</f>
        <v>3899.7968</v>
      </c>
      <c r="H2929" s="160">
        <f t="shared" si="68"/>
        <v>28273.5268</v>
      </c>
      <c r="I2929" s="172"/>
      <c r="J2929" s="169"/>
      <c r="K2929" s="172"/>
      <c r="L2929" s="172">
        <f>+'FACUS$'!$H2929-'FACUS$'!$I2929-'FACUS$'!$K2929</f>
        <v>28273.5268</v>
      </c>
      <c r="M2929" s="162" t="s">
        <v>17</v>
      </c>
      <c r="N2929" s="337" t="s">
        <v>554</v>
      </c>
      <c r="O2929" s="338">
        <v>45737.0</v>
      </c>
      <c r="P2929" s="164">
        <f t="array" ref="P2929">XLOOKUP('FACUS$'!$B2929,'perfil de pagos'!$A$4:$A$46,'perfil de pagos'!$C$4:$C$46+'FACUS$'!$D2929)</f>
        <v>45730</v>
      </c>
      <c r="Q2929" s="165">
        <f t="shared" si="70"/>
        <v>0</v>
      </c>
      <c r="R2929" s="167"/>
      <c r="S2929" s="167">
        <v>3704.0</v>
      </c>
      <c r="T2929" s="167"/>
      <c r="U2929" s="334"/>
      <c r="V2929" s="168">
        <f t="shared" si="3"/>
        <v>28273.5268</v>
      </c>
      <c r="W2929" s="168">
        <f t="shared" si="4"/>
        <v>0</v>
      </c>
      <c r="X2929" s="168">
        <f t="shared" si="5"/>
        <v>0</v>
      </c>
      <c r="Y2929" s="168">
        <f t="shared" si="6"/>
        <v>0</v>
      </c>
      <c r="Z2929" s="168">
        <f t="shared" si="7"/>
        <v>0</v>
      </c>
      <c r="AA2929" s="168">
        <f t="shared" si="8"/>
        <v>0</v>
      </c>
      <c r="AB2929" s="168">
        <f t="shared" si="9"/>
        <v>0</v>
      </c>
    </row>
    <row r="2930" ht="15.0" customHeight="1">
      <c r="A2930" s="157" t="s">
        <v>10507</v>
      </c>
      <c r="B2930" s="169" t="s">
        <v>42</v>
      </c>
      <c r="C2930" s="158" t="s">
        <v>10500</v>
      </c>
      <c r="D2930" s="317">
        <v>45720.0</v>
      </c>
      <c r="E2930" s="157" t="s">
        <v>600</v>
      </c>
      <c r="F2930" s="160">
        <v>9443.55</v>
      </c>
      <c r="G2930" s="160">
        <f>'FACUS$'!$F2930*0.16</f>
        <v>1510.968</v>
      </c>
      <c r="H2930" s="160">
        <f t="shared" si="68"/>
        <v>10954.518</v>
      </c>
      <c r="I2930" s="172"/>
      <c r="J2930" s="169"/>
      <c r="K2930" s="172"/>
      <c r="L2930" s="172">
        <f>+'FACUS$'!$H2930-'FACUS$'!$I2930-'FACUS$'!$K2930</f>
        <v>10954.518</v>
      </c>
      <c r="M2930" s="162" t="s">
        <v>42</v>
      </c>
      <c r="N2930" s="337" t="s">
        <v>554</v>
      </c>
      <c r="O2930" s="338">
        <v>45736.0</v>
      </c>
      <c r="P2930" s="164">
        <f t="array" ref="P2930">XLOOKUP('FACUS$'!$B2930,'perfil de pagos'!$A$4:$A$46,'perfil de pagos'!$C$4:$C$46+'FACUS$'!$D2930)</f>
        <v>45730</v>
      </c>
      <c r="Q2930" s="165">
        <f t="shared" si="70"/>
        <v>0</v>
      </c>
      <c r="R2930" s="167"/>
      <c r="S2930" s="167">
        <v>3700.0</v>
      </c>
      <c r="T2930" s="167"/>
      <c r="U2930" s="334"/>
      <c r="V2930" s="168">
        <f t="shared" si="3"/>
        <v>10954.518</v>
      </c>
      <c r="W2930" s="168">
        <f t="shared" si="4"/>
        <v>0</v>
      </c>
      <c r="X2930" s="168">
        <f t="shared" si="5"/>
        <v>0</v>
      </c>
      <c r="Y2930" s="168">
        <f t="shared" si="6"/>
        <v>0</v>
      </c>
      <c r="Z2930" s="168">
        <f t="shared" si="7"/>
        <v>0</v>
      </c>
      <c r="AA2930" s="168">
        <f t="shared" si="8"/>
        <v>0</v>
      </c>
      <c r="AB2930" s="168">
        <f t="shared" si="9"/>
        <v>0</v>
      </c>
    </row>
    <row r="2931" ht="15.0" customHeight="1">
      <c r="A2931" s="157" t="s">
        <v>10508</v>
      </c>
      <c r="B2931" s="169" t="s">
        <v>44</v>
      </c>
      <c r="C2931" s="158" t="s">
        <v>10500</v>
      </c>
      <c r="D2931" s="317">
        <v>45720.0</v>
      </c>
      <c r="E2931" s="157" t="s">
        <v>600</v>
      </c>
      <c r="F2931" s="160">
        <v>13791.09</v>
      </c>
      <c r="G2931" s="160">
        <f>'FACUS$'!$F2931*0.16</f>
        <v>2206.5744</v>
      </c>
      <c r="H2931" s="160">
        <f t="shared" si="68"/>
        <v>15997.6644</v>
      </c>
      <c r="I2931" s="172"/>
      <c r="J2931" s="169"/>
      <c r="K2931" s="172"/>
      <c r="L2931" s="172">
        <f>+'FACUS$'!$H2931-'FACUS$'!$I2931-'FACUS$'!$K2931</f>
        <v>15997.6644</v>
      </c>
      <c r="M2931" s="162" t="s">
        <v>361</v>
      </c>
      <c r="N2931" s="337" t="s">
        <v>554</v>
      </c>
      <c r="O2931" s="338">
        <v>45730.0</v>
      </c>
      <c r="P2931" s="164">
        <f t="array" ref="P2931">XLOOKUP('FACUS$'!$B2931,'perfil de pagos'!$A$4:$A$46,'perfil de pagos'!$C$4:$C$46+'FACUS$'!$D2931)</f>
        <v>45730</v>
      </c>
      <c r="Q2931" s="165">
        <f t="shared" si="70"/>
        <v>0</v>
      </c>
      <c r="R2931" s="167"/>
      <c r="S2931" s="167">
        <v>3684.0</v>
      </c>
      <c r="T2931" s="167"/>
      <c r="U2931" s="334"/>
      <c r="V2931" s="168">
        <f t="shared" si="3"/>
        <v>15997.6644</v>
      </c>
      <c r="W2931" s="168">
        <f t="shared" si="4"/>
        <v>0</v>
      </c>
      <c r="X2931" s="168">
        <f t="shared" si="5"/>
        <v>0</v>
      </c>
      <c r="Y2931" s="168">
        <f t="shared" si="6"/>
        <v>0</v>
      </c>
      <c r="Z2931" s="168">
        <f t="shared" si="7"/>
        <v>0</v>
      </c>
      <c r="AA2931" s="168">
        <f t="shared" si="8"/>
        <v>0</v>
      </c>
      <c r="AB2931" s="168">
        <f t="shared" si="9"/>
        <v>0</v>
      </c>
    </row>
    <row r="2932" ht="15.0" customHeight="1">
      <c r="A2932" s="157" t="s">
        <v>10509</v>
      </c>
      <c r="B2932" s="169" t="s">
        <v>38</v>
      </c>
      <c r="C2932" s="158" t="s">
        <v>10500</v>
      </c>
      <c r="D2932" s="317">
        <v>45720.0</v>
      </c>
      <c r="E2932" s="157" t="s">
        <v>600</v>
      </c>
      <c r="F2932" s="160">
        <v>1987.37</v>
      </c>
      <c r="G2932" s="160">
        <f>'FACUS$'!$F2932*0.16</f>
        <v>317.9792</v>
      </c>
      <c r="H2932" s="160">
        <f t="shared" si="68"/>
        <v>2305.3492</v>
      </c>
      <c r="I2932" s="172"/>
      <c r="J2932" s="169"/>
      <c r="K2932" s="172"/>
      <c r="L2932" s="172">
        <f>+'FACUS$'!$H2932-'FACUS$'!$I2932-'FACUS$'!$K2932</f>
        <v>2305.3492</v>
      </c>
      <c r="M2932" s="162" t="s">
        <v>4654</v>
      </c>
      <c r="N2932" s="337" t="s">
        <v>554</v>
      </c>
      <c r="O2932" s="338">
        <v>45728.0</v>
      </c>
      <c r="P2932" s="164">
        <f t="array" ref="P2932">XLOOKUP('FACUS$'!$B2932,'perfil de pagos'!$A$4:$A$46,'perfil de pagos'!$C$4:$C$46+'FACUS$'!$D2932)</f>
        <v>45750</v>
      </c>
      <c r="Q2932" s="165">
        <f t="shared" si="70"/>
        <v>0</v>
      </c>
      <c r="R2932" s="167"/>
      <c r="S2932" s="167">
        <v>3682.0</v>
      </c>
      <c r="T2932" s="167"/>
      <c r="U2932" s="334"/>
      <c r="V2932" s="168">
        <f t="shared" si="3"/>
        <v>2305.3492</v>
      </c>
      <c r="W2932" s="168">
        <f t="shared" si="4"/>
        <v>0</v>
      </c>
      <c r="X2932" s="168">
        <f t="shared" si="5"/>
        <v>0</v>
      </c>
      <c r="Y2932" s="168">
        <f t="shared" si="6"/>
        <v>0</v>
      </c>
      <c r="Z2932" s="168">
        <f t="shared" si="7"/>
        <v>0</v>
      </c>
      <c r="AA2932" s="168">
        <f t="shared" si="8"/>
        <v>0</v>
      </c>
      <c r="AB2932" s="168">
        <f t="shared" si="9"/>
        <v>0</v>
      </c>
    </row>
    <row r="2933" ht="15.0" customHeight="1">
      <c r="A2933" s="157" t="s">
        <v>10510</v>
      </c>
      <c r="B2933" s="169" t="s">
        <v>37</v>
      </c>
      <c r="C2933" s="158" t="s">
        <v>10500</v>
      </c>
      <c r="D2933" s="317">
        <v>45722.0</v>
      </c>
      <c r="E2933" s="157" t="s">
        <v>600</v>
      </c>
      <c r="F2933" s="160">
        <v>89736.33</v>
      </c>
      <c r="G2933" s="160">
        <f>'FACUS$'!$F2933*0.16</f>
        <v>14357.8128</v>
      </c>
      <c r="H2933" s="160">
        <f t="shared" si="68"/>
        <v>104094.1428</v>
      </c>
      <c r="I2933" s="172"/>
      <c r="J2933" s="169"/>
      <c r="K2933" s="172"/>
      <c r="L2933" s="172">
        <f>+'FACUS$'!$H2933-'FACUS$'!$I2933-'FACUS$'!$K2933</f>
        <v>104094.1428</v>
      </c>
      <c r="M2933" s="162" t="s">
        <v>116</v>
      </c>
      <c r="N2933" s="337" t="s">
        <v>554</v>
      </c>
      <c r="O2933" s="338">
        <v>45734.0</v>
      </c>
      <c r="P2933" s="164">
        <f t="array" ref="P2933">XLOOKUP('FACUS$'!$B2933,'perfil de pagos'!$A$4:$A$46,'perfil de pagos'!$C$4:$C$46+'FACUS$'!$D2933)</f>
        <v>45732</v>
      </c>
      <c r="Q2933" s="165">
        <f t="shared" si="70"/>
        <v>0</v>
      </c>
      <c r="R2933" s="220" t="s">
        <v>10511</v>
      </c>
      <c r="S2933" s="167"/>
      <c r="T2933" s="167"/>
      <c r="U2933" s="334"/>
      <c r="V2933" s="168">
        <f t="shared" si="3"/>
        <v>104094.1428</v>
      </c>
      <c r="W2933" s="168">
        <f t="shared" si="4"/>
        <v>0</v>
      </c>
      <c r="X2933" s="168">
        <f t="shared" si="5"/>
        <v>0</v>
      </c>
      <c r="Y2933" s="168">
        <f t="shared" si="6"/>
        <v>0</v>
      </c>
      <c r="Z2933" s="168">
        <f t="shared" si="7"/>
        <v>0</v>
      </c>
      <c r="AA2933" s="168">
        <f t="shared" si="8"/>
        <v>0</v>
      </c>
      <c r="AB2933" s="168">
        <f t="shared" si="9"/>
        <v>0</v>
      </c>
    </row>
    <row r="2934" ht="15.0" customHeight="1">
      <c r="A2934" s="157" t="s">
        <v>10512</v>
      </c>
      <c r="B2934" s="169" t="s">
        <v>18</v>
      </c>
      <c r="C2934" s="158" t="s">
        <v>10500</v>
      </c>
      <c r="D2934" s="317">
        <v>45722.0</v>
      </c>
      <c r="E2934" s="157" t="s">
        <v>600</v>
      </c>
      <c r="F2934" s="160">
        <v>6547.37</v>
      </c>
      <c r="G2934" s="160">
        <f>'FACUS$'!$F2934*0.16</f>
        <v>1047.5792</v>
      </c>
      <c r="H2934" s="160">
        <f t="shared" si="68"/>
        <v>7594.9492</v>
      </c>
      <c r="I2934" s="172"/>
      <c r="J2934" s="169"/>
      <c r="K2934" s="172"/>
      <c r="L2934" s="172">
        <f>+'FACUS$'!$H2934-'FACUS$'!$I2934-'FACUS$'!$K2934</f>
        <v>7594.9492</v>
      </c>
      <c r="M2934" s="162" t="s">
        <v>586</v>
      </c>
      <c r="N2934" s="337" t="s">
        <v>554</v>
      </c>
      <c r="O2934" s="338">
        <v>45751.0</v>
      </c>
      <c r="P2934" s="164">
        <f t="array" ref="P2934">XLOOKUP('FACUS$'!$B2934,'perfil de pagos'!$A$4:$A$46,'perfil de pagos'!$C$4:$C$46+'FACUS$'!$D2934)</f>
        <v>45732</v>
      </c>
      <c r="Q2934" s="165">
        <f t="shared" si="70"/>
        <v>0</v>
      </c>
      <c r="R2934" s="167"/>
      <c r="S2934" s="167">
        <v>3731.0</v>
      </c>
      <c r="T2934" s="167"/>
      <c r="U2934" s="334"/>
      <c r="V2934" s="168">
        <f t="shared" si="3"/>
        <v>7594.9492</v>
      </c>
      <c r="W2934" s="168">
        <f t="shared" si="4"/>
        <v>0</v>
      </c>
      <c r="X2934" s="168">
        <f t="shared" si="5"/>
        <v>0</v>
      </c>
      <c r="Y2934" s="168">
        <f t="shared" si="6"/>
        <v>0</v>
      </c>
      <c r="Z2934" s="168">
        <f t="shared" si="7"/>
        <v>0</v>
      </c>
      <c r="AA2934" s="168">
        <f t="shared" si="8"/>
        <v>0</v>
      </c>
      <c r="AB2934" s="168">
        <f t="shared" si="9"/>
        <v>0</v>
      </c>
    </row>
    <row r="2935" ht="15.0" customHeight="1">
      <c r="A2935" s="157" t="s">
        <v>10513</v>
      </c>
      <c r="B2935" s="169" t="s">
        <v>20</v>
      </c>
      <c r="C2935" s="158" t="s">
        <v>10500</v>
      </c>
      <c r="D2935" s="317">
        <v>45722.0</v>
      </c>
      <c r="E2935" s="157" t="s">
        <v>600</v>
      </c>
      <c r="F2935" s="160">
        <v>13178.1</v>
      </c>
      <c r="G2935" s="160">
        <f>'FACUS$'!$F2935*0.16</f>
        <v>2108.496</v>
      </c>
      <c r="H2935" s="160">
        <f t="shared" si="68"/>
        <v>15286.596</v>
      </c>
      <c r="I2935" s="172"/>
      <c r="J2935" s="169"/>
      <c r="K2935" s="172"/>
      <c r="L2935" s="172">
        <f>+'FACUS$'!$H2935-'FACUS$'!$I2935-'FACUS$'!$K2935</f>
        <v>15286.596</v>
      </c>
      <c r="M2935" s="162" t="s">
        <v>732</v>
      </c>
      <c r="N2935" s="337" t="s">
        <v>554</v>
      </c>
      <c r="O2935" s="338">
        <v>45751.0</v>
      </c>
      <c r="P2935" s="164">
        <f t="array" ref="P2935">XLOOKUP('FACUS$'!$B2935,'perfil de pagos'!$A$4:$A$46,'perfil de pagos'!$C$4:$C$46+'FACUS$'!$D2935)</f>
        <v>45732</v>
      </c>
      <c r="Q2935" s="165">
        <f t="shared" si="70"/>
        <v>0</v>
      </c>
      <c r="R2935" s="167"/>
      <c r="S2935" s="167">
        <v>3731.0</v>
      </c>
      <c r="T2935" s="167"/>
      <c r="U2935" s="334"/>
      <c r="V2935" s="168">
        <f t="shared" si="3"/>
        <v>15286.596</v>
      </c>
      <c r="W2935" s="168">
        <f t="shared" si="4"/>
        <v>0</v>
      </c>
      <c r="X2935" s="168">
        <f t="shared" si="5"/>
        <v>0</v>
      </c>
      <c r="Y2935" s="168">
        <f t="shared" si="6"/>
        <v>0</v>
      </c>
      <c r="Z2935" s="168">
        <f t="shared" si="7"/>
        <v>0</v>
      </c>
      <c r="AA2935" s="168">
        <f t="shared" si="8"/>
        <v>0</v>
      </c>
      <c r="AB2935" s="168">
        <f t="shared" si="9"/>
        <v>0</v>
      </c>
    </row>
    <row r="2936" ht="15.0" customHeight="1">
      <c r="A2936" s="157" t="s">
        <v>10514</v>
      </c>
      <c r="B2936" s="169" t="s">
        <v>25</v>
      </c>
      <c r="C2936" s="158" t="s">
        <v>10500</v>
      </c>
      <c r="D2936" s="317">
        <v>45722.0</v>
      </c>
      <c r="E2936" s="157" t="s">
        <v>600</v>
      </c>
      <c r="F2936" s="160">
        <v>5211.54</v>
      </c>
      <c r="G2936" s="160">
        <f>'FACUS$'!$F2936*0.16</f>
        <v>833.8464</v>
      </c>
      <c r="H2936" s="160">
        <f t="shared" si="68"/>
        <v>6045.3864</v>
      </c>
      <c r="I2936" s="172"/>
      <c r="J2936" s="169"/>
      <c r="K2936" s="172"/>
      <c r="L2936" s="172">
        <f>+'FACUS$'!$H2936-'FACUS$'!$I2936-'FACUS$'!$K2936</f>
        <v>6045.3864</v>
      </c>
      <c r="M2936" s="162" t="s">
        <v>4388</v>
      </c>
      <c r="N2936" s="337" t="s">
        <v>554</v>
      </c>
      <c r="O2936" s="338">
        <v>45735.0</v>
      </c>
      <c r="P2936" s="164">
        <f t="array" ref="P2936">XLOOKUP('FACUS$'!$B2936,'perfil de pagos'!$A$4:$A$46,'perfil de pagos'!$C$4:$C$46+'FACUS$'!$D2936)</f>
        <v>45732</v>
      </c>
      <c r="Q2936" s="165">
        <f t="shared" si="70"/>
        <v>0</v>
      </c>
      <c r="R2936" s="167"/>
      <c r="S2936" s="167">
        <v>3698.0</v>
      </c>
      <c r="T2936" s="167"/>
      <c r="U2936" s="334"/>
      <c r="V2936" s="168">
        <f t="shared" si="3"/>
        <v>6045.3864</v>
      </c>
      <c r="W2936" s="168">
        <f t="shared" si="4"/>
        <v>0</v>
      </c>
      <c r="X2936" s="168">
        <f t="shared" si="5"/>
        <v>0</v>
      </c>
      <c r="Y2936" s="168">
        <f t="shared" si="6"/>
        <v>0</v>
      </c>
      <c r="Z2936" s="168">
        <f t="shared" si="7"/>
        <v>0</v>
      </c>
      <c r="AA2936" s="168">
        <f t="shared" si="8"/>
        <v>0</v>
      </c>
      <c r="AB2936" s="168">
        <f t="shared" si="9"/>
        <v>0</v>
      </c>
    </row>
    <row r="2937" ht="15.0" customHeight="1">
      <c r="A2937" s="157" t="s">
        <v>10515</v>
      </c>
      <c r="B2937" s="169" t="s">
        <v>38</v>
      </c>
      <c r="C2937" s="158" t="s">
        <v>10500</v>
      </c>
      <c r="D2937" s="317">
        <v>45722.0</v>
      </c>
      <c r="E2937" s="157" t="s">
        <v>600</v>
      </c>
      <c r="F2937" s="160">
        <v>7701.59</v>
      </c>
      <c r="G2937" s="160">
        <f>'FACUS$'!$F2937*0.16</f>
        <v>1232.2544</v>
      </c>
      <c r="H2937" s="160">
        <f t="shared" si="68"/>
        <v>8933.8444</v>
      </c>
      <c r="I2937" s="172"/>
      <c r="J2937" s="169"/>
      <c r="K2937" s="172"/>
      <c r="L2937" s="172">
        <f>+'FACUS$'!$H2937-'FACUS$'!$I2937-'FACUS$'!$K2937</f>
        <v>8933.8444</v>
      </c>
      <c r="M2937" s="162" t="s">
        <v>145</v>
      </c>
      <c r="N2937" s="337" t="s">
        <v>554</v>
      </c>
      <c r="O2937" s="338">
        <v>45728.0</v>
      </c>
      <c r="P2937" s="164">
        <f t="array" ref="P2937">XLOOKUP('FACUS$'!$B2937,'perfil de pagos'!$A$4:$A$46,'perfil de pagos'!$C$4:$C$46+'FACUS$'!$D2937)</f>
        <v>45752</v>
      </c>
      <c r="Q2937" s="165">
        <f t="shared" si="70"/>
        <v>0</v>
      </c>
      <c r="R2937" s="167"/>
      <c r="S2937" s="167">
        <v>3682.0</v>
      </c>
      <c r="T2937" s="167"/>
      <c r="U2937" s="334"/>
      <c r="V2937" s="168">
        <f t="shared" si="3"/>
        <v>8933.8444</v>
      </c>
      <c r="W2937" s="168">
        <f t="shared" si="4"/>
        <v>0</v>
      </c>
      <c r="X2937" s="168">
        <f t="shared" si="5"/>
        <v>0</v>
      </c>
      <c r="Y2937" s="168">
        <f t="shared" si="6"/>
        <v>0</v>
      </c>
      <c r="Z2937" s="168">
        <f t="shared" si="7"/>
        <v>0</v>
      </c>
      <c r="AA2937" s="168">
        <f t="shared" si="8"/>
        <v>0</v>
      </c>
      <c r="AB2937" s="168">
        <f t="shared" si="9"/>
        <v>0</v>
      </c>
    </row>
    <row r="2938" ht="15.0" customHeight="1">
      <c r="A2938" s="157" t="s">
        <v>10516</v>
      </c>
      <c r="B2938" s="169" t="s">
        <v>10517</v>
      </c>
      <c r="C2938" s="169" t="s">
        <v>10518</v>
      </c>
      <c r="D2938" s="317">
        <v>45729.0</v>
      </c>
      <c r="E2938" s="157" t="s">
        <v>600</v>
      </c>
      <c r="F2938" s="160">
        <v>5340.2</v>
      </c>
      <c r="G2938" s="160">
        <f>'FACUS$'!$F2938*0.16</f>
        <v>854.432</v>
      </c>
      <c r="H2938" s="160">
        <f t="shared" si="68"/>
        <v>6194.632</v>
      </c>
      <c r="I2938" s="416"/>
      <c r="J2938" s="169"/>
      <c r="K2938" s="172"/>
      <c r="L2938" s="172">
        <f>+'FACUS$'!$H2938-'FACUS$'!$I2938-'FACUS$'!$K2938</f>
        <v>6194.632</v>
      </c>
      <c r="M2938" s="162" t="s">
        <v>10519</v>
      </c>
      <c r="N2938" s="337"/>
      <c r="O2938" s="338"/>
      <c r="P2938" s="164" t="str">
        <f t="array" ref="P2938">XLOOKUP('FACUS$'!$B2938,'perfil de pagos'!$A$4:$A$46,'perfil de pagos'!$C$4:$C$46+'FACUS$'!$D2938)</f>
        <v>#N/A</v>
      </c>
      <c r="Q2938" s="165" t="str">
        <f t="shared" si="70"/>
        <v>#N/A</v>
      </c>
      <c r="R2938" s="167"/>
      <c r="S2938" s="167"/>
      <c r="T2938" s="167"/>
      <c r="U2938" s="334"/>
      <c r="V2938" s="168" t="str">
        <f t="shared" si="3"/>
        <v>#N/A</v>
      </c>
      <c r="W2938" s="168" t="str">
        <f t="shared" si="4"/>
        <v>#N/A</v>
      </c>
      <c r="X2938" s="168" t="str">
        <f t="shared" si="5"/>
        <v>#N/A</v>
      </c>
      <c r="Y2938" s="168" t="str">
        <f t="shared" si="6"/>
        <v>#N/A</v>
      </c>
      <c r="Z2938" s="168" t="str">
        <f t="shared" si="7"/>
        <v>#N/A</v>
      </c>
      <c r="AA2938" s="168" t="str">
        <f t="shared" si="8"/>
        <v>#N/A</v>
      </c>
      <c r="AB2938" s="168" t="str">
        <f t="shared" si="9"/>
        <v>#N/A</v>
      </c>
    </row>
    <row r="2939" ht="15.0" customHeight="1">
      <c r="A2939" s="157" t="s">
        <v>10520</v>
      </c>
      <c r="B2939" s="169" t="s">
        <v>50</v>
      </c>
      <c r="C2939" s="158" t="s">
        <v>7142</v>
      </c>
      <c r="D2939" s="317">
        <v>45735.0</v>
      </c>
      <c r="E2939" s="157" t="s">
        <v>600</v>
      </c>
      <c r="F2939" s="160">
        <v>19695.45</v>
      </c>
      <c r="G2939" s="160">
        <f>'FACUS$'!$F2939*0.16</f>
        <v>3151.272</v>
      </c>
      <c r="H2939" s="160">
        <f t="shared" si="68"/>
        <v>22846.722</v>
      </c>
      <c r="I2939" s="416"/>
      <c r="J2939" s="169"/>
      <c r="K2939" s="172"/>
      <c r="L2939" s="172">
        <f>+'FACUS$'!$H2939-'FACUS$'!$I2939-'FACUS$'!$K2939</f>
        <v>22846.722</v>
      </c>
      <c r="M2939" s="162" t="s">
        <v>570</v>
      </c>
      <c r="N2939" s="337" t="s">
        <v>554</v>
      </c>
      <c r="O2939" s="338">
        <v>45758.0</v>
      </c>
      <c r="P2939" s="164">
        <f t="array" ref="P2939">XLOOKUP('FACUS$'!$B2939,'perfil de pagos'!$A$4:$A$46,'perfil de pagos'!$C$4:$C$46+'FACUS$'!$D2939)</f>
        <v>45745</v>
      </c>
      <c r="Q2939" s="165">
        <f t="shared" si="70"/>
        <v>0</v>
      </c>
      <c r="R2939" s="167"/>
      <c r="S2939" s="167">
        <v>3753.0</v>
      </c>
      <c r="T2939" s="167"/>
      <c r="U2939" s="334"/>
      <c r="V2939" s="168">
        <f t="shared" si="3"/>
        <v>22846.722</v>
      </c>
      <c r="W2939" s="168">
        <f t="shared" si="4"/>
        <v>0</v>
      </c>
      <c r="X2939" s="168">
        <f t="shared" si="5"/>
        <v>0</v>
      </c>
      <c r="Y2939" s="168">
        <f t="shared" si="6"/>
        <v>0</v>
      </c>
      <c r="Z2939" s="168">
        <f t="shared" si="7"/>
        <v>0</v>
      </c>
      <c r="AA2939" s="168">
        <f t="shared" si="8"/>
        <v>0</v>
      </c>
      <c r="AB2939" s="168">
        <f t="shared" si="9"/>
        <v>0</v>
      </c>
    </row>
    <row r="2940" ht="15.0" customHeight="1">
      <c r="A2940" s="157" t="s">
        <v>10521</v>
      </c>
      <c r="B2940" s="169" t="s">
        <v>50</v>
      </c>
      <c r="C2940" s="158" t="s">
        <v>10522</v>
      </c>
      <c r="D2940" s="317">
        <v>45735.0</v>
      </c>
      <c r="E2940" s="157" t="s">
        <v>600</v>
      </c>
      <c r="F2940" s="160">
        <v>17733.41</v>
      </c>
      <c r="G2940" s="160">
        <f>'FACUS$'!$F2940*0.16</f>
        <v>2837.3456</v>
      </c>
      <c r="H2940" s="160">
        <f t="shared" si="68"/>
        <v>20570.7556</v>
      </c>
      <c r="I2940" s="172"/>
      <c r="J2940" s="169"/>
      <c r="K2940" s="172"/>
      <c r="L2940" s="172">
        <f>+'FACUS$'!$H2940-'FACUS$'!$I2940-'FACUS$'!$K2940</f>
        <v>20570.7556</v>
      </c>
      <c r="M2940" s="162" t="s">
        <v>570</v>
      </c>
      <c r="N2940" s="337" t="s">
        <v>554</v>
      </c>
      <c r="O2940" s="338">
        <v>45751.0</v>
      </c>
      <c r="P2940" s="164">
        <f t="array" ref="P2940">XLOOKUP('FACUS$'!$B2940,'perfil de pagos'!$A$4:$A$46,'perfil de pagos'!$C$4:$C$46+'FACUS$'!$D2940)</f>
        <v>45745</v>
      </c>
      <c r="Q2940" s="165">
        <f t="shared" si="70"/>
        <v>0</v>
      </c>
      <c r="R2940" s="167"/>
      <c r="S2940" s="167">
        <v>3740.0</v>
      </c>
      <c r="T2940" s="167"/>
      <c r="U2940" s="334"/>
      <c r="V2940" s="168">
        <f t="shared" si="3"/>
        <v>20570.7556</v>
      </c>
      <c r="W2940" s="168">
        <f t="shared" si="4"/>
        <v>0</v>
      </c>
      <c r="X2940" s="168">
        <f t="shared" si="5"/>
        <v>0</v>
      </c>
      <c r="Y2940" s="168">
        <f t="shared" si="6"/>
        <v>0</v>
      </c>
      <c r="Z2940" s="168">
        <f t="shared" si="7"/>
        <v>0</v>
      </c>
      <c r="AA2940" s="168">
        <f t="shared" si="8"/>
        <v>0</v>
      </c>
      <c r="AB2940" s="168">
        <f t="shared" si="9"/>
        <v>0</v>
      </c>
    </row>
    <row r="2941" ht="15.0" customHeight="1">
      <c r="A2941" s="157" t="s">
        <v>10523</v>
      </c>
      <c r="B2941" s="169" t="s">
        <v>41</v>
      </c>
      <c r="C2941" s="158" t="s">
        <v>10522</v>
      </c>
      <c r="D2941" s="317">
        <v>45735.0</v>
      </c>
      <c r="E2941" s="157" t="s">
        <v>600</v>
      </c>
      <c r="F2941" s="160">
        <v>109563.91</v>
      </c>
      <c r="G2941" s="160">
        <f>'FACUS$'!$F2941*0.16</f>
        <v>17530.2256</v>
      </c>
      <c r="H2941" s="160">
        <f t="shared" si="68"/>
        <v>127094.1356</v>
      </c>
      <c r="I2941" s="172"/>
      <c r="J2941" s="169"/>
      <c r="K2941" s="172"/>
      <c r="L2941" s="172">
        <f>+'FACUS$'!$H2941-'FACUS$'!$I2941-'FACUS$'!$K2941</f>
        <v>127094.1356</v>
      </c>
      <c r="M2941" s="162" t="s">
        <v>875</v>
      </c>
      <c r="N2941" s="337"/>
      <c r="O2941" s="338"/>
      <c r="P2941" s="164">
        <f t="array" ref="P2941">XLOOKUP('FACUS$'!$B2941,'perfil de pagos'!$A$4:$A$46,'perfil de pagos'!$C$4:$C$46+'FACUS$'!$D2941)</f>
        <v>45745</v>
      </c>
      <c r="Q2941" s="165">
        <f t="shared" si="70"/>
        <v>44</v>
      </c>
      <c r="R2941" s="167"/>
      <c r="S2941" s="167"/>
      <c r="T2941" s="167"/>
      <c r="U2941" s="334"/>
      <c r="V2941" s="168">
        <f t="shared" si="3"/>
        <v>0</v>
      </c>
      <c r="W2941" s="168">
        <f t="shared" si="4"/>
        <v>0</v>
      </c>
      <c r="X2941" s="168">
        <f t="shared" si="5"/>
        <v>0</v>
      </c>
      <c r="Y2941" s="168">
        <f t="shared" si="6"/>
        <v>127094.1356</v>
      </c>
      <c r="Z2941" s="168">
        <f t="shared" si="7"/>
        <v>0</v>
      </c>
      <c r="AA2941" s="168">
        <f t="shared" si="8"/>
        <v>0</v>
      </c>
      <c r="AB2941" s="168">
        <f t="shared" si="9"/>
        <v>0</v>
      </c>
    </row>
    <row r="2942" ht="15.0" customHeight="1">
      <c r="A2942" s="157" t="s">
        <v>10524</v>
      </c>
      <c r="B2942" s="169" t="s">
        <v>52</v>
      </c>
      <c r="C2942" s="158" t="s">
        <v>7142</v>
      </c>
      <c r="D2942" s="317">
        <v>45735.0</v>
      </c>
      <c r="E2942" s="157" t="s">
        <v>600</v>
      </c>
      <c r="F2942" s="160">
        <v>7711.99</v>
      </c>
      <c r="G2942" s="160">
        <f>'FACUS$'!$F2942*0.16</f>
        <v>1233.9184</v>
      </c>
      <c r="H2942" s="160">
        <f t="shared" si="68"/>
        <v>8945.9084</v>
      </c>
      <c r="I2942" s="172"/>
      <c r="J2942" s="169"/>
      <c r="K2942" s="172"/>
      <c r="L2942" s="172">
        <f>+'FACUS$'!$H2942-'FACUS$'!$I2942-'FACUS$'!$K2942</f>
        <v>8945.9084</v>
      </c>
      <c r="M2942" s="162" t="s">
        <v>10309</v>
      </c>
      <c r="N2942" s="337"/>
      <c r="O2942" s="338"/>
      <c r="P2942" s="164">
        <f t="array" ref="P2942">XLOOKUP('FACUS$'!$B2942,'perfil de pagos'!$A$4:$A$46,'perfil de pagos'!$C$4:$C$46+'FACUS$'!$D2942)</f>
        <v>45750</v>
      </c>
      <c r="Q2942" s="165">
        <f t="shared" si="70"/>
        <v>39</v>
      </c>
      <c r="R2942" s="167"/>
      <c r="S2942" s="167"/>
      <c r="T2942" s="167"/>
      <c r="U2942" s="334"/>
      <c r="V2942" s="168">
        <f t="shared" si="3"/>
        <v>0</v>
      </c>
      <c r="W2942" s="168">
        <f t="shared" si="4"/>
        <v>0</v>
      </c>
      <c r="X2942" s="168">
        <f t="shared" si="5"/>
        <v>0</v>
      </c>
      <c r="Y2942" s="168">
        <f t="shared" si="6"/>
        <v>8945.9084</v>
      </c>
      <c r="Z2942" s="168">
        <f t="shared" si="7"/>
        <v>0</v>
      </c>
      <c r="AA2942" s="168">
        <f t="shared" si="8"/>
        <v>0</v>
      </c>
      <c r="AB2942" s="168">
        <f t="shared" si="9"/>
        <v>0</v>
      </c>
    </row>
    <row r="2943" ht="15.0" customHeight="1">
      <c r="A2943" s="157" t="s">
        <v>10525</v>
      </c>
      <c r="B2943" s="169" t="s">
        <v>52</v>
      </c>
      <c r="C2943" s="158" t="s">
        <v>10522</v>
      </c>
      <c r="D2943" s="317">
        <v>45735.0</v>
      </c>
      <c r="E2943" s="157" t="s">
        <v>600</v>
      </c>
      <c r="F2943" s="160">
        <v>3475.55</v>
      </c>
      <c r="G2943" s="160">
        <f>'FACUS$'!$F2943*0.16</f>
        <v>556.088</v>
      </c>
      <c r="H2943" s="160">
        <f t="shared" si="68"/>
        <v>4031.638</v>
      </c>
      <c r="I2943" s="172"/>
      <c r="J2943" s="169"/>
      <c r="K2943" s="172"/>
      <c r="L2943" s="172">
        <f>+'FACUS$'!$H2943-'FACUS$'!$I2943-'FACUS$'!$K2943</f>
        <v>4031.638</v>
      </c>
      <c r="M2943" s="162" t="s">
        <v>10309</v>
      </c>
      <c r="N2943" s="337"/>
      <c r="O2943" s="338"/>
      <c r="P2943" s="164">
        <f t="array" ref="P2943">XLOOKUP('FACUS$'!$B2943,'perfil de pagos'!$A$4:$A$46,'perfil de pagos'!$C$4:$C$46+'FACUS$'!$D2943)</f>
        <v>45750</v>
      </c>
      <c r="Q2943" s="165">
        <f t="shared" si="70"/>
        <v>39</v>
      </c>
      <c r="R2943" s="167"/>
      <c r="S2943" s="167"/>
      <c r="T2943" s="167"/>
      <c r="U2943" s="334"/>
      <c r="V2943" s="168">
        <f t="shared" si="3"/>
        <v>0</v>
      </c>
      <c r="W2943" s="168">
        <f t="shared" si="4"/>
        <v>0</v>
      </c>
      <c r="X2943" s="168">
        <f t="shared" si="5"/>
        <v>0</v>
      </c>
      <c r="Y2943" s="168">
        <f t="shared" si="6"/>
        <v>4031.638</v>
      </c>
      <c r="Z2943" s="168">
        <f t="shared" si="7"/>
        <v>0</v>
      </c>
      <c r="AA2943" s="168">
        <f t="shared" si="8"/>
        <v>0</v>
      </c>
      <c r="AB2943" s="168">
        <f t="shared" si="9"/>
        <v>0</v>
      </c>
    </row>
    <row r="2944" ht="15.0" customHeight="1">
      <c r="A2944" s="157" t="s">
        <v>10526</v>
      </c>
      <c r="B2944" s="169" t="s">
        <v>35</v>
      </c>
      <c r="C2944" s="158" t="s">
        <v>10522</v>
      </c>
      <c r="D2944" s="317">
        <v>45735.0</v>
      </c>
      <c r="E2944" s="157" t="s">
        <v>600</v>
      </c>
      <c r="F2944" s="160">
        <v>14039.58</v>
      </c>
      <c r="G2944" s="160">
        <f>'FACUS$'!$F2944*0.16</f>
        <v>2246.3328</v>
      </c>
      <c r="H2944" s="160">
        <f t="shared" si="68"/>
        <v>16285.9128</v>
      </c>
      <c r="I2944" s="172"/>
      <c r="J2944" s="169"/>
      <c r="K2944" s="172"/>
      <c r="L2944" s="172">
        <f>+'FACUS$'!$H2944-'FACUS$'!$I2944-'FACUS$'!$K2944</f>
        <v>16285.9128</v>
      </c>
      <c r="M2944" s="162" t="s">
        <v>276</v>
      </c>
      <c r="N2944" s="337" t="s">
        <v>554</v>
      </c>
      <c r="O2944" s="338">
        <v>45751.0</v>
      </c>
      <c r="P2944" s="164">
        <f t="array" ref="P2944">XLOOKUP('FACUS$'!$B2944,'perfil de pagos'!$A$4:$A$46,'perfil de pagos'!$C$4:$C$46+'FACUS$'!$D2944)</f>
        <v>45745</v>
      </c>
      <c r="Q2944" s="165">
        <f t="shared" si="70"/>
        <v>0</v>
      </c>
      <c r="R2944" s="167"/>
      <c r="S2944" s="167">
        <v>3729.0</v>
      </c>
      <c r="T2944" s="167"/>
      <c r="U2944" s="334"/>
      <c r="V2944" s="168">
        <f t="shared" si="3"/>
        <v>16285.9128</v>
      </c>
      <c r="W2944" s="168">
        <f t="shared" si="4"/>
        <v>0</v>
      </c>
      <c r="X2944" s="168">
        <f t="shared" si="5"/>
        <v>0</v>
      </c>
      <c r="Y2944" s="168">
        <f t="shared" si="6"/>
        <v>0</v>
      </c>
      <c r="Z2944" s="168">
        <f t="shared" si="7"/>
        <v>0</v>
      </c>
      <c r="AA2944" s="168">
        <f t="shared" si="8"/>
        <v>0</v>
      </c>
      <c r="AB2944" s="168">
        <f t="shared" si="9"/>
        <v>0</v>
      </c>
    </row>
    <row r="2945" ht="15.0" customHeight="1">
      <c r="A2945" s="157" t="s">
        <v>10527</v>
      </c>
      <c r="B2945" s="169" t="s">
        <v>17</v>
      </c>
      <c r="C2945" s="158" t="s">
        <v>7142</v>
      </c>
      <c r="D2945" s="317">
        <v>45735.0</v>
      </c>
      <c r="E2945" s="157" t="s">
        <v>600</v>
      </c>
      <c r="F2945" s="160">
        <v>10698.64</v>
      </c>
      <c r="G2945" s="160">
        <f>'FACUS$'!$F2945*0.16</f>
        <v>1711.7824</v>
      </c>
      <c r="H2945" s="160">
        <f t="shared" si="68"/>
        <v>12410.4224</v>
      </c>
      <c r="I2945" s="172"/>
      <c r="J2945" s="169"/>
      <c r="K2945" s="172"/>
      <c r="L2945" s="172">
        <f>+'FACUS$'!$H2945-'FACUS$'!$I2945-'FACUS$'!$K2945</f>
        <v>12410.4224</v>
      </c>
      <c r="M2945" s="162" t="s">
        <v>17</v>
      </c>
      <c r="N2945" s="337" t="s">
        <v>554</v>
      </c>
      <c r="O2945" s="338">
        <v>45743.0</v>
      </c>
      <c r="P2945" s="164">
        <f t="array" ref="P2945">XLOOKUP('FACUS$'!$B2945,'perfil de pagos'!$A$4:$A$46,'perfil de pagos'!$C$4:$C$46+'FACUS$'!$D2945)</f>
        <v>45745</v>
      </c>
      <c r="Q2945" s="165">
        <f t="shared" si="70"/>
        <v>0</v>
      </c>
      <c r="R2945" s="167"/>
      <c r="S2945" s="167"/>
      <c r="T2945" s="167"/>
      <c r="U2945" s="334"/>
      <c r="V2945" s="168">
        <f t="shared" si="3"/>
        <v>12410.4224</v>
      </c>
      <c r="W2945" s="168">
        <f t="shared" si="4"/>
        <v>0</v>
      </c>
      <c r="X2945" s="168">
        <f t="shared" si="5"/>
        <v>0</v>
      </c>
      <c r="Y2945" s="168">
        <f t="shared" si="6"/>
        <v>0</v>
      </c>
      <c r="Z2945" s="168">
        <f t="shared" si="7"/>
        <v>0</v>
      </c>
      <c r="AA2945" s="168">
        <f t="shared" si="8"/>
        <v>0</v>
      </c>
      <c r="AB2945" s="168">
        <f t="shared" si="9"/>
        <v>0</v>
      </c>
    </row>
    <row r="2946" ht="15.0" customHeight="1">
      <c r="A2946" s="157" t="s">
        <v>10528</v>
      </c>
      <c r="B2946" s="169" t="s">
        <v>17</v>
      </c>
      <c r="C2946" s="169" t="s">
        <v>10522</v>
      </c>
      <c r="D2946" s="317">
        <v>45735.0</v>
      </c>
      <c r="E2946" s="157" t="s">
        <v>600</v>
      </c>
      <c r="F2946" s="160">
        <v>12257.28</v>
      </c>
      <c r="G2946" s="160">
        <f>'FACUS$'!$F2946*0.16</f>
        <v>1961.1648</v>
      </c>
      <c r="H2946" s="160">
        <f t="shared" si="68"/>
        <v>14218.4448</v>
      </c>
      <c r="I2946" s="172"/>
      <c r="J2946" s="169"/>
      <c r="K2946" s="172"/>
      <c r="L2946" s="172">
        <f>+'FACUS$'!$H2946-'FACUS$'!$I2946-'FACUS$'!$K2946</f>
        <v>14218.4448</v>
      </c>
      <c r="M2946" s="162" t="s">
        <v>17</v>
      </c>
      <c r="N2946" s="337" t="s">
        <v>554</v>
      </c>
      <c r="O2946" s="338">
        <v>45743.0</v>
      </c>
      <c r="P2946" s="164">
        <f t="array" ref="P2946">XLOOKUP('FACUS$'!$B2946,'perfil de pagos'!$A$4:$A$46,'perfil de pagos'!$C$4:$C$46+'FACUS$'!$D2946)</f>
        <v>45745</v>
      </c>
      <c r="Q2946" s="165">
        <f t="shared" si="70"/>
        <v>0</v>
      </c>
      <c r="R2946" s="167"/>
      <c r="S2946" s="167"/>
      <c r="T2946" s="167"/>
      <c r="U2946" s="334"/>
      <c r="V2946" s="168">
        <f t="shared" si="3"/>
        <v>14218.4448</v>
      </c>
      <c r="W2946" s="168">
        <f t="shared" si="4"/>
        <v>0</v>
      </c>
      <c r="X2946" s="168">
        <f t="shared" si="5"/>
        <v>0</v>
      </c>
      <c r="Y2946" s="168">
        <f t="shared" si="6"/>
        <v>0</v>
      </c>
      <c r="Z2946" s="168">
        <f t="shared" si="7"/>
        <v>0</v>
      </c>
      <c r="AA2946" s="168">
        <f t="shared" si="8"/>
        <v>0</v>
      </c>
      <c r="AB2946" s="168">
        <f t="shared" si="9"/>
        <v>0</v>
      </c>
    </row>
    <row r="2947" ht="15.0" customHeight="1">
      <c r="A2947" s="157" t="s">
        <v>10529</v>
      </c>
      <c r="B2947" s="169" t="s">
        <v>38</v>
      </c>
      <c r="C2947" s="169" t="s">
        <v>10522</v>
      </c>
      <c r="D2947" s="317">
        <v>45736.0</v>
      </c>
      <c r="E2947" s="157" t="s">
        <v>600</v>
      </c>
      <c r="F2947" s="160">
        <v>1977.73</v>
      </c>
      <c r="G2947" s="160">
        <f>'FACUS$'!$F2947*0.16</f>
        <v>316.4368</v>
      </c>
      <c r="H2947" s="160">
        <f t="shared" si="68"/>
        <v>2294.1668</v>
      </c>
      <c r="I2947" s="172"/>
      <c r="J2947" s="169"/>
      <c r="K2947" s="172"/>
      <c r="L2947" s="172">
        <f>+'FACUS$'!$H2947-'FACUS$'!$I2947-'FACUS$'!$K2947</f>
        <v>2294.1668</v>
      </c>
      <c r="M2947" s="162" t="s">
        <v>4654</v>
      </c>
      <c r="N2947" s="337" t="s">
        <v>554</v>
      </c>
      <c r="O2947" s="338">
        <v>45756.0</v>
      </c>
      <c r="P2947" s="164">
        <f t="array" ref="P2947">XLOOKUP('FACUS$'!$B2947,'perfil de pagos'!$A$4:$A$46,'perfil de pagos'!$C$4:$C$46+'FACUS$'!$D2947)</f>
        <v>45766</v>
      </c>
      <c r="Q2947" s="165">
        <f t="shared" si="70"/>
        <v>0</v>
      </c>
      <c r="R2947" s="167"/>
      <c r="S2947" s="167">
        <v>3748.0</v>
      </c>
      <c r="T2947" s="167"/>
      <c r="U2947" s="334"/>
      <c r="V2947" s="168">
        <f t="shared" si="3"/>
        <v>2294.1668</v>
      </c>
      <c r="W2947" s="168">
        <f t="shared" si="4"/>
        <v>0</v>
      </c>
      <c r="X2947" s="168">
        <f t="shared" si="5"/>
        <v>0</v>
      </c>
      <c r="Y2947" s="168">
        <f t="shared" si="6"/>
        <v>0</v>
      </c>
      <c r="Z2947" s="168">
        <f t="shared" si="7"/>
        <v>0</v>
      </c>
      <c r="AA2947" s="168">
        <f t="shared" si="8"/>
        <v>0</v>
      </c>
      <c r="AB2947" s="168">
        <f t="shared" si="9"/>
        <v>0</v>
      </c>
    </row>
    <row r="2948" ht="15.0" customHeight="1">
      <c r="A2948" s="157" t="s">
        <v>10530</v>
      </c>
      <c r="B2948" s="169" t="s">
        <v>42</v>
      </c>
      <c r="C2948" s="169" t="s">
        <v>10522</v>
      </c>
      <c r="D2948" s="317">
        <v>45737.0</v>
      </c>
      <c r="E2948" s="157" t="s">
        <v>600</v>
      </c>
      <c r="F2948" s="160">
        <v>7264.94</v>
      </c>
      <c r="G2948" s="160">
        <f>'FACUS$'!$F2948*0.16</f>
        <v>1162.3904</v>
      </c>
      <c r="H2948" s="160">
        <f t="shared" si="68"/>
        <v>8427.3304</v>
      </c>
      <c r="I2948" s="172"/>
      <c r="J2948" s="169"/>
      <c r="K2948" s="172"/>
      <c r="L2948" s="172">
        <f>+'FACUS$'!$H2948-'FACUS$'!$I2948-'FACUS$'!$K2948</f>
        <v>8427.3304</v>
      </c>
      <c r="M2948" s="162" t="s">
        <v>42</v>
      </c>
      <c r="N2948" s="337" t="s">
        <v>554</v>
      </c>
      <c r="O2948" s="338">
        <v>45750.0</v>
      </c>
      <c r="P2948" s="164">
        <f t="array" ref="P2948">XLOOKUP('FACUS$'!$B2948,'perfil de pagos'!$A$4:$A$46,'perfil de pagos'!$C$4:$C$46+'FACUS$'!$D2948)</f>
        <v>45747</v>
      </c>
      <c r="Q2948" s="165">
        <f t="shared" si="70"/>
        <v>0</v>
      </c>
      <c r="R2948" s="167"/>
      <c r="S2948" s="167">
        <v>3727.0</v>
      </c>
      <c r="T2948" s="167"/>
      <c r="U2948" s="334"/>
      <c r="V2948" s="168">
        <f t="shared" si="3"/>
        <v>8427.3304</v>
      </c>
      <c r="W2948" s="168">
        <f t="shared" si="4"/>
        <v>0</v>
      </c>
      <c r="X2948" s="168">
        <f t="shared" si="5"/>
        <v>0</v>
      </c>
      <c r="Y2948" s="168">
        <f t="shared" si="6"/>
        <v>0</v>
      </c>
      <c r="Z2948" s="168">
        <f t="shared" si="7"/>
        <v>0</v>
      </c>
      <c r="AA2948" s="168">
        <f t="shared" si="8"/>
        <v>0</v>
      </c>
      <c r="AB2948" s="168">
        <f t="shared" si="9"/>
        <v>0</v>
      </c>
    </row>
    <row r="2949" ht="15.0" customHeight="1">
      <c r="A2949" s="157" t="s">
        <v>10531</v>
      </c>
      <c r="B2949" s="169" t="s">
        <v>18</v>
      </c>
      <c r="C2949" s="169" t="s">
        <v>10522</v>
      </c>
      <c r="D2949" s="317">
        <v>45741.0</v>
      </c>
      <c r="E2949" s="157" t="s">
        <v>600</v>
      </c>
      <c r="F2949" s="160">
        <v>6106.46</v>
      </c>
      <c r="G2949" s="160">
        <f>'FACUS$'!$F2949*0.16</f>
        <v>977.0336</v>
      </c>
      <c r="H2949" s="160">
        <f t="shared" si="68"/>
        <v>7083.4936</v>
      </c>
      <c r="I2949" s="172"/>
      <c r="J2949" s="169"/>
      <c r="K2949" s="172"/>
      <c r="L2949" s="172">
        <f>+'FACUS$'!$H2949-'FACUS$'!$I2949-'FACUS$'!$K2949</f>
        <v>7083.4936</v>
      </c>
      <c r="M2949" s="162" t="s">
        <v>586</v>
      </c>
      <c r="N2949" s="337" t="s">
        <v>554</v>
      </c>
      <c r="O2949" s="338">
        <v>45751.0</v>
      </c>
      <c r="P2949" s="164">
        <f t="array" ref="P2949">XLOOKUP('FACUS$'!$B2949,'perfil de pagos'!$A$4:$A$46,'perfil de pagos'!$C$4:$C$46+'FACUS$'!$D2949)</f>
        <v>45751</v>
      </c>
      <c r="Q2949" s="165">
        <f t="shared" si="70"/>
        <v>0</v>
      </c>
      <c r="R2949" s="167"/>
      <c r="S2949" s="167">
        <v>3731.0</v>
      </c>
      <c r="T2949" s="167"/>
      <c r="U2949" s="334"/>
      <c r="V2949" s="168">
        <f t="shared" si="3"/>
        <v>7083.4936</v>
      </c>
      <c r="W2949" s="168">
        <f t="shared" si="4"/>
        <v>0</v>
      </c>
      <c r="X2949" s="168">
        <f t="shared" si="5"/>
        <v>0</v>
      </c>
      <c r="Y2949" s="168">
        <f t="shared" si="6"/>
        <v>0</v>
      </c>
      <c r="Z2949" s="168">
        <f t="shared" si="7"/>
        <v>0</v>
      </c>
      <c r="AA2949" s="168">
        <f t="shared" si="8"/>
        <v>0</v>
      </c>
      <c r="AB2949" s="168">
        <f t="shared" si="9"/>
        <v>0</v>
      </c>
    </row>
    <row r="2950" ht="15.0" customHeight="1">
      <c r="A2950" s="157" t="s">
        <v>10532</v>
      </c>
      <c r="B2950" s="169" t="s">
        <v>20</v>
      </c>
      <c r="C2950" s="169" t="s">
        <v>10522</v>
      </c>
      <c r="D2950" s="317">
        <v>45741.0</v>
      </c>
      <c r="E2950" s="157" t="s">
        <v>600</v>
      </c>
      <c r="F2950" s="160">
        <v>13322.02</v>
      </c>
      <c r="G2950" s="160">
        <f>'FACUS$'!$F2950*0.16</f>
        <v>2131.5232</v>
      </c>
      <c r="H2950" s="160">
        <f t="shared" si="68"/>
        <v>15453.5432</v>
      </c>
      <c r="I2950" s="172"/>
      <c r="J2950" s="169"/>
      <c r="K2950" s="172"/>
      <c r="L2950" s="172">
        <f>+'FACUS$'!$H2950-'FACUS$'!$I2950-'FACUS$'!$K2950</f>
        <v>15453.5432</v>
      </c>
      <c r="M2950" s="162" t="s">
        <v>732</v>
      </c>
      <c r="N2950" s="337" t="s">
        <v>554</v>
      </c>
      <c r="O2950" s="338">
        <v>45751.0</v>
      </c>
      <c r="P2950" s="164">
        <f t="array" ref="P2950">XLOOKUP('FACUS$'!$B2950,'perfil de pagos'!$A$4:$A$46,'perfil de pagos'!$C$4:$C$46+'FACUS$'!$D2950)</f>
        <v>45751</v>
      </c>
      <c r="Q2950" s="165">
        <f t="shared" si="70"/>
        <v>0</v>
      </c>
      <c r="R2950" s="167"/>
      <c r="S2950" s="167">
        <v>3731.0</v>
      </c>
      <c r="T2950" s="167"/>
      <c r="U2950" s="334"/>
      <c r="V2950" s="168">
        <f t="shared" si="3"/>
        <v>15453.5432</v>
      </c>
      <c r="W2950" s="168">
        <f t="shared" si="4"/>
        <v>0</v>
      </c>
      <c r="X2950" s="168">
        <f t="shared" si="5"/>
        <v>0</v>
      </c>
      <c r="Y2950" s="168">
        <f t="shared" si="6"/>
        <v>0</v>
      </c>
      <c r="Z2950" s="168">
        <f t="shared" si="7"/>
        <v>0</v>
      </c>
      <c r="AA2950" s="168">
        <f t="shared" si="8"/>
        <v>0</v>
      </c>
      <c r="AB2950" s="168">
        <f t="shared" si="9"/>
        <v>0</v>
      </c>
    </row>
    <row r="2951" ht="15.0" customHeight="1">
      <c r="A2951" s="157" t="s">
        <v>10533</v>
      </c>
      <c r="B2951" s="169" t="s">
        <v>25</v>
      </c>
      <c r="C2951" s="169" t="s">
        <v>10522</v>
      </c>
      <c r="D2951" s="317">
        <v>45741.0</v>
      </c>
      <c r="E2951" s="157" t="s">
        <v>600</v>
      </c>
      <c r="F2951" s="160">
        <v>5312.77</v>
      </c>
      <c r="G2951" s="160">
        <f>'FACUS$'!$F2951*0.16</f>
        <v>850.0432</v>
      </c>
      <c r="H2951" s="160">
        <f t="shared" si="68"/>
        <v>6162.8132</v>
      </c>
      <c r="I2951" s="172"/>
      <c r="J2951" s="169"/>
      <c r="K2951" s="172"/>
      <c r="L2951" s="172">
        <f>+'FACUS$'!$H2951-'FACUS$'!$I2951-'FACUS$'!$K2951</f>
        <v>6162.8132</v>
      </c>
      <c r="M2951" s="162" t="s">
        <v>4388</v>
      </c>
      <c r="N2951" s="337" t="s">
        <v>554</v>
      </c>
      <c r="O2951" s="338">
        <v>45755.0</v>
      </c>
      <c r="P2951" s="164">
        <f t="array" ref="P2951">XLOOKUP('FACUS$'!$B2951,'perfil de pagos'!$A$4:$A$46,'perfil de pagos'!$C$4:$C$46+'FACUS$'!$D2951)</f>
        <v>45751</v>
      </c>
      <c r="Q2951" s="165">
        <f t="shared" si="70"/>
        <v>0</v>
      </c>
      <c r="R2951" s="167"/>
      <c r="S2951" s="167">
        <v>3768.0</v>
      </c>
      <c r="T2951" s="167"/>
      <c r="U2951" s="334"/>
      <c r="V2951" s="168">
        <f t="shared" si="3"/>
        <v>6162.8132</v>
      </c>
      <c r="W2951" s="168">
        <f t="shared" si="4"/>
        <v>0</v>
      </c>
      <c r="X2951" s="168">
        <f t="shared" si="5"/>
        <v>0</v>
      </c>
      <c r="Y2951" s="168">
        <f t="shared" si="6"/>
        <v>0</v>
      </c>
      <c r="Z2951" s="168">
        <f t="shared" si="7"/>
        <v>0</v>
      </c>
      <c r="AA2951" s="168">
        <f t="shared" si="8"/>
        <v>0</v>
      </c>
      <c r="AB2951" s="168">
        <f t="shared" si="9"/>
        <v>0</v>
      </c>
    </row>
    <row r="2952" ht="15.0" customHeight="1">
      <c r="A2952" s="157" t="s">
        <v>10534</v>
      </c>
      <c r="B2952" s="169" t="s">
        <v>37</v>
      </c>
      <c r="C2952" s="169" t="s">
        <v>10522</v>
      </c>
      <c r="D2952" s="317">
        <v>45742.0</v>
      </c>
      <c r="E2952" s="157" t="s">
        <v>600</v>
      </c>
      <c r="F2952" s="160">
        <v>72652.67</v>
      </c>
      <c r="G2952" s="160">
        <f>'FACUS$'!$F2952*0.16</f>
        <v>11624.4272</v>
      </c>
      <c r="H2952" s="160">
        <f t="shared" si="68"/>
        <v>84277.0972</v>
      </c>
      <c r="I2952" s="172"/>
      <c r="J2952" s="169"/>
      <c r="K2952" s="172"/>
      <c r="L2952" s="172">
        <f>+'FACUS$'!$H2952-'FACUS$'!$I2952-'FACUS$'!$K2952</f>
        <v>84277.0972</v>
      </c>
      <c r="M2952" s="162" t="s">
        <v>116</v>
      </c>
      <c r="N2952" s="337" t="s">
        <v>554</v>
      </c>
      <c r="O2952" s="338">
        <v>45754.0</v>
      </c>
      <c r="P2952" s="164">
        <f t="array" ref="P2952">XLOOKUP('FACUS$'!$B2952,'perfil de pagos'!$A$4:$A$46,'perfil de pagos'!$C$4:$C$46+'FACUS$'!$D2952)</f>
        <v>45752</v>
      </c>
      <c r="Q2952" s="165">
        <f t="shared" si="70"/>
        <v>0</v>
      </c>
      <c r="R2952" s="220" t="s">
        <v>10535</v>
      </c>
      <c r="S2952" s="167">
        <v>3739.0</v>
      </c>
      <c r="T2952" s="167"/>
      <c r="U2952" s="334"/>
      <c r="V2952" s="168">
        <f t="shared" si="3"/>
        <v>84277.0972</v>
      </c>
      <c r="W2952" s="168">
        <f t="shared" si="4"/>
        <v>0</v>
      </c>
      <c r="X2952" s="168">
        <f t="shared" si="5"/>
        <v>0</v>
      </c>
      <c r="Y2952" s="168">
        <f t="shared" si="6"/>
        <v>0</v>
      </c>
      <c r="Z2952" s="168">
        <f t="shared" si="7"/>
        <v>0</v>
      </c>
      <c r="AA2952" s="168">
        <f t="shared" si="8"/>
        <v>0</v>
      </c>
      <c r="AB2952" s="168">
        <f t="shared" si="9"/>
        <v>0</v>
      </c>
    </row>
    <row r="2953" ht="15.0" customHeight="1">
      <c r="A2953" s="157" t="s">
        <v>10536</v>
      </c>
      <c r="B2953" s="169" t="s">
        <v>38</v>
      </c>
      <c r="C2953" s="169" t="s">
        <v>10522</v>
      </c>
      <c r="D2953" s="317">
        <v>45742.0</v>
      </c>
      <c r="E2953" s="157" t="s">
        <v>600</v>
      </c>
      <c r="F2953" s="160">
        <v>7006.31</v>
      </c>
      <c r="G2953" s="160">
        <f>'FACUS$'!$F2953*0.16</f>
        <v>1121.0096</v>
      </c>
      <c r="H2953" s="160">
        <f t="shared" si="68"/>
        <v>8127.3196</v>
      </c>
      <c r="I2953" s="172"/>
      <c r="J2953" s="169"/>
      <c r="K2953" s="172"/>
      <c r="L2953" s="172">
        <f>+'FACUS$'!$H2953-'FACUS$'!$I2953-'FACUS$'!$K2953</f>
        <v>8127.3196</v>
      </c>
      <c r="M2953" s="162" t="s">
        <v>145</v>
      </c>
      <c r="N2953" s="337" t="s">
        <v>554</v>
      </c>
      <c r="O2953" s="338">
        <v>45756.0</v>
      </c>
      <c r="P2953" s="164">
        <f t="array" ref="P2953">XLOOKUP('FACUS$'!$B2953,'perfil de pagos'!$A$4:$A$46,'perfil de pagos'!$C$4:$C$46+'FACUS$'!$D2953)</f>
        <v>45772</v>
      </c>
      <c r="Q2953" s="165">
        <f t="shared" si="70"/>
        <v>0</v>
      </c>
      <c r="R2953" s="167"/>
      <c r="S2953" s="167">
        <v>3748.0</v>
      </c>
      <c r="T2953" s="167"/>
      <c r="U2953" s="334"/>
      <c r="V2953" s="168">
        <f t="shared" si="3"/>
        <v>8127.3196</v>
      </c>
      <c r="W2953" s="168">
        <f t="shared" si="4"/>
        <v>0</v>
      </c>
      <c r="X2953" s="168">
        <f t="shared" si="5"/>
        <v>0</v>
      </c>
      <c r="Y2953" s="168">
        <f t="shared" si="6"/>
        <v>0</v>
      </c>
      <c r="Z2953" s="168">
        <f t="shared" si="7"/>
        <v>0</v>
      </c>
      <c r="AA2953" s="168">
        <f t="shared" si="8"/>
        <v>0</v>
      </c>
      <c r="AB2953" s="168">
        <f t="shared" si="9"/>
        <v>0</v>
      </c>
    </row>
    <row r="2954" ht="15.0" customHeight="1">
      <c r="A2954" s="157" t="s">
        <v>10537</v>
      </c>
      <c r="B2954" s="169" t="s">
        <v>44</v>
      </c>
      <c r="C2954" s="169" t="s">
        <v>10522</v>
      </c>
      <c r="D2954" s="317">
        <v>45743.0</v>
      </c>
      <c r="E2954" s="157" t="s">
        <v>600</v>
      </c>
      <c r="F2954" s="160">
        <v>15759.85</v>
      </c>
      <c r="G2954" s="160">
        <f>'FACUS$'!$F2954*0.16</f>
        <v>2521.576</v>
      </c>
      <c r="H2954" s="160">
        <f t="shared" si="68"/>
        <v>18281.426</v>
      </c>
      <c r="I2954" s="172"/>
      <c r="J2954" s="169">
        <f>'NCUS$'!A90</f>
        <v>425</v>
      </c>
      <c r="K2954" s="172">
        <v>3880.07</v>
      </c>
      <c r="L2954" s="172">
        <f>+'FACUS$'!$H2954-'FACUS$'!$I2954-'FACUS$'!$K2954</f>
        <v>14401.356</v>
      </c>
      <c r="M2954" s="162" t="s">
        <v>361</v>
      </c>
      <c r="N2954" s="337" t="s">
        <v>554</v>
      </c>
      <c r="O2954" s="338">
        <v>45751.0</v>
      </c>
      <c r="P2954" s="164">
        <f t="array" ref="P2954">XLOOKUP('FACUS$'!$B2954,'perfil de pagos'!$A$4:$A$46,'perfil de pagos'!$C$4:$C$46+'FACUS$'!$D2954)</f>
        <v>45753</v>
      </c>
      <c r="Q2954" s="165">
        <f t="shared" si="70"/>
        <v>0</v>
      </c>
      <c r="R2954" s="167"/>
      <c r="S2954" s="167">
        <v>3728.0</v>
      </c>
      <c r="T2954" s="167"/>
      <c r="U2954" s="334"/>
      <c r="V2954" s="168">
        <f t="shared" si="3"/>
        <v>14401.356</v>
      </c>
      <c r="W2954" s="168">
        <f t="shared" si="4"/>
        <v>0</v>
      </c>
      <c r="X2954" s="168">
        <f t="shared" si="5"/>
        <v>0</v>
      </c>
      <c r="Y2954" s="168">
        <f t="shared" si="6"/>
        <v>0</v>
      </c>
      <c r="Z2954" s="168">
        <f t="shared" si="7"/>
        <v>0</v>
      </c>
      <c r="AA2954" s="168">
        <f t="shared" si="8"/>
        <v>0</v>
      </c>
      <c r="AB2954" s="168">
        <f t="shared" si="9"/>
        <v>0</v>
      </c>
    </row>
    <row r="2955" ht="15.0" customHeight="1">
      <c r="A2955" s="157" t="s">
        <v>10538</v>
      </c>
      <c r="B2955" s="169" t="s">
        <v>44</v>
      </c>
      <c r="C2955" s="169" t="s">
        <v>10539</v>
      </c>
      <c r="D2955" s="317">
        <v>45750.0</v>
      </c>
      <c r="E2955" s="157" t="s">
        <v>600</v>
      </c>
      <c r="F2955" s="160">
        <v>12482.14</v>
      </c>
      <c r="G2955" s="160">
        <f>'FACUS$'!$F2955*0.16</f>
        <v>1997.1424</v>
      </c>
      <c r="H2955" s="160">
        <f t="shared" si="68"/>
        <v>14479.2824</v>
      </c>
      <c r="I2955" s="172"/>
      <c r="J2955" s="169"/>
      <c r="K2955" s="172"/>
      <c r="L2955" s="172">
        <f>+'FACUS$'!$H2955-'FACUS$'!$I2955-'FACUS$'!$K2955</f>
        <v>14479.2824</v>
      </c>
      <c r="M2955" s="162" t="s">
        <v>361</v>
      </c>
      <c r="N2955" s="337" t="s">
        <v>554</v>
      </c>
      <c r="O2955" s="338">
        <v>45758.0</v>
      </c>
      <c r="P2955" s="164">
        <f t="array" ref="P2955">XLOOKUP('FACUS$'!$B2955,'perfil de pagos'!$A$4:$A$46,'perfil de pagos'!$C$4:$C$46+'FACUS$'!$D2955)</f>
        <v>45760</v>
      </c>
      <c r="Q2955" s="165">
        <f t="shared" si="70"/>
        <v>0</v>
      </c>
      <c r="R2955" s="167"/>
      <c r="S2955" s="167">
        <v>3752.0</v>
      </c>
      <c r="T2955" s="167"/>
      <c r="U2955" s="334"/>
      <c r="V2955" s="168">
        <f t="shared" si="3"/>
        <v>14479.2824</v>
      </c>
      <c r="W2955" s="168">
        <f t="shared" si="4"/>
        <v>0</v>
      </c>
      <c r="X2955" s="168">
        <f t="shared" si="5"/>
        <v>0</v>
      </c>
      <c r="Y2955" s="168">
        <f t="shared" si="6"/>
        <v>0</v>
      </c>
      <c r="Z2955" s="168">
        <f t="shared" si="7"/>
        <v>0</v>
      </c>
      <c r="AA2955" s="168">
        <f t="shared" si="8"/>
        <v>0</v>
      </c>
      <c r="AB2955" s="168">
        <f t="shared" si="9"/>
        <v>0</v>
      </c>
    </row>
    <row r="2956" ht="15.0" customHeight="1">
      <c r="A2956" s="299" t="s">
        <v>10540</v>
      </c>
      <c r="B2956" s="300" t="s">
        <v>44</v>
      </c>
      <c r="C2956" s="300" t="s">
        <v>10539</v>
      </c>
      <c r="D2956" s="407">
        <v>45750.0</v>
      </c>
      <c r="E2956" s="299" t="s">
        <v>600</v>
      </c>
      <c r="F2956" s="302">
        <v>12482.14</v>
      </c>
      <c r="G2956" s="302">
        <f>'FACUS$'!$F2956*0.16</f>
        <v>1997.1424</v>
      </c>
      <c r="H2956" s="302">
        <f t="shared" si="68"/>
        <v>14479.2824</v>
      </c>
      <c r="I2956" s="408"/>
      <c r="J2956" s="300"/>
      <c r="K2956" s="408"/>
      <c r="L2956" s="408">
        <f>+'FACUS$'!$H2956-'FACUS$'!$I2956-'FACUS$'!$K2956</f>
        <v>14479.2824</v>
      </c>
      <c r="M2956" s="305" t="s">
        <v>361</v>
      </c>
      <c r="N2956" s="409" t="s">
        <v>127</v>
      </c>
      <c r="O2956" s="410"/>
      <c r="P2956" s="306">
        <f t="array" ref="P2956">XLOOKUP('FACUS$'!$B2956,'perfil de pagos'!$A$4:$A$46,'perfil de pagos'!$C$4:$C$46+'FACUS$'!$D2956)</f>
        <v>45760</v>
      </c>
      <c r="Q2956" s="307" t="str">
        <f t="shared" si="70"/>
        <v>N/A</v>
      </c>
      <c r="R2956" s="308"/>
      <c r="S2956" s="308"/>
      <c r="T2956" s="308"/>
      <c r="U2956" s="411"/>
      <c r="V2956" s="309">
        <f t="shared" si="3"/>
        <v>0</v>
      </c>
      <c r="W2956" s="309">
        <f t="shared" si="4"/>
        <v>0</v>
      </c>
      <c r="X2956" s="309">
        <f t="shared" si="5"/>
        <v>0</v>
      </c>
      <c r="Y2956" s="309">
        <f t="shared" si="6"/>
        <v>0</v>
      </c>
      <c r="Z2956" s="309">
        <f t="shared" si="7"/>
        <v>0</v>
      </c>
      <c r="AA2956" s="309">
        <f t="shared" si="8"/>
        <v>0</v>
      </c>
      <c r="AB2956" s="309">
        <f t="shared" si="9"/>
        <v>14479.2824</v>
      </c>
      <c r="AC2956" s="96"/>
      <c r="AD2956" s="96"/>
      <c r="AE2956" s="96"/>
    </row>
    <row r="2957" ht="15.0" customHeight="1">
      <c r="A2957" s="157" t="s">
        <v>10541</v>
      </c>
      <c r="B2957" s="169" t="s">
        <v>50</v>
      </c>
      <c r="C2957" s="158" t="s">
        <v>7181</v>
      </c>
      <c r="D2957" s="317">
        <v>45750.0</v>
      </c>
      <c r="E2957" s="157" t="s">
        <v>600</v>
      </c>
      <c r="F2957" s="160">
        <v>15548.77</v>
      </c>
      <c r="G2957" s="160">
        <f>'FACUS$'!$F2957*0.16</f>
        <v>2487.8032</v>
      </c>
      <c r="H2957" s="160">
        <f t="shared" si="68"/>
        <v>18036.5732</v>
      </c>
      <c r="I2957" s="172"/>
      <c r="J2957" s="169"/>
      <c r="K2957" s="172"/>
      <c r="L2957" s="172">
        <f>+'FACUS$'!$H2957-'FACUS$'!$I2957-'FACUS$'!$K2957</f>
        <v>18036.5732</v>
      </c>
      <c r="M2957" s="162" t="s">
        <v>570</v>
      </c>
      <c r="N2957" s="337" t="s">
        <v>554</v>
      </c>
      <c r="O2957" s="338">
        <v>45768.0</v>
      </c>
      <c r="P2957" s="164">
        <f t="array" ref="P2957">XLOOKUP('FACUS$'!$B2957,'perfil de pagos'!$A$4:$A$46,'perfil de pagos'!$C$4:$C$46+'FACUS$'!$D2957)</f>
        <v>45760</v>
      </c>
      <c r="Q2957" s="165">
        <f t="shared" si="70"/>
        <v>0</v>
      </c>
      <c r="R2957" s="167"/>
      <c r="S2957" s="167">
        <v>3771.0</v>
      </c>
      <c r="T2957" s="167"/>
      <c r="U2957" s="334"/>
      <c r="V2957" s="168">
        <f t="shared" si="3"/>
        <v>18036.5732</v>
      </c>
      <c r="W2957" s="168">
        <f t="shared" si="4"/>
        <v>0</v>
      </c>
      <c r="X2957" s="168">
        <f t="shared" si="5"/>
        <v>0</v>
      </c>
      <c r="Y2957" s="168">
        <f t="shared" si="6"/>
        <v>0</v>
      </c>
      <c r="Z2957" s="168">
        <f t="shared" si="7"/>
        <v>0</v>
      </c>
      <c r="AA2957" s="168">
        <f t="shared" si="8"/>
        <v>0</v>
      </c>
      <c r="AB2957" s="168">
        <f t="shared" si="9"/>
        <v>0</v>
      </c>
    </row>
    <row r="2958" ht="15.0" customHeight="1">
      <c r="A2958" s="157" t="s">
        <v>10542</v>
      </c>
      <c r="B2958" s="169" t="s">
        <v>50</v>
      </c>
      <c r="C2958" s="169" t="s">
        <v>10539</v>
      </c>
      <c r="D2958" s="317">
        <v>45750.0</v>
      </c>
      <c r="E2958" s="157" t="s">
        <v>600</v>
      </c>
      <c r="F2958" s="160">
        <v>13824.05</v>
      </c>
      <c r="G2958" s="160">
        <f>'FACUS$'!$F2958*0.16</f>
        <v>2211.848</v>
      </c>
      <c r="H2958" s="160">
        <f t="shared" si="68"/>
        <v>16035.898</v>
      </c>
      <c r="I2958" s="172"/>
      <c r="J2958" s="169"/>
      <c r="K2958" s="172"/>
      <c r="L2958" s="172">
        <f>+'FACUS$'!$H2958-'FACUS$'!$I2958-'FACUS$'!$K2958</f>
        <v>16035.898</v>
      </c>
      <c r="M2958" s="162" t="s">
        <v>570</v>
      </c>
      <c r="N2958" s="337"/>
      <c r="O2958" s="338"/>
      <c r="P2958" s="164">
        <f t="array" ref="P2958">XLOOKUP('FACUS$'!$B2958,'perfil de pagos'!$A$4:$A$46,'perfil de pagos'!$C$4:$C$46+'FACUS$'!$D2958)</f>
        <v>45760</v>
      </c>
      <c r="Q2958" s="165">
        <f t="shared" si="70"/>
        <v>29</v>
      </c>
      <c r="R2958" s="167"/>
      <c r="S2958" s="167"/>
      <c r="T2958" s="167"/>
      <c r="U2958" s="334"/>
      <c r="V2958" s="168">
        <f t="shared" si="3"/>
        <v>0</v>
      </c>
      <c r="W2958" s="168">
        <f t="shared" si="4"/>
        <v>0</v>
      </c>
      <c r="X2958" s="168">
        <f t="shared" si="5"/>
        <v>16035.898</v>
      </c>
      <c r="Y2958" s="168">
        <f t="shared" si="6"/>
        <v>0</v>
      </c>
      <c r="Z2958" s="168">
        <f t="shared" si="7"/>
        <v>0</v>
      </c>
      <c r="AA2958" s="168">
        <f t="shared" si="8"/>
        <v>0</v>
      </c>
      <c r="AB2958" s="168">
        <f t="shared" si="9"/>
        <v>0</v>
      </c>
    </row>
    <row r="2959" ht="15.0" customHeight="1">
      <c r="A2959" s="157" t="s">
        <v>10543</v>
      </c>
      <c r="B2959" s="169" t="s">
        <v>41</v>
      </c>
      <c r="C2959" s="169" t="s">
        <v>10539</v>
      </c>
      <c r="D2959" s="317">
        <v>45750.0</v>
      </c>
      <c r="E2959" s="157" t="s">
        <v>600</v>
      </c>
      <c r="F2959" s="160">
        <v>122964.454</v>
      </c>
      <c r="G2959" s="160">
        <f>'FACUS$'!$F2959*0.16</f>
        <v>19674.31264</v>
      </c>
      <c r="H2959" s="160">
        <f t="shared" si="68"/>
        <v>142638.7666</v>
      </c>
      <c r="I2959" s="172"/>
      <c r="J2959" s="169"/>
      <c r="K2959" s="172"/>
      <c r="L2959" s="172">
        <f>+'FACUS$'!$H2959-'FACUS$'!$I2959-'FACUS$'!$K2959</f>
        <v>142638.7666</v>
      </c>
      <c r="M2959" s="162" t="s">
        <v>875</v>
      </c>
      <c r="N2959" s="337"/>
      <c r="O2959" s="338"/>
      <c r="P2959" s="164">
        <f t="array" ref="P2959">XLOOKUP('FACUS$'!$B2959,'perfil de pagos'!$A$4:$A$46,'perfil de pagos'!$C$4:$C$46+'FACUS$'!$D2959)</f>
        <v>45760</v>
      </c>
      <c r="Q2959" s="165">
        <f t="shared" si="70"/>
        <v>29</v>
      </c>
      <c r="R2959" s="167"/>
      <c r="S2959" s="167"/>
      <c r="T2959" s="167"/>
      <c r="U2959" s="334"/>
      <c r="V2959" s="168">
        <f t="shared" si="3"/>
        <v>0</v>
      </c>
      <c r="W2959" s="168">
        <f t="shared" si="4"/>
        <v>0</v>
      </c>
      <c r="X2959" s="168">
        <f t="shared" si="5"/>
        <v>142638.7666</v>
      </c>
      <c r="Y2959" s="168">
        <f t="shared" si="6"/>
        <v>0</v>
      </c>
      <c r="Z2959" s="168">
        <f t="shared" si="7"/>
        <v>0</v>
      </c>
      <c r="AA2959" s="168">
        <f t="shared" si="8"/>
        <v>0</v>
      </c>
      <c r="AB2959" s="168">
        <f t="shared" si="9"/>
        <v>0</v>
      </c>
    </row>
    <row r="2960" ht="15.0" customHeight="1">
      <c r="A2960" s="157" t="s">
        <v>10544</v>
      </c>
      <c r="B2960" s="169" t="s">
        <v>52</v>
      </c>
      <c r="C2960" s="158" t="s">
        <v>7181</v>
      </c>
      <c r="D2960" s="317">
        <v>45750.0</v>
      </c>
      <c r="E2960" s="157" t="s">
        <v>600</v>
      </c>
      <c r="F2960" s="160">
        <v>7303.1</v>
      </c>
      <c r="G2960" s="160">
        <f>'FACUS$'!$F2960*0.16</f>
        <v>1168.496</v>
      </c>
      <c r="H2960" s="160">
        <f t="shared" si="68"/>
        <v>8471.596</v>
      </c>
      <c r="I2960" s="172"/>
      <c r="J2960" s="169"/>
      <c r="K2960" s="172"/>
      <c r="L2960" s="172">
        <f>+'FACUS$'!$H2960-'FACUS$'!$I2960-'FACUS$'!$K2960</f>
        <v>8471.596</v>
      </c>
      <c r="M2960" s="162" t="s">
        <v>10309</v>
      </c>
      <c r="N2960" s="337"/>
      <c r="O2960" s="338"/>
      <c r="P2960" s="164">
        <f t="array" ref="P2960">XLOOKUP('FACUS$'!$B2960,'perfil de pagos'!$A$4:$A$46,'perfil de pagos'!$C$4:$C$46+'FACUS$'!$D2960)</f>
        <v>45765</v>
      </c>
      <c r="Q2960" s="165">
        <f t="shared" si="70"/>
        <v>24</v>
      </c>
      <c r="R2960" s="167"/>
      <c r="S2960" s="167"/>
      <c r="T2960" s="167"/>
      <c r="U2960" s="334"/>
      <c r="V2960" s="168">
        <f t="shared" si="3"/>
        <v>0</v>
      </c>
      <c r="W2960" s="168">
        <f t="shared" si="4"/>
        <v>0</v>
      </c>
      <c r="X2960" s="168">
        <f t="shared" si="5"/>
        <v>8471.596</v>
      </c>
      <c r="Y2960" s="168">
        <f t="shared" si="6"/>
        <v>0</v>
      </c>
      <c r="Z2960" s="168">
        <f t="shared" si="7"/>
        <v>0</v>
      </c>
      <c r="AA2960" s="168">
        <f t="shared" si="8"/>
        <v>0</v>
      </c>
      <c r="AB2960" s="168">
        <f t="shared" si="9"/>
        <v>0</v>
      </c>
    </row>
    <row r="2961" ht="15.0" customHeight="1">
      <c r="A2961" s="157" t="s">
        <v>10545</v>
      </c>
      <c r="B2961" s="169" t="s">
        <v>52</v>
      </c>
      <c r="C2961" s="169" t="s">
        <v>10539</v>
      </c>
      <c r="D2961" s="317">
        <v>45750.0</v>
      </c>
      <c r="E2961" s="157" t="s">
        <v>600</v>
      </c>
      <c r="F2961" s="160">
        <v>3326.48</v>
      </c>
      <c r="G2961" s="160">
        <f>'FACUS$'!$F2961*0.16</f>
        <v>532.2368</v>
      </c>
      <c r="H2961" s="160">
        <f t="shared" si="68"/>
        <v>3858.7168</v>
      </c>
      <c r="I2961" s="172"/>
      <c r="J2961" s="169"/>
      <c r="K2961" s="172"/>
      <c r="L2961" s="172">
        <f>+'FACUS$'!$H2961-'FACUS$'!$I2961-'FACUS$'!$K2961</f>
        <v>3858.7168</v>
      </c>
      <c r="M2961" s="162" t="s">
        <v>10309</v>
      </c>
      <c r="N2961" s="337"/>
      <c r="O2961" s="338"/>
      <c r="P2961" s="164">
        <f t="array" ref="P2961">XLOOKUP('FACUS$'!$B2961,'perfil de pagos'!$A$4:$A$46,'perfil de pagos'!$C$4:$C$46+'FACUS$'!$D2961)</f>
        <v>45765</v>
      </c>
      <c r="Q2961" s="165">
        <f t="shared" si="70"/>
        <v>24</v>
      </c>
      <c r="R2961" s="167"/>
      <c r="S2961" s="167"/>
      <c r="T2961" s="167"/>
      <c r="U2961" s="334"/>
      <c r="V2961" s="168">
        <f t="shared" si="3"/>
        <v>0</v>
      </c>
      <c r="W2961" s="168">
        <f t="shared" si="4"/>
        <v>0</v>
      </c>
      <c r="X2961" s="168">
        <f t="shared" si="5"/>
        <v>3858.7168</v>
      </c>
      <c r="Y2961" s="168">
        <f t="shared" si="6"/>
        <v>0</v>
      </c>
      <c r="Z2961" s="168">
        <f t="shared" si="7"/>
        <v>0</v>
      </c>
      <c r="AA2961" s="168">
        <f t="shared" si="8"/>
        <v>0</v>
      </c>
      <c r="AB2961" s="168">
        <f t="shared" si="9"/>
        <v>0</v>
      </c>
    </row>
    <row r="2962" ht="15.0" customHeight="1">
      <c r="A2962" s="157" t="s">
        <v>10546</v>
      </c>
      <c r="B2962" s="169" t="s">
        <v>35</v>
      </c>
      <c r="C2962" s="169" t="s">
        <v>10539</v>
      </c>
      <c r="D2962" s="317">
        <v>45750.0</v>
      </c>
      <c r="E2962" s="157" t="s">
        <v>600</v>
      </c>
      <c r="F2962" s="160">
        <v>15977.77</v>
      </c>
      <c r="G2962" s="160">
        <f>'FACUS$'!$F2962*0.16</f>
        <v>2556.4432</v>
      </c>
      <c r="H2962" s="160">
        <f t="shared" si="68"/>
        <v>18534.2132</v>
      </c>
      <c r="I2962" s="172"/>
      <c r="J2962" s="169"/>
      <c r="K2962" s="172"/>
      <c r="L2962" s="172">
        <f>+'FACUS$'!$H2962-'FACUS$'!$I2962-'FACUS$'!$K2962</f>
        <v>18534.2132</v>
      </c>
      <c r="M2962" s="162" t="s">
        <v>276</v>
      </c>
      <c r="N2962" s="337" t="s">
        <v>554</v>
      </c>
      <c r="O2962" s="338">
        <v>45768.0</v>
      </c>
      <c r="P2962" s="164">
        <f t="array" ref="P2962">XLOOKUP('FACUS$'!$B2962,'perfil de pagos'!$A$4:$A$46,'perfil de pagos'!$C$4:$C$46+'FACUS$'!$D2962)</f>
        <v>45760</v>
      </c>
      <c r="Q2962" s="165">
        <f t="shared" si="70"/>
        <v>0</v>
      </c>
      <c r="R2962" s="167"/>
      <c r="S2962" s="167">
        <v>3772.0</v>
      </c>
      <c r="T2962" s="167"/>
      <c r="U2962" s="334"/>
      <c r="V2962" s="168">
        <f t="shared" si="3"/>
        <v>18534.2132</v>
      </c>
      <c r="W2962" s="168">
        <f t="shared" si="4"/>
        <v>0</v>
      </c>
      <c r="X2962" s="168">
        <f t="shared" si="5"/>
        <v>0</v>
      </c>
      <c r="Y2962" s="168">
        <f t="shared" si="6"/>
        <v>0</v>
      </c>
      <c r="Z2962" s="168">
        <f t="shared" si="7"/>
        <v>0</v>
      </c>
      <c r="AA2962" s="168">
        <f t="shared" si="8"/>
        <v>0</v>
      </c>
      <c r="AB2962" s="168">
        <f t="shared" si="9"/>
        <v>0</v>
      </c>
    </row>
    <row r="2963" ht="15.0" customHeight="1">
      <c r="A2963" s="157" t="s">
        <v>10547</v>
      </c>
      <c r="B2963" s="169" t="s">
        <v>17</v>
      </c>
      <c r="C2963" s="158" t="s">
        <v>7181</v>
      </c>
      <c r="D2963" s="317">
        <v>45750.0</v>
      </c>
      <c r="E2963" s="157" t="s">
        <v>600</v>
      </c>
      <c r="F2963" s="160">
        <v>6855.64</v>
      </c>
      <c r="G2963" s="160">
        <f>'FACUS$'!$F2963*0.16</f>
        <v>1096.9024</v>
      </c>
      <c r="H2963" s="160">
        <f t="shared" si="68"/>
        <v>7952.5424</v>
      </c>
      <c r="I2963" s="172"/>
      <c r="J2963" s="169"/>
      <c r="K2963" s="172"/>
      <c r="L2963" s="172">
        <f>+'FACUS$'!$H2963-'FACUS$'!$I2963-'FACUS$'!$K2963</f>
        <v>7952.5424</v>
      </c>
      <c r="M2963" s="162" t="s">
        <v>17</v>
      </c>
      <c r="N2963" s="337" t="s">
        <v>554</v>
      </c>
      <c r="O2963" s="338">
        <v>45757.0</v>
      </c>
      <c r="P2963" s="164">
        <f t="array" ref="P2963">XLOOKUP('FACUS$'!$B2963,'perfil de pagos'!$A$4:$A$46,'perfil de pagos'!$C$4:$C$46+'FACUS$'!$D2963)</f>
        <v>45760</v>
      </c>
      <c r="Q2963" s="165">
        <f t="shared" si="70"/>
        <v>0</v>
      </c>
      <c r="R2963" s="167"/>
      <c r="S2963" s="167">
        <v>3749.0</v>
      </c>
      <c r="T2963" s="167"/>
      <c r="U2963" s="334"/>
      <c r="V2963" s="168">
        <f t="shared" si="3"/>
        <v>7952.5424</v>
      </c>
      <c r="W2963" s="168">
        <f t="shared" si="4"/>
        <v>0</v>
      </c>
      <c r="X2963" s="168">
        <f t="shared" si="5"/>
        <v>0</v>
      </c>
      <c r="Y2963" s="168">
        <f t="shared" si="6"/>
        <v>0</v>
      </c>
      <c r="Z2963" s="168">
        <f t="shared" si="7"/>
        <v>0</v>
      </c>
      <c r="AA2963" s="168">
        <f t="shared" si="8"/>
        <v>0</v>
      </c>
      <c r="AB2963" s="168">
        <f t="shared" si="9"/>
        <v>0</v>
      </c>
    </row>
    <row r="2964" ht="15.0" customHeight="1">
      <c r="A2964" s="157" t="s">
        <v>10548</v>
      </c>
      <c r="B2964" s="169" t="s">
        <v>17</v>
      </c>
      <c r="C2964" s="169" t="s">
        <v>10539</v>
      </c>
      <c r="D2964" s="317">
        <v>45750.0</v>
      </c>
      <c r="E2964" s="157" t="s">
        <v>600</v>
      </c>
      <c r="F2964" s="160">
        <v>7852.26</v>
      </c>
      <c r="G2964" s="160">
        <f>'FACUS$'!$F2964*0.16</f>
        <v>1256.3616</v>
      </c>
      <c r="H2964" s="160">
        <f t="shared" si="68"/>
        <v>9108.6216</v>
      </c>
      <c r="I2964" s="172"/>
      <c r="J2964" s="169"/>
      <c r="K2964" s="172"/>
      <c r="L2964" s="172">
        <f>+'FACUS$'!$H2964-'FACUS$'!$I2964-'FACUS$'!$K2964</f>
        <v>9108.6216</v>
      </c>
      <c r="M2964" s="162" t="s">
        <v>17</v>
      </c>
      <c r="N2964" s="337" t="s">
        <v>554</v>
      </c>
      <c r="O2964" s="338">
        <v>45757.0</v>
      </c>
      <c r="P2964" s="164">
        <f t="array" ref="P2964">XLOOKUP('FACUS$'!$B2964,'perfil de pagos'!$A$4:$A$46,'perfil de pagos'!$C$4:$C$46+'FACUS$'!$D2964)</f>
        <v>45760</v>
      </c>
      <c r="Q2964" s="165">
        <f t="shared" si="70"/>
        <v>0</v>
      </c>
      <c r="R2964" s="167"/>
      <c r="S2964" s="167">
        <v>3749.0</v>
      </c>
      <c r="T2964" s="167"/>
      <c r="U2964" s="334"/>
      <c r="V2964" s="168">
        <f t="shared" si="3"/>
        <v>9108.6216</v>
      </c>
      <c r="W2964" s="168">
        <f t="shared" si="4"/>
        <v>0</v>
      </c>
      <c r="X2964" s="168">
        <f t="shared" si="5"/>
        <v>0</v>
      </c>
      <c r="Y2964" s="168">
        <f t="shared" si="6"/>
        <v>0</v>
      </c>
      <c r="Z2964" s="168">
        <f t="shared" si="7"/>
        <v>0</v>
      </c>
      <c r="AA2964" s="168">
        <f t="shared" si="8"/>
        <v>0</v>
      </c>
      <c r="AB2964" s="168">
        <f t="shared" si="9"/>
        <v>0</v>
      </c>
    </row>
    <row r="2965" ht="15.0" customHeight="1">
      <c r="A2965" s="157" t="s">
        <v>10549</v>
      </c>
      <c r="B2965" s="169" t="s">
        <v>42</v>
      </c>
      <c r="C2965" s="169" t="s">
        <v>10539</v>
      </c>
      <c r="D2965" s="317">
        <v>45750.0</v>
      </c>
      <c r="E2965" s="157" t="s">
        <v>600</v>
      </c>
      <c r="F2965" s="160">
        <v>9029.68</v>
      </c>
      <c r="G2965" s="160">
        <f>'FACUS$'!$F2965*0.16</f>
        <v>1444.7488</v>
      </c>
      <c r="H2965" s="160">
        <f t="shared" si="68"/>
        <v>10474.4288</v>
      </c>
      <c r="I2965" s="172"/>
      <c r="J2965" s="169"/>
      <c r="K2965" s="172"/>
      <c r="L2965" s="172">
        <f>+'FACUS$'!$H2965-'FACUS$'!$I2965-'FACUS$'!$K2965</f>
        <v>10474.4288</v>
      </c>
      <c r="M2965" s="162" t="s">
        <v>42</v>
      </c>
      <c r="N2965" s="337" t="s">
        <v>554</v>
      </c>
      <c r="O2965" s="338">
        <v>45757.0</v>
      </c>
      <c r="P2965" s="164">
        <f t="array" ref="P2965">XLOOKUP('FACUS$'!$B2965,'perfil de pagos'!$A$4:$A$46,'perfil de pagos'!$C$4:$C$46+'FACUS$'!$D2965)</f>
        <v>45760</v>
      </c>
      <c r="Q2965" s="165">
        <f t="shared" si="70"/>
        <v>0</v>
      </c>
      <c r="R2965" s="167"/>
      <c r="S2965" s="167">
        <v>3750.0</v>
      </c>
      <c r="T2965" s="167"/>
      <c r="U2965" s="334"/>
      <c r="V2965" s="168">
        <f t="shared" si="3"/>
        <v>10474.4288</v>
      </c>
      <c r="W2965" s="168">
        <f t="shared" si="4"/>
        <v>0</v>
      </c>
      <c r="X2965" s="168">
        <f t="shared" si="5"/>
        <v>0</v>
      </c>
      <c r="Y2965" s="168">
        <f t="shared" si="6"/>
        <v>0</v>
      </c>
      <c r="Z2965" s="168">
        <f t="shared" si="7"/>
        <v>0</v>
      </c>
      <c r="AA2965" s="168">
        <f t="shared" si="8"/>
        <v>0</v>
      </c>
      <c r="AB2965" s="168">
        <f t="shared" si="9"/>
        <v>0</v>
      </c>
    </row>
    <row r="2966" ht="15.0" customHeight="1">
      <c r="A2966" s="157" t="s">
        <v>10550</v>
      </c>
      <c r="B2966" s="169" t="s">
        <v>38</v>
      </c>
      <c r="C2966" s="169" t="s">
        <v>10539</v>
      </c>
      <c r="D2966" s="317">
        <v>45754.0</v>
      </c>
      <c r="E2966" s="157" t="s">
        <v>600</v>
      </c>
      <c r="F2966" s="160">
        <v>2314.13</v>
      </c>
      <c r="G2966" s="160">
        <f>'FACUS$'!$F2966*0.16</f>
        <v>370.2608</v>
      </c>
      <c r="H2966" s="160">
        <f t="shared" si="68"/>
        <v>2684.3908</v>
      </c>
      <c r="I2966" s="172"/>
      <c r="J2966" s="169"/>
      <c r="K2966" s="172"/>
      <c r="L2966" s="172">
        <f>+'FACUS$'!$H2966-'FACUS$'!$I2966-'FACUS$'!$K2966</f>
        <v>2684.3908</v>
      </c>
      <c r="M2966" s="162" t="s">
        <v>4654</v>
      </c>
      <c r="N2966" s="337" t="s">
        <v>554</v>
      </c>
      <c r="O2966" s="338">
        <v>45763.0</v>
      </c>
      <c r="P2966" s="164">
        <f t="array" ref="P2966">XLOOKUP('FACUS$'!$B2966,'perfil de pagos'!$A$4:$A$46,'perfil de pagos'!$C$4:$C$46+'FACUS$'!$D2966)</f>
        <v>45784</v>
      </c>
      <c r="Q2966" s="165">
        <f t="shared" si="70"/>
        <v>0</v>
      </c>
      <c r="R2966" s="167"/>
      <c r="S2966" s="167">
        <v>3757.0</v>
      </c>
      <c r="T2966" s="167"/>
      <c r="U2966" s="334"/>
      <c r="V2966" s="168">
        <f t="shared" si="3"/>
        <v>2684.3908</v>
      </c>
      <c r="W2966" s="168">
        <f t="shared" si="4"/>
        <v>0</v>
      </c>
      <c r="X2966" s="168">
        <f t="shared" si="5"/>
        <v>0</v>
      </c>
      <c r="Y2966" s="168">
        <f t="shared" si="6"/>
        <v>0</v>
      </c>
      <c r="Z2966" s="168">
        <f t="shared" si="7"/>
        <v>0</v>
      </c>
      <c r="AA2966" s="168">
        <f t="shared" si="8"/>
        <v>0</v>
      </c>
      <c r="AB2966" s="168">
        <f t="shared" si="9"/>
        <v>0</v>
      </c>
    </row>
    <row r="2967" ht="15.0" customHeight="1">
      <c r="A2967" s="157" t="s">
        <v>10551</v>
      </c>
      <c r="B2967" s="169" t="s">
        <v>18</v>
      </c>
      <c r="C2967" s="169" t="s">
        <v>10539</v>
      </c>
      <c r="D2967" s="317">
        <v>45754.0</v>
      </c>
      <c r="E2967" s="157" t="s">
        <v>600</v>
      </c>
      <c r="F2967" s="160">
        <v>6875.67</v>
      </c>
      <c r="G2967" s="160">
        <f>'FACUS$'!$F2967*0.16</f>
        <v>1100.1072</v>
      </c>
      <c r="H2967" s="160">
        <f t="shared" si="68"/>
        <v>7975.7772</v>
      </c>
      <c r="I2967" s="172"/>
      <c r="J2967" s="169"/>
      <c r="K2967" s="172"/>
      <c r="L2967" s="172">
        <f>+'FACUS$'!$H2967-'FACUS$'!$I2967-'FACUS$'!$K2967</f>
        <v>7975.7772</v>
      </c>
      <c r="M2967" s="162" t="s">
        <v>586</v>
      </c>
      <c r="N2967" s="337" t="s">
        <v>554</v>
      </c>
      <c r="O2967" s="338">
        <v>45775.0</v>
      </c>
      <c r="P2967" s="164">
        <f t="array" ref="P2967">XLOOKUP('FACUS$'!$B2967,'perfil de pagos'!$A$4:$A$46,'perfil de pagos'!$C$4:$C$46+'FACUS$'!$D2967)</f>
        <v>45764</v>
      </c>
      <c r="Q2967" s="165">
        <f t="shared" si="70"/>
        <v>0</v>
      </c>
      <c r="R2967" s="167"/>
      <c r="S2967" s="167">
        <v>3784.0</v>
      </c>
      <c r="T2967" s="167"/>
      <c r="U2967" s="334"/>
      <c r="V2967" s="168">
        <f t="shared" si="3"/>
        <v>7975.7772</v>
      </c>
      <c r="W2967" s="168">
        <f t="shared" si="4"/>
        <v>0</v>
      </c>
      <c r="X2967" s="168">
        <f t="shared" si="5"/>
        <v>0</v>
      </c>
      <c r="Y2967" s="168">
        <f t="shared" si="6"/>
        <v>0</v>
      </c>
      <c r="Z2967" s="168">
        <f t="shared" si="7"/>
        <v>0</v>
      </c>
      <c r="AA2967" s="168">
        <f t="shared" si="8"/>
        <v>0</v>
      </c>
      <c r="AB2967" s="168">
        <f t="shared" si="9"/>
        <v>0</v>
      </c>
    </row>
    <row r="2968" ht="15.0" customHeight="1">
      <c r="A2968" s="157" t="s">
        <v>10552</v>
      </c>
      <c r="B2968" s="169" t="s">
        <v>20</v>
      </c>
      <c r="C2968" s="169" t="s">
        <v>10539</v>
      </c>
      <c r="D2968" s="317">
        <v>45754.0</v>
      </c>
      <c r="E2968" s="157" t="s">
        <v>600</v>
      </c>
      <c r="F2968" s="160">
        <v>15095.89</v>
      </c>
      <c r="G2968" s="160">
        <f>'FACUS$'!$F2968*0.16</f>
        <v>2415.3424</v>
      </c>
      <c r="H2968" s="160">
        <f t="shared" si="68"/>
        <v>17511.2324</v>
      </c>
      <c r="I2968" s="172"/>
      <c r="J2968" s="169"/>
      <c r="K2968" s="172"/>
      <c r="L2968" s="172">
        <f>+'FACUS$'!$H2968-'FACUS$'!$I2968-'FACUS$'!$K2968</f>
        <v>17511.2324</v>
      </c>
      <c r="M2968" s="162" t="s">
        <v>732</v>
      </c>
      <c r="N2968" s="337"/>
      <c r="O2968" s="338"/>
      <c r="P2968" s="164">
        <f t="array" ref="P2968">XLOOKUP('FACUS$'!$B2968,'perfil de pagos'!$A$4:$A$46,'perfil de pagos'!$C$4:$C$46+'FACUS$'!$D2968)</f>
        <v>45764</v>
      </c>
      <c r="Q2968" s="165">
        <f t="shared" si="70"/>
        <v>25</v>
      </c>
      <c r="R2968" s="167"/>
      <c r="S2968" s="167"/>
      <c r="T2968" s="167"/>
      <c r="U2968" s="334"/>
      <c r="V2968" s="168">
        <f t="shared" si="3"/>
        <v>0</v>
      </c>
      <c r="W2968" s="168">
        <f t="shared" si="4"/>
        <v>0</v>
      </c>
      <c r="X2968" s="168">
        <f t="shared" si="5"/>
        <v>17511.2324</v>
      </c>
      <c r="Y2968" s="168">
        <f t="shared" si="6"/>
        <v>0</v>
      </c>
      <c r="Z2968" s="168">
        <f t="shared" si="7"/>
        <v>0</v>
      </c>
      <c r="AA2968" s="168">
        <f t="shared" si="8"/>
        <v>0</v>
      </c>
      <c r="AB2968" s="168">
        <f t="shared" si="9"/>
        <v>0</v>
      </c>
    </row>
    <row r="2969" ht="15.0" customHeight="1">
      <c r="A2969" s="157" t="s">
        <v>10553</v>
      </c>
      <c r="B2969" s="169" t="s">
        <v>25</v>
      </c>
      <c r="C2969" s="169" t="s">
        <v>10539</v>
      </c>
      <c r="D2969" s="317">
        <v>45754.0</v>
      </c>
      <c r="E2969" s="157" t="s">
        <v>600</v>
      </c>
      <c r="F2969" s="160">
        <v>5936.04</v>
      </c>
      <c r="G2969" s="160">
        <f>'FACUS$'!$F2969*0.16</f>
        <v>949.7664</v>
      </c>
      <c r="H2969" s="160">
        <f t="shared" si="68"/>
        <v>6885.8064</v>
      </c>
      <c r="I2969" s="172"/>
      <c r="J2969" s="169"/>
      <c r="K2969" s="172"/>
      <c r="L2969" s="172">
        <f>+'FACUS$'!$H2969-'FACUS$'!$I2969-'FACUS$'!$K2969</f>
        <v>6885.8064</v>
      </c>
      <c r="M2969" s="162" t="s">
        <v>4388</v>
      </c>
      <c r="N2969" s="337" t="s">
        <v>554</v>
      </c>
      <c r="O2969" s="338">
        <v>45771.0</v>
      </c>
      <c r="P2969" s="164">
        <f t="array" ref="P2969">XLOOKUP('FACUS$'!$B2969,'perfil de pagos'!$A$4:$A$46,'perfil de pagos'!$C$4:$C$46+'FACUS$'!$D2969)</f>
        <v>45764</v>
      </c>
      <c r="Q2969" s="165">
        <f t="shared" si="70"/>
        <v>0</v>
      </c>
      <c r="R2969" s="167"/>
      <c r="S2969" s="167">
        <v>3778.0</v>
      </c>
      <c r="T2969" s="167"/>
      <c r="U2969" s="334"/>
      <c r="V2969" s="168">
        <f t="shared" si="3"/>
        <v>6885.8064</v>
      </c>
      <c r="W2969" s="168">
        <f t="shared" si="4"/>
        <v>0</v>
      </c>
      <c r="X2969" s="168">
        <f t="shared" si="5"/>
        <v>0</v>
      </c>
      <c r="Y2969" s="168">
        <f t="shared" si="6"/>
        <v>0</v>
      </c>
      <c r="Z2969" s="168">
        <f t="shared" si="7"/>
        <v>0</v>
      </c>
      <c r="AA2969" s="168">
        <f t="shared" si="8"/>
        <v>0</v>
      </c>
      <c r="AB2969" s="168">
        <f t="shared" si="9"/>
        <v>0</v>
      </c>
    </row>
    <row r="2970" ht="15.0" customHeight="1">
      <c r="A2970" s="157" t="s">
        <v>10554</v>
      </c>
      <c r="B2970" s="169" t="s">
        <v>37</v>
      </c>
      <c r="C2970" s="169" t="s">
        <v>10539</v>
      </c>
      <c r="D2970" s="317">
        <v>45754.0</v>
      </c>
      <c r="E2970" s="157" t="s">
        <v>600</v>
      </c>
      <c r="F2970" s="160">
        <v>103058.44</v>
      </c>
      <c r="G2970" s="160">
        <f>'FACUS$'!$F2970*0.16</f>
        <v>16489.3504</v>
      </c>
      <c r="H2970" s="160">
        <f t="shared" si="68"/>
        <v>119547.7904</v>
      </c>
      <c r="I2970" s="172"/>
      <c r="J2970" s="169"/>
      <c r="K2970" s="172"/>
      <c r="L2970" s="172">
        <f>+'FACUS$'!$H2970-'FACUS$'!$I2970-'FACUS$'!$K2970</f>
        <v>119547.7904</v>
      </c>
      <c r="M2970" s="162" t="s">
        <v>116</v>
      </c>
      <c r="N2970" s="337" t="s">
        <v>554</v>
      </c>
      <c r="O2970" s="338">
        <v>45768.0</v>
      </c>
      <c r="P2970" s="164">
        <f t="array" ref="P2970">XLOOKUP('FACUS$'!$B2970,'perfil de pagos'!$A$4:$A$46,'perfil de pagos'!$C$4:$C$46+'FACUS$'!$D2970)</f>
        <v>45764</v>
      </c>
      <c r="Q2970" s="165">
        <f t="shared" si="70"/>
        <v>0</v>
      </c>
      <c r="R2970" s="220" t="s">
        <v>10555</v>
      </c>
      <c r="S2970" s="167">
        <v>3765.0</v>
      </c>
      <c r="T2970" s="167"/>
      <c r="U2970" s="334"/>
      <c r="V2970" s="168">
        <f t="shared" si="3"/>
        <v>119547.7904</v>
      </c>
      <c r="W2970" s="168">
        <f t="shared" si="4"/>
        <v>0</v>
      </c>
      <c r="X2970" s="168">
        <f t="shared" si="5"/>
        <v>0</v>
      </c>
      <c r="Y2970" s="168">
        <f t="shared" si="6"/>
        <v>0</v>
      </c>
      <c r="Z2970" s="168">
        <f t="shared" si="7"/>
        <v>0</v>
      </c>
      <c r="AA2970" s="168">
        <f t="shared" si="8"/>
        <v>0</v>
      </c>
      <c r="AB2970" s="168">
        <f t="shared" si="9"/>
        <v>0</v>
      </c>
    </row>
    <row r="2971" ht="15.0" customHeight="1">
      <c r="A2971" s="157" t="s">
        <v>10556</v>
      </c>
      <c r="B2971" s="169" t="s">
        <v>38</v>
      </c>
      <c r="C2971" s="169" t="s">
        <v>10539</v>
      </c>
      <c r="D2971" s="317">
        <v>45754.0</v>
      </c>
      <c r="E2971" s="157" t="s">
        <v>600</v>
      </c>
      <c r="F2971" s="160">
        <v>8010.54</v>
      </c>
      <c r="G2971" s="160">
        <f>'FACUS$'!$F2971*0.16</f>
        <v>1281.6864</v>
      </c>
      <c r="H2971" s="160">
        <f t="shared" si="68"/>
        <v>9292.2264</v>
      </c>
      <c r="I2971" s="172"/>
      <c r="J2971" s="169"/>
      <c r="K2971" s="172"/>
      <c r="L2971" s="172">
        <f>+'FACUS$'!$H2971-'FACUS$'!$I2971-'FACUS$'!$K2971</f>
        <v>9292.2264</v>
      </c>
      <c r="M2971" s="162" t="s">
        <v>145</v>
      </c>
      <c r="N2971" s="337" t="s">
        <v>554</v>
      </c>
      <c r="O2971" s="338">
        <v>45763.0</v>
      </c>
      <c r="P2971" s="164">
        <f t="array" ref="P2971">XLOOKUP('FACUS$'!$B2971,'perfil de pagos'!$A$4:$A$46,'perfil de pagos'!$C$4:$C$46+'FACUS$'!$D2971)</f>
        <v>45784</v>
      </c>
      <c r="Q2971" s="165">
        <f t="shared" si="70"/>
        <v>0</v>
      </c>
      <c r="R2971" s="167"/>
      <c r="S2971" s="167">
        <v>3757.0</v>
      </c>
      <c r="T2971" s="167"/>
      <c r="U2971" s="334"/>
      <c r="V2971" s="168">
        <f t="shared" si="3"/>
        <v>9292.2264</v>
      </c>
      <c r="W2971" s="168">
        <f t="shared" si="4"/>
        <v>0</v>
      </c>
      <c r="X2971" s="168">
        <f t="shared" si="5"/>
        <v>0</v>
      </c>
      <c r="Y2971" s="168">
        <f t="shared" si="6"/>
        <v>0</v>
      </c>
      <c r="Z2971" s="168">
        <f t="shared" si="7"/>
        <v>0</v>
      </c>
      <c r="AA2971" s="168">
        <f t="shared" si="8"/>
        <v>0</v>
      </c>
      <c r="AB2971" s="168">
        <f t="shared" si="9"/>
        <v>0</v>
      </c>
    </row>
    <row r="2972" ht="15.0" customHeight="1">
      <c r="A2972" s="157" t="s">
        <v>10557</v>
      </c>
      <c r="B2972" s="169" t="s">
        <v>44</v>
      </c>
      <c r="C2972" s="169" t="s">
        <v>7232</v>
      </c>
      <c r="D2972" s="317">
        <v>45764.0</v>
      </c>
      <c r="E2972" s="157" t="s">
        <v>600</v>
      </c>
      <c r="F2972" s="160">
        <v>7764.83</v>
      </c>
      <c r="G2972" s="160">
        <f>'FACUS$'!$F2972*0.16</f>
        <v>1242.3728</v>
      </c>
      <c r="H2972" s="160">
        <f t="shared" si="68"/>
        <v>9007.2028</v>
      </c>
      <c r="I2972" s="172"/>
      <c r="J2972" s="169"/>
      <c r="K2972" s="172"/>
      <c r="L2972" s="172">
        <f>+'FACUS$'!$H2972-'FACUS$'!$I2972-'FACUS$'!$K2972</f>
        <v>9007.2028</v>
      </c>
      <c r="M2972" s="162" t="s">
        <v>361</v>
      </c>
      <c r="N2972" s="337" t="s">
        <v>554</v>
      </c>
      <c r="O2972" s="338">
        <v>45772.0</v>
      </c>
      <c r="P2972" s="164">
        <f t="array" ref="P2972">XLOOKUP('FACUS$'!$B2972,'perfil de pagos'!$A$4:$A$46,'perfil de pagos'!$C$4:$C$46+'FACUS$'!$D2972)</f>
        <v>45774</v>
      </c>
      <c r="Q2972" s="165">
        <f t="shared" si="70"/>
        <v>0</v>
      </c>
      <c r="R2972" s="167"/>
      <c r="S2972" s="167">
        <v>3779.0</v>
      </c>
      <c r="T2972" s="167"/>
      <c r="U2972" s="334"/>
      <c r="V2972" s="168">
        <f t="shared" si="3"/>
        <v>9007.2028</v>
      </c>
      <c r="W2972" s="168">
        <f t="shared" si="4"/>
        <v>0</v>
      </c>
      <c r="X2972" s="168">
        <f t="shared" si="5"/>
        <v>0</v>
      </c>
      <c r="Y2972" s="168">
        <f t="shared" si="6"/>
        <v>0</v>
      </c>
      <c r="Z2972" s="168">
        <f t="shared" si="7"/>
        <v>0</v>
      </c>
      <c r="AA2972" s="168">
        <f t="shared" si="8"/>
        <v>0</v>
      </c>
      <c r="AB2972" s="168">
        <f t="shared" si="9"/>
        <v>0</v>
      </c>
    </row>
    <row r="2973" ht="15.0" customHeight="1">
      <c r="A2973" s="157" t="s">
        <v>10558</v>
      </c>
      <c r="B2973" s="169" t="s">
        <v>41</v>
      </c>
      <c r="C2973" s="169" t="s">
        <v>7232</v>
      </c>
      <c r="D2973" s="317">
        <v>45764.0</v>
      </c>
      <c r="E2973" s="157" t="s">
        <v>600</v>
      </c>
      <c r="F2973" s="160">
        <v>96980.15</v>
      </c>
      <c r="G2973" s="160">
        <f>'FACUS$'!$F2973*0.16</f>
        <v>15516.824</v>
      </c>
      <c r="H2973" s="160">
        <f t="shared" si="68"/>
        <v>112496.974</v>
      </c>
      <c r="I2973" s="172"/>
      <c r="J2973" s="169"/>
      <c r="K2973" s="172"/>
      <c r="L2973" s="172">
        <f>+'FACUS$'!$H2973-'FACUS$'!$I2973-'FACUS$'!$K2973</f>
        <v>112496.974</v>
      </c>
      <c r="M2973" s="162" t="s">
        <v>875</v>
      </c>
      <c r="N2973" s="337"/>
      <c r="O2973" s="338"/>
      <c r="P2973" s="164">
        <f t="array" ref="P2973">XLOOKUP('FACUS$'!$B2973,'perfil de pagos'!$A$4:$A$46,'perfil de pagos'!$C$4:$C$46+'FACUS$'!$D2973)</f>
        <v>45774</v>
      </c>
      <c r="Q2973" s="165">
        <f t="shared" si="70"/>
        <v>15</v>
      </c>
      <c r="R2973" s="167"/>
      <c r="S2973" s="167"/>
      <c r="T2973" s="167"/>
      <c r="U2973" s="334"/>
      <c r="V2973" s="168">
        <f t="shared" si="3"/>
        <v>0</v>
      </c>
      <c r="W2973" s="168">
        <f t="shared" si="4"/>
        <v>112496.974</v>
      </c>
      <c r="X2973" s="168">
        <f t="shared" si="5"/>
        <v>0</v>
      </c>
      <c r="Y2973" s="168">
        <f t="shared" si="6"/>
        <v>0</v>
      </c>
      <c r="Z2973" s="168">
        <f t="shared" si="7"/>
        <v>0</v>
      </c>
      <c r="AA2973" s="168">
        <f t="shared" si="8"/>
        <v>0</v>
      </c>
      <c r="AB2973" s="168">
        <f t="shared" si="9"/>
        <v>0</v>
      </c>
    </row>
    <row r="2974" ht="15.0" customHeight="1">
      <c r="A2974" s="157" t="s">
        <v>10559</v>
      </c>
      <c r="B2974" s="169" t="s">
        <v>35</v>
      </c>
      <c r="C2974" s="169" t="s">
        <v>7232</v>
      </c>
      <c r="D2974" s="317">
        <v>45764.0</v>
      </c>
      <c r="E2974" s="157" t="s">
        <v>600</v>
      </c>
      <c r="F2974" s="160">
        <v>14464.76</v>
      </c>
      <c r="G2974" s="160">
        <f>'FACUS$'!$F2974*0.16</f>
        <v>2314.3616</v>
      </c>
      <c r="H2974" s="160">
        <f t="shared" si="68"/>
        <v>16779.1216</v>
      </c>
      <c r="I2974" s="172"/>
      <c r="J2974" s="169"/>
      <c r="K2974" s="172"/>
      <c r="L2974" s="172">
        <f>+'FACUS$'!$H2974-'FACUS$'!$I2974-'FACUS$'!$K2974</f>
        <v>16779.1216</v>
      </c>
      <c r="M2974" s="162" t="s">
        <v>276</v>
      </c>
      <c r="N2974" s="417"/>
      <c r="O2974" s="338"/>
      <c r="P2974" s="164">
        <f t="array" ref="P2974">XLOOKUP('FACUS$'!$B2974,'perfil de pagos'!$A$4:$A$46,'perfil de pagos'!$C$4:$C$46+'FACUS$'!$D2974)</f>
        <v>45774</v>
      </c>
      <c r="Q2974" s="165">
        <f t="shared" si="70"/>
        <v>15</v>
      </c>
      <c r="R2974" s="167"/>
      <c r="S2974" s="167"/>
      <c r="T2974" s="167"/>
      <c r="U2974" s="334"/>
      <c r="V2974" s="168">
        <f t="shared" si="3"/>
        <v>0</v>
      </c>
      <c r="W2974" s="168">
        <f t="shared" si="4"/>
        <v>16779.1216</v>
      </c>
      <c r="X2974" s="168">
        <f t="shared" si="5"/>
        <v>0</v>
      </c>
      <c r="Y2974" s="168">
        <f t="shared" si="6"/>
        <v>0</v>
      </c>
      <c r="Z2974" s="168">
        <f t="shared" si="7"/>
        <v>0</v>
      </c>
      <c r="AA2974" s="168">
        <f t="shared" si="8"/>
        <v>0</v>
      </c>
      <c r="AB2974" s="168">
        <f t="shared" si="9"/>
        <v>0</v>
      </c>
    </row>
    <row r="2975" ht="15.0" customHeight="1">
      <c r="A2975" s="157" t="s">
        <v>10560</v>
      </c>
      <c r="B2975" s="169" t="s">
        <v>42</v>
      </c>
      <c r="C2975" s="169" t="s">
        <v>7232</v>
      </c>
      <c r="D2975" s="317">
        <v>45764.0</v>
      </c>
      <c r="E2975" s="157" t="s">
        <v>600</v>
      </c>
      <c r="F2975" s="160">
        <v>7762.88</v>
      </c>
      <c r="G2975" s="160">
        <f>'FACUS$'!$F2975*0.16</f>
        <v>1242.0608</v>
      </c>
      <c r="H2975" s="160">
        <f t="shared" si="68"/>
        <v>9004.9408</v>
      </c>
      <c r="I2975" s="172"/>
      <c r="J2975" s="169"/>
      <c r="K2975" s="172"/>
      <c r="L2975" s="172">
        <f>+'FACUS$'!$H2975-'FACUS$'!$I2975-'FACUS$'!$K2975</f>
        <v>9004.9408</v>
      </c>
      <c r="M2975" s="162" t="s">
        <v>42</v>
      </c>
      <c r="N2975" s="418"/>
      <c r="O2975" s="338"/>
      <c r="P2975" s="164">
        <f t="array" ref="P2975">XLOOKUP('FACUS$'!$B2975,'perfil de pagos'!$A$4:$A$46,'perfil de pagos'!$C$4:$C$46+'FACUS$'!$D2975)</f>
        <v>45774</v>
      </c>
      <c r="Q2975" s="165">
        <f t="shared" si="70"/>
        <v>15</v>
      </c>
      <c r="R2975" s="167"/>
      <c r="S2975" s="167"/>
      <c r="T2975" s="167"/>
      <c r="U2975" s="334"/>
      <c r="V2975" s="168">
        <f t="shared" si="3"/>
        <v>0</v>
      </c>
      <c r="W2975" s="168">
        <f t="shared" si="4"/>
        <v>9004.9408</v>
      </c>
      <c r="X2975" s="168">
        <f t="shared" si="5"/>
        <v>0</v>
      </c>
      <c r="Y2975" s="168">
        <f t="shared" si="6"/>
        <v>0</v>
      </c>
      <c r="Z2975" s="168">
        <f t="shared" si="7"/>
        <v>0</v>
      </c>
      <c r="AA2975" s="168">
        <f t="shared" si="8"/>
        <v>0</v>
      </c>
      <c r="AB2975" s="168">
        <f t="shared" si="9"/>
        <v>0</v>
      </c>
    </row>
    <row r="2976" ht="15.0" customHeight="1">
      <c r="A2976" s="157" t="s">
        <v>10561</v>
      </c>
      <c r="B2976" s="169" t="s">
        <v>38</v>
      </c>
      <c r="C2976" s="169" t="s">
        <v>7232</v>
      </c>
      <c r="D2976" s="317">
        <v>45768.0</v>
      </c>
      <c r="E2976" s="157" t="s">
        <v>600</v>
      </c>
      <c r="F2976" s="160">
        <v>1846.91</v>
      </c>
      <c r="G2976" s="160">
        <f>'FACUS$'!$F2976*0.16</f>
        <v>295.5056</v>
      </c>
      <c r="H2976" s="160">
        <f t="shared" si="68"/>
        <v>2142.4156</v>
      </c>
      <c r="I2976" s="172"/>
      <c r="J2976" s="169"/>
      <c r="K2976" s="172"/>
      <c r="L2976" s="172">
        <f>+'FACUS$'!$H2976-'FACUS$'!$I2976-'FACUS$'!$K2976</f>
        <v>2142.4156</v>
      </c>
      <c r="M2976" s="162" t="s">
        <v>4654</v>
      </c>
      <c r="N2976" s="337"/>
      <c r="O2976" s="338"/>
      <c r="P2976" s="164">
        <f t="array" ref="P2976">XLOOKUP('FACUS$'!$B2976,'perfil de pagos'!$A$4:$A$46,'perfil de pagos'!$C$4:$C$46+'FACUS$'!$D2976)</f>
        <v>45798</v>
      </c>
      <c r="Q2976" s="165">
        <f t="shared" si="70"/>
        <v>-9</v>
      </c>
      <c r="R2976" s="167"/>
      <c r="S2976" s="167"/>
      <c r="T2976" s="167"/>
      <c r="U2976" s="334"/>
      <c r="V2976" s="168">
        <f t="shared" si="3"/>
        <v>2142.4156</v>
      </c>
      <c r="W2976" s="168">
        <f t="shared" si="4"/>
        <v>0</v>
      </c>
      <c r="X2976" s="168">
        <f t="shared" si="5"/>
        <v>0</v>
      </c>
      <c r="Y2976" s="168">
        <f t="shared" si="6"/>
        <v>0</v>
      </c>
      <c r="Z2976" s="168">
        <f t="shared" si="7"/>
        <v>0</v>
      </c>
      <c r="AA2976" s="168">
        <f t="shared" si="8"/>
        <v>0</v>
      </c>
      <c r="AB2976" s="168">
        <f t="shared" si="9"/>
        <v>0</v>
      </c>
    </row>
    <row r="2977" ht="15.0" customHeight="1">
      <c r="A2977" s="157" t="s">
        <v>10562</v>
      </c>
      <c r="B2977" s="169" t="s">
        <v>37</v>
      </c>
      <c r="C2977" s="169" t="s">
        <v>7232</v>
      </c>
      <c r="D2977" s="317">
        <v>45769.0</v>
      </c>
      <c r="E2977" s="157" t="s">
        <v>600</v>
      </c>
      <c r="F2977" s="160">
        <v>84789.7</v>
      </c>
      <c r="G2977" s="160">
        <f>'FACUS$'!$F2977*0.16</f>
        <v>13566.352</v>
      </c>
      <c r="H2977" s="160">
        <f t="shared" si="68"/>
        <v>98356.052</v>
      </c>
      <c r="I2977" s="172"/>
      <c r="J2977" s="169"/>
      <c r="K2977" s="172"/>
      <c r="L2977" s="172">
        <f>+'FACUS$'!$H2977-'FACUS$'!$I2977-'FACUS$'!$K2977</f>
        <v>98356.052</v>
      </c>
      <c r="M2977" s="162" t="s">
        <v>116</v>
      </c>
      <c r="N2977" s="337"/>
      <c r="O2977" s="338"/>
      <c r="P2977" s="164">
        <f t="array" ref="P2977">XLOOKUP('FACUS$'!$B2977,'perfil de pagos'!$A$4:$A$46,'perfil de pagos'!$C$4:$C$46+'FACUS$'!$D2977)</f>
        <v>45779</v>
      </c>
      <c r="Q2977" s="165">
        <f t="shared" si="70"/>
        <v>10</v>
      </c>
      <c r="R2977" s="167"/>
      <c r="S2977" s="167"/>
      <c r="T2977" s="167"/>
      <c r="U2977" s="334"/>
      <c r="V2977" s="168">
        <f t="shared" si="3"/>
        <v>0</v>
      </c>
      <c r="W2977" s="168">
        <f t="shared" si="4"/>
        <v>98356.052</v>
      </c>
      <c r="X2977" s="168">
        <f t="shared" si="5"/>
        <v>0</v>
      </c>
      <c r="Y2977" s="168">
        <f t="shared" si="6"/>
        <v>0</v>
      </c>
      <c r="Z2977" s="168">
        <f t="shared" si="7"/>
        <v>0</v>
      </c>
      <c r="AA2977" s="168">
        <f t="shared" si="8"/>
        <v>0</v>
      </c>
      <c r="AB2977" s="168">
        <f t="shared" si="9"/>
        <v>0</v>
      </c>
    </row>
    <row r="2978" ht="15.0" customHeight="1">
      <c r="A2978" s="157" t="s">
        <v>10563</v>
      </c>
      <c r="B2978" s="169" t="s">
        <v>18</v>
      </c>
      <c r="C2978" s="169" t="s">
        <v>7232</v>
      </c>
      <c r="D2978" s="317">
        <v>45769.0</v>
      </c>
      <c r="E2978" s="157" t="s">
        <v>600</v>
      </c>
      <c r="F2978" s="160">
        <v>6522.5</v>
      </c>
      <c r="G2978" s="160">
        <f>'FACUS$'!$F2978*0.16</f>
        <v>1043.6</v>
      </c>
      <c r="H2978" s="160">
        <f t="shared" si="68"/>
        <v>7566.1</v>
      </c>
      <c r="I2978" s="172"/>
      <c r="J2978" s="169"/>
      <c r="K2978" s="172"/>
      <c r="L2978" s="172">
        <f>+'FACUS$'!$H2978-'FACUS$'!$I2978-'FACUS$'!$K2978</f>
        <v>7566.1</v>
      </c>
      <c r="M2978" s="162" t="s">
        <v>586</v>
      </c>
      <c r="N2978" s="337"/>
      <c r="O2978" s="338"/>
      <c r="P2978" s="164">
        <f t="array" ref="P2978">XLOOKUP('FACUS$'!$B2978,'perfil de pagos'!$A$4:$A$46,'perfil de pagos'!$C$4:$C$46+'FACUS$'!$D2978)</f>
        <v>45779</v>
      </c>
      <c r="Q2978" s="165">
        <f t="shared" si="70"/>
        <v>10</v>
      </c>
      <c r="R2978" s="167"/>
      <c r="S2978" s="167"/>
      <c r="T2978" s="167"/>
      <c r="U2978" s="334"/>
      <c r="V2978" s="168">
        <f t="shared" si="3"/>
        <v>0</v>
      </c>
      <c r="W2978" s="168">
        <f t="shared" si="4"/>
        <v>7566.1</v>
      </c>
      <c r="X2978" s="168">
        <f t="shared" si="5"/>
        <v>0</v>
      </c>
      <c r="Y2978" s="168">
        <f t="shared" si="6"/>
        <v>0</v>
      </c>
      <c r="Z2978" s="168">
        <f t="shared" si="7"/>
        <v>0</v>
      </c>
      <c r="AA2978" s="168">
        <f t="shared" si="8"/>
        <v>0</v>
      </c>
      <c r="AB2978" s="168">
        <f t="shared" si="9"/>
        <v>0</v>
      </c>
    </row>
    <row r="2979" ht="15.0" customHeight="1">
      <c r="A2979" s="157" t="s">
        <v>10564</v>
      </c>
      <c r="B2979" s="169" t="s">
        <v>20</v>
      </c>
      <c r="C2979" s="169" t="s">
        <v>7232</v>
      </c>
      <c r="D2979" s="317">
        <v>45769.0</v>
      </c>
      <c r="E2979" s="157" t="s">
        <v>600</v>
      </c>
      <c r="F2979" s="160">
        <v>13394.9</v>
      </c>
      <c r="G2979" s="160">
        <f>'FACUS$'!$F2979*0.16</f>
        <v>2143.184</v>
      </c>
      <c r="H2979" s="160">
        <f t="shared" si="68"/>
        <v>15538.084</v>
      </c>
      <c r="I2979" s="172"/>
      <c r="J2979" s="169"/>
      <c r="K2979" s="172"/>
      <c r="L2979" s="172">
        <f>+'FACUS$'!$H2979-'FACUS$'!$I2979-'FACUS$'!$K2979</f>
        <v>15538.084</v>
      </c>
      <c r="M2979" s="162" t="s">
        <v>732</v>
      </c>
      <c r="N2979" s="337"/>
      <c r="O2979" s="338"/>
      <c r="P2979" s="164">
        <f t="array" ref="P2979">XLOOKUP('FACUS$'!$B2979,'perfil de pagos'!$A$4:$A$46,'perfil de pagos'!$C$4:$C$46+'FACUS$'!$D2979)</f>
        <v>45779</v>
      </c>
      <c r="Q2979" s="165">
        <f t="shared" si="70"/>
        <v>10</v>
      </c>
      <c r="R2979" s="167"/>
      <c r="S2979" s="167"/>
      <c r="T2979" s="167"/>
      <c r="U2979" s="334"/>
      <c r="V2979" s="168">
        <f t="shared" si="3"/>
        <v>0</v>
      </c>
      <c r="W2979" s="168">
        <f t="shared" si="4"/>
        <v>15538.084</v>
      </c>
      <c r="X2979" s="168">
        <f t="shared" si="5"/>
        <v>0</v>
      </c>
      <c r="Y2979" s="168">
        <f t="shared" si="6"/>
        <v>0</v>
      </c>
      <c r="Z2979" s="168">
        <f t="shared" si="7"/>
        <v>0</v>
      </c>
      <c r="AA2979" s="168">
        <f t="shared" si="8"/>
        <v>0</v>
      </c>
      <c r="AB2979" s="168">
        <f t="shared" si="9"/>
        <v>0</v>
      </c>
    </row>
    <row r="2980" ht="15.0" customHeight="1">
      <c r="A2980" s="157" t="s">
        <v>10565</v>
      </c>
      <c r="B2980" s="169" t="s">
        <v>38</v>
      </c>
      <c r="C2980" s="169" t="s">
        <v>7232</v>
      </c>
      <c r="D2980" s="317">
        <v>45769.0</v>
      </c>
      <c r="E2980" s="157" t="s">
        <v>600</v>
      </c>
      <c r="F2980" s="160">
        <v>7254.87</v>
      </c>
      <c r="G2980" s="160">
        <f>'FACUS$'!$F2980*0.16</f>
        <v>1160.7792</v>
      </c>
      <c r="H2980" s="160">
        <f t="shared" si="68"/>
        <v>8415.6492</v>
      </c>
      <c r="I2980" s="172"/>
      <c r="J2980" s="169"/>
      <c r="K2980" s="172"/>
      <c r="L2980" s="172">
        <f>+'FACUS$'!$H2980-'FACUS$'!$I2980-'FACUS$'!$K2980</f>
        <v>8415.6492</v>
      </c>
      <c r="M2980" s="162" t="s">
        <v>10457</v>
      </c>
      <c r="N2980" s="337"/>
      <c r="O2980" s="338"/>
      <c r="P2980" s="164">
        <f t="array" ref="P2980">XLOOKUP('FACUS$'!$B2980,'perfil de pagos'!$A$4:$A$46,'perfil de pagos'!$C$4:$C$46+'FACUS$'!$D2980)</f>
        <v>45799</v>
      </c>
      <c r="Q2980" s="165">
        <f t="shared" si="70"/>
        <v>-10</v>
      </c>
      <c r="R2980" s="167"/>
      <c r="S2980" s="167"/>
      <c r="T2980" s="167"/>
      <c r="U2980" s="334"/>
      <c r="V2980" s="168">
        <f t="shared" si="3"/>
        <v>8415.6492</v>
      </c>
      <c r="W2980" s="168">
        <f t="shared" si="4"/>
        <v>0</v>
      </c>
      <c r="X2980" s="168">
        <f t="shared" si="5"/>
        <v>0</v>
      </c>
      <c r="Y2980" s="168">
        <f t="shared" si="6"/>
        <v>0</v>
      </c>
      <c r="Z2980" s="168">
        <f t="shared" si="7"/>
        <v>0</v>
      </c>
      <c r="AA2980" s="168">
        <f t="shared" si="8"/>
        <v>0</v>
      </c>
      <c r="AB2980" s="168">
        <f t="shared" si="9"/>
        <v>0</v>
      </c>
    </row>
    <row r="2981" ht="15.0" customHeight="1">
      <c r="A2981" s="157" t="s">
        <v>10566</v>
      </c>
      <c r="B2981" s="169" t="s">
        <v>25</v>
      </c>
      <c r="C2981" s="169" t="s">
        <v>7232</v>
      </c>
      <c r="D2981" s="317">
        <v>45770.0</v>
      </c>
      <c r="E2981" s="157" t="s">
        <v>600</v>
      </c>
      <c r="F2981" s="160">
        <v>5744.82</v>
      </c>
      <c r="G2981" s="160">
        <f>'FACUS$'!$F2981*0.16</f>
        <v>919.1712</v>
      </c>
      <c r="H2981" s="160">
        <f t="shared" si="68"/>
        <v>6663.9912</v>
      </c>
      <c r="I2981" s="172"/>
      <c r="J2981" s="169"/>
      <c r="K2981" s="172"/>
      <c r="L2981" s="172">
        <f>+'FACUS$'!$H2981-'FACUS$'!$I2981-'FACUS$'!$K2981</f>
        <v>6663.9912</v>
      </c>
      <c r="M2981" s="162" t="s">
        <v>4388</v>
      </c>
      <c r="N2981" s="337"/>
      <c r="O2981" s="338"/>
      <c r="P2981" s="164">
        <f t="array" ref="P2981">XLOOKUP('FACUS$'!$B2981,'perfil de pagos'!$A$4:$A$46,'perfil de pagos'!$C$4:$C$46+'FACUS$'!$D2981)</f>
        <v>45780</v>
      </c>
      <c r="Q2981" s="165">
        <f t="shared" si="70"/>
        <v>9</v>
      </c>
      <c r="R2981" s="167"/>
      <c r="S2981" s="167"/>
      <c r="T2981" s="167"/>
      <c r="U2981" s="334"/>
      <c r="V2981" s="168">
        <f t="shared" si="3"/>
        <v>0</v>
      </c>
      <c r="W2981" s="168">
        <f t="shared" si="4"/>
        <v>6663.9912</v>
      </c>
      <c r="X2981" s="168">
        <f t="shared" si="5"/>
        <v>0</v>
      </c>
      <c r="Y2981" s="168">
        <f t="shared" si="6"/>
        <v>0</v>
      </c>
      <c r="Z2981" s="168">
        <f t="shared" si="7"/>
        <v>0</v>
      </c>
      <c r="AA2981" s="168">
        <f t="shared" si="8"/>
        <v>0</v>
      </c>
      <c r="AB2981" s="168">
        <f t="shared" si="9"/>
        <v>0</v>
      </c>
    </row>
    <row r="2982" ht="15.0" customHeight="1">
      <c r="A2982" s="157" t="s">
        <v>10567</v>
      </c>
      <c r="B2982" s="169" t="s">
        <v>32</v>
      </c>
      <c r="C2982" s="169" t="s">
        <v>5245</v>
      </c>
      <c r="D2982" s="317">
        <v>45801.0</v>
      </c>
      <c r="E2982" s="157" t="s">
        <v>600</v>
      </c>
      <c r="F2982" s="160">
        <v>1586.39</v>
      </c>
      <c r="G2982" s="160">
        <f>'FACUS$'!$F2982*0.16</f>
        <v>253.8224</v>
      </c>
      <c r="H2982" s="160">
        <f t="shared" si="68"/>
        <v>1840.2124</v>
      </c>
      <c r="I2982" s="172"/>
      <c r="J2982" s="169"/>
      <c r="K2982" s="172"/>
      <c r="L2982" s="172">
        <f>+'FACUS$'!$H2982-'FACUS$'!$I2982-'FACUS$'!$K2982</f>
        <v>1840.2124</v>
      </c>
      <c r="M2982" s="162" t="s">
        <v>395</v>
      </c>
      <c r="N2982" s="337"/>
      <c r="O2982" s="338"/>
      <c r="P2982" s="164">
        <f t="array" ref="P2982">XLOOKUP('FACUS$'!$B2982,'perfil de pagos'!$A$4:$A$46,'perfil de pagos'!$C$4:$C$46+'FACUS$'!$D2982)</f>
        <v>45811</v>
      </c>
      <c r="Q2982" s="165">
        <f t="shared" si="70"/>
        <v>-22</v>
      </c>
      <c r="R2982" s="167"/>
      <c r="S2982" s="167"/>
      <c r="T2982" s="167"/>
      <c r="U2982" s="334"/>
      <c r="V2982" s="168">
        <f t="shared" si="3"/>
        <v>1840.2124</v>
      </c>
      <c r="W2982" s="168">
        <f t="shared" si="4"/>
        <v>0</v>
      </c>
      <c r="X2982" s="168">
        <f t="shared" si="5"/>
        <v>0</v>
      </c>
      <c r="Y2982" s="168">
        <f t="shared" si="6"/>
        <v>0</v>
      </c>
      <c r="Z2982" s="168">
        <f t="shared" si="7"/>
        <v>0</v>
      </c>
      <c r="AA2982" s="168">
        <f t="shared" si="8"/>
        <v>0</v>
      </c>
      <c r="AB2982" s="168">
        <f t="shared" si="9"/>
        <v>0</v>
      </c>
    </row>
    <row r="2983" ht="15.0" customHeight="1">
      <c r="A2983" s="157" t="s">
        <v>10568</v>
      </c>
      <c r="B2983" s="169" t="s">
        <v>52</v>
      </c>
      <c r="C2983" s="169" t="s">
        <v>5245</v>
      </c>
      <c r="D2983" s="317">
        <v>45772.0</v>
      </c>
      <c r="E2983" s="157" t="s">
        <v>600</v>
      </c>
      <c r="F2983" s="160">
        <v>95.33</v>
      </c>
      <c r="G2983" s="160">
        <f>'FACUS$'!$F2983*0.16</f>
        <v>15.2528</v>
      </c>
      <c r="H2983" s="160">
        <f t="shared" si="68"/>
        <v>110.5828</v>
      </c>
      <c r="I2983" s="172"/>
      <c r="J2983" s="169"/>
      <c r="K2983" s="172"/>
      <c r="L2983" s="172">
        <f>+'FACUS$'!$H2983-'FACUS$'!$I2983-'FACUS$'!$K2983</f>
        <v>110.5828</v>
      </c>
      <c r="M2983" s="162" t="s">
        <v>10309</v>
      </c>
      <c r="N2983" s="337"/>
      <c r="O2983" s="338"/>
      <c r="P2983" s="164">
        <f t="array" ref="P2983">XLOOKUP('FACUS$'!$B2983,'perfil de pagos'!$A$4:$A$46,'perfil de pagos'!$C$4:$C$46+'FACUS$'!$D2983)</f>
        <v>45787</v>
      </c>
      <c r="Q2983" s="165">
        <f t="shared" si="70"/>
        <v>2</v>
      </c>
      <c r="R2983" s="167"/>
      <c r="S2983" s="167"/>
      <c r="T2983" s="167"/>
      <c r="U2983" s="334"/>
      <c r="V2983" s="168">
        <f t="shared" si="3"/>
        <v>0</v>
      </c>
      <c r="W2983" s="168">
        <f t="shared" si="4"/>
        <v>110.5828</v>
      </c>
      <c r="X2983" s="168">
        <f t="shared" si="5"/>
        <v>0</v>
      </c>
      <c r="Y2983" s="168">
        <f t="shared" si="6"/>
        <v>0</v>
      </c>
      <c r="Z2983" s="168">
        <f t="shared" si="7"/>
        <v>0</v>
      </c>
      <c r="AA2983" s="168">
        <f t="shared" si="8"/>
        <v>0</v>
      </c>
      <c r="AB2983" s="168">
        <f t="shared" si="9"/>
        <v>0</v>
      </c>
    </row>
    <row r="2984" ht="15.0" customHeight="1">
      <c r="A2984" s="157"/>
      <c r="B2984" s="169"/>
      <c r="C2984" s="169"/>
      <c r="D2984" s="317"/>
      <c r="E2984" s="157"/>
      <c r="F2984" s="160"/>
      <c r="G2984" s="160"/>
      <c r="H2984" s="160">
        <f t="shared" si="68"/>
        <v>0</v>
      </c>
      <c r="I2984" s="172"/>
      <c r="J2984" s="169"/>
      <c r="K2984" s="172"/>
      <c r="L2984" s="172">
        <f>+'FACUS$'!$H2984-'FACUS$'!$I2984-'FACUS$'!$K2984</f>
        <v>0</v>
      </c>
      <c r="M2984" s="162"/>
      <c r="N2984" s="337"/>
      <c r="O2984" s="338"/>
      <c r="P2984" s="164" t="str">
        <f t="array" ref="P2984">XLOOKUP('FACUS$'!$B2984,'perfil de pagos'!$A$4:$A$46,'perfil de pagos'!$C$4:$C$46+'FACUS$'!$D2984)</f>
        <v>#N/A</v>
      </c>
      <c r="Q2984" s="165" t="str">
        <f t="shared" si="70"/>
        <v>#N/A</v>
      </c>
      <c r="R2984" s="167"/>
      <c r="S2984" s="167"/>
      <c r="T2984" s="167"/>
      <c r="U2984" s="334"/>
      <c r="V2984" s="168" t="str">
        <f t="shared" si="3"/>
        <v>#N/A</v>
      </c>
      <c r="W2984" s="168" t="str">
        <f t="shared" si="4"/>
        <v>#N/A</v>
      </c>
      <c r="X2984" s="168" t="str">
        <f t="shared" si="5"/>
        <v>#N/A</v>
      </c>
      <c r="Y2984" s="168" t="str">
        <f t="shared" si="6"/>
        <v>#N/A</v>
      </c>
      <c r="Z2984" s="168" t="str">
        <f t="shared" si="7"/>
        <v>#N/A</v>
      </c>
      <c r="AA2984" s="168" t="str">
        <f t="shared" si="8"/>
        <v>#N/A</v>
      </c>
      <c r="AB2984" s="168" t="str">
        <f t="shared" si="9"/>
        <v>#N/A</v>
      </c>
    </row>
    <row r="2985" ht="15.75" customHeight="1">
      <c r="F2985" s="100"/>
      <c r="G2985" s="100"/>
      <c r="H2985" s="100"/>
      <c r="I2985" s="100"/>
      <c r="K2985" s="100"/>
      <c r="L2985" s="100"/>
      <c r="N2985" s="117"/>
    </row>
    <row r="2986" ht="15.0" customHeight="1">
      <c r="F2986" s="100"/>
      <c r="G2986" s="100"/>
      <c r="H2986" s="100"/>
      <c r="I2986" s="100"/>
      <c r="K2986" s="100"/>
      <c r="L2986" s="419"/>
      <c r="N2986" s="117"/>
    </row>
  </sheetData>
  <conditionalFormatting sqref="D358">
    <cfRule type="notContainsBlanks" dxfId="6" priority="1">
      <formula>LEN(TRIM(D358))&gt;0</formula>
    </cfRule>
  </conditionalFormatting>
  <conditionalFormatting sqref="R158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67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71"/>
    <col customWidth="1" min="2" max="2" width="21.43"/>
    <col customWidth="1" min="3" max="3" width="15.86"/>
    <col customWidth="1" min="4" max="4" width="18.14"/>
    <col customWidth="1" min="5" max="7" width="17.0"/>
    <col customWidth="1" min="8" max="8" width="19.86"/>
    <col customWidth="1" min="9" max="9" width="22.14"/>
    <col customWidth="1" min="10" max="26" width="11.43"/>
  </cols>
  <sheetData>
    <row r="1">
      <c r="A1" s="12" t="s">
        <v>545</v>
      </c>
      <c r="B1" s="420" t="s">
        <v>10569</v>
      </c>
      <c r="C1" s="420"/>
      <c r="D1" s="420"/>
      <c r="E1" s="420"/>
      <c r="F1" s="420"/>
      <c r="G1" s="420"/>
      <c r="H1" s="420"/>
      <c r="I1" s="420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420"/>
      <c r="C2" s="420"/>
      <c r="D2" s="420"/>
      <c r="E2" s="420"/>
      <c r="F2" s="420"/>
      <c r="G2" s="420"/>
      <c r="H2" s="420"/>
      <c r="I2" s="420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 t="s">
        <v>10570</v>
      </c>
      <c r="B3" s="420" t="s">
        <v>10571</v>
      </c>
      <c r="C3" s="420" t="s">
        <v>10572</v>
      </c>
      <c r="D3" s="420" t="s">
        <v>10573</v>
      </c>
      <c r="E3" s="420" t="s">
        <v>10574</v>
      </c>
      <c r="F3" s="420" t="s">
        <v>10575</v>
      </c>
      <c r="G3" s="420" t="s">
        <v>10576</v>
      </c>
      <c r="H3" s="420" t="s">
        <v>10577</v>
      </c>
      <c r="I3" s="420" t="s">
        <v>10578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421" t="s">
        <v>55</v>
      </c>
      <c r="B4" s="420">
        <v>375484.39040000003</v>
      </c>
      <c r="C4" s="420">
        <v>560128.7359999999</v>
      </c>
      <c r="D4" s="420">
        <v>0.0</v>
      </c>
      <c r="E4" s="420">
        <v>0.0</v>
      </c>
      <c r="F4" s="420">
        <v>0.0</v>
      </c>
      <c r="G4" s="420">
        <v>0.0</v>
      </c>
      <c r="H4" s="420">
        <v>0.0</v>
      </c>
      <c r="I4" s="420">
        <v>935613.1264000001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421" t="s">
        <v>18</v>
      </c>
      <c r="B5" s="420">
        <v>136977.7532</v>
      </c>
      <c r="C5" s="420">
        <v>0.0</v>
      </c>
      <c r="D5" s="420">
        <v>0.0</v>
      </c>
      <c r="E5" s="420">
        <v>0.0</v>
      </c>
      <c r="F5" s="420">
        <v>0.0</v>
      </c>
      <c r="G5" s="420">
        <v>0.0</v>
      </c>
      <c r="H5" s="420">
        <v>0.0</v>
      </c>
      <c r="I5" s="420">
        <v>136977.7532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421" t="s">
        <v>19</v>
      </c>
      <c r="B6" s="420">
        <v>266978.3036</v>
      </c>
      <c r="C6" s="420">
        <v>299267.6344</v>
      </c>
      <c r="D6" s="420">
        <v>0.0</v>
      </c>
      <c r="E6" s="420">
        <v>0.0</v>
      </c>
      <c r="F6" s="420">
        <v>0.0</v>
      </c>
      <c r="G6" s="420">
        <v>0.0</v>
      </c>
      <c r="H6" s="420">
        <v>0.0</v>
      </c>
      <c r="I6" s="420">
        <v>566245.938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421" t="s">
        <v>22</v>
      </c>
      <c r="B7" s="420">
        <v>0.0</v>
      </c>
      <c r="C7" s="420">
        <v>781754.6240000001</v>
      </c>
      <c r="D7" s="420">
        <v>0.0</v>
      </c>
      <c r="E7" s="420">
        <v>486766.08719999995</v>
      </c>
      <c r="F7" s="420">
        <v>0.0</v>
      </c>
      <c r="G7" s="420">
        <v>0.0</v>
      </c>
      <c r="H7" s="420">
        <v>0.0</v>
      </c>
      <c r="I7" s="420">
        <v>1268520.7112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421" t="s">
        <v>25</v>
      </c>
      <c r="B8" s="420">
        <v>94317.46560000001</v>
      </c>
      <c r="C8" s="420">
        <v>0.0</v>
      </c>
      <c r="D8" s="420">
        <v>0.0</v>
      </c>
      <c r="E8" s="420">
        <v>0.0</v>
      </c>
      <c r="F8" s="420">
        <v>0.0</v>
      </c>
      <c r="G8" s="420">
        <v>0.0</v>
      </c>
      <c r="H8" s="420">
        <v>0.0</v>
      </c>
      <c r="I8" s="420">
        <v>94317.46560000001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421" t="s">
        <v>27</v>
      </c>
      <c r="B9" s="420">
        <v>716957.1748</v>
      </c>
      <c r="C9" s="420">
        <v>567878.6148000001</v>
      </c>
      <c r="D9" s="420">
        <v>268329.12360000005</v>
      </c>
      <c r="E9" s="420">
        <v>1834199.4472</v>
      </c>
      <c r="F9" s="420">
        <v>1413607.6796000001</v>
      </c>
      <c r="G9" s="420">
        <v>1117143.8696</v>
      </c>
      <c r="H9" s="420">
        <v>363162.1048</v>
      </c>
      <c r="I9" s="420">
        <v>6281278.014399998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421" t="s">
        <v>31</v>
      </c>
      <c r="B10" s="420">
        <v>0.0</v>
      </c>
      <c r="C10" s="420">
        <v>0.0</v>
      </c>
      <c r="D10" s="420">
        <v>0.0</v>
      </c>
      <c r="E10" s="420">
        <v>0.0</v>
      </c>
      <c r="F10" s="420">
        <v>0.0</v>
      </c>
      <c r="G10" s="420">
        <v>0.0</v>
      </c>
      <c r="H10" s="420">
        <v>395880.334</v>
      </c>
      <c r="I10" s="420">
        <v>395880.334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421" t="s">
        <v>32</v>
      </c>
      <c r="B11" s="420">
        <v>19755.2872</v>
      </c>
      <c r="C11" s="420">
        <v>0.0</v>
      </c>
      <c r="D11" s="420">
        <v>0.0</v>
      </c>
      <c r="E11" s="420">
        <v>0.0</v>
      </c>
      <c r="F11" s="420">
        <v>0.0</v>
      </c>
      <c r="G11" s="420">
        <v>506319.3636</v>
      </c>
      <c r="H11" s="420">
        <v>510795.9776</v>
      </c>
      <c r="I11" s="420">
        <v>1036870.6283999999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421" t="s">
        <v>35</v>
      </c>
      <c r="B12" s="420">
        <v>0.0</v>
      </c>
      <c r="C12" s="420">
        <v>476204.7196</v>
      </c>
      <c r="D12" s="420">
        <v>0.0</v>
      </c>
      <c r="E12" s="420">
        <v>0.0</v>
      </c>
      <c r="F12" s="420">
        <v>0.0</v>
      </c>
      <c r="G12" s="420">
        <v>0.0</v>
      </c>
      <c r="H12" s="420">
        <v>0.0</v>
      </c>
      <c r="I12" s="420">
        <v>476204.7196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421" t="s">
        <v>53</v>
      </c>
      <c r="B13" s="420">
        <v>87182.2592</v>
      </c>
      <c r="C13" s="420">
        <v>306337.1268</v>
      </c>
      <c r="D13" s="420">
        <v>432797.8096</v>
      </c>
      <c r="E13" s="420">
        <v>95356.5472</v>
      </c>
      <c r="F13" s="420">
        <v>0.0</v>
      </c>
      <c r="G13" s="420">
        <v>0.0</v>
      </c>
      <c r="H13" s="420">
        <v>0.0</v>
      </c>
      <c r="I13" s="420">
        <v>921673.7428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421" t="s">
        <v>36</v>
      </c>
      <c r="B14" s="420">
        <v>0.0</v>
      </c>
      <c r="C14" s="420">
        <v>215980.1216</v>
      </c>
      <c r="D14" s="420">
        <v>0.0</v>
      </c>
      <c r="E14" s="420">
        <v>0.0</v>
      </c>
      <c r="F14" s="420">
        <v>0.0</v>
      </c>
      <c r="G14" s="420">
        <v>0.0</v>
      </c>
      <c r="H14" s="420">
        <v>0.0</v>
      </c>
      <c r="I14" s="420">
        <v>215980.1216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421" t="s">
        <v>37</v>
      </c>
      <c r="B15" s="420">
        <v>2073590.7467999998</v>
      </c>
      <c r="C15" s="420">
        <v>0.0</v>
      </c>
      <c r="D15" s="420">
        <v>0.0</v>
      </c>
      <c r="E15" s="420">
        <v>0.0</v>
      </c>
      <c r="F15" s="420">
        <v>0.0</v>
      </c>
      <c r="G15" s="420">
        <v>0.0</v>
      </c>
      <c r="H15" s="420">
        <v>0.0</v>
      </c>
      <c r="I15" s="420">
        <v>2073590.7467999998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421" t="s">
        <v>38</v>
      </c>
      <c r="B16" s="420">
        <v>1764197.5883999998</v>
      </c>
      <c r="C16" s="420">
        <v>0.0</v>
      </c>
      <c r="D16" s="420">
        <v>0.0</v>
      </c>
      <c r="E16" s="420">
        <v>0.0</v>
      </c>
      <c r="F16" s="420">
        <v>0.0</v>
      </c>
      <c r="G16" s="420">
        <v>0.0</v>
      </c>
      <c r="H16" s="420">
        <v>0.0</v>
      </c>
      <c r="I16" s="420">
        <v>1764197.5883999998</v>
      </c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421" t="s">
        <v>54</v>
      </c>
      <c r="B17" s="420">
        <v>3691866.1236</v>
      </c>
      <c r="C17" s="420">
        <v>877586.7248</v>
      </c>
      <c r="D17" s="420">
        <v>0.0</v>
      </c>
      <c r="E17" s="420">
        <v>0.0</v>
      </c>
      <c r="F17" s="420">
        <v>0.0</v>
      </c>
      <c r="G17" s="420">
        <v>0.0</v>
      </c>
      <c r="H17" s="420">
        <v>0.0</v>
      </c>
      <c r="I17" s="420">
        <v>4569452.8484000005</v>
      </c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421" t="s">
        <v>40</v>
      </c>
      <c r="B18" s="420">
        <v>1348163.8900000001</v>
      </c>
      <c r="C18" s="420">
        <v>805110.5048</v>
      </c>
      <c r="D18" s="420">
        <v>0.0</v>
      </c>
      <c r="E18" s="420">
        <v>0.0</v>
      </c>
      <c r="F18" s="420">
        <v>0.0</v>
      </c>
      <c r="G18" s="420">
        <v>0.0</v>
      </c>
      <c r="H18" s="420">
        <v>0.0</v>
      </c>
      <c r="I18" s="420">
        <v>2153274.3948000004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421" t="s">
        <v>41</v>
      </c>
      <c r="B19" s="420">
        <v>0.0</v>
      </c>
      <c r="C19" s="420">
        <v>1880044.1668</v>
      </c>
      <c r="D19" s="420">
        <v>2316179.0064000003</v>
      </c>
      <c r="E19" s="420">
        <v>0.0</v>
      </c>
      <c r="F19" s="420">
        <v>0.0</v>
      </c>
      <c r="G19" s="420">
        <v>0.0</v>
      </c>
      <c r="H19" s="420">
        <v>0.0</v>
      </c>
      <c r="I19" s="420">
        <v>4196223.1732</v>
      </c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421" t="s">
        <v>42</v>
      </c>
      <c r="B20" s="420">
        <v>0.0</v>
      </c>
      <c r="C20" s="420">
        <v>151650.0248</v>
      </c>
      <c r="D20" s="420">
        <v>0.0</v>
      </c>
      <c r="E20" s="420">
        <v>0.0</v>
      </c>
      <c r="F20" s="420">
        <v>0.0</v>
      </c>
      <c r="G20" s="420">
        <v>0.0</v>
      </c>
      <c r="H20" s="420">
        <v>0.0</v>
      </c>
      <c r="I20" s="420">
        <v>151650.0248</v>
      </c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A21" s="421" t="s">
        <v>10579</v>
      </c>
      <c r="B21" s="420">
        <v>1.0575470982800001E7</v>
      </c>
      <c r="C21" s="420">
        <v>6921942.9984</v>
      </c>
      <c r="D21" s="420">
        <v>3017305.9396</v>
      </c>
      <c r="E21" s="420">
        <v>2416322.0816</v>
      </c>
      <c r="F21" s="420">
        <v>1413607.6796000001</v>
      </c>
      <c r="G21" s="420">
        <v>1623463.2332000001</v>
      </c>
      <c r="H21" s="420">
        <v>1269838.4164</v>
      </c>
      <c r="I21" s="420">
        <v>2.7237951331599995E7</v>
      </c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</row>
    <row r="85" ht="15.75" customHeight="1"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420"/>
      <c r="C160" s="420"/>
      <c r="D160" s="420"/>
      <c r="E160" s="420"/>
      <c r="F160" s="420"/>
      <c r="G160" s="420"/>
      <c r="H160" s="420"/>
      <c r="I160" s="420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420"/>
      <c r="C161" s="420"/>
      <c r="D161" s="420"/>
      <c r="E161" s="420"/>
      <c r="F161" s="420"/>
      <c r="G161" s="420"/>
      <c r="H161" s="420"/>
      <c r="I161" s="420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420"/>
      <c r="C162" s="420"/>
      <c r="D162" s="420"/>
      <c r="E162" s="420"/>
      <c r="F162" s="420"/>
      <c r="G162" s="420"/>
      <c r="H162" s="420"/>
      <c r="I162" s="420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420"/>
      <c r="C163" s="420"/>
      <c r="D163" s="420"/>
      <c r="E163" s="420"/>
      <c r="F163" s="420"/>
      <c r="G163" s="420"/>
      <c r="H163" s="420"/>
      <c r="I163" s="420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420"/>
      <c r="C164" s="420"/>
      <c r="D164" s="420"/>
      <c r="E164" s="420"/>
      <c r="F164" s="420"/>
      <c r="G164" s="420"/>
      <c r="H164" s="420"/>
      <c r="I164" s="420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420"/>
      <c r="C165" s="420"/>
      <c r="D165" s="420"/>
      <c r="E165" s="420"/>
      <c r="F165" s="420"/>
      <c r="G165" s="420"/>
      <c r="H165" s="420"/>
      <c r="I165" s="420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420"/>
      <c r="C166" s="420"/>
      <c r="D166" s="420"/>
      <c r="E166" s="420"/>
      <c r="F166" s="420"/>
      <c r="G166" s="420"/>
      <c r="H166" s="420"/>
      <c r="I166" s="420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420"/>
      <c r="C167" s="420"/>
      <c r="D167" s="420"/>
      <c r="E167" s="420"/>
      <c r="F167" s="420"/>
      <c r="G167" s="420"/>
      <c r="H167" s="420"/>
      <c r="I167" s="420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420"/>
      <c r="C168" s="420"/>
      <c r="D168" s="420"/>
      <c r="E168" s="420"/>
      <c r="F168" s="420"/>
      <c r="G168" s="420"/>
      <c r="H168" s="420"/>
      <c r="I168" s="420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420"/>
      <c r="C169" s="420"/>
      <c r="D169" s="420"/>
      <c r="E169" s="420"/>
      <c r="F169" s="420"/>
      <c r="G169" s="420"/>
      <c r="H169" s="420"/>
      <c r="I169" s="420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420"/>
      <c r="C170" s="420"/>
      <c r="D170" s="420"/>
      <c r="E170" s="420"/>
      <c r="F170" s="420"/>
      <c r="G170" s="420"/>
      <c r="H170" s="420"/>
      <c r="I170" s="420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420"/>
      <c r="C171" s="420"/>
      <c r="D171" s="420"/>
      <c r="E171" s="420"/>
      <c r="F171" s="420"/>
      <c r="G171" s="420"/>
      <c r="H171" s="420"/>
      <c r="I171" s="420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420"/>
      <c r="C172" s="420"/>
      <c r="D172" s="420"/>
      <c r="E172" s="420"/>
      <c r="F172" s="420"/>
      <c r="G172" s="420"/>
      <c r="H172" s="420"/>
      <c r="I172" s="420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420"/>
      <c r="C173" s="420"/>
      <c r="D173" s="420"/>
      <c r="E173" s="420"/>
      <c r="F173" s="420"/>
      <c r="G173" s="420"/>
      <c r="H173" s="420"/>
      <c r="I173" s="420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420"/>
      <c r="C174" s="420"/>
      <c r="D174" s="420"/>
      <c r="E174" s="420"/>
      <c r="F174" s="420"/>
      <c r="G174" s="420"/>
      <c r="H174" s="420"/>
      <c r="I174" s="420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420"/>
      <c r="C175" s="420"/>
      <c r="D175" s="420"/>
      <c r="E175" s="420"/>
      <c r="F175" s="420"/>
      <c r="G175" s="420"/>
      <c r="H175" s="420"/>
      <c r="I175" s="420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420"/>
      <c r="C176" s="420"/>
      <c r="D176" s="420"/>
      <c r="E176" s="420"/>
      <c r="F176" s="420"/>
      <c r="G176" s="420"/>
      <c r="H176" s="420"/>
      <c r="I176" s="420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420"/>
      <c r="C177" s="420"/>
      <c r="D177" s="420"/>
      <c r="E177" s="420"/>
      <c r="F177" s="420"/>
      <c r="G177" s="420"/>
      <c r="H177" s="420"/>
      <c r="I177" s="420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420"/>
      <c r="C178" s="420"/>
      <c r="D178" s="420"/>
      <c r="E178" s="420"/>
      <c r="F178" s="420"/>
      <c r="G178" s="420"/>
      <c r="H178" s="420"/>
      <c r="I178" s="420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420"/>
      <c r="C179" s="420"/>
      <c r="D179" s="420"/>
      <c r="E179" s="420"/>
      <c r="F179" s="420"/>
      <c r="G179" s="420"/>
      <c r="H179" s="420"/>
      <c r="I179" s="420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420"/>
      <c r="C180" s="420"/>
      <c r="D180" s="420"/>
      <c r="E180" s="420"/>
      <c r="F180" s="420"/>
      <c r="G180" s="420"/>
      <c r="H180" s="420"/>
      <c r="I180" s="420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420"/>
      <c r="C181" s="420"/>
      <c r="D181" s="420"/>
      <c r="E181" s="420"/>
      <c r="F181" s="420"/>
      <c r="G181" s="420"/>
      <c r="H181" s="420"/>
      <c r="I181" s="420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420"/>
      <c r="C182" s="420"/>
      <c r="D182" s="420"/>
      <c r="E182" s="420"/>
      <c r="F182" s="420"/>
      <c r="G182" s="420"/>
      <c r="H182" s="420"/>
      <c r="I182" s="420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420"/>
      <c r="C183" s="420"/>
      <c r="D183" s="420"/>
      <c r="E183" s="420"/>
      <c r="F183" s="420"/>
      <c r="G183" s="420"/>
      <c r="H183" s="420"/>
      <c r="I183" s="420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420"/>
      <c r="C184" s="420"/>
      <c r="D184" s="420"/>
      <c r="E184" s="420"/>
      <c r="F184" s="420"/>
      <c r="G184" s="420"/>
      <c r="H184" s="420"/>
      <c r="I184" s="420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420"/>
      <c r="C185" s="420"/>
      <c r="D185" s="420"/>
      <c r="E185" s="420"/>
      <c r="F185" s="420"/>
      <c r="G185" s="420"/>
      <c r="H185" s="420"/>
      <c r="I185" s="420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420"/>
      <c r="C186" s="420"/>
      <c r="D186" s="420"/>
      <c r="E186" s="420"/>
      <c r="F186" s="420"/>
      <c r="G186" s="420"/>
      <c r="H186" s="420"/>
      <c r="I186" s="420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420"/>
      <c r="C187" s="420"/>
      <c r="D187" s="420"/>
      <c r="E187" s="420"/>
      <c r="F187" s="420"/>
      <c r="G187" s="420"/>
      <c r="H187" s="420"/>
      <c r="I187" s="420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420"/>
      <c r="C188" s="420"/>
      <c r="D188" s="420"/>
      <c r="E188" s="420"/>
      <c r="F188" s="420"/>
      <c r="G188" s="420"/>
      <c r="H188" s="420"/>
      <c r="I188" s="420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420"/>
      <c r="C189" s="420"/>
      <c r="D189" s="420"/>
      <c r="E189" s="420"/>
      <c r="F189" s="420"/>
      <c r="G189" s="420"/>
      <c r="H189" s="420"/>
      <c r="I189" s="420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420"/>
      <c r="C190" s="420"/>
      <c r="D190" s="420"/>
      <c r="E190" s="420"/>
      <c r="F190" s="420"/>
      <c r="G190" s="420"/>
      <c r="H190" s="420"/>
      <c r="I190" s="420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420"/>
      <c r="C191" s="420"/>
      <c r="D191" s="420"/>
      <c r="E191" s="420"/>
      <c r="F191" s="420"/>
      <c r="G191" s="420"/>
      <c r="H191" s="420"/>
      <c r="I191" s="420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420"/>
      <c r="C192" s="420"/>
      <c r="D192" s="420"/>
      <c r="E192" s="420"/>
      <c r="F192" s="420"/>
      <c r="G192" s="420"/>
      <c r="H192" s="420"/>
      <c r="I192" s="420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420"/>
      <c r="C193" s="420"/>
      <c r="D193" s="420"/>
      <c r="E193" s="420"/>
      <c r="F193" s="420"/>
      <c r="G193" s="420"/>
      <c r="H193" s="420"/>
      <c r="I193" s="420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420"/>
      <c r="C194" s="420"/>
      <c r="D194" s="420"/>
      <c r="E194" s="420"/>
      <c r="F194" s="420"/>
      <c r="G194" s="420"/>
      <c r="H194" s="420"/>
      <c r="I194" s="420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420"/>
      <c r="C195" s="420"/>
      <c r="D195" s="420"/>
      <c r="E195" s="420"/>
      <c r="F195" s="420"/>
      <c r="G195" s="420"/>
      <c r="H195" s="420"/>
      <c r="I195" s="420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420"/>
      <c r="C196" s="420"/>
      <c r="D196" s="420"/>
      <c r="E196" s="420"/>
      <c r="F196" s="420"/>
      <c r="G196" s="420"/>
      <c r="H196" s="420"/>
      <c r="I196" s="420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420"/>
      <c r="C197" s="420"/>
      <c r="D197" s="420"/>
      <c r="E197" s="420"/>
      <c r="F197" s="420"/>
      <c r="G197" s="420"/>
      <c r="H197" s="420"/>
      <c r="I197" s="420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420"/>
      <c r="C198" s="420"/>
      <c r="D198" s="420"/>
      <c r="E198" s="420"/>
      <c r="F198" s="420"/>
      <c r="G198" s="420"/>
      <c r="H198" s="420"/>
      <c r="I198" s="420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420"/>
      <c r="C199" s="420"/>
      <c r="D199" s="420"/>
      <c r="E199" s="420"/>
      <c r="F199" s="420"/>
      <c r="G199" s="420"/>
      <c r="H199" s="420"/>
      <c r="I199" s="420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420"/>
      <c r="C200" s="420"/>
      <c r="D200" s="420"/>
      <c r="E200" s="420"/>
      <c r="F200" s="420"/>
      <c r="G200" s="420"/>
      <c r="H200" s="420"/>
      <c r="I200" s="420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420"/>
      <c r="C201" s="420"/>
      <c r="D201" s="420"/>
      <c r="E201" s="420"/>
      <c r="F201" s="420"/>
      <c r="G201" s="420"/>
      <c r="H201" s="420"/>
      <c r="I201" s="420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420"/>
      <c r="C202" s="420"/>
      <c r="D202" s="420"/>
      <c r="E202" s="420"/>
      <c r="F202" s="420"/>
      <c r="G202" s="420"/>
      <c r="H202" s="420"/>
      <c r="I202" s="420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420"/>
      <c r="C203" s="420"/>
      <c r="D203" s="420"/>
      <c r="E203" s="420"/>
      <c r="F203" s="420"/>
      <c r="G203" s="420"/>
      <c r="H203" s="420"/>
      <c r="I203" s="420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420"/>
      <c r="C204" s="420"/>
      <c r="D204" s="420"/>
      <c r="E204" s="420"/>
      <c r="F204" s="420"/>
      <c r="G204" s="420"/>
      <c r="H204" s="420"/>
      <c r="I204" s="420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420"/>
      <c r="C205" s="420"/>
      <c r="D205" s="420"/>
      <c r="E205" s="420"/>
      <c r="F205" s="420"/>
      <c r="G205" s="420"/>
      <c r="H205" s="420"/>
      <c r="I205" s="420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420"/>
      <c r="C206" s="420"/>
      <c r="D206" s="420"/>
      <c r="E206" s="420"/>
      <c r="F206" s="420"/>
      <c r="G206" s="420"/>
      <c r="H206" s="420"/>
      <c r="I206" s="420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420"/>
      <c r="C207" s="420"/>
      <c r="D207" s="420"/>
      <c r="E207" s="420"/>
      <c r="F207" s="420"/>
      <c r="G207" s="420"/>
      <c r="H207" s="420"/>
      <c r="I207" s="420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420"/>
      <c r="C208" s="420"/>
      <c r="D208" s="420"/>
      <c r="E208" s="420"/>
      <c r="F208" s="420"/>
      <c r="G208" s="420"/>
      <c r="H208" s="420"/>
      <c r="I208" s="420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420"/>
      <c r="C209" s="420"/>
      <c r="D209" s="420"/>
      <c r="E209" s="420"/>
      <c r="F209" s="420"/>
      <c r="G209" s="420"/>
      <c r="H209" s="420"/>
      <c r="I209" s="420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420"/>
      <c r="C210" s="420"/>
      <c r="D210" s="420"/>
      <c r="E210" s="420"/>
      <c r="F210" s="420"/>
      <c r="G210" s="420"/>
      <c r="H210" s="420"/>
      <c r="I210" s="420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420"/>
      <c r="C211" s="420"/>
      <c r="D211" s="420"/>
      <c r="E211" s="420"/>
      <c r="F211" s="420"/>
      <c r="G211" s="420"/>
      <c r="H211" s="420"/>
      <c r="I211" s="420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420"/>
      <c r="C212" s="420"/>
      <c r="D212" s="420"/>
      <c r="E212" s="420"/>
      <c r="F212" s="420"/>
      <c r="G212" s="420"/>
      <c r="H212" s="420"/>
      <c r="I212" s="420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420"/>
      <c r="C213" s="420"/>
      <c r="D213" s="420"/>
      <c r="E213" s="420"/>
      <c r="F213" s="420"/>
      <c r="G213" s="420"/>
      <c r="H213" s="420"/>
      <c r="I213" s="420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420"/>
      <c r="C214" s="420"/>
      <c r="D214" s="420"/>
      <c r="E214" s="420"/>
      <c r="F214" s="420"/>
      <c r="G214" s="420"/>
      <c r="H214" s="420"/>
      <c r="I214" s="420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420"/>
      <c r="C215" s="420"/>
      <c r="D215" s="420"/>
      <c r="E215" s="420"/>
      <c r="F215" s="420"/>
      <c r="G215" s="420"/>
      <c r="H215" s="420"/>
      <c r="I215" s="420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420"/>
      <c r="C216" s="420"/>
      <c r="D216" s="420"/>
      <c r="E216" s="420"/>
      <c r="F216" s="420"/>
      <c r="G216" s="420"/>
      <c r="H216" s="420"/>
      <c r="I216" s="420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420"/>
      <c r="C217" s="420"/>
      <c r="D217" s="420"/>
      <c r="E217" s="420"/>
      <c r="F217" s="420"/>
      <c r="G217" s="420"/>
      <c r="H217" s="420"/>
      <c r="I217" s="420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420"/>
      <c r="C218" s="420"/>
      <c r="D218" s="420"/>
      <c r="E218" s="420"/>
      <c r="F218" s="420"/>
      <c r="G218" s="420"/>
      <c r="H218" s="420"/>
      <c r="I218" s="420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420"/>
      <c r="C219" s="420"/>
      <c r="D219" s="420"/>
      <c r="E219" s="420"/>
      <c r="F219" s="420"/>
      <c r="G219" s="420"/>
      <c r="H219" s="420"/>
      <c r="I219" s="420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420"/>
      <c r="C220" s="420"/>
      <c r="D220" s="420"/>
      <c r="E220" s="420"/>
      <c r="F220" s="420"/>
      <c r="G220" s="420"/>
      <c r="H220" s="420"/>
      <c r="I220" s="420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>
      <c r="A221" s="12"/>
      <c r="B221" s="420"/>
      <c r="C221" s="420"/>
      <c r="D221" s="420"/>
      <c r="E221" s="420"/>
      <c r="F221" s="420"/>
      <c r="G221" s="420"/>
      <c r="H221" s="420"/>
      <c r="I221" s="420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2.71"/>
    <col customWidth="1" min="2" max="2" width="21.43"/>
    <col customWidth="1" min="3" max="3" width="15.86"/>
    <col customWidth="1" min="4" max="4" width="18.14"/>
    <col customWidth="1" min="5" max="7" width="17.0"/>
    <col customWidth="1" min="8" max="8" width="19.86"/>
    <col customWidth="1" min="9" max="9" width="20.57"/>
    <col customWidth="1" min="10" max="10" width="11.43"/>
    <col customWidth="1" min="11" max="11" width="14.57"/>
    <col customWidth="1" min="12" max="12" width="13.29"/>
    <col customWidth="1" min="13" max="13" width="13.0"/>
    <col customWidth="1" min="14" max="26" width="11.43"/>
  </cols>
  <sheetData>
    <row r="1">
      <c r="A1" s="12" t="s">
        <v>545</v>
      </c>
      <c r="B1" s="422" t="s">
        <v>10569</v>
      </c>
      <c r="C1" s="422"/>
      <c r="D1" s="422"/>
      <c r="E1" s="422"/>
      <c r="F1" s="422"/>
      <c r="G1" s="422"/>
      <c r="H1" s="42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2"/>
      <c r="B2" s="422"/>
      <c r="C2" s="422"/>
      <c r="D2" s="422"/>
      <c r="E2" s="422"/>
      <c r="F2" s="422"/>
      <c r="G2" s="422"/>
      <c r="H2" s="42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2" t="s">
        <v>10570</v>
      </c>
      <c r="B3" s="420" t="s">
        <v>10571</v>
      </c>
      <c r="C3" s="420" t="s">
        <v>10572</v>
      </c>
      <c r="D3" s="420" t="s">
        <v>10573</v>
      </c>
      <c r="E3" s="420" t="s">
        <v>10574</v>
      </c>
      <c r="F3" s="420" t="s">
        <v>10575</v>
      </c>
      <c r="G3" s="420" t="s">
        <v>10576</v>
      </c>
      <c r="H3" s="420" t="s">
        <v>10577</v>
      </c>
      <c r="I3" s="423" t="s">
        <v>10578</v>
      </c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421" t="s">
        <v>50</v>
      </c>
      <c r="B4" s="422">
        <v>0.0</v>
      </c>
      <c r="C4" s="422">
        <v>0.0</v>
      </c>
      <c r="D4" s="422">
        <v>16035.898</v>
      </c>
      <c r="E4" s="422">
        <v>0.0</v>
      </c>
      <c r="F4" s="422">
        <v>0.0</v>
      </c>
      <c r="G4" s="422">
        <v>0.0</v>
      </c>
      <c r="H4" s="422">
        <v>0.0</v>
      </c>
      <c r="I4" s="422">
        <v>16035.898</v>
      </c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421" t="s">
        <v>18</v>
      </c>
      <c r="B5" s="422">
        <v>7566.1</v>
      </c>
      <c r="C5" s="422">
        <v>0.0</v>
      </c>
      <c r="D5" s="422">
        <v>0.0</v>
      </c>
      <c r="E5" s="422">
        <v>0.0</v>
      </c>
      <c r="F5" s="422">
        <v>0.0</v>
      </c>
      <c r="G5" s="422">
        <v>0.0</v>
      </c>
      <c r="H5" s="422">
        <v>0.0</v>
      </c>
      <c r="I5" s="422">
        <v>7566.1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421" t="s">
        <v>20</v>
      </c>
      <c r="B6" s="422">
        <v>15538.083999999999</v>
      </c>
      <c r="C6" s="422">
        <v>17511.2324</v>
      </c>
      <c r="D6" s="422">
        <v>0.0</v>
      </c>
      <c r="E6" s="422">
        <v>0.0</v>
      </c>
      <c r="F6" s="422">
        <v>0.0</v>
      </c>
      <c r="G6" s="422">
        <v>0.0</v>
      </c>
      <c r="H6" s="422">
        <v>0.0</v>
      </c>
      <c r="I6" s="422">
        <v>33049.316399999996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421" t="s">
        <v>25</v>
      </c>
      <c r="B7" s="422">
        <v>6663.9911999999995</v>
      </c>
      <c r="C7" s="422">
        <v>0.0</v>
      </c>
      <c r="D7" s="422">
        <v>0.0</v>
      </c>
      <c r="E7" s="422">
        <v>0.0</v>
      </c>
      <c r="F7" s="422">
        <v>0.0</v>
      </c>
      <c r="G7" s="422">
        <v>0.0</v>
      </c>
      <c r="H7" s="422">
        <v>0.0</v>
      </c>
      <c r="I7" s="422">
        <v>6663.9911999999995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421" t="s">
        <v>31</v>
      </c>
      <c r="B8" s="422">
        <v>0.0</v>
      </c>
      <c r="C8" s="422">
        <v>0.0</v>
      </c>
      <c r="D8" s="422">
        <v>0.0</v>
      </c>
      <c r="E8" s="422">
        <v>0.0</v>
      </c>
      <c r="F8" s="422">
        <v>0.0</v>
      </c>
      <c r="G8" s="422">
        <v>0.0</v>
      </c>
      <c r="H8" s="422">
        <v>16034.187000000009</v>
      </c>
      <c r="I8" s="422">
        <v>16034.187000000009</v>
      </c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421" t="s">
        <v>32</v>
      </c>
      <c r="B9" s="422">
        <v>1840.2124000000001</v>
      </c>
      <c r="C9" s="422">
        <v>0.0</v>
      </c>
      <c r="D9" s="422">
        <v>0.0</v>
      </c>
      <c r="E9" s="422">
        <v>0.0</v>
      </c>
      <c r="F9" s="422">
        <v>0.0</v>
      </c>
      <c r="G9" s="422">
        <v>0.0</v>
      </c>
      <c r="H9" s="422">
        <v>58682.5904</v>
      </c>
      <c r="I9" s="422">
        <v>60522.8028</v>
      </c>
      <c r="J9" s="12"/>
      <c r="K9" s="12"/>
      <c r="L9" s="424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421" t="s">
        <v>52</v>
      </c>
      <c r="B10" s="422">
        <v>110.58279999999999</v>
      </c>
      <c r="C10" s="422">
        <v>12330.312800000002</v>
      </c>
      <c r="D10" s="422">
        <v>12977.546400000001</v>
      </c>
      <c r="E10" s="422">
        <v>15967.771200000001</v>
      </c>
      <c r="F10" s="422">
        <v>4156.8948</v>
      </c>
      <c r="G10" s="422">
        <v>0.0</v>
      </c>
      <c r="H10" s="422">
        <v>0.0</v>
      </c>
      <c r="I10" s="422">
        <v>45543.10800000001</v>
      </c>
      <c r="J10" s="12"/>
      <c r="K10" s="12"/>
      <c r="L10" s="424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421" t="s">
        <v>35</v>
      </c>
      <c r="B11" s="422">
        <v>0.0</v>
      </c>
      <c r="C11" s="422">
        <v>16779.1216</v>
      </c>
      <c r="D11" s="422">
        <v>0.0</v>
      </c>
      <c r="E11" s="422">
        <v>0.0</v>
      </c>
      <c r="F11" s="422">
        <v>0.0</v>
      </c>
      <c r="G11" s="422">
        <v>0.0</v>
      </c>
      <c r="H11" s="422">
        <v>0.0</v>
      </c>
      <c r="I11" s="422">
        <v>16779.1216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A12" s="421" t="s">
        <v>37</v>
      </c>
      <c r="B12" s="422">
        <v>98356.052</v>
      </c>
      <c r="C12" s="422">
        <v>0.0</v>
      </c>
      <c r="D12" s="422">
        <v>0.0</v>
      </c>
      <c r="E12" s="422">
        <v>0.0</v>
      </c>
      <c r="F12" s="422">
        <v>0.0</v>
      </c>
      <c r="G12" s="422">
        <v>0.0</v>
      </c>
      <c r="H12" s="422">
        <v>0.0</v>
      </c>
      <c r="I12" s="422">
        <v>98356.052</v>
      </c>
      <c r="J12" s="12"/>
      <c r="K12" s="422"/>
      <c r="L12" s="424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421" t="s">
        <v>38</v>
      </c>
      <c r="B13" s="422">
        <v>10558.0648</v>
      </c>
      <c r="C13" s="422">
        <v>0.0</v>
      </c>
      <c r="D13" s="422">
        <v>0.0</v>
      </c>
      <c r="E13" s="422">
        <v>0.0</v>
      </c>
      <c r="F13" s="422">
        <v>0.0</v>
      </c>
      <c r="G13" s="422">
        <v>0.0</v>
      </c>
      <c r="H13" s="422">
        <v>0.0</v>
      </c>
      <c r="I13" s="422">
        <v>10558.0648</v>
      </c>
      <c r="J13" s="12"/>
      <c r="K13" s="425"/>
      <c r="L13" s="426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421" t="s">
        <v>41</v>
      </c>
      <c r="B14" s="422">
        <v>0.0</v>
      </c>
      <c r="C14" s="422">
        <v>112496.97399999999</v>
      </c>
      <c r="D14" s="422">
        <v>142638.76664</v>
      </c>
      <c r="E14" s="422">
        <v>127094.13560000001</v>
      </c>
      <c r="F14" s="422">
        <v>0.0</v>
      </c>
      <c r="G14" s="422">
        <v>0.0</v>
      </c>
      <c r="H14" s="422">
        <v>0.0</v>
      </c>
      <c r="I14" s="422">
        <v>382229.87624</v>
      </c>
      <c r="J14" s="12"/>
      <c r="K14" s="422"/>
      <c r="L14" s="12"/>
      <c r="M14" s="42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421" t="s">
        <v>42</v>
      </c>
      <c r="B15" s="422">
        <v>0.0</v>
      </c>
      <c r="C15" s="422">
        <v>9004.9408</v>
      </c>
      <c r="D15" s="422">
        <v>0.0</v>
      </c>
      <c r="E15" s="422">
        <v>0.0</v>
      </c>
      <c r="F15" s="422">
        <v>0.0</v>
      </c>
      <c r="G15" s="422">
        <v>0.0</v>
      </c>
      <c r="H15" s="422">
        <v>18046.3004</v>
      </c>
      <c r="I15" s="422">
        <v>27051.2412</v>
      </c>
      <c r="J15" s="12"/>
      <c r="K15" s="130"/>
      <c r="L15" s="12"/>
      <c r="M15" s="42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421" t="s">
        <v>10579</v>
      </c>
      <c r="B16" s="422">
        <v>140633.0872</v>
      </c>
      <c r="C16" s="422">
        <v>168122.5816</v>
      </c>
      <c r="D16" s="422">
        <v>171652.21104</v>
      </c>
      <c r="E16" s="422">
        <v>143061.9068</v>
      </c>
      <c r="F16" s="422">
        <v>4156.8948</v>
      </c>
      <c r="G16" s="422">
        <v>0.0</v>
      </c>
      <c r="H16" s="422">
        <v>92763.0778</v>
      </c>
      <c r="I16" s="422">
        <v>720389.75924</v>
      </c>
      <c r="J16" s="12"/>
      <c r="K16" s="425"/>
      <c r="L16" s="12"/>
      <c r="M16" s="42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 ht="15.75" customHeight="1"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ht="15.75" customHeight="1"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 ht="15.75" customHeight="1"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 ht="15.75" customHeight="1"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ht="15.75" customHeight="1"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 ht="15.75" customHeight="1"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ht="15.75" customHeight="1"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 ht="15.75" customHeight="1"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ht="15.75" customHeight="1"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 ht="15.75" customHeight="1"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ht="15.75" customHeight="1"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 ht="15.75" customHeight="1"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 ht="15.75" customHeight="1"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 ht="15.75" customHeight="1"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 ht="15.75" customHeight="1"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 ht="15.75" customHeight="1"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 ht="15.75" customHeight="1"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 ht="15.75" customHeight="1"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 ht="15.75" customHeight="1"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ht="15.75" customHeight="1"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 ht="15.75" customHeight="1"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 ht="15.75" customHeight="1"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 ht="15.75" customHeight="1"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 ht="15.75" customHeight="1"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 ht="15.75" customHeight="1"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 ht="15.75" customHeight="1"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 ht="15.75" customHeight="1"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 ht="15.75" customHeight="1"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 ht="15.75" customHeight="1"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 ht="15.75" customHeight="1"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 ht="15.75" customHeight="1"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 ht="15.75" customHeight="1"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 ht="15.75" customHeight="1"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 ht="15.75" customHeight="1"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 ht="15.75" customHeight="1"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 ht="15.75" customHeight="1"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 ht="15.75" customHeight="1"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 ht="15.75" customHeight="1"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 ht="15.75" customHeight="1"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 ht="15.75" customHeight="1"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 ht="15.75" customHeight="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 ht="15.75" customHeight="1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 ht="15.75" customHeight="1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 ht="15.75" customHeight="1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 ht="15.75" customHeight="1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 ht="15.75" customHeight="1">
      <c r="A66" s="12"/>
      <c r="B66" s="422"/>
      <c r="C66" s="422"/>
      <c r="D66" s="422"/>
      <c r="E66" s="422"/>
      <c r="F66" s="422"/>
      <c r="G66" s="422"/>
      <c r="H66" s="42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 ht="15.75" customHeight="1">
      <c r="A67" s="12"/>
      <c r="B67" s="422"/>
      <c r="C67" s="422"/>
      <c r="D67" s="422"/>
      <c r="E67" s="422"/>
      <c r="F67" s="422"/>
      <c r="G67" s="422"/>
      <c r="H67" s="42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 ht="15.75" customHeight="1">
      <c r="A68" s="12"/>
      <c r="B68" s="422"/>
      <c r="C68" s="422"/>
      <c r="D68" s="422"/>
      <c r="E68" s="422"/>
      <c r="F68" s="422"/>
      <c r="G68" s="422"/>
      <c r="H68" s="42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 ht="15.75" customHeight="1">
      <c r="A69" s="12"/>
      <c r="B69" s="422"/>
      <c r="C69" s="422"/>
      <c r="D69" s="422"/>
      <c r="E69" s="422"/>
      <c r="F69" s="422"/>
      <c r="G69" s="422"/>
      <c r="H69" s="42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 ht="15.75" customHeight="1">
      <c r="A70" s="12"/>
      <c r="B70" s="422"/>
      <c r="C70" s="422"/>
      <c r="D70" s="422"/>
      <c r="E70" s="422"/>
      <c r="F70" s="422"/>
      <c r="G70" s="422"/>
      <c r="H70" s="42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 ht="15.75" customHeight="1">
      <c r="A71" s="12"/>
      <c r="B71" s="422"/>
      <c r="C71" s="422"/>
      <c r="D71" s="422"/>
      <c r="E71" s="422"/>
      <c r="F71" s="422"/>
      <c r="G71" s="422"/>
      <c r="H71" s="42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 ht="15.75" customHeight="1">
      <c r="A72" s="12"/>
      <c r="B72" s="422"/>
      <c r="C72" s="422"/>
      <c r="D72" s="422"/>
      <c r="E72" s="422"/>
      <c r="F72" s="422"/>
      <c r="G72" s="422"/>
      <c r="H72" s="42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 ht="15.75" customHeight="1">
      <c r="A73" s="12"/>
      <c r="B73" s="422"/>
      <c r="C73" s="422"/>
      <c r="D73" s="422"/>
      <c r="E73" s="422"/>
      <c r="F73" s="422"/>
      <c r="G73" s="422"/>
      <c r="H73" s="42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ht="15.75" customHeight="1">
      <c r="A74" s="12"/>
      <c r="B74" s="422"/>
      <c r="C74" s="422"/>
      <c r="D74" s="422"/>
      <c r="E74" s="422"/>
      <c r="F74" s="422"/>
      <c r="G74" s="422"/>
      <c r="H74" s="42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 ht="15.75" customHeight="1">
      <c r="A75" s="12"/>
      <c r="B75" s="422"/>
      <c r="C75" s="422"/>
      <c r="D75" s="422"/>
      <c r="E75" s="422"/>
      <c r="F75" s="422"/>
      <c r="G75" s="422"/>
      <c r="H75" s="42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 ht="15.75" customHeight="1">
      <c r="A76" s="12"/>
      <c r="B76" s="422"/>
      <c r="C76" s="422"/>
      <c r="D76" s="422"/>
      <c r="E76" s="422"/>
      <c r="F76" s="422"/>
      <c r="G76" s="422"/>
      <c r="H76" s="42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 ht="15.75" customHeight="1">
      <c r="A77" s="12"/>
      <c r="B77" s="422"/>
      <c r="C77" s="422"/>
      <c r="D77" s="422"/>
      <c r="E77" s="422"/>
      <c r="F77" s="422"/>
      <c r="G77" s="422"/>
      <c r="H77" s="42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 ht="15.75" customHeight="1">
      <c r="A78" s="12"/>
      <c r="B78" s="422"/>
      <c r="C78" s="422"/>
      <c r="D78" s="422"/>
      <c r="E78" s="422"/>
      <c r="F78" s="422"/>
      <c r="G78" s="422"/>
      <c r="H78" s="42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 ht="15.75" customHeight="1">
      <c r="A79" s="12"/>
      <c r="B79" s="422"/>
      <c r="C79" s="422"/>
      <c r="D79" s="422"/>
      <c r="E79" s="422"/>
      <c r="F79" s="422"/>
      <c r="G79" s="422"/>
      <c r="H79" s="42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 ht="15.75" customHeight="1">
      <c r="A80" s="12"/>
      <c r="B80" s="422"/>
      <c r="C80" s="422"/>
      <c r="D80" s="422"/>
      <c r="E80" s="422"/>
      <c r="F80" s="422"/>
      <c r="G80" s="422"/>
      <c r="H80" s="42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 ht="15.75" customHeight="1">
      <c r="A81" s="12"/>
      <c r="B81" s="422"/>
      <c r="C81" s="422"/>
      <c r="D81" s="422"/>
      <c r="E81" s="422"/>
      <c r="F81" s="422"/>
      <c r="G81" s="422"/>
      <c r="H81" s="42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 ht="15.75" customHeight="1">
      <c r="A82" s="12"/>
      <c r="B82" s="422"/>
      <c r="C82" s="422"/>
      <c r="D82" s="422"/>
      <c r="E82" s="422"/>
      <c r="F82" s="422"/>
      <c r="G82" s="422"/>
      <c r="H82" s="42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 ht="15.75" customHeight="1">
      <c r="A83" s="12"/>
      <c r="B83" s="422"/>
      <c r="C83" s="422"/>
      <c r="D83" s="422"/>
      <c r="E83" s="422"/>
      <c r="F83" s="422"/>
      <c r="G83" s="422"/>
      <c r="H83" s="42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 ht="15.75" customHeight="1">
      <c r="A84" s="12"/>
      <c r="B84" s="422"/>
      <c r="C84" s="422"/>
      <c r="D84" s="422"/>
      <c r="E84" s="422"/>
      <c r="F84" s="422"/>
      <c r="G84" s="422"/>
      <c r="H84" s="42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 ht="15.75" customHeight="1">
      <c r="A85" s="12"/>
      <c r="B85" s="422"/>
      <c r="C85" s="422"/>
      <c r="D85" s="422"/>
      <c r="E85" s="422"/>
      <c r="F85" s="422"/>
      <c r="G85" s="422"/>
      <c r="H85" s="42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 ht="15.75" customHeight="1">
      <c r="A86" s="12"/>
      <c r="B86" s="422"/>
      <c r="C86" s="422"/>
      <c r="D86" s="422"/>
      <c r="E86" s="422"/>
      <c r="F86" s="422"/>
      <c r="G86" s="422"/>
      <c r="H86" s="42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 ht="15.75" customHeight="1">
      <c r="A87" s="12"/>
      <c r="B87" s="422"/>
      <c r="C87" s="422"/>
      <c r="D87" s="422"/>
      <c r="E87" s="422"/>
      <c r="F87" s="422"/>
      <c r="G87" s="422"/>
      <c r="H87" s="42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 ht="15.75" customHeight="1">
      <c r="A88" s="12"/>
      <c r="B88" s="422"/>
      <c r="C88" s="422"/>
      <c r="D88" s="422"/>
      <c r="E88" s="422"/>
      <c r="F88" s="422"/>
      <c r="G88" s="422"/>
      <c r="H88" s="42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 ht="15.75" customHeight="1">
      <c r="A89" s="12"/>
      <c r="B89" s="422"/>
      <c r="C89" s="422"/>
      <c r="D89" s="422"/>
      <c r="E89" s="422"/>
      <c r="F89" s="422"/>
      <c r="G89" s="422"/>
      <c r="H89" s="42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 ht="15.75" customHeight="1">
      <c r="A90" s="12"/>
      <c r="B90" s="422"/>
      <c r="C90" s="422"/>
      <c r="D90" s="422"/>
      <c r="E90" s="422"/>
      <c r="F90" s="422"/>
      <c r="G90" s="422"/>
      <c r="H90" s="42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 ht="15.75" customHeight="1">
      <c r="A91" s="12"/>
      <c r="B91" s="422"/>
      <c r="C91" s="422"/>
      <c r="D91" s="422"/>
      <c r="E91" s="422"/>
      <c r="F91" s="422"/>
      <c r="G91" s="422"/>
      <c r="H91" s="42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 ht="15.75" customHeight="1">
      <c r="A92" s="12"/>
      <c r="B92" s="422"/>
      <c r="C92" s="422"/>
      <c r="D92" s="422"/>
      <c r="E92" s="422"/>
      <c r="F92" s="422"/>
      <c r="G92" s="422"/>
      <c r="H92" s="42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 ht="15.75" customHeight="1">
      <c r="A93" s="12"/>
      <c r="B93" s="422"/>
      <c r="C93" s="422"/>
      <c r="D93" s="422"/>
      <c r="E93" s="422"/>
      <c r="F93" s="422"/>
      <c r="G93" s="422"/>
      <c r="H93" s="42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 ht="15.75" customHeight="1">
      <c r="A94" s="12"/>
      <c r="B94" s="422"/>
      <c r="C94" s="422"/>
      <c r="D94" s="422"/>
      <c r="E94" s="422"/>
      <c r="F94" s="422"/>
      <c r="G94" s="422"/>
      <c r="H94" s="42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 ht="15.75" customHeight="1">
      <c r="A95" s="12"/>
      <c r="B95" s="422"/>
      <c r="C95" s="422"/>
      <c r="D95" s="422"/>
      <c r="E95" s="422"/>
      <c r="F95" s="422"/>
      <c r="G95" s="422"/>
      <c r="H95" s="42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 ht="15.75" customHeight="1">
      <c r="A96" s="12"/>
      <c r="B96" s="422"/>
      <c r="C96" s="422"/>
      <c r="D96" s="422"/>
      <c r="E96" s="422"/>
      <c r="F96" s="422"/>
      <c r="G96" s="422"/>
      <c r="H96" s="42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 ht="15.75" customHeight="1">
      <c r="A97" s="12"/>
      <c r="B97" s="422"/>
      <c r="C97" s="422"/>
      <c r="D97" s="422"/>
      <c r="E97" s="422"/>
      <c r="F97" s="422"/>
      <c r="G97" s="422"/>
      <c r="H97" s="42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 ht="15.75" customHeight="1">
      <c r="A98" s="12"/>
      <c r="B98" s="422"/>
      <c r="C98" s="422"/>
      <c r="D98" s="422"/>
      <c r="E98" s="422"/>
      <c r="F98" s="422"/>
      <c r="G98" s="422"/>
      <c r="H98" s="42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 ht="15.75" customHeight="1">
      <c r="A99" s="12"/>
      <c r="B99" s="422"/>
      <c r="C99" s="422"/>
      <c r="D99" s="422"/>
      <c r="E99" s="422"/>
      <c r="F99" s="422"/>
      <c r="G99" s="422"/>
      <c r="H99" s="42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 ht="15.75" customHeight="1">
      <c r="A100" s="12"/>
      <c r="B100" s="422"/>
      <c r="C100" s="422"/>
      <c r="D100" s="422"/>
      <c r="E100" s="422"/>
      <c r="F100" s="422"/>
      <c r="G100" s="422"/>
      <c r="H100" s="42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 ht="15.75" customHeight="1">
      <c r="A101" s="12"/>
      <c r="B101" s="422"/>
      <c r="C101" s="422"/>
      <c r="D101" s="422"/>
      <c r="E101" s="422"/>
      <c r="F101" s="422"/>
      <c r="G101" s="422"/>
      <c r="H101" s="42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 ht="15.75" customHeight="1">
      <c r="A102" s="12"/>
      <c r="B102" s="422"/>
      <c r="C102" s="422"/>
      <c r="D102" s="422"/>
      <c r="E102" s="422"/>
      <c r="F102" s="422"/>
      <c r="G102" s="422"/>
      <c r="H102" s="42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 ht="15.75" customHeight="1">
      <c r="A103" s="12"/>
      <c r="B103" s="422"/>
      <c r="C103" s="422"/>
      <c r="D103" s="422"/>
      <c r="E103" s="422"/>
      <c r="F103" s="422"/>
      <c r="G103" s="422"/>
      <c r="H103" s="42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 ht="15.75" customHeight="1">
      <c r="A104" s="12"/>
      <c r="B104" s="422"/>
      <c r="C104" s="422"/>
      <c r="D104" s="422"/>
      <c r="E104" s="422"/>
      <c r="F104" s="422"/>
      <c r="G104" s="422"/>
      <c r="H104" s="42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 ht="15.75" customHeight="1">
      <c r="A105" s="12"/>
      <c r="B105" s="422"/>
      <c r="C105" s="422"/>
      <c r="D105" s="422"/>
      <c r="E105" s="422"/>
      <c r="F105" s="422"/>
      <c r="G105" s="422"/>
      <c r="H105" s="42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 ht="15.75" customHeight="1">
      <c r="A106" s="12"/>
      <c r="B106" s="422"/>
      <c r="C106" s="422"/>
      <c r="D106" s="422"/>
      <c r="E106" s="422"/>
      <c r="F106" s="422"/>
      <c r="G106" s="422"/>
      <c r="H106" s="42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 ht="15.75" customHeight="1">
      <c r="A107" s="12"/>
      <c r="B107" s="422"/>
      <c r="C107" s="422"/>
      <c r="D107" s="422"/>
      <c r="E107" s="422"/>
      <c r="F107" s="422"/>
      <c r="G107" s="422"/>
      <c r="H107" s="42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ht="15.75" customHeight="1">
      <c r="A108" s="12"/>
      <c r="B108" s="422"/>
      <c r="C108" s="422"/>
      <c r="D108" s="422"/>
      <c r="E108" s="422"/>
      <c r="F108" s="422"/>
      <c r="G108" s="422"/>
      <c r="H108" s="42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 ht="15.75" customHeight="1">
      <c r="A109" s="12"/>
      <c r="B109" s="422"/>
      <c r="C109" s="422"/>
      <c r="D109" s="422"/>
      <c r="E109" s="422"/>
      <c r="F109" s="422"/>
      <c r="G109" s="422"/>
      <c r="H109" s="42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 ht="15.75" customHeight="1">
      <c r="A110" s="12"/>
      <c r="B110" s="422"/>
      <c r="C110" s="422"/>
      <c r="D110" s="422"/>
      <c r="E110" s="422"/>
      <c r="F110" s="422"/>
      <c r="G110" s="422"/>
      <c r="H110" s="42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 ht="15.75" customHeight="1">
      <c r="A111" s="12"/>
      <c r="B111" s="422"/>
      <c r="C111" s="422"/>
      <c r="D111" s="422"/>
      <c r="E111" s="422"/>
      <c r="F111" s="422"/>
      <c r="G111" s="422"/>
      <c r="H111" s="42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 ht="15.75" customHeight="1">
      <c r="A112" s="12"/>
      <c r="B112" s="422"/>
      <c r="C112" s="422"/>
      <c r="D112" s="422"/>
      <c r="E112" s="422"/>
      <c r="F112" s="422"/>
      <c r="G112" s="422"/>
      <c r="H112" s="42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 ht="15.75" customHeight="1">
      <c r="A113" s="12"/>
      <c r="B113" s="422"/>
      <c r="C113" s="422"/>
      <c r="D113" s="422"/>
      <c r="E113" s="422"/>
      <c r="F113" s="422"/>
      <c r="G113" s="422"/>
      <c r="H113" s="42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 ht="15.75" customHeight="1">
      <c r="A114" s="12"/>
      <c r="B114" s="422"/>
      <c r="C114" s="422"/>
      <c r="D114" s="422"/>
      <c r="E114" s="422"/>
      <c r="F114" s="422"/>
      <c r="G114" s="422"/>
      <c r="H114" s="42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 ht="15.75" customHeight="1">
      <c r="A115" s="12"/>
      <c r="B115" s="422"/>
      <c r="C115" s="422"/>
      <c r="D115" s="422"/>
      <c r="E115" s="422"/>
      <c r="F115" s="422"/>
      <c r="G115" s="422"/>
      <c r="H115" s="42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 ht="15.75" customHeight="1">
      <c r="A116" s="12"/>
      <c r="B116" s="422"/>
      <c r="C116" s="422"/>
      <c r="D116" s="422"/>
      <c r="E116" s="422"/>
      <c r="F116" s="422"/>
      <c r="G116" s="422"/>
      <c r="H116" s="42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 ht="15.75" customHeight="1">
      <c r="A117" s="12"/>
      <c r="B117" s="422"/>
      <c r="C117" s="422"/>
      <c r="D117" s="422"/>
      <c r="E117" s="422"/>
      <c r="F117" s="422"/>
      <c r="G117" s="422"/>
      <c r="H117" s="42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 ht="15.75" customHeight="1">
      <c r="A118" s="12"/>
      <c r="B118" s="422"/>
      <c r="C118" s="422"/>
      <c r="D118" s="422"/>
      <c r="E118" s="422"/>
      <c r="F118" s="422"/>
      <c r="G118" s="422"/>
      <c r="H118" s="42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 ht="15.75" customHeight="1">
      <c r="A119" s="12"/>
      <c r="B119" s="422"/>
      <c r="C119" s="422"/>
      <c r="D119" s="422"/>
      <c r="E119" s="422"/>
      <c r="F119" s="422"/>
      <c r="G119" s="422"/>
      <c r="H119" s="42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 ht="15.75" customHeight="1">
      <c r="A120" s="12"/>
      <c r="B120" s="422"/>
      <c r="C120" s="422"/>
      <c r="D120" s="422"/>
      <c r="E120" s="422"/>
      <c r="F120" s="422"/>
      <c r="G120" s="422"/>
      <c r="H120" s="42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 ht="15.75" customHeight="1">
      <c r="A121" s="12"/>
      <c r="B121" s="422"/>
      <c r="C121" s="422"/>
      <c r="D121" s="422"/>
      <c r="E121" s="422"/>
      <c r="F121" s="422"/>
      <c r="G121" s="422"/>
      <c r="H121" s="42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 ht="15.75" customHeight="1">
      <c r="A122" s="12"/>
      <c r="B122" s="422"/>
      <c r="C122" s="422"/>
      <c r="D122" s="422"/>
      <c r="E122" s="422"/>
      <c r="F122" s="422"/>
      <c r="G122" s="422"/>
      <c r="H122" s="42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 ht="15.75" customHeight="1">
      <c r="A123" s="12"/>
      <c r="B123" s="422"/>
      <c r="C123" s="422"/>
      <c r="D123" s="422"/>
      <c r="E123" s="422"/>
      <c r="F123" s="422"/>
      <c r="G123" s="422"/>
      <c r="H123" s="42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 ht="15.75" customHeight="1">
      <c r="A124" s="12"/>
      <c r="B124" s="422"/>
      <c r="C124" s="422"/>
      <c r="D124" s="422"/>
      <c r="E124" s="422"/>
      <c r="F124" s="422"/>
      <c r="G124" s="422"/>
      <c r="H124" s="42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 ht="15.75" customHeight="1">
      <c r="A125" s="12"/>
      <c r="B125" s="422"/>
      <c r="C125" s="422"/>
      <c r="D125" s="422"/>
      <c r="E125" s="422"/>
      <c r="F125" s="422"/>
      <c r="G125" s="422"/>
      <c r="H125" s="42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 ht="15.75" customHeight="1">
      <c r="A126" s="12"/>
      <c r="B126" s="422"/>
      <c r="C126" s="422"/>
      <c r="D126" s="422"/>
      <c r="E126" s="422"/>
      <c r="F126" s="422"/>
      <c r="G126" s="422"/>
      <c r="H126" s="42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 ht="15.75" customHeight="1">
      <c r="A127" s="12"/>
      <c r="B127" s="422"/>
      <c r="C127" s="422"/>
      <c r="D127" s="422"/>
      <c r="E127" s="422"/>
      <c r="F127" s="422"/>
      <c r="G127" s="422"/>
      <c r="H127" s="42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 ht="15.75" customHeight="1">
      <c r="A128" s="12"/>
      <c r="B128" s="422"/>
      <c r="C128" s="422"/>
      <c r="D128" s="422"/>
      <c r="E128" s="422"/>
      <c r="F128" s="422"/>
      <c r="G128" s="422"/>
      <c r="H128" s="42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 ht="15.75" customHeight="1">
      <c r="A129" s="12"/>
      <c r="B129" s="422"/>
      <c r="C129" s="422"/>
      <c r="D129" s="422"/>
      <c r="E129" s="422"/>
      <c r="F129" s="422"/>
      <c r="G129" s="422"/>
      <c r="H129" s="42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 ht="15.75" customHeight="1">
      <c r="A130" s="12"/>
      <c r="B130" s="422"/>
      <c r="C130" s="422"/>
      <c r="D130" s="422"/>
      <c r="E130" s="422"/>
      <c r="F130" s="422"/>
      <c r="G130" s="422"/>
      <c r="H130" s="42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 ht="15.75" customHeight="1">
      <c r="A131" s="12"/>
      <c r="B131" s="422"/>
      <c r="C131" s="422"/>
      <c r="D131" s="422"/>
      <c r="E131" s="422"/>
      <c r="F131" s="422"/>
      <c r="G131" s="422"/>
      <c r="H131" s="42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 ht="15.75" customHeight="1">
      <c r="A132" s="12"/>
      <c r="B132" s="422"/>
      <c r="C132" s="422"/>
      <c r="D132" s="422"/>
      <c r="E132" s="422"/>
      <c r="F132" s="422"/>
      <c r="G132" s="422"/>
      <c r="H132" s="42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 ht="15.75" customHeight="1">
      <c r="A133" s="12"/>
      <c r="B133" s="422"/>
      <c r="C133" s="422"/>
      <c r="D133" s="422"/>
      <c r="E133" s="422"/>
      <c r="F133" s="422"/>
      <c r="G133" s="422"/>
      <c r="H133" s="42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 ht="15.75" customHeight="1">
      <c r="A134" s="12"/>
      <c r="B134" s="422"/>
      <c r="C134" s="422"/>
      <c r="D134" s="422"/>
      <c r="E134" s="422"/>
      <c r="F134" s="422"/>
      <c r="G134" s="422"/>
      <c r="H134" s="42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 ht="15.75" customHeight="1">
      <c r="A135" s="12"/>
      <c r="B135" s="422"/>
      <c r="C135" s="422"/>
      <c r="D135" s="422"/>
      <c r="E135" s="422"/>
      <c r="F135" s="422"/>
      <c r="G135" s="422"/>
      <c r="H135" s="42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 ht="15.75" customHeight="1">
      <c r="A136" s="12"/>
      <c r="B136" s="422"/>
      <c r="C136" s="422"/>
      <c r="D136" s="422"/>
      <c r="E136" s="422"/>
      <c r="F136" s="422"/>
      <c r="G136" s="422"/>
      <c r="H136" s="42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 ht="15.75" customHeight="1">
      <c r="A137" s="12"/>
      <c r="B137" s="422"/>
      <c r="C137" s="422"/>
      <c r="D137" s="422"/>
      <c r="E137" s="422"/>
      <c r="F137" s="422"/>
      <c r="G137" s="422"/>
      <c r="H137" s="42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 ht="15.75" customHeight="1">
      <c r="A138" s="12"/>
      <c r="B138" s="422"/>
      <c r="C138" s="422"/>
      <c r="D138" s="422"/>
      <c r="E138" s="422"/>
      <c r="F138" s="422"/>
      <c r="G138" s="422"/>
      <c r="H138" s="42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 ht="15.75" customHeight="1">
      <c r="A139" s="12"/>
      <c r="B139" s="422"/>
      <c r="C139" s="422"/>
      <c r="D139" s="422"/>
      <c r="E139" s="422"/>
      <c r="F139" s="422"/>
      <c r="G139" s="422"/>
      <c r="H139" s="42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 ht="15.75" customHeight="1">
      <c r="A140" s="12"/>
      <c r="B140" s="422"/>
      <c r="C140" s="422"/>
      <c r="D140" s="422"/>
      <c r="E140" s="422"/>
      <c r="F140" s="422"/>
      <c r="G140" s="422"/>
      <c r="H140" s="42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 ht="15.75" customHeight="1">
      <c r="A141" s="12"/>
      <c r="B141" s="422"/>
      <c r="C141" s="422"/>
      <c r="D141" s="422"/>
      <c r="E141" s="422"/>
      <c r="F141" s="422"/>
      <c r="G141" s="422"/>
      <c r="H141" s="42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ht="15.75" customHeight="1">
      <c r="A142" s="12"/>
      <c r="B142" s="422"/>
      <c r="C142" s="422"/>
      <c r="D142" s="422"/>
      <c r="E142" s="422"/>
      <c r="F142" s="422"/>
      <c r="G142" s="422"/>
      <c r="H142" s="42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 ht="15.75" customHeight="1">
      <c r="A143" s="12"/>
      <c r="B143" s="422"/>
      <c r="C143" s="422"/>
      <c r="D143" s="422"/>
      <c r="E143" s="422"/>
      <c r="F143" s="422"/>
      <c r="G143" s="422"/>
      <c r="H143" s="42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 ht="15.75" customHeight="1">
      <c r="A144" s="12"/>
      <c r="B144" s="422"/>
      <c r="C144" s="422"/>
      <c r="D144" s="422"/>
      <c r="E144" s="422"/>
      <c r="F144" s="422"/>
      <c r="G144" s="422"/>
      <c r="H144" s="42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 ht="15.75" customHeight="1">
      <c r="A145" s="12"/>
      <c r="B145" s="422"/>
      <c r="C145" s="422"/>
      <c r="D145" s="422"/>
      <c r="E145" s="422"/>
      <c r="F145" s="422"/>
      <c r="G145" s="422"/>
      <c r="H145" s="42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 ht="15.75" customHeight="1">
      <c r="A146" s="12"/>
      <c r="B146" s="422"/>
      <c r="C146" s="422"/>
      <c r="D146" s="422"/>
      <c r="E146" s="422"/>
      <c r="F146" s="422"/>
      <c r="G146" s="422"/>
      <c r="H146" s="42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 ht="15.75" customHeight="1">
      <c r="A147" s="12"/>
      <c r="B147" s="422"/>
      <c r="C147" s="422"/>
      <c r="D147" s="422"/>
      <c r="E147" s="422"/>
      <c r="F147" s="422"/>
      <c r="G147" s="422"/>
      <c r="H147" s="42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 ht="15.75" customHeight="1">
      <c r="A148" s="12"/>
      <c r="B148" s="422"/>
      <c r="C148" s="422"/>
      <c r="D148" s="422"/>
      <c r="E148" s="422"/>
      <c r="F148" s="422"/>
      <c r="G148" s="422"/>
      <c r="H148" s="42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 ht="15.75" customHeight="1">
      <c r="A149" s="12"/>
      <c r="B149" s="422"/>
      <c r="C149" s="422"/>
      <c r="D149" s="422"/>
      <c r="E149" s="422"/>
      <c r="F149" s="422"/>
      <c r="G149" s="422"/>
      <c r="H149" s="42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 ht="15.75" customHeight="1">
      <c r="A150" s="12"/>
      <c r="B150" s="422"/>
      <c r="C150" s="422"/>
      <c r="D150" s="422"/>
      <c r="E150" s="422"/>
      <c r="F150" s="422"/>
      <c r="G150" s="422"/>
      <c r="H150" s="42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 ht="15.75" customHeight="1">
      <c r="A151" s="12"/>
      <c r="B151" s="422"/>
      <c r="C151" s="422"/>
      <c r="D151" s="422"/>
      <c r="E151" s="422"/>
      <c r="F151" s="422"/>
      <c r="G151" s="422"/>
      <c r="H151" s="42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 ht="15.75" customHeight="1">
      <c r="A152" s="12"/>
      <c r="B152" s="422"/>
      <c r="C152" s="422"/>
      <c r="D152" s="422"/>
      <c r="E152" s="422"/>
      <c r="F152" s="422"/>
      <c r="G152" s="422"/>
      <c r="H152" s="42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 ht="15.75" customHeight="1">
      <c r="A153" s="12"/>
      <c r="B153" s="422"/>
      <c r="C153" s="422"/>
      <c r="D153" s="422"/>
      <c r="E153" s="422"/>
      <c r="F153" s="422"/>
      <c r="G153" s="422"/>
      <c r="H153" s="42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 ht="15.75" customHeight="1">
      <c r="A154" s="12"/>
      <c r="B154" s="422"/>
      <c r="C154" s="422"/>
      <c r="D154" s="422"/>
      <c r="E154" s="422"/>
      <c r="F154" s="422"/>
      <c r="G154" s="422"/>
      <c r="H154" s="42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 ht="15.75" customHeight="1">
      <c r="A155" s="12"/>
      <c r="B155" s="422"/>
      <c r="C155" s="422"/>
      <c r="D155" s="422"/>
      <c r="E155" s="422"/>
      <c r="F155" s="422"/>
      <c r="G155" s="422"/>
      <c r="H155" s="42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 ht="15.75" customHeight="1">
      <c r="A156" s="12"/>
      <c r="B156" s="422"/>
      <c r="C156" s="422"/>
      <c r="D156" s="422"/>
      <c r="E156" s="422"/>
      <c r="F156" s="422"/>
      <c r="G156" s="422"/>
      <c r="H156" s="42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 ht="15.75" customHeight="1">
      <c r="A157" s="12"/>
      <c r="B157" s="422"/>
      <c r="C157" s="422"/>
      <c r="D157" s="422"/>
      <c r="E157" s="422"/>
      <c r="F157" s="422"/>
      <c r="G157" s="422"/>
      <c r="H157" s="42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 ht="15.75" customHeight="1">
      <c r="A158" s="12"/>
      <c r="B158" s="422"/>
      <c r="C158" s="422"/>
      <c r="D158" s="422"/>
      <c r="E158" s="422"/>
      <c r="F158" s="422"/>
      <c r="G158" s="422"/>
      <c r="H158" s="42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 ht="15.75" customHeight="1">
      <c r="A159" s="12"/>
      <c r="B159" s="422"/>
      <c r="C159" s="422"/>
      <c r="D159" s="422"/>
      <c r="E159" s="422"/>
      <c r="F159" s="422"/>
      <c r="G159" s="422"/>
      <c r="H159" s="42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 ht="15.75" customHeight="1">
      <c r="A160" s="12"/>
      <c r="B160" s="422"/>
      <c r="C160" s="422"/>
      <c r="D160" s="422"/>
      <c r="E160" s="422"/>
      <c r="F160" s="422"/>
      <c r="G160" s="422"/>
      <c r="H160" s="42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 ht="15.75" customHeight="1">
      <c r="A161" s="12"/>
      <c r="B161" s="422"/>
      <c r="C161" s="422"/>
      <c r="D161" s="422"/>
      <c r="E161" s="422"/>
      <c r="F161" s="422"/>
      <c r="G161" s="422"/>
      <c r="H161" s="42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 ht="15.75" customHeight="1">
      <c r="A162" s="12"/>
      <c r="B162" s="422"/>
      <c r="C162" s="422"/>
      <c r="D162" s="422"/>
      <c r="E162" s="422"/>
      <c r="F162" s="422"/>
      <c r="G162" s="422"/>
      <c r="H162" s="42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 ht="15.75" customHeight="1">
      <c r="A163" s="12"/>
      <c r="B163" s="422"/>
      <c r="C163" s="422"/>
      <c r="D163" s="422"/>
      <c r="E163" s="422"/>
      <c r="F163" s="422"/>
      <c r="G163" s="422"/>
      <c r="H163" s="42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 ht="15.75" customHeight="1">
      <c r="A164" s="12"/>
      <c r="B164" s="422"/>
      <c r="C164" s="422"/>
      <c r="D164" s="422"/>
      <c r="E164" s="422"/>
      <c r="F164" s="422"/>
      <c r="G164" s="422"/>
      <c r="H164" s="42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 ht="15.75" customHeight="1">
      <c r="A165" s="12"/>
      <c r="B165" s="422"/>
      <c r="C165" s="422"/>
      <c r="D165" s="422"/>
      <c r="E165" s="422"/>
      <c r="F165" s="422"/>
      <c r="G165" s="422"/>
      <c r="H165" s="42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 ht="15.75" customHeight="1">
      <c r="A166" s="12"/>
      <c r="B166" s="422"/>
      <c r="C166" s="422"/>
      <c r="D166" s="422"/>
      <c r="E166" s="422"/>
      <c r="F166" s="422"/>
      <c r="G166" s="422"/>
      <c r="H166" s="42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 ht="15.75" customHeight="1">
      <c r="A167" s="12"/>
      <c r="B167" s="422"/>
      <c r="C167" s="422"/>
      <c r="D167" s="422"/>
      <c r="E167" s="422"/>
      <c r="F167" s="422"/>
      <c r="G167" s="422"/>
      <c r="H167" s="42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 ht="15.75" customHeight="1">
      <c r="A168" s="12"/>
      <c r="B168" s="422"/>
      <c r="C168" s="422"/>
      <c r="D168" s="422"/>
      <c r="E168" s="422"/>
      <c r="F168" s="422"/>
      <c r="G168" s="422"/>
      <c r="H168" s="42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 ht="15.75" customHeight="1">
      <c r="A169" s="12"/>
      <c r="B169" s="422"/>
      <c r="C169" s="422"/>
      <c r="D169" s="422"/>
      <c r="E169" s="422"/>
      <c r="F169" s="422"/>
      <c r="G169" s="422"/>
      <c r="H169" s="42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 ht="15.75" customHeight="1">
      <c r="A170" s="12"/>
      <c r="B170" s="422"/>
      <c r="C170" s="422"/>
      <c r="D170" s="422"/>
      <c r="E170" s="422"/>
      <c r="F170" s="422"/>
      <c r="G170" s="422"/>
      <c r="H170" s="42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 ht="15.75" customHeight="1">
      <c r="A171" s="12"/>
      <c r="B171" s="422"/>
      <c r="C171" s="422"/>
      <c r="D171" s="422"/>
      <c r="E171" s="422"/>
      <c r="F171" s="422"/>
      <c r="G171" s="422"/>
      <c r="H171" s="42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 ht="15.75" customHeight="1">
      <c r="A172" s="12"/>
      <c r="B172" s="422"/>
      <c r="C172" s="422"/>
      <c r="D172" s="422"/>
      <c r="E172" s="422"/>
      <c r="F172" s="422"/>
      <c r="G172" s="422"/>
      <c r="H172" s="42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 ht="15.75" customHeight="1">
      <c r="A173" s="12"/>
      <c r="B173" s="422"/>
      <c r="C173" s="422"/>
      <c r="D173" s="422"/>
      <c r="E173" s="422"/>
      <c r="F173" s="422"/>
      <c r="G173" s="422"/>
      <c r="H173" s="42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 ht="15.75" customHeight="1">
      <c r="A174" s="12"/>
      <c r="B174" s="422"/>
      <c r="C174" s="422"/>
      <c r="D174" s="422"/>
      <c r="E174" s="422"/>
      <c r="F174" s="422"/>
      <c r="G174" s="422"/>
      <c r="H174" s="42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 ht="15.75" customHeight="1">
      <c r="A175" s="12"/>
      <c r="B175" s="422"/>
      <c r="C175" s="422"/>
      <c r="D175" s="422"/>
      <c r="E175" s="422"/>
      <c r="F175" s="422"/>
      <c r="G175" s="422"/>
      <c r="H175" s="42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ht="15.75" customHeight="1">
      <c r="A176" s="12"/>
      <c r="B176" s="422"/>
      <c r="C176" s="422"/>
      <c r="D176" s="422"/>
      <c r="E176" s="422"/>
      <c r="F176" s="422"/>
      <c r="G176" s="422"/>
      <c r="H176" s="42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 ht="15.75" customHeight="1">
      <c r="A177" s="12"/>
      <c r="B177" s="422"/>
      <c r="C177" s="422"/>
      <c r="D177" s="422"/>
      <c r="E177" s="422"/>
      <c r="F177" s="422"/>
      <c r="G177" s="422"/>
      <c r="H177" s="42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 ht="15.75" customHeight="1">
      <c r="A178" s="12"/>
      <c r="B178" s="422"/>
      <c r="C178" s="422"/>
      <c r="D178" s="422"/>
      <c r="E178" s="422"/>
      <c r="F178" s="422"/>
      <c r="G178" s="422"/>
      <c r="H178" s="42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 ht="15.75" customHeight="1">
      <c r="A179" s="12"/>
      <c r="B179" s="422"/>
      <c r="C179" s="422"/>
      <c r="D179" s="422"/>
      <c r="E179" s="422"/>
      <c r="F179" s="422"/>
      <c r="G179" s="422"/>
      <c r="H179" s="42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 ht="15.75" customHeight="1">
      <c r="A180" s="12"/>
      <c r="B180" s="422"/>
      <c r="C180" s="422"/>
      <c r="D180" s="422"/>
      <c r="E180" s="422"/>
      <c r="F180" s="422"/>
      <c r="G180" s="422"/>
      <c r="H180" s="42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 ht="15.75" customHeight="1">
      <c r="A181" s="12"/>
      <c r="B181" s="422"/>
      <c r="C181" s="422"/>
      <c r="D181" s="422"/>
      <c r="E181" s="422"/>
      <c r="F181" s="422"/>
      <c r="G181" s="422"/>
      <c r="H181" s="42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 ht="15.75" customHeight="1">
      <c r="A182" s="12"/>
      <c r="B182" s="422"/>
      <c r="C182" s="422"/>
      <c r="D182" s="422"/>
      <c r="E182" s="422"/>
      <c r="F182" s="422"/>
      <c r="G182" s="422"/>
      <c r="H182" s="42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 ht="15.75" customHeight="1">
      <c r="A183" s="12"/>
      <c r="B183" s="422"/>
      <c r="C183" s="422"/>
      <c r="D183" s="422"/>
      <c r="E183" s="422"/>
      <c r="F183" s="422"/>
      <c r="G183" s="422"/>
      <c r="H183" s="42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 ht="15.75" customHeight="1">
      <c r="A184" s="12"/>
      <c r="B184" s="422"/>
      <c r="C184" s="422"/>
      <c r="D184" s="422"/>
      <c r="E184" s="422"/>
      <c r="F184" s="422"/>
      <c r="G184" s="422"/>
      <c r="H184" s="42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 ht="15.75" customHeight="1">
      <c r="A185" s="12"/>
      <c r="B185" s="422"/>
      <c r="C185" s="422"/>
      <c r="D185" s="422"/>
      <c r="E185" s="422"/>
      <c r="F185" s="422"/>
      <c r="G185" s="422"/>
      <c r="H185" s="42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 ht="15.75" customHeight="1">
      <c r="A186" s="12"/>
      <c r="B186" s="422"/>
      <c r="C186" s="422"/>
      <c r="D186" s="422"/>
      <c r="E186" s="422"/>
      <c r="F186" s="422"/>
      <c r="G186" s="422"/>
      <c r="H186" s="42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 ht="15.75" customHeight="1">
      <c r="A187" s="12"/>
      <c r="B187" s="422"/>
      <c r="C187" s="422"/>
      <c r="D187" s="422"/>
      <c r="E187" s="422"/>
      <c r="F187" s="422"/>
      <c r="G187" s="422"/>
      <c r="H187" s="42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 ht="15.75" customHeight="1">
      <c r="A188" s="12"/>
      <c r="B188" s="422"/>
      <c r="C188" s="422"/>
      <c r="D188" s="422"/>
      <c r="E188" s="422"/>
      <c r="F188" s="422"/>
      <c r="G188" s="422"/>
      <c r="H188" s="42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 ht="15.75" customHeight="1">
      <c r="A189" s="12"/>
      <c r="B189" s="422"/>
      <c r="C189" s="422"/>
      <c r="D189" s="422"/>
      <c r="E189" s="422"/>
      <c r="F189" s="422"/>
      <c r="G189" s="422"/>
      <c r="H189" s="42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 ht="15.75" customHeight="1">
      <c r="A190" s="12"/>
      <c r="B190" s="422"/>
      <c r="C190" s="422"/>
      <c r="D190" s="422"/>
      <c r="E190" s="422"/>
      <c r="F190" s="422"/>
      <c r="G190" s="422"/>
      <c r="H190" s="42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 ht="15.75" customHeight="1">
      <c r="A191" s="12"/>
      <c r="B191" s="422"/>
      <c r="C191" s="422"/>
      <c r="D191" s="422"/>
      <c r="E191" s="422"/>
      <c r="F191" s="422"/>
      <c r="G191" s="422"/>
      <c r="H191" s="42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 ht="15.75" customHeight="1">
      <c r="A192" s="12"/>
      <c r="B192" s="422"/>
      <c r="C192" s="422"/>
      <c r="D192" s="422"/>
      <c r="E192" s="422"/>
      <c r="F192" s="422"/>
      <c r="G192" s="422"/>
      <c r="H192" s="42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 ht="15.75" customHeight="1">
      <c r="A193" s="12"/>
      <c r="B193" s="422"/>
      <c r="C193" s="422"/>
      <c r="D193" s="422"/>
      <c r="E193" s="422"/>
      <c r="F193" s="422"/>
      <c r="G193" s="422"/>
      <c r="H193" s="42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 ht="15.75" customHeight="1">
      <c r="A194" s="12"/>
      <c r="B194" s="422"/>
      <c r="C194" s="422"/>
      <c r="D194" s="422"/>
      <c r="E194" s="422"/>
      <c r="F194" s="422"/>
      <c r="G194" s="422"/>
      <c r="H194" s="42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 ht="15.75" customHeight="1">
      <c r="A195" s="12"/>
      <c r="B195" s="422"/>
      <c r="C195" s="422"/>
      <c r="D195" s="422"/>
      <c r="E195" s="422"/>
      <c r="F195" s="422"/>
      <c r="G195" s="422"/>
      <c r="H195" s="42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 ht="15.75" customHeight="1">
      <c r="A196" s="12"/>
      <c r="B196" s="422"/>
      <c r="C196" s="422"/>
      <c r="D196" s="422"/>
      <c r="E196" s="422"/>
      <c r="F196" s="422"/>
      <c r="G196" s="422"/>
      <c r="H196" s="42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 ht="15.75" customHeight="1">
      <c r="A197" s="12"/>
      <c r="B197" s="422"/>
      <c r="C197" s="422"/>
      <c r="D197" s="422"/>
      <c r="E197" s="422"/>
      <c r="F197" s="422"/>
      <c r="G197" s="422"/>
      <c r="H197" s="42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 ht="15.75" customHeight="1">
      <c r="A198" s="12"/>
      <c r="B198" s="422"/>
      <c r="C198" s="422"/>
      <c r="D198" s="422"/>
      <c r="E198" s="422"/>
      <c r="F198" s="422"/>
      <c r="G198" s="422"/>
      <c r="H198" s="42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 ht="15.75" customHeight="1">
      <c r="A199" s="12"/>
      <c r="B199" s="422"/>
      <c r="C199" s="422"/>
      <c r="D199" s="422"/>
      <c r="E199" s="422"/>
      <c r="F199" s="422"/>
      <c r="G199" s="422"/>
      <c r="H199" s="42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 ht="15.75" customHeight="1">
      <c r="A200" s="12"/>
      <c r="B200" s="422"/>
      <c r="C200" s="422"/>
      <c r="D200" s="422"/>
      <c r="E200" s="422"/>
      <c r="F200" s="422"/>
      <c r="G200" s="422"/>
      <c r="H200" s="42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 ht="15.75" customHeight="1">
      <c r="A201" s="12"/>
      <c r="B201" s="422"/>
      <c r="C201" s="422"/>
      <c r="D201" s="422"/>
      <c r="E201" s="422"/>
      <c r="F201" s="422"/>
      <c r="G201" s="422"/>
      <c r="H201" s="42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 ht="15.75" customHeight="1">
      <c r="A202" s="12"/>
      <c r="B202" s="422"/>
      <c r="C202" s="422"/>
      <c r="D202" s="422"/>
      <c r="E202" s="422"/>
      <c r="F202" s="422"/>
      <c r="G202" s="422"/>
      <c r="H202" s="42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 ht="15.75" customHeight="1">
      <c r="A203" s="12"/>
      <c r="B203" s="422"/>
      <c r="C203" s="422"/>
      <c r="D203" s="422"/>
      <c r="E203" s="422"/>
      <c r="F203" s="422"/>
      <c r="G203" s="422"/>
      <c r="H203" s="42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 ht="15.75" customHeight="1">
      <c r="A204" s="12"/>
      <c r="B204" s="422"/>
      <c r="C204" s="422"/>
      <c r="D204" s="422"/>
      <c r="E204" s="422"/>
      <c r="F204" s="422"/>
      <c r="G204" s="422"/>
      <c r="H204" s="42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 ht="15.75" customHeight="1">
      <c r="A205" s="12"/>
      <c r="B205" s="422"/>
      <c r="C205" s="422"/>
      <c r="D205" s="422"/>
      <c r="E205" s="422"/>
      <c r="F205" s="422"/>
      <c r="G205" s="422"/>
      <c r="H205" s="42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 ht="15.75" customHeight="1">
      <c r="A206" s="12"/>
      <c r="B206" s="422"/>
      <c r="C206" s="422"/>
      <c r="D206" s="422"/>
      <c r="E206" s="422"/>
      <c r="F206" s="422"/>
      <c r="G206" s="422"/>
      <c r="H206" s="42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 ht="15.75" customHeight="1">
      <c r="A207" s="12"/>
      <c r="B207" s="422"/>
      <c r="C207" s="422"/>
      <c r="D207" s="422"/>
      <c r="E207" s="422"/>
      <c r="F207" s="422"/>
      <c r="G207" s="422"/>
      <c r="H207" s="42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 ht="15.75" customHeight="1">
      <c r="A208" s="12"/>
      <c r="B208" s="422"/>
      <c r="C208" s="422"/>
      <c r="D208" s="422"/>
      <c r="E208" s="422"/>
      <c r="F208" s="422"/>
      <c r="G208" s="422"/>
      <c r="H208" s="42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 ht="15.75" customHeight="1">
      <c r="A209" s="12"/>
      <c r="B209" s="422"/>
      <c r="C209" s="422"/>
      <c r="D209" s="422"/>
      <c r="E209" s="422"/>
      <c r="F209" s="422"/>
      <c r="G209" s="422"/>
      <c r="H209" s="42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ht="15.75" customHeight="1">
      <c r="A210" s="12"/>
      <c r="B210" s="422"/>
      <c r="C210" s="422"/>
      <c r="D210" s="422"/>
      <c r="E210" s="422"/>
      <c r="F210" s="422"/>
      <c r="G210" s="422"/>
      <c r="H210" s="42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 ht="15.75" customHeight="1">
      <c r="A211" s="12"/>
      <c r="B211" s="422"/>
      <c r="C211" s="422"/>
      <c r="D211" s="422"/>
      <c r="E211" s="422"/>
      <c r="F211" s="422"/>
      <c r="G211" s="422"/>
      <c r="H211" s="42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 ht="15.75" customHeight="1">
      <c r="A212" s="12"/>
      <c r="B212" s="422"/>
      <c r="C212" s="422"/>
      <c r="D212" s="422"/>
      <c r="E212" s="422"/>
      <c r="F212" s="422"/>
      <c r="G212" s="422"/>
      <c r="H212" s="42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 ht="15.75" customHeight="1">
      <c r="A213" s="12"/>
      <c r="B213" s="422"/>
      <c r="C213" s="422"/>
      <c r="D213" s="422"/>
      <c r="E213" s="422"/>
      <c r="F213" s="422"/>
      <c r="G213" s="422"/>
      <c r="H213" s="42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 ht="15.75" customHeight="1">
      <c r="A214" s="12"/>
      <c r="B214" s="422"/>
      <c r="C214" s="422"/>
      <c r="D214" s="422"/>
      <c r="E214" s="422"/>
      <c r="F214" s="422"/>
      <c r="G214" s="422"/>
      <c r="H214" s="42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 ht="15.75" customHeight="1">
      <c r="A215" s="12"/>
      <c r="B215" s="422"/>
      <c r="C215" s="422"/>
      <c r="D215" s="422"/>
      <c r="E215" s="422"/>
      <c r="F215" s="422"/>
      <c r="G215" s="422"/>
      <c r="H215" s="42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 ht="15.75" customHeight="1">
      <c r="A216" s="12"/>
      <c r="B216" s="422"/>
      <c r="C216" s="422"/>
      <c r="D216" s="422"/>
      <c r="E216" s="422"/>
      <c r="F216" s="422"/>
      <c r="G216" s="422"/>
      <c r="H216" s="42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 ht="15.75" customHeight="1">
      <c r="A217" s="12"/>
      <c r="B217" s="422"/>
      <c r="C217" s="422"/>
      <c r="D217" s="422"/>
      <c r="E217" s="422"/>
      <c r="F217" s="422"/>
      <c r="G217" s="422"/>
      <c r="H217" s="42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 ht="15.75" customHeight="1">
      <c r="A218" s="12"/>
      <c r="B218" s="422"/>
      <c r="C218" s="422"/>
      <c r="D218" s="422"/>
      <c r="E218" s="422"/>
      <c r="F218" s="422"/>
      <c r="G218" s="422"/>
      <c r="H218" s="42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 ht="15.75" customHeight="1">
      <c r="A219" s="12"/>
      <c r="B219" s="422"/>
      <c r="C219" s="422"/>
      <c r="D219" s="422"/>
      <c r="E219" s="422"/>
      <c r="F219" s="422"/>
      <c r="G219" s="422"/>
      <c r="H219" s="42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 ht="15.75" customHeight="1">
      <c r="A220" s="12"/>
      <c r="B220" s="422"/>
      <c r="C220" s="422"/>
      <c r="D220" s="422"/>
      <c r="E220" s="422"/>
      <c r="F220" s="422"/>
      <c r="G220" s="422"/>
      <c r="H220" s="42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3.71"/>
    <col customWidth="1" min="3" max="3" width="13.0"/>
    <col customWidth="1" min="4" max="4" width="13.71"/>
    <col customWidth="1" min="5" max="5" width="28.71"/>
    <col customWidth="1" min="6" max="6" width="10.71"/>
  </cols>
  <sheetData>
    <row r="1">
      <c r="B1" s="102" t="s">
        <v>10580</v>
      </c>
      <c r="C1" s="102" t="s">
        <v>10581</v>
      </c>
      <c r="D1" s="102" t="s">
        <v>10582</v>
      </c>
      <c r="E1" s="102" t="s">
        <v>10583</v>
      </c>
    </row>
    <row r="2">
      <c r="A2" s="104" t="s">
        <v>4399</v>
      </c>
      <c r="B2" s="100">
        <v>900904.36</v>
      </c>
      <c r="C2" s="100">
        <v>144144.7</v>
      </c>
      <c r="D2" s="100">
        <f t="shared" ref="D2:D3" si="1">+C2+B2</f>
        <v>1045049.06</v>
      </c>
    </row>
    <row r="3">
      <c r="A3" s="102" t="s">
        <v>10584</v>
      </c>
      <c r="B3" s="100">
        <v>86206.9</v>
      </c>
      <c r="C3" s="100">
        <v>13793.104</v>
      </c>
      <c r="D3" s="427">
        <f t="shared" si="1"/>
        <v>100000.004</v>
      </c>
      <c r="E3" s="102" t="s">
        <v>10585</v>
      </c>
    </row>
    <row r="4">
      <c r="B4" s="428"/>
      <c r="C4" s="428"/>
      <c r="D4" s="100">
        <f>+D2-D3</f>
        <v>945049.056</v>
      </c>
    </row>
    <row r="5">
      <c r="B5" s="99">
        <v>44911.0</v>
      </c>
      <c r="C5" s="428" t="s">
        <v>10586</v>
      </c>
      <c r="D5" s="100">
        <v>1045049.06</v>
      </c>
    </row>
    <row r="6">
      <c r="B6" s="428"/>
      <c r="C6" s="429" t="s">
        <v>10587</v>
      </c>
      <c r="D6" s="430">
        <f>+D5-D4</f>
        <v>100000.004</v>
      </c>
    </row>
    <row r="7">
      <c r="B7" s="428"/>
      <c r="C7" s="428"/>
      <c r="D7" s="428"/>
    </row>
    <row r="8">
      <c r="B8" s="428"/>
      <c r="C8" s="428"/>
      <c r="D8" s="428"/>
    </row>
    <row r="9">
      <c r="A9" s="102" t="s">
        <v>4453</v>
      </c>
      <c r="B9" s="100">
        <v>1858615.11</v>
      </c>
      <c r="C9" s="100">
        <v>297378.42</v>
      </c>
      <c r="D9" s="100">
        <f t="shared" ref="D9:D10" si="2">+C9+B9</f>
        <v>2155993.53</v>
      </c>
    </row>
    <row r="10">
      <c r="A10" s="102" t="s">
        <v>10588</v>
      </c>
      <c r="B10" s="100">
        <v>4488.18</v>
      </c>
      <c r="C10" s="100">
        <v>718.1088000000001</v>
      </c>
      <c r="D10" s="427">
        <f t="shared" si="2"/>
        <v>5206.2888</v>
      </c>
      <c r="E10" s="102" t="s">
        <v>10589</v>
      </c>
    </row>
    <row r="11">
      <c r="D11" s="100">
        <f>+D9-D10</f>
        <v>2150787.241</v>
      </c>
    </row>
    <row r="12">
      <c r="B12" s="99">
        <v>44911.0</v>
      </c>
      <c r="C12" s="428" t="s">
        <v>10586</v>
      </c>
      <c r="D12" s="100">
        <v>2155993.53</v>
      </c>
    </row>
    <row r="13">
      <c r="C13" s="431" t="s">
        <v>10587</v>
      </c>
      <c r="D13" s="432">
        <f>+D12-D11</f>
        <v>5206.2888</v>
      </c>
    </row>
    <row r="15">
      <c r="A15" s="102" t="s">
        <v>3649</v>
      </c>
      <c r="B15" s="100">
        <v>160731.6034482759</v>
      </c>
      <c r="C15" s="100">
        <f>B15*0.16</f>
        <v>25717.05655</v>
      </c>
      <c r="D15" s="100">
        <f>+C15+B15</f>
        <v>186448.66</v>
      </c>
    </row>
    <row r="16">
      <c r="C16" s="433" t="s">
        <v>10590</v>
      </c>
      <c r="D16" s="434">
        <f>D6</f>
        <v>100000.004</v>
      </c>
    </row>
    <row r="17">
      <c r="C17" s="435" t="s">
        <v>10591</v>
      </c>
      <c r="D17" s="436">
        <f>D13</f>
        <v>5206.2888</v>
      </c>
    </row>
    <row r="18">
      <c r="D18" s="100">
        <f>+D15-D16-D17</f>
        <v>81242.3672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7.57"/>
    <col customWidth="1" min="2" max="2" width="21.29"/>
    <col customWidth="1" min="3" max="4" width="10.71"/>
    <col customWidth="1" min="5" max="5" width="51.0"/>
    <col customWidth="1" min="6" max="6" width="17.0"/>
  </cols>
  <sheetData>
    <row r="1">
      <c r="A1" s="102" t="s">
        <v>10592</v>
      </c>
      <c r="B1" s="104" t="s">
        <v>10593</v>
      </c>
    </row>
    <row r="2">
      <c r="A2" s="102" t="s">
        <v>7263</v>
      </c>
      <c r="B2" s="104" t="s">
        <v>10594</v>
      </c>
      <c r="E2" s="102" t="s">
        <v>61</v>
      </c>
      <c r="F2" s="104" t="s">
        <v>10595</v>
      </c>
    </row>
    <row r="4">
      <c r="A4" s="102" t="s">
        <v>10570</v>
      </c>
      <c r="B4" s="104" t="s">
        <v>10596</v>
      </c>
      <c r="E4" s="102" t="s">
        <v>10570</v>
      </c>
      <c r="F4" s="104" t="s">
        <v>10597</v>
      </c>
    </row>
    <row r="5">
      <c r="A5" s="437" t="s">
        <v>10579</v>
      </c>
      <c r="B5" s="438"/>
      <c r="E5" s="437" t="s">
        <v>16</v>
      </c>
      <c r="F5" s="100">
        <v>1020243.89</v>
      </c>
    </row>
    <row r="6">
      <c r="E6" s="437" t="s">
        <v>18</v>
      </c>
      <c r="F6" s="100">
        <v>190568.90000000002</v>
      </c>
    </row>
    <row r="7">
      <c r="E7" s="437" t="s">
        <v>27</v>
      </c>
      <c r="F7" s="100">
        <v>858222.42</v>
      </c>
    </row>
    <row r="8">
      <c r="E8" s="437" t="s">
        <v>29</v>
      </c>
      <c r="F8" s="100">
        <v>1244410.4500000002</v>
      </c>
    </row>
    <row r="9">
      <c r="E9" s="437" t="s">
        <v>30</v>
      </c>
      <c r="F9" s="100">
        <v>343322.41000000003</v>
      </c>
    </row>
    <row r="10">
      <c r="E10" s="437" t="s">
        <v>33</v>
      </c>
      <c r="F10" s="100">
        <v>1028422.61</v>
      </c>
    </row>
    <row r="11">
      <c r="E11" s="437" t="s">
        <v>35</v>
      </c>
      <c r="F11" s="100">
        <v>400584.56999999995</v>
      </c>
    </row>
    <row r="12">
      <c r="E12" s="437" t="s">
        <v>36</v>
      </c>
      <c r="F12" s="100">
        <v>107812.95999999999</v>
      </c>
    </row>
    <row r="13">
      <c r="E13" s="437" t="s">
        <v>37</v>
      </c>
      <c r="F13" s="100">
        <v>2687004.92</v>
      </c>
    </row>
    <row r="14">
      <c r="E14" s="437" t="s">
        <v>1127</v>
      </c>
      <c r="F14" s="100">
        <v>363035.31</v>
      </c>
    </row>
    <row r="15">
      <c r="E15" s="437" t="s">
        <v>43</v>
      </c>
      <c r="F15" s="100">
        <v>840960.5800000001</v>
      </c>
    </row>
    <row r="16">
      <c r="E16" s="437" t="s">
        <v>10579</v>
      </c>
      <c r="F16" s="100">
        <v>9084589.02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29"/>
    <col customWidth="1" min="2" max="2" width="26.57"/>
    <col customWidth="1" min="3" max="3" width="23.43"/>
    <col customWidth="1" min="4" max="4" width="19.29"/>
    <col customWidth="1" min="5" max="5" width="18.29"/>
    <col customWidth="1" min="6" max="6" width="13.43"/>
    <col customWidth="1" min="7" max="7" width="49.14"/>
    <col customWidth="1" min="8" max="8" width="13.71"/>
    <col customWidth="1" min="9" max="9" width="14.43"/>
    <col customWidth="1" min="10" max="10" width="12.57"/>
    <col customWidth="1" min="11" max="11" width="14.71"/>
    <col customWidth="1" min="12" max="12" width="14.14"/>
    <col customWidth="1" min="13" max="26" width="10.71"/>
  </cols>
  <sheetData>
    <row r="1" ht="7.5" customHeight="1">
      <c r="A1" s="439"/>
      <c r="B1" s="439"/>
      <c r="C1" s="439"/>
      <c r="D1" s="439"/>
      <c r="E1" s="439"/>
      <c r="F1" s="439"/>
      <c r="G1" s="439"/>
      <c r="H1" s="439"/>
      <c r="I1" s="440"/>
      <c r="J1" s="441"/>
      <c r="K1" s="439"/>
      <c r="L1" s="439"/>
      <c r="M1" s="439"/>
      <c r="N1" s="439"/>
      <c r="O1" s="439"/>
      <c r="P1" s="439"/>
      <c r="Q1" s="439"/>
      <c r="R1" s="439"/>
      <c r="S1" s="439"/>
      <c r="T1" s="439"/>
      <c r="U1" s="439"/>
      <c r="V1" s="439"/>
      <c r="W1" s="439"/>
      <c r="X1" s="439"/>
      <c r="Y1" s="439"/>
      <c r="Z1" s="439"/>
    </row>
    <row r="2">
      <c r="A2" s="439"/>
      <c r="B2" s="442">
        <f>SUM('CXC mxn'!C21:H21)</f>
        <v>16662480.35</v>
      </c>
      <c r="C2" s="443" t="s">
        <v>10598</v>
      </c>
      <c r="D2" s="444"/>
      <c r="E2" s="445"/>
      <c r="F2" s="439"/>
      <c r="G2" s="439"/>
      <c r="H2" s="439"/>
      <c r="I2" s="446" t="s">
        <v>10599</v>
      </c>
      <c r="J2" s="447"/>
      <c r="K2" s="439"/>
      <c r="L2" s="439"/>
    </row>
    <row r="3">
      <c r="A3" s="439"/>
      <c r="B3" s="442">
        <f>SUM('CXC usd'!C16:H16)</f>
        <v>579756.672</v>
      </c>
      <c r="C3" s="443" t="s">
        <v>10600</v>
      </c>
      <c r="D3" s="444"/>
      <c r="E3" s="445"/>
      <c r="F3" s="439"/>
      <c r="G3" s="439"/>
      <c r="H3" s="448"/>
      <c r="I3" s="449">
        <v>536248.95</v>
      </c>
      <c r="J3" s="449">
        <v>7975.78</v>
      </c>
      <c r="K3" s="439"/>
      <c r="L3" s="439"/>
    </row>
    <row r="4">
      <c r="A4" s="439"/>
      <c r="B4" s="450">
        <v>19.5478</v>
      </c>
      <c r="C4" s="443" t="s">
        <v>10601</v>
      </c>
      <c r="D4" s="445"/>
      <c r="E4" s="451">
        <v>45775.0</v>
      </c>
      <c r="F4" s="439"/>
      <c r="G4" s="439"/>
      <c r="H4" s="452"/>
      <c r="I4" s="449">
        <v>891935.58</v>
      </c>
      <c r="J4" s="449"/>
      <c r="K4" s="439"/>
      <c r="L4" s="439"/>
    </row>
    <row r="5">
      <c r="A5" s="439"/>
      <c r="B5" s="442">
        <f>(B3*B4)+B2</f>
        <v>27995447.82</v>
      </c>
      <c r="C5" s="443" t="s">
        <v>10602</v>
      </c>
      <c r="D5" s="444"/>
      <c r="E5" s="445"/>
      <c r="F5" s="439"/>
      <c r="G5" s="439"/>
      <c r="H5" s="448"/>
      <c r="I5" s="449">
        <v>18049.6</v>
      </c>
      <c r="J5" s="449"/>
      <c r="K5" s="439"/>
      <c r="L5" s="439"/>
    </row>
    <row r="6">
      <c r="A6" s="439"/>
      <c r="B6" s="439"/>
      <c r="C6" s="439"/>
      <c r="D6" s="439"/>
      <c r="E6" s="439"/>
      <c r="F6" s="439"/>
      <c r="G6" s="439"/>
      <c r="H6" s="453"/>
      <c r="I6" s="449">
        <v>2227702.55</v>
      </c>
      <c r="J6" s="449"/>
      <c r="K6" s="439"/>
      <c r="L6" s="439"/>
    </row>
    <row r="7">
      <c r="A7" s="439"/>
      <c r="B7" s="440"/>
      <c r="C7" s="454" t="s">
        <v>311</v>
      </c>
      <c r="D7" s="454" t="s">
        <v>547</v>
      </c>
      <c r="E7" s="454" t="s">
        <v>10603</v>
      </c>
      <c r="F7" s="439"/>
      <c r="G7" s="439"/>
      <c r="H7" s="439"/>
      <c r="I7" s="449"/>
      <c r="J7" s="449"/>
      <c r="K7" s="439"/>
      <c r="L7" s="439"/>
    </row>
    <row r="8">
      <c r="A8" s="439"/>
      <c r="B8" s="455" t="s">
        <v>10604</v>
      </c>
      <c r="C8" s="456">
        <f>SUM('CXC mxn'!C19:H19)</f>
        <v>4196223.173</v>
      </c>
      <c r="D8" s="456">
        <f>SUM('CXC usd'!C14:H14)</f>
        <v>382229.8762</v>
      </c>
      <c r="E8" s="456">
        <f>C8+(D8*$B$4)</f>
        <v>11667976.35</v>
      </c>
      <c r="F8" s="439"/>
      <c r="G8" s="439"/>
      <c r="H8" s="448"/>
      <c r="I8" s="449"/>
      <c r="J8" s="449"/>
      <c r="K8" s="439"/>
      <c r="L8" s="439"/>
    </row>
    <row r="9">
      <c r="A9" s="439"/>
      <c r="B9" s="439"/>
      <c r="C9" s="439"/>
      <c r="D9" s="439"/>
      <c r="E9" s="457">
        <f>E8/B5</f>
        <v>0.4167812004</v>
      </c>
      <c r="F9" s="458"/>
      <c r="G9" s="439"/>
      <c r="H9" s="452"/>
      <c r="I9" s="449"/>
      <c r="J9" s="449"/>
      <c r="K9" s="439"/>
      <c r="L9" s="439"/>
    </row>
    <row r="10">
      <c r="A10" s="439"/>
      <c r="B10" s="439"/>
      <c r="C10" s="454" t="s">
        <v>311</v>
      </c>
      <c r="D10" s="454" t="s">
        <v>547</v>
      </c>
      <c r="E10" s="454" t="s">
        <v>10603</v>
      </c>
      <c r="F10" s="459"/>
      <c r="G10" s="439"/>
      <c r="H10" s="439"/>
      <c r="I10" s="449"/>
      <c r="J10" s="449"/>
      <c r="K10" s="439"/>
      <c r="L10" s="439"/>
    </row>
    <row r="11">
      <c r="A11" s="439"/>
      <c r="B11" s="455" t="s">
        <v>10605</v>
      </c>
      <c r="C11" s="456">
        <f t="shared" ref="C11:D11" si="1">I37</f>
        <v>3673936.68</v>
      </c>
      <c r="D11" s="456">
        <f t="shared" si="1"/>
        <v>7975.78</v>
      </c>
      <c r="E11" s="456">
        <f>(D11*B4)+C11</f>
        <v>3829845.632</v>
      </c>
      <c r="F11" s="460"/>
      <c r="G11" s="458"/>
      <c r="H11" s="439"/>
      <c r="I11" s="449"/>
      <c r="J11" s="449"/>
      <c r="K11" s="439"/>
      <c r="L11" s="439"/>
    </row>
    <row r="12">
      <c r="A12" s="439"/>
      <c r="B12" s="439"/>
      <c r="C12" s="440"/>
      <c r="D12" s="440"/>
      <c r="E12" s="440"/>
      <c r="F12" s="460"/>
      <c r="G12" s="459"/>
      <c r="H12" s="439"/>
      <c r="I12" s="449"/>
      <c r="J12" s="449"/>
      <c r="K12" s="439"/>
      <c r="L12" s="439"/>
    </row>
    <row r="13">
      <c r="A13" s="439"/>
      <c r="B13" s="461" t="s">
        <v>10606</v>
      </c>
      <c r="C13" s="461" t="s">
        <v>10607</v>
      </c>
      <c r="D13" s="462" t="s">
        <v>10608</v>
      </c>
      <c r="E13" s="439"/>
      <c r="F13" s="463"/>
      <c r="G13" s="460"/>
      <c r="H13" s="439"/>
      <c r="I13" s="449"/>
      <c r="J13" s="449"/>
      <c r="K13" s="439"/>
      <c r="L13" s="439"/>
    </row>
    <row r="14">
      <c r="A14" s="439"/>
      <c r="B14" s="456">
        <f>'pagos semanal'!D3</f>
        <v>38947099.65</v>
      </c>
      <c r="C14" s="456">
        <f>'pagos semanal'!E3</f>
        <v>43232347.16</v>
      </c>
      <c r="D14" s="464">
        <f>C14/B14</f>
        <v>1.110027385</v>
      </c>
      <c r="E14" s="439"/>
      <c r="F14" s="463"/>
      <c r="G14" s="463"/>
      <c r="H14" s="439"/>
      <c r="I14" s="449"/>
      <c r="J14" s="449"/>
      <c r="K14" s="439"/>
      <c r="L14" s="439"/>
    </row>
    <row r="15">
      <c r="A15" s="439"/>
      <c r="B15" s="440"/>
      <c r="C15" s="440"/>
      <c r="D15" s="465"/>
      <c r="E15" s="439"/>
      <c r="F15" s="463"/>
      <c r="G15" s="463"/>
      <c r="H15" s="466"/>
      <c r="I15" s="449"/>
      <c r="J15" s="449"/>
      <c r="K15" s="439"/>
      <c r="L15" s="439"/>
    </row>
    <row r="16">
      <c r="A16" s="439"/>
      <c r="B16" s="467" t="s">
        <v>10609</v>
      </c>
      <c r="C16" s="467" t="s">
        <v>10610</v>
      </c>
      <c r="D16" s="468" t="s">
        <v>10611</v>
      </c>
      <c r="E16" s="445"/>
      <c r="F16" s="467" t="s">
        <v>7266</v>
      </c>
      <c r="G16" s="469"/>
      <c r="H16" s="439"/>
      <c r="I16" s="449"/>
      <c r="J16" s="449"/>
      <c r="K16" s="439"/>
      <c r="L16" s="439"/>
    </row>
    <row r="17" ht="14.25" customHeight="1">
      <c r="A17" s="439"/>
      <c r="B17" s="470"/>
      <c r="C17" s="471"/>
      <c r="D17" s="472"/>
      <c r="E17" s="445"/>
      <c r="F17" s="473"/>
      <c r="G17" s="474"/>
      <c r="H17" s="439"/>
      <c r="I17" s="449"/>
      <c r="J17" s="449"/>
      <c r="K17" s="439"/>
      <c r="L17" s="439"/>
    </row>
    <row r="18">
      <c r="A18" s="439"/>
      <c r="B18" s="475" t="s">
        <v>10612</v>
      </c>
      <c r="C18" s="467" t="s">
        <v>10610</v>
      </c>
      <c r="D18" s="468" t="s">
        <v>10611</v>
      </c>
      <c r="E18" s="445"/>
      <c r="F18" s="467" t="s">
        <v>7266</v>
      </c>
      <c r="G18" s="469"/>
      <c r="H18" s="439"/>
      <c r="I18" s="449"/>
      <c r="J18" s="449"/>
      <c r="K18" s="439"/>
      <c r="L18" s="439"/>
    </row>
    <row r="19">
      <c r="A19" s="439"/>
      <c r="B19" s="470"/>
      <c r="C19" s="471"/>
      <c r="D19" s="476"/>
      <c r="E19" s="445"/>
      <c r="F19" s="473"/>
      <c r="G19" s="477"/>
      <c r="H19" s="439"/>
      <c r="I19" s="449"/>
      <c r="J19" s="449"/>
      <c r="K19" s="439"/>
      <c r="L19" s="439"/>
    </row>
    <row r="20" ht="14.25" customHeight="1">
      <c r="A20" s="439"/>
      <c r="B20" s="478" t="s">
        <v>10613</v>
      </c>
      <c r="C20" s="467" t="s">
        <v>10610</v>
      </c>
      <c r="D20" s="468" t="s">
        <v>10611</v>
      </c>
      <c r="E20" s="445"/>
      <c r="F20" s="467" t="s">
        <v>7266</v>
      </c>
      <c r="G20" s="469"/>
      <c r="H20" s="439"/>
      <c r="I20" s="449"/>
      <c r="J20" s="449"/>
      <c r="K20" s="439"/>
      <c r="L20" s="439"/>
    </row>
    <row r="21" ht="14.25" customHeight="1">
      <c r="A21" s="439"/>
      <c r="B21" s="470"/>
      <c r="C21" s="471"/>
      <c r="D21" s="472"/>
      <c r="E21" s="445"/>
      <c r="F21" s="473"/>
      <c r="G21" s="469"/>
      <c r="H21" s="439"/>
      <c r="I21" s="449"/>
      <c r="J21" s="449"/>
      <c r="K21" s="439"/>
      <c r="L21" s="439"/>
    </row>
    <row r="22" ht="14.25" customHeight="1">
      <c r="A22" s="439"/>
      <c r="B22" s="439"/>
      <c r="C22" s="479"/>
      <c r="D22" s="439"/>
      <c r="E22" s="439"/>
      <c r="F22" s="439"/>
      <c r="G22" s="480"/>
      <c r="H22" s="439"/>
      <c r="I22" s="449"/>
      <c r="J22" s="449"/>
      <c r="K22" s="439"/>
      <c r="L22" s="439"/>
    </row>
    <row r="23" ht="14.25" customHeight="1">
      <c r="A23" s="439"/>
      <c r="B23" s="468" t="s">
        <v>10614</v>
      </c>
      <c r="C23" s="444"/>
      <c r="D23" s="444"/>
      <c r="E23" s="444"/>
      <c r="F23" s="444"/>
      <c r="G23" s="445"/>
      <c r="H23" s="439"/>
      <c r="I23" s="449"/>
      <c r="J23" s="449"/>
      <c r="K23" s="439"/>
      <c r="L23" s="439"/>
      <c r="M23" s="439"/>
    </row>
    <row r="24" ht="14.25" customHeight="1">
      <c r="A24" s="439"/>
      <c r="B24" s="467" t="s">
        <v>697</v>
      </c>
      <c r="C24" s="467" t="s">
        <v>10615</v>
      </c>
      <c r="D24" s="467" t="s">
        <v>10616</v>
      </c>
      <c r="E24" s="467" t="s">
        <v>10617</v>
      </c>
      <c r="F24" s="481" t="s">
        <v>10618</v>
      </c>
      <c r="G24" s="467" t="s">
        <v>10619</v>
      </c>
      <c r="H24" s="439"/>
      <c r="I24" s="449"/>
      <c r="J24" s="449"/>
      <c r="K24" s="439"/>
      <c r="L24" s="439"/>
      <c r="M24" s="439"/>
    </row>
    <row r="25" ht="14.25" customHeight="1">
      <c r="B25" s="482">
        <v>424.0</v>
      </c>
      <c r="C25" s="482" t="s">
        <v>361</v>
      </c>
      <c r="D25" s="40">
        <v>4104.08</v>
      </c>
      <c r="E25" s="483"/>
      <c r="F25" s="484"/>
      <c r="G25" s="482" t="s">
        <v>542</v>
      </c>
      <c r="H25" s="439"/>
      <c r="I25" s="449"/>
      <c r="J25" s="449"/>
      <c r="K25" s="439"/>
      <c r="L25" s="439"/>
      <c r="M25" s="439"/>
    </row>
    <row r="26" ht="14.25" customHeight="1">
      <c r="B26" s="117"/>
      <c r="C26" s="117"/>
      <c r="D26" s="485"/>
      <c r="E26" s="486"/>
      <c r="F26" s="117"/>
      <c r="G26" s="117"/>
      <c r="H26" s="439"/>
      <c r="I26" s="449"/>
      <c r="J26" s="449"/>
      <c r="K26" s="439"/>
      <c r="L26" s="439"/>
      <c r="M26" s="439"/>
    </row>
    <row r="27" ht="7.5" customHeight="1">
      <c r="A27" s="439"/>
      <c r="B27" s="487"/>
      <c r="C27" s="488"/>
      <c r="D27" s="489"/>
      <c r="E27" s="488"/>
      <c r="F27" s="490"/>
      <c r="G27" s="469"/>
      <c r="H27" s="439"/>
      <c r="I27" s="449"/>
      <c r="J27" s="449"/>
      <c r="K27" s="439"/>
      <c r="L27" s="439"/>
      <c r="M27" s="439"/>
    </row>
    <row r="28" ht="15.75" customHeight="1">
      <c r="A28" s="439"/>
      <c r="B28" s="491" t="s">
        <v>10620</v>
      </c>
      <c r="C28" s="439"/>
      <c r="D28" s="439"/>
      <c r="E28" s="439"/>
      <c r="F28" s="439"/>
      <c r="G28" s="439"/>
      <c r="H28" s="439"/>
      <c r="I28" s="449"/>
      <c r="J28" s="449"/>
      <c r="K28" s="439"/>
      <c r="L28" s="439"/>
      <c r="M28" s="439"/>
      <c r="N28" s="439"/>
      <c r="O28" s="439"/>
      <c r="P28" s="439"/>
      <c r="Q28" s="439"/>
      <c r="R28" s="439"/>
      <c r="S28" s="439"/>
      <c r="T28" s="439"/>
      <c r="U28" s="439"/>
      <c r="V28" s="439"/>
      <c r="W28" s="439"/>
      <c r="X28" s="439"/>
      <c r="Y28" s="439"/>
      <c r="Z28" s="439"/>
    </row>
    <row r="29" ht="15.0" customHeight="1">
      <c r="A29" s="439"/>
      <c r="G29" s="439"/>
      <c r="H29" s="439"/>
      <c r="I29" s="449"/>
      <c r="J29" s="449"/>
      <c r="K29" s="439"/>
      <c r="L29" s="439"/>
      <c r="M29" s="439"/>
    </row>
    <row r="30" ht="15.75" customHeight="1">
      <c r="A30" s="439"/>
      <c r="G30" s="439"/>
      <c r="H30" s="439"/>
      <c r="I30" s="449"/>
      <c r="J30" s="449"/>
      <c r="K30" s="439"/>
      <c r="L30" s="439"/>
      <c r="M30" s="439"/>
    </row>
    <row r="31" ht="15.75" customHeight="1">
      <c r="A31" s="439"/>
      <c r="G31" s="439"/>
      <c r="H31" s="439"/>
      <c r="I31" s="449"/>
      <c r="J31" s="449"/>
      <c r="K31" s="439"/>
      <c r="L31" s="439"/>
      <c r="M31" s="439"/>
    </row>
    <row r="32" ht="15.75" customHeight="1">
      <c r="A32" s="439"/>
      <c r="G32" s="439"/>
      <c r="H32" s="439"/>
      <c r="I32" s="449"/>
      <c r="J32" s="449"/>
      <c r="K32" s="439"/>
      <c r="L32" s="439"/>
    </row>
    <row r="33" ht="15.75" customHeight="1">
      <c r="A33" s="439"/>
      <c r="G33" s="439"/>
      <c r="H33" s="439"/>
      <c r="I33" s="449"/>
      <c r="J33" s="449"/>
      <c r="K33" s="439"/>
      <c r="L33" s="439"/>
    </row>
    <row r="34" ht="15.75" customHeight="1">
      <c r="A34" s="439"/>
      <c r="G34" s="439"/>
      <c r="H34" s="439"/>
      <c r="I34" s="449"/>
      <c r="J34" s="449"/>
      <c r="K34" s="439"/>
      <c r="L34" s="439"/>
    </row>
    <row r="35" ht="15.75" customHeight="1">
      <c r="A35" s="439"/>
      <c r="G35" s="439"/>
      <c r="H35" s="439"/>
      <c r="I35" s="449"/>
      <c r="J35" s="449"/>
      <c r="K35" s="439"/>
      <c r="L35" s="439"/>
    </row>
    <row r="36" ht="15.75" customHeight="1">
      <c r="A36" s="439"/>
      <c r="G36" s="439"/>
      <c r="H36" s="439"/>
      <c r="I36" s="449"/>
      <c r="J36" s="449"/>
      <c r="K36" s="439"/>
      <c r="L36" s="439"/>
    </row>
    <row r="37" ht="15.75" customHeight="1">
      <c r="A37" s="439"/>
      <c r="G37" s="439"/>
      <c r="H37" s="439"/>
      <c r="I37" s="449">
        <f t="shared" ref="I37:J37" si="2">SUM(I3:I35)</f>
        <v>3673936.68</v>
      </c>
      <c r="J37" s="449">
        <f t="shared" si="2"/>
        <v>7975.78</v>
      </c>
      <c r="K37" s="439"/>
      <c r="L37" s="439"/>
    </row>
    <row r="38" ht="15.75" customHeight="1">
      <c r="A38" s="439"/>
      <c r="G38" s="439"/>
      <c r="H38" s="439"/>
      <c r="I38" s="449"/>
      <c r="J38" s="449"/>
      <c r="K38" s="439"/>
      <c r="L38" s="439"/>
    </row>
    <row r="39" ht="15.75" customHeight="1">
      <c r="A39" s="439"/>
      <c r="G39" s="439"/>
      <c r="H39" s="439"/>
      <c r="I39" s="449"/>
      <c r="J39" s="449"/>
      <c r="K39" s="439"/>
      <c r="L39" s="439"/>
      <c r="M39" s="439"/>
      <c r="N39" s="439"/>
    </row>
    <row r="40" ht="15.75" customHeight="1">
      <c r="A40" s="439"/>
      <c r="G40" s="439"/>
      <c r="H40" s="439"/>
      <c r="I40" s="449"/>
      <c r="J40" s="449"/>
      <c r="K40" s="439"/>
      <c r="L40" s="439"/>
      <c r="M40" s="439"/>
      <c r="N40" s="439"/>
    </row>
    <row r="41" ht="15.75" customHeight="1">
      <c r="A41" s="439"/>
      <c r="G41" s="439"/>
      <c r="H41" s="439"/>
      <c r="I41" s="449"/>
      <c r="J41" s="449"/>
      <c r="K41" s="439"/>
      <c r="L41" s="439"/>
      <c r="M41" s="439"/>
      <c r="N41" s="439"/>
    </row>
    <row r="42" ht="15.75" customHeight="1">
      <c r="A42" s="439"/>
      <c r="G42" s="439"/>
      <c r="H42" s="439"/>
      <c r="I42" s="449"/>
      <c r="J42" s="449"/>
      <c r="K42" s="439"/>
      <c r="L42" s="439"/>
      <c r="M42" s="439"/>
      <c r="N42" s="439"/>
    </row>
    <row r="43" ht="15.75" customHeight="1">
      <c r="A43" s="439"/>
      <c r="G43" s="439"/>
      <c r="H43" s="439"/>
      <c r="I43" s="449"/>
      <c r="J43" s="449"/>
      <c r="K43" s="439"/>
      <c r="L43" s="439"/>
      <c r="M43" s="439"/>
      <c r="N43" s="439"/>
    </row>
    <row r="44" ht="15.75" customHeight="1">
      <c r="A44" s="439"/>
      <c r="G44" s="439"/>
      <c r="H44" s="439"/>
      <c r="I44" s="449"/>
      <c r="J44" s="449"/>
      <c r="K44" s="439"/>
      <c r="L44" s="439"/>
      <c r="M44" s="439"/>
      <c r="N44" s="439"/>
    </row>
    <row r="45" ht="15.75" customHeight="1">
      <c r="A45" s="439"/>
      <c r="G45" s="439"/>
      <c r="H45" s="439"/>
      <c r="I45" s="440"/>
      <c r="J45" s="441"/>
      <c r="K45" s="439"/>
      <c r="L45" s="439"/>
      <c r="M45" s="439"/>
      <c r="N45" s="439"/>
    </row>
    <row r="46" ht="15.75" customHeight="1">
      <c r="A46" s="439"/>
      <c r="G46" s="439"/>
      <c r="H46" s="439"/>
      <c r="I46" s="440"/>
      <c r="J46" s="441"/>
      <c r="K46" s="439"/>
      <c r="L46" s="439"/>
      <c r="M46" s="439"/>
      <c r="N46" s="439"/>
    </row>
    <row r="47" ht="15.75" customHeight="1">
      <c r="A47" s="439"/>
      <c r="G47" s="439"/>
      <c r="H47" s="439"/>
      <c r="I47" s="440"/>
      <c r="J47" s="441"/>
      <c r="K47" s="439"/>
      <c r="L47" s="439"/>
      <c r="M47" s="439"/>
      <c r="N47" s="439"/>
    </row>
    <row r="48" ht="15.75" customHeight="1">
      <c r="A48" s="439"/>
      <c r="G48" s="439"/>
      <c r="H48" s="439"/>
      <c r="I48" s="440"/>
      <c r="J48" s="441"/>
      <c r="K48" s="439"/>
      <c r="L48" s="439"/>
      <c r="M48" s="439"/>
      <c r="N48" s="439"/>
    </row>
    <row r="49" ht="15.75" customHeight="1">
      <c r="A49" s="439"/>
      <c r="G49" s="439"/>
      <c r="H49" s="439"/>
      <c r="I49" s="440"/>
      <c r="J49" s="441"/>
      <c r="K49" s="439"/>
      <c r="L49" s="439"/>
      <c r="M49" s="439"/>
      <c r="N49" s="439"/>
    </row>
    <row r="50" ht="15.75" customHeight="1">
      <c r="A50" s="439"/>
      <c r="G50" s="439"/>
      <c r="H50" s="439"/>
      <c r="I50" s="440"/>
      <c r="J50" s="441"/>
      <c r="K50" s="439"/>
      <c r="L50" s="439"/>
      <c r="M50" s="439"/>
      <c r="N50" s="439"/>
    </row>
    <row r="51" ht="15.75" customHeight="1">
      <c r="A51" s="439"/>
      <c r="G51" s="439"/>
      <c r="H51" s="439"/>
      <c r="I51" s="440"/>
      <c r="J51" s="441"/>
      <c r="K51" s="439"/>
      <c r="L51" s="439"/>
      <c r="M51" s="439"/>
      <c r="N51" s="439"/>
    </row>
    <row r="52" ht="15.75" customHeight="1">
      <c r="A52" s="439"/>
      <c r="G52" s="439"/>
      <c r="H52" s="439"/>
      <c r="I52" s="440"/>
      <c r="J52" s="441"/>
      <c r="K52" s="439"/>
      <c r="L52" s="439"/>
      <c r="M52" s="439"/>
      <c r="N52" s="439"/>
    </row>
    <row r="53" ht="15.75" customHeight="1">
      <c r="A53" s="439"/>
      <c r="G53" s="439"/>
      <c r="H53" s="439"/>
      <c r="I53" s="440"/>
      <c r="J53" s="441"/>
      <c r="K53" s="439"/>
      <c r="L53" s="439"/>
      <c r="M53" s="439"/>
      <c r="N53" s="439"/>
    </row>
    <row r="54" ht="15.75" customHeight="1">
      <c r="A54" s="439"/>
      <c r="G54" s="439"/>
      <c r="H54" s="439"/>
      <c r="I54" s="440"/>
      <c r="J54" s="441"/>
      <c r="K54" s="439"/>
      <c r="L54" s="439"/>
      <c r="M54" s="439"/>
      <c r="N54" s="439"/>
    </row>
    <row r="55" ht="15.75" customHeight="1">
      <c r="A55" s="439"/>
      <c r="G55" s="439"/>
      <c r="H55" s="439"/>
      <c r="I55" s="440"/>
      <c r="J55" s="441"/>
      <c r="K55" s="439"/>
      <c r="L55" s="439"/>
      <c r="M55" s="439"/>
      <c r="N55" s="439"/>
    </row>
    <row r="56" ht="15.75" customHeight="1">
      <c r="A56" s="439"/>
      <c r="G56" s="439"/>
      <c r="H56" s="439"/>
      <c r="I56" s="440"/>
      <c r="J56" s="441"/>
      <c r="K56" s="439"/>
      <c r="L56" s="439"/>
      <c r="M56" s="439"/>
      <c r="N56" s="439"/>
    </row>
    <row r="57" ht="15.75" customHeight="1">
      <c r="A57" s="439"/>
      <c r="G57" s="439"/>
      <c r="H57" s="439"/>
      <c r="I57" s="440"/>
      <c r="J57" s="441"/>
      <c r="K57" s="439"/>
      <c r="L57" s="439"/>
      <c r="M57" s="439"/>
      <c r="N57" s="439"/>
    </row>
    <row r="58" ht="15.75" customHeight="1">
      <c r="A58" s="439"/>
      <c r="G58" s="439"/>
      <c r="I58" s="100"/>
      <c r="J58" s="129"/>
      <c r="K58" s="439"/>
      <c r="L58" s="439"/>
    </row>
    <row r="59" ht="15.75" customHeight="1">
      <c r="A59" s="439"/>
      <c r="G59" s="439"/>
      <c r="I59" s="100"/>
      <c r="J59" s="129"/>
      <c r="K59" s="439"/>
      <c r="L59" s="439"/>
    </row>
    <row r="60" ht="15.75" customHeight="1">
      <c r="A60" s="439"/>
      <c r="G60" s="439"/>
      <c r="I60" s="100"/>
      <c r="J60" s="129"/>
      <c r="K60" s="439"/>
      <c r="L60" s="439"/>
    </row>
    <row r="61" ht="15.75" customHeight="1">
      <c r="A61" s="439"/>
      <c r="G61" s="439"/>
      <c r="I61" s="100"/>
      <c r="J61" s="129"/>
      <c r="K61" s="439"/>
      <c r="L61" s="439"/>
    </row>
    <row r="62" ht="15.75" customHeight="1">
      <c r="A62" s="439"/>
      <c r="G62" s="439"/>
      <c r="I62" s="100"/>
      <c r="J62" s="129"/>
      <c r="K62" s="439"/>
      <c r="L62" s="439"/>
    </row>
    <row r="63" ht="15.75" customHeight="1">
      <c r="A63" s="439"/>
      <c r="G63" s="439"/>
      <c r="I63" s="100"/>
      <c r="J63" s="129"/>
      <c r="K63" s="439"/>
      <c r="L63" s="439"/>
    </row>
    <row r="64" ht="15.75" customHeight="1">
      <c r="A64" s="439"/>
      <c r="G64" s="439"/>
      <c r="I64" s="100"/>
      <c r="J64" s="129"/>
      <c r="K64" s="439"/>
      <c r="L64" s="439"/>
    </row>
    <row r="65" ht="15.75" customHeight="1">
      <c r="A65" s="439"/>
      <c r="G65" s="439"/>
      <c r="I65" s="100"/>
      <c r="J65" s="129"/>
      <c r="K65" s="439"/>
      <c r="L65" s="439"/>
    </row>
    <row r="66" ht="15.75" customHeight="1">
      <c r="A66" s="439"/>
      <c r="G66" s="439"/>
      <c r="I66" s="100"/>
      <c r="J66" s="129"/>
      <c r="K66" s="439"/>
      <c r="L66" s="439"/>
    </row>
    <row r="67" ht="15.75" customHeight="1">
      <c r="A67" s="439"/>
      <c r="G67" s="439"/>
      <c r="I67" s="100"/>
      <c r="J67" s="129"/>
      <c r="K67" s="439"/>
      <c r="L67" s="439"/>
    </row>
    <row r="68" ht="15.75" customHeight="1">
      <c r="A68" s="439"/>
      <c r="G68" s="439"/>
      <c r="I68" s="100"/>
      <c r="J68" s="129"/>
      <c r="K68" s="439"/>
      <c r="L68" s="439"/>
    </row>
    <row r="69" ht="15.75" customHeight="1">
      <c r="A69" s="439"/>
      <c r="G69" s="439"/>
      <c r="I69" s="100"/>
      <c r="J69" s="129"/>
      <c r="K69" s="439"/>
      <c r="L69" s="439"/>
    </row>
    <row r="70" ht="15.75" customHeight="1">
      <c r="A70" s="439"/>
      <c r="G70" s="439"/>
      <c r="I70" s="100"/>
      <c r="J70" s="129"/>
      <c r="K70" s="439"/>
      <c r="L70" s="439"/>
    </row>
    <row r="71" ht="15.75" customHeight="1">
      <c r="A71" s="439"/>
      <c r="G71" s="439"/>
      <c r="I71" s="100"/>
      <c r="J71" s="129"/>
      <c r="K71" s="439"/>
      <c r="L71" s="439"/>
    </row>
    <row r="72" ht="15.75" customHeight="1">
      <c r="A72" s="439"/>
      <c r="G72" s="439"/>
      <c r="I72" s="100"/>
      <c r="J72" s="129"/>
      <c r="K72" s="439"/>
      <c r="L72" s="439"/>
    </row>
    <row r="73" ht="15.75" customHeight="1">
      <c r="A73" s="439"/>
      <c r="G73" s="439"/>
      <c r="I73" s="100"/>
      <c r="J73" s="129"/>
      <c r="K73" s="439"/>
      <c r="L73" s="439"/>
    </row>
    <row r="74" ht="15.75" customHeight="1">
      <c r="A74" s="439"/>
      <c r="G74" s="439"/>
      <c r="I74" s="100"/>
      <c r="J74" s="129"/>
      <c r="K74" s="439"/>
      <c r="L74" s="439"/>
    </row>
    <row r="75" ht="15.75" customHeight="1">
      <c r="A75" s="439"/>
      <c r="G75" s="439"/>
      <c r="I75" s="100"/>
      <c r="J75" s="129"/>
      <c r="K75" s="439"/>
      <c r="L75" s="439"/>
    </row>
    <row r="76" ht="15.75" customHeight="1">
      <c r="A76" s="439"/>
      <c r="G76" s="439"/>
      <c r="I76" s="100"/>
      <c r="J76" s="129"/>
      <c r="K76" s="439"/>
      <c r="L76" s="439"/>
    </row>
    <row r="77" ht="15.75" customHeight="1">
      <c r="A77" s="439"/>
      <c r="G77" s="439"/>
      <c r="I77" s="100"/>
      <c r="J77" s="129"/>
      <c r="K77" s="439"/>
      <c r="L77" s="439"/>
    </row>
    <row r="78" ht="15.75" customHeight="1">
      <c r="A78" s="439"/>
      <c r="G78" s="439"/>
      <c r="I78" s="100"/>
      <c r="J78" s="129"/>
      <c r="K78" s="439"/>
      <c r="L78" s="439"/>
    </row>
    <row r="79" ht="15.75" customHeight="1">
      <c r="A79" s="439"/>
      <c r="G79" s="439"/>
      <c r="I79" s="100"/>
      <c r="J79" s="129"/>
      <c r="K79" s="439"/>
      <c r="L79" s="439"/>
    </row>
    <row r="80" ht="15.75" customHeight="1">
      <c r="A80" s="439"/>
      <c r="G80" s="439"/>
      <c r="I80" s="100"/>
      <c r="J80" s="129"/>
      <c r="K80" s="439"/>
      <c r="L80" s="439"/>
    </row>
    <row r="81" ht="15.75" customHeight="1">
      <c r="A81" s="439"/>
      <c r="G81" s="439"/>
      <c r="I81" s="100"/>
      <c r="J81" s="129"/>
      <c r="K81" s="439"/>
      <c r="L81" s="439"/>
    </row>
    <row r="82" ht="15.75" customHeight="1">
      <c r="A82" s="439"/>
      <c r="G82" s="439"/>
      <c r="I82" s="100"/>
      <c r="J82" s="129"/>
      <c r="K82" s="439"/>
      <c r="L82" s="439"/>
    </row>
    <row r="83" ht="15.75" customHeight="1">
      <c r="A83" s="439"/>
      <c r="G83" s="439"/>
      <c r="I83" s="100"/>
      <c r="J83" s="129"/>
      <c r="K83" s="439"/>
      <c r="L83" s="439"/>
    </row>
    <row r="84" ht="15.75" customHeight="1">
      <c r="A84" s="439"/>
      <c r="G84" s="439"/>
      <c r="I84" s="100"/>
      <c r="J84" s="129"/>
      <c r="K84" s="439"/>
      <c r="L84" s="439"/>
    </row>
    <row r="85" ht="15.75" customHeight="1">
      <c r="A85" s="439"/>
      <c r="G85" s="439"/>
      <c r="I85" s="100"/>
      <c r="J85" s="129"/>
      <c r="K85" s="439"/>
      <c r="L85" s="439"/>
    </row>
    <row r="86" ht="15.75" customHeight="1">
      <c r="A86" s="439"/>
      <c r="G86" s="439"/>
      <c r="I86" s="100"/>
      <c r="J86" s="129"/>
      <c r="K86" s="439"/>
      <c r="L86" s="439"/>
    </row>
    <row r="87" ht="15.75" customHeight="1">
      <c r="A87" s="439"/>
      <c r="G87" s="439"/>
      <c r="I87" s="100"/>
      <c r="J87" s="129"/>
      <c r="K87" s="439"/>
      <c r="L87" s="439"/>
    </row>
    <row r="88" ht="15.75" customHeight="1">
      <c r="A88" s="439"/>
      <c r="G88" s="439"/>
      <c r="I88" s="100"/>
      <c r="J88" s="129"/>
      <c r="K88" s="439"/>
      <c r="L88" s="439"/>
    </row>
    <row r="89" ht="15.75" customHeight="1">
      <c r="A89" s="439"/>
      <c r="G89" s="439"/>
      <c r="I89" s="100"/>
      <c r="J89" s="129"/>
      <c r="K89" s="439"/>
      <c r="L89" s="439"/>
    </row>
    <row r="90" ht="15.75" customHeight="1">
      <c r="A90" s="439"/>
      <c r="G90" s="439"/>
      <c r="I90" s="100"/>
      <c r="J90" s="129"/>
      <c r="K90" s="439"/>
      <c r="L90" s="439"/>
    </row>
    <row r="91" ht="15.75" customHeight="1">
      <c r="A91" s="439"/>
      <c r="G91" s="439"/>
      <c r="I91" s="100"/>
      <c r="J91" s="129"/>
      <c r="K91" s="439"/>
      <c r="L91" s="439"/>
    </row>
    <row r="92" ht="15.75" customHeight="1">
      <c r="A92" s="439"/>
      <c r="G92" s="439"/>
      <c r="I92" s="100"/>
      <c r="J92" s="129"/>
      <c r="K92" s="439"/>
      <c r="L92" s="439"/>
    </row>
    <row r="93" ht="15.75" customHeight="1">
      <c r="A93" s="439"/>
      <c r="G93" s="439"/>
      <c r="I93" s="100"/>
      <c r="J93" s="129"/>
      <c r="K93" s="439"/>
      <c r="L93" s="439"/>
    </row>
    <row r="94" ht="15.75" customHeight="1">
      <c r="A94" s="439"/>
      <c r="G94" s="439"/>
      <c r="I94" s="100"/>
      <c r="J94" s="129"/>
      <c r="K94" s="439"/>
      <c r="L94" s="439"/>
    </row>
    <row r="95" ht="15.75" customHeight="1">
      <c r="A95" s="439"/>
      <c r="G95" s="439"/>
      <c r="I95" s="100"/>
      <c r="J95" s="129"/>
      <c r="K95" s="439"/>
      <c r="L95" s="439"/>
    </row>
    <row r="96" ht="15.75" customHeight="1">
      <c r="A96" s="439"/>
      <c r="G96" s="439"/>
      <c r="I96" s="100"/>
      <c r="J96" s="129"/>
      <c r="K96" s="439"/>
      <c r="L96" s="439"/>
    </row>
    <row r="97" ht="15.75" customHeight="1">
      <c r="A97" s="439"/>
      <c r="G97" s="439"/>
      <c r="I97" s="100"/>
      <c r="J97" s="129"/>
      <c r="K97" s="439"/>
      <c r="L97" s="439"/>
    </row>
    <row r="98" ht="15.75" customHeight="1">
      <c r="A98" s="439"/>
      <c r="G98" s="439"/>
      <c r="I98" s="100"/>
      <c r="J98" s="129"/>
      <c r="K98" s="439"/>
      <c r="L98" s="439"/>
    </row>
    <row r="99" ht="15.75" customHeight="1">
      <c r="A99" s="439"/>
      <c r="G99" s="439"/>
      <c r="I99" s="100"/>
      <c r="J99" s="129"/>
      <c r="K99" s="439"/>
      <c r="L99" s="439"/>
    </row>
    <row r="100" ht="15.75" customHeight="1">
      <c r="A100" s="439"/>
      <c r="G100" s="439"/>
      <c r="I100" s="100"/>
      <c r="J100" s="129"/>
      <c r="K100" s="439"/>
      <c r="L100" s="439"/>
    </row>
    <row r="101" ht="15.75" customHeight="1">
      <c r="A101" s="439"/>
      <c r="G101" s="439"/>
      <c r="I101" s="100"/>
      <c r="J101" s="129"/>
      <c r="K101" s="439"/>
      <c r="L101" s="439"/>
    </row>
    <row r="102" ht="15.75" customHeight="1">
      <c r="A102" s="439"/>
      <c r="G102" s="439"/>
      <c r="I102" s="100"/>
      <c r="J102" s="129"/>
      <c r="K102" s="439"/>
      <c r="L102" s="439"/>
    </row>
    <row r="103" ht="15.75" customHeight="1">
      <c r="A103" s="439"/>
      <c r="G103" s="439"/>
      <c r="I103" s="100"/>
      <c r="J103" s="129"/>
      <c r="K103" s="439"/>
      <c r="L103" s="439"/>
    </row>
    <row r="104" ht="15.75" customHeight="1">
      <c r="A104" s="439"/>
      <c r="G104" s="439"/>
      <c r="I104" s="100"/>
      <c r="J104" s="129"/>
      <c r="K104" s="439"/>
      <c r="L104" s="439"/>
    </row>
    <row r="105" ht="15.75" customHeight="1">
      <c r="A105" s="439"/>
      <c r="G105" s="439"/>
      <c r="I105" s="100"/>
      <c r="J105" s="129"/>
      <c r="K105" s="439"/>
      <c r="L105" s="439"/>
    </row>
    <row r="106" ht="15.75" customHeight="1">
      <c r="A106" s="439"/>
      <c r="G106" s="439"/>
      <c r="I106" s="100"/>
      <c r="J106" s="129"/>
      <c r="K106" s="439"/>
      <c r="L106" s="439"/>
    </row>
    <row r="107" ht="15.75" customHeight="1">
      <c r="A107" s="439"/>
      <c r="G107" s="439"/>
      <c r="I107" s="100"/>
      <c r="J107" s="129"/>
      <c r="K107" s="439"/>
      <c r="L107" s="439"/>
    </row>
    <row r="108" ht="15.75" customHeight="1">
      <c r="A108" s="439"/>
      <c r="G108" s="439"/>
      <c r="I108" s="100"/>
      <c r="J108" s="129"/>
      <c r="K108" s="439"/>
      <c r="L108" s="439"/>
    </row>
    <row r="109" ht="15.75" customHeight="1">
      <c r="A109" s="439"/>
      <c r="G109" s="439"/>
      <c r="I109" s="100"/>
      <c r="J109" s="129"/>
      <c r="K109" s="439"/>
      <c r="L109" s="439"/>
    </row>
    <row r="110" ht="15.75" customHeight="1">
      <c r="A110" s="439"/>
      <c r="G110" s="439"/>
      <c r="I110" s="100"/>
      <c r="J110" s="129"/>
      <c r="K110" s="439"/>
      <c r="L110" s="439"/>
    </row>
    <row r="111" ht="15.75" customHeight="1">
      <c r="A111" s="439"/>
      <c r="G111" s="439"/>
      <c r="I111" s="100"/>
      <c r="J111" s="129"/>
      <c r="K111" s="439"/>
      <c r="L111" s="439"/>
    </row>
    <row r="112" ht="15.75" customHeight="1">
      <c r="A112" s="439"/>
      <c r="G112" s="439"/>
      <c r="I112" s="100"/>
      <c r="J112" s="129"/>
      <c r="K112" s="439"/>
      <c r="L112" s="439"/>
    </row>
    <row r="113" ht="15.75" customHeight="1">
      <c r="A113" s="439"/>
      <c r="G113" s="439"/>
      <c r="I113" s="100"/>
      <c r="J113" s="129"/>
      <c r="K113" s="439"/>
      <c r="L113" s="439"/>
    </row>
    <row r="114" ht="15.75" customHeight="1">
      <c r="A114" s="439"/>
      <c r="G114" s="439"/>
      <c r="I114" s="100"/>
      <c r="J114" s="129"/>
      <c r="K114" s="439"/>
      <c r="L114" s="439"/>
    </row>
    <row r="115" ht="15.75" customHeight="1">
      <c r="A115" s="439"/>
      <c r="G115" s="439"/>
      <c r="I115" s="100"/>
      <c r="J115" s="129"/>
      <c r="K115" s="439"/>
      <c r="L115" s="439"/>
    </row>
    <row r="116" ht="15.75" customHeight="1">
      <c r="A116" s="439"/>
      <c r="G116" s="439"/>
      <c r="I116" s="100"/>
      <c r="J116" s="129"/>
      <c r="K116" s="439"/>
      <c r="L116" s="439"/>
    </row>
    <row r="117" ht="15.75" customHeight="1">
      <c r="A117" s="439"/>
      <c r="G117" s="439"/>
      <c r="I117" s="100"/>
      <c r="J117" s="129"/>
      <c r="K117" s="439"/>
      <c r="L117" s="439"/>
    </row>
    <row r="118" ht="15.75" customHeight="1">
      <c r="A118" s="439"/>
      <c r="G118" s="439"/>
      <c r="I118" s="100"/>
      <c r="J118" s="129"/>
      <c r="K118" s="439"/>
      <c r="L118" s="439"/>
    </row>
    <row r="119" ht="15.75" customHeight="1">
      <c r="A119" s="439"/>
      <c r="G119" s="439"/>
      <c r="I119" s="100"/>
      <c r="J119" s="129"/>
      <c r="K119" s="439"/>
      <c r="L119" s="439"/>
    </row>
    <row r="120" ht="15.75" customHeight="1">
      <c r="A120" s="439"/>
      <c r="G120" s="439"/>
      <c r="I120" s="100"/>
      <c r="J120" s="129"/>
      <c r="K120" s="439"/>
      <c r="L120" s="439"/>
    </row>
    <row r="121" ht="15.75" customHeight="1">
      <c r="A121" s="439"/>
      <c r="G121" s="439"/>
      <c r="I121" s="100"/>
      <c r="J121" s="129"/>
      <c r="K121" s="439"/>
      <c r="L121" s="439"/>
    </row>
    <row r="122" ht="15.75" customHeight="1">
      <c r="A122" s="439"/>
      <c r="G122" s="439"/>
      <c r="I122" s="100"/>
      <c r="J122" s="129"/>
      <c r="K122" s="439"/>
      <c r="L122" s="439"/>
    </row>
    <row r="123" ht="15.75" customHeight="1">
      <c r="A123" s="439"/>
      <c r="G123" s="439"/>
      <c r="I123" s="100"/>
      <c r="J123" s="129"/>
      <c r="K123" s="439"/>
      <c r="L123" s="439"/>
    </row>
    <row r="124" ht="15.75" customHeight="1">
      <c r="A124" s="439"/>
      <c r="G124" s="439"/>
      <c r="I124" s="100"/>
      <c r="J124" s="129"/>
      <c r="K124" s="439"/>
      <c r="L124" s="439"/>
    </row>
    <row r="125" ht="15.75" customHeight="1">
      <c r="A125" s="439"/>
      <c r="G125" s="439"/>
      <c r="I125" s="100"/>
      <c r="J125" s="129"/>
      <c r="K125" s="439"/>
      <c r="L125" s="439"/>
    </row>
    <row r="126" ht="15.75" customHeight="1">
      <c r="A126" s="439"/>
      <c r="G126" s="439"/>
      <c r="I126" s="100"/>
      <c r="J126" s="129"/>
      <c r="K126" s="439"/>
      <c r="L126" s="439"/>
    </row>
    <row r="127" ht="15.75" customHeight="1">
      <c r="A127" s="439"/>
      <c r="G127" s="439"/>
      <c r="I127" s="100"/>
      <c r="J127" s="129"/>
      <c r="K127" s="439"/>
      <c r="L127" s="439"/>
    </row>
    <row r="128" ht="15.75" customHeight="1">
      <c r="A128" s="439"/>
      <c r="G128" s="439"/>
      <c r="I128" s="100"/>
      <c r="J128" s="129"/>
      <c r="K128" s="439"/>
      <c r="L128" s="439"/>
    </row>
    <row r="129" ht="15.75" customHeight="1">
      <c r="A129" s="439"/>
      <c r="G129" s="439"/>
      <c r="I129" s="100"/>
      <c r="J129" s="129"/>
      <c r="K129" s="439"/>
      <c r="L129" s="439"/>
    </row>
    <row r="130" ht="15.75" customHeight="1">
      <c r="A130" s="439"/>
      <c r="G130" s="439"/>
      <c r="I130" s="100"/>
      <c r="J130" s="129"/>
      <c r="K130" s="439"/>
      <c r="L130" s="439"/>
    </row>
    <row r="131" ht="15.75" customHeight="1">
      <c r="A131" s="439"/>
      <c r="G131" s="439"/>
      <c r="I131" s="100"/>
      <c r="J131" s="129"/>
      <c r="K131" s="439"/>
      <c r="L131" s="439"/>
    </row>
    <row r="132" ht="15.75" customHeight="1">
      <c r="A132" s="439"/>
      <c r="G132" s="439"/>
      <c r="I132" s="100"/>
      <c r="J132" s="129"/>
      <c r="K132" s="439"/>
      <c r="L132" s="439"/>
    </row>
    <row r="133" ht="15.75" customHeight="1">
      <c r="A133" s="439"/>
      <c r="G133" s="439"/>
      <c r="I133" s="100"/>
      <c r="J133" s="129"/>
      <c r="K133" s="439"/>
      <c r="L133" s="439"/>
    </row>
    <row r="134" ht="15.75" customHeight="1">
      <c r="A134" s="439"/>
      <c r="G134" s="439"/>
      <c r="I134" s="100"/>
      <c r="J134" s="129"/>
      <c r="K134" s="439"/>
      <c r="L134" s="439"/>
    </row>
    <row r="135" ht="15.75" customHeight="1">
      <c r="A135" s="439"/>
      <c r="G135" s="439"/>
      <c r="I135" s="100"/>
      <c r="J135" s="129"/>
      <c r="K135" s="439"/>
      <c r="L135" s="439"/>
    </row>
    <row r="136" ht="15.75" customHeight="1">
      <c r="A136" s="439"/>
      <c r="G136" s="439"/>
      <c r="I136" s="100"/>
      <c r="J136" s="129"/>
      <c r="K136" s="439"/>
      <c r="L136" s="439"/>
    </row>
    <row r="137" ht="15.75" customHeight="1">
      <c r="A137" s="439"/>
      <c r="G137" s="439"/>
      <c r="I137" s="100"/>
      <c r="J137" s="129"/>
      <c r="K137" s="439"/>
      <c r="L137" s="439"/>
    </row>
    <row r="138" ht="15.75" customHeight="1">
      <c r="A138" s="439"/>
      <c r="G138" s="439"/>
      <c r="I138" s="100"/>
      <c r="J138" s="129"/>
      <c r="K138" s="439"/>
      <c r="L138" s="439"/>
    </row>
    <row r="139" ht="15.75" customHeight="1">
      <c r="A139" s="439"/>
      <c r="G139" s="439"/>
      <c r="I139" s="100"/>
      <c r="J139" s="129"/>
      <c r="K139" s="439"/>
      <c r="L139" s="439"/>
    </row>
    <row r="140" ht="15.75" customHeight="1">
      <c r="A140" s="439"/>
      <c r="G140" s="439"/>
      <c r="I140" s="100"/>
      <c r="J140" s="129"/>
      <c r="K140" s="439"/>
      <c r="L140" s="439"/>
    </row>
    <row r="141" ht="15.75" customHeight="1">
      <c r="A141" s="439"/>
      <c r="G141" s="439"/>
      <c r="I141" s="100"/>
      <c r="J141" s="129"/>
      <c r="K141" s="439"/>
      <c r="L141" s="439"/>
    </row>
    <row r="142" ht="15.75" customHeight="1">
      <c r="A142" s="439"/>
      <c r="G142" s="439"/>
      <c r="I142" s="100"/>
      <c r="J142" s="129"/>
      <c r="K142" s="439"/>
      <c r="L142" s="439"/>
    </row>
    <row r="143" ht="15.75" customHeight="1">
      <c r="A143" s="439"/>
      <c r="G143" s="439"/>
      <c r="I143" s="100"/>
      <c r="J143" s="129"/>
      <c r="K143" s="439"/>
      <c r="L143" s="439"/>
    </row>
    <row r="144" ht="15.75" customHeight="1">
      <c r="A144" s="439"/>
      <c r="G144" s="439"/>
      <c r="I144" s="100"/>
      <c r="J144" s="129"/>
      <c r="K144" s="439"/>
      <c r="L144" s="439"/>
    </row>
    <row r="145" ht="15.75" customHeight="1">
      <c r="A145" s="439"/>
      <c r="G145" s="439"/>
      <c r="I145" s="100"/>
      <c r="J145" s="129"/>
      <c r="K145" s="439"/>
      <c r="L145" s="439"/>
    </row>
    <row r="146" ht="15.75" customHeight="1">
      <c r="A146" s="439"/>
      <c r="G146" s="439"/>
      <c r="I146" s="100"/>
      <c r="J146" s="129"/>
      <c r="K146" s="439"/>
      <c r="L146" s="439"/>
    </row>
    <row r="147" ht="15.75" customHeight="1">
      <c r="A147" s="439"/>
      <c r="G147" s="439"/>
      <c r="I147" s="100"/>
      <c r="J147" s="129"/>
      <c r="K147" s="439"/>
      <c r="L147" s="439"/>
    </row>
    <row r="148" ht="15.75" customHeight="1">
      <c r="A148" s="439"/>
      <c r="G148" s="439"/>
      <c r="I148" s="100"/>
      <c r="J148" s="129"/>
      <c r="K148" s="439"/>
      <c r="L148" s="439"/>
    </row>
    <row r="149" ht="15.75" customHeight="1">
      <c r="A149" s="439"/>
      <c r="G149" s="439"/>
      <c r="I149" s="100"/>
      <c r="J149" s="129"/>
      <c r="K149" s="439"/>
      <c r="L149" s="439"/>
    </row>
    <row r="150" ht="15.75" customHeight="1">
      <c r="A150" s="439"/>
      <c r="G150" s="439"/>
      <c r="I150" s="100"/>
      <c r="J150" s="129"/>
      <c r="K150" s="439"/>
      <c r="L150" s="439"/>
    </row>
    <row r="151" ht="15.75" customHeight="1">
      <c r="A151" s="439"/>
      <c r="G151" s="439"/>
      <c r="I151" s="100"/>
      <c r="J151" s="129"/>
      <c r="K151" s="439"/>
      <c r="L151" s="439"/>
    </row>
    <row r="152" ht="15.75" customHeight="1">
      <c r="A152" s="439"/>
      <c r="G152" s="439"/>
      <c r="I152" s="100"/>
      <c r="J152" s="129"/>
      <c r="K152" s="439"/>
      <c r="L152" s="439"/>
    </row>
    <row r="153" ht="15.75" customHeight="1">
      <c r="A153" s="439"/>
      <c r="G153" s="439"/>
      <c r="I153" s="100"/>
      <c r="J153" s="129"/>
      <c r="K153" s="439"/>
      <c r="L153" s="439"/>
    </row>
    <row r="154" ht="15.75" customHeight="1">
      <c r="A154" s="439"/>
      <c r="G154" s="439"/>
      <c r="I154" s="100"/>
      <c r="J154" s="129"/>
      <c r="K154" s="439"/>
      <c r="L154" s="439"/>
    </row>
    <row r="155" ht="15.75" customHeight="1">
      <c r="A155" s="439"/>
      <c r="G155" s="439"/>
      <c r="I155" s="100"/>
      <c r="J155" s="129"/>
      <c r="K155" s="439"/>
      <c r="L155" s="439"/>
    </row>
    <row r="156" ht="15.75" customHeight="1">
      <c r="A156" s="439"/>
      <c r="G156" s="439"/>
      <c r="I156" s="100"/>
      <c r="J156" s="129"/>
      <c r="K156" s="439"/>
      <c r="L156" s="439"/>
    </row>
    <row r="157" ht="15.75" customHeight="1">
      <c r="A157" s="439"/>
      <c r="G157" s="439"/>
      <c r="I157" s="100"/>
      <c r="J157" s="129"/>
      <c r="K157" s="439"/>
      <c r="L157" s="439"/>
    </row>
    <row r="158" ht="15.75" customHeight="1">
      <c r="A158" s="439"/>
      <c r="G158" s="439"/>
      <c r="I158" s="100"/>
      <c r="J158" s="129"/>
      <c r="K158" s="439"/>
      <c r="L158" s="439"/>
    </row>
    <row r="159" ht="15.75" customHeight="1">
      <c r="A159" s="439"/>
      <c r="G159" s="439"/>
      <c r="I159" s="100"/>
      <c r="J159" s="129"/>
      <c r="K159" s="439"/>
      <c r="L159" s="439"/>
    </row>
    <row r="160" ht="15.75" customHeight="1">
      <c r="A160" s="439"/>
      <c r="G160" s="439"/>
      <c r="I160" s="100"/>
      <c r="J160" s="129"/>
      <c r="K160" s="439"/>
      <c r="L160" s="439"/>
    </row>
    <row r="161" ht="15.75" customHeight="1">
      <c r="A161" s="439"/>
      <c r="G161" s="439"/>
      <c r="I161" s="100"/>
      <c r="J161" s="129"/>
      <c r="K161" s="439"/>
      <c r="L161" s="439"/>
    </row>
    <row r="162" ht="15.75" customHeight="1">
      <c r="A162" s="439"/>
      <c r="G162" s="439"/>
      <c r="I162" s="100"/>
      <c r="J162" s="129"/>
      <c r="K162" s="439"/>
      <c r="L162" s="439"/>
    </row>
    <row r="163" ht="15.75" customHeight="1">
      <c r="A163" s="439"/>
      <c r="G163" s="439"/>
      <c r="I163" s="100"/>
      <c r="J163" s="129"/>
      <c r="K163" s="439"/>
      <c r="L163" s="439"/>
    </row>
    <row r="164" ht="15.75" customHeight="1">
      <c r="A164" s="439"/>
      <c r="G164" s="439"/>
      <c r="I164" s="100"/>
      <c r="J164" s="129"/>
      <c r="K164" s="439"/>
      <c r="L164" s="439"/>
    </row>
    <row r="165" ht="15.75" customHeight="1">
      <c r="A165" s="439"/>
      <c r="G165" s="439"/>
      <c r="I165" s="100"/>
      <c r="J165" s="129"/>
      <c r="K165" s="439"/>
      <c r="L165" s="439"/>
    </row>
    <row r="166" ht="15.75" customHeight="1">
      <c r="A166" s="439"/>
      <c r="G166" s="439"/>
      <c r="I166" s="100"/>
      <c r="J166" s="129"/>
      <c r="K166" s="439"/>
      <c r="L166" s="439"/>
    </row>
    <row r="167" ht="15.75" customHeight="1">
      <c r="A167" s="439"/>
      <c r="G167" s="439"/>
      <c r="I167" s="100"/>
      <c r="J167" s="129"/>
      <c r="K167" s="439"/>
      <c r="L167" s="439"/>
    </row>
    <row r="168" ht="15.75" customHeight="1">
      <c r="A168" s="439"/>
      <c r="G168" s="439"/>
      <c r="I168" s="100"/>
      <c r="J168" s="129"/>
      <c r="K168" s="439"/>
      <c r="L168" s="439"/>
    </row>
    <row r="169" ht="15.75" customHeight="1">
      <c r="A169" s="439"/>
      <c r="G169" s="439"/>
      <c r="I169" s="100"/>
      <c r="J169" s="129"/>
      <c r="K169" s="439"/>
      <c r="L169" s="439"/>
    </row>
    <row r="170" ht="15.75" customHeight="1">
      <c r="A170" s="439"/>
      <c r="G170" s="439"/>
      <c r="I170" s="100"/>
      <c r="J170" s="129"/>
      <c r="K170" s="439"/>
      <c r="L170" s="439"/>
    </row>
    <row r="171" ht="15.75" customHeight="1">
      <c r="A171" s="439"/>
      <c r="G171" s="439"/>
      <c r="I171" s="100"/>
      <c r="J171" s="129"/>
      <c r="K171" s="439"/>
      <c r="L171" s="439"/>
    </row>
    <row r="172" ht="15.75" customHeight="1">
      <c r="A172" s="439"/>
      <c r="G172" s="439"/>
      <c r="I172" s="100"/>
      <c r="J172" s="129"/>
      <c r="K172" s="439"/>
      <c r="L172" s="439"/>
    </row>
    <row r="173" ht="15.75" customHeight="1">
      <c r="A173" s="439"/>
      <c r="G173" s="439"/>
      <c r="I173" s="100"/>
      <c r="J173" s="129"/>
      <c r="K173" s="439"/>
      <c r="L173" s="439"/>
    </row>
    <row r="174" ht="15.75" customHeight="1">
      <c r="A174" s="439"/>
      <c r="G174" s="439"/>
      <c r="I174" s="100"/>
      <c r="J174" s="129"/>
      <c r="K174" s="439"/>
      <c r="L174" s="439"/>
    </row>
    <row r="175" ht="15.75" customHeight="1">
      <c r="A175" s="439"/>
      <c r="G175" s="439"/>
      <c r="I175" s="100"/>
      <c r="J175" s="129"/>
      <c r="K175" s="439"/>
      <c r="L175" s="439"/>
    </row>
    <row r="176" ht="15.75" customHeight="1">
      <c r="A176" s="439"/>
      <c r="G176" s="439"/>
      <c r="I176" s="100"/>
      <c r="J176" s="129"/>
      <c r="K176" s="439"/>
      <c r="L176" s="439"/>
    </row>
    <row r="177" ht="15.75" customHeight="1">
      <c r="A177" s="439"/>
      <c r="G177" s="439"/>
      <c r="I177" s="100"/>
      <c r="J177" s="129"/>
      <c r="K177" s="439"/>
      <c r="L177" s="439"/>
    </row>
    <row r="178" ht="15.75" customHeight="1">
      <c r="A178" s="439"/>
      <c r="G178" s="439"/>
      <c r="I178" s="100"/>
      <c r="J178" s="129"/>
      <c r="K178" s="439"/>
      <c r="L178" s="439"/>
    </row>
    <row r="179" ht="15.75" customHeight="1">
      <c r="A179" s="439"/>
      <c r="G179" s="439"/>
      <c r="I179" s="100"/>
      <c r="J179" s="129"/>
      <c r="K179" s="439"/>
      <c r="L179" s="439"/>
    </row>
    <row r="180" ht="15.75" customHeight="1">
      <c r="A180" s="439"/>
      <c r="G180" s="439"/>
      <c r="I180" s="100"/>
      <c r="J180" s="129"/>
      <c r="K180" s="439"/>
      <c r="L180" s="439"/>
    </row>
    <row r="181" ht="15.75" customHeight="1">
      <c r="A181" s="439"/>
      <c r="G181" s="439"/>
      <c r="I181" s="100"/>
      <c r="J181" s="129"/>
      <c r="K181" s="439"/>
      <c r="L181" s="439"/>
    </row>
    <row r="182" ht="15.75" customHeight="1">
      <c r="A182" s="439"/>
      <c r="G182" s="439"/>
      <c r="I182" s="100"/>
      <c r="J182" s="129"/>
      <c r="K182" s="439"/>
      <c r="L182" s="439"/>
    </row>
    <row r="183" ht="15.75" customHeight="1">
      <c r="A183" s="439"/>
      <c r="G183" s="439"/>
      <c r="I183" s="100"/>
      <c r="J183" s="129"/>
      <c r="K183" s="439"/>
      <c r="L183" s="439"/>
    </row>
    <row r="184" ht="15.75" customHeight="1">
      <c r="A184" s="439"/>
      <c r="G184" s="439"/>
      <c r="I184" s="100"/>
      <c r="J184" s="129"/>
      <c r="K184" s="439"/>
      <c r="L184" s="439"/>
    </row>
    <row r="185" ht="15.75" customHeight="1">
      <c r="A185" s="439"/>
      <c r="G185" s="439"/>
      <c r="I185" s="100"/>
      <c r="J185" s="129"/>
      <c r="K185" s="439"/>
      <c r="L185" s="439"/>
    </row>
    <row r="186" ht="15.75" customHeight="1">
      <c r="A186" s="439"/>
      <c r="G186" s="439"/>
      <c r="I186" s="100"/>
      <c r="J186" s="129"/>
      <c r="K186" s="439"/>
      <c r="L186" s="439"/>
    </row>
    <row r="187" ht="15.75" customHeight="1">
      <c r="A187" s="439"/>
      <c r="G187" s="439"/>
      <c r="I187" s="100"/>
      <c r="J187" s="129"/>
      <c r="K187" s="439"/>
      <c r="L187" s="439"/>
    </row>
    <row r="188" ht="15.75" customHeight="1">
      <c r="A188" s="439"/>
      <c r="G188" s="439"/>
      <c r="I188" s="100"/>
      <c r="J188" s="129"/>
      <c r="K188" s="439"/>
      <c r="L188" s="439"/>
    </row>
    <row r="189" ht="15.75" customHeight="1">
      <c r="A189" s="439"/>
      <c r="G189" s="439"/>
      <c r="I189" s="100"/>
      <c r="J189" s="129"/>
      <c r="K189" s="439"/>
      <c r="L189" s="439"/>
    </row>
    <row r="190" ht="15.75" customHeight="1">
      <c r="A190" s="439"/>
      <c r="G190" s="439"/>
      <c r="I190" s="100"/>
      <c r="J190" s="129"/>
      <c r="K190" s="439"/>
      <c r="L190" s="439"/>
    </row>
    <row r="191" ht="15.75" customHeight="1">
      <c r="A191" s="439"/>
      <c r="G191" s="439"/>
      <c r="I191" s="100"/>
      <c r="J191" s="129"/>
      <c r="K191" s="439"/>
      <c r="L191" s="439"/>
    </row>
    <row r="192" ht="15.75" customHeight="1">
      <c r="A192" s="439"/>
      <c r="G192" s="439"/>
      <c r="I192" s="100"/>
      <c r="J192" s="129"/>
      <c r="K192" s="439"/>
      <c r="L192" s="439"/>
    </row>
    <row r="193" ht="15.75" customHeight="1">
      <c r="A193" s="439"/>
      <c r="G193" s="439"/>
      <c r="I193" s="100"/>
      <c r="J193" s="129"/>
      <c r="K193" s="439"/>
      <c r="L193" s="439"/>
    </row>
    <row r="194" ht="15.75" customHeight="1">
      <c r="A194" s="439"/>
      <c r="G194" s="439"/>
      <c r="I194" s="100"/>
      <c r="J194" s="129"/>
      <c r="K194" s="439"/>
      <c r="L194" s="439"/>
    </row>
    <row r="195" ht="15.75" customHeight="1">
      <c r="A195" s="439"/>
      <c r="G195" s="439"/>
      <c r="I195" s="100"/>
      <c r="J195" s="129"/>
      <c r="K195" s="439"/>
      <c r="L195" s="439"/>
    </row>
    <row r="196" ht="15.75" customHeight="1">
      <c r="A196" s="439"/>
      <c r="G196" s="439"/>
      <c r="I196" s="100"/>
      <c r="J196" s="129"/>
      <c r="K196" s="439"/>
      <c r="L196" s="439"/>
    </row>
    <row r="197" ht="15.75" customHeight="1">
      <c r="A197" s="439"/>
      <c r="G197" s="439"/>
      <c r="I197" s="100"/>
      <c r="J197" s="129"/>
      <c r="K197" s="439"/>
      <c r="L197" s="439"/>
    </row>
    <row r="198" ht="15.75" customHeight="1">
      <c r="A198" s="439"/>
      <c r="G198" s="439"/>
      <c r="I198" s="100"/>
      <c r="J198" s="129"/>
      <c r="K198" s="439"/>
      <c r="L198" s="439"/>
    </row>
    <row r="199" ht="15.75" customHeight="1">
      <c r="A199" s="439"/>
      <c r="G199" s="439"/>
      <c r="I199" s="100"/>
      <c r="J199" s="129"/>
      <c r="K199" s="439"/>
      <c r="L199" s="439"/>
    </row>
    <row r="200" ht="15.75" customHeight="1">
      <c r="A200" s="439"/>
      <c r="G200" s="439"/>
      <c r="I200" s="100"/>
      <c r="J200" s="129"/>
      <c r="K200" s="439"/>
      <c r="L200" s="439"/>
    </row>
    <row r="201" ht="15.75" customHeight="1">
      <c r="A201" s="439"/>
      <c r="G201" s="439"/>
      <c r="I201" s="100"/>
      <c r="J201" s="129"/>
      <c r="K201" s="439"/>
      <c r="L201" s="439"/>
    </row>
    <row r="202" ht="15.75" customHeight="1">
      <c r="A202" s="439"/>
      <c r="G202" s="439"/>
      <c r="I202" s="100"/>
      <c r="J202" s="129"/>
      <c r="K202" s="439"/>
      <c r="L202" s="439"/>
    </row>
    <row r="203" ht="15.75" customHeight="1">
      <c r="A203" s="439"/>
      <c r="G203" s="439"/>
      <c r="I203" s="100"/>
      <c r="J203" s="129"/>
      <c r="K203" s="439"/>
      <c r="L203" s="439"/>
    </row>
    <row r="204" ht="15.75" customHeight="1">
      <c r="A204" s="439"/>
      <c r="G204" s="439"/>
      <c r="I204" s="100"/>
      <c r="J204" s="129"/>
      <c r="K204" s="439"/>
      <c r="L204" s="439"/>
    </row>
    <row r="205" ht="15.75" customHeight="1">
      <c r="A205" s="439"/>
      <c r="G205" s="439"/>
      <c r="I205" s="100"/>
      <c r="J205" s="129"/>
      <c r="K205" s="439"/>
      <c r="L205" s="439"/>
    </row>
    <row r="206" ht="15.75" customHeight="1">
      <c r="A206" s="439"/>
      <c r="G206" s="439"/>
      <c r="I206" s="100"/>
      <c r="J206" s="129"/>
      <c r="K206" s="439"/>
      <c r="L206" s="439"/>
    </row>
    <row r="207" ht="15.75" customHeight="1">
      <c r="A207" s="439"/>
      <c r="G207" s="439"/>
      <c r="I207" s="100"/>
      <c r="J207" s="129"/>
      <c r="K207" s="439"/>
      <c r="L207" s="439"/>
    </row>
    <row r="208" ht="15.75" customHeight="1">
      <c r="A208" s="439"/>
      <c r="G208" s="439"/>
      <c r="I208" s="100"/>
      <c r="J208" s="129"/>
      <c r="K208" s="439"/>
      <c r="L208" s="439"/>
    </row>
    <row r="209" ht="15.75" customHeight="1">
      <c r="A209" s="439"/>
      <c r="G209" s="439"/>
      <c r="I209" s="100"/>
      <c r="J209" s="129"/>
      <c r="K209" s="439"/>
      <c r="L209" s="439"/>
    </row>
    <row r="210" ht="15.75" customHeight="1">
      <c r="A210" s="439"/>
      <c r="G210" s="439"/>
      <c r="I210" s="100"/>
      <c r="J210" s="129"/>
      <c r="K210" s="439"/>
      <c r="L210" s="439"/>
    </row>
    <row r="211" ht="15.75" customHeight="1">
      <c r="A211" s="439"/>
      <c r="G211" s="439"/>
      <c r="I211" s="100"/>
      <c r="J211" s="129"/>
      <c r="K211" s="439"/>
      <c r="L211" s="439"/>
    </row>
    <row r="212" ht="15.75" customHeight="1">
      <c r="A212" s="439"/>
      <c r="G212" s="439"/>
      <c r="I212" s="100"/>
      <c r="J212" s="129"/>
      <c r="K212" s="439"/>
      <c r="L212" s="439"/>
    </row>
    <row r="213" ht="15.75" customHeight="1">
      <c r="A213" s="439"/>
      <c r="G213" s="439"/>
      <c r="I213" s="100"/>
      <c r="J213" s="129"/>
      <c r="K213" s="439"/>
      <c r="L213" s="439"/>
    </row>
    <row r="214" ht="15.75" customHeight="1">
      <c r="A214" s="439"/>
      <c r="G214" s="439"/>
      <c r="I214" s="100"/>
      <c r="J214" s="129"/>
      <c r="K214" s="439"/>
      <c r="L214" s="439"/>
    </row>
    <row r="215" ht="15.75" customHeight="1">
      <c r="A215" s="439"/>
      <c r="G215" s="439"/>
      <c r="I215" s="100"/>
      <c r="J215" s="129"/>
      <c r="K215" s="439"/>
      <c r="L215" s="439"/>
    </row>
    <row r="216" ht="15.75" customHeight="1">
      <c r="A216" s="439"/>
      <c r="G216" s="439"/>
      <c r="I216" s="100"/>
      <c r="J216" s="129"/>
      <c r="K216" s="439"/>
      <c r="L216" s="439"/>
    </row>
    <row r="217" ht="15.75" customHeight="1">
      <c r="A217" s="439"/>
      <c r="G217" s="439"/>
      <c r="I217" s="100"/>
      <c r="J217" s="129"/>
      <c r="K217" s="439"/>
      <c r="L217" s="439"/>
    </row>
    <row r="218" ht="15.75" customHeight="1">
      <c r="A218" s="439"/>
      <c r="G218" s="439"/>
      <c r="I218" s="100"/>
      <c r="J218" s="129"/>
      <c r="K218" s="439"/>
      <c r="L218" s="439"/>
    </row>
    <row r="219" ht="15.75" customHeight="1">
      <c r="A219" s="439"/>
      <c r="G219" s="439"/>
      <c r="I219" s="100"/>
      <c r="J219" s="129"/>
      <c r="K219" s="439"/>
      <c r="L219" s="439"/>
    </row>
    <row r="220" ht="15.75" customHeight="1">
      <c r="A220" s="439"/>
      <c r="G220" s="439"/>
      <c r="I220" s="100"/>
      <c r="J220" s="129"/>
      <c r="K220" s="439"/>
      <c r="L220" s="439"/>
    </row>
    <row r="221" ht="15.75" customHeight="1">
      <c r="A221" s="439"/>
      <c r="G221" s="439"/>
      <c r="I221" s="100"/>
      <c r="J221" s="129"/>
      <c r="K221" s="439"/>
      <c r="L221" s="439"/>
    </row>
    <row r="222" ht="15.75" customHeight="1">
      <c r="A222" s="439"/>
      <c r="G222" s="439"/>
      <c r="I222" s="100"/>
      <c r="J222" s="129"/>
      <c r="K222" s="439"/>
      <c r="L222" s="439"/>
    </row>
    <row r="223" ht="15.75" customHeight="1">
      <c r="A223" s="439"/>
      <c r="G223" s="439"/>
      <c r="I223" s="100"/>
      <c r="J223" s="129"/>
      <c r="K223" s="439"/>
      <c r="L223" s="439"/>
    </row>
    <row r="224" ht="15.75" customHeight="1">
      <c r="A224" s="439"/>
      <c r="G224" s="439"/>
      <c r="I224" s="100"/>
      <c r="J224" s="129"/>
      <c r="K224" s="439"/>
      <c r="L224" s="439"/>
    </row>
    <row r="225" ht="15.75" customHeight="1">
      <c r="A225" s="439"/>
      <c r="G225" s="439"/>
      <c r="I225" s="100"/>
      <c r="J225" s="129"/>
      <c r="K225" s="439"/>
      <c r="L225" s="439"/>
    </row>
    <row r="226" ht="15.75" customHeight="1">
      <c r="A226" s="439"/>
      <c r="G226" s="439"/>
      <c r="I226" s="100"/>
      <c r="J226" s="129"/>
      <c r="K226" s="439"/>
      <c r="L226" s="439"/>
    </row>
    <row r="227" ht="15.75" customHeight="1">
      <c r="A227" s="439"/>
      <c r="G227" s="439"/>
      <c r="I227" s="100"/>
      <c r="J227" s="129"/>
      <c r="K227" s="439"/>
      <c r="L227" s="439"/>
    </row>
    <row r="228" ht="15.75" customHeight="1">
      <c r="A228" s="439"/>
      <c r="G228" s="439"/>
      <c r="I228" s="100"/>
      <c r="J228" s="129"/>
      <c r="K228" s="439"/>
      <c r="L228" s="439"/>
    </row>
    <row r="229" ht="15.75" customHeight="1">
      <c r="A229" s="439"/>
      <c r="G229" s="439"/>
      <c r="I229" s="100"/>
      <c r="J229" s="129"/>
      <c r="K229" s="439"/>
      <c r="L229" s="439"/>
    </row>
    <row r="230" ht="15.75" customHeight="1">
      <c r="A230" s="439"/>
      <c r="G230" s="439"/>
      <c r="I230" s="100"/>
      <c r="J230" s="129"/>
      <c r="K230" s="439"/>
      <c r="L230" s="439"/>
    </row>
    <row r="231" ht="15.75" customHeight="1">
      <c r="A231" s="439"/>
      <c r="G231" s="439"/>
      <c r="I231" s="100"/>
      <c r="J231" s="129"/>
      <c r="K231" s="439"/>
      <c r="L231" s="439"/>
    </row>
    <row r="232" ht="15.75" customHeight="1">
      <c r="A232" s="439"/>
      <c r="G232" s="439"/>
      <c r="I232" s="100"/>
      <c r="J232" s="129"/>
      <c r="K232" s="439"/>
      <c r="L232" s="439"/>
    </row>
    <row r="233" ht="15.75" customHeight="1">
      <c r="A233" s="439"/>
      <c r="G233" s="439"/>
      <c r="I233" s="100"/>
      <c r="J233" s="129"/>
      <c r="K233" s="439"/>
      <c r="L233" s="439"/>
    </row>
    <row r="234" ht="15.75" customHeight="1">
      <c r="A234" s="439"/>
      <c r="G234" s="439"/>
      <c r="I234" s="100"/>
      <c r="J234" s="129"/>
      <c r="K234" s="439"/>
      <c r="L234" s="439"/>
    </row>
    <row r="235" ht="15.75" customHeight="1">
      <c r="A235" s="439"/>
      <c r="G235" s="439"/>
      <c r="I235" s="100"/>
      <c r="J235" s="129"/>
      <c r="K235" s="439"/>
      <c r="L235" s="439"/>
    </row>
    <row r="236" ht="15.75" customHeight="1">
      <c r="A236" s="439"/>
      <c r="G236" s="439"/>
      <c r="I236" s="100"/>
      <c r="J236" s="129"/>
      <c r="K236" s="439"/>
      <c r="L236" s="439"/>
    </row>
    <row r="237" ht="15.75" customHeight="1">
      <c r="A237" s="439"/>
      <c r="G237" s="439"/>
      <c r="I237" s="100"/>
      <c r="J237" s="129"/>
      <c r="K237" s="439"/>
      <c r="L237" s="439"/>
    </row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2">
    <mergeCell ref="D18:E18"/>
    <mergeCell ref="D19:E19"/>
    <mergeCell ref="D20:E20"/>
    <mergeCell ref="D21:E21"/>
    <mergeCell ref="B23:G23"/>
    <mergeCell ref="C2:E2"/>
    <mergeCell ref="I2:J2"/>
    <mergeCell ref="C3:E3"/>
    <mergeCell ref="C4:D4"/>
    <mergeCell ref="C5:E5"/>
    <mergeCell ref="D16:E16"/>
    <mergeCell ref="D17:E17"/>
  </mergeCells>
  <hyperlinks>
    <hyperlink r:id="rId1" ref="B28"/>
  </hyperlinks>
  <printOptions/>
  <pageMargins bottom="0.75" footer="0.0" header="0.0" left="0.7" right="0.7" top="0.75"/>
  <pageSetup orientation="portrait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0.86"/>
    <col customWidth="1" min="2" max="2" width="3.0"/>
    <col customWidth="1" min="3" max="3" width="17.29"/>
    <col customWidth="1" min="4" max="4" width="18.29"/>
    <col customWidth="1" min="5" max="5" width="21.43"/>
    <col customWidth="1" min="6" max="6" width="20.14"/>
    <col customWidth="1" min="7" max="7" width="21.43"/>
    <col customWidth="1" min="8" max="8" width="15.29"/>
    <col customWidth="1" min="9" max="9" width="13.86"/>
    <col customWidth="1" min="10" max="10" width="20.71"/>
    <col customWidth="1" min="11" max="11" width="16.71"/>
    <col customWidth="1" min="12" max="12" width="16.86"/>
    <col customWidth="1" min="13" max="14" width="7.43"/>
    <col customWidth="1" min="15" max="26" width="10.71"/>
  </cols>
  <sheetData>
    <row r="1">
      <c r="A1" s="492">
        <v>45748.0</v>
      </c>
      <c r="B1" s="447"/>
      <c r="C1" s="447"/>
      <c r="D1" s="447"/>
      <c r="E1" s="447"/>
      <c r="F1" s="447"/>
      <c r="G1" s="447"/>
      <c r="H1" s="439"/>
      <c r="I1" s="439"/>
      <c r="J1" s="440"/>
      <c r="K1" s="439"/>
      <c r="L1" s="439"/>
      <c r="M1" s="440"/>
      <c r="N1" s="439"/>
      <c r="O1" s="439"/>
      <c r="P1" s="439"/>
      <c r="Q1" s="439"/>
      <c r="R1" s="439"/>
      <c r="S1" s="439"/>
      <c r="T1" s="439"/>
      <c r="U1" s="439"/>
    </row>
    <row r="2">
      <c r="A2" s="439"/>
      <c r="B2" s="469"/>
      <c r="C2" s="493" t="s">
        <v>10621</v>
      </c>
      <c r="D2" s="494" t="s">
        <v>10606</v>
      </c>
      <c r="E2" s="494" t="s">
        <v>10608</v>
      </c>
      <c r="F2" s="494" t="s">
        <v>10608</v>
      </c>
      <c r="G2" s="495" t="s">
        <v>10622</v>
      </c>
      <c r="H2" s="439"/>
      <c r="I2" s="439"/>
      <c r="J2" s="440"/>
      <c r="K2" s="439"/>
      <c r="L2" s="439"/>
      <c r="M2" s="440"/>
      <c r="N2" s="439"/>
      <c r="O2" s="439"/>
      <c r="P2" s="439"/>
      <c r="Q2" s="439"/>
      <c r="R2" s="439"/>
      <c r="S2" s="439"/>
      <c r="T2" s="439"/>
      <c r="U2" s="439"/>
    </row>
    <row r="3">
      <c r="A3" s="439"/>
      <c r="B3" s="469"/>
      <c r="C3" s="496">
        <f>D3/4</f>
        <v>9736774.912</v>
      </c>
      <c r="D3" s="497">
        <v>3.89470996469068E7</v>
      </c>
      <c r="E3" s="497">
        <f>D39+D61+D84+D108+D131+D17</f>
        <v>43232347.16</v>
      </c>
      <c r="F3" s="498">
        <f>E3/D3</f>
        <v>1.110027385</v>
      </c>
      <c r="G3" s="499" t="str">
        <f>IF(D3-E3&lt;0, "OBJETIVO SUPERADO",(D3-E3))</f>
        <v>OBJETIVO SUPERADO</v>
      </c>
      <c r="H3" s="439"/>
      <c r="I3" s="439"/>
      <c r="J3" s="440"/>
      <c r="K3" s="439"/>
      <c r="L3" s="439"/>
      <c r="M3" s="440"/>
      <c r="N3" s="439"/>
      <c r="O3" s="439"/>
      <c r="P3" s="439"/>
      <c r="Q3" s="439"/>
      <c r="R3" s="439"/>
      <c r="S3" s="439"/>
      <c r="T3" s="439"/>
      <c r="U3" s="439"/>
    </row>
    <row r="4">
      <c r="A4" s="439"/>
      <c r="B4" s="500" t="s">
        <v>10623</v>
      </c>
      <c r="C4" s="501"/>
      <c r="D4" s="501"/>
      <c r="E4" s="502"/>
      <c r="F4" s="469"/>
      <c r="G4" s="469"/>
      <c r="H4" s="439"/>
      <c r="I4" s="439"/>
      <c r="J4" s="440"/>
      <c r="K4" s="439"/>
      <c r="L4" s="439"/>
      <c r="M4" s="440"/>
      <c r="N4" s="439"/>
      <c r="O4" s="439"/>
      <c r="P4" s="439"/>
      <c r="Q4" s="439"/>
      <c r="R4" s="439"/>
      <c r="S4" s="439"/>
      <c r="T4" s="439"/>
      <c r="U4" s="439"/>
    </row>
    <row r="5">
      <c r="A5" s="439"/>
      <c r="B5" s="503"/>
      <c r="C5" s="504" t="s">
        <v>10624</v>
      </c>
      <c r="D5" s="504" t="s">
        <v>311</v>
      </c>
      <c r="E5" s="505" t="s">
        <v>547</v>
      </c>
      <c r="F5" s="469"/>
      <c r="G5" s="469"/>
      <c r="H5" s="439"/>
      <c r="I5" s="439"/>
      <c r="J5" s="439"/>
      <c r="K5" s="439"/>
      <c r="L5" s="439"/>
      <c r="M5" s="439"/>
      <c r="N5" s="439"/>
      <c r="O5" s="439"/>
      <c r="P5" s="439"/>
      <c r="Q5" s="439"/>
      <c r="R5" s="439"/>
      <c r="S5" s="439"/>
      <c r="T5" s="439"/>
      <c r="U5" s="439"/>
    </row>
    <row r="6">
      <c r="A6" s="439"/>
      <c r="B6" s="506"/>
      <c r="C6" s="507" t="s">
        <v>10625</v>
      </c>
      <c r="D6" s="508"/>
      <c r="E6" s="509"/>
      <c r="F6" s="469"/>
      <c r="G6" s="469"/>
      <c r="H6" s="439"/>
      <c r="I6" s="439"/>
      <c r="J6" s="439"/>
      <c r="K6" s="439"/>
      <c r="L6" s="439"/>
      <c r="M6" s="439"/>
      <c r="N6" s="439"/>
      <c r="O6" s="439"/>
      <c r="P6" s="439"/>
      <c r="Q6" s="439"/>
      <c r="R6" s="439"/>
      <c r="S6" s="439"/>
      <c r="T6" s="439"/>
      <c r="U6" s="439"/>
    </row>
    <row r="7">
      <c r="A7" s="439"/>
      <c r="B7" s="506"/>
      <c r="C7" s="507" t="s">
        <v>10626</v>
      </c>
      <c r="D7" s="508"/>
      <c r="E7" s="510"/>
      <c r="F7" s="469"/>
      <c r="G7" s="46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439"/>
      <c r="T7" s="439"/>
      <c r="U7" s="439"/>
    </row>
    <row r="8">
      <c r="A8" s="439"/>
      <c r="B8" s="506"/>
      <c r="C8" s="507" t="s">
        <v>10627</v>
      </c>
      <c r="D8" s="508"/>
      <c r="E8" s="510"/>
      <c r="F8" s="469"/>
      <c r="G8" s="46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439"/>
      <c r="T8" s="439"/>
      <c r="U8" s="439"/>
    </row>
    <row r="9">
      <c r="A9" s="439"/>
      <c r="B9" s="506"/>
      <c r="C9" s="507" t="s">
        <v>10628</v>
      </c>
      <c r="D9" s="508"/>
      <c r="E9" s="510"/>
      <c r="F9" s="469"/>
      <c r="G9" s="469"/>
      <c r="H9" s="439"/>
      <c r="I9" s="439"/>
      <c r="J9" s="439"/>
      <c r="K9" s="439"/>
      <c r="L9" s="439"/>
      <c r="M9" s="439"/>
      <c r="N9" s="439"/>
      <c r="O9" s="439"/>
      <c r="P9" s="439"/>
      <c r="Q9" s="439"/>
      <c r="R9" s="439"/>
      <c r="S9" s="439"/>
      <c r="T9" s="439"/>
      <c r="U9" s="439"/>
    </row>
    <row r="10">
      <c r="A10" s="439"/>
      <c r="B10" s="506"/>
      <c r="C10" s="507" t="s">
        <v>10629</v>
      </c>
      <c r="D10" s="508"/>
      <c r="E10" s="510"/>
      <c r="F10" s="469"/>
      <c r="G10" s="469"/>
      <c r="H10" s="439"/>
      <c r="I10" s="439"/>
      <c r="J10" s="439"/>
      <c r="K10" s="439"/>
      <c r="L10" s="439"/>
      <c r="M10" s="439"/>
      <c r="N10" s="439"/>
      <c r="O10" s="439"/>
      <c r="P10" s="439"/>
      <c r="Q10" s="439"/>
      <c r="R10" s="439"/>
      <c r="S10" s="439"/>
      <c r="T10" s="439"/>
      <c r="U10" s="439"/>
    </row>
    <row r="11">
      <c r="A11" s="439"/>
      <c r="B11" s="506"/>
      <c r="C11" s="507" t="s">
        <v>10630</v>
      </c>
      <c r="D11" s="508"/>
      <c r="E11" s="510"/>
      <c r="F11" s="469"/>
      <c r="G11" s="469"/>
      <c r="H11" s="439"/>
      <c r="I11" s="439"/>
      <c r="J11" s="439"/>
      <c r="K11" s="439"/>
      <c r="L11" s="439"/>
      <c r="M11" s="439"/>
      <c r="N11" s="439"/>
      <c r="O11" s="439"/>
      <c r="P11" s="439"/>
      <c r="Q11" s="439"/>
      <c r="R11" s="439"/>
      <c r="S11" s="439"/>
      <c r="T11" s="439"/>
      <c r="U11" s="439"/>
    </row>
    <row r="12">
      <c r="A12" s="439"/>
      <c r="B12" s="506"/>
      <c r="C12" s="507" t="s">
        <v>10631</v>
      </c>
      <c r="D12" s="508"/>
      <c r="E12" s="510"/>
      <c r="F12" s="469"/>
      <c r="G12" s="469"/>
      <c r="H12" s="439"/>
      <c r="I12" s="439"/>
      <c r="J12" s="439"/>
      <c r="K12" s="439"/>
      <c r="L12" s="439"/>
      <c r="M12" s="439"/>
      <c r="N12" s="439"/>
      <c r="O12" s="439"/>
      <c r="P12" s="439"/>
      <c r="Q12" s="439"/>
      <c r="R12" s="439"/>
      <c r="S12" s="439"/>
      <c r="T12" s="439"/>
      <c r="U12" s="439"/>
    </row>
    <row r="13">
      <c r="A13" s="439"/>
      <c r="B13" s="506"/>
      <c r="C13" s="507" t="s">
        <v>10632</v>
      </c>
      <c r="D13" s="508"/>
      <c r="E13" s="510">
        <v>0.0</v>
      </c>
      <c r="F13" s="469"/>
      <c r="G13" s="469"/>
      <c r="H13" s="439"/>
      <c r="I13" s="439"/>
      <c r="J13" s="439"/>
      <c r="K13" s="439"/>
      <c r="L13" s="439"/>
      <c r="M13" s="439"/>
      <c r="N13" s="439"/>
      <c r="O13" s="439"/>
      <c r="P13" s="439"/>
      <c r="Q13" s="439"/>
      <c r="R13" s="439"/>
      <c r="S13" s="439"/>
      <c r="T13" s="439"/>
      <c r="U13" s="439"/>
    </row>
    <row r="14">
      <c r="A14" s="439"/>
      <c r="B14" s="511" t="s">
        <v>10633</v>
      </c>
      <c r="C14" s="447"/>
      <c r="D14" s="512">
        <f>SUM(D6:D12)</f>
        <v>0</v>
      </c>
      <c r="E14" s="513" t="s">
        <v>10634</v>
      </c>
      <c r="F14" s="469"/>
      <c r="G14" s="469"/>
      <c r="H14" s="439"/>
      <c r="I14" s="439"/>
      <c r="J14" s="439"/>
      <c r="K14" s="439"/>
      <c r="L14" s="439"/>
      <c r="M14" s="439"/>
      <c r="N14" s="439"/>
      <c r="O14" s="439"/>
      <c r="P14" s="439"/>
      <c r="Q14" s="439"/>
      <c r="R14" s="439"/>
      <c r="S14" s="439"/>
      <c r="T14" s="439"/>
      <c r="U14" s="439"/>
    </row>
    <row r="15">
      <c r="A15" s="439"/>
      <c r="B15" s="511" t="s">
        <v>10635</v>
      </c>
      <c r="C15" s="447"/>
      <c r="D15" s="512">
        <f>SUM(E6:E12)</f>
        <v>0</v>
      </c>
      <c r="E15" s="514">
        <v>20.4722</v>
      </c>
      <c r="F15" s="469"/>
      <c r="G15" s="469"/>
      <c r="H15" s="439"/>
      <c r="I15" s="439"/>
      <c r="J15" s="439"/>
      <c r="K15" s="439"/>
      <c r="L15" s="439"/>
      <c r="M15" s="439"/>
      <c r="N15" s="439"/>
      <c r="O15" s="439"/>
      <c r="P15" s="439"/>
      <c r="Q15" s="439"/>
      <c r="R15" s="439"/>
      <c r="S15" s="439"/>
      <c r="T15" s="439"/>
      <c r="U15" s="439"/>
    </row>
    <row r="16">
      <c r="A16" s="439"/>
      <c r="B16" s="515"/>
      <c r="C16" s="516"/>
      <c r="D16" s="512">
        <f>D15*E15</f>
        <v>0</v>
      </c>
      <c r="E16" s="513"/>
      <c r="F16" s="469"/>
      <c r="G16" s="469"/>
      <c r="H16" s="439"/>
      <c r="I16" s="439"/>
      <c r="J16" s="439"/>
      <c r="K16" s="439"/>
      <c r="L16" s="439"/>
      <c r="M16" s="439"/>
      <c r="N16" s="439"/>
      <c r="O16" s="439"/>
      <c r="P16" s="439"/>
      <c r="Q16" s="439"/>
      <c r="R16" s="439"/>
      <c r="S16" s="439"/>
      <c r="T16" s="439"/>
      <c r="U16" s="439"/>
    </row>
    <row r="17">
      <c r="A17" s="439"/>
      <c r="B17" s="511" t="s">
        <v>10636</v>
      </c>
      <c r="C17" s="447"/>
      <c r="D17" s="512">
        <f>+D14+D16</f>
        <v>0</v>
      </c>
      <c r="E17" s="517"/>
      <c r="F17" s="469"/>
      <c r="G17" s="469"/>
      <c r="H17" s="439"/>
      <c r="I17" s="439"/>
      <c r="J17" s="439"/>
      <c r="K17" s="439"/>
      <c r="L17" s="439"/>
      <c r="M17" s="439"/>
      <c r="N17" s="439"/>
      <c r="O17" s="439"/>
      <c r="P17" s="439"/>
      <c r="Q17" s="439"/>
      <c r="R17" s="439"/>
      <c r="S17" s="439"/>
      <c r="T17" s="439"/>
      <c r="U17" s="439"/>
    </row>
    <row r="18">
      <c r="A18" s="439"/>
      <c r="B18" s="511" t="s">
        <v>10637</v>
      </c>
      <c r="C18" s="447"/>
      <c r="D18" s="512">
        <f>C3</f>
        <v>9736774.912</v>
      </c>
      <c r="E18" s="517"/>
      <c r="F18" s="469"/>
      <c r="G18" s="469"/>
      <c r="H18" s="439"/>
      <c r="I18" s="439"/>
      <c r="J18" s="439"/>
      <c r="K18" s="439"/>
      <c r="L18" s="439"/>
      <c r="M18" s="439"/>
      <c r="N18" s="439"/>
      <c r="O18" s="439"/>
      <c r="P18" s="439"/>
      <c r="Q18" s="439"/>
      <c r="R18" s="439"/>
      <c r="S18" s="439"/>
      <c r="T18" s="439"/>
      <c r="U18" s="439"/>
    </row>
    <row r="19">
      <c r="A19" s="439"/>
      <c r="B19" s="518" t="s">
        <v>10638</v>
      </c>
      <c r="E19" s="519"/>
      <c r="F19" s="469"/>
      <c r="G19" s="469"/>
      <c r="H19" s="439"/>
      <c r="I19" s="439"/>
      <c r="J19" s="439"/>
      <c r="K19" s="439"/>
      <c r="L19" s="439"/>
      <c r="M19" s="439"/>
      <c r="N19" s="439"/>
      <c r="O19" s="439"/>
      <c r="P19" s="439"/>
      <c r="Q19" s="439"/>
      <c r="R19" s="439"/>
      <c r="S19" s="439"/>
      <c r="T19" s="439"/>
      <c r="U19" s="439"/>
    </row>
    <row r="20">
      <c r="A20" s="439"/>
      <c r="B20" s="511" t="s">
        <v>10639</v>
      </c>
      <c r="C20" s="447"/>
      <c r="D20" s="447"/>
      <c r="E20" s="514">
        <f>D18</f>
        <v>9736774.912</v>
      </c>
      <c r="F20" s="469"/>
      <c r="G20" s="469"/>
      <c r="H20" s="439"/>
      <c r="I20" s="439"/>
      <c r="J20" s="439"/>
      <c r="K20" s="439"/>
      <c r="L20" s="439"/>
      <c r="M20" s="439"/>
      <c r="N20" s="439"/>
      <c r="O20" s="439"/>
      <c r="P20" s="439"/>
      <c r="Q20" s="439"/>
      <c r="R20" s="439"/>
      <c r="S20" s="439"/>
      <c r="T20" s="439"/>
      <c r="U20" s="439"/>
    </row>
    <row r="21" ht="15.75" customHeight="1">
      <c r="A21" s="439"/>
      <c r="B21" s="511" t="s">
        <v>10640</v>
      </c>
      <c r="C21" s="447"/>
      <c r="D21" s="447"/>
      <c r="E21" s="514">
        <f>D17</f>
        <v>0</v>
      </c>
      <c r="F21" s="469"/>
      <c r="G21" s="469"/>
      <c r="H21" s="439"/>
      <c r="I21" s="439"/>
      <c r="J21" s="439"/>
      <c r="K21" s="439"/>
      <c r="L21" s="439"/>
      <c r="M21" s="439"/>
      <c r="N21" s="439"/>
      <c r="O21" s="439"/>
      <c r="P21" s="439"/>
      <c r="Q21" s="439"/>
      <c r="R21" s="439"/>
      <c r="S21" s="439"/>
      <c r="T21" s="439"/>
      <c r="U21" s="439"/>
    </row>
    <row r="22" ht="15.75" customHeight="1">
      <c r="A22" s="439"/>
      <c r="B22" s="520" t="s">
        <v>10641</v>
      </c>
      <c r="C22" s="447"/>
      <c r="D22" s="447"/>
      <c r="E22" s="521">
        <f>E21-E20</f>
        <v>-9736774.912</v>
      </c>
      <c r="F22" s="469"/>
      <c r="G22" s="469"/>
      <c r="H22" s="439"/>
      <c r="I22" s="439"/>
      <c r="J22" s="439"/>
      <c r="K22" s="439"/>
      <c r="L22" s="439"/>
      <c r="M22" s="439"/>
      <c r="N22" s="439"/>
      <c r="O22" s="439"/>
      <c r="P22" s="439"/>
      <c r="Q22" s="439"/>
      <c r="R22" s="439"/>
      <c r="S22" s="439"/>
      <c r="T22" s="439"/>
      <c r="U22" s="439"/>
    </row>
    <row r="23" ht="15.75" customHeight="1">
      <c r="A23" s="439"/>
      <c r="B23" s="522" t="s">
        <v>10642</v>
      </c>
      <c r="C23" s="447"/>
      <c r="D23" s="447"/>
      <c r="E23" s="523">
        <f>D3</f>
        <v>38947099.65</v>
      </c>
      <c r="F23" s="469"/>
      <c r="G23" s="469"/>
      <c r="H23" s="439"/>
      <c r="I23" s="439"/>
      <c r="J23" s="439"/>
      <c r="K23" s="439"/>
      <c r="L23" s="439"/>
      <c r="M23" s="439"/>
      <c r="N23" s="439"/>
      <c r="O23" s="439"/>
      <c r="P23" s="439"/>
      <c r="Q23" s="439"/>
      <c r="R23" s="439"/>
      <c r="S23" s="439"/>
      <c r="T23" s="439"/>
      <c r="U23" s="439"/>
    </row>
    <row r="24" ht="15.75" customHeight="1">
      <c r="A24" s="439"/>
      <c r="B24" s="522" t="s">
        <v>10643</v>
      </c>
      <c r="C24" s="447"/>
      <c r="D24" s="447"/>
      <c r="E24" s="524">
        <f>E21/E23</f>
        <v>0</v>
      </c>
      <c r="F24" s="469"/>
      <c r="G24" s="469"/>
      <c r="H24" s="439"/>
      <c r="I24" s="439"/>
      <c r="J24" s="439"/>
      <c r="K24" s="439"/>
      <c r="L24" s="439"/>
      <c r="M24" s="439"/>
      <c r="N24" s="439"/>
      <c r="O24" s="439"/>
      <c r="P24" s="439"/>
      <c r="Q24" s="439"/>
      <c r="R24" s="439"/>
      <c r="S24" s="439"/>
      <c r="T24" s="439"/>
      <c r="U24" s="439"/>
    </row>
    <row r="25" ht="15.75" customHeight="1">
      <c r="A25" s="439"/>
      <c r="B25" s="525" t="s">
        <v>10644</v>
      </c>
      <c r="C25" s="526"/>
      <c r="D25" s="526"/>
      <c r="E25" s="527">
        <f>E23-E21</f>
        <v>38947099.65</v>
      </c>
      <c r="F25" s="469"/>
      <c r="G25" s="469"/>
      <c r="H25" s="439"/>
      <c r="I25" s="439"/>
      <c r="J25" s="439"/>
      <c r="K25" s="439"/>
      <c r="L25" s="439"/>
      <c r="M25" s="439"/>
      <c r="N25" s="439"/>
      <c r="O25" s="439"/>
      <c r="P25" s="439"/>
      <c r="Q25" s="439"/>
      <c r="R25" s="439"/>
      <c r="S25" s="439"/>
      <c r="T25" s="439"/>
      <c r="U25" s="439"/>
    </row>
    <row r="26" ht="15.75" customHeight="1">
      <c r="A26" s="439"/>
      <c r="B26" s="500" t="s">
        <v>10645</v>
      </c>
      <c r="C26" s="501"/>
      <c r="D26" s="501"/>
      <c r="E26" s="502"/>
      <c r="F26" s="469"/>
      <c r="G26" s="469"/>
      <c r="H26" s="439"/>
      <c r="I26" s="439"/>
      <c r="J26" s="439"/>
      <c r="K26" s="439"/>
      <c r="L26" s="439"/>
      <c r="M26" s="439"/>
      <c r="N26" s="439"/>
      <c r="O26" s="439"/>
      <c r="P26" s="439"/>
      <c r="Q26" s="439"/>
      <c r="R26" s="439"/>
      <c r="S26" s="439"/>
      <c r="T26" s="439"/>
      <c r="U26" s="439"/>
    </row>
    <row r="27" ht="15.75" customHeight="1">
      <c r="A27" s="439"/>
      <c r="B27" s="503"/>
      <c r="C27" s="504" t="s">
        <v>10624</v>
      </c>
      <c r="D27" s="504" t="s">
        <v>311</v>
      </c>
      <c r="E27" s="505" t="s">
        <v>547</v>
      </c>
      <c r="F27" s="469"/>
      <c r="G27" s="469"/>
      <c r="H27" s="439"/>
      <c r="I27" s="439"/>
      <c r="J27" s="439"/>
      <c r="K27" s="439"/>
      <c r="L27" s="439"/>
      <c r="M27" s="439"/>
      <c r="N27" s="439"/>
      <c r="O27" s="439"/>
      <c r="P27" s="439"/>
      <c r="Q27" s="439"/>
      <c r="R27" s="439"/>
      <c r="S27" s="439"/>
      <c r="T27" s="439"/>
      <c r="U27" s="439"/>
    </row>
    <row r="28" ht="15.75" customHeight="1">
      <c r="A28" s="439"/>
      <c r="B28" s="506"/>
      <c r="C28" s="507" t="s">
        <v>10625</v>
      </c>
      <c r="D28" s="508"/>
      <c r="E28" s="509"/>
      <c r="F28" s="469"/>
      <c r="G28" s="469"/>
      <c r="H28" s="439"/>
      <c r="I28" s="439"/>
      <c r="J28" s="439"/>
      <c r="K28" s="439"/>
      <c r="L28" s="439"/>
      <c r="M28" s="439"/>
      <c r="N28" s="439"/>
      <c r="O28" s="439"/>
      <c r="P28" s="439"/>
      <c r="Q28" s="439"/>
      <c r="R28" s="439"/>
      <c r="S28" s="439"/>
      <c r="T28" s="439"/>
      <c r="U28" s="439"/>
    </row>
    <row r="29" ht="15.75" customHeight="1">
      <c r="A29" s="439"/>
      <c r="B29" s="506">
        <v>1.0</v>
      </c>
      <c r="C29" s="507" t="s">
        <v>10626</v>
      </c>
      <c r="D29" s="508">
        <v>951326.65</v>
      </c>
      <c r="E29" s="510"/>
      <c r="F29" s="469"/>
      <c r="G29" s="469"/>
      <c r="H29" s="439"/>
      <c r="I29" s="439"/>
      <c r="J29" s="439"/>
      <c r="K29" s="439"/>
      <c r="L29" s="439"/>
      <c r="M29" s="439"/>
      <c r="N29" s="439"/>
      <c r="O29" s="439"/>
      <c r="P29" s="439"/>
      <c r="Q29" s="439"/>
      <c r="R29" s="439"/>
      <c r="S29" s="439"/>
      <c r="T29" s="439"/>
      <c r="U29" s="439"/>
    </row>
    <row r="30" ht="15.75" customHeight="1">
      <c r="A30" s="439"/>
      <c r="B30" s="506">
        <v>2.0</v>
      </c>
      <c r="C30" s="507" t="s">
        <v>10627</v>
      </c>
      <c r="D30" s="508">
        <v>1194280.89</v>
      </c>
      <c r="E30" s="510"/>
      <c r="F30" s="469"/>
      <c r="G30" s="469"/>
      <c r="H30" s="439"/>
      <c r="I30" s="439"/>
      <c r="J30" s="439"/>
      <c r="K30" s="439"/>
      <c r="L30" s="439"/>
      <c r="M30" s="439"/>
      <c r="N30" s="439"/>
      <c r="O30" s="439"/>
      <c r="P30" s="439"/>
      <c r="Q30" s="439"/>
      <c r="R30" s="439"/>
      <c r="S30" s="439"/>
      <c r="T30" s="439"/>
      <c r="U30" s="439"/>
    </row>
    <row r="31" ht="15.75" customHeight="1">
      <c r="A31" s="439"/>
      <c r="B31" s="506">
        <v>3.0</v>
      </c>
      <c r="C31" s="507" t="s">
        <v>10628</v>
      </c>
      <c r="D31" s="508">
        <v>984737.96</v>
      </c>
      <c r="E31" s="510">
        <v>8427.33</v>
      </c>
      <c r="F31" s="469"/>
      <c r="G31" s="469"/>
      <c r="H31" s="439"/>
      <c r="I31" s="439"/>
      <c r="J31" s="439"/>
      <c r="K31" s="439"/>
      <c r="L31" s="439"/>
      <c r="M31" s="439"/>
      <c r="N31" s="439"/>
      <c r="O31" s="439"/>
      <c r="P31" s="439"/>
      <c r="Q31" s="439"/>
      <c r="R31" s="439"/>
      <c r="S31" s="439"/>
      <c r="T31" s="439"/>
      <c r="U31" s="439"/>
    </row>
    <row r="32" ht="15.75" customHeight="1">
      <c r="A32" s="439"/>
      <c r="B32" s="506">
        <v>4.0</v>
      </c>
      <c r="C32" s="507" t="s">
        <v>10629</v>
      </c>
      <c r="D32" s="508">
        <v>1411296.3599999999</v>
      </c>
      <c r="E32" s="510">
        <v>312197.37999999995</v>
      </c>
      <c r="F32" s="469"/>
      <c r="G32" s="469"/>
      <c r="H32" s="439"/>
      <c r="I32" s="439"/>
      <c r="J32" s="439"/>
      <c r="K32" s="439"/>
      <c r="L32" s="439"/>
      <c r="M32" s="439"/>
      <c r="N32" s="439"/>
      <c r="O32" s="439"/>
      <c r="P32" s="439"/>
      <c r="Q32" s="439"/>
      <c r="R32" s="439"/>
      <c r="S32" s="439"/>
      <c r="T32" s="439"/>
      <c r="U32" s="439"/>
    </row>
    <row r="33" ht="15.75" customHeight="1">
      <c r="A33" s="439"/>
      <c r="B33" s="506">
        <v>5.0</v>
      </c>
      <c r="C33" s="507" t="s">
        <v>10630</v>
      </c>
      <c r="D33" s="508"/>
      <c r="E33" s="510"/>
      <c r="F33" s="469"/>
      <c r="G33" s="469"/>
      <c r="H33" s="439"/>
      <c r="I33" s="439"/>
      <c r="J33" s="439"/>
      <c r="K33" s="439"/>
      <c r="L33" s="439"/>
      <c r="M33" s="439"/>
      <c r="N33" s="439"/>
      <c r="O33" s="439"/>
      <c r="P33" s="439"/>
      <c r="Q33" s="439"/>
      <c r="R33" s="439"/>
      <c r="S33" s="439"/>
      <c r="T33" s="439"/>
      <c r="U33" s="439"/>
    </row>
    <row r="34" ht="15.75" customHeight="1">
      <c r="A34" s="439"/>
      <c r="B34" s="506">
        <v>6.0</v>
      </c>
      <c r="C34" s="507" t="s">
        <v>10631</v>
      </c>
      <c r="D34" s="508"/>
      <c r="E34" s="510"/>
      <c r="F34" s="469"/>
      <c r="G34" s="469"/>
      <c r="H34" s="439"/>
      <c r="I34" s="439"/>
      <c r="J34" s="439"/>
      <c r="K34" s="439"/>
      <c r="L34" s="439"/>
      <c r="M34" s="439"/>
      <c r="N34" s="439"/>
      <c r="O34" s="439"/>
      <c r="P34" s="439"/>
      <c r="Q34" s="439"/>
      <c r="R34" s="439"/>
      <c r="S34" s="439"/>
      <c r="T34" s="439"/>
      <c r="U34" s="439"/>
    </row>
    <row r="35" ht="15.75" customHeight="1">
      <c r="A35" s="439"/>
      <c r="B35" s="506"/>
      <c r="C35" s="507" t="s">
        <v>10632</v>
      </c>
      <c r="D35" s="508">
        <v>0.0</v>
      </c>
      <c r="E35" s="510"/>
      <c r="F35" s="469"/>
      <c r="G35" s="469"/>
      <c r="H35" s="439"/>
      <c r="I35" s="439"/>
      <c r="J35" s="439"/>
      <c r="K35" s="439"/>
      <c r="L35" s="439"/>
      <c r="M35" s="439"/>
      <c r="N35" s="439"/>
      <c r="O35" s="439"/>
      <c r="P35" s="439"/>
      <c r="Q35" s="439"/>
      <c r="R35" s="439"/>
      <c r="S35" s="439"/>
      <c r="T35" s="439"/>
      <c r="U35" s="439"/>
    </row>
    <row r="36" ht="15.75" customHeight="1">
      <c r="A36" s="439"/>
      <c r="B36" s="511" t="s">
        <v>10633</v>
      </c>
      <c r="C36" s="447"/>
      <c r="D36" s="512">
        <f>SUM(D28:D35)</f>
        <v>4541641.86</v>
      </c>
      <c r="E36" s="528" t="s">
        <v>10634</v>
      </c>
      <c r="F36" s="469"/>
      <c r="G36" s="469"/>
      <c r="H36" s="439"/>
      <c r="I36" s="439"/>
      <c r="J36" s="439"/>
      <c r="K36" s="439"/>
      <c r="L36" s="439"/>
      <c r="M36" s="439"/>
      <c r="N36" s="439"/>
      <c r="O36" s="439"/>
      <c r="P36" s="439"/>
      <c r="Q36" s="439"/>
      <c r="R36" s="439"/>
      <c r="S36" s="439"/>
      <c r="T36" s="439"/>
      <c r="U36" s="439"/>
    </row>
    <row r="37" ht="15.75" customHeight="1">
      <c r="A37" s="439"/>
      <c r="B37" s="511" t="s">
        <v>10635</v>
      </c>
      <c r="C37" s="447"/>
      <c r="D37" s="512">
        <f>SUM(E28:E34)</f>
        <v>320624.71</v>
      </c>
      <c r="E37" s="514">
        <v>20.5456</v>
      </c>
      <c r="F37" s="469"/>
      <c r="G37" s="469"/>
      <c r="H37" s="439"/>
      <c r="I37" s="439"/>
      <c r="J37" s="439"/>
      <c r="K37" s="439"/>
      <c r="L37" s="439"/>
      <c r="M37" s="439"/>
      <c r="N37" s="439"/>
      <c r="O37" s="439"/>
      <c r="P37" s="439"/>
      <c r="Q37" s="439"/>
      <c r="R37" s="439"/>
      <c r="S37" s="439"/>
      <c r="T37" s="439"/>
      <c r="U37" s="439"/>
    </row>
    <row r="38" ht="15.75" customHeight="1">
      <c r="A38" s="439"/>
      <c r="B38" s="515"/>
      <c r="C38" s="516"/>
      <c r="D38" s="512">
        <f>D37*E37</f>
        <v>6587427.042</v>
      </c>
      <c r="E38" s="513"/>
      <c r="F38" s="469"/>
      <c r="G38" s="469"/>
      <c r="H38" s="439"/>
      <c r="I38" s="439"/>
      <c r="J38" s="439"/>
      <c r="K38" s="439"/>
      <c r="L38" s="439"/>
      <c r="M38" s="439"/>
      <c r="N38" s="439"/>
      <c r="O38" s="439"/>
      <c r="P38" s="439"/>
      <c r="Q38" s="439"/>
      <c r="R38" s="439"/>
      <c r="S38" s="439"/>
      <c r="T38" s="439"/>
      <c r="U38" s="439"/>
    </row>
    <row r="39" ht="15.75" customHeight="1">
      <c r="A39" s="439"/>
      <c r="B39" s="511" t="s">
        <v>10636</v>
      </c>
      <c r="C39" s="447"/>
      <c r="D39" s="512">
        <f>+D36+D38</f>
        <v>11129068.9</v>
      </c>
      <c r="E39" s="517"/>
      <c r="F39" s="469"/>
      <c r="G39" s="469"/>
      <c r="H39" s="439"/>
      <c r="I39" s="439"/>
      <c r="J39" s="439"/>
      <c r="K39" s="439"/>
      <c r="L39" s="439"/>
      <c r="M39" s="439"/>
      <c r="N39" s="439"/>
      <c r="O39" s="439"/>
      <c r="P39" s="439"/>
      <c r="Q39" s="439"/>
      <c r="R39" s="439"/>
      <c r="S39" s="439"/>
      <c r="T39" s="439"/>
      <c r="U39" s="439"/>
    </row>
    <row r="40" ht="15.75" customHeight="1">
      <c r="A40" s="439"/>
      <c r="B40" s="511" t="s">
        <v>10637</v>
      </c>
      <c r="C40" s="447"/>
      <c r="D40" s="512">
        <f>C3</f>
        <v>9736774.912</v>
      </c>
      <c r="E40" s="517"/>
      <c r="F40" s="469"/>
      <c r="G40" s="469"/>
      <c r="H40" s="439"/>
      <c r="I40" s="439"/>
      <c r="J40" s="439"/>
      <c r="K40" s="439"/>
      <c r="L40" s="439"/>
      <c r="M40" s="439"/>
      <c r="N40" s="439"/>
      <c r="O40" s="439"/>
      <c r="P40" s="439"/>
      <c r="Q40" s="439"/>
      <c r="R40" s="439"/>
      <c r="S40" s="439"/>
      <c r="T40" s="439"/>
      <c r="U40" s="439"/>
    </row>
    <row r="41" ht="15.75" customHeight="1">
      <c r="A41" s="439"/>
      <c r="B41" s="518" t="s">
        <v>10638</v>
      </c>
      <c r="E41" s="519"/>
      <c r="F41" s="469"/>
      <c r="G41" s="469"/>
      <c r="H41" s="439"/>
      <c r="I41" s="439"/>
      <c r="J41" s="439"/>
      <c r="K41" s="439"/>
      <c r="L41" s="439"/>
      <c r="M41" s="439"/>
      <c r="N41" s="439"/>
      <c r="O41" s="439"/>
      <c r="P41" s="439"/>
      <c r="Q41" s="439"/>
      <c r="R41" s="439"/>
      <c r="S41" s="439"/>
      <c r="T41" s="439"/>
      <c r="U41" s="439"/>
    </row>
    <row r="42" ht="15.75" customHeight="1">
      <c r="A42" s="439"/>
      <c r="B42" s="511" t="s">
        <v>10639</v>
      </c>
      <c r="C42" s="447"/>
      <c r="D42" s="447"/>
      <c r="E42" s="514">
        <f>D40</f>
        <v>9736774.912</v>
      </c>
      <c r="F42" s="469"/>
      <c r="G42" s="469"/>
      <c r="H42" s="439"/>
      <c r="I42" s="439"/>
      <c r="J42" s="439"/>
      <c r="K42" s="439"/>
      <c r="L42" s="439"/>
      <c r="M42" s="439"/>
      <c r="N42" s="439"/>
      <c r="O42" s="439"/>
      <c r="P42" s="439"/>
      <c r="Q42" s="439"/>
      <c r="R42" s="439"/>
      <c r="S42" s="439"/>
      <c r="T42" s="439"/>
      <c r="U42" s="439"/>
    </row>
    <row r="43" ht="15.75" customHeight="1">
      <c r="A43" s="439"/>
      <c r="B43" s="511" t="s">
        <v>10640</v>
      </c>
      <c r="C43" s="447"/>
      <c r="D43" s="447"/>
      <c r="E43" s="514">
        <f>D39+D17</f>
        <v>11129068.9</v>
      </c>
      <c r="F43" s="469"/>
      <c r="G43" s="469"/>
      <c r="H43" s="439"/>
      <c r="I43" s="439"/>
      <c r="J43" s="439"/>
      <c r="K43" s="439"/>
      <c r="L43" s="439"/>
      <c r="M43" s="439"/>
      <c r="N43" s="439"/>
      <c r="O43" s="439"/>
      <c r="P43" s="439"/>
      <c r="Q43" s="439"/>
      <c r="R43" s="439"/>
      <c r="S43" s="439"/>
      <c r="T43" s="439"/>
      <c r="U43" s="439"/>
    </row>
    <row r="44" ht="15.75" customHeight="1">
      <c r="A44" s="439"/>
      <c r="B44" s="529" t="s">
        <v>10641</v>
      </c>
      <c r="C44" s="447"/>
      <c r="D44" s="447"/>
      <c r="E44" s="521">
        <f>E43-E42</f>
        <v>1392293.99</v>
      </c>
      <c r="F44" s="469"/>
      <c r="G44" s="469"/>
      <c r="H44" s="439"/>
      <c r="I44" s="439"/>
      <c r="J44" s="439"/>
      <c r="K44" s="439"/>
      <c r="L44" s="439"/>
      <c r="M44" s="439"/>
      <c r="N44" s="439"/>
      <c r="O44" s="439"/>
      <c r="P44" s="439"/>
      <c r="Q44" s="439"/>
      <c r="R44" s="439"/>
      <c r="S44" s="439"/>
      <c r="T44" s="439"/>
      <c r="U44" s="439"/>
    </row>
    <row r="45" ht="15.75" customHeight="1">
      <c r="A45" s="439"/>
      <c r="B45" s="522" t="s">
        <v>10642</v>
      </c>
      <c r="C45" s="447"/>
      <c r="D45" s="447"/>
      <c r="E45" s="523">
        <f>D3</f>
        <v>38947099.65</v>
      </c>
      <c r="F45" s="469"/>
      <c r="G45" s="469"/>
      <c r="H45" s="439"/>
      <c r="I45" s="439"/>
      <c r="J45" s="439"/>
      <c r="K45" s="439"/>
      <c r="L45" s="439"/>
      <c r="M45" s="439"/>
      <c r="N45" s="439"/>
      <c r="O45" s="439"/>
      <c r="P45" s="439"/>
      <c r="Q45" s="439"/>
      <c r="R45" s="439"/>
      <c r="S45" s="439"/>
      <c r="T45" s="439"/>
      <c r="U45" s="439"/>
    </row>
    <row r="46" ht="15.75" customHeight="1">
      <c r="A46" s="439"/>
      <c r="B46" s="522" t="s">
        <v>10643</v>
      </c>
      <c r="C46" s="447"/>
      <c r="D46" s="447"/>
      <c r="E46" s="524">
        <f>F3</f>
        <v>1.110027385</v>
      </c>
      <c r="F46" s="469"/>
      <c r="G46" s="469"/>
      <c r="H46" s="439"/>
      <c r="I46" s="439"/>
      <c r="J46" s="439"/>
      <c r="K46" s="439"/>
      <c r="L46" s="439"/>
      <c r="M46" s="439"/>
      <c r="N46" s="439"/>
      <c r="O46" s="439"/>
      <c r="P46" s="439"/>
      <c r="Q46" s="439"/>
      <c r="R46" s="439"/>
      <c r="S46" s="439"/>
      <c r="T46" s="439"/>
      <c r="U46" s="439"/>
    </row>
    <row r="47" ht="15.75" customHeight="1">
      <c r="A47" s="439"/>
      <c r="B47" s="525" t="s">
        <v>10644</v>
      </c>
      <c r="C47" s="526"/>
      <c r="D47" s="526"/>
      <c r="E47" s="527" t="str">
        <f>G3</f>
        <v>OBJETIVO SUPERADO</v>
      </c>
      <c r="F47" s="469"/>
      <c r="G47" s="46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439"/>
      <c r="T47" s="439"/>
      <c r="U47" s="439"/>
    </row>
    <row r="48" ht="15.75" customHeight="1">
      <c r="A48" s="439"/>
      <c r="B48" s="500" t="s">
        <v>10646</v>
      </c>
      <c r="C48" s="501"/>
      <c r="D48" s="501"/>
      <c r="E48" s="502"/>
      <c r="F48" s="469"/>
      <c r="G48" s="469"/>
      <c r="H48" s="439"/>
      <c r="I48" s="439"/>
      <c r="J48" s="439"/>
      <c r="K48" s="439"/>
      <c r="L48" s="439"/>
      <c r="M48" s="439"/>
      <c r="N48" s="439"/>
      <c r="O48" s="439"/>
      <c r="P48" s="439"/>
      <c r="Q48" s="439"/>
      <c r="R48" s="439"/>
      <c r="S48" s="439"/>
      <c r="T48" s="439"/>
      <c r="U48" s="439"/>
    </row>
    <row r="49" ht="15.75" customHeight="1">
      <c r="A49" s="439"/>
      <c r="B49" s="503"/>
      <c r="C49" s="504" t="s">
        <v>10624</v>
      </c>
      <c r="D49" s="504" t="s">
        <v>311</v>
      </c>
      <c r="E49" s="505" t="s">
        <v>547</v>
      </c>
      <c r="F49" s="530"/>
      <c r="G49" s="469"/>
      <c r="H49" s="439"/>
      <c r="I49" s="439"/>
      <c r="J49" s="439"/>
      <c r="K49" s="439"/>
      <c r="L49" s="439"/>
      <c r="M49" s="439"/>
      <c r="N49" s="439"/>
      <c r="O49" s="439"/>
      <c r="P49" s="439"/>
      <c r="Q49" s="439"/>
      <c r="R49" s="439"/>
      <c r="S49" s="439"/>
      <c r="T49" s="439"/>
      <c r="U49" s="439"/>
    </row>
    <row r="50" ht="15.75" customHeight="1">
      <c r="A50" s="439"/>
      <c r="B50" s="506">
        <v>7.0</v>
      </c>
      <c r="C50" s="507" t="s">
        <v>10625</v>
      </c>
      <c r="D50" s="508">
        <v>4212022.59</v>
      </c>
      <c r="E50" s="509"/>
      <c r="F50" s="469"/>
      <c r="G50" s="469"/>
      <c r="H50" s="439"/>
      <c r="I50" s="439"/>
      <c r="J50" s="439"/>
      <c r="K50" s="439"/>
      <c r="L50" s="439"/>
      <c r="M50" s="439"/>
      <c r="N50" s="439"/>
      <c r="O50" s="439"/>
      <c r="P50" s="439"/>
      <c r="Q50" s="439"/>
      <c r="R50" s="439"/>
      <c r="S50" s="439"/>
      <c r="T50" s="439"/>
      <c r="U50" s="439"/>
    </row>
    <row r="51" ht="15.75" customHeight="1">
      <c r="A51" s="439"/>
      <c r="B51" s="506">
        <v>8.0</v>
      </c>
      <c r="C51" s="507" t="s">
        <v>10626</v>
      </c>
      <c r="D51" s="508"/>
      <c r="E51" s="510">
        <v>6162.81</v>
      </c>
      <c r="F51" s="469"/>
      <c r="G51" s="469"/>
      <c r="H51" s="439"/>
      <c r="I51" s="439"/>
      <c r="J51" s="439"/>
      <c r="K51" s="439"/>
      <c r="L51" s="439"/>
      <c r="M51" s="439"/>
      <c r="N51" s="439"/>
      <c r="O51" s="439"/>
      <c r="P51" s="439"/>
      <c r="Q51" s="439"/>
      <c r="R51" s="439"/>
      <c r="S51" s="439"/>
      <c r="T51" s="439"/>
      <c r="U51" s="439"/>
    </row>
    <row r="52" ht="15.75" customHeight="1">
      <c r="A52" s="439"/>
      <c r="B52" s="506">
        <v>9.0</v>
      </c>
      <c r="C52" s="507" t="s">
        <v>10627</v>
      </c>
      <c r="D52" s="508"/>
      <c r="E52" s="510">
        <v>10421.49</v>
      </c>
      <c r="F52" s="469"/>
      <c r="G52" s="469"/>
      <c r="H52" s="439"/>
      <c r="I52" s="439"/>
      <c r="J52" s="439"/>
      <c r="K52" s="439"/>
      <c r="L52" s="439"/>
      <c r="M52" s="439"/>
      <c r="N52" s="439"/>
      <c r="O52" s="439"/>
      <c r="P52" s="439"/>
      <c r="Q52" s="439"/>
      <c r="R52" s="439"/>
      <c r="S52" s="439"/>
      <c r="T52" s="439"/>
      <c r="U52" s="439"/>
    </row>
    <row r="53" ht="15.75" customHeight="1">
      <c r="A53" s="439"/>
      <c r="B53" s="506">
        <v>10.0</v>
      </c>
      <c r="C53" s="507" t="s">
        <v>10628</v>
      </c>
      <c r="D53" s="508">
        <v>692773.9299999999</v>
      </c>
      <c r="E53" s="510">
        <v>27535.59</v>
      </c>
      <c r="F53" s="469"/>
      <c r="G53" s="530"/>
      <c r="H53" s="439"/>
      <c r="I53" s="439"/>
      <c r="J53" s="439"/>
      <c r="K53" s="439"/>
      <c r="L53" s="439"/>
      <c r="M53" s="439"/>
      <c r="N53" s="439"/>
      <c r="O53" s="439"/>
      <c r="P53" s="439"/>
      <c r="Q53" s="439"/>
      <c r="R53" s="439"/>
      <c r="S53" s="439"/>
      <c r="T53" s="439"/>
      <c r="U53" s="439"/>
    </row>
    <row r="54" ht="15.75" customHeight="1">
      <c r="A54" s="439"/>
      <c r="B54" s="506">
        <v>11.0</v>
      </c>
      <c r="C54" s="507" t="s">
        <v>10629</v>
      </c>
      <c r="D54" s="508">
        <v>1804900.2699999998</v>
      </c>
      <c r="E54" s="510">
        <v>160203.91</v>
      </c>
      <c r="F54" s="469"/>
      <c r="G54" s="469"/>
      <c r="H54" s="439"/>
      <c r="I54" s="439"/>
      <c r="J54" s="439"/>
      <c r="K54" s="439"/>
      <c r="L54" s="439"/>
      <c r="M54" s="439"/>
      <c r="N54" s="439"/>
      <c r="O54" s="439"/>
      <c r="P54" s="439"/>
      <c r="Q54" s="439"/>
      <c r="R54" s="439"/>
      <c r="S54" s="439"/>
      <c r="T54" s="439"/>
      <c r="U54" s="439"/>
    </row>
    <row r="55" ht="15.75" customHeight="1">
      <c r="A55" s="439"/>
      <c r="B55" s="506">
        <v>12.0</v>
      </c>
      <c r="C55" s="507" t="s">
        <v>10630</v>
      </c>
      <c r="D55" s="508"/>
      <c r="E55" s="510"/>
      <c r="F55" s="469"/>
      <c r="G55" s="469"/>
      <c r="H55" s="439"/>
      <c r="I55" s="439"/>
      <c r="J55" s="439"/>
      <c r="K55" s="439"/>
      <c r="L55" s="439"/>
      <c r="M55" s="439"/>
      <c r="N55" s="439"/>
      <c r="O55" s="439"/>
      <c r="P55" s="439"/>
      <c r="Q55" s="439"/>
      <c r="R55" s="439"/>
      <c r="S55" s="439"/>
      <c r="T55" s="439"/>
      <c r="U55" s="439"/>
    </row>
    <row r="56" ht="15.75" customHeight="1">
      <c r="A56" s="439"/>
      <c r="B56" s="506">
        <v>13.0</v>
      </c>
      <c r="C56" s="507" t="s">
        <v>10631</v>
      </c>
      <c r="D56" s="508"/>
      <c r="E56" s="510"/>
      <c r="F56" s="469"/>
      <c r="G56" s="469"/>
      <c r="H56" s="439"/>
      <c r="I56" s="439"/>
      <c r="J56" s="439"/>
      <c r="K56" s="439"/>
      <c r="L56" s="439"/>
      <c r="M56" s="439"/>
      <c r="N56" s="439"/>
      <c r="O56" s="439"/>
      <c r="P56" s="439"/>
      <c r="Q56" s="439"/>
      <c r="R56" s="439"/>
      <c r="S56" s="439"/>
      <c r="T56" s="439"/>
      <c r="U56" s="439"/>
    </row>
    <row r="57" ht="15.75" customHeight="1">
      <c r="A57" s="439"/>
      <c r="B57" s="506"/>
      <c r="C57" s="507" t="s">
        <v>10632</v>
      </c>
      <c r="D57" s="508"/>
      <c r="E57" s="510">
        <v>0.0</v>
      </c>
      <c r="F57" s="469"/>
      <c r="G57" s="469"/>
      <c r="H57" s="439"/>
      <c r="I57" s="439"/>
      <c r="J57" s="439"/>
      <c r="K57" s="439"/>
      <c r="L57" s="439"/>
      <c r="M57" s="439"/>
      <c r="N57" s="439"/>
      <c r="O57" s="439"/>
      <c r="P57" s="439"/>
      <c r="Q57" s="439"/>
      <c r="R57" s="439"/>
      <c r="S57" s="439"/>
      <c r="T57" s="439"/>
      <c r="U57" s="439"/>
    </row>
    <row r="58" ht="15.75" customHeight="1">
      <c r="A58" s="439"/>
      <c r="B58" s="511" t="s">
        <v>10633</v>
      </c>
      <c r="C58" s="447"/>
      <c r="D58" s="512">
        <f>SUM(D50:D57)</f>
        <v>6709696.79</v>
      </c>
      <c r="E58" s="513" t="s">
        <v>10634</v>
      </c>
      <c r="F58" s="469"/>
      <c r="G58" s="469"/>
      <c r="H58" s="439"/>
      <c r="I58" s="439"/>
      <c r="J58" s="439"/>
      <c r="K58" s="439"/>
      <c r="L58" s="439"/>
      <c r="M58" s="439"/>
      <c r="N58" s="439"/>
      <c r="O58" s="439"/>
      <c r="P58" s="439"/>
      <c r="Q58" s="439"/>
      <c r="R58" s="439"/>
      <c r="S58" s="439"/>
      <c r="T58" s="439"/>
      <c r="U58" s="439"/>
    </row>
    <row r="59" ht="15.75" customHeight="1">
      <c r="A59" s="439"/>
      <c r="B59" s="511" t="s">
        <v>10635</v>
      </c>
      <c r="C59" s="447"/>
      <c r="D59" s="512">
        <f>SUM(E50:E56)</f>
        <v>204323.8</v>
      </c>
      <c r="E59" s="531">
        <v>20.63</v>
      </c>
      <c r="F59" s="469"/>
      <c r="G59" s="532"/>
      <c r="H59" s="439"/>
      <c r="I59" s="439"/>
      <c r="J59" s="439"/>
      <c r="K59" s="439"/>
      <c r="L59" s="439"/>
      <c r="M59" s="439"/>
      <c r="N59" s="439"/>
      <c r="O59" s="439"/>
      <c r="P59" s="439"/>
      <c r="Q59" s="439"/>
      <c r="R59" s="439"/>
      <c r="S59" s="439"/>
      <c r="T59" s="439"/>
      <c r="U59" s="439"/>
    </row>
    <row r="60" ht="15.75" customHeight="1">
      <c r="A60" s="439"/>
      <c r="B60" s="515"/>
      <c r="C60" s="516"/>
      <c r="D60" s="512">
        <f>D59*E59</f>
        <v>4215199.994</v>
      </c>
      <c r="E60" s="513"/>
      <c r="F60" s="469"/>
      <c r="G60" s="469"/>
      <c r="H60" s="439"/>
      <c r="I60" s="439"/>
      <c r="J60" s="439"/>
      <c r="K60" s="439"/>
      <c r="L60" s="439"/>
      <c r="M60" s="439"/>
      <c r="N60" s="439"/>
      <c r="O60" s="439"/>
      <c r="P60" s="439"/>
      <c r="Q60" s="439"/>
      <c r="R60" s="439"/>
      <c r="S60" s="439"/>
      <c r="T60" s="439"/>
      <c r="U60" s="439"/>
    </row>
    <row r="61" ht="15.75" customHeight="1">
      <c r="A61" s="439"/>
      <c r="B61" s="511" t="s">
        <v>10636</v>
      </c>
      <c r="C61" s="447"/>
      <c r="D61" s="512">
        <f>+D58+D60</f>
        <v>10924896.78</v>
      </c>
      <c r="E61" s="517"/>
      <c r="F61" s="469"/>
      <c r="G61" s="469"/>
      <c r="H61" s="439"/>
      <c r="I61" s="439"/>
      <c r="J61" s="439"/>
      <c r="K61" s="439"/>
      <c r="L61" s="439"/>
      <c r="M61" s="439"/>
      <c r="N61" s="439"/>
      <c r="O61" s="439"/>
      <c r="P61" s="439"/>
      <c r="Q61" s="439"/>
      <c r="R61" s="439"/>
      <c r="S61" s="439"/>
      <c r="T61" s="439"/>
      <c r="U61" s="439"/>
    </row>
    <row r="62" ht="15.75" customHeight="1">
      <c r="A62" s="439"/>
      <c r="B62" s="511" t="s">
        <v>10637</v>
      </c>
      <c r="C62" s="447"/>
      <c r="D62" s="512">
        <f>D40</f>
        <v>9736774.912</v>
      </c>
      <c r="E62" s="517"/>
      <c r="F62" s="469"/>
      <c r="G62" s="469"/>
      <c r="H62" s="439"/>
      <c r="I62" s="439"/>
      <c r="J62" s="439"/>
      <c r="K62" s="439"/>
      <c r="L62" s="439"/>
      <c r="M62" s="439"/>
      <c r="N62" s="439"/>
      <c r="O62" s="439"/>
      <c r="P62" s="439"/>
      <c r="Q62" s="439"/>
      <c r="R62" s="439"/>
      <c r="S62" s="439"/>
      <c r="T62" s="439"/>
      <c r="U62" s="439"/>
    </row>
    <row r="63" ht="15.75" customHeight="1">
      <c r="A63" s="439"/>
      <c r="B63" s="520" t="s">
        <v>10641</v>
      </c>
      <c r="C63" s="447"/>
      <c r="D63" s="447"/>
      <c r="E63" s="521">
        <f>D61-D62</f>
        <v>1188121.872</v>
      </c>
      <c r="F63" s="469"/>
      <c r="G63" s="469"/>
      <c r="H63" s="439"/>
      <c r="I63" s="439"/>
      <c r="J63" s="439"/>
      <c r="K63" s="439"/>
      <c r="L63" s="439"/>
      <c r="M63" s="439"/>
      <c r="N63" s="439"/>
      <c r="O63" s="439"/>
      <c r="P63" s="439"/>
      <c r="Q63" s="439"/>
      <c r="R63" s="439"/>
      <c r="S63" s="439"/>
      <c r="T63" s="439"/>
      <c r="U63" s="439"/>
    </row>
    <row r="64" ht="15.75" customHeight="1">
      <c r="A64" s="439"/>
      <c r="B64" s="518" t="s">
        <v>10638</v>
      </c>
      <c r="E64" s="519"/>
      <c r="F64" s="469"/>
      <c r="G64" s="46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439"/>
      <c r="T64" s="439"/>
      <c r="U64" s="439"/>
    </row>
    <row r="65" ht="15.75" customHeight="1">
      <c r="A65" s="439"/>
      <c r="B65" s="511" t="s">
        <v>10647</v>
      </c>
      <c r="C65" s="447"/>
      <c r="D65" s="447"/>
      <c r="E65" s="514">
        <f>C3*2</f>
        <v>19473549.82</v>
      </c>
      <c r="F65" s="469"/>
      <c r="G65" s="469"/>
      <c r="H65" s="439"/>
      <c r="I65" s="439"/>
      <c r="J65" s="439"/>
      <c r="K65" s="439"/>
      <c r="L65" s="439"/>
      <c r="M65" s="439"/>
      <c r="N65" s="439"/>
      <c r="O65" s="439"/>
      <c r="P65" s="439"/>
      <c r="Q65" s="439"/>
      <c r="R65" s="439"/>
      <c r="S65" s="439"/>
      <c r="T65" s="439"/>
      <c r="U65" s="439"/>
    </row>
    <row r="66" ht="15.75" customHeight="1">
      <c r="A66" s="439"/>
      <c r="B66" s="511" t="s">
        <v>10648</v>
      </c>
      <c r="C66" s="447"/>
      <c r="D66" s="447"/>
      <c r="E66" s="514">
        <f>D39+D61+D17</f>
        <v>22053965.69</v>
      </c>
      <c r="F66" s="469"/>
      <c r="G66" s="46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</row>
    <row r="67" ht="15.75" customHeight="1">
      <c r="A67" s="439"/>
      <c r="B67" s="520" t="s">
        <v>10641</v>
      </c>
      <c r="C67" s="447"/>
      <c r="D67" s="447"/>
      <c r="E67" s="521">
        <f>E66-E65</f>
        <v>2580415.862</v>
      </c>
      <c r="F67" s="469"/>
      <c r="G67" s="469"/>
      <c r="H67" s="439"/>
      <c r="I67" s="439"/>
      <c r="J67" s="439"/>
      <c r="K67" s="439"/>
      <c r="L67" s="439"/>
      <c r="M67" s="439"/>
      <c r="N67" s="439"/>
      <c r="O67" s="439"/>
      <c r="P67" s="439"/>
      <c r="Q67" s="439"/>
      <c r="R67" s="439"/>
      <c r="S67" s="439"/>
      <c r="T67" s="439"/>
      <c r="U67" s="439"/>
    </row>
    <row r="68" ht="15.75" customHeight="1">
      <c r="A68" s="439"/>
      <c r="B68" s="522" t="s">
        <v>10642</v>
      </c>
      <c r="C68" s="447"/>
      <c r="D68" s="447"/>
      <c r="E68" s="523">
        <f>D3</f>
        <v>38947099.65</v>
      </c>
      <c r="F68" s="469"/>
      <c r="G68" s="469"/>
      <c r="H68" s="439"/>
      <c r="I68" s="439"/>
      <c r="J68" s="439"/>
      <c r="K68" s="439"/>
      <c r="L68" s="439"/>
      <c r="M68" s="439"/>
      <c r="N68" s="439"/>
      <c r="O68" s="439"/>
      <c r="P68" s="439"/>
      <c r="Q68" s="439"/>
      <c r="R68" s="439"/>
      <c r="S68" s="439"/>
      <c r="T68" s="439"/>
      <c r="U68" s="439"/>
    </row>
    <row r="69" ht="15.75" customHeight="1">
      <c r="A69" s="439"/>
      <c r="B69" s="522" t="s">
        <v>10643</v>
      </c>
      <c r="C69" s="447"/>
      <c r="D69" s="447"/>
      <c r="E69" s="524">
        <f>E66/E68</f>
        <v>0.566254378</v>
      </c>
      <c r="F69" s="469"/>
      <c r="G69" s="469"/>
      <c r="H69" s="439"/>
      <c r="I69" s="439"/>
      <c r="J69" s="439"/>
      <c r="K69" s="439"/>
      <c r="L69" s="439"/>
      <c r="M69" s="439"/>
      <c r="N69" s="439"/>
      <c r="O69" s="439"/>
      <c r="P69" s="439"/>
      <c r="Q69" s="439"/>
      <c r="R69" s="439"/>
      <c r="S69" s="439"/>
      <c r="T69" s="439"/>
      <c r="U69" s="439"/>
    </row>
    <row r="70" ht="15.75" customHeight="1">
      <c r="A70" s="439"/>
      <c r="B70" s="525" t="s">
        <v>10644</v>
      </c>
      <c r="C70" s="526"/>
      <c r="D70" s="526"/>
      <c r="E70" s="527">
        <f>E68-E66</f>
        <v>16893133.96</v>
      </c>
      <c r="F70" s="469"/>
      <c r="G70" s="469"/>
      <c r="H70" s="439"/>
      <c r="I70" s="439"/>
      <c r="J70" s="439"/>
      <c r="K70" s="439"/>
      <c r="L70" s="439"/>
      <c r="M70" s="439"/>
      <c r="N70" s="439"/>
      <c r="O70" s="439"/>
      <c r="P70" s="439"/>
      <c r="Q70" s="439"/>
      <c r="R70" s="439"/>
      <c r="S70" s="439"/>
      <c r="T70" s="439"/>
      <c r="U70" s="439"/>
    </row>
    <row r="71" ht="15.75" customHeight="1">
      <c r="A71" s="439"/>
      <c r="B71" s="500" t="s">
        <v>10649</v>
      </c>
      <c r="C71" s="501"/>
      <c r="D71" s="501"/>
      <c r="E71" s="502"/>
      <c r="F71" s="469"/>
      <c r="G71" s="469"/>
      <c r="H71" s="439"/>
      <c r="I71" s="439"/>
      <c r="J71" s="439"/>
      <c r="K71" s="439"/>
      <c r="L71" s="439"/>
      <c r="M71" s="439"/>
      <c r="N71" s="439"/>
      <c r="O71" s="439"/>
      <c r="P71" s="439"/>
      <c r="Q71" s="439"/>
      <c r="R71" s="439"/>
      <c r="S71" s="439"/>
      <c r="T71" s="439"/>
      <c r="U71" s="439"/>
    </row>
    <row r="72" ht="15.75" customHeight="1">
      <c r="A72" s="439"/>
      <c r="B72" s="503"/>
      <c r="C72" s="504" t="s">
        <v>10624</v>
      </c>
      <c r="D72" s="504" t="s">
        <v>311</v>
      </c>
      <c r="E72" s="505" t="s">
        <v>547</v>
      </c>
      <c r="F72" s="469"/>
      <c r="G72" s="469"/>
      <c r="H72" s="439"/>
      <c r="I72" s="439"/>
      <c r="J72" s="439"/>
      <c r="K72" s="439"/>
      <c r="L72" s="439"/>
      <c r="M72" s="439"/>
      <c r="N72" s="439"/>
      <c r="O72" s="439"/>
      <c r="P72" s="439"/>
      <c r="Q72" s="439"/>
      <c r="R72" s="439"/>
      <c r="S72" s="439"/>
      <c r="T72" s="439"/>
      <c r="U72" s="439"/>
    </row>
    <row r="73" ht="15.75" customHeight="1">
      <c r="A73" s="439"/>
      <c r="B73" s="506">
        <v>14.0</v>
      </c>
      <c r="C73" s="507" t="s">
        <v>10625</v>
      </c>
      <c r="D73" s="533"/>
      <c r="E73" s="509"/>
      <c r="F73" s="469"/>
      <c r="G73" s="469"/>
      <c r="H73" s="439"/>
      <c r="I73" s="439"/>
      <c r="J73" s="439"/>
      <c r="K73" s="439"/>
      <c r="L73" s="439"/>
      <c r="M73" s="439"/>
      <c r="N73" s="439"/>
      <c r="O73" s="439"/>
      <c r="P73" s="439"/>
      <c r="Q73" s="439"/>
      <c r="R73" s="439"/>
      <c r="S73" s="439"/>
      <c r="T73" s="439"/>
      <c r="U73" s="439"/>
    </row>
    <row r="74" ht="15.75" customHeight="1">
      <c r="A74" s="439"/>
      <c r="B74" s="506">
        <v>15.0</v>
      </c>
      <c r="C74" s="507" t="s">
        <v>10626</v>
      </c>
      <c r="D74" s="508">
        <v>2348464.27</v>
      </c>
      <c r="E74" s="510"/>
      <c r="F74" s="469"/>
      <c r="G74" s="469"/>
      <c r="H74" s="439"/>
      <c r="I74" s="439"/>
      <c r="J74" s="439"/>
      <c r="K74" s="439"/>
      <c r="L74" s="439"/>
      <c r="M74" s="439"/>
      <c r="N74" s="439"/>
      <c r="O74" s="439"/>
      <c r="P74" s="439"/>
      <c r="Q74" s="439"/>
      <c r="R74" s="439"/>
      <c r="S74" s="439"/>
      <c r="T74" s="439"/>
      <c r="U74" s="439"/>
    </row>
    <row r="75" ht="15.75" customHeight="1">
      <c r="A75" s="439"/>
      <c r="B75" s="506">
        <v>16.0</v>
      </c>
      <c r="C75" s="507" t="s">
        <v>10627</v>
      </c>
      <c r="D75" s="508">
        <v>807868.9400000001</v>
      </c>
      <c r="E75" s="510">
        <v>11976.62</v>
      </c>
      <c r="F75" s="469"/>
      <c r="G75" s="469"/>
      <c r="H75" s="439"/>
      <c r="I75" s="439"/>
      <c r="J75" s="439"/>
      <c r="K75" s="439"/>
      <c r="L75" s="439"/>
      <c r="M75" s="439"/>
      <c r="N75" s="439"/>
      <c r="O75" s="439"/>
      <c r="P75" s="439"/>
      <c r="Q75" s="439"/>
      <c r="R75" s="439"/>
      <c r="S75" s="439"/>
      <c r="T75" s="439"/>
      <c r="U75" s="439"/>
    </row>
    <row r="76" ht="15.75" customHeight="1">
      <c r="A76" s="439"/>
      <c r="B76" s="506">
        <v>17.0</v>
      </c>
      <c r="C76" s="507" t="s">
        <v>10628</v>
      </c>
      <c r="D76" s="508"/>
      <c r="E76" s="510"/>
      <c r="F76" s="469"/>
      <c r="G76" s="469"/>
      <c r="H76" s="439"/>
      <c r="I76" s="439"/>
      <c r="J76" s="439"/>
      <c r="K76" s="439"/>
      <c r="L76" s="439"/>
      <c r="M76" s="439"/>
      <c r="N76" s="439"/>
      <c r="O76" s="439"/>
      <c r="P76" s="439"/>
      <c r="Q76" s="439"/>
      <c r="R76" s="439"/>
      <c r="S76" s="439"/>
      <c r="T76" s="439"/>
      <c r="U76" s="439"/>
    </row>
    <row r="77" ht="15.75" customHeight="1">
      <c r="A77" s="439"/>
      <c r="B77" s="506">
        <v>18.0</v>
      </c>
      <c r="C77" s="507" t="s">
        <v>10629</v>
      </c>
      <c r="D77" s="508"/>
      <c r="E77" s="510"/>
      <c r="F77" s="469"/>
      <c r="G77" s="469"/>
      <c r="H77" s="439"/>
      <c r="I77" s="439"/>
      <c r="J77" s="439"/>
      <c r="K77" s="439"/>
      <c r="L77" s="439"/>
      <c r="M77" s="439"/>
      <c r="N77" s="439"/>
      <c r="O77" s="439"/>
      <c r="P77" s="439"/>
      <c r="Q77" s="439"/>
      <c r="R77" s="439"/>
      <c r="S77" s="439"/>
      <c r="T77" s="439"/>
      <c r="U77" s="439"/>
    </row>
    <row r="78" ht="15.75" customHeight="1">
      <c r="A78" s="439"/>
      <c r="B78" s="506">
        <v>19.0</v>
      </c>
      <c r="C78" s="507" t="s">
        <v>10630</v>
      </c>
      <c r="D78" s="508"/>
      <c r="E78" s="510"/>
      <c r="F78" s="469"/>
      <c r="G78" s="469"/>
      <c r="H78" s="439"/>
      <c r="I78" s="439"/>
      <c r="J78" s="439"/>
      <c r="K78" s="439"/>
      <c r="L78" s="439"/>
      <c r="M78" s="439"/>
      <c r="N78" s="439"/>
      <c r="O78" s="439"/>
      <c r="P78" s="439"/>
      <c r="Q78" s="439"/>
      <c r="R78" s="439"/>
      <c r="S78" s="439"/>
      <c r="T78" s="439"/>
      <c r="U78" s="439"/>
    </row>
    <row r="79" ht="15.75" customHeight="1">
      <c r="A79" s="439"/>
      <c r="B79" s="506">
        <v>20.0</v>
      </c>
      <c r="C79" s="507" t="s">
        <v>10631</v>
      </c>
      <c r="D79" s="508"/>
      <c r="E79" s="510"/>
      <c r="F79" s="469"/>
      <c r="G79" s="469"/>
      <c r="H79" s="439"/>
      <c r="I79" s="439"/>
      <c r="J79" s="439"/>
      <c r="K79" s="439"/>
      <c r="L79" s="439"/>
      <c r="M79" s="439"/>
      <c r="N79" s="439"/>
      <c r="O79" s="439"/>
      <c r="P79" s="439"/>
      <c r="Q79" s="439"/>
      <c r="R79" s="439"/>
      <c r="S79" s="439"/>
      <c r="T79" s="439"/>
      <c r="U79" s="439"/>
    </row>
    <row r="80" ht="15.75" customHeight="1">
      <c r="A80" s="439"/>
      <c r="B80" s="506"/>
      <c r="C80" s="507" t="s">
        <v>10632</v>
      </c>
      <c r="D80" s="508"/>
      <c r="E80" s="510">
        <v>0.0</v>
      </c>
      <c r="F80" s="469"/>
      <c r="G80" s="469"/>
      <c r="H80" s="439"/>
      <c r="I80" s="439"/>
      <c r="J80" s="439"/>
      <c r="K80" s="439"/>
      <c r="L80" s="439"/>
      <c r="M80" s="439"/>
      <c r="N80" s="439"/>
      <c r="O80" s="439"/>
      <c r="P80" s="439"/>
      <c r="Q80" s="439"/>
      <c r="R80" s="439"/>
      <c r="S80" s="439"/>
      <c r="T80" s="439"/>
      <c r="U80" s="439"/>
    </row>
    <row r="81" ht="15.75" customHeight="1">
      <c r="A81" s="439"/>
      <c r="B81" s="511" t="s">
        <v>10633</v>
      </c>
      <c r="C81" s="447"/>
      <c r="D81" s="512">
        <f>SUM(D73:D79)</f>
        <v>3156333.21</v>
      </c>
      <c r="E81" s="513" t="s">
        <v>10634</v>
      </c>
      <c r="F81" s="469"/>
      <c r="G81" s="469"/>
      <c r="H81" s="439"/>
      <c r="I81" s="439"/>
      <c r="J81" s="439"/>
      <c r="K81" s="439"/>
      <c r="L81" s="439"/>
      <c r="M81" s="439"/>
      <c r="N81" s="439"/>
      <c r="O81" s="439"/>
      <c r="P81" s="439"/>
      <c r="Q81" s="439"/>
      <c r="R81" s="439"/>
      <c r="S81" s="439"/>
      <c r="T81" s="439"/>
      <c r="U81" s="439"/>
    </row>
    <row r="82" ht="15.75" customHeight="1">
      <c r="A82" s="439"/>
      <c r="B82" s="511" t="s">
        <v>10635</v>
      </c>
      <c r="C82" s="447"/>
      <c r="D82" s="512">
        <f>SUM(E73:E79)</f>
        <v>11976.62</v>
      </c>
      <c r="E82" s="531">
        <v>20.0213</v>
      </c>
      <c r="F82" s="469"/>
      <c r="G82" s="469"/>
      <c r="H82" s="439"/>
      <c r="I82" s="439"/>
      <c r="J82" s="439"/>
      <c r="K82" s="439"/>
      <c r="L82" s="439"/>
      <c r="M82" s="439"/>
      <c r="N82" s="439"/>
      <c r="O82" s="439"/>
      <c r="P82" s="439"/>
      <c r="Q82" s="439"/>
      <c r="R82" s="439"/>
      <c r="S82" s="439"/>
      <c r="T82" s="439"/>
      <c r="U82" s="439"/>
    </row>
    <row r="83" ht="15.75" customHeight="1">
      <c r="A83" s="439"/>
      <c r="B83" s="515"/>
      <c r="C83" s="516"/>
      <c r="D83" s="512">
        <f>D82*E82</f>
        <v>239787.502</v>
      </c>
      <c r="E83" s="513"/>
      <c r="F83" s="469"/>
      <c r="G83" s="534"/>
      <c r="H83" s="439"/>
      <c r="I83" s="439"/>
      <c r="J83" s="439"/>
      <c r="K83" s="439"/>
      <c r="L83" s="439"/>
      <c r="M83" s="439"/>
      <c r="N83" s="439"/>
      <c r="O83" s="439"/>
      <c r="P83" s="439"/>
      <c r="Q83" s="439"/>
      <c r="R83" s="439"/>
      <c r="S83" s="439"/>
      <c r="T83" s="439"/>
      <c r="U83" s="439"/>
    </row>
    <row r="84" ht="15.75" customHeight="1">
      <c r="A84" s="439"/>
      <c r="B84" s="511" t="s">
        <v>10636</v>
      </c>
      <c r="C84" s="447"/>
      <c r="D84" s="512">
        <f>+D81+D83</f>
        <v>3396120.712</v>
      </c>
      <c r="E84" s="517"/>
      <c r="F84" s="535"/>
      <c r="G84" s="535"/>
      <c r="H84" s="439"/>
      <c r="I84" s="439"/>
      <c r="J84" s="439"/>
      <c r="K84" s="439"/>
      <c r="L84" s="439"/>
      <c r="M84" s="439"/>
      <c r="N84" s="439"/>
      <c r="O84" s="439"/>
      <c r="P84" s="439"/>
      <c r="Q84" s="439"/>
      <c r="R84" s="439"/>
      <c r="S84" s="439"/>
      <c r="T84" s="439"/>
      <c r="U84" s="439"/>
    </row>
    <row r="85" ht="15.75" customHeight="1">
      <c r="A85" s="439"/>
      <c r="B85" s="511" t="s">
        <v>10637</v>
      </c>
      <c r="C85" s="447"/>
      <c r="D85" s="512">
        <f>D62</f>
        <v>9736774.912</v>
      </c>
      <c r="E85" s="517"/>
      <c r="F85" s="535"/>
      <c r="G85" s="535"/>
      <c r="H85" s="439"/>
      <c r="I85" s="439"/>
      <c r="J85" s="439"/>
      <c r="K85" s="439"/>
      <c r="L85" s="439"/>
      <c r="M85" s="439"/>
      <c r="N85" s="439"/>
      <c r="O85" s="439"/>
      <c r="P85" s="439"/>
      <c r="Q85" s="439"/>
      <c r="R85" s="439"/>
      <c r="S85" s="439"/>
      <c r="T85" s="439"/>
      <c r="U85" s="439"/>
    </row>
    <row r="86" ht="15.75" customHeight="1">
      <c r="A86" s="439"/>
      <c r="B86" s="520" t="s">
        <v>10641</v>
      </c>
      <c r="C86" s="447"/>
      <c r="D86" s="447"/>
      <c r="E86" s="521">
        <f>+D84-D85</f>
        <v>-6340654.2</v>
      </c>
      <c r="F86" s="535"/>
      <c r="G86" s="535"/>
      <c r="H86" s="439"/>
      <c r="I86" s="439"/>
      <c r="J86" s="439"/>
      <c r="K86" s="439"/>
      <c r="L86" s="439"/>
      <c r="M86" s="439"/>
      <c r="N86" s="439"/>
      <c r="O86" s="439"/>
      <c r="P86" s="439"/>
      <c r="Q86" s="439"/>
      <c r="R86" s="439"/>
      <c r="S86" s="439"/>
      <c r="T86" s="439"/>
      <c r="U86" s="439"/>
    </row>
    <row r="87" ht="15.75" customHeight="1">
      <c r="A87" s="439"/>
      <c r="B87" s="518" t="s">
        <v>10638</v>
      </c>
      <c r="E87" s="519"/>
      <c r="F87" s="535"/>
      <c r="G87" s="535"/>
      <c r="H87" s="439"/>
      <c r="I87" s="439"/>
      <c r="J87" s="439"/>
      <c r="K87" s="439"/>
      <c r="L87" s="439"/>
      <c r="M87" s="439"/>
      <c r="N87" s="439"/>
      <c r="O87" s="439"/>
      <c r="P87" s="439"/>
      <c r="Q87" s="439"/>
      <c r="R87" s="439"/>
      <c r="S87" s="439"/>
      <c r="T87" s="439"/>
      <c r="U87" s="439"/>
    </row>
    <row r="88" ht="15.75" customHeight="1">
      <c r="A88" s="439"/>
      <c r="B88" s="511" t="s">
        <v>10650</v>
      </c>
      <c r="C88" s="447"/>
      <c r="D88" s="447"/>
      <c r="E88" s="536">
        <f>C3*3</f>
        <v>29210324.74</v>
      </c>
      <c r="F88" s="469"/>
      <c r="G88" s="469"/>
      <c r="H88" s="439"/>
      <c r="I88" s="439"/>
      <c r="J88" s="439"/>
      <c r="K88" s="439"/>
      <c r="L88" s="439"/>
      <c r="M88" s="439"/>
      <c r="N88" s="439"/>
      <c r="O88" s="439"/>
      <c r="P88" s="439"/>
      <c r="Q88" s="439"/>
      <c r="R88" s="439"/>
      <c r="S88" s="439"/>
      <c r="T88" s="439"/>
      <c r="U88" s="439"/>
    </row>
    <row r="89" ht="15.75" customHeight="1">
      <c r="A89" s="439"/>
      <c r="B89" s="511" t="s">
        <v>10651</v>
      </c>
      <c r="C89" s="447"/>
      <c r="D89" s="447"/>
      <c r="E89" s="514">
        <f>E66+D84</f>
        <v>25450086.4</v>
      </c>
      <c r="F89" s="469"/>
      <c r="G89" s="469"/>
      <c r="H89" s="439"/>
      <c r="I89" s="439"/>
      <c r="J89" s="439"/>
      <c r="K89" s="439"/>
      <c r="L89" s="439"/>
      <c r="M89" s="439"/>
      <c r="N89" s="439"/>
      <c r="O89" s="439"/>
      <c r="P89" s="439"/>
      <c r="Q89" s="439"/>
      <c r="R89" s="439"/>
      <c r="S89" s="439"/>
      <c r="T89" s="439"/>
      <c r="U89" s="439"/>
    </row>
    <row r="90" ht="15.75" customHeight="1">
      <c r="A90" s="439"/>
      <c r="B90" s="520" t="s">
        <v>10641</v>
      </c>
      <c r="C90" s="447"/>
      <c r="D90" s="447"/>
      <c r="E90" s="521">
        <f>E89-E88</f>
        <v>-3760238.337</v>
      </c>
      <c r="F90" s="530">
        <f>E91-E89</f>
        <v>13497013.25</v>
      </c>
      <c r="G90" s="469"/>
      <c r="H90" s="439"/>
      <c r="I90" s="439"/>
      <c r="J90" s="439"/>
      <c r="K90" s="439"/>
      <c r="L90" s="439"/>
      <c r="M90" s="439"/>
      <c r="N90" s="439"/>
      <c r="O90" s="439"/>
      <c r="P90" s="439"/>
      <c r="Q90" s="439"/>
      <c r="R90" s="439"/>
      <c r="S90" s="439"/>
      <c r="T90" s="439"/>
      <c r="U90" s="439"/>
    </row>
    <row r="91" ht="15.75" customHeight="1">
      <c r="A91" s="439"/>
      <c r="B91" s="522" t="s">
        <v>10642</v>
      </c>
      <c r="C91" s="447"/>
      <c r="D91" s="447"/>
      <c r="E91" s="523">
        <f>D3</f>
        <v>38947099.65</v>
      </c>
      <c r="F91" s="469"/>
      <c r="G91" s="469"/>
      <c r="H91" s="439"/>
      <c r="I91" s="440"/>
      <c r="J91" s="440"/>
      <c r="K91" s="439"/>
      <c r="L91" s="439"/>
      <c r="M91" s="439"/>
      <c r="N91" s="439"/>
      <c r="O91" s="439"/>
      <c r="P91" s="439"/>
      <c r="Q91" s="439"/>
      <c r="R91" s="439"/>
      <c r="S91" s="439"/>
      <c r="T91" s="439"/>
      <c r="U91" s="439"/>
    </row>
    <row r="92" ht="15.75" customHeight="1">
      <c r="A92" s="439"/>
      <c r="B92" s="522" t="s">
        <v>10643</v>
      </c>
      <c r="C92" s="447"/>
      <c r="D92" s="447"/>
      <c r="E92" s="537">
        <f>E89/E91</f>
        <v>0.6534526737</v>
      </c>
      <c r="F92" s="469"/>
      <c r="G92" s="469"/>
      <c r="H92" s="439"/>
      <c r="I92" s="440"/>
      <c r="J92" s="440"/>
      <c r="K92" s="439"/>
      <c r="L92" s="439"/>
      <c r="M92" s="439"/>
      <c r="N92" s="439"/>
      <c r="O92" s="439"/>
      <c r="P92" s="439"/>
      <c r="Q92" s="439"/>
      <c r="R92" s="439"/>
      <c r="S92" s="439"/>
      <c r="T92" s="439"/>
      <c r="U92" s="439"/>
    </row>
    <row r="93" ht="15.75" customHeight="1">
      <c r="A93" s="439"/>
      <c r="B93" s="500" t="s">
        <v>10652</v>
      </c>
      <c r="C93" s="501"/>
      <c r="D93" s="501"/>
      <c r="E93" s="502"/>
      <c r="F93" s="469"/>
      <c r="G93" s="469"/>
      <c r="H93" s="439"/>
      <c r="I93" s="439"/>
      <c r="J93" s="439"/>
      <c r="K93" s="439"/>
      <c r="L93" s="439"/>
      <c r="M93" s="439"/>
      <c r="N93" s="439"/>
      <c r="O93" s="439"/>
      <c r="P93" s="439"/>
      <c r="Q93" s="439"/>
      <c r="R93" s="439"/>
      <c r="S93" s="439"/>
      <c r="T93" s="439"/>
      <c r="U93" s="439"/>
    </row>
    <row r="94" ht="15.75" customHeight="1">
      <c r="A94" s="439"/>
      <c r="B94" s="503"/>
      <c r="C94" s="504" t="s">
        <v>10624</v>
      </c>
      <c r="D94" s="504" t="s">
        <v>311</v>
      </c>
      <c r="E94" s="505" t="s">
        <v>547</v>
      </c>
      <c r="F94" s="469"/>
      <c r="G94" s="469"/>
      <c r="H94" s="439"/>
      <c r="I94" s="439"/>
      <c r="J94" s="439"/>
      <c r="K94" s="439"/>
      <c r="L94" s="439"/>
      <c r="M94" s="439"/>
      <c r="N94" s="439"/>
      <c r="O94" s="439"/>
      <c r="P94" s="439"/>
      <c r="Q94" s="439"/>
      <c r="R94" s="439"/>
      <c r="S94" s="439"/>
      <c r="T94" s="439"/>
      <c r="U94" s="439"/>
    </row>
    <row r="95" ht="15.75" customHeight="1">
      <c r="A95" s="439"/>
      <c r="B95" s="506">
        <v>21.0</v>
      </c>
      <c r="C95" s="507" t="s">
        <v>10625</v>
      </c>
      <c r="D95" s="508">
        <v>5067116.57</v>
      </c>
      <c r="E95" s="509">
        <v>36570.78</v>
      </c>
      <c r="F95" s="469"/>
      <c r="G95" s="469"/>
      <c r="H95" s="439"/>
      <c r="I95" s="439"/>
      <c r="J95" s="439"/>
      <c r="K95" s="439"/>
      <c r="L95" s="439"/>
      <c r="M95" s="439"/>
      <c r="N95" s="439"/>
      <c r="O95" s="439"/>
      <c r="P95" s="439"/>
      <c r="Q95" s="439"/>
      <c r="R95" s="439"/>
      <c r="S95" s="439"/>
      <c r="T95" s="439"/>
      <c r="U95" s="439"/>
    </row>
    <row r="96" ht="15.75" customHeight="1">
      <c r="A96" s="439"/>
      <c r="B96" s="506">
        <v>22.0</v>
      </c>
      <c r="C96" s="507" t="s">
        <v>10626</v>
      </c>
      <c r="D96" s="508">
        <v>10672.0</v>
      </c>
      <c r="E96" s="510"/>
      <c r="F96" s="469"/>
      <c r="G96" s="469"/>
      <c r="H96" s="439"/>
      <c r="I96" s="439"/>
      <c r="J96" s="439"/>
      <c r="K96" s="439"/>
      <c r="L96" s="439"/>
      <c r="M96" s="439"/>
      <c r="N96" s="439"/>
      <c r="O96" s="439"/>
      <c r="P96" s="439"/>
      <c r="Q96" s="439"/>
      <c r="R96" s="439"/>
      <c r="S96" s="439"/>
      <c r="T96" s="439"/>
      <c r="U96" s="439"/>
    </row>
    <row r="97" ht="15.75" customHeight="1">
      <c r="A97" s="439"/>
      <c r="B97" s="506">
        <v>23.0</v>
      </c>
      <c r="C97" s="507" t="s">
        <v>10627</v>
      </c>
      <c r="D97" s="508">
        <v>2288082.61</v>
      </c>
      <c r="E97" s="510"/>
      <c r="F97" s="469"/>
      <c r="G97" s="469"/>
      <c r="H97" s="439"/>
      <c r="I97" s="439"/>
      <c r="J97" s="439"/>
      <c r="K97" s="439"/>
      <c r="L97" s="439"/>
      <c r="M97" s="439"/>
      <c r="N97" s="439"/>
      <c r="O97" s="439"/>
      <c r="P97" s="439"/>
      <c r="Q97" s="439"/>
      <c r="R97" s="439"/>
      <c r="S97" s="439"/>
      <c r="T97" s="439"/>
      <c r="U97" s="439"/>
    </row>
    <row r="98" ht="15.75" customHeight="1">
      <c r="A98" s="439"/>
      <c r="B98" s="506">
        <v>24.0</v>
      </c>
      <c r="C98" s="507" t="s">
        <v>10628</v>
      </c>
      <c r="D98" s="508">
        <v>2167629.8</v>
      </c>
      <c r="E98" s="509">
        <v>126050.29</v>
      </c>
      <c r="F98" s="469"/>
      <c r="G98" s="469"/>
      <c r="H98" s="439"/>
      <c r="I98" s="439"/>
      <c r="J98" s="439"/>
      <c r="K98" s="439"/>
      <c r="L98" s="439"/>
      <c r="M98" s="439"/>
      <c r="N98" s="439"/>
      <c r="O98" s="439"/>
      <c r="P98" s="439"/>
      <c r="Q98" s="439"/>
      <c r="R98" s="439"/>
      <c r="S98" s="439"/>
      <c r="T98" s="439"/>
      <c r="U98" s="439"/>
    </row>
    <row r="99" ht="15.75" customHeight="1">
      <c r="A99" s="439"/>
      <c r="B99" s="506">
        <v>25.0</v>
      </c>
      <c r="C99" s="507" t="s">
        <v>10629</v>
      </c>
      <c r="D99" s="508">
        <v>1057726.7936</v>
      </c>
      <c r="E99" s="510">
        <v>9007.2</v>
      </c>
      <c r="F99" s="530"/>
      <c r="G99" s="469"/>
      <c r="H99" s="439"/>
      <c r="I99" s="439"/>
      <c r="J99" s="439"/>
      <c r="K99" s="439"/>
      <c r="L99" s="439"/>
      <c r="M99" s="439"/>
      <c r="N99" s="439"/>
      <c r="O99" s="439"/>
      <c r="P99" s="439"/>
      <c r="Q99" s="439"/>
      <c r="R99" s="439"/>
      <c r="S99" s="439"/>
      <c r="T99" s="439"/>
      <c r="U99" s="439"/>
    </row>
    <row r="100" ht="15.75" customHeight="1">
      <c r="A100" s="439"/>
      <c r="B100" s="506">
        <v>26.0</v>
      </c>
      <c r="C100" s="507" t="s">
        <v>10630</v>
      </c>
      <c r="D100" s="508"/>
      <c r="E100" s="510"/>
      <c r="F100" s="469"/>
      <c r="G100" s="469"/>
      <c r="H100" s="439"/>
      <c r="I100" s="439"/>
      <c r="J100" s="439"/>
      <c r="K100" s="439"/>
      <c r="L100" s="439"/>
      <c r="M100" s="439"/>
      <c r="N100" s="439"/>
      <c r="O100" s="439"/>
      <c r="P100" s="439"/>
      <c r="Q100" s="439"/>
      <c r="R100" s="439"/>
      <c r="S100" s="439"/>
      <c r="T100" s="439"/>
      <c r="U100" s="439"/>
    </row>
    <row r="101" ht="15.75" customHeight="1">
      <c r="A101" s="439"/>
      <c r="B101" s="506">
        <v>27.0</v>
      </c>
      <c r="C101" s="507" t="s">
        <v>10631</v>
      </c>
      <c r="D101" s="508"/>
      <c r="E101" s="510"/>
      <c r="F101" s="469"/>
      <c r="G101" s="469"/>
      <c r="H101" s="439"/>
      <c r="I101" s="439"/>
      <c r="J101" s="439"/>
      <c r="K101" s="439"/>
      <c r="L101" s="439"/>
      <c r="M101" s="439"/>
      <c r="N101" s="439"/>
      <c r="O101" s="439"/>
      <c r="P101" s="439"/>
      <c r="Q101" s="439"/>
      <c r="R101" s="439"/>
      <c r="S101" s="439"/>
      <c r="T101" s="439"/>
      <c r="U101" s="439"/>
    </row>
    <row r="102" ht="15.75" customHeight="1">
      <c r="A102" s="439"/>
      <c r="B102" s="506">
        <v>28.0</v>
      </c>
      <c r="C102" s="507" t="s">
        <v>10653</v>
      </c>
      <c r="D102" s="508">
        <v>1428184.5299999998</v>
      </c>
      <c r="E102" s="510">
        <v>7975.78</v>
      </c>
      <c r="F102" s="469"/>
      <c r="G102" s="469"/>
      <c r="H102" s="439"/>
      <c r="I102" s="440"/>
      <c r="J102" s="439"/>
      <c r="K102" s="439"/>
      <c r="L102" s="439"/>
      <c r="M102" s="439"/>
      <c r="N102" s="439"/>
      <c r="O102" s="439"/>
      <c r="P102" s="439"/>
      <c r="Q102" s="439"/>
      <c r="R102" s="439"/>
      <c r="S102" s="439"/>
      <c r="T102" s="439"/>
      <c r="U102" s="439"/>
    </row>
    <row r="103" ht="15.75" customHeight="1">
      <c r="A103" s="439"/>
      <c r="B103" s="506">
        <v>29.0</v>
      </c>
      <c r="C103" s="507" t="s">
        <v>10654</v>
      </c>
      <c r="D103" s="508">
        <v>18049.6</v>
      </c>
      <c r="E103" s="510"/>
      <c r="F103" s="469"/>
      <c r="G103" s="469"/>
      <c r="H103" s="439"/>
      <c r="I103" s="538"/>
      <c r="J103" s="439"/>
      <c r="K103" s="439"/>
      <c r="L103" s="439"/>
      <c r="M103" s="439"/>
      <c r="N103" s="439"/>
      <c r="O103" s="439"/>
      <c r="P103" s="439"/>
      <c r="Q103" s="439"/>
      <c r="R103" s="439"/>
      <c r="S103" s="439"/>
      <c r="T103" s="439"/>
      <c r="U103" s="439"/>
    </row>
    <row r="104" ht="15.75" customHeight="1">
      <c r="A104" s="439"/>
      <c r="B104" s="506"/>
      <c r="C104" s="507" t="s">
        <v>10632</v>
      </c>
      <c r="D104" s="508"/>
      <c r="E104" s="510">
        <v>0.0</v>
      </c>
      <c r="F104" s="469"/>
      <c r="G104" s="469"/>
      <c r="H104" s="439"/>
      <c r="I104" s="440"/>
      <c r="J104" s="439"/>
      <c r="K104" s="439"/>
      <c r="L104" s="439"/>
      <c r="M104" s="439"/>
      <c r="N104" s="439"/>
      <c r="O104" s="439"/>
      <c r="P104" s="439"/>
      <c r="Q104" s="439"/>
      <c r="R104" s="439"/>
      <c r="S104" s="439"/>
      <c r="T104" s="439"/>
      <c r="U104" s="439"/>
    </row>
    <row r="105" ht="15.75" customHeight="1">
      <c r="A105" s="439"/>
      <c r="B105" s="511" t="s">
        <v>10633</v>
      </c>
      <c r="C105" s="447"/>
      <c r="D105" s="512">
        <f>SUM(D95:D103)</f>
        <v>12037461.9</v>
      </c>
      <c r="E105" s="513" t="s">
        <v>10634</v>
      </c>
      <c r="F105" s="469"/>
      <c r="G105" s="469"/>
      <c r="H105" s="439"/>
      <c r="I105" s="439"/>
      <c r="J105" s="439"/>
      <c r="K105" s="439"/>
      <c r="L105" s="439"/>
      <c r="M105" s="439"/>
      <c r="N105" s="439"/>
      <c r="O105" s="439"/>
      <c r="P105" s="439"/>
      <c r="Q105" s="439"/>
      <c r="R105" s="439"/>
      <c r="S105" s="439"/>
      <c r="T105" s="439"/>
      <c r="U105" s="439"/>
    </row>
    <row r="106" ht="15.75" customHeight="1">
      <c r="A106" s="439"/>
      <c r="B106" s="511" t="s">
        <v>10635</v>
      </c>
      <c r="C106" s="447"/>
      <c r="D106" s="512">
        <f>SUM(E95:E103)</f>
        <v>179604.05</v>
      </c>
      <c r="E106" s="531">
        <v>19.5825</v>
      </c>
      <c r="F106" s="469"/>
      <c r="G106" s="469"/>
      <c r="H106" s="439"/>
      <c r="I106" s="439"/>
      <c r="J106" s="439"/>
      <c r="K106" s="439"/>
      <c r="L106" s="439"/>
      <c r="M106" s="439"/>
      <c r="N106" s="439"/>
      <c r="O106" s="439"/>
      <c r="P106" s="439"/>
      <c r="Q106" s="439"/>
      <c r="R106" s="439"/>
      <c r="S106" s="439"/>
      <c r="T106" s="439"/>
      <c r="U106" s="439"/>
    </row>
    <row r="107" ht="15.75" customHeight="1">
      <c r="A107" s="439"/>
      <c r="B107" s="515"/>
      <c r="C107" s="516"/>
      <c r="D107" s="512">
        <f>D106*E106</f>
        <v>3517096.309</v>
      </c>
      <c r="E107" s="513"/>
      <c r="F107" s="469"/>
      <c r="G107" s="469"/>
      <c r="H107" s="439"/>
      <c r="I107" s="439"/>
      <c r="J107" s="439"/>
      <c r="K107" s="439"/>
      <c r="L107" s="439"/>
      <c r="M107" s="439"/>
      <c r="N107" s="439"/>
      <c r="O107" s="439"/>
      <c r="P107" s="439"/>
      <c r="Q107" s="439"/>
      <c r="R107" s="439"/>
      <c r="S107" s="439"/>
      <c r="T107" s="439"/>
      <c r="U107" s="439"/>
    </row>
    <row r="108" ht="15.75" customHeight="1">
      <c r="A108" s="439"/>
      <c r="B108" s="511" t="s">
        <v>10636</v>
      </c>
      <c r="C108" s="447"/>
      <c r="D108" s="512">
        <f>+D105+D107</f>
        <v>15554558.21</v>
      </c>
      <c r="E108" s="517"/>
      <c r="F108" s="469"/>
      <c r="G108" s="469"/>
      <c r="H108" s="439"/>
      <c r="I108" s="439"/>
      <c r="J108" s="439"/>
      <c r="K108" s="439"/>
      <c r="L108" s="439"/>
      <c r="M108" s="439"/>
      <c r="N108" s="439"/>
      <c r="O108" s="439"/>
      <c r="P108" s="439"/>
      <c r="Q108" s="439"/>
      <c r="R108" s="439"/>
      <c r="S108" s="439"/>
      <c r="T108" s="439"/>
      <c r="U108" s="439"/>
    </row>
    <row r="109" ht="15.75" customHeight="1">
      <c r="A109" s="439"/>
      <c r="B109" s="511" t="s">
        <v>10637</v>
      </c>
      <c r="C109" s="447"/>
      <c r="D109" s="512">
        <f>D85</f>
        <v>9736774.912</v>
      </c>
      <c r="E109" s="517"/>
      <c r="F109" s="469"/>
      <c r="G109" s="469"/>
      <c r="H109" s="439"/>
      <c r="I109" s="439"/>
      <c r="J109" s="439"/>
      <c r="K109" s="439"/>
      <c r="L109" s="439"/>
      <c r="M109" s="439"/>
      <c r="N109" s="439"/>
      <c r="O109" s="439"/>
      <c r="P109" s="439"/>
      <c r="Q109" s="439"/>
      <c r="R109" s="439"/>
      <c r="S109" s="439"/>
      <c r="T109" s="439"/>
      <c r="U109" s="439"/>
    </row>
    <row r="110" ht="15.75" customHeight="1">
      <c r="A110" s="439"/>
      <c r="B110" s="520" t="s">
        <v>10641</v>
      </c>
      <c r="C110" s="447"/>
      <c r="D110" s="447"/>
      <c r="E110" s="521">
        <f>+D108-D109</f>
        <v>5817783.301</v>
      </c>
      <c r="F110" s="469"/>
      <c r="G110" s="469"/>
      <c r="H110" s="439"/>
      <c r="I110" s="439"/>
      <c r="J110" s="439"/>
      <c r="K110" s="439"/>
      <c r="L110" s="439"/>
      <c r="M110" s="439"/>
      <c r="N110" s="439"/>
      <c r="O110" s="439"/>
      <c r="P110" s="439"/>
      <c r="Q110" s="439"/>
      <c r="R110" s="439"/>
      <c r="S110" s="439"/>
      <c r="T110" s="439"/>
      <c r="U110" s="439"/>
    </row>
    <row r="111" ht="15.75" customHeight="1">
      <c r="A111" s="439"/>
      <c r="B111" s="518" t="s">
        <v>10638</v>
      </c>
      <c r="E111" s="519"/>
      <c r="F111" s="469"/>
      <c r="G111" s="469"/>
      <c r="H111" s="439"/>
      <c r="I111" s="439"/>
      <c r="J111" s="439"/>
      <c r="K111" s="439"/>
      <c r="L111" s="439"/>
      <c r="M111" s="439"/>
      <c r="N111" s="439"/>
      <c r="O111" s="439"/>
      <c r="P111" s="439"/>
      <c r="Q111" s="439"/>
      <c r="R111" s="439"/>
      <c r="S111" s="439"/>
      <c r="T111" s="439"/>
      <c r="U111" s="439"/>
    </row>
    <row r="112" ht="15.75" customHeight="1">
      <c r="A112" s="439"/>
      <c r="B112" s="511" t="s">
        <v>10655</v>
      </c>
      <c r="C112" s="447"/>
      <c r="D112" s="447"/>
      <c r="E112" s="514">
        <f>C3*4</f>
        <v>38947099.65</v>
      </c>
      <c r="F112" s="469"/>
      <c r="G112" s="469"/>
      <c r="H112" s="439"/>
      <c r="I112" s="439"/>
      <c r="J112" s="439"/>
      <c r="K112" s="439"/>
      <c r="L112" s="439"/>
      <c r="M112" s="439"/>
      <c r="N112" s="439"/>
      <c r="O112" s="439"/>
      <c r="P112" s="439"/>
      <c r="Q112" s="439"/>
      <c r="R112" s="439"/>
      <c r="S112" s="439"/>
      <c r="T112" s="439"/>
      <c r="U112" s="439"/>
    </row>
    <row r="113" ht="15.75" customHeight="1">
      <c r="A113" s="439"/>
      <c r="B113" s="511" t="s">
        <v>10656</v>
      </c>
      <c r="C113" s="447"/>
      <c r="D113" s="447"/>
      <c r="E113" s="514">
        <f>D108+D84+D61+D39+D17</f>
        <v>41004644.61</v>
      </c>
      <c r="F113" s="530"/>
      <c r="G113" s="469"/>
      <c r="H113" s="439"/>
      <c r="I113" s="439"/>
      <c r="J113" s="439"/>
      <c r="K113" s="439"/>
      <c r="L113" s="439"/>
      <c r="M113" s="439"/>
      <c r="N113" s="439"/>
      <c r="O113" s="439"/>
      <c r="P113" s="439"/>
      <c r="Q113" s="439"/>
      <c r="R113" s="439"/>
      <c r="S113" s="439"/>
      <c r="T113" s="439"/>
      <c r="U113" s="439"/>
    </row>
    <row r="114" ht="15.75" customHeight="1">
      <c r="A114" s="439"/>
      <c r="B114" s="520" t="s">
        <v>10641</v>
      </c>
      <c r="C114" s="447"/>
      <c r="D114" s="447"/>
      <c r="E114" s="521">
        <f>E113-E112</f>
        <v>2057544.964</v>
      </c>
      <c r="F114" s="530"/>
      <c r="G114" s="530"/>
      <c r="H114" s="439"/>
      <c r="I114" s="439"/>
      <c r="J114" s="439"/>
      <c r="K114" s="439"/>
      <c r="L114" s="439"/>
      <c r="M114" s="439"/>
      <c r="N114" s="439"/>
      <c r="O114" s="439"/>
      <c r="P114" s="439"/>
      <c r="Q114" s="439"/>
      <c r="R114" s="439"/>
      <c r="S114" s="439"/>
      <c r="T114" s="439"/>
      <c r="U114" s="439"/>
    </row>
    <row r="115" ht="15.75" customHeight="1">
      <c r="A115" s="439"/>
      <c r="B115" s="522" t="s">
        <v>10642</v>
      </c>
      <c r="C115" s="447"/>
      <c r="D115" s="447"/>
      <c r="E115" s="523">
        <f>E91</f>
        <v>38947099.65</v>
      </c>
      <c r="F115" s="469"/>
      <c r="G115" s="469"/>
      <c r="H115" s="439"/>
      <c r="I115" s="439"/>
      <c r="J115" s="439"/>
      <c r="K115" s="439"/>
      <c r="L115" s="439"/>
      <c r="M115" s="439"/>
      <c r="N115" s="439"/>
      <c r="O115" s="439"/>
      <c r="P115" s="439"/>
      <c r="Q115" s="439"/>
      <c r="R115" s="439"/>
      <c r="S115" s="439"/>
      <c r="T115" s="439"/>
      <c r="U115" s="439"/>
    </row>
    <row r="116" ht="15.75" customHeight="1">
      <c r="A116" s="439"/>
      <c r="B116" s="522" t="s">
        <v>10643</v>
      </c>
      <c r="C116" s="447"/>
      <c r="D116" s="447"/>
      <c r="E116" s="524">
        <f>E113/E115</f>
        <v>1.052829222</v>
      </c>
      <c r="F116" s="469"/>
      <c r="G116" s="469"/>
      <c r="H116" s="439"/>
      <c r="I116" s="439"/>
      <c r="J116" s="439"/>
      <c r="K116" s="439"/>
      <c r="L116" s="439"/>
      <c r="M116" s="439"/>
      <c r="N116" s="439"/>
      <c r="O116" s="439"/>
      <c r="P116" s="439"/>
      <c r="Q116" s="439"/>
      <c r="R116" s="439"/>
      <c r="S116" s="439"/>
      <c r="T116" s="439"/>
      <c r="U116" s="439"/>
    </row>
    <row r="117" ht="15.75" customHeight="1">
      <c r="A117" s="439"/>
      <c r="B117" s="525" t="s">
        <v>10644</v>
      </c>
      <c r="C117" s="526"/>
      <c r="D117" s="526"/>
      <c r="E117" s="527" t="str">
        <f>G3</f>
        <v>OBJETIVO SUPERADO</v>
      </c>
      <c r="F117" s="469"/>
      <c r="G117" s="469"/>
      <c r="H117" s="439"/>
      <c r="I117" s="439"/>
      <c r="J117" s="439"/>
      <c r="K117" s="439"/>
      <c r="L117" s="439"/>
      <c r="M117" s="439"/>
      <c r="N117" s="439"/>
      <c r="O117" s="439"/>
      <c r="P117" s="439"/>
      <c r="Q117" s="439"/>
      <c r="R117" s="439"/>
      <c r="S117" s="439"/>
      <c r="T117" s="439"/>
      <c r="U117" s="439"/>
    </row>
    <row r="118" ht="15.75" customHeight="1">
      <c r="A118" s="439"/>
      <c r="B118" s="500" t="s">
        <v>10657</v>
      </c>
      <c r="C118" s="501"/>
      <c r="D118" s="501"/>
      <c r="E118" s="502"/>
      <c r="F118" s="469"/>
      <c r="G118" s="469"/>
      <c r="H118" s="439"/>
      <c r="I118" s="439"/>
      <c r="J118" s="439"/>
      <c r="K118" s="439"/>
      <c r="L118" s="439"/>
      <c r="M118" s="439"/>
      <c r="N118" s="439"/>
      <c r="O118" s="439"/>
      <c r="P118" s="439"/>
      <c r="Q118" s="439"/>
      <c r="R118" s="439"/>
      <c r="S118" s="439"/>
      <c r="T118" s="439"/>
      <c r="U118" s="439"/>
    </row>
    <row r="119" ht="15.75" customHeight="1">
      <c r="A119" s="439"/>
      <c r="B119" s="503"/>
      <c r="C119" s="504" t="s">
        <v>10624</v>
      </c>
      <c r="D119" s="504" t="s">
        <v>311</v>
      </c>
      <c r="E119" s="505" t="s">
        <v>547</v>
      </c>
      <c r="F119" s="469"/>
      <c r="G119" s="469"/>
      <c r="H119" s="439"/>
      <c r="I119" s="439"/>
      <c r="J119" s="439"/>
      <c r="K119" s="439"/>
      <c r="L119" s="439"/>
      <c r="M119" s="439"/>
      <c r="N119" s="439"/>
      <c r="O119" s="439"/>
      <c r="P119" s="439"/>
      <c r="Q119" s="439"/>
      <c r="R119" s="439"/>
      <c r="S119" s="439"/>
      <c r="T119" s="439"/>
      <c r="U119" s="439"/>
    </row>
    <row r="120" ht="15.75" customHeight="1">
      <c r="A120" s="439"/>
      <c r="B120" s="506"/>
      <c r="C120" s="507" t="s">
        <v>10625</v>
      </c>
      <c r="D120" s="508"/>
      <c r="E120" s="509"/>
      <c r="F120" s="469"/>
      <c r="G120" s="469"/>
      <c r="H120" s="439"/>
      <c r="I120" s="439"/>
      <c r="J120" s="439"/>
      <c r="K120" s="439"/>
      <c r="L120" s="439"/>
      <c r="M120" s="439"/>
      <c r="N120" s="439"/>
      <c r="O120" s="439"/>
      <c r="P120" s="439"/>
      <c r="Q120" s="439"/>
      <c r="R120" s="439"/>
      <c r="S120" s="439"/>
      <c r="T120" s="439"/>
      <c r="U120" s="439"/>
    </row>
    <row r="121" ht="15.75" customHeight="1">
      <c r="A121" s="439"/>
      <c r="B121" s="506"/>
      <c r="C121" s="507" t="s">
        <v>10626</v>
      </c>
      <c r="D121" s="508"/>
      <c r="E121" s="510"/>
      <c r="F121" s="469"/>
      <c r="G121" s="46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439"/>
      <c r="T121" s="439"/>
      <c r="U121" s="439"/>
    </row>
    <row r="122" ht="15.75" customHeight="1">
      <c r="A122" s="439"/>
      <c r="B122" s="506">
        <v>30.0</v>
      </c>
      <c r="C122" s="507" t="s">
        <v>10627</v>
      </c>
      <c r="D122" s="508">
        <v>2227702.55</v>
      </c>
      <c r="E122" s="510"/>
      <c r="F122" s="469"/>
      <c r="G122" s="469"/>
      <c r="H122" s="439"/>
      <c r="I122" s="439"/>
      <c r="J122" s="439"/>
      <c r="K122" s="439"/>
      <c r="L122" s="439"/>
      <c r="M122" s="439"/>
      <c r="N122" s="439"/>
      <c r="O122" s="439"/>
      <c r="P122" s="439"/>
      <c r="Q122" s="439"/>
      <c r="R122" s="439"/>
      <c r="S122" s="439"/>
      <c r="T122" s="439"/>
      <c r="U122" s="439"/>
    </row>
    <row r="123" ht="15.75" customHeight="1">
      <c r="A123" s="439"/>
      <c r="B123" s="506"/>
      <c r="C123" s="507" t="s">
        <v>10628</v>
      </c>
      <c r="D123" s="508"/>
      <c r="E123" s="510"/>
      <c r="F123" s="469"/>
      <c r="G123" s="469"/>
      <c r="H123" s="439"/>
      <c r="I123" s="439"/>
      <c r="J123" s="439"/>
      <c r="K123" s="439"/>
      <c r="L123" s="439"/>
      <c r="M123" s="439"/>
      <c r="N123" s="439"/>
      <c r="O123" s="439"/>
      <c r="P123" s="439"/>
      <c r="Q123" s="439"/>
      <c r="R123" s="439"/>
      <c r="S123" s="439"/>
      <c r="T123" s="439"/>
      <c r="U123" s="439"/>
    </row>
    <row r="124" ht="15.75" customHeight="1">
      <c r="A124" s="439"/>
      <c r="B124" s="506"/>
      <c r="C124" s="507" t="s">
        <v>10629</v>
      </c>
      <c r="D124" s="508"/>
      <c r="E124" s="510"/>
      <c r="F124" s="469"/>
      <c r="G124" s="469"/>
      <c r="H124" s="439"/>
      <c r="I124" s="439"/>
      <c r="J124" s="439"/>
      <c r="K124" s="439"/>
      <c r="L124" s="439"/>
      <c r="M124" s="439"/>
      <c r="N124" s="439"/>
      <c r="O124" s="439"/>
      <c r="P124" s="439"/>
      <c r="Q124" s="439"/>
      <c r="R124" s="439"/>
      <c r="S124" s="439"/>
      <c r="T124" s="439"/>
      <c r="U124" s="439"/>
    </row>
    <row r="125" ht="15.75" customHeight="1">
      <c r="A125" s="439"/>
      <c r="B125" s="506"/>
      <c r="C125" s="507" t="s">
        <v>10630</v>
      </c>
      <c r="D125" s="508"/>
      <c r="E125" s="510"/>
      <c r="F125" s="469"/>
      <c r="G125" s="469"/>
      <c r="H125" s="439"/>
      <c r="I125" s="439"/>
      <c r="J125" s="439"/>
      <c r="K125" s="439"/>
      <c r="L125" s="439"/>
      <c r="M125" s="439"/>
      <c r="N125" s="439"/>
      <c r="O125" s="439"/>
      <c r="P125" s="439"/>
      <c r="Q125" s="439"/>
      <c r="R125" s="439"/>
      <c r="S125" s="439"/>
      <c r="T125" s="439"/>
      <c r="U125" s="439"/>
    </row>
    <row r="126" ht="15.75" customHeight="1">
      <c r="A126" s="439"/>
      <c r="B126" s="506"/>
      <c r="C126" s="507" t="s">
        <v>10631</v>
      </c>
      <c r="D126" s="508"/>
      <c r="E126" s="510"/>
      <c r="F126" s="469"/>
      <c r="G126" s="469"/>
      <c r="H126" s="439"/>
      <c r="I126" s="439"/>
      <c r="J126" s="439"/>
      <c r="K126" s="439"/>
      <c r="L126" s="439"/>
      <c r="M126" s="439"/>
      <c r="N126" s="439"/>
      <c r="O126" s="439"/>
      <c r="P126" s="439"/>
      <c r="Q126" s="439"/>
      <c r="R126" s="439"/>
      <c r="S126" s="439"/>
      <c r="T126" s="439"/>
      <c r="U126" s="439"/>
    </row>
    <row r="127" ht="15.75" customHeight="1">
      <c r="A127" s="439"/>
      <c r="B127" s="506"/>
      <c r="C127" s="507" t="s">
        <v>10632</v>
      </c>
      <c r="D127" s="508"/>
      <c r="E127" s="510">
        <v>0.0</v>
      </c>
      <c r="F127" s="469"/>
      <c r="G127" s="469"/>
      <c r="H127" s="439"/>
      <c r="I127" s="439"/>
      <c r="J127" s="439"/>
      <c r="K127" s="439"/>
      <c r="L127" s="439"/>
      <c r="M127" s="439"/>
      <c r="N127" s="439"/>
      <c r="O127" s="439"/>
      <c r="P127" s="439"/>
      <c r="Q127" s="439"/>
      <c r="R127" s="439"/>
      <c r="S127" s="439"/>
      <c r="T127" s="439"/>
      <c r="U127" s="439"/>
    </row>
    <row r="128" ht="15.75" customHeight="1">
      <c r="A128" s="439"/>
      <c r="B128" s="511" t="s">
        <v>10633</v>
      </c>
      <c r="C128" s="447"/>
      <c r="D128" s="512">
        <f>SUM(D120:D126)</f>
        <v>2227702.55</v>
      </c>
      <c r="E128" s="513" t="s">
        <v>10634</v>
      </c>
      <c r="F128" s="469"/>
      <c r="G128" s="469"/>
      <c r="H128" s="439"/>
      <c r="I128" s="439"/>
      <c r="J128" s="439"/>
      <c r="K128" s="439"/>
      <c r="L128" s="439"/>
      <c r="M128" s="439"/>
      <c r="N128" s="439"/>
      <c r="O128" s="439"/>
      <c r="P128" s="439"/>
      <c r="Q128" s="439"/>
      <c r="R128" s="439"/>
      <c r="S128" s="439"/>
      <c r="T128" s="439"/>
      <c r="U128" s="439"/>
    </row>
    <row r="129" ht="15.75" customHeight="1">
      <c r="A129" s="439"/>
      <c r="B129" s="511" t="s">
        <v>10635</v>
      </c>
      <c r="C129" s="447"/>
      <c r="D129" s="512">
        <f>SUM(E120:E126)</f>
        <v>0</v>
      </c>
      <c r="E129" s="514">
        <v>20.030260000000002</v>
      </c>
      <c r="F129" s="469"/>
      <c r="G129" s="469"/>
      <c r="H129" s="439"/>
      <c r="I129" s="439"/>
      <c r="J129" s="439"/>
      <c r="K129" s="439"/>
      <c r="L129" s="439"/>
      <c r="M129" s="439"/>
      <c r="N129" s="439"/>
      <c r="O129" s="439"/>
      <c r="P129" s="439"/>
      <c r="Q129" s="439"/>
      <c r="R129" s="439"/>
      <c r="S129" s="439"/>
      <c r="T129" s="439"/>
      <c r="U129" s="439"/>
    </row>
    <row r="130" ht="15.75" customHeight="1">
      <c r="A130" s="439"/>
      <c r="B130" s="515"/>
      <c r="C130" s="516"/>
      <c r="D130" s="512">
        <f>D129*E129</f>
        <v>0</v>
      </c>
      <c r="E130" s="513"/>
      <c r="F130" s="469"/>
      <c r="G130" s="469"/>
      <c r="H130" s="439"/>
      <c r="I130" s="439"/>
      <c r="J130" s="439"/>
      <c r="K130" s="439"/>
      <c r="L130" s="439"/>
      <c r="M130" s="439"/>
      <c r="N130" s="439"/>
      <c r="O130" s="439"/>
      <c r="P130" s="439"/>
      <c r="Q130" s="439"/>
      <c r="R130" s="439"/>
      <c r="S130" s="439"/>
      <c r="T130" s="439"/>
      <c r="U130" s="439"/>
    </row>
    <row r="131" ht="15.75" customHeight="1">
      <c r="A131" s="439"/>
      <c r="B131" s="511" t="s">
        <v>10636</v>
      </c>
      <c r="C131" s="447"/>
      <c r="D131" s="512">
        <f>+D128+D130</f>
        <v>2227702.55</v>
      </c>
      <c r="E131" s="517"/>
      <c r="F131" s="469"/>
      <c r="G131" s="469"/>
      <c r="H131" s="439"/>
      <c r="I131" s="439"/>
      <c r="J131" s="439"/>
      <c r="K131" s="439"/>
      <c r="L131" s="439"/>
      <c r="M131" s="439"/>
      <c r="N131" s="439"/>
      <c r="O131" s="439"/>
      <c r="P131" s="439"/>
      <c r="Q131" s="439"/>
      <c r="R131" s="439"/>
      <c r="S131" s="439"/>
      <c r="T131" s="439"/>
      <c r="U131" s="439"/>
    </row>
    <row r="132" ht="15.75" customHeight="1">
      <c r="A132" s="439"/>
      <c r="B132" s="511" t="s">
        <v>10637</v>
      </c>
      <c r="C132" s="447"/>
      <c r="D132" s="512">
        <f>D109</f>
        <v>9736774.912</v>
      </c>
      <c r="E132" s="517"/>
      <c r="F132" s="469"/>
      <c r="G132" s="469"/>
      <c r="H132" s="439"/>
      <c r="I132" s="439"/>
      <c r="J132" s="439"/>
      <c r="K132" s="439"/>
      <c r="L132" s="439"/>
      <c r="M132" s="439"/>
      <c r="N132" s="439"/>
      <c r="O132" s="439"/>
      <c r="P132" s="439"/>
      <c r="Q132" s="439"/>
      <c r="R132" s="439"/>
      <c r="S132" s="439"/>
      <c r="T132" s="439"/>
      <c r="U132" s="439"/>
    </row>
    <row r="133" ht="15.75" customHeight="1">
      <c r="A133" s="439"/>
      <c r="B133" s="518" t="s">
        <v>10638</v>
      </c>
      <c r="E133" s="519"/>
      <c r="F133" s="469"/>
      <c r="G133" s="469"/>
      <c r="H133" s="439"/>
      <c r="I133" s="439"/>
      <c r="J133" s="439"/>
      <c r="K133" s="439"/>
      <c r="L133" s="439"/>
      <c r="M133" s="439"/>
      <c r="N133" s="439"/>
      <c r="O133" s="439"/>
      <c r="P133" s="439"/>
      <c r="Q133" s="439"/>
      <c r="R133" s="439"/>
      <c r="S133" s="439"/>
      <c r="T133" s="439"/>
      <c r="U133" s="439"/>
    </row>
    <row r="134" ht="15.75" customHeight="1">
      <c r="A134" s="439"/>
      <c r="B134" s="511" t="s">
        <v>10658</v>
      </c>
      <c r="C134" s="447"/>
      <c r="D134" s="447"/>
      <c r="E134" s="514">
        <f>D3</f>
        <v>38947099.65</v>
      </c>
      <c r="F134" s="469"/>
      <c r="G134" s="469"/>
      <c r="H134" s="439"/>
      <c r="I134" s="439"/>
      <c r="J134" s="439"/>
      <c r="K134" s="439"/>
      <c r="L134" s="439"/>
      <c r="M134" s="439"/>
      <c r="N134" s="439"/>
      <c r="O134" s="439"/>
      <c r="P134" s="439"/>
      <c r="Q134" s="439"/>
      <c r="R134" s="439"/>
      <c r="S134" s="439"/>
      <c r="T134" s="439"/>
      <c r="U134" s="439"/>
    </row>
    <row r="135" ht="15.75" customHeight="1">
      <c r="A135" s="439"/>
      <c r="B135" s="511" t="s">
        <v>10659</v>
      </c>
      <c r="C135" s="447"/>
      <c r="D135" s="447"/>
      <c r="E135" s="514">
        <f>E113+D131</f>
        <v>43232347.16</v>
      </c>
      <c r="F135" s="469"/>
      <c r="G135" s="469"/>
      <c r="H135" s="439"/>
      <c r="I135" s="439"/>
      <c r="J135" s="439"/>
      <c r="K135" s="439"/>
      <c r="L135" s="439"/>
      <c r="M135" s="439"/>
      <c r="N135" s="439"/>
      <c r="O135" s="439"/>
      <c r="P135" s="439"/>
      <c r="Q135" s="439"/>
      <c r="R135" s="439"/>
      <c r="S135" s="439"/>
      <c r="T135" s="439"/>
      <c r="U135" s="439"/>
    </row>
    <row r="136" ht="15.75" customHeight="1">
      <c r="A136" s="439"/>
      <c r="B136" s="520" t="s">
        <v>10641</v>
      </c>
      <c r="C136" s="447"/>
      <c r="D136" s="447"/>
      <c r="E136" s="514">
        <f>E135-E134</f>
        <v>4285247.514</v>
      </c>
      <c r="F136" s="469"/>
      <c r="G136" s="469"/>
      <c r="H136" s="439"/>
      <c r="I136" s="439"/>
      <c r="J136" s="439"/>
      <c r="K136" s="439"/>
      <c r="L136" s="439"/>
      <c r="M136" s="439"/>
      <c r="N136" s="439"/>
      <c r="O136" s="439"/>
      <c r="P136" s="439"/>
      <c r="Q136" s="439"/>
      <c r="R136" s="439"/>
      <c r="S136" s="439"/>
      <c r="T136" s="439"/>
      <c r="U136" s="439"/>
    </row>
    <row r="137" ht="15.75" customHeight="1">
      <c r="A137" s="439"/>
      <c r="B137" s="522" t="s">
        <v>10642</v>
      </c>
      <c r="C137" s="447"/>
      <c r="D137" s="447"/>
      <c r="E137" s="523">
        <f>D3</f>
        <v>38947099.65</v>
      </c>
      <c r="F137" s="469"/>
      <c r="G137" s="469"/>
      <c r="H137" s="439"/>
      <c r="I137" s="439"/>
      <c r="J137" s="439"/>
      <c r="K137" s="439"/>
      <c r="L137" s="439"/>
      <c r="M137" s="439"/>
      <c r="N137" s="439"/>
      <c r="O137" s="439"/>
      <c r="P137" s="439"/>
      <c r="Q137" s="439"/>
      <c r="R137" s="439"/>
      <c r="S137" s="439"/>
      <c r="T137" s="439"/>
      <c r="U137" s="439"/>
    </row>
    <row r="138" ht="15.75" customHeight="1">
      <c r="A138" s="439"/>
      <c r="B138" s="522" t="s">
        <v>10643</v>
      </c>
      <c r="C138" s="447"/>
      <c r="D138" s="447"/>
      <c r="E138" s="524">
        <f>E135/E137</f>
        <v>1.110027385</v>
      </c>
      <c r="F138" s="469"/>
      <c r="G138" s="469"/>
      <c r="H138" s="439"/>
      <c r="I138" s="439"/>
      <c r="J138" s="439"/>
      <c r="K138" s="439"/>
      <c r="L138" s="439"/>
      <c r="M138" s="439"/>
      <c r="N138" s="439"/>
      <c r="O138" s="439"/>
      <c r="P138" s="439"/>
      <c r="Q138" s="439"/>
      <c r="R138" s="439"/>
      <c r="S138" s="439"/>
      <c r="T138" s="439"/>
      <c r="U138" s="439"/>
    </row>
    <row r="139" ht="15.75" customHeight="1">
      <c r="A139" s="439"/>
      <c r="B139" s="525" t="s">
        <v>10644</v>
      </c>
      <c r="C139" s="526"/>
      <c r="D139" s="526"/>
      <c r="E139" s="527" t="str">
        <f>G3</f>
        <v>OBJETIVO SUPERADO</v>
      </c>
      <c r="F139" s="469"/>
      <c r="G139" s="469"/>
      <c r="H139" s="439"/>
      <c r="I139" s="439"/>
      <c r="J139" s="439"/>
      <c r="K139" s="439"/>
      <c r="L139" s="439"/>
      <c r="M139" s="439"/>
      <c r="N139" s="439"/>
      <c r="O139" s="439"/>
      <c r="P139" s="439"/>
      <c r="Q139" s="439"/>
      <c r="R139" s="439"/>
      <c r="S139" s="439"/>
      <c r="T139" s="439"/>
      <c r="U139" s="439"/>
    </row>
    <row r="140" ht="15.75" customHeight="1">
      <c r="A140" s="439"/>
      <c r="B140" s="439"/>
      <c r="C140" s="439"/>
      <c r="D140" s="439"/>
      <c r="E140" s="439"/>
      <c r="F140" s="469"/>
      <c r="G140" s="469"/>
      <c r="H140" s="439"/>
      <c r="I140" s="439"/>
      <c r="J140" s="439"/>
      <c r="K140" s="439"/>
      <c r="L140" s="439"/>
      <c r="M140" s="439"/>
      <c r="N140" s="439"/>
      <c r="O140" s="439"/>
      <c r="P140" s="439"/>
      <c r="Q140" s="439"/>
      <c r="R140" s="439"/>
      <c r="S140" s="439"/>
      <c r="T140" s="439"/>
      <c r="U140" s="439"/>
      <c r="V140" s="439"/>
      <c r="W140" s="439"/>
      <c r="X140" s="439"/>
      <c r="Y140" s="439"/>
      <c r="Z140" s="439"/>
    </row>
    <row r="141" ht="15.75" customHeight="1">
      <c r="A141" s="439"/>
      <c r="B141" s="439"/>
      <c r="C141" s="439"/>
      <c r="D141" s="439"/>
      <c r="E141" s="439"/>
      <c r="F141" s="469"/>
      <c r="G141" s="469"/>
      <c r="H141" s="439"/>
      <c r="I141" s="439"/>
      <c r="J141" s="439"/>
      <c r="K141" s="439"/>
      <c r="L141" s="439"/>
      <c r="M141" s="439"/>
      <c r="N141" s="439"/>
      <c r="O141" s="439"/>
      <c r="P141" s="439"/>
      <c r="Q141" s="439"/>
      <c r="R141" s="439"/>
      <c r="S141" s="439"/>
      <c r="T141" s="439"/>
      <c r="U141" s="439"/>
      <c r="V141" s="439"/>
      <c r="W141" s="439"/>
      <c r="X141" s="439"/>
      <c r="Y141" s="439"/>
      <c r="Z141" s="439"/>
    </row>
    <row r="142" ht="15.75" customHeight="1">
      <c r="A142" s="439"/>
      <c r="B142" s="439"/>
      <c r="C142" s="439"/>
      <c r="D142" s="439"/>
      <c r="E142" s="439"/>
      <c r="F142" s="469"/>
      <c r="G142" s="469"/>
      <c r="H142" s="439"/>
      <c r="I142" s="439"/>
      <c r="J142" s="439"/>
      <c r="K142" s="439"/>
      <c r="L142" s="439"/>
      <c r="M142" s="439"/>
      <c r="N142" s="439"/>
      <c r="O142" s="439"/>
      <c r="P142" s="439"/>
      <c r="Q142" s="439"/>
      <c r="R142" s="439"/>
      <c r="S142" s="439"/>
      <c r="T142" s="439"/>
      <c r="U142" s="439"/>
      <c r="V142" s="439"/>
      <c r="W142" s="439"/>
      <c r="X142" s="439"/>
      <c r="Y142" s="439"/>
      <c r="Z142" s="439"/>
    </row>
    <row r="143" ht="15.75" customHeight="1">
      <c r="A143" s="439"/>
      <c r="B143" s="439"/>
      <c r="C143" s="439"/>
      <c r="D143" s="439"/>
      <c r="E143" s="439"/>
      <c r="F143" s="469"/>
      <c r="G143" s="469"/>
      <c r="H143" s="439"/>
      <c r="I143" s="439"/>
      <c r="J143" s="439"/>
      <c r="K143" s="439"/>
      <c r="L143" s="439"/>
      <c r="M143" s="439"/>
      <c r="N143" s="439"/>
      <c r="O143" s="439"/>
      <c r="P143" s="439"/>
      <c r="Q143" s="439"/>
      <c r="R143" s="439"/>
      <c r="S143" s="439"/>
      <c r="T143" s="439"/>
      <c r="U143" s="439"/>
      <c r="V143" s="439"/>
      <c r="W143" s="439"/>
      <c r="X143" s="439"/>
      <c r="Y143" s="439"/>
      <c r="Z143" s="439"/>
    </row>
    <row r="144" ht="15.75" customHeight="1">
      <c r="A144" s="439"/>
      <c r="B144" s="439"/>
      <c r="C144" s="439"/>
      <c r="D144" s="439"/>
      <c r="E144" s="439"/>
      <c r="F144" s="469"/>
      <c r="G144" s="469"/>
      <c r="H144" s="439"/>
      <c r="I144" s="439"/>
      <c r="J144" s="439"/>
      <c r="K144" s="439"/>
      <c r="L144" s="439"/>
      <c r="M144" s="439"/>
      <c r="N144" s="439"/>
      <c r="O144" s="439"/>
      <c r="P144" s="439"/>
      <c r="Q144" s="439"/>
      <c r="R144" s="439"/>
      <c r="S144" s="439"/>
      <c r="T144" s="439"/>
      <c r="U144" s="439"/>
      <c r="V144" s="439"/>
      <c r="W144" s="439"/>
      <c r="X144" s="439"/>
      <c r="Y144" s="439"/>
      <c r="Z144" s="439"/>
    </row>
    <row r="145" ht="15.75" customHeight="1">
      <c r="A145" s="439"/>
      <c r="B145" s="439"/>
      <c r="C145" s="439"/>
      <c r="D145" s="439"/>
      <c r="E145" s="439"/>
      <c r="F145" s="469"/>
      <c r="G145" s="469"/>
      <c r="H145" s="439"/>
      <c r="I145" s="439"/>
      <c r="J145" s="439"/>
      <c r="K145" s="439"/>
      <c r="L145" s="439"/>
      <c r="M145" s="439"/>
      <c r="N145" s="439"/>
      <c r="O145" s="439"/>
      <c r="P145" s="439"/>
      <c r="Q145" s="439"/>
      <c r="R145" s="439"/>
      <c r="S145" s="439"/>
      <c r="T145" s="439"/>
      <c r="U145" s="439"/>
      <c r="V145" s="439"/>
      <c r="W145" s="439"/>
      <c r="X145" s="439"/>
      <c r="Y145" s="439"/>
      <c r="Z145" s="439"/>
    </row>
    <row r="146" ht="15.75" customHeight="1">
      <c r="A146" s="439"/>
      <c r="B146" s="439"/>
      <c r="C146" s="439"/>
      <c r="D146" s="439"/>
      <c r="E146" s="439"/>
      <c r="F146" s="469"/>
      <c r="G146" s="469"/>
      <c r="H146" s="439"/>
      <c r="I146" s="439"/>
      <c r="J146" s="439"/>
      <c r="K146" s="439"/>
      <c r="L146" s="439"/>
      <c r="M146" s="439"/>
      <c r="N146" s="439"/>
      <c r="O146" s="439"/>
      <c r="P146" s="439"/>
      <c r="Q146" s="439"/>
      <c r="R146" s="439"/>
      <c r="S146" s="439"/>
      <c r="T146" s="439"/>
      <c r="U146" s="439"/>
      <c r="V146" s="439"/>
      <c r="W146" s="439"/>
      <c r="X146" s="439"/>
      <c r="Y146" s="439"/>
      <c r="Z146" s="439"/>
    </row>
    <row r="147" ht="15.75" customHeight="1">
      <c r="A147" s="439"/>
      <c r="B147" s="439"/>
      <c r="C147" s="439"/>
      <c r="D147" s="439"/>
      <c r="E147" s="439"/>
      <c r="F147" s="469"/>
      <c r="G147" s="469"/>
      <c r="H147" s="439"/>
      <c r="I147" s="439"/>
      <c r="J147" s="439"/>
      <c r="K147" s="439"/>
      <c r="L147" s="439"/>
      <c r="M147" s="439"/>
      <c r="N147" s="439"/>
      <c r="O147" s="439"/>
      <c r="P147" s="439"/>
      <c r="Q147" s="439"/>
      <c r="R147" s="439"/>
      <c r="S147" s="439"/>
      <c r="T147" s="439"/>
      <c r="U147" s="439"/>
      <c r="V147" s="439"/>
      <c r="W147" s="439"/>
      <c r="X147" s="439"/>
      <c r="Y147" s="439"/>
      <c r="Z147" s="439"/>
    </row>
    <row r="148" ht="15.75" customHeight="1">
      <c r="A148" s="439"/>
      <c r="B148" s="439"/>
      <c r="C148" s="439"/>
      <c r="D148" s="439"/>
      <c r="E148" s="439"/>
      <c r="F148" s="469"/>
      <c r="G148" s="469"/>
      <c r="H148" s="439"/>
      <c r="I148" s="439"/>
      <c r="J148" s="439"/>
      <c r="K148" s="439"/>
      <c r="L148" s="439"/>
      <c r="M148" s="439"/>
      <c r="N148" s="439"/>
      <c r="O148" s="439"/>
      <c r="P148" s="439"/>
      <c r="Q148" s="439"/>
      <c r="R148" s="439"/>
      <c r="S148" s="439"/>
      <c r="T148" s="439"/>
      <c r="U148" s="439"/>
      <c r="V148" s="439"/>
      <c r="W148" s="439"/>
      <c r="X148" s="439"/>
      <c r="Y148" s="439"/>
      <c r="Z148" s="439"/>
    </row>
    <row r="149" ht="15.75" customHeight="1">
      <c r="A149" s="439"/>
      <c r="B149" s="439"/>
      <c r="C149" s="439"/>
      <c r="D149" s="439"/>
      <c r="E149" s="439"/>
      <c r="F149" s="469"/>
      <c r="G149" s="469"/>
      <c r="H149" s="439"/>
      <c r="I149" s="439"/>
      <c r="J149" s="439"/>
      <c r="K149" s="439"/>
      <c r="L149" s="439"/>
      <c r="M149" s="439"/>
      <c r="N149" s="439"/>
      <c r="O149" s="439"/>
      <c r="P149" s="439"/>
      <c r="Q149" s="439"/>
      <c r="R149" s="439"/>
      <c r="S149" s="439"/>
      <c r="T149" s="439"/>
      <c r="U149" s="439"/>
      <c r="V149" s="439"/>
      <c r="W149" s="439"/>
      <c r="X149" s="439"/>
      <c r="Y149" s="439"/>
      <c r="Z149" s="439"/>
    </row>
    <row r="150" ht="15.75" customHeight="1">
      <c r="A150" s="439"/>
      <c r="B150" s="439"/>
      <c r="C150" s="439"/>
      <c r="D150" s="439"/>
      <c r="E150" s="439"/>
      <c r="F150" s="469"/>
      <c r="G150" s="469"/>
      <c r="H150" s="439"/>
      <c r="I150" s="439"/>
      <c r="J150" s="439"/>
      <c r="K150" s="439"/>
      <c r="L150" s="439"/>
      <c r="M150" s="439"/>
      <c r="N150" s="439"/>
      <c r="O150" s="439"/>
      <c r="P150" s="439"/>
      <c r="Q150" s="439"/>
      <c r="R150" s="439"/>
      <c r="S150" s="439"/>
      <c r="T150" s="439"/>
      <c r="U150" s="439"/>
      <c r="V150" s="439"/>
      <c r="W150" s="439"/>
      <c r="X150" s="439"/>
      <c r="Y150" s="439"/>
      <c r="Z150" s="439"/>
    </row>
    <row r="151" ht="15.75" customHeight="1">
      <c r="A151" s="439"/>
      <c r="B151" s="439"/>
      <c r="C151" s="439"/>
      <c r="D151" s="439"/>
      <c r="E151" s="439"/>
      <c r="F151" s="469"/>
      <c r="G151" s="469"/>
      <c r="H151" s="439"/>
      <c r="I151" s="439"/>
      <c r="J151" s="439"/>
      <c r="K151" s="439"/>
      <c r="L151" s="439"/>
      <c r="M151" s="439"/>
      <c r="N151" s="439"/>
      <c r="O151" s="439"/>
      <c r="P151" s="439"/>
      <c r="Q151" s="439"/>
      <c r="R151" s="439"/>
      <c r="S151" s="439"/>
      <c r="T151" s="439"/>
      <c r="U151" s="439"/>
      <c r="V151" s="439"/>
      <c r="W151" s="439"/>
      <c r="X151" s="439"/>
      <c r="Y151" s="439"/>
      <c r="Z151" s="439"/>
    </row>
    <row r="152" ht="15.75" customHeight="1">
      <c r="A152" s="439"/>
      <c r="B152" s="439"/>
      <c r="C152" s="439"/>
      <c r="D152" s="439"/>
      <c r="E152" s="439"/>
      <c r="F152" s="469"/>
      <c r="G152" s="469"/>
      <c r="H152" s="439"/>
      <c r="I152" s="439"/>
      <c r="J152" s="439"/>
      <c r="K152" s="439"/>
      <c r="L152" s="439"/>
      <c r="M152" s="439"/>
      <c r="N152" s="439"/>
      <c r="O152" s="439"/>
      <c r="P152" s="439"/>
      <c r="Q152" s="439"/>
      <c r="R152" s="439"/>
      <c r="S152" s="439"/>
      <c r="T152" s="439"/>
      <c r="U152" s="439"/>
      <c r="V152" s="439"/>
      <c r="W152" s="439"/>
      <c r="X152" s="439"/>
      <c r="Y152" s="439"/>
      <c r="Z152" s="439"/>
    </row>
    <row r="153" ht="15.75" customHeight="1">
      <c r="A153" s="439"/>
      <c r="B153" s="439"/>
      <c r="C153" s="439"/>
      <c r="D153" s="439"/>
      <c r="E153" s="439"/>
      <c r="F153" s="469"/>
      <c r="G153" s="469"/>
      <c r="H153" s="439"/>
      <c r="I153" s="439"/>
      <c r="J153" s="439"/>
      <c r="K153" s="439"/>
      <c r="L153" s="439"/>
      <c r="M153" s="439"/>
      <c r="N153" s="439"/>
      <c r="O153" s="439"/>
      <c r="P153" s="439"/>
      <c r="Q153" s="439"/>
      <c r="R153" s="439"/>
      <c r="S153" s="439"/>
      <c r="T153" s="439"/>
      <c r="U153" s="439"/>
      <c r="V153" s="439"/>
      <c r="W153" s="439"/>
      <c r="X153" s="439"/>
      <c r="Y153" s="439"/>
      <c r="Z153" s="439"/>
    </row>
    <row r="154" ht="15.75" customHeight="1">
      <c r="A154" s="439"/>
      <c r="B154" s="439"/>
      <c r="C154" s="439"/>
      <c r="D154" s="439"/>
      <c r="E154" s="439"/>
      <c r="F154" s="469"/>
      <c r="G154" s="46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439"/>
      <c r="T154" s="439"/>
      <c r="U154" s="439"/>
      <c r="V154" s="439"/>
      <c r="W154" s="439"/>
      <c r="X154" s="439"/>
      <c r="Y154" s="439"/>
      <c r="Z154" s="439"/>
    </row>
    <row r="155" ht="15.75" customHeight="1">
      <c r="A155" s="439"/>
      <c r="B155" s="439"/>
      <c r="C155" s="439"/>
      <c r="D155" s="439"/>
      <c r="E155" s="439"/>
      <c r="F155" s="469"/>
      <c r="G155" s="469"/>
      <c r="H155" s="439"/>
      <c r="I155" s="439"/>
      <c r="J155" s="439"/>
      <c r="K155" s="439"/>
      <c r="L155" s="439"/>
      <c r="M155" s="439"/>
      <c r="N155" s="439"/>
      <c r="O155" s="439"/>
      <c r="P155" s="439"/>
      <c r="Q155" s="439"/>
      <c r="R155" s="439"/>
      <c r="S155" s="439"/>
      <c r="T155" s="439"/>
      <c r="U155" s="439"/>
      <c r="V155" s="439"/>
      <c r="W155" s="439"/>
      <c r="X155" s="439"/>
      <c r="Y155" s="439"/>
      <c r="Z155" s="439"/>
    </row>
    <row r="156" ht="15.75" customHeight="1">
      <c r="A156" s="439"/>
      <c r="B156" s="439"/>
      <c r="C156" s="439"/>
      <c r="D156" s="439"/>
      <c r="E156" s="439"/>
      <c r="F156" s="469"/>
      <c r="G156" s="469"/>
      <c r="H156" s="439"/>
      <c r="I156" s="439"/>
      <c r="J156" s="439"/>
      <c r="K156" s="439"/>
      <c r="L156" s="439"/>
      <c r="M156" s="439"/>
      <c r="N156" s="439"/>
      <c r="O156" s="439"/>
      <c r="P156" s="439"/>
      <c r="Q156" s="439"/>
      <c r="R156" s="439"/>
      <c r="S156" s="439"/>
      <c r="T156" s="439"/>
      <c r="U156" s="439"/>
      <c r="V156" s="439"/>
      <c r="W156" s="439"/>
      <c r="X156" s="439"/>
      <c r="Y156" s="439"/>
      <c r="Z156" s="439"/>
    </row>
    <row r="157" ht="15.75" customHeight="1">
      <c r="A157" s="439"/>
      <c r="B157" s="439"/>
      <c r="C157" s="439"/>
      <c r="D157" s="439"/>
      <c r="E157" s="439"/>
      <c r="F157" s="469"/>
      <c r="G157" s="469"/>
      <c r="H157" s="439"/>
      <c r="I157" s="439"/>
      <c r="J157" s="439"/>
      <c r="K157" s="439"/>
      <c r="L157" s="439"/>
      <c r="M157" s="439"/>
      <c r="N157" s="439"/>
      <c r="O157" s="439"/>
      <c r="P157" s="439"/>
      <c r="Q157" s="439"/>
      <c r="R157" s="439"/>
      <c r="S157" s="439"/>
      <c r="T157" s="439"/>
      <c r="U157" s="439"/>
      <c r="V157" s="439"/>
      <c r="W157" s="439"/>
      <c r="X157" s="439"/>
      <c r="Y157" s="439"/>
      <c r="Z157" s="439"/>
    </row>
    <row r="158" ht="15.75" customHeight="1">
      <c r="A158" s="439"/>
      <c r="B158" s="439"/>
      <c r="C158" s="439"/>
      <c r="D158" s="439"/>
      <c r="E158" s="439"/>
      <c r="F158" s="469"/>
      <c r="G158" s="469"/>
      <c r="H158" s="439"/>
      <c r="I158" s="439"/>
      <c r="J158" s="439"/>
      <c r="K158" s="439"/>
      <c r="L158" s="439"/>
      <c r="M158" s="439"/>
      <c r="N158" s="439"/>
      <c r="O158" s="439"/>
      <c r="P158" s="439"/>
      <c r="Q158" s="439"/>
      <c r="R158" s="439"/>
      <c r="S158" s="439"/>
      <c r="T158" s="439"/>
      <c r="U158" s="439"/>
      <c r="V158" s="439"/>
      <c r="W158" s="439"/>
      <c r="X158" s="439"/>
      <c r="Y158" s="439"/>
      <c r="Z158" s="439"/>
    </row>
    <row r="159" ht="15.75" customHeight="1">
      <c r="A159" s="439"/>
      <c r="B159" s="439"/>
      <c r="C159" s="439"/>
      <c r="D159" s="439"/>
      <c r="E159" s="439"/>
      <c r="F159" s="469"/>
      <c r="G159" s="469"/>
      <c r="H159" s="439"/>
      <c r="I159" s="439"/>
      <c r="J159" s="439"/>
      <c r="K159" s="439"/>
      <c r="L159" s="439"/>
      <c r="M159" s="439"/>
      <c r="N159" s="439"/>
      <c r="O159" s="439"/>
      <c r="P159" s="439"/>
      <c r="Q159" s="439"/>
      <c r="R159" s="439"/>
      <c r="S159" s="439"/>
      <c r="T159" s="439"/>
      <c r="U159" s="439"/>
      <c r="V159" s="439"/>
      <c r="W159" s="439"/>
      <c r="X159" s="439"/>
      <c r="Y159" s="439"/>
      <c r="Z159" s="439"/>
    </row>
    <row r="160" ht="15.75" customHeight="1">
      <c r="A160" s="439"/>
      <c r="B160" s="439"/>
      <c r="C160" s="439"/>
      <c r="D160" s="439"/>
      <c r="E160" s="439"/>
      <c r="F160" s="469"/>
      <c r="G160" s="469"/>
      <c r="H160" s="439"/>
      <c r="I160" s="439"/>
      <c r="J160" s="439"/>
      <c r="K160" s="439"/>
      <c r="L160" s="439"/>
      <c r="M160" s="439"/>
      <c r="N160" s="439"/>
      <c r="O160" s="439"/>
      <c r="P160" s="439"/>
      <c r="Q160" s="439"/>
      <c r="R160" s="439"/>
      <c r="S160" s="439"/>
      <c r="T160" s="439"/>
      <c r="U160" s="439"/>
      <c r="V160" s="439"/>
      <c r="W160" s="439"/>
      <c r="X160" s="439"/>
      <c r="Y160" s="439"/>
      <c r="Z160" s="439"/>
    </row>
    <row r="161" ht="15.75" customHeight="1">
      <c r="A161" s="439"/>
      <c r="B161" s="439"/>
      <c r="C161" s="439"/>
      <c r="D161" s="439"/>
      <c r="E161" s="439"/>
      <c r="F161" s="469"/>
      <c r="G161" s="469"/>
      <c r="H161" s="439"/>
      <c r="I161" s="439"/>
      <c r="J161" s="439"/>
      <c r="K161" s="439"/>
      <c r="L161" s="439"/>
      <c r="M161" s="439"/>
      <c r="N161" s="439"/>
      <c r="O161" s="439"/>
      <c r="P161" s="439"/>
      <c r="Q161" s="439"/>
      <c r="R161" s="439"/>
      <c r="S161" s="439"/>
      <c r="T161" s="439"/>
      <c r="U161" s="439"/>
      <c r="V161" s="439"/>
      <c r="W161" s="439"/>
      <c r="X161" s="439"/>
      <c r="Y161" s="439"/>
      <c r="Z161" s="439"/>
    </row>
    <row r="162" ht="15.75" customHeight="1">
      <c r="A162" s="439"/>
      <c r="B162" s="439"/>
      <c r="C162" s="439"/>
      <c r="D162" s="439"/>
      <c r="E162" s="439"/>
      <c r="F162" s="469"/>
      <c r="G162" s="469"/>
      <c r="H162" s="439"/>
      <c r="I162" s="439"/>
      <c r="J162" s="439"/>
      <c r="K162" s="439"/>
      <c r="L162" s="439"/>
      <c r="M162" s="439"/>
      <c r="N162" s="439"/>
      <c r="O162" s="439"/>
      <c r="P162" s="439"/>
      <c r="Q162" s="439"/>
      <c r="R162" s="439"/>
      <c r="S162" s="439"/>
      <c r="T162" s="439"/>
      <c r="U162" s="439"/>
      <c r="V162" s="439"/>
      <c r="W162" s="439"/>
      <c r="X162" s="439"/>
      <c r="Y162" s="439"/>
      <c r="Z162" s="439"/>
    </row>
    <row r="163" ht="15.75" customHeight="1">
      <c r="A163" s="439"/>
      <c r="B163" s="439"/>
      <c r="C163" s="439"/>
      <c r="D163" s="439"/>
      <c r="E163" s="439"/>
      <c r="F163" s="469"/>
      <c r="G163" s="469"/>
      <c r="H163" s="439"/>
      <c r="I163" s="439"/>
      <c r="J163" s="439"/>
      <c r="K163" s="439"/>
      <c r="L163" s="439"/>
      <c r="M163" s="439"/>
      <c r="N163" s="439"/>
      <c r="O163" s="439"/>
      <c r="P163" s="439"/>
      <c r="Q163" s="439"/>
      <c r="R163" s="439"/>
      <c r="S163" s="439"/>
      <c r="T163" s="439"/>
      <c r="U163" s="439"/>
      <c r="V163" s="439"/>
      <c r="W163" s="439"/>
      <c r="X163" s="439"/>
      <c r="Y163" s="439"/>
      <c r="Z163" s="439"/>
    </row>
    <row r="164" ht="15.75" customHeight="1">
      <c r="A164" s="439"/>
      <c r="B164" s="439"/>
      <c r="C164" s="439"/>
      <c r="D164" s="439"/>
      <c r="E164" s="439"/>
      <c r="F164" s="469"/>
      <c r="G164" s="469"/>
      <c r="H164" s="439"/>
      <c r="I164" s="439"/>
      <c r="J164" s="439"/>
      <c r="K164" s="439"/>
      <c r="L164" s="439"/>
      <c r="M164" s="439"/>
      <c r="N164" s="439"/>
      <c r="O164" s="439"/>
      <c r="P164" s="439"/>
      <c r="Q164" s="439"/>
      <c r="R164" s="439"/>
      <c r="S164" s="439"/>
      <c r="T164" s="439"/>
      <c r="U164" s="439"/>
      <c r="V164" s="439"/>
      <c r="W164" s="439"/>
      <c r="X164" s="439"/>
      <c r="Y164" s="439"/>
      <c r="Z164" s="439"/>
    </row>
    <row r="165" ht="15.75" customHeight="1">
      <c r="A165" s="439"/>
      <c r="B165" s="439"/>
      <c r="C165" s="439"/>
      <c r="D165" s="439"/>
      <c r="E165" s="439"/>
      <c r="F165" s="469"/>
      <c r="G165" s="469"/>
      <c r="H165" s="439"/>
      <c r="I165" s="439"/>
      <c r="J165" s="439"/>
      <c r="K165" s="439"/>
      <c r="L165" s="439"/>
      <c r="M165" s="439"/>
      <c r="N165" s="439"/>
      <c r="O165" s="439"/>
      <c r="P165" s="439"/>
      <c r="Q165" s="439"/>
      <c r="R165" s="439"/>
      <c r="S165" s="439"/>
      <c r="T165" s="439"/>
      <c r="U165" s="439"/>
      <c r="V165" s="439"/>
      <c r="W165" s="439"/>
      <c r="X165" s="439"/>
      <c r="Y165" s="439"/>
      <c r="Z165" s="439"/>
    </row>
    <row r="166" ht="15.75" customHeight="1">
      <c r="A166" s="439"/>
      <c r="B166" s="439"/>
      <c r="C166" s="439"/>
      <c r="D166" s="439"/>
      <c r="E166" s="439"/>
      <c r="F166" s="469"/>
      <c r="G166" s="469"/>
      <c r="H166" s="439"/>
      <c r="I166" s="439"/>
      <c r="J166" s="439"/>
      <c r="K166" s="439"/>
      <c r="L166" s="439"/>
      <c r="M166" s="439"/>
      <c r="N166" s="439"/>
      <c r="O166" s="439"/>
      <c r="P166" s="439"/>
      <c r="Q166" s="439"/>
      <c r="R166" s="439"/>
      <c r="S166" s="439"/>
      <c r="T166" s="439"/>
      <c r="U166" s="439"/>
      <c r="V166" s="439"/>
      <c r="W166" s="439"/>
      <c r="X166" s="439"/>
      <c r="Y166" s="439"/>
      <c r="Z166" s="439"/>
    </row>
    <row r="167" ht="15.75" customHeight="1">
      <c r="A167" s="439"/>
      <c r="B167" s="439"/>
      <c r="C167" s="439"/>
      <c r="D167" s="439"/>
      <c r="E167" s="439"/>
      <c r="F167" s="469"/>
      <c r="G167" s="469"/>
      <c r="H167" s="439"/>
      <c r="I167" s="439"/>
      <c r="J167" s="439"/>
      <c r="K167" s="439"/>
      <c r="L167" s="439"/>
      <c r="M167" s="439"/>
      <c r="N167" s="439"/>
      <c r="O167" s="439"/>
      <c r="P167" s="439"/>
      <c r="Q167" s="439"/>
      <c r="R167" s="439"/>
      <c r="S167" s="439"/>
      <c r="T167" s="439"/>
      <c r="U167" s="439"/>
      <c r="V167" s="439"/>
      <c r="W167" s="439"/>
      <c r="X167" s="439"/>
      <c r="Y167" s="439"/>
      <c r="Z167" s="439"/>
    </row>
    <row r="168" ht="15.75" customHeight="1">
      <c r="A168" s="439"/>
      <c r="B168" s="439"/>
      <c r="C168" s="439"/>
      <c r="D168" s="439"/>
      <c r="E168" s="439"/>
      <c r="F168" s="469"/>
      <c r="G168" s="469"/>
      <c r="H168" s="439"/>
      <c r="I168" s="439"/>
      <c r="J168" s="439"/>
      <c r="K168" s="439"/>
      <c r="L168" s="439"/>
      <c r="M168" s="439"/>
      <c r="N168" s="439"/>
      <c r="O168" s="439"/>
      <c r="P168" s="439"/>
      <c r="Q168" s="439"/>
      <c r="R168" s="439"/>
      <c r="S168" s="439"/>
      <c r="T168" s="439"/>
      <c r="U168" s="439"/>
      <c r="V168" s="439"/>
      <c r="W168" s="439"/>
      <c r="X168" s="439"/>
      <c r="Y168" s="439"/>
      <c r="Z168" s="439"/>
    </row>
    <row r="169" ht="15.75" customHeight="1">
      <c r="A169" s="439"/>
      <c r="B169" s="439"/>
      <c r="C169" s="439"/>
      <c r="D169" s="439"/>
      <c r="E169" s="439"/>
      <c r="F169" s="469"/>
      <c r="G169" s="469"/>
      <c r="H169" s="439"/>
      <c r="I169" s="439"/>
      <c r="J169" s="439"/>
      <c r="K169" s="439"/>
      <c r="L169" s="439"/>
      <c r="M169" s="439"/>
      <c r="N169" s="439"/>
      <c r="O169" s="439"/>
      <c r="P169" s="439"/>
      <c r="Q169" s="439"/>
      <c r="R169" s="439"/>
      <c r="S169" s="439"/>
      <c r="T169" s="439"/>
      <c r="U169" s="439"/>
      <c r="V169" s="439"/>
      <c r="W169" s="439"/>
      <c r="X169" s="439"/>
      <c r="Y169" s="439"/>
      <c r="Z169" s="439"/>
    </row>
    <row r="170" ht="15.75" customHeight="1">
      <c r="A170" s="439"/>
      <c r="B170" s="439"/>
      <c r="C170" s="439"/>
      <c r="D170" s="439"/>
      <c r="E170" s="439"/>
      <c r="F170" s="469"/>
      <c r="G170" s="469"/>
      <c r="H170" s="439"/>
      <c r="I170" s="439"/>
      <c r="J170" s="439"/>
      <c r="K170" s="439"/>
      <c r="L170" s="439"/>
      <c r="M170" s="439"/>
      <c r="N170" s="439"/>
      <c r="O170" s="439"/>
      <c r="P170" s="439"/>
      <c r="Q170" s="439"/>
      <c r="R170" s="439"/>
      <c r="S170" s="439"/>
      <c r="T170" s="439"/>
      <c r="U170" s="439"/>
      <c r="V170" s="439"/>
      <c r="W170" s="439"/>
      <c r="X170" s="439"/>
      <c r="Y170" s="439"/>
      <c r="Z170" s="439"/>
    </row>
    <row r="171" ht="15.75" customHeight="1">
      <c r="A171" s="439"/>
      <c r="B171" s="439"/>
      <c r="C171" s="439"/>
      <c r="D171" s="439"/>
      <c r="E171" s="439"/>
      <c r="F171" s="469"/>
      <c r="G171" s="469"/>
      <c r="H171" s="439"/>
      <c r="I171" s="439"/>
      <c r="J171" s="439"/>
      <c r="K171" s="439"/>
      <c r="L171" s="439"/>
      <c r="M171" s="439"/>
      <c r="N171" s="439"/>
      <c r="O171" s="439"/>
      <c r="P171" s="439"/>
      <c r="Q171" s="439"/>
      <c r="R171" s="439"/>
      <c r="S171" s="439"/>
      <c r="T171" s="439"/>
      <c r="U171" s="439"/>
      <c r="V171" s="439"/>
      <c r="W171" s="439"/>
      <c r="X171" s="439"/>
      <c r="Y171" s="439"/>
      <c r="Z171" s="439"/>
    </row>
    <row r="172" ht="15.75" customHeight="1">
      <c r="A172" s="439"/>
      <c r="B172" s="439"/>
      <c r="C172" s="439"/>
      <c r="D172" s="439"/>
      <c r="E172" s="439"/>
      <c r="F172" s="469"/>
      <c r="G172" s="469"/>
      <c r="H172" s="439"/>
      <c r="I172" s="439"/>
      <c r="J172" s="439"/>
      <c r="K172" s="439"/>
      <c r="L172" s="439"/>
      <c r="M172" s="439"/>
      <c r="N172" s="439"/>
      <c r="O172" s="439"/>
      <c r="P172" s="439"/>
      <c r="Q172" s="439"/>
      <c r="R172" s="439"/>
      <c r="S172" s="439"/>
      <c r="T172" s="439"/>
      <c r="U172" s="439"/>
      <c r="V172" s="439"/>
      <c r="W172" s="439"/>
      <c r="X172" s="439"/>
      <c r="Y172" s="439"/>
      <c r="Z172" s="439"/>
    </row>
    <row r="173" ht="15.75" customHeight="1">
      <c r="A173" s="439"/>
      <c r="B173" s="439"/>
      <c r="C173" s="439"/>
      <c r="D173" s="439"/>
      <c r="E173" s="439"/>
      <c r="F173" s="469"/>
      <c r="G173" s="469"/>
      <c r="H173" s="439"/>
      <c r="I173" s="439"/>
      <c r="J173" s="439"/>
      <c r="K173" s="439"/>
      <c r="L173" s="439"/>
      <c r="M173" s="439"/>
      <c r="N173" s="439"/>
      <c r="O173" s="439"/>
      <c r="P173" s="439"/>
      <c r="Q173" s="439"/>
      <c r="R173" s="439"/>
      <c r="S173" s="439"/>
      <c r="T173" s="439"/>
      <c r="U173" s="439"/>
      <c r="V173" s="439"/>
      <c r="W173" s="439"/>
      <c r="X173" s="439"/>
      <c r="Y173" s="439"/>
      <c r="Z173" s="439"/>
    </row>
    <row r="174" ht="15.75" customHeight="1">
      <c r="A174" s="439"/>
      <c r="B174" s="439"/>
      <c r="C174" s="439"/>
      <c r="D174" s="439"/>
      <c r="E174" s="439"/>
      <c r="F174" s="469"/>
      <c r="G174" s="469"/>
      <c r="H174" s="439"/>
      <c r="I174" s="439"/>
      <c r="J174" s="439"/>
      <c r="K174" s="439"/>
      <c r="L174" s="439"/>
      <c r="M174" s="439"/>
      <c r="N174" s="439"/>
      <c r="O174" s="439"/>
      <c r="P174" s="439"/>
      <c r="Q174" s="439"/>
      <c r="R174" s="439"/>
      <c r="S174" s="439"/>
      <c r="T174" s="439"/>
      <c r="U174" s="439"/>
      <c r="V174" s="439"/>
      <c r="W174" s="439"/>
      <c r="X174" s="439"/>
      <c r="Y174" s="439"/>
      <c r="Z174" s="439"/>
    </row>
    <row r="175" ht="15.75" customHeight="1">
      <c r="A175" s="439"/>
      <c r="B175" s="439"/>
      <c r="C175" s="439"/>
      <c r="D175" s="439"/>
      <c r="E175" s="439"/>
      <c r="F175" s="469"/>
      <c r="G175" s="469"/>
      <c r="H175" s="439"/>
      <c r="I175" s="439"/>
      <c r="J175" s="439"/>
      <c r="K175" s="439"/>
      <c r="L175" s="439"/>
      <c r="M175" s="439"/>
      <c r="N175" s="439"/>
      <c r="O175" s="439"/>
      <c r="P175" s="439"/>
      <c r="Q175" s="439"/>
      <c r="R175" s="439"/>
      <c r="S175" s="439"/>
      <c r="T175" s="439"/>
      <c r="U175" s="439"/>
      <c r="V175" s="439"/>
      <c r="W175" s="439"/>
      <c r="X175" s="439"/>
      <c r="Y175" s="439"/>
      <c r="Z175" s="439"/>
    </row>
    <row r="176" ht="15.75" customHeight="1">
      <c r="A176" s="439"/>
      <c r="B176" s="439"/>
      <c r="C176" s="439"/>
      <c r="D176" s="439"/>
      <c r="E176" s="439"/>
      <c r="F176" s="469"/>
      <c r="G176" s="469"/>
      <c r="H176" s="439"/>
      <c r="I176" s="439"/>
      <c r="J176" s="439"/>
      <c r="K176" s="439"/>
      <c r="L176" s="439"/>
      <c r="M176" s="439"/>
      <c r="N176" s="439"/>
      <c r="O176" s="439"/>
      <c r="P176" s="439"/>
      <c r="Q176" s="439"/>
      <c r="R176" s="439"/>
      <c r="S176" s="439"/>
      <c r="T176" s="439"/>
      <c r="U176" s="439"/>
      <c r="V176" s="439"/>
      <c r="W176" s="439"/>
      <c r="X176" s="439"/>
      <c r="Y176" s="439"/>
      <c r="Z176" s="439"/>
    </row>
    <row r="177" ht="15.75" customHeight="1">
      <c r="A177" s="439"/>
      <c r="B177" s="439"/>
      <c r="C177" s="439"/>
      <c r="D177" s="439"/>
      <c r="E177" s="439"/>
      <c r="F177" s="469"/>
      <c r="G177" s="469"/>
      <c r="H177" s="439"/>
      <c r="I177" s="439"/>
      <c r="J177" s="439"/>
      <c r="K177" s="439"/>
      <c r="L177" s="439"/>
      <c r="M177" s="439"/>
      <c r="N177" s="439"/>
      <c r="O177" s="439"/>
      <c r="P177" s="439"/>
      <c r="Q177" s="439"/>
      <c r="R177" s="439"/>
      <c r="S177" s="439"/>
      <c r="T177" s="439"/>
      <c r="U177" s="439"/>
      <c r="V177" s="439"/>
      <c r="W177" s="439"/>
      <c r="X177" s="439"/>
      <c r="Y177" s="439"/>
      <c r="Z177" s="439"/>
    </row>
    <row r="178" ht="15.75" customHeight="1">
      <c r="A178" s="439"/>
      <c r="B178" s="439"/>
      <c r="C178" s="439"/>
      <c r="D178" s="439"/>
      <c r="E178" s="439"/>
      <c r="F178" s="469"/>
      <c r="G178" s="469"/>
      <c r="H178" s="439"/>
      <c r="I178" s="439"/>
      <c r="J178" s="439"/>
      <c r="K178" s="439"/>
      <c r="L178" s="439"/>
      <c r="M178" s="439"/>
      <c r="N178" s="439"/>
      <c r="O178" s="439"/>
      <c r="P178" s="439"/>
      <c r="Q178" s="439"/>
      <c r="R178" s="439"/>
      <c r="S178" s="439"/>
      <c r="T178" s="439"/>
      <c r="U178" s="439"/>
      <c r="V178" s="439"/>
      <c r="W178" s="439"/>
      <c r="X178" s="439"/>
      <c r="Y178" s="439"/>
      <c r="Z178" s="439"/>
    </row>
    <row r="179" ht="15.75" customHeight="1">
      <c r="A179" s="439"/>
      <c r="B179" s="439"/>
      <c r="C179" s="439"/>
      <c r="D179" s="439"/>
      <c r="E179" s="439"/>
      <c r="F179" s="469"/>
      <c r="G179" s="469"/>
      <c r="H179" s="439"/>
      <c r="I179" s="439"/>
      <c r="J179" s="439"/>
      <c r="K179" s="439"/>
      <c r="L179" s="439"/>
      <c r="M179" s="439"/>
      <c r="N179" s="439"/>
      <c r="O179" s="439"/>
      <c r="P179" s="439"/>
      <c r="Q179" s="439"/>
      <c r="R179" s="439"/>
      <c r="S179" s="439"/>
      <c r="T179" s="439"/>
      <c r="U179" s="439"/>
      <c r="V179" s="439"/>
      <c r="W179" s="439"/>
      <c r="X179" s="439"/>
      <c r="Y179" s="439"/>
      <c r="Z179" s="439"/>
    </row>
    <row r="180" ht="15.75" customHeight="1">
      <c r="A180" s="439"/>
      <c r="B180" s="439"/>
      <c r="C180" s="439"/>
      <c r="D180" s="439"/>
      <c r="E180" s="439"/>
      <c r="F180" s="469"/>
      <c r="G180" s="469"/>
      <c r="H180" s="439"/>
      <c r="I180" s="439"/>
      <c r="J180" s="439"/>
      <c r="K180" s="439"/>
      <c r="L180" s="439"/>
      <c r="M180" s="439"/>
      <c r="N180" s="439"/>
      <c r="O180" s="439"/>
      <c r="P180" s="439"/>
      <c r="Q180" s="439"/>
      <c r="R180" s="439"/>
      <c r="S180" s="439"/>
      <c r="T180" s="439"/>
      <c r="U180" s="439"/>
      <c r="V180" s="439"/>
      <c r="W180" s="439"/>
      <c r="X180" s="439"/>
      <c r="Y180" s="439"/>
      <c r="Z180" s="439"/>
    </row>
    <row r="181" ht="15.75" customHeight="1">
      <c r="A181" s="439"/>
      <c r="B181" s="439"/>
      <c r="C181" s="439"/>
      <c r="D181" s="439"/>
      <c r="E181" s="439"/>
      <c r="F181" s="469"/>
      <c r="G181" s="469"/>
      <c r="H181" s="439"/>
      <c r="I181" s="439"/>
      <c r="J181" s="439"/>
      <c r="K181" s="439"/>
      <c r="L181" s="439"/>
      <c r="M181" s="439"/>
      <c r="N181" s="439"/>
      <c r="O181" s="439"/>
      <c r="P181" s="439"/>
      <c r="Q181" s="439"/>
      <c r="R181" s="439"/>
      <c r="S181" s="439"/>
      <c r="T181" s="439"/>
      <c r="U181" s="439"/>
      <c r="V181" s="439"/>
      <c r="W181" s="439"/>
      <c r="X181" s="439"/>
      <c r="Y181" s="439"/>
      <c r="Z181" s="439"/>
    </row>
    <row r="182" ht="15.75" customHeight="1">
      <c r="A182" s="439"/>
      <c r="B182" s="439"/>
      <c r="C182" s="439"/>
      <c r="D182" s="439"/>
      <c r="E182" s="439"/>
      <c r="F182" s="469"/>
      <c r="G182" s="469"/>
      <c r="H182" s="439"/>
      <c r="I182" s="439"/>
      <c r="J182" s="439"/>
      <c r="K182" s="439"/>
      <c r="L182" s="439"/>
      <c r="M182" s="439"/>
      <c r="N182" s="439"/>
      <c r="O182" s="439"/>
      <c r="P182" s="439"/>
      <c r="Q182" s="439"/>
      <c r="R182" s="439"/>
      <c r="S182" s="439"/>
      <c r="T182" s="439"/>
      <c r="U182" s="439"/>
      <c r="V182" s="439"/>
      <c r="W182" s="439"/>
      <c r="X182" s="439"/>
      <c r="Y182" s="439"/>
      <c r="Z182" s="439"/>
    </row>
    <row r="183" ht="15.75" customHeight="1">
      <c r="A183" s="439"/>
      <c r="B183" s="439"/>
      <c r="C183" s="439"/>
      <c r="D183" s="439"/>
      <c r="E183" s="439"/>
      <c r="F183" s="469"/>
      <c r="G183" s="469"/>
      <c r="H183" s="439"/>
      <c r="I183" s="439"/>
      <c r="J183" s="439"/>
      <c r="K183" s="439"/>
      <c r="L183" s="439"/>
      <c r="M183" s="439"/>
      <c r="N183" s="439"/>
      <c r="O183" s="439"/>
      <c r="P183" s="439"/>
      <c r="Q183" s="439"/>
      <c r="R183" s="439"/>
      <c r="S183" s="439"/>
      <c r="T183" s="439"/>
      <c r="U183" s="439"/>
      <c r="V183" s="439"/>
      <c r="W183" s="439"/>
      <c r="X183" s="439"/>
      <c r="Y183" s="439"/>
      <c r="Z183" s="439"/>
    </row>
    <row r="184" ht="15.75" customHeight="1">
      <c r="A184" s="439"/>
      <c r="B184" s="439"/>
      <c r="C184" s="439"/>
      <c r="D184" s="439"/>
      <c r="E184" s="439"/>
      <c r="F184" s="469"/>
      <c r="G184" s="469"/>
      <c r="H184" s="439"/>
      <c r="I184" s="439"/>
      <c r="J184" s="439"/>
      <c r="K184" s="439"/>
      <c r="L184" s="439"/>
      <c r="M184" s="439"/>
      <c r="N184" s="439"/>
      <c r="O184" s="439"/>
      <c r="P184" s="439"/>
      <c r="Q184" s="439"/>
      <c r="R184" s="439"/>
      <c r="S184" s="439"/>
      <c r="T184" s="439"/>
      <c r="U184" s="439"/>
      <c r="V184" s="439"/>
      <c r="W184" s="439"/>
      <c r="X184" s="439"/>
      <c r="Y184" s="439"/>
      <c r="Z184" s="439"/>
    </row>
    <row r="185" ht="15.75" customHeight="1">
      <c r="A185" s="439"/>
      <c r="B185" s="439"/>
      <c r="C185" s="439"/>
      <c r="D185" s="439"/>
      <c r="E185" s="439"/>
      <c r="F185" s="469"/>
      <c r="G185" s="469"/>
      <c r="H185" s="439"/>
      <c r="I185" s="439"/>
      <c r="J185" s="439"/>
      <c r="K185" s="439"/>
      <c r="L185" s="439"/>
      <c r="M185" s="439"/>
      <c r="N185" s="439"/>
      <c r="O185" s="439"/>
      <c r="P185" s="439"/>
      <c r="Q185" s="439"/>
      <c r="R185" s="439"/>
      <c r="S185" s="439"/>
      <c r="T185" s="439"/>
      <c r="U185" s="439"/>
      <c r="V185" s="439"/>
      <c r="W185" s="439"/>
      <c r="X185" s="439"/>
      <c r="Y185" s="439"/>
      <c r="Z185" s="439"/>
    </row>
    <row r="186" ht="15.75" customHeight="1">
      <c r="A186" s="439"/>
      <c r="B186" s="439"/>
      <c r="C186" s="439"/>
      <c r="D186" s="439"/>
      <c r="E186" s="439"/>
      <c r="F186" s="469"/>
      <c r="G186" s="469"/>
      <c r="H186" s="439"/>
      <c r="I186" s="439"/>
      <c r="J186" s="439"/>
      <c r="K186" s="439"/>
      <c r="L186" s="439"/>
      <c r="M186" s="439"/>
      <c r="N186" s="439"/>
      <c r="O186" s="439"/>
      <c r="P186" s="439"/>
      <c r="Q186" s="439"/>
      <c r="R186" s="439"/>
      <c r="S186" s="439"/>
      <c r="T186" s="439"/>
      <c r="U186" s="439"/>
      <c r="V186" s="439"/>
      <c r="W186" s="439"/>
      <c r="X186" s="439"/>
      <c r="Y186" s="439"/>
      <c r="Z186" s="439"/>
    </row>
    <row r="187" ht="15.75" customHeight="1">
      <c r="A187" s="439"/>
      <c r="B187" s="439"/>
      <c r="C187" s="439"/>
      <c r="D187" s="439"/>
      <c r="E187" s="439"/>
      <c r="F187" s="469"/>
      <c r="G187" s="469"/>
      <c r="H187" s="439"/>
      <c r="I187" s="439"/>
      <c r="J187" s="439"/>
      <c r="K187" s="439"/>
      <c r="L187" s="439"/>
      <c r="M187" s="439"/>
      <c r="N187" s="439"/>
      <c r="O187" s="439"/>
      <c r="P187" s="439"/>
      <c r="Q187" s="439"/>
      <c r="R187" s="439"/>
      <c r="S187" s="439"/>
      <c r="T187" s="439"/>
      <c r="U187" s="439"/>
      <c r="V187" s="439"/>
      <c r="W187" s="439"/>
      <c r="X187" s="439"/>
      <c r="Y187" s="439"/>
      <c r="Z187" s="439"/>
    </row>
    <row r="188" ht="15.75" customHeight="1">
      <c r="A188" s="439"/>
      <c r="B188" s="439"/>
      <c r="C188" s="439"/>
      <c r="D188" s="439"/>
      <c r="E188" s="439"/>
      <c r="F188" s="469"/>
      <c r="G188" s="469"/>
      <c r="H188" s="439"/>
      <c r="I188" s="439"/>
      <c r="J188" s="439"/>
      <c r="K188" s="439"/>
      <c r="L188" s="439"/>
      <c r="M188" s="439"/>
      <c r="N188" s="439"/>
      <c r="O188" s="439"/>
      <c r="P188" s="439"/>
      <c r="Q188" s="439"/>
      <c r="R188" s="439"/>
      <c r="S188" s="439"/>
      <c r="T188" s="439"/>
      <c r="U188" s="439"/>
      <c r="V188" s="439"/>
      <c r="W188" s="439"/>
      <c r="X188" s="439"/>
      <c r="Y188" s="439"/>
      <c r="Z188" s="439"/>
    </row>
    <row r="189" ht="15.75" customHeight="1">
      <c r="A189" s="439"/>
      <c r="B189" s="439"/>
      <c r="C189" s="439"/>
      <c r="D189" s="439"/>
      <c r="E189" s="439"/>
      <c r="F189" s="469"/>
      <c r="G189" s="469"/>
      <c r="H189" s="439"/>
      <c r="I189" s="439"/>
      <c r="J189" s="439"/>
      <c r="K189" s="439"/>
      <c r="L189" s="439"/>
      <c r="M189" s="439"/>
      <c r="N189" s="439"/>
      <c r="O189" s="439"/>
      <c r="P189" s="439"/>
      <c r="Q189" s="439"/>
      <c r="R189" s="439"/>
      <c r="S189" s="439"/>
      <c r="T189" s="439"/>
      <c r="U189" s="439"/>
      <c r="V189" s="439"/>
      <c r="W189" s="439"/>
      <c r="X189" s="439"/>
      <c r="Y189" s="439"/>
      <c r="Z189" s="439"/>
    </row>
    <row r="190" ht="15.75" customHeight="1">
      <c r="A190" s="439"/>
      <c r="B190" s="439"/>
      <c r="C190" s="439"/>
      <c r="D190" s="439"/>
      <c r="E190" s="439"/>
      <c r="F190" s="469"/>
      <c r="G190" s="469"/>
      <c r="H190" s="439"/>
      <c r="I190" s="439"/>
      <c r="J190" s="439"/>
      <c r="K190" s="439"/>
      <c r="L190" s="439"/>
      <c r="M190" s="439"/>
      <c r="N190" s="439"/>
      <c r="O190" s="439"/>
      <c r="P190" s="439"/>
      <c r="Q190" s="439"/>
      <c r="R190" s="439"/>
      <c r="S190" s="439"/>
      <c r="T190" s="439"/>
      <c r="U190" s="439"/>
      <c r="V190" s="439"/>
      <c r="W190" s="439"/>
      <c r="X190" s="439"/>
      <c r="Y190" s="439"/>
      <c r="Z190" s="439"/>
    </row>
    <row r="191" ht="15.75" customHeight="1">
      <c r="A191" s="439"/>
      <c r="B191" s="439"/>
      <c r="C191" s="439"/>
      <c r="D191" s="439"/>
      <c r="E191" s="439"/>
      <c r="F191" s="469"/>
      <c r="G191" s="469"/>
      <c r="H191" s="439"/>
      <c r="I191" s="439"/>
      <c r="J191" s="439"/>
      <c r="K191" s="439"/>
      <c r="L191" s="439"/>
      <c r="M191" s="439"/>
      <c r="N191" s="439"/>
      <c r="O191" s="439"/>
      <c r="P191" s="439"/>
      <c r="Q191" s="439"/>
      <c r="R191" s="439"/>
      <c r="S191" s="439"/>
      <c r="T191" s="439"/>
      <c r="U191" s="439"/>
      <c r="V191" s="439"/>
      <c r="W191" s="439"/>
      <c r="X191" s="439"/>
      <c r="Y191" s="439"/>
      <c r="Z191" s="439"/>
    </row>
    <row r="192" ht="15.75" customHeight="1">
      <c r="A192" s="439"/>
      <c r="B192" s="439"/>
      <c r="C192" s="439"/>
      <c r="D192" s="439"/>
      <c r="E192" s="439"/>
      <c r="F192" s="469"/>
      <c r="G192" s="469"/>
      <c r="H192" s="439"/>
      <c r="I192" s="439"/>
      <c r="J192" s="439"/>
      <c r="K192" s="439"/>
      <c r="L192" s="439"/>
      <c r="M192" s="439"/>
      <c r="N192" s="439"/>
      <c r="O192" s="439"/>
      <c r="P192" s="439"/>
      <c r="Q192" s="439"/>
      <c r="R192" s="439"/>
      <c r="S192" s="439"/>
      <c r="T192" s="439"/>
      <c r="U192" s="439"/>
      <c r="V192" s="439"/>
      <c r="W192" s="439"/>
      <c r="X192" s="439"/>
      <c r="Y192" s="439"/>
      <c r="Z192" s="439"/>
    </row>
    <row r="193" ht="15.75" customHeight="1">
      <c r="A193" s="439"/>
      <c r="B193" s="439"/>
      <c r="C193" s="439"/>
      <c r="D193" s="439"/>
      <c r="E193" s="439"/>
      <c r="F193" s="469"/>
      <c r="G193" s="469"/>
      <c r="H193" s="439"/>
      <c r="I193" s="439"/>
      <c r="J193" s="439"/>
      <c r="K193" s="439"/>
      <c r="L193" s="439"/>
      <c r="M193" s="439"/>
      <c r="N193" s="439"/>
      <c r="O193" s="439"/>
      <c r="P193" s="439"/>
      <c r="Q193" s="439"/>
      <c r="R193" s="439"/>
      <c r="S193" s="439"/>
      <c r="T193" s="439"/>
      <c r="U193" s="439"/>
      <c r="V193" s="439"/>
      <c r="W193" s="439"/>
      <c r="X193" s="439"/>
      <c r="Y193" s="439"/>
      <c r="Z193" s="439"/>
    </row>
    <row r="194" ht="15.75" customHeight="1">
      <c r="A194" s="439"/>
      <c r="B194" s="439"/>
      <c r="C194" s="439"/>
      <c r="D194" s="439"/>
      <c r="E194" s="439"/>
      <c r="F194" s="469"/>
      <c r="G194" s="469"/>
      <c r="H194" s="439"/>
      <c r="I194" s="439"/>
      <c r="J194" s="439"/>
      <c r="K194" s="439"/>
      <c r="L194" s="439"/>
      <c r="M194" s="439"/>
      <c r="N194" s="439"/>
      <c r="O194" s="439"/>
      <c r="P194" s="439"/>
      <c r="Q194" s="439"/>
      <c r="R194" s="439"/>
      <c r="S194" s="439"/>
      <c r="T194" s="439"/>
      <c r="U194" s="439"/>
      <c r="V194" s="439"/>
      <c r="W194" s="439"/>
      <c r="X194" s="439"/>
      <c r="Y194" s="439"/>
      <c r="Z194" s="439"/>
    </row>
    <row r="195" ht="15.75" customHeight="1">
      <c r="A195" s="439"/>
      <c r="B195" s="439"/>
      <c r="C195" s="439"/>
      <c r="D195" s="439"/>
      <c r="E195" s="439"/>
      <c r="F195" s="469"/>
      <c r="G195" s="469"/>
      <c r="H195" s="439"/>
      <c r="I195" s="439"/>
      <c r="J195" s="439"/>
      <c r="K195" s="439"/>
      <c r="L195" s="439"/>
      <c r="M195" s="439"/>
      <c r="N195" s="439"/>
      <c r="O195" s="439"/>
      <c r="P195" s="439"/>
      <c r="Q195" s="439"/>
      <c r="R195" s="439"/>
      <c r="S195" s="439"/>
      <c r="T195" s="439"/>
      <c r="U195" s="439"/>
      <c r="V195" s="439"/>
      <c r="W195" s="439"/>
      <c r="X195" s="439"/>
      <c r="Y195" s="439"/>
      <c r="Z195" s="439"/>
    </row>
    <row r="196" ht="15.75" customHeight="1">
      <c r="A196" s="439"/>
      <c r="B196" s="439"/>
      <c r="C196" s="439"/>
      <c r="D196" s="439"/>
      <c r="E196" s="439"/>
      <c r="F196" s="469"/>
      <c r="G196" s="469"/>
      <c r="H196" s="439"/>
      <c r="I196" s="439"/>
      <c r="J196" s="439"/>
      <c r="K196" s="439"/>
      <c r="L196" s="439"/>
      <c r="M196" s="439"/>
      <c r="N196" s="439"/>
      <c r="O196" s="439"/>
      <c r="P196" s="439"/>
      <c r="Q196" s="439"/>
      <c r="R196" s="439"/>
      <c r="S196" s="439"/>
      <c r="T196" s="439"/>
      <c r="U196" s="439"/>
      <c r="V196" s="439"/>
      <c r="W196" s="439"/>
      <c r="X196" s="439"/>
      <c r="Y196" s="439"/>
      <c r="Z196" s="439"/>
    </row>
    <row r="197" ht="15.75" customHeight="1">
      <c r="A197" s="439"/>
      <c r="B197" s="439"/>
      <c r="C197" s="439"/>
      <c r="D197" s="439"/>
      <c r="E197" s="439"/>
      <c r="F197" s="469"/>
      <c r="G197" s="469"/>
      <c r="H197" s="439"/>
      <c r="I197" s="439"/>
      <c r="J197" s="439"/>
      <c r="K197" s="439"/>
      <c r="L197" s="439"/>
      <c r="M197" s="439"/>
      <c r="N197" s="439"/>
      <c r="O197" s="439"/>
      <c r="P197" s="439"/>
      <c r="Q197" s="439"/>
      <c r="R197" s="439"/>
      <c r="S197" s="439"/>
      <c r="T197" s="439"/>
      <c r="U197" s="439"/>
      <c r="V197" s="439"/>
      <c r="W197" s="439"/>
      <c r="X197" s="439"/>
      <c r="Y197" s="439"/>
      <c r="Z197" s="439"/>
    </row>
    <row r="198" ht="15.75" customHeight="1">
      <c r="A198" s="439"/>
      <c r="B198" s="439"/>
      <c r="C198" s="439"/>
      <c r="D198" s="439"/>
      <c r="E198" s="439"/>
      <c r="F198" s="469"/>
      <c r="G198" s="469"/>
      <c r="H198" s="439"/>
      <c r="I198" s="439"/>
      <c r="J198" s="439"/>
      <c r="K198" s="439"/>
      <c r="L198" s="439"/>
      <c r="M198" s="439"/>
      <c r="N198" s="439"/>
      <c r="O198" s="439"/>
      <c r="P198" s="439"/>
      <c r="Q198" s="439"/>
      <c r="R198" s="439"/>
      <c r="S198" s="439"/>
      <c r="T198" s="439"/>
      <c r="U198" s="439"/>
      <c r="V198" s="439"/>
      <c r="W198" s="439"/>
      <c r="X198" s="439"/>
      <c r="Y198" s="439"/>
      <c r="Z198" s="439"/>
    </row>
    <row r="199" ht="15.75" customHeight="1">
      <c r="A199" s="439"/>
      <c r="B199" s="439"/>
      <c r="C199" s="439"/>
      <c r="D199" s="439"/>
      <c r="E199" s="439"/>
      <c r="F199" s="469"/>
      <c r="G199" s="469"/>
      <c r="H199" s="439"/>
      <c r="I199" s="439"/>
      <c r="J199" s="439"/>
      <c r="K199" s="439"/>
      <c r="L199" s="439"/>
      <c r="M199" s="439"/>
      <c r="N199" s="439"/>
      <c r="O199" s="439"/>
      <c r="P199" s="439"/>
      <c r="Q199" s="439"/>
      <c r="R199" s="439"/>
      <c r="S199" s="439"/>
      <c r="T199" s="439"/>
      <c r="U199" s="439"/>
      <c r="V199" s="439"/>
      <c r="W199" s="439"/>
      <c r="X199" s="439"/>
      <c r="Y199" s="439"/>
      <c r="Z199" s="439"/>
    </row>
    <row r="200" ht="15.75" customHeight="1">
      <c r="A200" s="439"/>
      <c r="B200" s="439"/>
      <c r="C200" s="439"/>
      <c r="D200" s="439"/>
      <c r="E200" s="439"/>
      <c r="F200" s="469"/>
      <c r="G200" s="469"/>
      <c r="H200" s="439"/>
      <c r="I200" s="439"/>
      <c r="J200" s="439"/>
      <c r="K200" s="439"/>
      <c r="L200" s="439"/>
      <c r="M200" s="439"/>
      <c r="N200" s="439"/>
      <c r="O200" s="439"/>
      <c r="P200" s="439"/>
      <c r="Q200" s="439"/>
      <c r="R200" s="439"/>
      <c r="S200" s="439"/>
      <c r="T200" s="439"/>
      <c r="U200" s="439"/>
      <c r="V200" s="439"/>
      <c r="W200" s="439"/>
      <c r="X200" s="439"/>
      <c r="Y200" s="439"/>
      <c r="Z200" s="439"/>
    </row>
    <row r="201" ht="15.75" customHeight="1">
      <c r="A201" s="439"/>
      <c r="B201" s="439"/>
      <c r="C201" s="439"/>
      <c r="D201" s="439"/>
      <c r="E201" s="439"/>
      <c r="F201" s="469"/>
      <c r="G201" s="469"/>
      <c r="H201" s="439"/>
      <c r="I201" s="439"/>
      <c r="J201" s="439"/>
      <c r="K201" s="439"/>
      <c r="L201" s="439"/>
      <c r="M201" s="439"/>
      <c r="N201" s="439"/>
      <c r="O201" s="439"/>
      <c r="P201" s="439"/>
      <c r="Q201" s="439"/>
      <c r="R201" s="439"/>
      <c r="S201" s="439"/>
      <c r="T201" s="439"/>
      <c r="U201" s="439"/>
      <c r="V201" s="439"/>
      <c r="W201" s="439"/>
      <c r="X201" s="439"/>
      <c r="Y201" s="439"/>
      <c r="Z201" s="439"/>
    </row>
    <row r="202" ht="15.75" customHeight="1">
      <c r="A202" s="439"/>
      <c r="B202" s="439"/>
      <c r="C202" s="439"/>
      <c r="D202" s="439"/>
      <c r="E202" s="439"/>
      <c r="F202" s="469"/>
      <c r="G202" s="469"/>
      <c r="H202" s="439"/>
      <c r="I202" s="439"/>
      <c r="J202" s="439"/>
      <c r="K202" s="439"/>
      <c r="L202" s="439"/>
      <c r="M202" s="439"/>
      <c r="N202" s="439"/>
      <c r="O202" s="439"/>
      <c r="P202" s="439"/>
      <c r="Q202" s="439"/>
      <c r="R202" s="439"/>
      <c r="S202" s="439"/>
      <c r="T202" s="439"/>
      <c r="U202" s="439"/>
      <c r="V202" s="439"/>
      <c r="W202" s="439"/>
      <c r="X202" s="439"/>
      <c r="Y202" s="439"/>
      <c r="Z202" s="439"/>
    </row>
    <row r="203" ht="15.75" customHeight="1">
      <c r="A203" s="439"/>
      <c r="B203" s="439"/>
      <c r="C203" s="439"/>
      <c r="D203" s="439"/>
      <c r="E203" s="439"/>
      <c r="F203" s="469"/>
      <c r="G203" s="469"/>
      <c r="H203" s="439"/>
      <c r="I203" s="439"/>
      <c r="J203" s="439"/>
      <c r="K203" s="439"/>
      <c r="L203" s="439"/>
      <c r="M203" s="439"/>
      <c r="N203" s="439"/>
      <c r="O203" s="439"/>
      <c r="P203" s="439"/>
      <c r="Q203" s="439"/>
      <c r="R203" s="439"/>
      <c r="S203" s="439"/>
      <c r="T203" s="439"/>
      <c r="U203" s="439"/>
      <c r="V203" s="439"/>
      <c r="W203" s="439"/>
      <c r="X203" s="439"/>
      <c r="Y203" s="439"/>
      <c r="Z203" s="439"/>
    </row>
    <row r="204" ht="15.75" customHeight="1">
      <c r="A204" s="439"/>
      <c r="B204" s="439"/>
      <c r="C204" s="439"/>
      <c r="D204" s="439"/>
      <c r="E204" s="439"/>
      <c r="F204" s="469"/>
      <c r="G204" s="469"/>
      <c r="H204" s="439"/>
      <c r="I204" s="439"/>
      <c r="J204" s="439"/>
      <c r="K204" s="439"/>
      <c r="L204" s="439"/>
      <c r="M204" s="439"/>
      <c r="N204" s="439"/>
      <c r="O204" s="439"/>
      <c r="P204" s="439"/>
      <c r="Q204" s="439"/>
      <c r="R204" s="439"/>
      <c r="S204" s="439"/>
      <c r="T204" s="439"/>
      <c r="U204" s="439"/>
      <c r="V204" s="439"/>
      <c r="W204" s="439"/>
      <c r="X204" s="439"/>
      <c r="Y204" s="439"/>
      <c r="Z204" s="439"/>
    </row>
    <row r="205" ht="15.75" customHeight="1">
      <c r="A205" s="439"/>
      <c r="B205" s="439"/>
      <c r="C205" s="439"/>
      <c r="D205" s="439"/>
      <c r="E205" s="439"/>
      <c r="F205" s="469"/>
      <c r="G205" s="469"/>
      <c r="H205" s="439"/>
      <c r="I205" s="439"/>
      <c r="J205" s="439"/>
      <c r="K205" s="439"/>
      <c r="L205" s="439"/>
      <c r="M205" s="439"/>
      <c r="N205" s="439"/>
      <c r="O205" s="439"/>
      <c r="P205" s="439"/>
      <c r="Q205" s="439"/>
      <c r="R205" s="439"/>
      <c r="S205" s="439"/>
      <c r="T205" s="439"/>
      <c r="U205" s="439"/>
      <c r="V205" s="439"/>
      <c r="W205" s="439"/>
      <c r="X205" s="439"/>
      <c r="Y205" s="439"/>
      <c r="Z205" s="439"/>
    </row>
    <row r="206" ht="15.75" customHeight="1">
      <c r="A206" s="439"/>
      <c r="B206" s="439"/>
      <c r="C206" s="439"/>
      <c r="D206" s="439"/>
      <c r="E206" s="439"/>
      <c r="F206" s="469"/>
      <c r="G206" s="469"/>
      <c r="H206" s="439"/>
      <c r="I206" s="439"/>
      <c r="J206" s="439"/>
      <c r="K206" s="439"/>
      <c r="L206" s="439"/>
      <c r="M206" s="439"/>
      <c r="N206" s="439"/>
      <c r="O206" s="439"/>
      <c r="P206" s="439"/>
      <c r="Q206" s="439"/>
      <c r="R206" s="439"/>
      <c r="S206" s="439"/>
      <c r="T206" s="439"/>
      <c r="U206" s="439"/>
      <c r="V206" s="439"/>
      <c r="W206" s="439"/>
      <c r="X206" s="439"/>
      <c r="Y206" s="439"/>
      <c r="Z206" s="439"/>
    </row>
    <row r="207" ht="15.75" customHeight="1">
      <c r="A207" s="439"/>
      <c r="B207" s="439"/>
      <c r="C207" s="439"/>
      <c r="D207" s="439"/>
      <c r="E207" s="439"/>
      <c r="F207" s="469"/>
      <c r="G207" s="469"/>
      <c r="H207" s="439"/>
      <c r="I207" s="439"/>
      <c r="J207" s="439"/>
      <c r="K207" s="439"/>
      <c r="L207" s="439"/>
      <c r="M207" s="439"/>
      <c r="N207" s="439"/>
      <c r="O207" s="439"/>
      <c r="P207" s="439"/>
      <c r="Q207" s="439"/>
      <c r="R207" s="439"/>
      <c r="S207" s="439"/>
      <c r="T207" s="439"/>
      <c r="U207" s="439"/>
      <c r="V207" s="439"/>
      <c r="W207" s="439"/>
      <c r="X207" s="439"/>
      <c r="Y207" s="439"/>
      <c r="Z207" s="439"/>
    </row>
    <row r="208" ht="15.75" customHeight="1">
      <c r="A208" s="439"/>
      <c r="B208" s="439"/>
      <c r="C208" s="439"/>
      <c r="D208" s="439"/>
      <c r="E208" s="439"/>
      <c r="F208" s="469"/>
      <c r="G208" s="469"/>
      <c r="H208" s="439"/>
      <c r="I208" s="439"/>
      <c r="J208" s="439"/>
      <c r="K208" s="439"/>
      <c r="L208" s="439"/>
      <c r="M208" s="439"/>
      <c r="N208" s="439"/>
      <c r="O208" s="439"/>
      <c r="P208" s="439"/>
      <c r="Q208" s="439"/>
      <c r="R208" s="439"/>
      <c r="S208" s="439"/>
      <c r="T208" s="439"/>
      <c r="U208" s="439"/>
      <c r="V208" s="439"/>
      <c r="W208" s="439"/>
      <c r="X208" s="439"/>
      <c r="Y208" s="439"/>
      <c r="Z208" s="439"/>
    </row>
    <row r="209" ht="15.75" customHeight="1">
      <c r="A209" s="439"/>
      <c r="B209" s="439"/>
      <c r="C209" s="439"/>
      <c r="D209" s="439"/>
      <c r="E209" s="439"/>
      <c r="F209" s="469"/>
      <c r="G209" s="469"/>
      <c r="H209" s="439"/>
      <c r="I209" s="439"/>
      <c r="J209" s="439"/>
      <c r="K209" s="439"/>
      <c r="L209" s="439"/>
      <c r="M209" s="439"/>
      <c r="N209" s="439"/>
      <c r="O209" s="439"/>
      <c r="P209" s="439"/>
      <c r="Q209" s="439"/>
      <c r="R209" s="439"/>
      <c r="S209" s="439"/>
      <c r="T209" s="439"/>
      <c r="U209" s="439"/>
      <c r="V209" s="439"/>
      <c r="W209" s="439"/>
      <c r="X209" s="439"/>
      <c r="Y209" s="439"/>
      <c r="Z209" s="439"/>
    </row>
    <row r="210" ht="15.75" customHeight="1">
      <c r="A210" s="439"/>
      <c r="B210" s="439"/>
      <c r="C210" s="439"/>
      <c r="D210" s="439"/>
      <c r="E210" s="439"/>
      <c r="F210" s="469"/>
      <c r="G210" s="469"/>
      <c r="H210" s="439"/>
      <c r="I210" s="439"/>
      <c r="J210" s="439"/>
      <c r="K210" s="439"/>
      <c r="L210" s="439"/>
      <c r="M210" s="439"/>
      <c r="N210" s="439"/>
      <c r="O210" s="439"/>
      <c r="P210" s="439"/>
      <c r="Q210" s="439"/>
      <c r="R210" s="439"/>
      <c r="S210" s="439"/>
      <c r="T210" s="439"/>
      <c r="U210" s="439"/>
      <c r="V210" s="439"/>
      <c r="W210" s="439"/>
      <c r="X210" s="439"/>
      <c r="Y210" s="439"/>
      <c r="Z210" s="439"/>
    </row>
    <row r="211" ht="15.75" customHeight="1">
      <c r="A211" s="439"/>
      <c r="B211" s="439"/>
      <c r="C211" s="439"/>
      <c r="D211" s="439"/>
      <c r="E211" s="439"/>
      <c r="F211" s="469"/>
      <c r="G211" s="46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439"/>
      <c r="T211" s="439"/>
      <c r="U211" s="439"/>
      <c r="V211" s="439"/>
      <c r="W211" s="439"/>
      <c r="X211" s="439"/>
      <c r="Y211" s="439"/>
      <c r="Z211" s="439"/>
    </row>
    <row r="212" ht="15.75" customHeight="1">
      <c r="A212" s="439"/>
      <c r="B212" s="439"/>
      <c r="C212" s="439"/>
      <c r="D212" s="439"/>
      <c r="E212" s="439"/>
      <c r="F212" s="469"/>
      <c r="G212" s="469"/>
      <c r="H212" s="439"/>
      <c r="I212" s="439"/>
      <c r="J212" s="439"/>
      <c r="K212" s="439"/>
      <c r="L212" s="439"/>
      <c r="M212" s="439"/>
      <c r="N212" s="439"/>
      <c r="O212" s="439"/>
      <c r="P212" s="439"/>
      <c r="Q212" s="439"/>
      <c r="R212" s="439"/>
      <c r="S212" s="439"/>
      <c r="T212" s="439"/>
      <c r="U212" s="439"/>
      <c r="V212" s="439"/>
      <c r="W212" s="439"/>
      <c r="X212" s="439"/>
      <c r="Y212" s="439"/>
      <c r="Z212" s="439"/>
    </row>
    <row r="213" ht="15.75" customHeight="1">
      <c r="A213" s="439"/>
      <c r="B213" s="439"/>
      <c r="C213" s="439"/>
      <c r="D213" s="439"/>
      <c r="E213" s="439"/>
      <c r="F213" s="469"/>
      <c r="G213" s="469"/>
      <c r="H213" s="439"/>
      <c r="I213" s="439"/>
      <c r="J213" s="439"/>
      <c r="K213" s="439"/>
      <c r="L213" s="439"/>
      <c r="M213" s="439"/>
      <c r="N213" s="439"/>
      <c r="O213" s="439"/>
      <c r="P213" s="439"/>
      <c r="Q213" s="439"/>
      <c r="R213" s="439"/>
      <c r="S213" s="439"/>
      <c r="T213" s="439"/>
      <c r="U213" s="439"/>
      <c r="V213" s="439"/>
      <c r="W213" s="439"/>
      <c r="X213" s="439"/>
      <c r="Y213" s="439"/>
      <c r="Z213" s="439"/>
    </row>
    <row r="214" ht="15.75" customHeight="1">
      <c r="A214" s="439"/>
      <c r="B214" s="439"/>
      <c r="C214" s="439"/>
      <c r="D214" s="439"/>
      <c r="E214" s="439"/>
      <c r="F214" s="469"/>
      <c r="G214" s="469"/>
      <c r="H214" s="439"/>
      <c r="I214" s="439"/>
      <c r="J214" s="439"/>
      <c r="K214" s="439"/>
      <c r="L214" s="439"/>
      <c r="M214" s="439"/>
      <c r="N214" s="439"/>
      <c r="O214" s="439"/>
      <c r="P214" s="439"/>
      <c r="Q214" s="439"/>
      <c r="R214" s="439"/>
      <c r="S214" s="439"/>
      <c r="T214" s="439"/>
      <c r="U214" s="439"/>
      <c r="V214" s="439"/>
      <c r="W214" s="439"/>
      <c r="X214" s="439"/>
      <c r="Y214" s="439"/>
      <c r="Z214" s="439"/>
    </row>
    <row r="215" ht="15.75" customHeight="1">
      <c r="A215" s="439"/>
      <c r="B215" s="439"/>
      <c r="C215" s="439"/>
      <c r="D215" s="439"/>
      <c r="E215" s="439"/>
      <c r="F215" s="469"/>
      <c r="G215" s="469"/>
      <c r="H215" s="439"/>
      <c r="I215" s="439"/>
      <c r="J215" s="439"/>
      <c r="K215" s="439"/>
      <c r="L215" s="439"/>
      <c r="M215" s="439"/>
      <c r="N215" s="439"/>
      <c r="O215" s="439"/>
      <c r="P215" s="439"/>
      <c r="Q215" s="439"/>
      <c r="R215" s="439"/>
      <c r="S215" s="439"/>
      <c r="T215" s="439"/>
      <c r="U215" s="439"/>
      <c r="V215" s="439"/>
      <c r="W215" s="439"/>
      <c r="X215" s="439"/>
      <c r="Y215" s="439"/>
      <c r="Z215" s="439"/>
    </row>
    <row r="216" ht="15.75" customHeight="1">
      <c r="A216" s="439"/>
      <c r="B216" s="439"/>
      <c r="C216" s="439"/>
      <c r="D216" s="439"/>
      <c r="E216" s="439"/>
      <c r="F216" s="469"/>
      <c r="G216" s="469"/>
      <c r="H216" s="439"/>
      <c r="I216" s="439"/>
      <c r="J216" s="439"/>
      <c r="K216" s="439"/>
      <c r="L216" s="439"/>
      <c r="M216" s="439"/>
      <c r="N216" s="439"/>
      <c r="O216" s="439"/>
      <c r="P216" s="439"/>
      <c r="Q216" s="439"/>
      <c r="R216" s="439"/>
      <c r="S216" s="439"/>
      <c r="T216" s="439"/>
      <c r="U216" s="439"/>
      <c r="V216" s="439"/>
      <c r="W216" s="439"/>
      <c r="X216" s="439"/>
      <c r="Y216" s="439"/>
      <c r="Z216" s="439"/>
    </row>
    <row r="217" ht="15.75" customHeight="1">
      <c r="A217" s="439"/>
      <c r="B217" s="439"/>
      <c r="C217" s="439"/>
      <c r="D217" s="439"/>
      <c r="E217" s="439"/>
      <c r="F217" s="469"/>
      <c r="G217" s="469"/>
      <c r="H217" s="439"/>
      <c r="I217" s="439"/>
      <c r="J217" s="439"/>
      <c r="K217" s="439"/>
      <c r="L217" s="439"/>
      <c r="M217" s="439"/>
      <c r="N217" s="439"/>
      <c r="O217" s="439"/>
      <c r="P217" s="439"/>
      <c r="Q217" s="439"/>
      <c r="R217" s="439"/>
      <c r="S217" s="439"/>
      <c r="T217" s="439"/>
      <c r="U217" s="439"/>
      <c r="V217" s="439"/>
      <c r="W217" s="439"/>
      <c r="X217" s="439"/>
      <c r="Y217" s="439"/>
      <c r="Z217" s="439"/>
    </row>
    <row r="218" ht="15.75" customHeight="1">
      <c r="A218" s="439"/>
      <c r="B218" s="439"/>
      <c r="C218" s="439"/>
      <c r="D218" s="439"/>
      <c r="E218" s="439"/>
      <c r="F218" s="469"/>
      <c r="G218" s="469"/>
      <c r="H218" s="439"/>
      <c r="I218" s="439"/>
      <c r="J218" s="439"/>
      <c r="K218" s="439"/>
      <c r="L218" s="439"/>
      <c r="M218" s="439"/>
      <c r="N218" s="439"/>
      <c r="O218" s="439"/>
      <c r="P218" s="439"/>
      <c r="Q218" s="439"/>
      <c r="R218" s="439"/>
      <c r="S218" s="439"/>
      <c r="T218" s="439"/>
      <c r="U218" s="439"/>
      <c r="V218" s="439"/>
      <c r="W218" s="439"/>
      <c r="X218" s="439"/>
      <c r="Y218" s="439"/>
      <c r="Z218" s="439"/>
    </row>
    <row r="219" ht="15.75" customHeight="1">
      <c r="A219" s="439"/>
      <c r="B219" s="439"/>
      <c r="C219" s="439"/>
      <c r="D219" s="439"/>
      <c r="E219" s="439"/>
      <c r="F219" s="469"/>
      <c r="G219" s="469"/>
      <c r="H219" s="439"/>
      <c r="I219" s="439"/>
      <c r="J219" s="439"/>
      <c r="K219" s="439"/>
      <c r="L219" s="439"/>
      <c r="M219" s="439"/>
      <c r="N219" s="439"/>
      <c r="O219" s="439"/>
      <c r="P219" s="439"/>
      <c r="Q219" s="439"/>
      <c r="R219" s="439"/>
      <c r="S219" s="439"/>
      <c r="T219" s="439"/>
      <c r="U219" s="439"/>
      <c r="V219" s="439"/>
      <c r="W219" s="439"/>
      <c r="X219" s="439"/>
      <c r="Y219" s="439"/>
      <c r="Z219" s="439"/>
    </row>
    <row r="220" ht="15.75" customHeight="1">
      <c r="A220" s="439"/>
      <c r="B220" s="439"/>
      <c r="C220" s="439"/>
      <c r="D220" s="439"/>
      <c r="E220" s="439"/>
      <c r="F220" s="469"/>
      <c r="G220" s="469"/>
      <c r="H220" s="439"/>
      <c r="I220" s="439"/>
      <c r="J220" s="439"/>
      <c r="K220" s="439"/>
      <c r="L220" s="439"/>
      <c r="M220" s="439"/>
      <c r="N220" s="439"/>
      <c r="O220" s="439"/>
      <c r="P220" s="439"/>
      <c r="Q220" s="439"/>
      <c r="R220" s="439"/>
      <c r="S220" s="439"/>
      <c r="T220" s="439"/>
      <c r="U220" s="439"/>
      <c r="V220" s="439"/>
      <c r="W220" s="439"/>
      <c r="X220" s="439"/>
      <c r="Y220" s="439"/>
      <c r="Z220" s="439"/>
    </row>
    <row r="221" ht="15.75" customHeight="1">
      <c r="A221" s="439"/>
      <c r="B221" s="439"/>
      <c r="C221" s="439"/>
      <c r="D221" s="439"/>
      <c r="E221" s="439"/>
      <c r="F221" s="469"/>
      <c r="G221" s="469"/>
      <c r="H221" s="439"/>
      <c r="I221" s="439"/>
      <c r="J221" s="439"/>
      <c r="K221" s="439"/>
      <c r="L221" s="439"/>
      <c r="M221" s="439"/>
      <c r="N221" s="439"/>
      <c r="O221" s="439"/>
      <c r="P221" s="439"/>
      <c r="Q221" s="439"/>
      <c r="R221" s="439"/>
      <c r="S221" s="439"/>
      <c r="T221" s="439"/>
      <c r="U221" s="439"/>
      <c r="V221" s="439"/>
      <c r="W221" s="439"/>
      <c r="X221" s="439"/>
      <c r="Y221" s="439"/>
      <c r="Z221" s="439"/>
    </row>
    <row r="222" ht="15.75" customHeight="1">
      <c r="A222" s="439"/>
      <c r="B222" s="439"/>
      <c r="C222" s="439"/>
      <c r="D222" s="439"/>
      <c r="E222" s="439"/>
      <c r="F222" s="469"/>
      <c r="G222" s="469"/>
      <c r="H222" s="439"/>
      <c r="I222" s="439"/>
      <c r="J222" s="439"/>
      <c r="K222" s="439"/>
      <c r="L222" s="439"/>
      <c r="M222" s="439"/>
      <c r="N222" s="439"/>
      <c r="O222" s="439"/>
      <c r="P222" s="439"/>
      <c r="Q222" s="439"/>
      <c r="R222" s="439"/>
      <c r="S222" s="439"/>
      <c r="T222" s="439"/>
      <c r="U222" s="439"/>
      <c r="V222" s="439"/>
      <c r="W222" s="439"/>
      <c r="X222" s="439"/>
      <c r="Y222" s="439"/>
      <c r="Z222" s="439"/>
    </row>
    <row r="223" ht="15.75" customHeight="1">
      <c r="A223" s="439"/>
      <c r="B223" s="439"/>
      <c r="C223" s="439"/>
      <c r="D223" s="439"/>
      <c r="E223" s="439"/>
      <c r="F223" s="469"/>
      <c r="G223" s="469"/>
      <c r="H223" s="439"/>
      <c r="I223" s="439"/>
      <c r="J223" s="439"/>
      <c r="K223" s="439"/>
      <c r="L223" s="439"/>
      <c r="M223" s="439"/>
      <c r="N223" s="439"/>
      <c r="O223" s="439"/>
      <c r="P223" s="439"/>
      <c r="Q223" s="439"/>
      <c r="R223" s="439"/>
      <c r="S223" s="439"/>
      <c r="T223" s="439"/>
      <c r="U223" s="439"/>
      <c r="V223" s="439"/>
      <c r="W223" s="439"/>
      <c r="X223" s="439"/>
      <c r="Y223" s="439"/>
      <c r="Z223" s="439"/>
    </row>
    <row r="224" ht="15.75" customHeight="1">
      <c r="A224" s="439"/>
      <c r="B224" s="439"/>
      <c r="C224" s="439"/>
      <c r="D224" s="439"/>
      <c r="E224" s="439"/>
      <c r="F224" s="469"/>
      <c r="G224" s="469"/>
      <c r="H224" s="439"/>
      <c r="I224" s="439"/>
      <c r="J224" s="439"/>
      <c r="K224" s="439"/>
      <c r="L224" s="439"/>
      <c r="M224" s="439"/>
      <c r="N224" s="439"/>
      <c r="O224" s="439"/>
      <c r="P224" s="439"/>
      <c r="Q224" s="439"/>
      <c r="R224" s="439"/>
      <c r="S224" s="439"/>
      <c r="T224" s="439"/>
      <c r="U224" s="439"/>
      <c r="V224" s="439"/>
      <c r="W224" s="439"/>
      <c r="X224" s="439"/>
      <c r="Y224" s="439"/>
      <c r="Z224" s="439"/>
    </row>
    <row r="225" ht="15.75" customHeight="1">
      <c r="A225" s="439"/>
      <c r="B225" s="439"/>
      <c r="C225" s="439"/>
      <c r="D225" s="439"/>
      <c r="E225" s="439"/>
      <c r="F225" s="469"/>
      <c r="G225" s="469"/>
      <c r="H225" s="439"/>
      <c r="I225" s="439"/>
      <c r="J225" s="439"/>
      <c r="K225" s="439"/>
      <c r="L225" s="439"/>
      <c r="M225" s="439"/>
      <c r="N225" s="439"/>
      <c r="O225" s="439"/>
      <c r="P225" s="439"/>
      <c r="Q225" s="439"/>
      <c r="R225" s="439"/>
      <c r="S225" s="439"/>
      <c r="T225" s="439"/>
      <c r="U225" s="439"/>
      <c r="V225" s="439"/>
      <c r="W225" s="439"/>
      <c r="X225" s="439"/>
      <c r="Y225" s="439"/>
      <c r="Z225" s="439"/>
    </row>
    <row r="226" ht="15.75" customHeight="1">
      <c r="A226" s="439"/>
      <c r="B226" s="439"/>
      <c r="C226" s="439"/>
      <c r="D226" s="439"/>
      <c r="E226" s="439"/>
      <c r="F226" s="469"/>
      <c r="G226" s="469"/>
      <c r="H226" s="439"/>
      <c r="I226" s="439"/>
      <c r="J226" s="439"/>
      <c r="K226" s="439"/>
      <c r="L226" s="439"/>
      <c r="M226" s="439"/>
      <c r="N226" s="439"/>
      <c r="O226" s="439"/>
      <c r="P226" s="439"/>
      <c r="Q226" s="439"/>
      <c r="R226" s="439"/>
      <c r="S226" s="439"/>
      <c r="T226" s="439"/>
      <c r="U226" s="439"/>
      <c r="V226" s="439"/>
      <c r="W226" s="439"/>
      <c r="X226" s="439"/>
      <c r="Y226" s="439"/>
      <c r="Z226" s="439"/>
    </row>
    <row r="227" ht="15.75" customHeight="1">
      <c r="A227" s="439"/>
      <c r="B227" s="439"/>
      <c r="C227" s="439"/>
      <c r="D227" s="439"/>
      <c r="E227" s="439"/>
      <c r="F227" s="469"/>
      <c r="G227" s="469"/>
      <c r="H227" s="439"/>
      <c r="I227" s="439"/>
      <c r="J227" s="439"/>
      <c r="K227" s="439"/>
      <c r="L227" s="439"/>
      <c r="M227" s="439"/>
      <c r="N227" s="439"/>
      <c r="O227" s="439"/>
      <c r="P227" s="439"/>
      <c r="Q227" s="439"/>
      <c r="R227" s="439"/>
      <c r="S227" s="439"/>
      <c r="T227" s="439"/>
      <c r="U227" s="439"/>
      <c r="V227" s="439"/>
      <c r="W227" s="439"/>
      <c r="X227" s="439"/>
      <c r="Y227" s="439"/>
      <c r="Z227" s="439"/>
    </row>
    <row r="228" ht="15.75" customHeight="1">
      <c r="A228" s="439"/>
      <c r="B228" s="439"/>
      <c r="C228" s="439"/>
      <c r="D228" s="439"/>
      <c r="E228" s="439"/>
      <c r="F228" s="469"/>
      <c r="G228" s="469"/>
      <c r="H228" s="439"/>
      <c r="I228" s="439"/>
      <c r="J228" s="439"/>
      <c r="K228" s="439"/>
      <c r="L228" s="439"/>
      <c r="M228" s="439"/>
      <c r="N228" s="439"/>
      <c r="O228" s="439"/>
      <c r="P228" s="439"/>
      <c r="Q228" s="439"/>
      <c r="R228" s="439"/>
      <c r="S228" s="439"/>
      <c r="T228" s="439"/>
      <c r="U228" s="439"/>
      <c r="V228" s="439"/>
      <c r="W228" s="439"/>
      <c r="X228" s="439"/>
      <c r="Y228" s="439"/>
      <c r="Z228" s="439"/>
    </row>
    <row r="229" ht="15.75" customHeight="1">
      <c r="A229" s="439"/>
      <c r="B229" s="439"/>
      <c r="C229" s="439"/>
      <c r="D229" s="439"/>
      <c r="E229" s="439"/>
      <c r="F229" s="469"/>
      <c r="G229" s="469"/>
      <c r="H229" s="439"/>
      <c r="I229" s="439"/>
      <c r="J229" s="439"/>
      <c r="K229" s="439"/>
      <c r="L229" s="439"/>
      <c r="M229" s="439"/>
      <c r="N229" s="439"/>
      <c r="O229" s="439"/>
      <c r="P229" s="439"/>
      <c r="Q229" s="439"/>
      <c r="R229" s="439"/>
      <c r="S229" s="439"/>
      <c r="T229" s="439"/>
      <c r="U229" s="439"/>
      <c r="V229" s="439"/>
      <c r="W229" s="439"/>
      <c r="X229" s="439"/>
      <c r="Y229" s="439"/>
      <c r="Z229" s="439"/>
    </row>
    <row r="230" ht="15.75" customHeight="1">
      <c r="A230" s="439"/>
      <c r="B230" s="439"/>
      <c r="C230" s="439"/>
      <c r="D230" s="439"/>
      <c r="E230" s="439"/>
      <c r="F230" s="469"/>
      <c r="G230" s="469"/>
      <c r="H230" s="439"/>
      <c r="I230" s="439"/>
      <c r="J230" s="439"/>
      <c r="K230" s="439"/>
      <c r="L230" s="439"/>
      <c r="M230" s="439"/>
      <c r="N230" s="439"/>
      <c r="O230" s="439"/>
      <c r="P230" s="439"/>
      <c r="Q230" s="439"/>
      <c r="R230" s="439"/>
      <c r="S230" s="439"/>
      <c r="T230" s="439"/>
      <c r="U230" s="439"/>
      <c r="V230" s="439"/>
      <c r="W230" s="439"/>
      <c r="X230" s="439"/>
      <c r="Y230" s="439"/>
      <c r="Z230" s="439"/>
    </row>
    <row r="231" ht="15.75" customHeight="1">
      <c r="A231" s="439"/>
      <c r="B231" s="439"/>
      <c r="C231" s="439"/>
      <c r="D231" s="439"/>
      <c r="E231" s="439"/>
      <c r="F231" s="469"/>
      <c r="G231" s="469"/>
      <c r="H231" s="439"/>
      <c r="I231" s="439"/>
      <c r="J231" s="439"/>
      <c r="K231" s="439"/>
      <c r="L231" s="439"/>
      <c r="M231" s="439"/>
      <c r="N231" s="439"/>
      <c r="O231" s="439"/>
      <c r="P231" s="439"/>
      <c r="Q231" s="439"/>
      <c r="R231" s="439"/>
      <c r="S231" s="439"/>
      <c r="T231" s="439"/>
      <c r="U231" s="439"/>
      <c r="V231" s="439"/>
      <c r="W231" s="439"/>
      <c r="X231" s="439"/>
      <c r="Y231" s="439"/>
      <c r="Z231" s="439"/>
    </row>
    <row r="232" ht="15.75" customHeight="1">
      <c r="A232" s="439"/>
      <c r="B232" s="439"/>
      <c r="C232" s="439"/>
      <c r="D232" s="439"/>
      <c r="E232" s="439"/>
      <c r="F232" s="469"/>
      <c r="G232" s="469"/>
      <c r="H232" s="439"/>
      <c r="I232" s="439"/>
      <c r="J232" s="439"/>
      <c r="K232" s="439"/>
      <c r="L232" s="439"/>
      <c r="M232" s="439"/>
      <c r="N232" s="439"/>
      <c r="O232" s="439"/>
      <c r="P232" s="439"/>
      <c r="Q232" s="439"/>
      <c r="R232" s="439"/>
      <c r="S232" s="439"/>
      <c r="T232" s="439"/>
      <c r="U232" s="439"/>
      <c r="V232" s="439"/>
      <c r="W232" s="439"/>
      <c r="X232" s="439"/>
      <c r="Y232" s="439"/>
      <c r="Z232" s="439"/>
    </row>
    <row r="233" ht="15.75" customHeight="1">
      <c r="A233" s="439"/>
      <c r="B233" s="439"/>
      <c r="C233" s="439"/>
      <c r="D233" s="439"/>
      <c r="E233" s="439"/>
      <c r="F233" s="469"/>
      <c r="G233" s="469"/>
      <c r="H233" s="439"/>
      <c r="I233" s="439"/>
      <c r="J233" s="439"/>
      <c r="K233" s="439"/>
      <c r="L233" s="439"/>
      <c r="M233" s="439"/>
      <c r="N233" s="439"/>
      <c r="O233" s="439"/>
      <c r="P233" s="439"/>
      <c r="Q233" s="439"/>
      <c r="R233" s="439"/>
      <c r="S233" s="439"/>
      <c r="T233" s="439"/>
      <c r="U233" s="439"/>
      <c r="V233" s="439"/>
      <c r="W233" s="439"/>
      <c r="X233" s="439"/>
      <c r="Y233" s="439"/>
      <c r="Z233" s="439"/>
    </row>
    <row r="234" ht="15.75" customHeight="1">
      <c r="A234" s="439"/>
      <c r="B234" s="439"/>
      <c r="C234" s="439"/>
      <c r="D234" s="439"/>
      <c r="E234" s="439"/>
      <c r="F234" s="469"/>
      <c r="G234" s="469"/>
      <c r="H234" s="439"/>
      <c r="I234" s="439"/>
      <c r="J234" s="439"/>
      <c r="K234" s="439"/>
      <c r="L234" s="439"/>
      <c r="M234" s="439"/>
      <c r="N234" s="439"/>
      <c r="O234" s="439"/>
      <c r="P234" s="439"/>
      <c r="Q234" s="439"/>
      <c r="R234" s="439"/>
      <c r="S234" s="439"/>
      <c r="T234" s="439"/>
      <c r="U234" s="439"/>
      <c r="V234" s="439"/>
      <c r="W234" s="439"/>
      <c r="X234" s="439"/>
      <c r="Y234" s="439"/>
      <c r="Z234" s="439"/>
    </row>
    <row r="235" ht="15.75" customHeight="1">
      <c r="A235" s="439"/>
      <c r="B235" s="439"/>
      <c r="C235" s="439"/>
      <c r="D235" s="439"/>
      <c r="E235" s="439"/>
      <c r="F235" s="469"/>
      <c r="G235" s="469"/>
      <c r="H235" s="439"/>
      <c r="I235" s="439"/>
      <c r="J235" s="439"/>
      <c r="K235" s="439"/>
      <c r="L235" s="439"/>
      <c r="M235" s="439"/>
      <c r="N235" s="439"/>
      <c r="O235" s="439"/>
      <c r="P235" s="439"/>
      <c r="Q235" s="439"/>
      <c r="R235" s="439"/>
      <c r="S235" s="439"/>
      <c r="T235" s="439"/>
      <c r="U235" s="439"/>
      <c r="V235" s="439"/>
      <c r="W235" s="439"/>
      <c r="X235" s="439"/>
      <c r="Y235" s="439"/>
      <c r="Z235" s="439"/>
    </row>
    <row r="236" ht="15.75" customHeight="1">
      <c r="A236" s="439"/>
      <c r="B236" s="439"/>
      <c r="C236" s="439"/>
      <c r="D236" s="439"/>
      <c r="E236" s="439"/>
      <c r="F236" s="469"/>
      <c r="G236" s="469"/>
      <c r="H236" s="439"/>
      <c r="I236" s="439"/>
      <c r="J236" s="439"/>
      <c r="K236" s="439"/>
      <c r="L236" s="439"/>
      <c r="M236" s="439"/>
      <c r="N236" s="439"/>
      <c r="O236" s="439"/>
      <c r="P236" s="439"/>
      <c r="Q236" s="439"/>
      <c r="R236" s="439"/>
      <c r="S236" s="439"/>
      <c r="T236" s="439"/>
      <c r="U236" s="439"/>
      <c r="V236" s="439"/>
      <c r="W236" s="439"/>
      <c r="X236" s="439"/>
      <c r="Y236" s="439"/>
      <c r="Z236" s="439"/>
    </row>
    <row r="237" ht="15.75" customHeight="1">
      <c r="A237" s="439"/>
      <c r="B237" s="439"/>
      <c r="C237" s="439"/>
      <c r="D237" s="439"/>
      <c r="E237" s="439"/>
      <c r="F237" s="469"/>
      <c r="G237" s="469"/>
      <c r="H237" s="439"/>
      <c r="I237" s="439"/>
      <c r="J237" s="439"/>
      <c r="K237" s="439"/>
      <c r="L237" s="439"/>
      <c r="M237" s="439"/>
      <c r="N237" s="439"/>
      <c r="O237" s="439"/>
      <c r="P237" s="439"/>
      <c r="Q237" s="439"/>
      <c r="R237" s="439"/>
      <c r="S237" s="439"/>
      <c r="T237" s="439"/>
      <c r="U237" s="439"/>
      <c r="V237" s="439"/>
      <c r="W237" s="439"/>
      <c r="X237" s="439"/>
      <c r="Y237" s="439"/>
      <c r="Z237" s="439"/>
    </row>
    <row r="238" ht="15.75" customHeight="1">
      <c r="A238" s="439"/>
      <c r="B238" s="439"/>
      <c r="C238" s="439"/>
      <c r="D238" s="439"/>
      <c r="E238" s="439"/>
      <c r="F238" s="469"/>
      <c r="G238" s="469"/>
      <c r="H238" s="439"/>
      <c r="I238" s="439"/>
      <c r="J238" s="439"/>
      <c r="K238" s="439"/>
      <c r="L238" s="439"/>
      <c r="M238" s="439"/>
      <c r="N238" s="439"/>
      <c r="O238" s="439"/>
      <c r="P238" s="439"/>
      <c r="Q238" s="439"/>
      <c r="R238" s="439"/>
      <c r="S238" s="439"/>
      <c r="T238" s="439"/>
      <c r="U238" s="439"/>
      <c r="V238" s="439"/>
      <c r="W238" s="439"/>
      <c r="X238" s="439"/>
      <c r="Y238" s="439"/>
      <c r="Z238" s="439"/>
    </row>
    <row r="239" ht="15.75" customHeight="1">
      <c r="A239" s="439"/>
      <c r="B239" s="439"/>
      <c r="C239" s="439"/>
      <c r="D239" s="439"/>
      <c r="E239" s="439"/>
      <c r="F239" s="469"/>
      <c r="G239" s="469"/>
      <c r="H239" s="439"/>
      <c r="I239" s="439"/>
      <c r="J239" s="439"/>
      <c r="K239" s="439"/>
      <c r="L239" s="439"/>
      <c r="M239" s="439"/>
      <c r="N239" s="439"/>
      <c r="O239" s="439"/>
      <c r="P239" s="439"/>
      <c r="Q239" s="439"/>
      <c r="R239" s="439"/>
      <c r="S239" s="439"/>
      <c r="T239" s="439"/>
      <c r="U239" s="439"/>
      <c r="V239" s="439"/>
      <c r="W239" s="439"/>
      <c r="X239" s="439"/>
      <c r="Y239" s="439"/>
      <c r="Z239" s="439"/>
    </row>
    <row r="240" ht="15.75" customHeight="1">
      <c r="A240" s="439"/>
      <c r="B240" s="439"/>
      <c r="C240" s="439"/>
      <c r="D240" s="439"/>
      <c r="E240" s="439"/>
      <c r="F240" s="469"/>
      <c r="G240" s="469"/>
      <c r="H240" s="439"/>
      <c r="I240" s="439"/>
      <c r="J240" s="439"/>
      <c r="K240" s="439"/>
      <c r="L240" s="439"/>
      <c r="M240" s="439"/>
      <c r="N240" s="439"/>
      <c r="O240" s="439"/>
      <c r="P240" s="439"/>
      <c r="Q240" s="439"/>
      <c r="R240" s="439"/>
      <c r="S240" s="439"/>
      <c r="T240" s="439"/>
      <c r="U240" s="439"/>
      <c r="V240" s="439"/>
      <c r="W240" s="439"/>
      <c r="X240" s="439"/>
      <c r="Y240" s="439"/>
      <c r="Z240" s="439"/>
    </row>
    <row r="241" ht="15.75" customHeight="1">
      <c r="A241" s="439"/>
      <c r="B241" s="439"/>
      <c r="C241" s="439"/>
      <c r="D241" s="439"/>
      <c r="E241" s="439"/>
      <c r="F241" s="469"/>
      <c r="G241" s="469"/>
      <c r="H241" s="439"/>
      <c r="I241" s="439"/>
      <c r="J241" s="439"/>
      <c r="K241" s="439"/>
      <c r="L241" s="439"/>
      <c r="M241" s="439"/>
      <c r="N241" s="439"/>
      <c r="O241" s="439"/>
      <c r="P241" s="439"/>
      <c r="Q241" s="439"/>
      <c r="R241" s="439"/>
      <c r="S241" s="439"/>
      <c r="T241" s="439"/>
      <c r="U241" s="439"/>
      <c r="V241" s="439"/>
      <c r="W241" s="439"/>
      <c r="X241" s="439"/>
      <c r="Y241" s="439"/>
      <c r="Z241" s="439"/>
    </row>
    <row r="242" ht="15.75" customHeight="1">
      <c r="A242" s="439"/>
      <c r="B242" s="439"/>
      <c r="C242" s="439"/>
      <c r="D242" s="439"/>
      <c r="E242" s="439"/>
      <c r="F242" s="469"/>
      <c r="G242" s="469"/>
      <c r="H242" s="439"/>
      <c r="I242" s="439"/>
      <c r="J242" s="439"/>
      <c r="K242" s="439"/>
      <c r="L242" s="439"/>
      <c r="M242" s="439"/>
      <c r="N242" s="439"/>
      <c r="O242" s="439"/>
      <c r="P242" s="439"/>
      <c r="Q242" s="439"/>
      <c r="R242" s="439"/>
      <c r="S242" s="439"/>
      <c r="T242" s="439"/>
      <c r="U242" s="439"/>
      <c r="V242" s="439"/>
      <c r="W242" s="439"/>
      <c r="X242" s="439"/>
      <c r="Y242" s="439"/>
      <c r="Z242" s="439"/>
    </row>
    <row r="243" ht="15.75" customHeight="1">
      <c r="A243" s="439"/>
      <c r="B243" s="439"/>
      <c r="C243" s="439"/>
      <c r="D243" s="439"/>
      <c r="E243" s="439"/>
      <c r="F243" s="469"/>
      <c r="G243" s="469"/>
      <c r="H243" s="439"/>
      <c r="I243" s="439"/>
      <c r="J243" s="439"/>
      <c r="K243" s="439"/>
      <c r="L243" s="439"/>
      <c r="M243" s="439"/>
      <c r="N243" s="439"/>
      <c r="O243" s="439"/>
      <c r="P243" s="439"/>
      <c r="Q243" s="439"/>
      <c r="R243" s="439"/>
      <c r="S243" s="439"/>
      <c r="T243" s="439"/>
      <c r="U243" s="439"/>
      <c r="V243" s="439"/>
      <c r="W243" s="439"/>
      <c r="X243" s="439"/>
      <c r="Y243" s="439"/>
      <c r="Z243" s="439"/>
    </row>
    <row r="244" ht="15.75" customHeight="1">
      <c r="A244" s="439"/>
      <c r="B244" s="439"/>
      <c r="C244" s="439"/>
      <c r="D244" s="439"/>
      <c r="E244" s="439"/>
      <c r="F244" s="469"/>
      <c r="G244" s="469"/>
      <c r="H244" s="439"/>
      <c r="I244" s="439"/>
      <c r="J244" s="439"/>
      <c r="K244" s="439"/>
      <c r="L244" s="439"/>
      <c r="M244" s="439"/>
      <c r="N244" s="439"/>
      <c r="O244" s="439"/>
      <c r="P244" s="439"/>
      <c r="Q244" s="439"/>
      <c r="R244" s="439"/>
      <c r="S244" s="439"/>
      <c r="T244" s="439"/>
      <c r="U244" s="439"/>
      <c r="V244" s="439"/>
      <c r="W244" s="439"/>
      <c r="X244" s="439"/>
      <c r="Y244" s="439"/>
      <c r="Z244" s="439"/>
    </row>
    <row r="245" ht="15.75" customHeight="1">
      <c r="A245" s="439"/>
      <c r="B245" s="439"/>
      <c r="C245" s="439"/>
      <c r="D245" s="439"/>
      <c r="E245" s="439"/>
      <c r="F245" s="469"/>
      <c r="G245" s="469"/>
      <c r="H245" s="439"/>
      <c r="I245" s="439"/>
      <c r="J245" s="439"/>
      <c r="K245" s="439"/>
      <c r="L245" s="439"/>
      <c r="M245" s="439"/>
      <c r="N245" s="439"/>
      <c r="O245" s="439"/>
      <c r="P245" s="439"/>
      <c r="Q245" s="439"/>
      <c r="R245" s="439"/>
      <c r="S245" s="439"/>
      <c r="T245" s="439"/>
      <c r="U245" s="439"/>
      <c r="V245" s="439"/>
      <c r="W245" s="439"/>
      <c r="X245" s="439"/>
      <c r="Y245" s="439"/>
      <c r="Z245" s="439"/>
    </row>
    <row r="246" ht="15.75" customHeight="1">
      <c r="A246" s="439"/>
      <c r="B246" s="439"/>
      <c r="C246" s="439"/>
      <c r="D246" s="439"/>
      <c r="E246" s="439"/>
      <c r="F246" s="469"/>
      <c r="G246" s="469"/>
      <c r="H246" s="439"/>
      <c r="I246" s="439"/>
      <c r="J246" s="439"/>
      <c r="K246" s="439"/>
      <c r="L246" s="439"/>
      <c r="M246" s="439"/>
      <c r="N246" s="439"/>
      <c r="O246" s="439"/>
      <c r="P246" s="439"/>
      <c r="Q246" s="439"/>
      <c r="R246" s="439"/>
      <c r="S246" s="439"/>
      <c r="T246" s="439"/>
      <c r="U246" s="439"/>
      <c r="V246" s="439"/>
      <c r="W246" s="439"/>
      <c r="X246" s="439"/>
      <c r="Y246" s="439"/>
      <c r="Z246" s="439"/>
    </row>
    <row r="247" ht="15.75" customHeight="1">
      <c r="A247" s="439"/>
      <c r="B247" s="439"/>
      <c r="C247" s="439"/>
      <c r="D247" s="439"/>
      <c r="E247" s="439"/>
      <c r="F247" s="469"/>
      <c r="G247" s="469"/>
      <c r="H247" s="439"/>
      <c r="I247" s="439"/>
      <c r="J247" s="439"/>
      <c r="K247" s="439"/>
      <c r="L247" s="439"/>
      <c r="M247" s="439"/>
      <c r="N247" s="439"/>
      <c r="O247" s="439"/>
      <c r="P247" s="439"/>
      <c r="Q247" s="439"/>
      <c r="R247" s="439"/>
      <c r="S247" s="439"/>
      <c r="T247" s="439"/>
      <c r="U247" s="439"/>
      <c r="V247" s="439"/>
      <c r="W247" s="439"/>
      <c r="X247" s="439"/>
      <c r="Y247" s="439"/>
      <c r="Z247" s="439"/>
    </row>
    <row r="248" ht="15.75" customHeight="1">
      <c r="A248" s="439"/>
      <c r="B248" s="439"/>
      <c r="C248" s="439"/>
      <c r="D248" s="439"/>
      <c r="E248" s="439"/>
      <c r="F248" s="469"/>
      <c r="G248" s="469"/>
      <c r="H248" s="439"/>
      <c r="I248" s="439"/>
      <c r="J248" s="439"/>
      <c r="K248" s="439"/>
      <c r="L248" s="439"/>
      <c r="M248" s="439"/>
      <c r="N248" s="439"/>
      <c r="O248" s="439"/>
      <c r="P248" s="439"/>
      <c r="Q248" s="439"/>
      <c r="R248" s="439"/>
      <c r="S248" s="439"/>
      <c r="T248" s="439"/>
      <c r="U248" s="439"/>
      <c r="V248" s="439"/>
      <c r="W248" s="439"/>
      <c r="X248" s="439"/>
      <c r="Y248" s="439"/>
      <c r="Z248" s="439"/>
    </row>
    <row r="249" ht="15.75" customHeight="1">
      <c r="A249" s="439"/>
      <c r="B249" s="439"/>
      <c r="C249" s="439"/>
      <c r="D249" s="439"/>
      <c r="E249" s="439"/>
      <c r="F249" s="469"/>
      <c r="G249" s="469"/>
      <c r="H249" s="439"/>
      <c r="I249" s="439"/>
      <c r="J249" s="439"/>
      <c r="K249" s="439"/>
      <c r="L249" s="439"/>
      <c r="M249" s="439"/>
      <c r="N249" s="439"/>
      <c r="O249" s="439"/>
      <c r="P249" s="439"/>
      <c r="Q249" s="439"/>
      <c r="R249" s="439"/>
      <c r="S249" s="439"/>
      <c r="T249" s="439"/>
      <c r="U249" s="439"/>
      <c r="V249" s="439"/>
      <c r="W249" s="439"/>
      <c r="X249" s="439"/>
      <c r="Y249" s="439"/>
      <c r="Z249" s="439"/>
    </row>
    <row r="250" ht="15.75" customHeight="1">
      <c r="A250" s="439"/>
      <c r="B250" s="439"/>
      <c r="C250" s="439"/>
      <c r="D250" s="439"/>
      <c r="E250" s="439"/>
      <c r="F250" s="469"/>
      <c r="G250" s="46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439"/>
      <c r="T250" s="439"/>
      <c r="U250" s="439"/>
      <c r="V250" s="439"/>
      <c r="W250" s="439"/>
      <c r="X250" s="439"/>
      <c r="Y250" s="439"/>
      <c r="Z250" s="439"/>
    </row>
    <row r="251" ht="15.75" customHeight="1">
      <c r="A251" s="439"/>
      <c r="B251" s="439"/>
      <c r="C251" s="439"/>
      <c r="D251" s="439"/>
      <c r="E251" s="439"/>
      <c r="F251" s="469"/>
      <c r="G251" s="469"/>
      <c r="H251" s="439"/>
      <c r="I251" s="439"/>
      <c r="J251" s="439"/>
      <c r="K251" s="439"/>
      <c r="L251" s="439"/>
      <c r="M251" s="439"/>
      <c r="N251" s="439"/>
      <c r="O251" s="439"/>
      <c r="P251" s="439"/>
      <c r="Q251" s="439"/>
      <c r="R251" s="439"/>
      <c r="S251" s="439"/>
      <c r="T251" s="439"/>
      <c r="U251" s="439"/>
      <c r="V251" s="439"/>
      <c r="W251" s="439"/>
      <c r="X251" s="439"/>
      <c r="Y251" s="439"/>
      <c r="Z251" s="439"/>
    </row>
    <row r="252" ht="15.75" customHeight="1">
      <c r="A252" s="439"/>
      <c r="B252" s="439"/>
      <c r="C252" s="439"/>
      <c r="D252" s="439"/>
      <c r="E252" s="439"/>
      <c r="F252" s="469"/>
      <c r="G252" s="469"/>
      <c r="H252" s="439"/>
      <c r="I252" s="439"/>
      <c r="J252" s="439"/>
      <c r="K252" s="439"/>
      <c r="L252" s="439"/>
      <c r="M252" s="439"/>
      <c r="N252" s="439"/>
      <c r="O252" s="439"/>
      <c r="P252" s="439"/>
      <c r="Q252" s="439"/>
      <c r="R252" s="439"/>
      <c r="S252" s="439"/>
      <c r="T252" s="439"/>
      <c r="U252" s="439"/>
      <c r="V252" s="439"/>
      <c r="W252" s="439"/>
      <c r="X252" s="439"/>
      <c r="Y252" s="439"/>
      <c r="Z252" s="439"/>
    </row>
    <row r="253" ht="15.75" customHeight="1">
      <c r="A253" s="439"/>
      <c r="B253" s="439"/>
      <c r="C253" s="439"/>
      <c r="D253" s="439"/>
      <c r="E253" s="439"/>
      <c r="F253" s="469"/>
      <c r="G253" s="469"/>
      <c r="H253" s="439"/>
      <c r="I253" s="439"/>
      <c r="J253" s="439"/>
      <c r="K253" s="439"/>
      <c r="L253" s="439"/>
      <c r="M253" s="439"/>
      <c r="N253" s="439"/>
      <c r="O253" s="439"/>
      <c r="P253" s="439"/>
      <c r="Q253" s="439"/>
      <c r="R253" s="439"/>
      <c r="S253" s="439"/>
      <c r="T253" s="439"/>
      <c r="U253" s="439"/>
      <c r="V253" s="439"/>
      <c r="W253" s="439"/>
      <c r="X253" s="439"/>
      <c r="Y253" s="439"/>
      <c r="Z253" s="439"/>
    </row>
    <row r="254" ht="15.75" customHeight="1">
      <c r="A254" s="439"/>
      <c r="B254" s="439"/>
      <c r="C254" s="439"/>
      <c r="D254" s="439"/>
      <c r="E254" s="439"/>
      <c r="F254" s="469"/>
      <c r="G254" s="469"/>
      <c r="H254" s="439"/>
      <c r="I254" s="439"/>
      <c r="J254" s="439"/>
      <c r="K254" s="439"/>
      <c r="L254" s="439"/>
      <c r="M254" s="439"/>
      <c r="N254" s="439"/>
      <c r="O254" s="439"/>
      <c r="P254" s="439"/>
      <c r="Q254" s="439"/>
      <c r="R254" s="439"/>
      <c r="S254" s="439"/>
      <c r="T254" s="439"/>
      <c r="U254" s="439"/>
      <c r="V254" s="439"/>
      <c r="W254" s="439"/>
      <c r="X254" s="439"/>
      <c r="Y254" s="439"/>
      <c r="Z254" s="439"/>
    </row>
    <row r="255" ht="15.75" customHeight="1">
      <c r="A255" s="439"/>
      <c r="B255" s="439"/>
      <c r="C255" s="439"/>
      <c r="D255" s="439"/>
      <c r="E255" s="439"/>
      <c r="F255" s="469"/>
      <c r="G255" s="469"/>
      <c r="H255" s="439"/>
      <c r="I255" s="439"/>
      <c r="J255" s="439"/>
      <c r="K255" s="439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</row>
    <row r="256" ht="15.75" customHeight="1">
      <c r="A256" s="439"/>
      <c r="B256" s="439"/>
      <c r="C256" s="439"/>
      <c r="D256" s="439"/>
      <c r="E256" s="439"/>
      <c r="F256" s="469"/>
      <c r="G256" s="469"/>
      <c r="H256" s="439"/>
      <c r="I256" s="439"/>
      <c r="J256" s="439"/>
      <c r="K256" s="439"/>
      <c r="L256" s="439"/>
      <c r="M256" s="439"/>
      <c r="N256" s="439"/>
      <c r="O256" s="439"/>
      <c r="P256" s="439"/>
      <c r="Q256" s="439"/>
      <c r="R256" s="439"/>
      <c r="S256" s="439"/>
      <c r="T256" s="439"/>
      <c r="U256" s="439"/>
      <c r="V256" s="439"/>
      <c r="W256" s="439"/>
      <c r="X256" s="439"/>
      <c r="Y256" s="439"/>
      <c r="Z256" s="439"/>
    </row>
    <row r="257" ht="15.75" customHeight="1">
      <c r="A257" s="439"/>
      <c r="B257" s="439"/>
      <c r="C257" s="439"/>
      <c r="D257" s="439"/>
      <c r="E257" s="439"/>
      <c r="F257" s="469"/>
      <c r="G257" s="469"/>
      <c r="H257" s="439"/>
      <c r="I257" s="439"/>
      <c r="J257" s="439"/>
      <c r="K257" s="439"/>
      <c r="L257" s="439"/>
      <c r="M257" s="439"/>
      <c r="N257" s="439"/>
      <c r="O257" s="439"/>
      <c r="P257" s="439"/>
      <c r="Q257" s="439"/>
      <c r="R257" s="439"/>
      <c r="S257" s="439"/>
      <c r="T257" s="439"/>
      <c r="U257" s="439"/>
      <c r="V257" s="439"/>
      <c r="W257" s="439"/>
      <c r="X257" s="439"/>
      <c r="Y257" s="439"/>
      <c r="Z257" s="439"/>
    </row>
    <row r="258" ht="15.75" customHeight="1">
      <c r="A258" s="439"/>
      <c r="B258" s="439"/>
      <c r="C258" s="439"/>
      <c r="D258" s="439"/>
      <c r="E258" s="439"/>
      <c r="F258" s="469"/>
      <c r="G258" s="469"/>
      <c r="H258" s="439"/>
      <c r="I258" s="439"/>
      <c r="J258" s="439"/>
      <c r="K258" s="439"/>
      <c r="L258" s="439"/>
      <c r="M258" s="439"/>
      <c r="N258" s="439"/>
      <c r="O258" s="439"/>
      <c r="P258" s="439"/>
      <c r="Q258" s="439"/>
      <c r="R258" s="439"/>
      <c r="S258" s="439"/>
      <c r="T258" s="439"/>
      <c r="U258" s="439"/>
      <c r="V258" s="439"/>
      <c r="W258" s="439"/>
      <c r="X258" s="439"/>
      <c r="Y258" s="439"/>
      <c r="Z258" s="439"/>
    </row>
    <row r="259" ht="15.75" customHeight="1">
      <c r="A259" s="439"/>
      <c r="B259" s="439"/>
      <c r="C259" s="439"/>
      <c r="D259" s="439"/>
      <c r="E259" s="439"/>
      <c r="F259" s="469"/>
      <c r="G259" s="469"/>
      <c r="H259" s="439"/>
      <c r="I259" s="439"/>
      <c r="J259" s="439"/>
      <c r="K259" s="439"/>
      <c r="L259" s="439"/>
      <c r="M259" s="439"/>
      <c r="N259" s="439"/>
      <c r="O259" s="439"/>
      <c r="P259" s="439"/>
      <c r="Q259" s="439"/>
      <c r="R259" s="439"/>
      <c r="S259" s="439"/>
      <c r="T259" s="439"/>
      <c r="U259" s="439"/>
      <c r="V259" s="439"/>
      <c r="W259" s="439"/>
      <c r="X259" s="439"/>
      <c r="Y259" s="439"/>
      <c r="Z259" s="439"/>
    </row>
    <row r="260" ht="15.75" customHeight="1">
      <c r="A260" s="439"/>
      <c r="B260" s="439"/>
      <c r="C260" s="439"/>
      <c r="D260" s="439"/>
      <c r="E260" s="439"/>
      <c r="F260" s="469"/>
      <c r="G260" s="469"/>
      <c r="H260" s="439"/>
      <c r="I260" s="439"/>
      <c r="J260" s="439"/>
      <c r="K260" s="439"/>
      <c r="L260" s="439"/>
      <c r="M260" s="439"/>
      <c r="N260" s="439"/>
      <c r="O260" s="439"/>
      <c r="P260" s="439"/>
      <c r="Q260" s="439"/>
      <c r="R260" s="439"/>
      <c r="S260" s="439"/>
      <c r="T260" s="439"/>
      <c r="U260" s="439"/>
      <c r="V260" s="439"/>
      <c r="W260" s="439"/>
      <c r="X260" s="439"/>
      <c r="Y260" s="439"/>
      <c r="Z260" s="439"/>
    </row>
    <row r="261" ht="15.75" customHeight="1">
      <c r="A261" s="439"/>
      <c r="B261" s="439"/>
      <c r="C261" s="439"/>
      <c r="D261" s="439"/>
      <c r="E261" s="439"/>
      <c r="F261" s="469"/>
      <c r="G261" s="469"/>
      <c r="H261" s="439"/>
      <c r="I261" s="439"/>
      <c r="J261" s="439"/>
      <c r="K261" s="439"/>
      <c r="L261" s="439"/>
      <c r="M261" s="439"/>
      <c r="N261" s="439"/>
      <c r="O261" s="439"/>
      <c r="P261" s="439"/>
      <c r="Q261" s="439"/>
      <c r="R261" s="439"/>
      <c r="S261" s="439"/>
      <c r="T261" s="439"/>
      <c r="U261" s="439"/>
      <c r="V261" s="439"/>
      <c r="W261" s="439"/>
      <c r="X261" s="439"/>
      <c r="Y261" s="439"/>
      <c r="Z261" s="439"/>
    </row>
    <row r="262" ht="15.75" customHeight="1">
      <c r="A262" s="439"/>
      <c r="B262" s="439"/>
      <c r="C262" s="439"/>
      <c r="D262" s="439"/>
      <c r="E262" s="439"/>
      <c r="F262" s="469"/>
      <c r="G262" s="469"/>
      <c r="H262" s="439"/>
      <c r="I262" s="439"/>
      <c r="J262" s="439"/>
      <c r="K262" s="439"/>
      <c r="L262" s="439"/>
      <c r="M262" s="439"/>
      <c r="N262" s="439"/>
      <c r="O262" s="439"/>
      <c r="P262" s="439"/>
      <c r="Q262" s="439"/>
      <c r="R262" s="439"/>
      <c r="S262" s="439"/>
      <c r="T262" s="439"/>
      <c r="U262" s="439"/>
      <c r="V262" s="439"/>
      <c r="W262" s="439"/>
      <c r="X262" s="439"/>
      <c r="Y262" s="439"/>
      <c r="Z262" s="439"/>
    </row>
    <row r="263" ht="15.75" customHeight="1">
      <c r="A263" s="439"/>
      <c r="B263" s="439"/>
      <c r="C263" s="439"/>
      <c r="D263" s="439"/>
      <c r="E263" s="439"/>
      <c r="F263" s="469"/>
      <c r="G263" s="469"/>
      <c r="H263" s="439"/>
      <c r="I263" s="439"/>
      <c r="J263" s="439"/>
      <c r="K263" s="439"/>
      <c r="L263" s="439"/>
      <c r="M263" s="439"/>
      <c r="N263" s="439"/>
      <c r="O263" s="439"/>
      <c r="P263" s="439"/>
      <c r="Q263" s="439"/>
      <c r="R263" s="439"/>
      <c r="S263" s="439"/>
      <c r="T263" s="439"/>
      <c r="U263" s="439"/>
      <c r="V263" s="439"/>
      <c r="W263" s="439"/>
      <c r="X263" s="439"/>
      <c r="Y263" s="439"/>
      <c r="Z263" s="439"/>
    </row>
    <row r="264" ht="15.75" customHeight="1">
      <c r="A264" s="439"/>
      <c r="B264" s="439"/>
      <c r="C264" s="439"/>
      <c r="D264" s="439"/>
      <c r="E264" s="439"/>
      <c r="F264" s="469"/>
      <c r="G264" s="469"/>
      <c r="H264" s="439"/>
      <c r="I264" s="439"/>
      <c r="J264" s="439"/>
      <c r="K264" s="439"/>
      <c r="L264" s="439"/>
      <c r="M264" s="439"/>
      <c r="N264" s="439"/>
      <c r="O264" s="439"/>
      <c r="P264" s="439"/>
      <c r="Q264" s="439"/>
      <c r="R264" s="439"/>
      <c r="S264" s="439"/>
      <c r="T264" s="439"/>
      <c r="U264" s="439"/>
      <c r="V264" s="439"/>
      <c r="W264" s="439"/>
      <c r="X264" s="439"/>
      <c r="Y264" s="439"/>
      <c r="Z264" s="439"/>
    </row>
    <row r="265" ht="15.75" customHeight="1">
      <c r="A265" s="439"/>
      <c r="B265" s="439"/>
      <c r="C265" s="439"/>
      <c r="D265" s="439"/>
      <c r="E265" s="439"/>
      <c r="F265" s="469"/>
      <c r="G265" s="469"/>
      <c r="H265" s="439"/>
      <c r="I265" s="439"/>
      <c r="J265" s="439"/>
      <c r="K265" s="439"/>
      <c r="L265" s="439"/>
      <c r="M265" s="439"/>
      <c r="N265" s="439"/>
      <c r="O265" s="439"/>
      <c r="P265" s="439"/>
      <c r="Q265" s="439"/>
      <c r="R265" s="439"/>
      <c r="S265" s="439"/>
      <c r="T265" s="439"/>
      <c r="U265" s="439"/>
      <c r="V265" s="439"/>
      <c r="W265" s="439"/>
      <c r="X265" s="439"/>
      <c r="Y265" s="439"/>
      <c r="Z265" s="439"/>
    </row>
    <row r="266" ht="15.75" customHeight="1">
      <c r="A266" s="439"/>
      <c r="B266" s="439"/>
      <c r="C266" s="439"/>
      <c r="D266" s="439"/>
      <c r="E266" s="439"/>
      <c r="F266" s="469"/>
      <c r="G266" s="469"/>
      <c r="H266" s="439"/>
      <c r="I266" s="439"/>
      <c r="J266" s="439"/>
      <c r="K266" s="439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</row>
    <row r="267" ht="15.75" customHeight="1">
      <c r="A267" s="439"/>
      <c r="B267" s="439"/>
      <c r="C267" s="439"/>
      <c r="D267" s="439"/>
      <c r="E267" s="439"/>
      <c r="F267" s="469"/>
      <c r="G267" s="469"/>
      <c r="H267" s="439"/>
      <c r="I267" s="439"/>
      <c r="J267" s="439"/>
      <c r="K267" s="439"/>
      <c r="L267" s="439"/>
      <c r="M267" s="439"/>
      <c r="N267" s="439"/>
      <c r="O267" s="439"/>
      <c r="P267" s="439"/>
      <c r="Q267" s="439"/>
      <c r="R267" s="439"/>
      <c r="S267" s="439"/>
      <c r="T267" s="439"/>
      <c r="U267" s="439"/>
      <c r="V267" s="439"/>
      <c r="W267" s="439"/>
      <c r="X267" s="439"/>
      <c r="Y267" s="439"/>
      <c r="Z267" s="439"/>
    </row>
    <row r="268" ht="15.75" customHeight="1">
      <c r="A268" s="439"/>
      <c r="B268" s="439"/>
      <c r="C268" s="439"/>
      <c r="D268" s="439"/>
      <c r="E268" s="439"/>
      <c r="F268" s="469"/>
      <c r="G268" s="469"/>
      <c r="H268" s="439"/>
      <c r="I268" s="439"/>
      <c r="J268" s="439"/>
      <c r="K268" s="439"/>
      <c r="L268" s="439"/>
      <c r="M268" s="439"/>
      <c r="N268" s="439"/>
      <c r="O268" s="439"/>
      <c r="P268" s="439"/>
      <c r="Q268" s="439"/>
      <c r="R268" s="439"/>
      <c r="S268" s="439"/>
      <c r="T268" s="439"/>
      <c r="U268" s="439"/>
      <c r="V268" s="439"/>
      <c r="W268" s="439"/>
      <c r="X268" s="439"/>
      <c r="Y268" s="439"/>
      <c r="Z268" s="439"/>
    </row>
    <row r="269" ht="15.75" customHeight="1">
      <c r="A269" s="439"/>
      <c r="B269" s="439"/>
      <c r="C269" s="439"/>
      <c r="D269" s="439"/>
      <c r="E269" s="439"/>
      <c r="F269" s="469"/>
      <c r="G269" s="469"/>
      <c r="H269" s="439"/>
      <c r="I269" s="439"/>
      <c r="J269" s="439"/>
      <c r="K269" s="439"/>
      <c r="L269" s="439"/>
      <c r="M269" s="439"/>
      <c r="N269" s="439"/>
      <c r="O269" s="439"/>
      <c r="P269" s="439"/>
      <c r="Q269" s="439"/>
      <c r="R269" s="439"/>
      <c r="S269" s="439"/>
      <c r="T269" s="439"/>
      <c r="U269" s="439"/>
      <c r="V269" s="439"/>
      <c r="W269" s="439"/>
      <c r="X269" s="439"/>
      <c r="Y269" s="439"/>
      <c r="Z269" s="439"/>
    </row>
    <row r="270" ht="15.75" customHeight="1">
      <c r="A270" s="439"/>
      <c r="B270" s="439"/>
      <c r="C270" s="439"/>
      <c r="D270" s="439"/>
      <c r="E270" s="439"/>
      <c r="F270" s="469"/>
      <c r="G270" s="469"/>
      <c r="H270" s="439"/>
      <c r="I270" s="439"/>
      <c r="J270" s="439"/>
      <c r="K270" s="439"/>
      <c r="L270" s="439"/>
      <c r="M270" s="439"/>
      <c r="N270" s="439"/>
      <c r="O270" s="439"/>
      <c r="P270" s="439"/>
      <c r="Q270" s="439"/>
      <c r="R270" s="439"/>
      <c r="S270" s="439"/>
      <c r="T270" s="439"/>
      <c r="U270" s="439"/>
      <c r="V270" s="439"/>
      <c r="W270" s="439"/>
      <c r="X270" s="439"/>
      <c r="Y270" s="439"/>
      <c r="Z270" s="439"/>
    </row>
    <row r="271" ht="15.75" customHeight="1">
      <c r="A271" s="439"/>
      <c r="B271" s="439"/>
      <c r="C271" s="439"/>
      <c r="D271" s="439"/>
      <c r="E271" s="439"/>
      <c r="F271" s="469"/>
      <c r="G271" s="469"/>
      <c r="H271" s="439"/>
      <c r="I271" s="439"/>
      <c r="J271" s="439"/>
      <c r="K271" s="439"/>
      <c r="L271" s="439"/>
      <c r="M271" s="439"/>
      <c r="N271" s="439"/>
      <c r="O271" s="439"/>
      <c r="P271" s="439"/>
      <c r="Q271" s="439"/>
      <c r="R271" s="439"/>
      <c r="S271" s="439"/>
      <c r="T271" s="439"/>
      <c r="U271" s="439"/>
      <c r="V271" s="439"/>
      <c r="W271" s="439"/>
      <c r="X271" s="439"/>
      <c r="Y271" s="439"/>
      <c r="Z271" s="439"/>
    </row>
    <row r="272" ht="15.75" customHeight="1">
      <c r="A272" s="439"/>
      <c r="B272" s="439"/>
      <c r="C272" s="439"/>
      <c r="D272" s="439"/>
      <c r="E272" s="439"/>
      <c r="F272" s="469"/>
      <c r="G272" s="469"/>
      <c r="H272" s="439"/>
      <c r="I272" s="439"/>
      <c r="J272" s="439"/>
      <c r="K272" s="439"/>
      <c r="L272" s="439"/>
      <c r="M272" s="439"/>
      <c r="N272" s="439"/>
      <c r="O272" s="439"/>
      <c r="P272" s="439"/>
      <c r="Q272" s="439"/>
      <c r="R272" s="439"/>
      <c r="S272" s="439"/>
      <c r="T272" s="439"/>
      <c r="U272" s="439"/>
      <c r="V272" s="439"/>
      <c r="W272" s="439"/>
      <c r="X272" s="439"/>
      <c r="Y272" s="439"/>
      <c r="Z272" s="439"/>
    </row>
    <row r="273" ht="15.75" customHeight="1">
      <c r="A273" s="439"/>
      <c r="B273" s="439"/>
      <c r="C273" s="439"/>
      <c r="D273" s="439"/>
      <c r="E273" s="439"/>
      <c r="F273" s="469"/>
      <c r="G273" s="469"/>
      <c r="H273" s="439"/>
      <c r="I273" s="439"/>
      <c r="J273" s="439"/>
      <c r="K273" s="439"/>
      <c r="L273" s="439"/>
      <c r="M273" s="439"/>
      <c r="N273" s="439"/>
      <c r="O273" s="439"/>
      <c r="P273" s="439"/>
      <c r="Q273" s="439"/>
      <c r="R273" s="439"/>
      <c r="S273" s="439"/>
      <c r="T273" s="439"/>
      <c r="U273" s="439"/>
      <c r="V273" s="439"/>
      <c r="W273" s="439"/>
      <c r="X273" s="439"/>
      <c r="Y273" s="439"/>
      <c r="Z273" s="439"/>
    </row>
    <row r="274" ht="15.75" customHeight="1">
      <c r="A274" s="439"/>
      <c r="B274" s="439"/>
      <c r="C274" s="439"/>
      <c r="D274" s="439"/>
      <c r="E274" s="439"/>
      <c r="F274" s="469"/>
      <c r="G274" s="469"/>
      <c r="H274" s="439"/>
      <c r="I274" s="439"/>
      <c r="J274" s="439"/>
      <c r="K274" s="439"/>
      <c r="L274" s="439"/>
      <c r="M274" s="439"/>
      <c r="N274" s="439"/>
      <c r="O274" s="439"/>
      <c r="P274" s="439"/>
      <c r="Q274" s="439"/>
      <c r="R274" s="439"/>
      <c r="S274" s="439"/>
      <c r="T274" s="439"/>
      <c r="U274" s="439"/>
      <c r="V274" s="439"/>
      <c r="W274" s="439"/>
      <c r="X274" s="439"/>
      <c r="Y274" s="439"/>
      <c r="Z274" s="439"/>
    </row>
    <row r="275" ht="15.75" customHeight="1">
      <c r="A275" s="439"/>
      <c r="B275" s="439"/>
      <c r="C275" s="439"/>
      <c r="D275" s="439"/>
      <c r="E275" s="439"/>
      <c r="F275" s="469"/>
      <c r="G275" s="469"/>
      <c r="H275" s="439"/>
      <c r="I275" s="439"/>
      <c r="J275" s="439"/>
      <c r="K275" s="439"/>
      <c r="L275" s="439"/>
      <c r="M275" s="439"/>
      <c r="N275" s="439"/>
      <c r="O275" s="439"/>
      <c r="P275" s="439"/>
      <c r="Q275" s="439"/>
      <c r="R275" s="439"/>
      <c r="S275" s="439"/>
      <c r="T275" s="439"/>
      <c r="U275" s="439"/>
      <c r="V275" s="439"/>
      <c r="W275" s="439"/>
      <c r="X275" s="439"/>
      <c r="Y275" s="439"/>
      <c r="Z275" s="439"/>
    </row>
    <row r="276" ht="15.75" customHeight="1">
      <c r="A276" s="439"/>
      <c r="B276" s="439"/>
      <c r="C276" s="439"/>
      <c r="D276" s="439"/>
      <c r="E276" s="439"/>
      <c r="F276" s="469"/>
      <c r="G276" s="469"/>
      <c r="H276" s="439"/>
      <c r="I276" s="439"/>
      <c r="J276" s="439"/>
      <c r="K276" s="439"/>
      <c r="L276" s="439"/>
      <c r="M276" s="439"/>
      <c r="N276" s="439"/>
      <c r="O276" s="439"/>
      <c r="P276" s="439"/>
      <c r="Q276" s="439"/>
      <c r="R276" s="439"/>
      <c r="S276" s="439"/>
      <c r="T276" s="439"/>
      <c r="U276" s="439"/>
      <c r="V276" s="439"/>
      <c r="W276" s="439"/>
      <c r="X276" s="439"/>
      <c r="Y276" s="439"/>
      <c r="Z276" s="439"/>
    </row>
    <row r="277" ht="15.75" customHeight="1">
      <c r="A277" s="439"/>
      <c r="B277" s="439"/>
      <c r="C277" s="439"/>
      <c r="D277" s="439"/>
      <c r="E277" s="439"/>
      <c r="F277" s="469"/>
      <c r="G277" s="469"/>
      <c r="H277" s="439"/>
      <c r="I277" s="439"/>
      <c r="J277" s="439"/>
      <c r="K277" s="439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</row>
    <row r="278" ht="15.75" customHeight="1">
      <c r="A278" s="439"/>
      <c r="B278" s="439"/>
      <c r="C278" s="439"/>
      <c r="D278" s="439"/>
      <c r="E278" s="439"/>
      <c r="F278" s="469"/>
      <c r="G278" s="469"/>
      <c r="H278" s="439"/>
      <c r="I278" s="439"/>
      <c r="J278" s="439"/>
      <c r="K278" s="439"/>
      <c r="L278" s="439"/>
      <c r="M278" s="439"/>
      <c r="N278" s="439"/>
      <c r="O278" s="439"/>
      <c r="P278" s="439"/>
      <c r="Q278" s="439"/>
      <c r="R278" s="439"/>
      <c r="S278" s="439"/>
      <c r="T278" s="439"/>
      <c r="U278" s="439"/>
      <c r="V278" s="439"/>
      <c r="W278" s="439"/>
      <c r="X278" s="439"/>
      <c r="Y278" s="439"/>
      <c r="Z278" s="439"/>
    </row>
    <row r="279" ht="15.75" customHeight="1">
      <c r="A279" s="439"/>
      <c r="B279" s="439"/>
      <c r="C279" s="439"/>
      <c r="D279" s="439"/>
      <c r="E279" s="439"/>
      <c r="F279" s="469"/>
      <c r="G279" s="469"/>
      <c r="H279" s="439"/>
      <c r="I279" s="439"/>
      <c r="J279" s="439"/>
      <c r="K279" s="439"/>
      <c r="L279" s="439"/>
      <c r="M279" s="439"/>
      <c r="N279" s="439"/>
      <c r="O279" s="439"/>
      <c r="P279" s="439"/>
      <c r="Q279" s="439"/>
      <c r="R279" s="439"/>
      <c r="S279" s="439"/>
      <c r="T279" s="439"/>
      <c r="U279" s="439"/>
      <c r="V279" s="439"/>
      <c r="W279" s="439"/>
      <c r="X279" s="439"/>
      <c r="Y279" s="439"/>
      <c r="Z279" s="439"/>
    </row>
    <row r="280" ht="15.75" customHeight="1">
      <c r="A280" s="439"/>
      <c r="B280" s="439"/>
      <c r="C280" s="439"/>
      <c r="D280" s="439"/>
      <c r="E280" s="439"/>
      <c r="F280" s="469"/>
      <c r="G280" s="469"/>
      <c r="H280" s="439"/>
      <c r="I280" s="439"/>
      <c r="J280" s="439"/>
      <c r="K280" s="439"/>
      <c r="L280" s="439"/>
      <c r="M280" s="439"/>
      <c r="N280" s="439"/>
      <c r="O280" s="439"/>
      <c r="P280" s="439"/>
      <c r="Q280" s="439"/>
      <c r="R280" s="439"/>
      <c r="S280" s="439"/>
      <c r="T280" s="439"/>
      <c r="U280" s="439"/>
      <c r="V280" s="439"/>
      <c r="W280" s="439"/>
      <c r="X280" s="439"/>
      <c r="Y280" s="439"/>
      <c r="Z280" s="439"/>
    </row>
    <row r="281" ht="15.75" customHeight="1">
      <c r="A281" s="439"/>
      <c r="B281" s="439"/>
      <c r="C281" s="439"/>
      <c r="D281" s="439"/>
      <c r="E281" s="439"/>
      <c r="F281" s="469"/>
      <c r="G281" s="469"/>
      <c r="H281" s="439"/>
      <c r="I281" s="439"/>
      <c r="J281" s="439"/>
      <c r="K281" s="439"/>
      <c r="L281" s="439"/>
      <c r="M281" s="439"/>
      <c r="N281" s="439"/>
      <c r="O281" s="439"/>
      <c r="P281" s="439"/>
      <c r="Q281" s="439"/>
      <c r="R281" s="439"/>
      <c r="S281" s="439"/>
      <c r="T281" s="439"/>
      <c r="U281" s="439"/>
      <c r="V281" s="439"/>
      <c r="W281" s="439"/>
      <c r="X281" s="439"/>
      <c r="Y281" s="439"/>
      <c r="Z281" s="439"/>
    </row>
    <row r="282" ht="15.75" customHeight="1">
      <c r="A282" s="439"/>
      <c r="B282" s="439"/>
      <c r="C282" s="439"/>
      <c r="D282" s="439"/>
      <c r="E282" s="439"/>
      <c r="F282" s="469"/>
      <c r="G282" s="469"/>
      <c r="H282" s="439"/>
      <c r="I282" s="439"/>
      <c r="J282" s="439"/>
      <c r="K282" s="439"/>
      <c r="L282" s="439"/>
      <c r="M282" s="439"/>
      <c r="N282" s="439"/>
      <c r="O282" s="439"/>
      <c r="P282" s="439"/>
      <c r="Q282" s="439"/>
      <c r="R282" s="439"/>
      <c r="S282" s="439"/>
      <c r="T282" s="439"/>
      <c r="U282" s="439"/>
      <c r="V282" s="439"/>
      <c r="W282" s="439"/>
      <c r="X282" s="439"/>
      <c r="Y282" s="439"/>
      <c r="Z282" s="439"/>
    </row>
    <row r="283" ht="15.75" customHeight="1">
      <c r="A283" s="439"/>
      <c r="B283" s="439"/>
      <c r="C283" s="439"/>
      <c r="D283" s="439"/>
      <c r="E283" s="439"/>
      <c r="F283" s="469"/>
      <c r="G283" s="469"/>
      <c r="H283" s="439"/>
      <c r="I283" s="439"/>
      <c r="J283" s="439"/>
      <c r="K283" s="439"/>
      <c r="L283" s="439"/>
      <c r="M283" s="439"/>
      <c r="N283" s="439"/>
      <c r="O283" s="439"/>
      <c r="P283" s="439"/>
      <c r="Q283" s="439"/>
      <c r="R283" s="439"/>
      <c r="S283" s="439"/>
      <c r="T283" s="439"/>
      <c r="U283" s="439"/>
      <c r="V283" s="439"/>
      <c r="W283" s="439"/>
      <c r="X283" s="439"/>
      <c r="Y283" s="439"/>
      <c r="Z283" s="439"/>
    </row>
    <row r="284" ht="15.75" customHeight="1">
      <c r="A284" s="439"/>
      <c r="B284" s="439"/>
      <c r="C284" s="439"/>
      <c r="D284" s="439"/>
      <c r="E284" s="439"/>
      <c r="F284" s="469"/>
      <c r="G284" s="469"/>
      <c r="H284" s="439"/>
      <c r="I284" s="439"/>
      <c r="J284" s="439"/>
      <c r="K284" s="439"/>
      <c r="L284" s="439"/>
      <c r="M284" s="439"/>
      <c r="N284" s="439"/>
      <c r="O284" s="439"/>
      <c r="P284" s="439"/>
      <c r="Q284" s="439"/>
      <c r="R284" s="439"/>
      <c r="S284" s="439"/>
      <c r="T284" s="439"/>
      <c r="U284" s="439"/>
      <c r="V284" s="439"/>
      <c r="W284" s="439"/>
      <c r="X284" s="439"/>
      <c r="Y284" s="439"/>
      <c r="Z284" s="439"/>
    </row>
    <row r="285" ht="15.75" customHeight="1">
      <c r="A285" s="439"/>
      <c r="B285" s="439"/>
      <c r="C285" s="439"/>
      <c r="D285" s="439"/>
      <c r="E285" s="439"/>
      <c r="F285" s="469"/>
      <c r="G285" s="469"/>
      <c r="H285" s="439"/>
      <c r="I285" s="439"/>
      <c r="J285" s="439"/>
      <c r="K285" s="439"/>
      <c r="L285" s="439"/>
      <c r="M285" s="439"/>
      <c r="N285" s="439"/>
      <c r="O285" s="439"/>
      <c r="P285" s="439"/>
      <c r="Q285" s="439"/>
      <c r="R285" s="439"/>
      <c r="S285" s="439"/>
      <c r="T285" s="439"/>
      <c r="U285" s="439"/>
      <c r="V285" s="439"/>
      <c r="W285" s="439"/>
      <c r="X285" s="439"/>
      <c r="Y285" s="439"/>
      <c r="Z285" s="439"/>
    </row>
    <row r="286" ht="15.75" customHeight="1">
      <c r="A286" s="439"/>
      <c r="B286" s="439"/>
      <c r="C286" s="439"/>
      <c r="D286" s="439"/>
      <c r="E286" s="439"/>
      <c r="F286" s="469"/>
      <c r="G286" s="469"/>
      <c r="H286" s="439"/>
      <c r="I286" s="439"/>
      <c r="J286" s="439"/>
      <c r="K286" s="439"/>
      <c r="L286" s="439"/>
      <c r="M286" s="439"/>
      <c r="N286" s="439"/>
      <c r="O286" s="439"/>
      <c r="P286" s="439"/>
      <c r="Q286" s="439"/>
      <c r="R286" s="439"/>
      <c r="S286" s="439"/>
      <c r="T286" s="439"/>
      <c r="U286" s="439"/>
      <c r="V286" s="439"/>
      <c r="W286" s="439"/>
      <c r="X286" s="439"/>
      <c r="Y286" s="439"/>
      <c r="Z286" s="439"/>
    </row>
    <row r="287" ht="15.75" customHeight="1">
      <c r="A287" s="439"/>
      <c r="B287" s="439"/>
      <c r="C287" s="439"/>
      <c r="D287" s="439"/>
      <c r="E287" s="439"/>
      <c r="F287" s="469"/>
      <c r="G287" s="469"/>
      <c r="H287" s="439"/>
      <c r="I287" s="439"/>
      <c r="J287" s="439"/>
      <c r="K287" s="439"/>
      <c r="L287" s="439"/>
      <c r="M287" s="439"/>
      <c r="N287" s="439"/>
      <c r="O287" s="439"/>
      <c r="P287" s="439"/>
      <c r="Q287" s="439"/>
      <c r="R287" s="439"/>
      <c r="S287" s="439"/>
      <c r="T287" s="439"/>
      <c r="U287" s="439"/>
      <c r="V287" s="439"/>
      <c r="W287" s="439"/>
      <c r="X287" s="439"/>
      <c r="Y287" s="439"/>
      <c r="Z287" s="439"/>
    </row>
    <row r="288" ht="15.75" customHeight="1">
      <c r="A288" s="439"/>
      <c r="B288" s="439"/>
      <c r="C288" s="439"/>
      <c r="D288" s="439"/>
      <c r="E288" s="439"/>
      <c r="F288" s="469"/>
      <c r="G288" s="469"/>
      <c r="H288" s="439"/>
      <c r="I288" s="439"/>
      <c r="J288" s="439"/>
      <c r="K288" s="439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</row>
    <row r="289" ht="15.75" customHeight="1">
      <c r="A289" s="439"/>
      <c r="B289" s="439"/>
      <c r="C289" s="439"/>
      <c r="D289" s="439"/>
      <c r="E289" s="439"/>
      <c r="F289" s="469"/>
      <c r="G289" s="469"/>
      <c r="H289" s="439"/>
      <c r="I289" s="439"/>
      <c r="J289" s="439"/>
      <c r="K289" s="439"/>
      <c r="L289" s="439"/>
      <c r="M289" s="439"/>
      <c r="N289" s="439"/>
      <c r="O289" s="439"/>
      <c r="P289" s="439"/>
      <c r="Q289" s="439"/>
      <c r="R289" s="439"/>
      <c r="S289" s="439"/>
      <c r="T289" s="439"/>
      <c r="U289" s="439"/>
      <c r="V289" s="439"/>
      <c r="W289" s="439"/>
      <c r="X289" s="439"/>
      <c r="Y289" s="439"/>
      <c r="Z289" s="439"/>
    </row>
    <row r="290" ht="15.75" customHeight="1">
      <c r="A290" s="439"/>
      <c r="B290" s="439"/>
      <c r="C290" s="439"/>
      <c r="D290" s="439"/>
      <c r="E290" s="439"/>
      <c r="F290" s="469"/>
      <c r="G290" s="469"/>
      <c r="H290" s="439"/>
      <c r="I290" s="439"/>
      <c r="J290" s="439"/>
      <c r="K290" s="439"/>
      <c r="L290" s="439"/>
      <c r="M290" s="439"/>
      <c r="N290" s="439"/>
      <c r="O290" s="439"/>
      <c r="P290" s="439"/>
      <c r="Q290" s="439"/>
      <c r="R290" s="439"/>
      <c r="S290" s="439"/>
      <c r="T290" s="439"/>
      <c r="U290" s="439"/>
      <c r="V290" s="439"/>
      <c r="W290" s="439"/>
      <c r="X290" s="439"/>
      <c r="Y290" s="439"/>
      <c r="Z290" s="439"/>
    </row>
    <row r="291" ht="15.75" customHeight="1">
      <c r="A291" s="439"/>
      <c r="B291" s="439"/>
      <c r="C291" s="439"/>
      <c r="D291" s="439"/>
      <c r="E291" s="439"/>
      <c r="F291" s="469"/>
      <c r="G291" s="469"/>
      <c r="H291" s="439"/>
      <c r="I291" s="439"/>
      <c r="J291" s="439"/>
      <c r="K291" s="439"/>
      <c r="L291" s="439"/>
      <c r="M291" s="439"/>
      <c r="N291" s="439"/>
      <c r="O291" s="439"/>
      <c r="P291" s="439"/>
      <c r="Q291" s="439"/>
      <c r="R291" s="439"/>
      <c r="S291" s="439"/>
      <c r="T291" s="439"/>
      <c r="U291" s="439"/>
      <c r="V291" s="439"/>
      <c r="W291" s="439"/>
      <c r="X291" s="439"/>
      <c r="Y291" s="439"/>
      <c r="Z291" s="439"/>
    </row>
    <row r="292" ht="15.75" customHeight="1">
      <c r="A292" s="439"/>
      <c r="B292" s="439"/>
      <c r="C292" s="439"/>
      <c r="D292" s="439"/>
      <c r="E292" s="439"/>
      <c r="F292" s="469"/>
      <c r="G292" s="469"/>
      <c r="H292" s="439"/>
      <c r="I292" s="439"/>
      <c r="J292" s="439"/>
      <c r="K292" s="439"/>
      <c r="L292" s="439"/>
      <c r="M292" s="439"/>
      <c r="N292" s="439"/>
      <c r="O292" s="439"/>
      <c r="P292" s="439"/>
      <c r="Q292" s="439"/>
      <c r="R292" s="439"/>
      <c r="S292" s="439"/>
      <c r="T292" s="439"/>
      <c r="U292" s="439"/>
      <c r="V292" s="439"/>
      <c r="W292" s="439"/>
      <c r="X292" s="439"/>
      <c r="Y292" s="439"/>
      <c r="Z292" s="439"/>
    </row>
    <row r="293" ht="15.75" customHeight="1">
      <c r="A293" s="439"/>
      <c r="B293" s="439"/>
      <c r="C293" s="439"/>
      <c r="D293" s="439"/>
      <c r="E293" s="439"/>
      <c r="F293" s="469"/>
      <c r="G293" s="469"/>
      <c r="H293" s="439"/>
      <c r="I293" s="439"/>
      <c r="J293" s="439"/>
      <c r="K293" s="439"/>
      <c r="L293" s="439"/>
      <c r="M293" s="439"/>
      <c r="N293" s="439"/>
      <c r="O293" s="439"/>
      <c r="P293" s="439"/>
      <c r="Q293" s="439"/>
      <c r="R293" s="439"/>
      <c r="S293" s="439"/>
      <c r="T293" s="439"/>
      <c r="U293" s="439"/>
      <c r="V293" s="439"/>
      <c r="W293" s="439"/>
      <c r="X293" s="439"/>
      <c r="Y293" s="439"/>
      <c r="Z293" s="439"/>
    </row>
    <row r="294" ht="15.75" customHeight="1">
      <c r="A294" s="439"/>
      <c r="B294" s="439"/>
      <c r="C294" s="439"/>
      <c r="D294" s="439"/>
      <c r="E294" s="439"/>
      <c r="F294" s="469"/>
      <c r="G294" s="469"/>
      <c r="H294" s="439"/>
      <c r="I294" s="439"/>
      <c r="J294" s="439"/>
      <c r="K294" s="439"/>
      <c r="L294" s="439"/>
      <c r="M294" s="439"/>
      <c r="N294" s="439"/>
      <c r="O294" s="439"/>
      <c r="P294" s="439"/>
      <c r="Q294" s="439"/>
      <c r="R294" s="439"/>
      <c r="S294" s="439"/>
      <c r="T294" s="439"/>
      <c r="U294" s="439"/>
      <c r="V294" s="439"/>
      <c r="W294" s="439"/>
      <c r="X294" s="439"/>
      <c r="Y294" s="439"/>
      <c r="Z294" s="439"/>
    </row>
    <row r="295" ht="15.75" customHeight="1">
      <c r="A295" s="439"/>
      <c r="B295" s="439"/>
      <c r="C295" s="439"/>
      <c r="D295" s="439"/>
      <c r="E295" s="439"/>
      <c r="F295" s="469"/>
      <c r="G295" s="469"/>
      <c r="H295" s="439"/>
      <c r="I295" s="439"/>
      <c r="J295" s="439"/>
      <c r="K295" s="439"/>
      <c r="L295" s="439"/>
      <c r="M295" s="439"/>
      <c r="N295" s="439"/>
      <c r="O295" s="439"/>
      <c r="P295" s="439"/>
      <c r="Q295" s="439"/>
      <c r="R295" s="439"/>
      <c r="S295" s="439"/>
      <c r="T295" s="439"/>
      <c r="U295" s="439"/>
      <c r="V295" s="439"/>
      <c r="W295" s="439"/>
      <c r="X295" s="439"/>
      <c r="Y295" s="439"/>
      <c r="Z295" s="439"/>
    </row>
    <row r="296" ht="15.75" customHeight="1">
      <c r="A296" s="439"/>
      <c r="B296" s="439"/>
      <c r="C296" s="439"/>
      <c r="D296" s="439"/>
      <c r="E296" s="439"/>
      <c r="F296" s="469"/>
      <c r="G296" s="469"/>
      <c r="H296" s="439"/>
      <c r="I296" s="439"/>
      <c r="J296" s="439"/>
      <c r="K296" s="439"/>
      <c r="L296" s="439"/>
      <c r="M296" s="439"/>
      <c r="N296" s="439"/>
      <c r="O296" s="439"/>
      <c r="P296" s="439"/>
      <c r="Q296" s="439"/>
      <c r="R296" s="439"/>
      <c r="S296" s="439"/>
      <c r="T296" s="439"/>
      <c r="U296" s="439"/>
      <c r="V296" s="439"/>
      <c r="W296" s="439"/>
      <c r="X296" s="439"/>
      <c r="Y296" s="439"/>
      <c r="Z296" s="439"/>
    </row>
    <row r="297" ht="15.75" customHeight="1">
      <c r="A297" s="439"/>
      <c r="B297" s="439"/>
      <c r="C297" s="439"/>
      <c r="D297" s="439"/>
      <c r="E297" s="439"/>
      <c r="F297" s="469"/>
      <c r="G297" s="469"/>
      <c r="H297" s="439"/>
      <c r="I297" s="439"/>
      <c r="J297" s="439"/>
      <c r="K297" s="439"/>
      <c r="L297" s="439"/>
      <c r="M297" s="439"/>
      <c r="N297" s="439"/>
      <c r="O297" s="439"/>
      <c r="P297" s="439"/>
      <c r="Q297" s="439"/>
      <c r="R297" s="439"/>
      <c r="S297" s="439"/>
      <c r="T297" s="439"/>
      <c r="U297" s="439"/>
      <c r="V297" s="439"/>
      <c r="W297" s="439"/>
      <c r="X297" s="439"/>
      <c r="Y297" s="439"/>
      <c r="Z297" s="439"/>
    </row>
    <row r="298" ht="15.75" customHeight="1">
      <c r="A298" s="439"/>
      <c r="B298" s="439"/>
      <c r="C298" s="439"/>
      <c r="D298" s="439"/>
      <c r="E298" s="439"/>
      <c r="F298" s="469"/>
      <c r="G298" s="469"/>
      <c r="H298" s="439"/>
      <c r="I298" s="439"/>
      <c r="J298" s="439"/>
      <c r="K298" s="439"/>
      <c r="L298" s="439"/>
      <c r="M298" s="439"/>
      <c r="N298" s="439"/>
      <c r="O298" s="439"/>
      <c r="P298" s="439"/>
      <c r="Q298" s="439"/>
      <c r="R298" s="439"/>
      <c r="S298" s="439"/>
      <c r="T298" s="439"/>
      <c r="U298" s="439"/>
      <c r="V298" s="439"/>
      <c r="W298" s="439"/>
      <c r="X298" s="439"/>
      <c r="Y298" s="439"/>
      <c r="Z298" s="439"/>
    </row>
    <row r="299" ht="15.75" customHeight="1">
      <c r="A299" s="439"/>
      <c r="B299" s="439"/>
      <c r="C299" s="439"/>
      <c r="D299" s="439"/>
      <c r="E299" s="439"/>
      <c r="F299" s="469"/>
      <c r="G299" s="469"/>
      <c r="H299" s="439"/>
      <c r="I299" s="439"/>
      <c r="J299" s="439"/>
      <c r="K299" s="439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</row>
    <row r="300" ht="15.75" customHeight="1">
      <c r="A300" s="439"/>
      <c r="B300" s="439"/>
      <c r="C300" s="439"/>
      <c r="D300" s="439"/>
      <c r="E300" s="439"/>
      <c r="F300" s="469"/>
      <c r="G300" s="469"/>
      <c r="H300" s="439"/>
      <c r="I300" s="439"/>
      <c r="J300" s="439"/>
      <c r="K300" s="439"/>
      <c r="L300" s="439"/>
      <c r="M300" s="439"/>
      <c r="N300" s="439"/>
      <c r="O300" s="439"/>
      <c r="P300" s="439"/>
      <c r="Q300" s="439"/>
      <c r="R300" s="439"/>
      <c r="S300" s="439"/>
      <c r="T300" s="439"/>
      <c r="U300" s="439"/>
      <c r="V300" s="439"/>
      <c r="W300" s="439"/>
      <c r="X300" s="439"/>
      <c r="Y300" s="439"/>
      <c r="Z300" s="439"/>
    </row>
    <row r="301" ht="15.75" customHeight="1">
      <c r="A301" s="439"/>
      <c r="B301" s="439"/>
      <c r="C301" s="439"/>
      <c r="D301" s="439"/>
      <c r="E301" s="439"/>
      <c r="F301" s="469"/>
      <c r="G301" s="46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439"/>
      <c r="T301" s="439"/>
      <c r="U301" s="439"/>
      <c r="V301" s="439"/>
      <c r="W301" s="439"/>
      <c r="X301" s="439"/>
      <c r="Y301" s="439"/>
      <c r="Z301" s="439"/>
    </row>
    <row r="302" ht="15.75" customHeight="1">
      <c r="A302" s="439"/>
      <c r="B302" s="439"/>
      <c r="C302" s="439"/>
      <c r="D302" s="439"/>
      <c r="E302" s="439"/>
      <c r="F302" s="469"/>
      <c r="G302" s="469"/>
      <c r="H302" s="439"/>
      <c r="I302" s="439"/>
      <c r="J302" s="439"/>
      <c r="K302" s="439"/>
      <c r="L302" s="439"/>
      <c r="M302" s="439"/>
      <c r="N302" s="439"/>
      <c r="O302" s="439"/>
      <c r="P302" s="439"/>
      <c r="Q302" s="439"/>
      <c r="R302" s="439"/>
      <c r="S302" s="439"/>
      <c r="T302" s="439"/>
      <c r="U302" s="439"/>
      <c r="V302" s="439"/>
      <c r="W302" s="439"/>
      <c r="X302" s="439"/>
      <c r="Y302" s="439"/>
      <c r="Z302" s="439"/>
    </row>
    <row r="303" ht="15.75" customHeight="1">
      <c r="A303" s="439"/>
      <c r="F303" s="469"/>
      <c r="G303" s="469"/>
      <c r="H303" s="439"/>
      <c r="I303" s="439"/>
      <c r="J303" s="439"/>
      <c r="K303" s="439"/>
      <c r="L303" s="439"/>
      <c r="M303" s="439"/>
      <c r="N303" s="439"/>
      <c r="O303" s="439"/>
      <c r="P303" s="439"/>
      <c r="Q303" s="439"/>
      <c r="R303" s="439"/>
      <c r="S303" s="439"/>
      <c r="T303" s="439"/>
      <c r="U303" s="439"/>
    </row>
    <row r="304" ht="15.75" customHeight="1">
      <c r="A304" s="439"/>
      <c r="F304" s="469"/>
      <c r="G304" s="469"/>
      <c r="H304" s="439"/>
      <c r="I304" s="439"/>
      <c r="J304" s="439"/>
      <c r="K304" s="439"/>
      <c r="L304" s="439"/>
      <c r="M304" s="439"/>
      <c r="N304" s="439"/>
      <c r="O304" s="439"/>
      <c r="P304" s="439"/>
      <c r="Q304" s="439"/>
      <c r="R304" s="439"/>
      <c r="S304" s="439"/>
      <c r="T304" s="439"/>
      <c r="U304" s="439"/>
    </row>
    <row r="305" ht="15.75" customHeight="1">
      <c r="A305" s="439"/>
      <c r="F305" s="469"/>
      <c r="G305" s="469"/>
      <c r="H305" s="439"/>
      <c r="I305" s="439"/>
      <c r="J305" s="439"/>
      <c r="K305" s="439"/>
      <c r="L305" s="439"/>
      <c r="M305" s="439"/>
      <c r="N305" s="439"/>
      <c r="O305" s="439"/>
      <c r="P305" s="439"/>
      <c r="Q305" s="439"/>
      <c r="R305" s="439"/>
      <c r="S305" s="439"/>
      <c r="T305" s="439"/>
      <c r="U305" s="439"/>
    </row>
    <row r="306" ht="15.75" customHeight="1">
      <c r="A306" s="439"/>
      <c r="F306" s="469"/>
      <c r="G306" s="469"/>
      <c r="H306" s="439"/>
      <c r="I306" s="439"/>
      <c r="J306" s="439"/>
      <c r="K306" s="439"/>
      <c r="L306" s="439"/>
      <c r="M306" s="439"/>
      <c r="N306" s="439"/>
      <c r="O306" s="439"/>
      <c r="P306" s="439"/>
      <c r="Q306" s="439"/>
      <c r="R306" s="439"/>
      <c r="S306" s="439"/>
      <c r="T306" s="439"/>
      <c r="U306" s="439"/>
    </row>
    <row r="307" ht="15.75" customHeight="1">
      <c r="A307" s="439"/>
      <c r="F307" s="469"/>
      <c r="G307" s="469"/>
      <c r="H307" s="439"/>
      <c r="I307" s="439"/>
      <c r="J307" s="439"/>
      <c r="K307" s="439"/>
      <c r="L307" s="439"/>
      <c r="M307" s="439"/>
      <c r="N307" s="439"/>
      <c r="O307" s="439"/>
      <c r="P307" s="439"/>
      <c r="Q307" s="439"/>
      <c r="R307" s="439"/>
      <c r="S307" s="439"/>
      <c r="T307" s="439"/>
      <c r="U307" s="439"/>
    </row>
    <row r="308" ht="15.75" customHeight="1">
      <c r="A308" s="439"/>
      <c r="F308" s="469"/>
      <c r="G308" s="469"/>
      <c r="H308" s="439"/>
      <c r="I308" s="439"/>
      <c r="J308" s="439"/>
      <c r="K308" s="439"/>
      <c r="L308" s="439"/>
      <c r="M308" s="439"/>
      <c r="N308" s="439"/>
      <c r="O308" s="439"/>
      <c r="P308" s="439"/>
      <c r="Q308" s="439"/>
      <c r="R308" s="439"/>
      <c r="S308" s="439"/>
      <c r="T308" s="439"/>
      <c r="U308" s="439"/>
    </row>
    <row r="309" ht="15.75" customHeight="1">
      <c r="A309" s="439"/>
      <c r="F309" s="469"/>
      <c r="G309" s="469"/>
      <c r="H309" s="439"/>
      <c r="I309" s="439"/>
      <c r="J309" s="439"/>
      <c r="K309" s="439"/>
      <c r="L309" s="439"/>
      <c r="M309" s="439"/>
      <c r="N309" s="439"/>
      <c r="O309" s="439"/>
      <c r="P309" s="439"/>
      <c r="Q309" s="439"/>
      <c r="R309" s="439"/>
      <c r="S309" s="439"/>
      <c r="T309" s="439"/>
      <c r="U309" s="439"/>
    </row>
    <row r="310" ht="15.75" customHeight="1">
      <c r="A310" s="439"/>
      <c r="F310" s="469"/>
      <c r="G310" s="469"/>
      <c r="H310" s="439"/>
      <c r="I310" s="439"/>
      <c r="J310" s="439"/>
      <c r="K310" s="439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</row>
    <row r="311" ht="15.75" customHeight="1">
      <c r="A311" s="439"/>
      <c r="F311" s="469"/>
      <c r="G311" s="469"/>
      <c r="H311" s="439"/>
      <c r="I311" s="439"/>
      <c r="J311" s="439"/>
      <c r="K311" s="439"/>
      <c r="L311" s="439"/>
      <c r="M311" s="439"/>
      <c r="N311" s="439"/>
      <c r="O311" s="439"/>
      <c r="P311" s="439"/>
      <c r="Q311" s="439"/>
      <c r="R311" s="439"/>
      <c r="S311" s="439"/>
      <c r="T311" s="439"/>
      <c r="U311" s="439"/>
    </row>
    <row r="312" ht="15.75" customHeight="1">
      <c r="A312" s="439"/>
      <c r="F312" s="469"/>
      <c r="G312" s="469"/>
      <c r="H312" s="439"/>
      <c r="I312" s="439"/>
      <c r="J312" s="439"/>
      <c r="K312" s="439"/>
      <c r="L312" s="439"/>
      <c r="M312" s="439"/>
      <c r="N312" s="439"/>
      <c r="O312" s="439"/>
      <c r="P312" s="439"/>
      <c r="Q312" s="439"/>
      <c r="R312" s="439"/>
      <c r="S312" s="439"/>
      <c r="T312" s="439"/>
      <c r="U312" s="439"/>
    </row>
    <row r="313" ht="15.75" customHeight="1">
      <c r="A313" s="439"/>
      <c r="F313" s="469"/>
      <c r="G313" s="469"/>
      <c r="H313" s="439"/>
      <c r="I313" s="439"/>
      <c r="J313" s="439"/>
      <c r="K313" s="439"/>
      <c r="L313" s="439"/>
      <c r="M313" s="439"/>
      <c r="N313" s="439"/>
      <c r="O313" s="439"/>
      <c r="P313" s="439"/>
      <c r="Q313" s="439"/>
      <c r="R313" s="439"/>
      <c r="S313" s="439"/>
      <c r="T313" s="439"/>
      <c r="U313" s="439"/>
    </row>
    <row r="314" ht="15.75" customHeight="1">
      <c r="A314" s="439"/>
      <c r="F314" s="469"/>
      <c r="G314" s="469"/>
      <c r="H314" s="439"/>
      <c r="I314" s="439"/>
      <c r="J314" s="439"/>
      <c r="K314" s="439"/>
      <c r="L314" s="439"/>
      <c r="M314" s="439"/>
      <c r="N314" s="439"/>
      <c r="O314" s="439"/>
      <c r="P314" s="439"/>
      <c r="Q314" s="439"/>
      <c r="R314" s="439"/>
      <c r="S314" s="439"/>
      <c r="T314" s="439"/>
      <c r="U314" s="439"/>
    </row>
    <row r="315" ht="15.75" customHeight="1">
      <c r="A315" s="439"/>
      <c r="F315" s="469"/>
      <c r="G315" s="469"/>
      <c r="H315" s="439"/>
      <c r="I315" s="439"/>
      <c r="J315" s="439"/>
      <c r="K315" s="439"/>
      <c r="L315" s="439"/>
      <c r="M315" s="439"/>
      <c r="N315" s="439"/>
      <c r="O315" s="439"/>
      <c r="P315" s="439"/>
      <c r="Q315" s="439"/>
      <c r="R315" s="439"/>
      <c r="S315" s="439"/>
      <c r="T315" s="439"/>
      <c r="U315" s="439"/>
    </row>
    <row r="316" ht="15.75" customHeight="1">
      <c r="A316" s="439"/>
      <c r="F316" s="469"/>
      <c r="G316" s="469"/>
      <c r="H316" s="439"/>
      <c r="I316" s="439"/>
      <c r="J316" s="439"/>
      <c r="K316" s="439"/>
      <c r="L316" s="439"/>
      <c r="M316" s="439"/>
      <c r="N316" s="439"/>
      <c r="O316" s="439"/>
      <c r="P316" s="439"/>
      <c r="Q316" s="439"/>
      <c r="R316" s="439"/>
      <c r="S316" s="439"/>
      <c r="T316" s="439"/>
      <c r="U316" s="439"/>
    </row>
    <row r="317" ht="15.75" customHeight="1">
      <c r="A317" s="439"/>
      <c r="F317" s="469"/>
      <c r="G317" s="469"/>
      <c r="H317" s="439"/>
      <c r="I317" s="439"/>
      <c r="J317" s="439"/>
      <c r="K317" s="439"/>
      <c r="L317" s="439"/>
      <c r="M317" s="439"/>
      <c r="N317" s="439"/>
      <c r="O317" s="439"/>
      <c r="P317" s="439"/>
      <c r="Q317" s="439"/>
      <c r="R317" s="439"/>
      <c r="S317" s="439"/>
      <c r="T317" s="439"/>
      <c r="U317" s="439"/>
    </row>
    <row r="318" ht="15.75" customHeight="1">
      <c r="A318" s="439"/>
      <c r="F318" s="469"/>
      <c r="G318" s="469"/>
      <c r="H318" s="439"/>
      <c r="I318" s="439"/>
      <c r="J318" s="439"/>
      <c r="K318" s="439"/>
      <c r="L318" s="439"/>
      <c r="M318" s="439"/>
      <c r="N318" s="439"/>
      <c r="O318" s="439"/>
      <c r="P318" s="439"/>
      <c r="Q318" s="439"/>
      <c r="R318" s="439"/>
      <c r="S318" s="439"/>
      <c r="T318" s="439"/>
      <c r="U318" s="439"/>
    </row>
    <row r="319" ht="15.75" customHeight="1">
      <c r="A319" s="439"/>
      <c r="F319" s="469"/>
      <c r="G319" s="469"/>
      <c r="H319" s="439"/>
      <c r="I319" s="439"/>
      <c r="J319" s="439"/>
      <c r="K319" s="439"/>
      <c r="L319" s="439"/>
      <c r="M319" s="439"/>
      <c r="N319" s="439"/>
      <c r="O319" s="439"/>
      <c r="P319" s="439"/>
      <c r="Q319" s="439"/>
      <c r="R319" s="439"/>
      <c r="S319" s="439"/>
      <c r="T319" s="439"/>
      <c r="U319" s="439"/>
    </row>
    <row r="320" ht="15.75" customHeight="1">
      <c r="A320" s="439"/>
      <c r="F320" s="469"/>
      <c r="G320" s="469"/>
      <c r="H320" s="439"/>
      <c r="I320" s="439"/>
      <c r="J320" s="439"/>
      <c r="K320" s="439"/>
      <c r="L320" s="439"/>
      <c r="M320" s="439"/>
      <c r="N320" s="439"/>
      <c r="O320" s="439"/>
      <c r="P320" s="439"/>
      <c r="Q320" s="439"/>
      <c r="R320" s="439"/>
      <c r="S320" s="439"/>
      <c r="T320" s="439"/>
      <c r="U320" s="439"/>
    </row>
    <row r="321" ht="15.75" customHeight="1">
      <c r="A321" s="439"/>
      <c r="F321" s="469"/>
      <c r="G321" s="469"/>
      <c r="H321" s="439"/>
      <c r="I321" s="439"/>
      <c r="J321" s="439"/>
      <c r="K321" s="439"/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</row>
    <row r="322" ht="15.75" customHeight="1">
      <c r="A322" s="439"/>
      <c r="F322" s="469"/>
      <c r="G322" s="469"/>
      <c r="H322" s="439"/>
      <c r="I322" s="439"/>
      <c r="J322" s="439"/>
      <c r="K322" s="439"/>
      <c r="L322" s="439"/>
      <c r="M322" s="439"/>
      <c r="N322" s="439"/>
      <c r="O322" s="439"/>
      <c r="P322" s="439"/>
      <c r="Q322" s="439"/>
      <c r="R322" s="439"/>
      <c r="S322" s="439"/>
      <c r="T322" s="439"/>
      <c r="U322" s="439"/>
    </row>
    <row r="323" ht="15.75" customHeight="1">
      <c r="A323" s="439"/>
      <c r="F323" s="469"/>
      <c r="G323" s="469"/>
      <c r="H323" s="439"/>
      <c r="I323" s="439"/>
      <c r="J323" s="439"/>
      <c r="K323" s="439"/>
      <c r="L323" s="439"/>
      <c r="M323" s="439"/>
      <c r="N323" s="439"/>
      <c r="O323" s="439"/>
      <c r="P323" s="439"/>
      <c r="Q323" s="439"/>
      <c r="R323" s="439"/>
      <c r="S323" s="439"/>
      <c r="T323" s="439"/>
      <c r="U323" s="439"/>
    </row>
    <row r="324" ht="15.75" customHeight="1">
      <c r="A324" s="439"/>
      <c r="F324" s="469"/>
      <c r="G324" s="469"/>
      <c r="H324" s="439"/>
      <c r="I324" s="439"/>
      <c r="J324" s="439"/>
      <c r="K324" s="439"/>
      <c r="L324" s="439"/>
      <c r="M324" s="439"/>
      <c r="N324" s="439"/>
      <c r="O324" s="439"/>
      <c r="P324" s="439"/>
      <c r="Q324" s="439"/>
      <c r="R324" s="439"/>
      <c r="S324" s="439"/>
      <c r="T324" s="439"/>
      <c r="U324" s="439"/>
    </row>
    <row r="325" ht="15.75" customHeight="1">
      <c r="A325" s="439"/>
      <c r="F325" s="469"/>
      <c r="G325" s="469"/>
      <c r="H325" s="439"/>
      <c r="I325" s="439"/>
      <c r="J325" s="439"/>
      <c r="K325" s="439"/>
      <c r="L325" s="439"/>
      <c r="M325" s="439"/>
      <c r="N325" s="439"/>
      <c r="O325" s="439"/>
      <c r="P325" s="439"/>
      <c r="Q325" s="439"/>
      <c r="R325" s="439"/>
      <c r="S325" s="439"/>
      <c r="T325" s="439"/>
      <c r="U325" s="439"/>
    </row>
    <row r="326" ht="15.75" customHeight="1">
      <c r="A326" s="439"/>
      <c r="F326" s="469"/>
      <c r="G326" s="469"/>
      <c r="H326" s="439"/>
      <c r="I326" s="439"/>
      <c r="J326" s="439"/>
      <c r="K326" s="439"/>
      <c r="L326" s="439"/>
      <c r="M326" s="439"/>
      <c r="N326" s="439"/>
      <c r="O326" s="439"/>
      <c r="P326" s="439"/>
      <c r="Q326" s="439"/>
      <c r="R326" s="439"/>
      <c r="S326" s="439"/>
      <c r="T326" s="439"/>
      <c r="U326" s="439"/>
    </row>
    <row r="327" ht="15.75" customHeight="1">
      <c r="A327" s="439"/>
      <c r="F327" s="469"/>
      <c r="G327" s="469"/>
      <c r="H327" s="439"/>
      <c r="I327" s="439"/>
      <c r="J327" s="439"/>
      <c r="K327" s="439"/>
      <c r="L327" s="439"/>
      <c r="M327" s="439"/>
      <c r="N327" s="439"/>
      <c r="O327" s="439"/>
      <c r="P327" s="439"/>
      <c r="Q327" s="439"/>
      <c r="R327" s="439"/>
      <c r="S327" s="439"/>
      <c r="T327" s="439"/>
      <c r="U327" s="439"/>
    </row>
    <row r="328" ht="15.75" customHeight="1">
      <c r="A328" s="439"/>
      <c r="F328" s="469"/>
      <c r="G328" s="469"/>
      <c r="H328" s="439"/>
      <c r="I328" s="439"/>
      <c r="J328" s="439"/>
      <c r="K328" s="439"/>
      <c r="L328" s="439"/>
      <c r="M328" s="439"/>
      <c r="N328" s="439"/>
      <c r="O328" s="439"/>
      <c r="P328" s="439"/>
      <c r="Q328" s="439"/>
      <c r="R328" s="439"/>
      <c r="S328" s="439"/>
      <c r="T328" s="439"/>
      <c r="U328" s="439"/>
    </row>
    <row r="329" ht="15.75" customHeight="1">
      <c r="A329" s="439"/>
      <c r="F329" s="469"/>
      <c r="G329" s="469"/>
      <c r="H329" s="439"/>
      <c r="I329" s="439"/>
      <c r="J329" s="439"/>
      <c r="K329" s="439"/>
      <c r="L329" s="439"/>
      <c r="M329" s="439"/>
      <c r="N329" s="439"/>
      <c r="O329" s="439"/>
      <c r="P329" s="439"/>
      <c r="Q329" s="439"/>
      <c r="R329" s="439"/>
      <c r="S329" s="439"/>
      <c r="T329" s="439"/>
      <c r="U329" s="439"/>
    </row>
    <row r="330" ht="15.75" customHeight="1">
      <c r="A330" s="439"/>
      <c r="F330" s="469"/>
      <c r="G330" s="469"/>
      <c r="H330" s="439"/>
      <c r="I330" s="439"/>
      <c r="J330" s="439"/>
      <c r="K330" s="439"/>
      <c r="L330" s="439"/>
      <c r="M330" s="439"/>
      <c r="N330" s="439"/>
      <c r="O330" s="439"/>
      <c r="P330" s="439"/>
      <c r="Q330" s="439"/>
      <c r="R330" s="439"/>
      <c r="S330" s="439"/>
      <c r="T330" s="439"/>
      <c r="U330" s="439"/>
    </row>
    <row r="331" ht="15.75" customHeight="1">
      <c r="A331" s="439"/>
      <c r="F331" s="469"/>
      <c r="G331" s="469"/>
      <c r="H331" s="439"/>
      <c r="I331" s="439"/>
      <c r="J331" s="439"/>
      <c r="K331" s="439"/>
      <c r="L331" s="439"/>
      <c r="M331" s="439"/>
      <c r="N331" s="439"/>
      <c r="O331" s="439"/>
      <c r="P331" s="439"/>
      <c r="Q331" s="439"/>
      <c r="R331" s="439"/>
      <c r="S331" s="439"/>
      <c r="T331" s="439"/>
      <c r="U331" s="439"/>
    </row>
    <row r="332" ht="15.75" customHeight="1">
      <c r="A332" s="439"/>
      <c r="F332" s="469"/>
      <c r="G332" s="469"/>
      <c r="H332" s="439"/>
      <c r="I332" s="439"/>
      <c r="J332" s="439"/>
      <c r="K332" s="439"/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</row>
    <row r="333" ht="15.75" customHeight="1">
      <c r="A333" s="439"/>
      <c r="F333" s="469"/>
      <c r="G333" s="469"/>
      <c r="H333" s="439"/>
      <c r="I333" s="439"/>
      <c r="J333" s="439"/>
      <c r="K333" s="439"/>
      <c r="L333" s="439"/>
      <c r="M333" s="439"/>
      <c r="N333" s="439"/>
      <c r="O333" s="439"/>
      <c r="P333" s="439"/>
      <c r="Q333" s="439"/>
      <c r="R333" s="439"/>
      <c r="S333" s="439"/>
      <c r="T333" s="439"/>
      <c r="U333" s="439"/>
    </row>
    <row r="334" ht="15.75" customHeight="1">
      <c r="A334" s="439"/>
      <c r="F334" s="469"/>
      <c r="G334" s="469"/>
      <c r="H334" s="439"/>
      <c r="I334" s="439"/>
      <c r="J334" s="439"/>
      <c r="K334" s="439"/>
      <c r="L334" s="439"/>
      <c r="M334" s="439"/>
      <c r="N334" s="439"/>
      <c r="O334" s="439"/>
      <c r="P334" s="439"/>
      <c r="Q334" s="439"/>
      <c r="R334" s="439"/>
      <c r="S334" s="439"/>
      <c r="T334" s="439"/>
      <c r="U334" s="439"/>
    </row>
    <row r="335" ht="15.75" customHeight="1">
      <c r="A335" s="439"/>
      <c r="F335" s="469"/>
      <c r="G335" s="469"/>
      <c r="H335" s="439"/>
      <c r="I335" s="439"/>
      <c r="J335" s="439"/>
      <c r="K335" s="439"/>
      <c r="L335" s="439"/>
      <c r="M335" s="439"/>
      <c r="N335" s="439"/>
      <c r="O335" s="439"/>
      <c r="P335" s="439"/>
      <c r="Q335" s="439"/>
      <c r="R335" s="439"/>
      <c r="S335" s="439"/>
      <c r="T335" s="439"/>
      <c r="U335" s="439"/>
    </row>
    <row r="336" ht="15.75" customHeight="1">
      <c r="A336" s="439"/>
      <c r="F336" s="469"/>
      <c r="G336" s="469"/>
      <c r="H336" s="439"/>
      <c r="I336" s="439"/>
      <c r="J336" s="439"/>
      <c r="K336" s="439"/>
      <c r="L336" s="439"/>
      <c r="M336" s="439"/>
      <c r="N336" s="439"/>
      <c r="O336" s="439"/>
      <c r="P336" s="439"/>
      <c r="Q336" s="439"/>
      <c r="R336" s="439"/>
      <c r="S336" s="439"/>
      <c r="T336" s="439"/>
      <c r="U336" s="439"/>
    </row>
    <row r="337" ht="15.75" customHeight="1">
      <c r="A337" s="439"/>
      <c r="F337" s="469"/>
      <c r="G337" s="469"/>
      <c r="H337" s="439"/>
      <c r="I337" s="439"/>
      <c r="J337" s="439"/>
      <c r="K337" s="439"/>
      <c r="L337" s="439"/>
      <c r="M337" s="439"/>
      <c r="N337" s="439"/>
      <c r="O337" s="439"/>
      <c r="P337" s="439"/>
      <c r="Q337" s="439"/>
      <c r="R337" s="439"/>
      <c r="S337" s="439"/>
      <c r="T337" s="439"/>
      <c r="U337" s="439"/>
    </row>
    <row r="338" ht="15.75" customHeight="1">
      <c r="A338" s="439"/>
      <c r="F338" s="469"/>
      <c r="G338" s="469"/>
      <c r="H338" s="439"/>
      <c r="I338" s="439"/>
      <c r="J338" s="439"/>
      <c r="K338" s="439"/>
      <c r="L338" s="439"/>
      <c r="M338" s="439"/>
      <c r="N338" s="439"/>
      <c r="O338" s="439"/>
      <c r="P338" s="439"/>
      <c r="Q338" s="439"/>
      <c r="R338" s="439"/>
      <c r="S338" s="439"/>
      <c r="T338" s="439"/>
      <c r="U338" s="439"/>
    </row>
    <row r="339" ht="15.75" customHeight="1">
      <c r="A339" s="439"/>
      <c r="F339" s="469"/>
      <c r="G339" s="469"/>
      <c r="H339" s="439"/>
      <c r="I339" s="439"/>
      <c r="J339" s="439"/>
      <c r="K339" s="439"/>
      <c r="L339" s="439"/>
      <c r="M339" s="439"/>
      <c r="N339" s="439"/>
      <c r="O339" s="439"/>
      <c r="P339" s="439"/>
      <c r="Q339" s="439"/>
      <c r="R339" s="439"/>
      <c r="S339" s="439"/>
      <c r="T339" s="439"/>
      <c r="U339" s="439"/>
    </row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75">
    <mergeCell ref="B92:D92"/>
    <mergeCell ref="B93:E93"/>
    <mergeCell ref="B105:C105"/>
    <mergeCell ref="B106:C106"/>
    <mergeCell ref="B108:C108"/>
    <mergeCell ref="B109:C109"/>
    <mergeCell ref="B110:D110"/>
    <mergeCell ref="B111:E111"/>
    <mergeCell ref="B112:D112"/>
    <mergeCell ref="B113:D113"/>
    <mergeCell ref="B114:D114"/>
    <mergeCell ref="B115:D115"/>
    <mergeCell ref="B116:D116"/>
    <mergeCell ref="B118:E118"/>
    <mergeCell ref="B135:D135"/>
    <mergeCell ref="B136:D136"/>
    <mergeCell ref="B137:D137"/>
    <mergeCell ref="B138:D138"/>
    <mergeCell ref="B139:D139"/>
    <mergeCell ref="B117:D117"/>
    <mergeCell ref="B128:C128"/>
    <mergeCell ref="B129:C129"/>
    <mergeCell ref="B131:C131"/>
    <mergeCell ref="B132:C132"/>
    <mergeCell ref="B133:E133"/>
    <mergeCell ref="B134:D134"/>
    <mergeCell ref="A1:G1"/>
    <mergeCell ref="B4:E4"/>
    <mergeCell ref="B14:C14"/>
    <mergeCell ref="B15:C15"/>
    <mergeCell ref="B17:C17"/>
    <mergeCell ref="B18:C18"/>
    <mergeCell ref="B19:E19"/>
    <mergeCell ref="B20:D20"/>
    <mergeCell ref="B21:D21"/>
    <mergeCell ref="B22:D22"/>
    <mergeCell ref="B23:D23"/>
    <mergeCell ref="B24:D24"/>
    <mergeCell ref="B25:D25"/>
    <mergeCell ref="B26:E26"/>
    <mergeCell ref="B36:C36"/>
    <mergeCell ref="B37:C37"/>
    <mergeCell ref="B39:C39"/>
    <mergeCell ref="B40:C40"/>
    <mergeCell ref="B41:E41"/>
    <mergeCell ref="B42:D42"/>
    <mergeCell ref="B43:D43"/>
    <mergeCell ref="B44:D44"/>
    <mergeCell ref="B45:D45"/>
    <mergeCell ref="B46:D46"/>
    <mergeCell ref="B47:D47"/>
    <mergeCell ref="B48:E48"/>
    <mergeCell ref="B58:C58"/>
    <mergeCell ref="B59:C59"/>
    <mergeCell ref="B61:C61"/>
    <mergeCell ref="B62:C62"/>
    <mergeCell ref="B63:D63"/>
    <mergeCell ref="B64:E64"/>
    <mergeCell ref="B65:D65"/>
    <mergeCell ref="B66:D66"/>
    <mergeCell ref="B67:D67"/>
    <mergeCell ref="B68:D68"/>
    <mergeCell ref="B69:D69"/>
    <mergeCell ref="B70:D70"/>
    <mergeCell ref="B71:E71"/>
    <mergeCell ref="B81:C81"/>
    <mergeCell ref="B82:C82"/>
    <mergeCell ref="B84:C84"/>
    <mergeCell ref="B85:C85"/>
    <mergeCell ref="B86:D86"/>
    <mergeCell ref="B87:E87"/>
    <mergeCell ref="B88:D88"/>
    <mergeCell ref="B89:D89"/>
    <mergeCell ref="B90:D90"/>
    <mergeCell ref="B91:D91"/>
  </mergeCells>
  <conditionalFormatting sqref="B136">
    <cfRule type="cellIs" dxfId="7" priority="1" operator="lessThan">
      <formula>0</formula>
    </cfRule>
  </conditionalFormatting>
  <conditionalFormatting sqref="B136">
    <cfRule type="cellIs" dxfId="8" priority="2" operator="greaterThan">
      <formula>0</formula>
    </cfRule>
  </conditionalFormatting>
  <conditionalFormatting sqref="B22:D22">
    <cfRule type="cellIs" dxfId="7" priority="3" operator="greaterThan">
      <formula>$E$67&gt;0</formula>
    </cfRule>
  </conditionalFormatting>
  <conditionalFormatting sqref="B22:D22">
    <cfRule type="cellIs" dxfId="7" priority="4" operator="lessThan">
      <formula>$E$67&lt;0</formula>
    </cfRule>
  </conditionalFormatting>
  <conditionalFormatting sqref="B44:D44">
    <cfRule type="cellIs" dxfId="7" priority="5" operator="greaterThan">
      <formula>$E$67&gt;0</formula>
    </cfRule>
  </conditionalFormatting>
  <conditionalFormatting sqref="B44:D44">
    <cfRule type="cellIs" dxfId="7" priority="6" operator="lessThan">
      <formula>$E$67&lt;0</formula>
    </cfRule>
  </conditionalFormatting>
  <conditionalFormatting sqref="B63:D63">
    <cfRule type="cellIs" dxfId="8" priority="7" operator="greaterThan">
      <formula>$E$86</formula>
    </cfRule>
  </conditionalFormatting>
  <conditionalFormatting sqref="B63:D63">
    <cfRule type="cellIs" dxfId="7" priority="8" operator="lessThan">
      <formula>$E$67&lt;0</formula>
    </cfRule>
  </conditionalFormatting>
  <conditionalFormatting sqref="B67:D67">
    <cfRule type="cellIs" dxfId="8" priority="9" operator="greaterThan">
      <formula>$E$86</formula>
    </cfRule>
  </conditionalFormatting>
  <conditionalFormatting sqref="B67:D67">
    <cfRule type="cellIs" dxfId="7" priority="10" operator="lessThan">
      <formula>$E$67&lt;0</formula>
    </cfRule>
  </conditionalFormatting>
  <conditionalFormatting sqref="B86:D86">
    <cfRule type="cellIs" dxfId="7" priority="11" operator="greaterThan">
      <formula>$E$67&gt;0</formula>
    </cfRule>
  </conditionalFormatting>
  <conditionalFormatting sqref="B86:D86">
    <cfRule type="cellIs" dxfId="7" priority="12" operator="lessThan">
      <formula>$E$67&lt;0</formula>
    </cfRule>
  </conditionalFormatting>
  <conditionalFormatting sqref="B90:D90">
    <cfRule type="cellIs" dxfId="7" priority="13" operator="greaterThan">
      <formula>$E$67&gt;0</formula>
    </cfRule>
  </conditionalFormatting>
  <conditionalFormatting sqref="B90:D90">
    <cfRule type="cellIs" dxfId="7" priority="14" operator="lessThan">
      <formula>$E$67&lt;0</formula>
    </cfRule>
  </conditionalFormatting>
  <conditionalFormatting sqref="B110:D110">
    <cfRule type="cellIs" dxfId="8" priority="15" operator="greaterThan">
      <formula>$E$86</formula>
    </cfRule>
  </conditionalFormatting>
  <conditionalFormatting sqref="B110:D110">
    <cfRule type="cellIs" dxfId="7" priority="16" operator="lessThan">
      <formula>$E$67&lt;0</formula>
    </cfRule>
  </conditionalFormatting>
  <conditionalFormatting sqref="B114:D114">
    <cfRule type="cellIs" dxfId="8" priority="17" operator="greaterThan">
      <formula>$E$86</formula>
    </cfRule>
  </conditionalFormatting>
  <conditionalFormatting sqref="B114:D114">
    <cfRule type="cellIs" dxfId="7" priority="18" operator="lessThan">
      <formula>$E$67&lt;0</formula>
    </cfRule>
  </conditionalFormatting>
  <conditionalFormatting sqref="E22">
    <cfRule type="cellIs" dxfId="7" priority="19" operator="lessThan">
      <formula>0</formula>
    </cfRule>
  </conditionalFormatting>
  <conditionalFormatting sqref="E22">
    <cfRule type="cellIs" dxfId="8" priority="20" operator="greaterThan">
      <formula>0</formula>
    </cfRule>
  </conditionalFormatting>
  <conditionalFormatting sqref="E44">
    <cfRule type="cellIs" dxfId="7" priority="21" operator="lessThan">
      <formula>0</formula>
    </cfRule>
  </conditionalFormatting>
  <conditionalFormatting sqref="E44">
    <cfRule type="cellIs" dxfId="8" priority="22" operator="greaterThan">
      <formula>0</formula>
    </cfRule>
  </conditionalFormatting>
  <conditionalFormatting sqref="E63">
    <cfRule type="cellIs" dxfId="7" priority="23" operator="lessThan">
      <formula>0</formula>
    </cfRule>
  </conditionalFormatting>
  <conditionalFormatting sqref="E63">
    <cfRule type="cellIs" dxfId="8" priority="24" operator="greaterThan">
      <formula>0</formula>
    </cfRule>
  </conditionalFormatting>
  <conditionalFormatting sqref="E67">
    <cfRule type="cellIs" dxfId="7" priority="25" operator="lessThan">
      <formula>0</formula>
    </cfRule>
  </conditionalFormatting>
  <conditionalFormatting sqref="E67">
    <cfRule type="cellIs" dxfId="8" priority="26" operator="greaterThan">
      <formula>0</formula>
    </cfRule>
  </conditionalFormatting>
  <conditionalFormatting sqref="E86">
    <cfRule type="cellIs" dxfId="7" priority="27" operator="lessThan">
      <formula>0</formula>
    </cfRule>
  </conditionalFormatting>
  <conditionalFormatting sqref="E86">
    <cfRule type="cellIs" dxfId="8" priority="28" operator="greaterThan">
      <formula>0</formula>
    </cfRule>
  </conditionalFormatting>
  <conditionalFormatting sqref="E90">
    <cfRule type="cellIs" dxfId="7" priority="29" operator="lessThan">
      <formula>0</formula>
    </cfRule>
  </conditionalFormatting>
  <conditionalFormatting sqref="E90">
    <cfRule type="cellIs" dxfId="8" priority="30" operator="greaterThan">
      <formula>0</formula>
    </cfRule>
  </conditionalFormatting>
  <conditionalFormatting sqref="E110">
    <cfRule type="cellIs" dxfId="7" priority="31" operator="lessThan">
      <formula>0</formula>
    </cfRule>
  </conditionalFormatting>
  <conditionalFormatting sqref="E110">
    <cfRule type="cellIs" dxfId="8" priority="32" operator="greaterThan">
      <formula>0</formula>
    </cfRule>
  </conditionalFormatting>
  <conditionalFormatting sqref="E114">
    <cfRule type="cellIs" dxfId="7" priority="33" operator="lessThan">
      <formula>0</formula>
    </cfRule>
  </conditionalFormatting>
  <conditionalFormatting sqref="E114">
    <cfRule type="cellIs" dxfId="8" priority="34" operator="greaterThan">
      <formula>0</formula>
    </cfRule>
  </conditionalFormatting>
  <conditionalFormatting sqref="E136">
    <cfRule type="cellIs" dxfId="8" priority="35" operator="greaterThan">
      <formula>$E$44</formula>
    </cfRule>
  </conditionalFormatting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15.71"/>
    <col customWidth="1" min="3" max="3" width="13.71"/>
    <col customWidth="1" min="4" max="4" width="10.71"/>
    <col customWidth="1" min="5" max="5" width="18.86"/>
    <col customWidth="1" min="6" max="6" width="13.71"/>
    <col customWidth="1" min="7" max="7" width="10.71"/>
    <col customWidth="1" min="8" max="9" width="13.71"/>
    <col customWidth="1" min="10" max="10" width="10.71"/>
    <col customWidth="1" min="11" max="11" width="13.71"/>
  </cols>
  <sheetData>
    <row r="5">
      <c r="B5" s="104" t="s">
        <v>10660</v>
      </c>
      <c r="C5" s="99">
        <v>45126.0</v>
      </c>
      <c r="G5" s="102" t="s">
        <v>10661</v>
      </c>
      <c r="K5" s="102" t="s">
        <v>311</v>
      </c>
    </row>
    <row r="6">
      <c r="C6" s="114">
        <v>525048.83</v>
      </c>
      <c r="E6" s="102" t="s">
        <v>547</v>
      </c>
      <c r="F6" s="102" t="s">
        <v>10662</v>
      </c>
      <c r="G6" s="104">
        <v>16.766648640503</v>
      </c>
      <c r="I6" s="114">
        <v>560208.96</v>
      </c>
      <c r="J6" s="104" t="s">
        <v>4534</v>
      </c>
      <c r="K6" s="100">
        <v>82804.34999999998</v>
      </c>
    </row>
    <row r="7">
      <c r="C7" s="114">
        <v>1000000.0</v>
      </c>
      <c r="D7" s="104" t="s">
        <v>9331</v>
      </c>
      <c r="E7" s="100">
        <v>6687.466799999995</v>
      </c>
      <c r="F7" s="100">
        <f t="shared" ref="F7:F13" si="1">$G$6*E7</f>
        <v>112126.4061</v>
      </c>
      <c r="I7" s="114">
        <v>1000000.0</v>
      </c>
      <c r="J7" s="104" t="s">
        <v>4581</v>
      </c>
      <c r="K7" s="100">
        <v>343423.19680000003</v>
      </c>
    </row>
    <row r="8">
      <c r="C8" s="539">
        <v>439891.04</v>
      </c>
      <c r="D8" s="104" t="s">
        <v>9344</v>
      </c>
      <c r="E8" s="100">
        <v>30245.260000000002</v>
      </c>
      <c r="F8" s="100">
        <f t="shared" si="1"/>
        <v>507111.6475</v>
      </c>
      <c r="I8" s="539">
        <v>1000000.0</v>
      </c>
      <c r="J8" s="104" t="s">
        <v>4601</v>
      </c>
      <c r="K8" s="100">
        <v>499975.4048</v>
      </c>
    </row>
    <row r="9">
      <c r="C9" s="100">
        <f>SUM(C6:C8)</f>
        <v>1964939.87</v>
      </c>
      <c r="D9" s="104" t="s">
        <v>9372</v>
      </c>
      <c r="E9" s="100">
        <v>8884.208</v>
      </c>
      <c r="F9" s="100">
        <f t="shared" si="1"/>
        <v>148958.394</v>
      </c>
      <c r="I9" s="100">
        <f>SUM(I6:I8)</f>
        <v>2560208.96</v>
      </c>
      <c r="J9" s="104" t="s">
        <v>4607</v>
      </c>
      <c r="K9" s="100">
        <v>406146.68200000003</v>
      </c>
    </row>
    <row r="10">
      <c r="D10" s="104" t="s">
        <v>9401</v>
      </c>
      <c r="E10" s="100">
        <v>17999.1516</v>
      </c>
      <c r="F10" s="100">
        <f t="shared" si="1"/>
        <v>301785.4507</v>
      </c>
      <c r="J10" s="104" t="s">
        <v>4636</v>
      </c>
      <c r="K10" s="100">
        <v>303012.9728</v>
      </c>
    </row>
    <row r="11">
      <c r="C11" s="102" t="s">
        <v>10663</v>
      </c>
      <c r="D11" s="104" t="s">
        <v>9403</v>
      </c>
      <c r="E11" s="100">
        <v>18645.1788</v>
      </c>
      <c r="F11" s="100">
        <f t="shared" si="1"/>
        <v>312617.1618</v>
      </c>
      <c r="J11" s="104" t="s">
        <v>4644</v>
      </c>
      <c r="K11" s="100">
        <v>117991.72</v>
      </c>
    </row>
    <row r="12">
      <c r="C12" s="100">
        <f>C9/G6</f>
        <v>117193.3588</v>
      </c>
      <c r="D12" s="104" t="s">
        <v>9414</v>
      </c>
      <c r="E12" s="100">
        <v>26731.1792</v>
      </c>
      <c r="F12" s="100">
        <f t="shared" si="1"/>
        <v>448192.2894</v>
      </c>
      <c r="J12" s="104" t="s">
        <v>4675</v>
      </c>
      <c r="K12" s="100">
        <v>214676.3396</v>
      </c>
    </row>
    <row r="13">
      <c r="D13" s="104" t="s">
        <v>9465</v>
      </c>
      <c r="E13" s="100">
        <v>8000.9144</v>
      </c>
      <c r="F13" s="427">
        <f t="shared" si="1"/>
        <v>134148.5205</v>
      </c>
      <c r="J13" s="104" t="s">
        <v>4677</v>
      </c>
      <c r="K13" s="100">
        <v>205733.0296</v>
      </c>
    </row>
    <row r="14">
      <c r="C14" s="540"/>
      <c r="E14" s="100">
        <f t="shared" ref="E14:F14" si="2">SUM(E7:E13)</f>
        <v>117193.3588</v>
      </c>
      <c r="F14" s="100">
        <f t="shared" si="2"/>
        <v>1964939.87</v>
      </c>
      <c r="J14" s="104" t="s">
        <v>4702</v>
      </c>
      <c r="K14" s="100">
        <v>296361.4632</v>
      </c>
    </row>
    <row r="15">
      <c r="C15" s="540"/>
      <c r="J15" s="104" t="s">
        <v>4782</v>
      </c>
      <c r="K15" s="427">
        <v>90083.802</v>
      </c>
    </row>
    <row r="16">
      <c r="D16" s="102"/>
      <c r="E16" s="100"/>
      <c r="F16" s="100"/>
      <c r="K16" s="100">
        <f>SUM(K6:K15)</f>
        <v>2560208.961</v>
      </c>
    </row>
    <row r="21" ht="15.75" customHeight="1"/>
    <row r="22" ht="15.75" customHeight="1">
      <c r="B22" s="102" t="s">
        <v>10664</v>
      </c>
      <c r="F22" s="100"/>
      <c r="G22" s="99"/>
    </row>
    <row r="23" ht="15.75" customHeight="1">
      <c r="B23" s="104">
        <v>16.7892</v>
      </c>
      <c r="C23" s="100"/>
    </row>
    <row r="24" ht="15.75" customHeight="1">
      <c r="A24" s="102" t="s">
        <v>10665</v>
      </c>
      <c r="B24" s="428">
        <v>200000.0</v>
      </c>
      <c r="D24" s="104" t="s">
        <v>9553</v>
      </c>
      <c r="E24" s="100">
        <v>12245.9176</v>
      </c>
      <c r="K24" s="104">
        <f>C9/E14</f>
        <v>16.76664864</v>
      </c>
    </row>
    <row r="25" ht="15.75" customHeight="1">
      <c r="B25" s="100">
        <f>B24/B23</f>
        <v>11912.41989</v>
      </c>
      <c r="E25" s="100">
        <f>+E24-B25</f>
        <v>333.497711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10.71"/>
  </cols>
  <sheetData>
    <row r="4">
      <c r="I4" s="104">
        <v>164.0</v>
      </c>
    </row>
    <row r="5">
      <c r="I5" s="104">
        <v>97.0</v>
      </c>
    </row>
    <row r="6">
      <c r="B6" s="100">
        <v>1128.0</v>
      </c>
      <c r="C6" s="102" t="s">
        <v>10666</v>
      </c>
      <c r="I6" s="104">
        <v>344.31</v>
      </c>
    </row>
    <row r="7">
      <c r="B7" s="100">
        <v>6047.12</v>
      </c>
      <c r="C7" s="102" t="s">
        <v>10666</v>
      </c>
      <c r="I7" s="104">
        <v>435.0</v>
      </c>
    </row>
    <row r="8">
      <c r="B8" s="100">
        <v>517.9</v>
      </c>
      <c r="C8" s="102" t="s">
        <v>10666</v>
      </c>
      <c r="I8" s="104">
        <v>105.0</v>
      </c>
    </row>
    <row r="9">
      <c r="B9" s="100">
        <v>809.58</v>
      </c>
      <c r="C9" s="102" t="s">
        <v>10666</v>
      </c>
      <c r="I9" s="104">
        <v>841.48</v>
      </c>
    </row>
    <row r="10">
      <c r="B10" s="100">
        <f>SUM(B6:B9)</f>
        <v>8502.6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